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45" windowWidth="25875" windowHeight="11310"/>
  </bookViews>
  <sheets>
    <sheet name="SubmittingComments20190903-1814" sheetId="1" r:id="rId1"/>
  </sheets>
  <calcPr calcId="0"/>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407" i="1"/>
  <c r="F3429" i="1"/>
  <c r="F3445" i="1"/>
  <c r="F3504" i="1"/>
  <c r="F3546" i="1"/>
  <c r="F3588" i="1"/>
  <c r="F3621" i="1"/>
  <c r="F3657" i="1"/>
  <c r="F3693" i="1"/>
  <c r="F3706" i="1"/>
  <c r="F3716" i="1"/>
  <c r="F3718" i="1"/>
  <c r="F3723" i="1"/>
  <c r="F3728" i="1"/>
  <c r="F3747" i="1"/>
  <c r="F3758" i="1"/>
  <c r="F3759" i="1"/>
  <c r="F3788" i="1"/>
  <c r="F3797" i="1"/>
  <c r="F3809" i="1"/>
  <c r="F3814" i="1"/>
  <c r="F3817" i="1"/>
  <c r="F3820"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200" i="1"/>
  <c r="F4216" i="1"/>
  <c r="F4217" i="1"/>
  <c r="F4218" i="1"/>
  <c r="F4229" i="1"/>
  <c r="F4247" i="1"/>
  <c r="F4257" i="1"/>
  <c r="F4258" i="1"/>
  <c r="F4273" i="1"/>
  <c r="F4276" i="1"/>
  <c r="F4285" i="1"/>
  <c r="F4311" i="1"/>
  <c r="F4316" i="1"/>
  <c r="F4329" i="1"/>
  <c r="F4335" i="1"/>
  <c r="F4339" i="1"/>
  <c r="F4353" i="1"/>
  <c r="F4357" i="1"/>
  <c r="F4358" i="1"/>
  <c r="F4361" i="1"/>
  <c r="F4367" i="1"/>
  <c r="F4402" i="1"/>
  <c r="F4404" i="1"/>
  <c r="F4411" i="1"/>
  <c r="F4416" i="1"/>
  <c r="F4419" i="1"/>
  <c r="F4460" i="1"/>
  <c r="F4462" i="1"/>
  <c r="F4463" i="1"/>
  <c r="F4477" i="1"/>
  <c r="F4493" i="1"/>
  <c r="F4502" i="1"/>
  <c r="F4508" i="1"/>
  <c r="F4510" i="1"/>
  <c r="F4512" i="1"/>
  <c r="F4519" i="1"/>
  <c r="F4541" i="1"/>
  <c r="F4544" i="1"/>
  <c r="F4565" i="1"/>
  <c r="F4585" i="1"/>
  <c r="F4598" i="1"/>
  <c r="F4607" i="1"/>
  <c r="F4617" i="1"/>
  <c r="F4620" i="1"/>
  <c r="F4622"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7" i="1"/>
  <c r="F4848" i="1"/>
  <c r="F4849" i="1"/>
  <c r="F4852" i="1"/>
  <c r="F4853" i="1"/>
  <c r="F4869" i="1"/>
  <c r="F4874" i="1"/>
  <c r="F4893" i="1"/>
  <c r="F4903" i="1"/>
  <c r="F4905" i="1"/>
  <c r="F4911" i="1"/>
  <c r="F4920" i="1"/>
  <c r="F4935" i="1"/>
  <c r="F4936" i="1"/>
  <c r="F4940" i="1"/>
  <c r="F4942" i="1"/>
  <c r="F4949" i="1"/>
  <c r="F4954" i="1"/>
  <c r="F4973" i="1"/>
  <c r="F4996" i="1"/>
  <c r="F5000" i="1"/>
  <c r="F5002" i="1"/>
  <c r="F5034" i="1"/>
  <c r="F5036" i="1"/>
  <c r="F5042" i="1"/>
  <c r="F5047" i="1"/>
  <c r="F5091" i="1"/>
  <c r="F5118" i="1"/>
  <c r="F5123" i="1"/>
  <c r="F5131" i="1"/>
  <c r="F5142" i="1"/>
  <c r="F5148" i="1"/>
  <c r="F5167" i="1"/>
  <c r="F5175" i="1"/>
  <c r="F5177" i="1"/>
  <c r="F5202" i="1"/>
  <c r="F5219" i="1"/>
  <c r="F5221" i="1"/>
  <c r="F5230" i="1"/>
  <c r="F5234" i="1"/>
  <c r="F5241" i="1"/>
  <c r="F5243" i="1"/>
  <c r="F5244" i="1"/>
  <c r="F5246" i="1"/>
  <c r="F5256" i="1"/>
  <c r="F5260" i="1"/>
  <c r="F5261" i="1"/>
  <c r="F5268" i="1"/>
  <c r="F5279" i="1"/>
  <c r="F5281" i="1"/>
  <c r="F5282" i="1"/>
  <c r="F5319" i="1"/>
  <c r="F5335" i="1"/>
  <c r="F5341" i="1"/>
  <c r="F5347" i="1"/>
  <c r="F5367" i="1"/>
  <c r="F5382" i="1"/>
  <c r="F5401" i="1"/>
  <c r="F5403" i="1"/>
  <c r="F5446" i="1"/>
  <c r="F5452" i="1"/>
  <c r="F5455" i="1"/>
  <c r="F5456" i="1"/>
  <c r="F5460" i="1"/>
  <c r="F5461" i="1"/>
  <c r="F5469" i="1"/>
  <c r="F5476" i="1"/>
  <c r="F5480" i="1"/>
  <c r="F5495" i="1"/>
  <c r="F5496" i="1"/>
  <c r="F5498" i="1"/>
  <c r="F5541" i="1"/>
  <c r="F5544" i="1"/>
  <c r="F5562" i="1"/>
  <c r="F5564" i="1"/>
  <c r="F5573" i="1"/>
  <c r="F5574" i="1"/>
  <c r="F5613" i="1"/>
  <c r="F5614" i="1"/>
  <c r="F5615" i="1"/>
  <c r="F5621" i="1"/>
  <c r="F5626" i="1"/>
  <c r="F5631" i="1"/>
  <c r="F5639" i="1"/>
  <c r="F5644" i="1"/>
  <c r="F5669" i="1"/>
  <c r="F5680" i="1"/>
  <c r="F5692" i="1"/>
  <c r="F5704" i="1"/>
  <c r="F5705" i="1"/>
  <c r="F5713" i="1"/>
  <c r="F5719" i="1"/>
  <c r="F5728" i="1"/>
  <c r="F5734" i="1"/>
  <c r="F5740" i="1"/>
  <c r="F5742" i="1"/>
  <c r="F5749" i="1"/>
  <c r="F5764" i="1"/>
  <c r="F5766" i="1"/>
  <c r="F5768" i="1"/>
  <c r="F5788" i="1"/>
  <c r="F5795" i="1"/>
  <c r="F5802" i="1"/>
  <c r="F5803" i="1"/>
  <c r="F5806" i="1"/>
  <c r="F5809" i="1"/>
  <c r="F5822" i="1"/>
  <c r="F5828" i="1"/>
  <c r="F5829" i="1"/>
  <c r="F5837" i="1"/>
  <c r="F5844" i="1"/>
  <c r="F5850" i="1"/>
  <c r="F5865" i="1"/>
  <c r="F5868" i="1"/>
  <c r="F5890" i="1"/>
  <c r="F5919" i="1"/>
  <c r="F5927" i="1"/>
  <c r="F5948" i="1"/>
  <c r="F5956" i="1"/>
  <c r="F5961" i="1"/>
  <c r="F5991" i="1"/>
  <c r="F6000" i="1"/>
  <c r="F6002" i="1"/>
  <c r="F6009" i="1"/>
  <c r="F6020" i="1"/>
  <c r="F6022" i="1"/>
  <c r="F6034" i="1"/>
  <c r="F6036" i="1"/>
  <c r="F6048" i="1"/>
  <c r="F6051" i="1"/>
  <c r="F6053" i="1"/>
  <c r="F6057" i="1"/>
  <c r="F6060" i="1"/>
  <c r="F6064" i="1"/>
  <c r="F6065" i="1"/>
  <c r="F6073" i="1"/>
  <c r="F6080" i="1"/>
  <c r="F6103" i="1"/>
  <c r="F6109" i="1"/>
  <c r="F6110" i="1"/>
  <c r="F6113" i="1"/>
  <c r="F6115" i="1"/>
  <c r="F6133" i="1"/>
  <c r="F6135" i="1"/>
  <c r="F6140" i="1"/>
  <c r="F6141" i="1"/>
  <c r="F6149" i="1"/>
  <c r="F6156" i="1"/>
  <c r="F6158" i="1"/>
  <c r="F6160" i="1"/>
  <c r="F6167" i="1"/>
  <c r="F6171" i="1"/>
  <c r="F6175" i="1"/>
  <c r="F6179" i="1"/>
  <c r="F6194" i="1"/>
  <c r="F6224" i="1"/>
  <c r="F6236" i="1"/>
  <c r="F6258" i="1"/>
  <c r="F6268" i="1"/>
  <c r="F6278" i="1"/>
  <c r="F6316" i="1"/>
  <c r="F6317" i="1"/>
  <c r="F6328" i="1"/>
  <c r="F6359" i="1"/>
  <c r="F6364" i="1"/>
  <c r="F6368" i="1"/>
  <c r="F6387" i="1"/>
  <c r="F6388" i="1"/>
  <c r="F6398" i="1"/>
  <c r="F6400" i="1"/>
  <c r="F6415" i="1"/>
  <c r="F6418" i="1"/>
  <c r="F6444" i="1"/>
  <c r="F6447" i="1"/>
  <c r="F6478" i="1"/>
  <c r="F6502" i="1"/>
  <c r="F6508" i="1"/>
  <c r="F6517" i="1"/>
  <c r="F6519" i="1"/>
  <c r="F6521" i="1"/>
  <c r="F6545" i="1"/>
  <c r="F6547" i="1"/>
  <c r="F6549" i="1"/>
  <c r="F6550" i="1"/>
  <c r="F6552" i="1"/>
  <c r="F6554" i="1"/>
  <c r="F6557" i="1"/>
  <c r="F6559" i="1"/>
  <c r="F6563" i="1"/>
  <c r="F6569" i="1"/>
  <c r="F6575" i="1"/>
  <c r="F6586" i="1"/>
  <c r="F6590" i="1"/>
  <c r="F6592" i="1"/>
  <c r="F6594" i="1"/>
  <c r="F6623" i="1"/>
  <c r="F6625" i="1"/>
  <c r="F6643" i="1"/>
  <c r="F6740" i="1"/>
  <c r="F6745" i="1"/>
  <c r="F6750" i="1"/>
  <c r="F6751" i="1"/>
  <c r="F6758" i="1"/>
  <c r="F6762" i="1"/>
  <c r="F6765" i="1"/>
  <c r="F6797" i="1"/>
  <c r="F6804" i="1"/>
  <c r="F6805" i="1"/>
  <c r="F6806" i="1"/>
  <c r="F6819" i="1"/>
  <c r="F6820" i="1"/>
  <c r="F6827" i="1"/>
  <c r="F6828" i="1"/>
  <c r="F6839" i="1"/>
  <c r="F6849" i="1"/>
  <c r="F6855" i="1"/>
  <c r="F6876" i="1"/>
  <c r="F6877" i="1"/>
  <c r="F6881" i="1"/>
  <c r="F6882" i="1"/>
  <c r="F6887" i="1"/>
  <c r="F6892" i="1"/>
  <c r="F6901" i="1"/>
  <c r="F6904" i="1"/>
  <c r="F6907" i="1"/>
  <c r="F6912" i="1"/>
  <c r="F6945" i="1"/>
  <c r="F6947" i="1"/>
  <c r="F6958" i="1"/>
  <c r="F6964" i="1"/>
  <c r="F6968" i="1"/>
  <c r="F7005" i="1"/>
  <c r="F7011" i="1"/>
  <c r="F7021" i="1"/>
  <c r="F7028" i="1"/>
  <c r="F7042" i="1"/>
  <c r="F7043" i="1"/>
  <c r="F7092" i="1"/>
  <c r="F7100" i="1"/>
  <c r="F7110" i="1"/>
  <c r="F7134" i="1"/>
  <c r="F7137" i="1"/>
  <c r="F7142" i="1"/>
  <c r="F7176" i="1"/>
  <c r="F7197" i="1"/>
  <c r="F7204" i="1"/>
  <c r="F7225" i="1"/>
  <c r="F7229" i="1"/>
  <c r="F7232" i="1"/>
  <c r="F7233" i="1"/>
  <c r="F7239" i="1"/>
  <c r="F7249" i="1"/>
  <c r="F7253" i="1"/>
  <c r="F7266" i="1"/>
  <c r="F7267" i="1"/>
  <c r="F7271" i="1"/>
  <c r="F7272" i="1"/>
  <c r="F7280" i="1"/>
  <c r="F7290" i="1"/>
  <c r="F7295" i="1"/>
  <c r="F7332" i="1"/>
  <c r="F7344" i="1"/>
  <c r="F7347" i="1"/>
  <c r="F7398" i="1"/>
  <c r="F7415" i="1"/>
  <c r="F7417" i="1"/>
  <c r="F7419" i="1"/>
  <c r="F7426" i="1"/>
  <c r="F7432" i="1"/>
  <c r="F7463" i="1"/>
  <c r="F7554" i="1"/>
  <c r="F7606" i="1"/>
  <c r="F7612" i="1"/>
  <c r="F7628" i="1"/>
  <c r="F7631" i="1"/>
  <c r="F7638" i="1"/>
  <c r="F7645" i="1"/>
  <c r="F7670" i="1"/>
  <c r="F7705" i="1"/>
  <c r="F7718" i="1"/>
  <c r="F7719" i="1"/>
  <c r="F7725" i="1"/>
  <c r="F7729" i="1"/>
  <c r="F7733" i="1"/>
  <c r="F7735" i="1"/>
  <c r="F7744" i="1"/>
  <c r="F7769" i="1"/>
  <c r="F7771" i="1"/>
  <c r="F7776" i="1"/>
  <c r="F7787" i="1"/>
  <c r="F7794" i="1"/>
  <c r="F7802" i="1"/>
  <c r="F7851" i="1"/>
  <c r="F7858" i="1"/>
  <c r="F7859" i="1"/>
  <c r="F7873" i="1"/>
  <c r="F7874" i="1"/>
  <c r="F7896" i="1"/>
  <c r="F7954" i="1"/>
  <c r="F7974" i="1"/>
  <c r="F7987" i="1"/>
  <c r="F8015" i="1"/>
  <c r="F8070" i="1"/>
  <c r="F8105" i="1"/>
  <c r="F8127" i="1"/>
  <c r="F8140" i="1"/>
  <c r="F8160" i="1"/>
  <c r="F8176" i="1"/>
  <c r="F8306" i="1"/>
  <c r="F8325" i="1"/>
  <c r="F8327" i="1"/>
  <c r="F8376" i="1"/>
  <c r="F8392" i="1"/>
  <c r="F8427" i="1"/>
  <c r="F8467" i="1"/>
  <c r="F8471" i="1"/>
  <c r="F8474" i="1"/>
  <c r="F8583" i="1"/>
  <c r="F8620" i="1"/>
  <c r="F8647" i="1"/>
  <c r="F8694" i="1"/>
  <c r="F8788" i="1"/>
  <c r="F8790" i="1"/>
  <c r="F8795" i="1"/>
  <c r="F8818" i="1"/>
  <c r="F8822" i="1"/>
  <c r="F8862" i="1"/>
  <c r="F8984" i="1"/>
  <c r="F9029" i="1"/>
  <c r="F9043" i="1"/>
  <c r="F9088" i="1"/>
  <c r="F9091" i="1"/>
  <c r="F9110" i="1"/>
  <c r="F9137" i="1"/>
  <c r="F9138" i="1"/>
  <c r="F9192" i="1"/>
  <c r="F9252" i="1"/>
  <c r="F9282" i="1"/>
  <c r="F9289" i="1"/>
  <c r="F9291" i="1"/>
  <c r="F9360" i="1"/>
  <c r="F9404" i="1"/>
  <c r="F9419" i="1"/>
  <c r="F9421" i="1"/>
  <c r="F9434" i="1"/>
  <c r="F9441" i="1"/>
  <c r="F9514" i="1"/>
  <c r="F9518" i="1"/>
  <c r="F9546" i="1"/>
  <c r="F9559" i="1"/>
  <c r="F9597" i="1"/>
  <c r="F9608" i="1"/>
  <c r="F9658" i="1"/>
  <c r="F9663" i="1"/>
  <c r="F9678" i="1"/>
  <c r="F9686" i="1"/>
  <c r="F9688" i="1"/>
  <c r="F9693" i="1"/>
  <c r="F9697" i="1"/>
  <c r="F9699" i="1"/>
  <c r="F9742" i="1"/>
  <c r="F9758" i="1"/>
  <c r="F9786" i="1"/>
  <c r="F9833" i="1"/>
  <c r="F9848" i="1"/>
  <c r="F9849" i="1"/>
  <c r="F9865" i="1"/>
  <c r="F9888" i="1"/>
  <c r="F9899" i="1"/>
  <c r="F9924" i="1"/>
  <c r="F9926" i="1"/>
  <c r="F9940" i="1"/>
  <c r="F9944" i="1"/>
  <c r="F9965" i="1"/>
  <c r="F10003" i="1"/>
  <c r="F10160" i="1"/>
  <c r="F10188" i="1"/>
  <c r="F10260" i="1"/>
  <c r="F10408" i="1"/>
  <c r="F10499" i="1"/>
  <c r="F10523" i="1"/>
  <c r="F10531" i="1"/>
  <c r="F10594" i="1"/>
  <c r="F10605" i="1"/>
  <c r="F10646" i="1"/>
  <c r="F10658" i="1"/>
  <c r="F10708" i="1"/>
  <c r="F10720" i="1"/>
  <c r="F10751" i="1"/>
  <c r="F10758" i="1"/>
  <c r="F10761" i="1"/>
  <c r="F10763" i="1"/>
  <c r="F10766" i="1"/>
  <c r="F10770" i="1"/>
  <c r="F10781" i="1"/>
  <c r="F10792" i="1"/>
  <c r="F10794" i="1"/>
  <c r="F10795" i="1"/>
  <c r="F10834" i="1"/>
  <c r="F10855" i="1"/>
  <c r="F10893" i="1"/>
  <c r="F10913" i="1"/>
  <c r="F10936" i="1"/>
  <c r="F10964" i="1"/>
  <c r="F10983" i="1"/>
  <c r="F11048" i="1"/>
  <c r="F11050" i="1"/>
  <c r="F11052" i="1"/>
  <c r="F11153" i="1"/>
  <c r="F11170" i="1"/>
  <c r="F11195" i="1"/>
  <c r="F11198" i="1"/>
  <c r="F11210" i="1"/>
  <c r="F11281" i="1"/>
  <c r="F11360" i="1"/>
  <c r="F11363" i="1"/>
  <c r="F11386" i="1"/>
  <c r="F11418" i="1"/>
  <c r="F11423" i="1"/>
  <c r="F11518" i="1"/>
  <c r="F11633" i="1"/>
  <c r="F11658" i="1"/>
  <c r="F11663" i="1"/>
  <c r="F11723" i="1"/>
  <c r="F11758" i="1"/>
  <c r="F11781" i="1"/>
  <c r="F11808" i="1"/>
  <c r="F11942" i="1"/>
  <c r="F11976" i="1"/>
  <c r="F12012" i="1"/>
  <c r="F12014" i="1"/>
  <c r="F12129" i="1"/>
  <c r="F12135" i="1"/>
  <c r="F12201" i="1"/>
  <c r="F12242" i="1"/>
  <c r="F12285" i="1"/>
  <c r="F12302" i="1"/>
  <c r="F12306" i="1"/>
  <c r="F12323" i="1"/>
  <c r="F12391" i="1"/>
  <c r="F12404" i="1"/>
  <c r="F12421" i="1"/>
  <c r="F12490" i="1"/>
  <c r="F12525" i="1"/>
  <c r="F12530" i="1"/>
  <c r="F12532" i="1"/>
  <c r="F12534" i="1"/>
  <c r="F12539" i="1"/>
  <c r="F12609" i="1"/>
  <c r="F12629" i="1"/>
  <c r="F12676" i="1"/>
  <c r="F12729" i="1"/>
  <c r="F12741" i="1"/>
  <c r="F12744" i="1"/>
  <c r="F12758" i="1"/>
  <c r="F12801" i="1"/>
  <c r="F12954" i="1"/>
  <c r="F13072" i="1"/>
  <c r="F13076" i="1"/>
  <c r="F13087" i="1"/>
  <c r="F13107" i="1"/>
  <c r="F13172" i="1"/>
  <c r="F13191" i="1"/>
  <c r="F13262" i="1"/>
  <c r="F13443" i="1"/>
  <c r="F13467" i="1"/>
  <c r="F13637" i="1"/>
  <c r="F13821" i="1"/>
  <c r="F13824" i="1"/>
  <c r="F13831" i="1"/>
  <c r="F13863" i="1"/>
  <c r="F13922" i="1"/>
  <c r="F13945" i="1"/>
  <c r="F13950" i="1"/>
  <c r="F13956" i="1"/>
  <c r="F14062" i="1"/>
  <c r="F14084" i="1"/>
  <c r="F14178" i="1"/>
  <c r="F14359" i="1"/>
  <c r="F14362" i="1"/>
  <c r="F14437" i="1"/>
  <c r="F14569" i="1"/>
  <c r="F14595" i="1"/>
  <c r="F14606" i="1"/>
  <c r="F14691" i="1"/>
  <c r="F14714" i="1"/>
  <c r="F14721" i="1"/>
  <c r="F14722" i="1"/>
  <c r="F14819" i="1"/>
  <c r="F14913" i="1"/>
  <c r="F14926" i="1"/>
  <c r="F14929" i="1"/>
  <c r="F14932" i="1"/>
  <c r="F14944" i="1"/>
  <c r="F14949" i="1"/>
  <c r="F14988" i="1"/>
  <c r="F14992" i="1"/>
  <c r="F14994" i="1"/>
  <c r="F14999" i="1"/>
  <c r="F15184" i="1"/>
  <c r="F15187" i="1"/>
  <c r="F15436" i="1"/>
  <c r="F15485" i="1"/>
  <c r="F15655" i="1"/>
  <c r="F15659" i="1"/>
  <c r="F15668" i="1"/>
  <c r="F15689" i="1"/>
  <c r="F15696" i="1"/>
  <c r="F15719" i="1"/>
  <c r="F15722" i="1"/>
  <c r="F15808" i="1"/>
  <c r="F15888" i="1"/>
  <c r="F15954" i="1"/>
  <c r="F15963" i="1"/>
</calcChain>
</file>

<file path=xl/sharedStrings.xml><?xml version="1.0" encoding="utf-8"?>
<sst xmlns="http://schemas.openxmlformats.org/spreadsheetml/2006/main" count="179206" uniqueCount="34219">
  <si>
    <t>VANID</t>
  </si>
  <si>
    <t>Last</t>
  </si>
  <si>
    <t>First</t>
  </si>
  <si>
    <t>Mid</t>
  </si>
  <si>
    <t>Suf</t>
  </si>
  <si>
    <t>Home Phone</t>
  </si>
  <si>
    <t>Address</t>
  </si>
  <si>
    <t>City</t>
  </si>
  <si>
    <t>State/Province</t>
  </si>
  <si>
    <t>Zip/Postal</t>
  </si>
  <si>
    <t>Zip4</t>
  </si>
  <si>
    <t>CountryCode</t>
  </si>
  <si>
    <t>mAddress</t>
  </si>
  <si>
    <t>mCity</t>
  </si>
  <si>
    <t>mState/Province</t>
  </si>
  <si>
    <t>mZip/Postal</t>
  </si>
  <si>
    <t>mZip4</t>
  </si>
  <si>
    <t xml:space="preserve">mCountryCode </t>
  </si>
  <si>
    <t>Hardman</t>
  </si>
  <si>
    <t>Allan</t>
  </si>
  <si>
    <t xml:space="preserve">1722 King St </t>
  </si>
  <si>
    <t>Santa Rosa</t>
  </si>
  <si>
    <t>CA</t>
  </si>
  <si>
    <t>US</t>
  </si>
  <si>
    <t>McGoldrick</t>
  </si>
  <si>
    <t>William</t>
  </si>
  <si>
    <t xml:space="preserve">2754 Rangewood Dr NE None </t>
  </si>
  <si>
    <t>Atlanta</t>
  </si>
  <si>
    <t>GA</t>
  </si>
  <si>
    <t>Thompson</t>
  </si>
  <si>
    <t>Susan</t>
  </si>
  <si>
    <t xml:space="preserve">23516 Shannondell Dr </t>
  </si>
  <si>
    <t>Audubon</t>
  </si>
  <si>
    <t>PA</t>
  </si>
  <si>
    <t>Collins</t>
  </si>
  <si>
    <t>Glenda</t>
  </si>
  <si>
    <t xml:space="preserve">7024 Kings Row Apt 3 </t>
  </si>
  <si>
    <t>Austin</t>
  </si>
  <si>
    <t>TX</t>
  </si>
  <si>
    <t>Hagge</t>
  </si>
  <si>
    <t>Janet</t>
  </si>
  <si>
    <t xml:space="preserve">93619 E Blue Bird Ln </t>
  </si>
  <si>
    <t>North Bend</t>
  </si>
  <si>
    <t>OR</t>
  </si>
  <si>
    <t>Wells</t>
  </si>
  <si>
    <t>Jim</t>
  </si>
  <si>
    <t xml:space="preserve">724 SI CENTRALAVE Ste 205A </t>
  </si>
  <si>
    <t>Medford</t>
  </si>
  <si>
    <t>Groh</t>
  </si>
  <si>
    <t>Paul</t>
  </si>
  <si>
    <t xml:space="preserve">6443 Heronwalk Dr </t>
  </si>
  <si>
    <t>Gulf Breeze</t>
  </si>
  <si>
    <t>FL</t>
  </si>
  <si>
    <t>Kellenberger</t>
  </si>
  <si>
    <t>Sue</t>
  </si>
  <si>
    <t xml:space="preserve">933 Lexington Ave </t>
  </si>
  <si>
    <t>Fort Wayne</t>
  </si>
  <si>
    <t>IN</t>
  </si>
  <si>
    <t>Harkness</t>
  </si>
  <si>
    <t>Roger</t>
  </si>
  <si>
    <t xml:space="preserve">5830 NW 32nd St # 73122 </t>
  </si>
  <si>
    <t>Oklahoma City</t>
  </si>
  <si>
    <t>OK</t>
  </si>
  <si>
    <t>Vertel</t>
  </si>
  <si>
    <t>Ana</t>
  </si>
  <si>
    <t xml:space="preserve">1176 Spruce St </t>
  </si>
  <si>
    <t>Berkeley</t>
  </si>
  <si>
    <t>Galterio</t>
  </si>
  <si>
    <t>Judith</t>
  </si>
  <si>
    <t xml:space="preserve">13801 W 67th Ct </t>
  </si>
  <si>
    <t>Arvada</t>
  </si>
  <si>
    <t>CO</t>
  </si>
  <si>
    <t>Fortney</t>
  </si>
  <si>
    <t>Honey</t>
  </si>
  <si>
    <t xml:space="preserve">1023 Mustang Rd </t>
  </si>
  <si>
    <t>Napa</t>
  </si>
  <si>
    <t>Harris</t>
  </si>
  <si>
    <t>Beverly</t>
  </si>
  <si>
    <t xml:space="preserve">357 S Oakhurst Dr Ste 850 </t>
  </si>
  <si>
    <t>Beverly Hills</t>
  </si>
  <si>
    <t>Murray</t>
  </si>
  <si>
    <t>Judy</t>
  </si>
  <si>
    <t xml:space="preserve">5118 Maritime Ln # WA98221 </t>
  </si>
  <si>
    <t>Anacortes</t>
  </si>
  <si>
    <t>WA</t>
  </si>
  <si>
    <t>Lautaro</t>
  </si>
  <si>
    <t>Gabriel</t>
  </si>
  <si>
    <t xml:space="preserve">461 Bellevue Ave Apt 36 </t>
  </si>
  <si>
    <t>Oakland</t>
  </si>
  <si>
    <t>Lampi</t>
  </si>
  <si>
    <t>Michael</t>
  </si>
  <si>
    <t xml:space="preserve">2667 170th Ave SE </t>
  </si>
  <si>
    <t>Bellevue</t>
  </si>
  <si>
    <t>Murphy</t>
  </si>
  <si>
    <t>Cassie A.</t>
  </si>
  <si>
    <t xml:space="preserve">1625 Sandalwood Ln </t>
  </si>
  <si>
    <t>Templeton</t>
  </si>
  <si>
    <t>Detert-Moriarty</t>
  </si>
  <si>
    <t xml:space="preserve">23 S Atwood Ave </t>
  </si>
  <si>
    <t>Janesville</t>
  </si>
  <si>
    <t>WI</t>
  </si>
  <si>
    <t>Whetstine</t>
  </si>
  <si>
    <t>Linda</t>
  </si>
  <si>
    <t xml:space="preserve">13423 Silver Lake Dr </t>
  </si>
  <si>
    <t>Poway</t>
  </si>
  <si>
    <t>Sullivan</t>
  </si>
  <si>
    <t>Joan Paul And Pj</t>
  </si>
  <si>
    <t xml:space="preserve">4946 Sullivan St </t>
  </si>
  <si>
    <t>Ventura</t>
  </si>
  <si>
    <t>Profant</t>
  </si>
  <si>
    <t>Michelle</t>
  </si>
  <si>
    <t xml:space="preserve">268 Big Sur Dr </t>
  </si>
  <si>
    <t>Goleta</t>
  </si>
  <si>
    <t>Usami</t>
  </si>
  <si>
    <t>Chris</t>
  </si>
  <si>
    <t xml:space="preserve">8734 Parsons Blvd </t>
  </si>
  <si>
    <t>Jamaica</t>
  </si>
  <si>
    <t>NY</t>
  </si>
  <si>
    <t>Connolly</t>
  </si>
  <si>
    <t>James</t>
  </si>
  <si>
    <t xml:space="preserve">1286 Glenn Haven Dr </t>
  </si>
  <si>
    <t>Chico</t>
  </si>
  <si>
    <t>Glebs</t>
  </si>
  <si>
    <t>John</t>
  </si>
  <si>
    <t xml:space="preserve">3868 Blow St </t>
  </si>
  <si>
    <t>Saint Louis</t>
  </si>
  <si>
    <t>MO</t>
  </si>
  <si>
    <t>Pomies</t>
  </si>
  <si>
    <t>Jackie</t>
  </si>
  <si>
    <t xml:space="preserve">1271 38th Ave </t>
  </si>
  <si>
    <t>San Francisco</t>
  </si>
  <si>
    <t>Brumann</t>
  </si>
  <si>
    <t>Joseph</t>
  </si>
  <si>
    <t xml:space="preserve">6244 W Barry Ave </t>
  </si>
  <si>
    <t>Chicago</t>
  </si>
  <si>
    <t>IL</t>
  </si>
  <si>
    <t>Koller</t>
  </si>
  <si>
    <t>Gloria</t>
  </si>
  <si>
    <t xml:space="preserve">41766 Sanctuary Ln </t>
  </si>
  <si>
    <t>Canton</t>
  </si>
  <si>
    <t>MI</t>
  </si>
  <si>
    <t>Morris</t>
  </si>
  <si>
    <t xml:space="preserve">13142 Christine Marie Ct </t>
  </si>
  <si>
    <t>Jacksonville</t>
  </si>
  <si>
    <t>Butler</t>
  </si>
  <si>
    <t>Helen</t>
  </si>
  <si>
    <t xml:space="preserve">204 S Carolina Ave </t>
  </si>
  <si>
    <t>Pasadena</t>
  </si>
  <si>
    <t>MD</t>
  </si>
  <si>
    <t>Michalos</t>
  </si>
  <si>
    <t>Effie</t>
  </si>
  <si>
    <t xml:space="preserve">817 Sena Dr </t>
  </si>
  <si>
    <t>Metairie</t>
  </si>
  <si>
    <t>LA</t>
  </si>
  <si>
    <t>Diener</t>
  </si>
  <si>
    <t>Donna</t>
  </si>
  <si>
    <t xml:space="preserve">1608 N Altadena Dr </t>
  </si>
  <si>
    <t>Banik</t>
  </si>
  <si>
    <t>Lisa</t>
  </si>
  <si>
    <t xml:space="preserve">16 Cardinal Ln </t>
  </si>
  <si>
    <t>Waterbury</t>
  </si>
  <si>
    <t>CT</t>
  </si>
  <si>
    <t>Burch</t>
  </si>
  <si>
    <t>Lilian</t>
  </si>
  <si>
    <t xml:space="preserve">7111 Woodmont Ave Apt 504 </t>
  </si>
  <si>
    <t>Bethesda</t>
  </si>
  <si>
    <t>Hill</t>
  </si>
  <si>
    <t>Kate</t>
  </si>
  <si>
    <t xml:space="preserve">5470 33rd St NW </t>
  </si>
  <si>
    <t>Washington</t>
  </si>
  <si>
    <t>DC</t>
  </si>
  <si>
    <t>Cheesman</t>
  </si>
  <si>
    <t>Jean</t>
  </si>
  <si>
    <t xml:space="preserve">1111 Garcia Rd </t>
  </si>
  <si>
    <t>Santa Barbara</t>
  </si>
  <si>
    <t>Sherburne</t>
  </si>
  <si>
    <t xml:space="preserve">532 Cottage St </t>
  </si>
  <si>
    <t>Ashland</t>
  </si>
  <si>
    <t>OH</t>
  </si>
  <si>
    <t>Rowland</t>
  </si>
  <si>
    <t>Carol</t>
  </si>
  <si>
    <t xml:space="preserve">8215 O Donovan Rd </t>
  </si>
  <si>
    <t>Creston</t>
  </si>
  <si>
    <t>Shinkle</t>
  </si>
  <si>
    <t>Adaline</t>
  </si>
  <si>
    <t xml:space="preserve">4708 Eastwood Cir </t>
  </si>
  <si>
    <t>Minnetonka</t>
  </si>
  <si>
    <t>MN</t>
  </si>
  <si>
    <t>Perkins</t>
  </si>
  <si>
    <t xml:space="preserve">582 Parker Head Rd </t>
  </si>
  <si>
    <t>Phippsburg</t>
  </si>
  <si>
    <t>ME</t>
  </si>
  <si>
    <t>Lann-Clark</t>
  </si>
  <si>
    <t>Erica</t>
  </si>
  <si>
    <t xml:space="preserve">132 Alturas Way </t>
  </si>
  <si>
    <t>Soquel</t>
  </si>
  <si>
    <t>Noordyk</t>
  </si>
  <si>
    <t xml:space="preserve">4538 Cass St </t>
  </si>
  <si>
    <t>San Diego</t>
  </si>
  <si>
    <t>Taylor</t>
  </si>
  <si>
    <t>Joanna</t>
  </si>
  <si>
    <t xml:space="preserve">601 Hemlock St </t>
  </si>
  <si>
    <t>Buffalo</t>
  </si>
  <si>
    <t>WY</t>
  </si>
  <si>
    <t>Rincon</t>
  </si>
  <si>
    <t>D.</t>
  </si>
  <si>
    <t xml:space="preserve">2978 E Terrace Ave None </t>
  </si>
  <si>
    <t>Fresno</t>
  </si>
  <si>
    <t>Scott</t>
  </si>
  <si>
    <t>Rachel</t>
  </si>
  <si>
    <t xml:space="preserve">421 E Cravath St </t>
  </si>
  <si>
    <t>Whitewater</t>
  </si>
  <si>
    <t>Sowell</t>
  </si>
  <si>
    <t>Lesa</t>
  </si>
  <si>
    <t xml:space="preserve">120 Skyview Dr </t>
  </si>
  <si>
    <t>Boerne</t>
  </si>
  <si>
    <t>Lee</t>
  </si>
  <si>
    <t>Brenda</t>
  </si>
  <si>
    <t xml:space="preserve">16 Quarry Dr </t>
  </si>
  <si>
    <t>Wappingers Falls</t>
  </si>
  <si>
    <t>Sauer</t>
  </si>
  <si>
    <t>Gretchen</t>
  </si>
  <si>
    <t xml:space="preserve">1033 Begier Ave </t>
  </si>
  <si>
    <t>San Leandro</t>
  </si>
  <si>
    <t>Meyers</t>
  </si>
  <si>
    <t>Christine</t>
  </si>
  <si>
    <t xml:space="preserve">4634 NE 31st Ave </t>
  </si>
  <si>
    <t>Portland</t>
  </si>
  <si>
    <t>Mortimer</t>
  </si>
  <si>
    <t>Claire</t>
  </si>
  <si>
    <t xml:space="preserve">PO Box 184 </t>
  </si>
  <si>
    <t>Brooklin</t>
  </si>
  <si>
    <t>Thaler</t>
  </si>
  <si>
    <t>Gary</t>
  </si>
  <si>
    <t xml:space="preserve">84 Bradstreet Ave </t>
  </si>
  <si>
    <t>Revere</t>
  </si>
  <si>
    <t>MA</t>
  </si>
  <si>
    <t>Colton</t>
  </si>
  <si>
    <t>Cammy</t>
  </si>
  <si>
    <t xml:space="preserve">15282 Newton Dr </t>
  </si>
  <si>
    <t>Overland Park</t>
  </si>
  <si>
    <t>KS</t>
  </si>
  <si>
    <t>Coughlin</t>
  </si>
  <si>
    <t>Laureen</t>
  </si>
  <si>
    <t xml:space="preserve">8566 Usher Rd </t>
  </si>
  <si>
    <t>Olmsted Twp</t>
  </si>
  <si>
    <t>Cierech</t>
  </si>
  <si>
    <t>Thomas</t>
  </si>
  <si>
    <t xml:space="preserve">58 Alta Vista Dr </t>
  </si>
  <si>
    <t>Ringwood</t>
  </si>
  <si>
    <t>NJ</t>
  </si>
  <si>
    <t>Arthur</t>
  </si>
  <si>
    <t>Cheryl</t>
  </si>
  <si>
    <t xml:space="preserve">160 Hessian Hills Way Apt 1 </t>
  </si>
  <si>
    <t>Charlottesville</t>
  </si>
  <si>
    <t>VA</t>
  </si>
  <si>
    <t>Read</t>
  </si>
  <si>
    <t>Maryellen</t>
  </si>
  <si>
    <t xml:space="preserve">125 SW Collins St </t>
  </si>
  <si>
    <t>Johanson</t>
  </si>
  <si>
    <t xml:space="preserve">50 Stony Brook Rd </t>
  </si>
  <si>
    <t>Hopewell</t>
  </si>
  <si>
    <t>Shelley</t>
  </si>
  <si>
    <t xml:space="preserve">118 E Court St </t>
  </si>
  <si>
    <t>Ithaca</t>
  </si>
  <si>
    <t>Griswold</t>
  </si>
  <si>
    <t>Diana</t>
  </si>
  <si>
    <t xml:space="preserve">70 Timber Hill Ln </t>
  </si>
  <si>
    <t>South Fallsburg</t>
  </si>
  <si>
    <t>Aronoff</t>
  </si>
  <si>
    <t>Nina</t>
  </si>
  <si>
    <t xml:space="preserve">100 Bourne St </t>
  </si>
  <si>
    <t>Jamaica Plain</t>
  </si>
  <si>
    <t>Hiestand</t>
  </si>
  <si>
    <t>Nancy</t>
  </si>
  <si>
    <t xml:space="preserve">526 S Campus Way Davis </t>
  </si>
  <si>
    <t>Davis</t>
  </si>
  <si>
    <t>Marquette</t>
  </si>
  <si>
    <t>Tanya</t>
  </si>
  <si>
    <t xml:space="preserve">149 Forest Glen Rd </t>
  </si>
  <si>
    <t>New Paltz</t>
  </si>
  <si>
    <t>Kelly</t>
  </si>
  <si>
    <t>Jeffrey</t>
  </si>
  <si>
    <t xml:space="preserve">1705 Prince Ct </t>
  </si>
  <si>
    <t>Limerick</t>
  </si>
  <si>
    <t>Coffin</t>
  </si>
  <si>
    <t>David</t>
  </si>
  <si>
    <t xml:space="preserve">1096 Winchuck River Rd </t>
  </si>
  <si>
    <t>Brookings</t>
  </si>
  <si>
    <t>Bell</t>
  </si>
  <si>
    <t>Rick</t>
  </si>
  <si>
    <t xml:space="preserve">317 Gilmore St </t>
  </si>
  <si>
    <t>Folsom</t>
  </si>
  <si>
    <t>Beer</t>
  </si>
  <si>
    <t>Alan</t>
  </si>
  <si>
    <t xml:space="preserve">6781 121st Ave Apt E </t>
  </si>
  <si>
    <t>Largo</t>
  </si>
  <si>
    <t>Maker</t>
  </si>
  <si>
    <t xml:space="preserve">925 Malcolm Ave </t>
  </si>
  <si>
    <t>Los Angeles</t>
  </si>
  <si>
    <t>Krueger</t>
  </si>
  <si>
    <t>Jon</t>
  </si>
  <si>
    <t xml:space="preserve">5843 Seymour Rd </t>
  </si>
  <si>
    <t>Jackson</t>
  </si>
  <si>
    <t>Enser</t>
  </si>
  <si>
    <t>Suzanne</t>
  </si>
  <si>
    <t>Barnard</t>
  </si>
  <si>
    <t>VT</t>
  </si>
  <si>
    <t>Ross</t>
  </si>
  <si>
    <t>Janice</t>
  </si>
  <si>
    <t xml:space="preserve">2124 Charlemagne Ave </t>
  </si>
  <si>
    <t>Long Beach</t>
  </si>
  <si>
    <t>Van Every</t>
  </si>
  <si>
    <t>Kathleen</t>
  </si>
  <si>
    <t xml:space="preserve">8100 San Gabriel Rd </t>
  </si>
  <si>
    <t>Atascadero</t>
  </si>
  <si>
    <t>Milliken</t>
  </si>
  <si>
    <t>Rosalind</t>
  </si>
  <si>
    <t xml:space="preserve">80700 Avenue 38 </t>
  </si>
  <si>
    <t>Indio</t>
  </si>
  <si>
    <t>Peters</t>
  </si>
  <si>
    <t>Priscilla</t>
  </si>
  <si>
    <t xml:space="preserve">1911 El Camino Dr </t>
  </si>
  <si>
    <t>Turlock</t>
  </si>
  <si>
    <t>Newcomer</t>
  </si>
  <si>
    <t xml:space="preserve">705 Hogan Dr </t>
  </si>
  <si>
    <t>Martinsburg</t>
  </si>
  <si>
    <t>WV</t>
  </si>
  <si>
    <t>Reeves</t>
  </si>
  <si>
    <t>Deborah</t>
  </si>
  <si>
    <t xml:space="preserve">341 N 900 W </t>
  </si>
  <si>
    <t>Salt Lake City</t>
  </si>
  <si>
    <t>UT</t>
  </si>
  <si>
    <t>Weiss</t>
  </si>
  <si>
    <t>Jolene</t>
  </si>
  <si>
    <t xml:space="preserve">6 Douglas Ter </t>
  </si>
  <si>
    <t>Annandale</t>
  </si>
  <si>
    <t>Staab</t>
  </si>
  <si>
    <t>Alfred</t>
  </si>
  <si>
    <t xml:space="preserve">3253 N Forest Lakes St </t>
  </si>
  <si>
    <t>Wichita</t>
  </si>
  <si>
    <t>Bowley</t>
  </si>
  <si>
    <t>Kat</t>
  </si>
  <si>
    <t xml:space="preserve">515 E Crossville Rd </t>
  </si>
  <si>
    <t>Roswell</t>
  </si>
  <si>
    <t>Salerno</t>
  </si>
  <si>
    <t xml:space="preserve">11615 W Cross Slope Way </t>
  </si>
  <si>
    <t>Nampa</t>
  </si>
  <si>
    <t>ID</t>
  </si>
  <si>
    <t>Fougere</t>
  </si>
  <si>
    <t>Paula</t>
  </si>
  <si>
    <t xml:space="preserve">15 Gove Rd </t>
  </si>
  <si>
    <t>Seabrook</t>
  </si>
  <si>
    <t>NH</t>
  </si>
  <si>
    <t>Garber</t>
  </si>
  <si>
    <t>Catharine</t>
  </si>
  <si>
    <t xml:space="preserve">4109 Laurel Rd </t>
  </si>
  <si>
    <t>Alexandria</t>
  </si>
  <si>
    <t>Barlow</t>
  </si>
  <si>
    <t xml:space="preserve">1533 Orillia Ct </t>
  </si>
  <si>
    <t>Sunnyvale</t>
  </si>
  <si>
    <t>Weil</t>
  </si>
  <si>
    <t>Carla</t>
  </si>
  <si>
    <t xml:space="preserve">7123 E Pueblo Ave </t>
  </si>
  <si>
    <t>Prescott Valley</t>
  </si>
  <si>
    <t>AZ</t>
  </si>
  <si>
    <t>Csuhta</t>
  </si>
  <si>
    <t>Tom</t>
  </si>
  <si>
    <t xml:space="preserve">2130 NW 53rd St </t>
  </si>
  <si>
    <t>Lincoln</t>
  </si>
  <si>
    <t>NE</t>
  </si>
  <si>
    <t>Damato</t>
  </si>
  <si>
    <t xml:space="preserve">9 Anjou Ct </t>
  </si>
  <si>
    <t>Manchester Township</t>
  </si>
  <si>
    <t>Maclamroc</t>
  </si>
  <si>
    <t xml:space="preserve">1730 Tyler Green Trl SE </t>
  </si>
  <si>
    <t>Smyrna</t>
  </si>
  <si>
    <t>May</t>
  </si>
  <si>
    <t>Paige</t>
  </si>
  <si>
    <t xml:space="preserve">16 Preston Rd </t>
  </si>
  <si>
    <t>Dallas</t>
  </si>
  <si>
    <t>Mower</t>
  </si>
  <si>
    <t>Amy</t>
  </si>
  <si>
    <t>L.</t>
  </si>
  <si>
    <t xml:space="preserve">PO Box 2004 </t>
  </si>
  <si>
    <t>Maple Falls</t>
  </si>
  <si>
    <t>Orlich</t>
  </si>
  <si>
    <t>Sam</t>
  </si>
  <si>
    <t xml:space="preserve">2938 S 15th St </t>
  </si>
  <si>
    <t>Milwaukee</t>
  </si>
  <si>
    <t>Dale</t>
  </si>
  <si>
    <t>Gillian</t>
  </si>
  <si>
    <t xml:space="preserve">2856 Emporia St 80238 </t>
  </si>
  <si>
    <t>Denver</t>
  </si>
  <si>
    <t>Herting</t>
  </si>
  <si>
    <t>Hope</t>
  </si>
  <si>
    <t xml:space="preserve">32 Old Farm Cir </t>
  </si>
  <si>
    <t>Pittsford</t>
  </si>
  <si>
    <t>Dubois</t>
  </si>
  <si>
    <t>Annette</t>
  </si>
  <si>
    <t xml:space="preserve">38 Bockes Rd </t>
  </si>
  <si>
    <t>Hudson</t>
  </si>
  <si>
    <t>Long</t>
  </si>
  <si>
    <t>Mary</t>
  </si>
  <si>
    <t xml:space="preserve">620 S 1st St Apt 111 </t>
  </si>
  <si>
    <t>Warstler</t>
  </si>
  <si>
    <t>Pat</t>
  </si>
  <si>
    <t xml:space="preserve">312 Queen St </t>
  </si>
  <si>
    <t>Goshen</t>
  </si>
  <si>
    <t>Kaggen</t>
  </si>
  <si>
    <t>Marilyn</t>
  </si>
  <si>
    <t xml:space="preserve">1910 Foster Ave </t>
  </si>
  <si>
    <t>Brooklyn</t>
  </si>
  <si>
    <t>Zack</t>
  </si>
  <si>
    <t xml:space="preserve">393 Ridgedale Dr N </t>
  </si>
  <si>
    <t>Worthington</t>
  </si>
  <si>
    <t>Dobson</t>
  </si>
  <si>
    <t>Wilbur</t>
  </si>
  <si>
    <t xml:space="preserve">5316 Archer Dr </t>
  </si>
  <si>
    <t>Fort Worth</t>
  </si>
  <si>
    <t>Prairie</t>
  </si>
  <si>
    <t>Annemarie</t>
  </si>
  <si>
    <t xml:space="preserve">1049 Dearborn Pl </t>
  </si>
  <si>
    <t>Boulder</t>
  </si>
  <si>
    <t>Covello</t>
  </si>
  <si>
    <t xml:space="preserve">7124 Queen St </t>
  </si>
  <si>
    <t>Middleway</t>
  </si>
  <si>
    <t>Baumann</t>
  </si>
  <si>
    <t>Glenn</t>
  </si>
  <si>
    <t xml:space="preserve">77 Aberdeen Rd </t>
  </si>
  <si>
    <t>Smithtown</t>
  </si>
  <si>
    <t>Earhart</t>
  </si>
  <si>
    <t>Anne</t>
  </si>
  <si>
    <t xml:space="preserve">22551 Allview Ter </t>
  </si>
  <si>
    <t>Laguna Beach</t>
  </si>
  <si>
    <t>Mattingly</t>
  </si>
  <si>
    <t>Georgia</t>
  </si>
  <si>
    <t xml:space="preserve">412 Verdant Cir </t>
  </si>
  <si>
    <t>Longmont</t>
  </si>
  <si>
    <t>Keim</t>
  </si>
  <si>
    <t>Steve</t>
  </si>
  <si>
    <t xml:space="preserve">12305 Mount Morris Rd </t>
  </si>
  <si>
    <t>Columbiaville</t>
  </si>
  <si>
    <t>Decristofaro</t>
  </si>
  <si>
    <t xml:space="preserve">37 Lee Ave </t>
  </si>
  <si>
    <t>Asheville</t>
  </si>
  <si>
    <t>NC</t>
  </si>
  <si>
    <t>Mericle-Gray</t>
  </si>
  <si>
    <t>Elissa</t>
  </si>
  <si>
    <t xml:space="preserve">116 Old Sanford Rd </t>
  </si>
  <si>
    <t>Berwick</t>
  </si>
  <si>
    <t>Partridge</t>
  </si>
  <si>
    <t>Ronald</t>
  </si>
  <si>
    <t xml:space="preserve">6490 Twin Circle Ln Unit 3 </t>
  </si>
  <si>
    <t>Simi Valley</t>
  </si>
  <si>
    <t>Liberge</t>
  </si>
  <si>
    <t>Marcel</t>
  </si>
  <si>
    <t xml:space="preserve">11020 N Applegate Rd </t>
  </si>
  <si>
    <t>Grants Pass</t>
  </si>
  <si>
    <t>Jurczewski</t>
  </si>
  <si>
    <t xml:space="preserve">452 Shenstone Rd </t>
  </si>
  <si>
    <t>Riverside</t>
  </si>
  <si>
    <t>Psaras</t>
  </si>
  <si>
    <t xml:space="preserve">12 Woodbine Ln </t>
  </si>
  <si>
    <t>East Moriches</t>
  </si>
  <si>
    <t>Williams</t>
  </si>
  <si>
    <t>Sara</t>
  </si>
  <si>
    <t xml:space="preserve">19143 Victory Blvd Apt 232 </t>
  </si>
  <si>
    <t>Reseda</t>
  </si>
  <si>
    <t>Van Cleef</t>
  </si>
  <si>
    <t xml:space="preserve">27018 N 65th Pl </t>
  </si>
  <si>
    <t>Scottsdale</t>
  </si>
  <si>
    <t>Geraldine</t>
  </si>
  <si>
    <t xml:space="preserve">9845 Huer Huero Rd </t>
  </si>
  <si>
    <t>Thornburg</t>
  </si>
  <si>
    <t>Theresa</t>
  </si>
  <si>
    <t xml:space="preserve">419 Little John Rd </t>
  </si>
  <si>
    <t>Mary Esther</t>
  </si>
  <si>
    <t>Fishman</t>
  </si>
  <si>
    <t>Ted</t>
  </si>
  <si>
    <t xml:space="preserve">790 Villa Teresa Way </t>
  </si>
  <si>
    <t>San Jose</t>
  </si>
  <si>
    <t>Jaranowski</t>
  </si>
  <si>
    <t>Debra</t>
  </si>
  <si>
    <t xml:space="preserve">4008 Hermes Ln </t>
  </si>
  <si>
    <t>Waxhaw</t>
  </si>
  <si>
    <t>Fish</t>
  </si>
  <si>
    <t xml:space="preserve">22 Hop Brook Rd </t>
  </si>
  <si>
    <t>Brookfield</t>
  </si>
  <si>
    <t>Mezeivtch</t>
  </si>
  <si>
    <t>Marlene</t>
  </si>
  <si>
    <t xml:space="preserve">1821 Tillman Dr </t>
  </si>
  <si>
    <t>North Versailles</t>
  </si>
  <si>
    <t>Sklove</t>
  </si>
  <si>
    <t>Brett</t>
  </si>
  <si>
    <t xml:space="preserve">2212 Mari Ln </t>
  </si>
  <si>
    <t>Petaluma</t>
  </si>
  <si>
    <t>Anderson</t>
  </si>
  <si>
    <t>Kathy</t>
  </si>
  <si>
    <t xml:space="preserve">1580 Spyglass Cir </t>
  </si>
  <si>
    <t>Chesterton</t>
  </si>
  <si>
    <t>Colangelo</t>
  </si>
  <si>
    <t>Annapoorne</t>
  </si>
  <si>
    <t xml:space="preserve">7651 Scatchet Head Rd </t>
  </si>
  <si>
    <t>Clinton</t>
  </si>
  <si>
    <t>Marcia</t>
  </si>
  <si>
    <t xml:space="preserve">6675 Old Ridge Rd </t>
  </si>
  <si>
    <t>Fairview</t>
  </si>
  <si>
    <t>Sackett</t>
  </si>
  <si>
    <t>Rob</t>
  </si>
  <si>
    <t xml:space="preserve">8720 Perry Hwy </t>
  </si>
  <si>
    <t>Erie</t>
  </si>
  <si>
    <t>Golan</t>
  </si>
  <si>
    <t>Fred</t>
  </si>
  <si>
    <t xml:space="preserve">2125 Patricia Ave </t>
  </si>
  <si>
    <t>Kosich</t>
  </si>
  <si>
    <t>Darria</t>
  </si>
  <si>
    <t xml:space="preserve">2292 Stormy Queen Pl </t>
  </si>
  <si>
    <t>Kosowicz</t>
  </si>
  <si>
    <t>Aleks</t>
  </si>
  <si>
    <t xml:space="preserve">12876 N Balsam Rd </t>
  </si>
  <si>
    <t>Hayward</t>
  </si>
  <si>
    <t>Stephen</t>
  </si>
  <si>
    <t xml:space="preserve">3851 Gaines Ct </t>
  </si>
  <si>
    <t>Dunphy</t>
  </si>
  <si>
    <t xml:space="preserve">45 Broadway Apt 2 </t>
  </si>
  <si>
    <t>Hanover</t>
  </si>
  <si>
    <t>Kilbon</t>
  </si>
  <si>
    <t xml:space="preserve">4575 Keota Pl # NC01052316 </t>
  </si>
  <si>
    <t>Loveland</t>
  </si>
  <si>
    <t>Tessman</t>
  </si>
  <si>
    <t>Jacqueline</t>
  </si>
  <si>
    <t xml:space="preserve">410 Hoover Ave </t>
  </si>
  <si>
    <t>Benton Harbor</t>
  </si>
  <si>
    <t>Matulina</t>
  </si>
  <si>
    <t>Karen</t>
  </si>
  <si>
    <t xml:space="preserve">8130 A1A S # J-7 </t>
  </si>
  <si>
    <t>St Augustine</t>
  </si>
  <si>
    <t>Stettler</t>
  </si>
  <si>
    <t>Lydia</t>
  </si>
  <si>
    <t xml:space="preserve">4403 River Rd </t>
  </si>
  <si>
    <t>Mount Bethel</t>
  </si>
  <si>
    <t>Bisker</t>
  </si>
  <si>
    <t>Edward</t>
  </si>
  <si>
    <t xml:space="preserve">4298 State Road 43 N </t>
  </si>
  <si>
    <t>West Lafayette</t>
  </si>
  <si>
    <t>Barth</t>
  </si>
  <si>
    <t>Don</t>
  </si>
  <si>
    <t xml:space="preserve">802 Sweet Tessa Dr </t>
  </si>
  <si>
    <t>Fastuca</t>
  </si>
  <si>
    <t>Meagan</t>
  </si>
  <si>
    <t xml:space="preserve">1792 Lenox Ave </t>
  </si>
  <si>
    <t>East Meadow</t>
  </si>
  <si>
    <t>Lopez</t>
  </si>
  <si>
    <t>Ann</t>
  </si>
  <si>
    <t xml:space="preserve">5344 Taylor Way </t>
  </si>
  <si>
    <t>Felton</t>
  </si>
  <si>
    <t>Kirk</t>
  </si>
  <si>
    <t>Faith</t>
  </si>
  <si>
    <t xml:space="preserve">740 College Pkwy </t>
  </si>
  <si>
    <t>Rockville</t>
  </si>
  <si>
    <t>Gifford</t>
  </si>
  <si>
    <t>Duane</t>
  </si>
  <si>
    <t xml:space="preserve">29638 Union Ave </t>
  </si>
  <si>
    <t>New Hartford</t>
  </si>
  <si>
    <t>IA</t>
  </si>
  <si>
    <t>Koritz</t>
  </si>
  <si>
    <t>Raleigh</t>
  </si>
  <si>
    <t xml:space="preserve">4505 Nathan Ln N Apt 313 </t>
  </si>
  <si>
    <t>Minneapolis</t>
  </si>
  <si>
    <t>Sablosky</t>
  </si>
  <si>
    <t>Jill</t>
  </si>
  <si>
    <t xml:space="preserve">800 N 2nd St </t>
  </si>
  <si>
    <t>Philadelphia</t>
  </si>
  <si>
    <t>Koda</t>
  </si>
  <si>
    <t>Richard</t>
  </si>
  <si>
    <t xml:space="preserve">42 Casey Ln </t>
  </si>
  <si>
    <t>Ridgefield</t>
  </si>
  <si>
    <t>McMillen</t>
  </si>
  <si>
    <t>Joan</t>
  </si>
  <si>
    <t xml:space="preserve">1820 NW Miller Rd </t>
  </si>
  <si>
    <t>McMullen</t>
  </si>
  <si>
    <t>Gail</t>
  </si>
  <si>
    <t xml:space="preserve">1734 N Kingsley Dr Apt 4 </t>
  </si>
  <si>
    <t>Novak</t>
  </si>
  <si>
    <t>Daniel</t>
  </si>
  <si>
    <t xml:space="preserve">1300 N Lake Shore Dr </t>
  </si>
  <si>
    <t>60610-2169</t>
  </si>
  <si>
    <t>Nieuwendorp</t>
  </si>
  <si>
    <t>Faye</t>
  </si>
  <si>
    <t xml:space="preserve">2521 MacKenzie Rd </t>
  </si>
  <si>
    <t>Bellingham</t>
  </si>
  <si>
    <t>Gillette</t>
  </si>
  <si>
    <t>Mary-Lou</t>
  </si>
  <si>
    <t xml:space="preserve">43131 Washington Cmn </t>
  </si>
  <si>
    <t>Fremont</t>
  </si>
  <si>
    <t>Daily</t>
  </si>
  <si>
    <t>G Allen</t>
  </si>
  <si>
    <t xml:space="preserve">2200 N Commerce St Apt 302 </t>
  </si>
  <si>
    <t>Rapplean</t>
  </si>
  <si>
    <t>Tiffany</t>
  </si>
  <si>
    <t xml:space="preserve">4528 W 110th Cir </t>
  </si>
  <si>
    <t>Westminster</t>
  </si>
  <si>
    <t>Sitnick</t>
  </si>
  <si>
    <t xml:space="preserve">16974 Escalon Dr </t>
  </si>
  <si>
    <t>Encino</t>
  </si>
  <si>
    <t>Wightman</t>
  </si>
  <si>
    <t xml:space="preserve">224 E Floral Ave </t>
  </si>
  <si>
    <t>Arcadia</t>
  </si>
  <si>
    <t>Cabanban</t>
  </si>
  <si>
    <t xml:space="preserve">520 S Sheridan Rd </t>
  </si>
  <si>
    <t>Lakemoor</t>
  </si>
  <si>
    <t>Lamers</t>
  </si>
  <si>
    <t>Steven</t>
  </si>
  <si>
    <t xml:space="preserve">25795 Edgemont Ct </t>
  </si>
  <si>
    <t>San Bernardino</t>
  </si>
  <si>
    <t>Gass</t>
  </si>
  <si>
    <t>Leah</t>
  </si>
  <si>
    <t xml:space="preserve">608 Cedar St </t>
  </si>
  <si>
    <t>Riverton</t>
  </si>
  <si>
    <t>Sherwood</t>
  </si>
  <si>
    <t>Dan</t>
  </si>
  <si>
    <t xml:space="preserve">1719 SE 35th Ave </t>
  </si>
  <si>
    <t>Triassi</t>
  </si>
  <si>
    <t xml:space="preserve">557 N 111th St </t>
  </si>
  <si>
    <t>Mesa</t>
  </si>
  <si>
    <t>Gonzalez</t>
  </si>
  <si>
    <t>Maria</t>
  </si>
  <si>
    <t xml:space="preserve">5117 N East River Rd Unit 1G </t>
  </si>
  <si>
    <t>Puaoi</t>
  </si>
  <si>
    <t xml:space="preserve">9 Josefa Ct </t>
  </si>
  <si>
    <t>Novato</t>
  </si>
  <si>
    <t>Blain</t>
  </si>
  <si>
    <t xml:space="preserve">43447 Calle Carabana </t>
  </si>
  <si>
    <t>Temecula</t>
  </si>
  <si>
    <t>H.</t>
  </si>
  <si>
    <t>C.</t>
  </si>
  <si>
    <t xml:space="preserve">PO Box 82913 </t>
  </si>
  <si>
    <t>Albuquerque</t>
  </si>
  <si>
    <t>NM</t>
  </si>
  <si>
    <t>Chapman</t>
  </si>
  <si>
    <t>Brian</t>
  </si>
  <si>
    <t xml:space="preserve">4838 N Christiana Ave </t>
  </si>
  <si>
    <t>Dingler</t>
  </si>
  <si>
    <t>Diane</t>
  </si>
  <si>
    <t xml:space="preserve">807 Southridge Dr </t>
  </si>
  <si>
    <t>Mount Vernon</t>
  </si>
  <si>
    <t>Laiti</t>
  </si>
  <si>
    <t>Jared</t>
  </si>
  <si>
    <t xml:space="preserve">515 18th St Apt 3 </t>
  </si>
  <si>
    <t>Sacramento</t>
  </si>
  <si>
    <t>Maderer</t>
  </si>
  <si>
    <t xml:space="preserve">300 Riverside Dr </t>
  </si>
  <si>
    <t>New York</t>
  </si>
  <si>
    <t>Miller</t>
  </si>
  <si>
    <t>Cheri</t>
  </si>
  <si>
    <t xml:space="preserve">44 Idlewood Pt </t>
  </si>
  <si>
    <t>Madison Lake</t>
  </si>
  <si>
    <t>Savastqno</t>
  </si>
  <si>
    <t>Kerri</t>
  </si>
  <si>
    <t xml:space="preserve">65 Barber Farm Rd </t>
  </si>
  <si>
    <t>Mapleville</t>
  </si>
  <si>
    <t>RI</t>
  </si>
  <si>
    <t>Bockhold</t>
  </si>
  <si>
    <t>Teresa</t>
  </si>
  <si>
    <t xml:space="preserve">1967 N 1550th Ave </t>
  </si>
  <si>
    <t>Camp Point</t>
  </si>
  <si>
    <t>Kappy</t>
  </si>
  <si>
    <t>Glen</t>
  </si>
  <si>
    <t xml:space="preserve">701 Carlisle Blvd SE </t>
  </si>
  <si>
    <t>Bourassa</t>
  </si>
  <si>
    <t>Ariana</t>
  </si>
  <si>
    <t>North Hampton</t>
  </si>
  <si>
    <t>Kellermann</t>
  </si>
  <si>
    <t>Thomasin</t>
  </si>
  <si>
    <t xml:space="preserve">500 Mendon Rd Unit 111 </t>
  </si>
  <si>
    <t>Cumberland</t>
  </si>
  <si>
    <t>Chiappardi</t>
  </si>
  <si>
    <t xml:space="preserve">123 Guenther Ave </t>
  </si>
  <si>
    <t>Valley Stream</t>
  </si>
  <si>
    <t>Avanti</t>
  </si>
  <si>
    <t xml:space="preserve">1920 E Bell Rd Unit 1135 </t>
  </si>
  <si>
    <t>Phoenix</t>
  </si>
  <si>
    <t>Henning</t>
  </si>
  <si>
    <t xml:space="preserve">2200 Dixon Dr </t>
  </si>
  <si>
    <t>Bloomington</t>
  </si>
  <si>
    <t>Thayer</t>
  </si>
  <si>
    <t xml:space="preserve">171 Crittenden Blvd </t>
  </si>
  <si>
    <t>Rochester</t>
  </si>
  <si>
    <t>Norman</t>
  </si>
  <si>
    <t>Gina</t>
  </si>
  <si>
    <t xml:space="preserve">3436 NE 73rd Ave </t>
  </si>
  <si>
    <t>Rynes</t>
  </si>
  <si>
    <t xml:space="preserve">570 Harlowe Ln </t>
  </si>
  <si>
    <t>Naperville</t>
  </si>
  <si>
    <t>Asseff</t>
  </si>
  <si>
    <t xml:space="preserve">6932 Noble St </t>
  </si>
  <si>
    <t>Colo Spgs</t>
  </si>
  <si>
    <t>Sumiyoshi</t>
  </si>
  <si>
    <t>Jennifer</t>
  </si>
  <si>
    <t xml:space="preserve">3373 Livia Ave </t>
  </si>
  <si>
    <t>North Las Vegas</t>
  </si>
  <si>
    <t>NV</t>
  </si>
  <si>
    <t>Rettinghouse</t>
  </si>
  <si>
    <t xml:space="preserve">1808 Walnut St </t>
  </si>
  <si>
    <t>Alameda</t>
  </si>
  <si>
    <t>Beck</t>
  </si>
  <si>
    <t>Sandy</t>
  </si>
  <si>
    <t xml:space="preserve">2230 Russell Dr </t>
  </si>
  <si>
    <t>Iowa City</t>
  </si>
  <si>
    <t>Nahman</t>
  </si>
  <si>
    <t>Jaime</t>
  </si>
  <si>
    <t xml:space="preserve">21233 Colina Dr </t>
  </si>
  <si>
    <t>Topanga</t>
  </si>
  <si>
    <t>Adani</t>
  </si>
  <si>
    <t>Miranda</t>
  </si>
  <si>
    <t xml:space="preserve">1374 Ocean Ave </t>
  </si>
  <si>
    <t>Stadler</t>
  </si>
  <si>
    <t>Debbie</t>
  </si>
  <si>
    <t xml:space="preserve">6516 Weckerly Dr </t>
  </si>
  <si>
    <t>Whitehouse</t>
  </si>
  <si>
    <t>Denis</t>
  </si>
  <si>
    <t xml:space="preserve">4979 Cactus Pl # 86301 </t>
  </si>
  <si>
    <t>Prescott</t>
  </si>
  <si>
    <t>Hand</t>
  </si>
  <si>
    <t xml:space="preserve">406 Broadway # 139 </t>
  </si>
  <si>
    <t>Santa Monica</t>
  </si>
  <si>
    <t>Bernstein</t>
  </si>
  <si>
    <t>Adam</t>
  </si>
  <si>
    <t xml:space="preserve">222 S Figueroa St Apt 1211 </t>
  </si>
  <si>
    <t>Addeo</t>
  </si>
  <si>
    <t>Alicia</t>
  </si>
  <si>
    <t xml:space="preserve">970 85th Ave N Apt 210 </t>
  </si>
  <si>
    <t>Saint Petersburg</t>
  </si>
  <si>
    <t>Jacobs</t>
  </si>
  <si>
    <t>Genevieve</t>
  </si>
  <si>
    <t xml:space="preserve">1488 Sandbridge Rd </t>
  </si>
  <si>
    <t>Virginia Beach</t>
  </si>
  <si>
    <t>Melinkoff</t>
  </si>
  <si>
    <t>Marc</t>
  </si>
  <si>
    <t xml:space="preserve">4968 Reforma Rd </t>
  </si>
  <si>
    <t>Woodland Hills</t>
  </si>
  <si>
    <t>Esajian</t>
  </si>
  <si>
    <t xml:space="preserve">4500 Allendale Ave </t>
  </si>
  <si>
    <t>Smith</t>
  </si>
  <si>
    <t xml:space="preserve">7305 Reservation Dr </t>
  </si>
  <si>
    <t>Springfield</t>
  </si>
  <si>
    <t>Grover</t>
  </si>
  <si>
    <t>Justin</t>
  </si>
  <si>
    <t xml:space="preserve">1488 W 4980 S </t>
  </si>
  <si>
    <t>Weitz</t>
  </si>
  <si>
    <t xml:space="preserve">2757 Best Ave </t>
  </si>
  <si>
    <t>Renfrew</t>
  </si>
  <si>
    <t xml:space="preserve">234 Riverside Rd </t>
  </si>
  <si>
    <t>Daum</t>
  </si>
  <si>
    <t xml:space="preserve">16 E 96th St Apt 5A </t>
  </si>
  <si>
    <t>Worrell</t>
  </si>
  <si>
    <t xml:space="preserve">9210 Summit Rd </t>
  </si>
  <si>
    <t>Silver Spring</t>
  </si>
  <si>
    <t>Graf</t>
  </si>
  <si>
    <t xml:space="preserve">456 Ruckers Rd </t>
  </si>
  <si>
    <t>Concord</t>
  </si>
  <si>
    <t>Kuhlenberg</t>
  </si>
  <si>
    <t>M</t>
  </si>
  <si>
    <t xml:space="preserve">581 Corey Ln </t>
  </si>
  <si>
    <t>Villa Ridge</t>
  </si>
  <si>
    <t>Pilkington</t>
  </si>
  <si>
    <t xml:space="preserve">2250 N Tabortown St Trlr 55 </t>
  </si>
  <si>
    <t>Terre Haute</t>
  </si>
  <si>
    <t>Harriman</t>
  </si>
  <si>
    <t>Frances</t>
  </si>
  <si>
    <t xml:space="preserve">105 W Wrentham Rd 2 </t>
  </si>
  <si>
    <t>Barragan</t>
  </si>
  <si>
    <t>Marguerite</t>
  </si>
  <si>
    <t xml:space="preserve">209 Bronson St </t>
  </si>
  <si>
    <t>Watsonville</t>
  </si>
  <si>
    <t>Woronowicz</t>
  </si>
  <si>
    <t>Mandi</t>
  </si>
  <si>
    <t xml:space="preserve">4401 Vernon Ave </t>
  </si>
  <si>
    <t>Stearney</t>
  </si>
  <si>
    <t>Fern</t>
  </si>
  <si>
    <t xml:space="preserve">58 Cobb Ln </t>
  </si>
  <si>
    <t>Tarrytown</t>
  </si>
  <si>
    <t>Reich</t>
  </si>
  <si>
    <t xml:space="preserve">1916 Deere Ln </t>
  </si>
  <si>
    <t>Glendale Heights</t>
  </si>
  <si>
    <t>Armstrong</t>
  </si>
  <si>
    <t>Ginger</t>
  </si>
  <si>
    <t xml:space="preserve">217 Monahans Dr </t>
  </si>
  <si>
    <t>Georgetown</t>
  </si>
  <si>
    <t>Knuth</t>
  </si>
  <si>
    <t xml:space="preserve">26 Country Lane Ct </t>
  </si>
  <si>
    <t>Fond Du Lac</t>
  </si>
  <si>
    <t>Klein</t>
  </si>
  <si>
    <t xml:space="preserve">370 N State St Apt 1 </t>
  </si>
  <si>
    <t>Saint Ignace</t>
  </si>
  <si>
    <t>Rodarte</t>
  </si>
  <si>
    <t>Roseann</t>
  </si>
  <si>
    <t xml:space="preserve">230 Harvest Dr </t>
  </si>
  <si>
    <t>Dyer</t>
  </si>
  <si>
    <t>Meyer</t>
  </si>
  <si>
    <t xml:space="preserve">4220 SE Aldercrest Rd </t>
  </si>
  <si>
    <t>Kochert</t>
  </si>
  <si>
    <t>Sarah</t>
  </si>
  <si>
    <t xml:space="preserve">1427 Old Ford Rd </t>
  </si>
  <si>
    <t>New Albany</t>
  </si>
  <si>
    <t>Duncan</t>
  </si>
  <si>
    <t xml:space="preserve">1080 Carnival Ave NW </t>
  </si>
  <si>
    <t>Los Lunas</t>
  </si>
  <si>
    <t>Odell</t>
  </si>
  <si>
    <t>Ken</t>
  </si>
  <si>
    <t xml:space="preserve">6217 Loydhill Ln </t>
  </si>
  <si>
    <t>Foster</t>
  </si>
  <si>
    <t xml:space="preserve">89 Meyer Rd </t>
  </si>
  <si>
    <t>Middletown</t>
  </si>
  <si>
    <t>Staton</t>
  </si>
  <si>
    <t>Janiece</t>
  </si>
  <si>
    <t xml:space="preserve">817 SW 171st Ave </t>
  </si>
  <si>
    <t>Beaverton</t>
  </si>
  <si>
    <t>Zygowicz</t>
  </si>
  <si>
    <t>Karin</t>
  </si>
  <si>
    <t xml:space="preserve">18535 Glen Oak Ave </t>
  </si>
  <si>
    <t>Lansing</t>
  </si>
  <si>
    <t>Nielsen</t>
  </si>
  <si>
    <t xml:space="preserve">PO Box 1185 </t>
  </si>
  <si>
    <t>Granby</t>
  </si>
  <si>
    <t>West</t>
  </si>
  <si>
    <t xml:space="preserve">6203 N 12th Pl </t>
  </si>
  <si>
    <t>Pugh</t>
  </si>
  <si>
    <t>Lindsay</t>
  </si>
  <si>
    <t xml:space="preserve">18432 Oak Ridge Ln </t>
  </si>
  <si>
    <t>Disputanta</t>
  </si>
  <si>
    <t>Felsenthal</t>
  </si>
  <si>
    <t xml:space="preserve">324 S Bedford Dr </t>
  </si>
  <si>
    <t>Krausz</t>
  </si>
  <si>
    <t xml:space="preserve">6108 Trackless Sea Ct </t>
  </si>
  <si>
    <t>Clarksville</t>
  </si>
  <si>
    <t>Lipkos</t>
  </si>
  <si>
    <t>Ellen</t>
  </si>
  <si>
    <t xml:space="preserve">2560 Eton St </t>
  </si>
  <si>
    <t>New Orleans</t>
  </si>
  <si>
    <t>Bankey</t>
  </si>
  <si>
    <t>Tammy</t>
  </si>
  <si>
    <t xml:space="preserve">1140 Sandpiper Ln </t>
  </si>
  <si>
    <t>Bowling Green</t>
  </si>
  <si>
    <t>Tilds</t>
  </si>
  <si>
    <t>Laura</t>
  </si>
  <si>
    <t xml:space="preserve">6716 Vachon Dr </t>
  </si>
  <si>
    <t>Bloomfield Hills</t>
  </si>
  <si>
    <t>Shafer-Repass</t>
  </si>
  <si>
    <t>Daphne</t>
  </si>
  <si>
    <t xml:space="preserve">22723 Smith St </t>
  </si>
  <si>
    <t>California</t>
  </si>
  <si>
    <t>Sailer</t>
  </si>
  <si>
    <t xml:space="preserve">1240 W Sims Way </t>
  </si>
  <si>
    <t>Port Townsend</t>
  </si>
  <si>
    <t>Booher</t>
  </si>
  <si>
    <t xml:space="preserve">4387 Roswell Dr </t>
  </si>
  <si>
    <t>Martinez</t>
  </si>
  <si>
    <t>Guskin</t>
  </si>
  <si>
    <t xml:space="preserve">49 Bryan Ave </t>
  </si>
  <si>
    <t>Malvern</t>
  </si>
  <si>
    <t>Kulp</t>
  </si>
  <si>
    <t xml:space="preserve">110 Dallas St SE </t>
  </si>
  <si>
    <t>Hattaway</t>
  </si>
  <si>
    <t>Catherine</t>
  </si>
  <si>
    <t xml:space="preserve">7257 E Manzanita Dr </t>
  </si>
  <si>
    <t>Raymond</t>
  </si>
  <si>
    <t xml:space="preserve">19700 SW 118th Pl </t>
  </si>
  <si>
    <t>Miami</t>
  </si>
  <si>
    <t>Dudley</t>
  </si>
  <si>
    <t xml:space="preserve">5509 Fort Pierce Blvd </t>
  </si>
  <si>
    <t>Fort Pierce</t>
  </si>
  <si>
    <t>Metz</t>
  </si>
  <si>
    <t>Emily</t>
  </si>
  <si>
    <t xml:space="preserve">137 Crescent Hill Rd </t>
  </si>
  <si>
    <t>Banerjee</t>
  </si>
  <si>
    <t>Laxmi</t>
  </si>
  <si>
    <t xml:space="preserve">877 Bay Ridge Ave Apt 1F </t>
  </si>
  <si>
    <t>Persad</t>
  </si>
  <si>
    <t>Ryan</t>
  </si>
  <si>
    <t xml:space="preserve">8915 Parsons Blvd Apt 7J </t>
  </si>
  <si>
    <t>Wong</t>
  </si>
  <si>
    <t>Samuel</t>
  </si>
  <si>
    <t xml:space="preserve">1807 Berglund Dr </t>
  </si>
  <si>
    <t>West Covina</t>
  </si>
  <si>
    <t>Louton</t>
  </si>
  <si>
    <t xml:space="preserve">207 Picketts Ln </t>
  </si>
  <si>
    <t>Olga</t>
  </si>
  <si>
    <t>Massey</t>
  </si>
  <si>
    <t>Carolyn</t>
  </si>
  <si>
    <t xml:space="preserve">632 1/2 N 6th St # 632 </t>
  </si>
  <si>
    <t>Quincy</t>
  </si>
  <si>
    <t>Wang</t>
  </si>
  <si>
    <t>Rebecca</t>
  </si>
  <si>
    <t xml:space="preserve">58 E Bay State St </t>
  </si>
  <si>
    <t>Alhambra</t>
  </si>
  <si>
    <t>Sons</t>
  </si>
  <si>
    <t xml:space="preserve">15464 W 147th St </t>
  </si>
  <si>
    <t>Homer Glen</t>
  </si>
  <si>
    <t>Boggsmoura</t>
  </si>
  <si>
    <t xml:space="preserve">3030 Rawson St </t>
  </si>
  <si>
    <t>Petrie</t>
  </si>
  <si>
    <t>Shari</t>
  </si>
  <si>
    <t xml:space="preserve">5407 Cold Springs Dr </t>
  </si>
  <si>
    <t>Foresthill</t>
  </si>
  <si>
    <t>Sklar</t>
  </si>
  <si>
    <t>Dana</t>
  </si>
  <si>
    <t xml:space="preserve">203 Covered Bridge Rd </t>
  </si>
  <si>
    <t>Cherry Hill</t>
  </si>
  <si>
    <t>Quick</t>
  </si>
  <si>
    <t>Holly</t>
  </si>
  <si>
    <t xml:space="preserve">1117 Woodvale Dr </t>
  </si>
  <si>
    <t>Nashville</t>
  </si>
  <si>
    <t>TN</t>
  </si>
  <si>
    <t>Mobley</t>
  </si>
  <si>
    <t>Henry</t>
  </si>
  <si>
    <t xml:space="preserve">5325 Alishire Ct </t>
  </si>
  <si>
    <t>Norris</t>
  </si>
  <si>
    <t>Chrysta</t>
  </si>
  <si>
    <t xml:space="preserve">404 N Liberty St </t>
  </si>
  <si>
    <t>Jerseyville</t>
  </si>
  <si>
    <t>Shimasaki</t>
  </si>
  <si>
    <t xml:space="preserve">615 Long Rd </t>
  </si>
  <si>
    <t>Glenview</t>
  </si>
  <si>
    <t>Parsons</t>
  </si>
  <si>
    <t xml:space="preserve">18205 County Road 542 </t>
  </si>
  <si>
    <t>Aguilar</t>
  </si>
  <si>
    <t>Stone</t>
  </si>
  <si>
    <t>Robyn</t>
  </si>
  <si>
    <t xml:space="preserve">104 Almond Hill Ct </t>
  </si>
  <si>
    <t>Los Gatos</t>
  </si>
  <si>
    <t>Pesch</t>
  </si>
  <si>
    <t>Roland</t>
  </si>
  <si>
    <t xml:space="preserve">PO Box 142 </t>
  </si>
  <si>
    <t>The Sea Ranch</t>
  </si>
  <si>
    <t>Soddy</t>
  </si>
  <si>
    <t xml:space="preserve">15442 Annabelle Pl </t>
  </si>
  <si>
    <t>Leo</t>
  </si>
  <si>
    <t>Flashner</t>
  </si>
  <si>
    <t>Caren</t>
  </si>
  <si>
    <t xml:space="preserve">3 Emily Akers Apt 210 </t>
  </si>
  <si>
    <t>Washingtonville</t>
  </si>
  <si>
    <t>Blair</t>
  </si>
  <si>
    <t xml:space="preserve">115 Montgomery St </t>
  </si>
  <si>
    <t>Steilacoom</t>
  </si>
  <si>
    <t>Bescript</t>
  </si>
  <si>
    <t xml:space="preserve">800 Trenton Rd Apt 465 </t>
  </si>
  <si>
    <t>Langhorne</t>
  </si>
  <si>
    <t>Feuchter</t>
  </si>
  <si>
    <t>Robert H.</t>
  </si>
  <si>
    <t xml:space="preserve">17520 Wexford Ter Apt 11H </t>
  </si>
  <si>
    <t>Prushinski</t>
  </si>
  <si>
    <t xml:space="preserve">122 Falcon Dr </t>
  </si>
  <si>
    <t>Larksville</t>
  </si>
  <si>
    <t>Seff</t>
  </si>
  <si>
    <t>Joshua</t>
  </si>
  <si>
    <t xml:space="preserve">9508 George Washington Dr </t>
  </si>
  <si>
    <t>McKinney</t>
  </si>
  <si>
    <t>Joanne</t>
  </si>
  <si>
    <t xml:space="preserve">158 Manor Ln E </t>
  </si>
  <si>
    <t>Lehighton</t>
  </si>
  <si>
    <t>Baratta</t>
  </si>
  <si>
    <t xml:space="preserve">23711 Edmore Ave </t>
  </si>
  <si>
    <t>Bellerose</t>
  </si>
  <si>
    <t>Ridgway</t>
  </si>
  <si>
    <t>Nelson</t>
  </si>
  <si>
    <t xml:space="preserve">1602 Silkwood Dr </t>
  </si>
  <si>
    <t>Modesto</t>
  </si>
  <si>
    <t>Targo</t>
  </si>
  <si>
    <t>Simone</t>
  </si>
  <si>
    <t xml:space="preserve">1039 N Northwest Hwy </t>
  </si>
  <si>
    <t>Park Ridge</t>
  </si>
  <si>
    <t>Paruchuri</t>
  </si>
  <si>
    <t>Rama K</t>
  </si>
  <si>
    <t xml:space="preserve">2245 Glencoe Hills Dr Apt 8 </t>
  </si>
  <si>
    <t>Ann Arbor</t>
  </si>
  <si>
    <t>Van Alyne</t>
  </si>
  <si>
    <t xml:space="preserve">6749 Whitestone St </t>
  </si>
  <si>
    <t>West Richland</t>
  </si>
  <si>
    <t>Pearson</t>
  </si>
  <si>
    <t>Tia</t>
  </si>
  <si>
    <t xml:space="preserve">PO Box 861697 </t>
  </si>
  <si>
    <t>Wahiawa</t>
  </si>
  <si>
    <t>HI</t>
  </si>
  <si>
    <t>Spencer</t>
  </si>
  <si>
    <t>D R</t>
  </si>
  <si>
    <t xml:space="preserve">3005 Thorn St Apt 8 </t>
  </si>
  <si>
    <t>Reece</t>
  </si>
  <si>
    <t>Thom</t>
  </si>
  <si>
    <t xml:space="preserve">403 E 2nd St </t>
  </si>
  <si>
    <t>Appleton City</t>
  </si>
  <si>
    <t>Rives-Denight</t>
  </si>
  <si>
    <t>Susan G</t>
  </si>
  <si>
    <t xml:space="preserve">1505 SW 18th St </t>
  </si>
  <si>
    <t>Pendleton</t>
  </si>
  <si>
    <t>Copeland</t>
  </si>
  <si>
    <t>Jeanette</t>
  </si>
  <si>
    <t xml:space="preserve">1832 Montana St </t>
  </si>
  <si>
    <t>Missoula</t>
  </si>
  <si>
    <t>MT</t>
  </si>
  <si>
    <t>Simpson</t>
  </si>
  <si>
    <t>Edith</t>
  </si>
  <si>
    <t xml:space="preserve">15 Springdale Rd </t>
  </si>
  <si>
    <t>Kennedy</t>
  </si>
  <si>
    <t xml:space="preserve">100 Newbury Ct Apt 5521 </t>
  </si>
  <si>
    <t>Gx</t>
  </si>
  <si>
    <t>Perry</t>
  </si>
  <si>
    <t xml:space="preserve">14312 Franklin Ave </t>
  </si>
  <si>
    <t>Tustin</t>
  </si>
  <si>
    <t>Mendoza</t>
  </si>
  <si>
    <t>Red</t>
  </si>
  <si>
    <t xml:space="preserve">798 NE 123rd St </t>
  </si>
  <si>
    <t>North Miami</t>
  </si>
  <si>
    <t>Schnell</t>
  </si>
  <si>
    <t>Adrian</t>
  </si>
  <si>
    <t xml:space="preserve">415 Main St </t>
  </si>
  <si>
    <t>Thorn</t>
  </si>
  <si>
    <t xml:space="preserve">710 18th Ave W </t>
  </si>
  <si>
    <t>Kirkland</t>
  </si>
  <si>
    <t>Vachula</t>
  </si>
  <si>
    <t xml:space="preserve">48 Gill Ln Apt 2A </t>
  </si>
  <si>
    <t>Iselin</t>
  </si>
  <si>
    <t>Cebic</t>
  </si>
  <si>
    <t>Danijela</t>
  </si>
  <si>
    <t xml:space="preserve">117 S Cook St </t>
  </si>
  <si>
    <t>Barrington</t>
  </si>
  <si>
    <t>Ron</t>
  </si>
  <si>
    <t xml:space="preserve">8804 McKinley Dr </t>
  </si>
  <si>
    <t>Follingstad</t>
  </si>
  <si>
    <t>Marianne</t>
  </si>
  <si>
    <t xml:space="preserve">1622 Gruenther Ave </t>
  </si>
  <si>
    <t>Steck</t>
  </si>
  <si>
    <t xml:space="preserve">388 Shepard Ln </t>
  </si>
  <si>
    <t>Bishop</t>
  </si>
  <si>
    <t>Latiker</t>
  </si>
  <si>
    <t>Mark</t>
  </si>
  <si>
    <t xml:space="preserve">3530 E Tesch Ave Apt 4 </t>
  </si>
  <si>
    <t>Saint Francis</t>
  </si>
  <si>
    <t>Sheldon</t>
  </si>
  <si>
    <t xml:space="preserve">416 Foxwood Cir </t>
  </si>
  <si>
    <t>Denton</t>
  </si>
  <si>
    <t>Witkoski</t>
  </si>
  <si>
    <t>Stephanie</t>
  </si>
  <si>
    <t xml:space="preserve">2171 SW 90th Ave Unit A </t>
  </si>
  <si>
    <t>Davie</t>
  </si>
  <si>
    <t>Jednak</t>
  </si>
  <si>
    <t xml:space="preserve">209 Ginseng Ln </t>
  </si>
  <si>
    <t>Hendersonville</t>
  </si>
  <si>
    <t>Russo</t>
  </si>
  <si>
    <t>Cathy</t>
  </si>
  <si>
    <t xml:space="preserve">709 Pomona Ave </t>
  </si>
  <si>
    <t>Albany</t>
  </si>
  <si>
    <t>Hillman</t>
  </si>
  <si>
    <t>Tami</t>
  </si>
  <si>
    <t xml:space="preserve">137 Oak Ave </t>
  </si>
  <si>
    <t>Cocoa Beach</t>
  </si>
  <si>
    <t>Burke</t>
  </si>
  <si>
    <t>Rod</t>
  </si>
  <si>
    <t xml:space="preserve">1601 Gathe Dr </t>
  </si>
  <si>
    <t>San Luis Obispo</t>
  </si>
  <si>
    <t>Ruditis</t>
  </si>
  <si>
    <t>Jana</t>
  </si>
  <si>
    <t xml:space="preserve">4621 Windsor Ln </t>
  </si>
  <si>
    <t>Parra</t>
  </si>
  <si>
    <t>Dolores</t>
  </si>
  <si>
    <t xml:space="preserve">3016 Banyan Hill Ln </t>
  </si>
  <si>
    <t>Land O Lakes</t>
  </si>
  <si>
    <t>Westreich</t>
  </si>
  <si>
    <t>Ruth</t>
  </si>
  <si>
    <t xml:space="preserve">PO Box 3602 </t>
  </si>
  <si>
    <t>Rancho Santa Fe</t>
  </si>
  <si>
    <t>Vanbuskirk</t>
  </si>
  <si>
    <t xml:space="preserve">44 New Zealand Rd Apt 12 </t>
  </si>
  <si>
    <t>Kameon</t>
  </si>
  <si>
    <t>Kitty</t>
  </si>
  <si>
    <t xml:space="preserve">5920 College Ave Apt 8 </t>
  </si>
  <si>
    <t>Mourant</t>
  </si>
  <si>
    <t>Wanda</t>
  </si>
  <si>
    <t xml:space="preserve">37 William J Hts </t>
  </si>
  <si>
    <t>Framingham</t>
  </si>
  <si>
    <t>Loewer</t>
  </si>
  <si>
    <t>Vera</t>
  </si>
  <si>
    <t xml:space="preserve">636 Montezuma Dr </t>
  </si>
  <si>
    <t>Pacifica</t>
  </si>
  <si>
    <t>Fremaux</t>
  </si>
  <si>
    <t>Charlotte</t>
  </si>
  <si>
    <t xml:space="preserve">175 Fern Dr </t>
  </si>
  <si>
    <t>Harpers Ferry</t>
  </si>
  <si>
    <t>Waters</t>
  </si>
  <si>
    <t xml:space="preserve">340 N Star Ln </t>
  </si>
  <si>
    <t>Sedona</t>
  </si>
  <si>
    <t>Carpenter</t>
  </si>
  <si>
    <t xml:space="preserve">3917 Madrone Ave </t>
  </si>
  <si>
    <t>Falcone</t>
  </si>
  <si>
    <t xml:space="preserve">1907 Sils Ave </t>
  </si>
  <si>
    <t>Louisville</t>
  </si>
  <si>
    <t>KY</t>
  </si>
  <si>
    <t>Coots</t>
  </si>
  <si>
    <t xml:space="preserve">7108 E Stearns St </t>
  </si>
  <si>
    <t>Buckley</t>
  </si>
  <si>
    <t xml:space="preserve">78 Sycamore St </t>
  </si>
  <si>
    <t>Andujar</t>
  </si>
  <si>
    <t>Ivette</t>
  </si>
  <si>
    <t xml:space="preserve">1934 Dr Martin L King Jr Blvd </t>
  </si>
  <si>
    <t>Bronx</t>
  </si>
  <si>
    <t>McMath</t>
  </si>
  <si>
    <t>Cynthia</t>
  </si>
  <si>
    <t xml:space="preserve">12350 Av Way </t>
  </si>
  <si>
    <t>Boonville</t>
  </si>
  <si>
    <t>Wynne</t>
  </si>
  <si>
    <t>Judson</t>
  </si>
  <si>
    <t xml:space="preserve">661 Kiowa </t>
  </si>
  <si>
    <t>Flagstaff</t>
  </si>
  <si>
    <t>Fausey</t>
  </si>
  <si>
    <t xml:space="preserve">224 E Hillsdale St </t>
  </si>
  <si>
    <t>Maier</t>
  </si>
  <si>
    <t>Greg</t>
  </si>
  <si>
    <t xml:space="preserve">3769 Bamboo Ct </t>
  </si>
  <si>
    <t>Herbig</t>
  </si>
  <si>
    <t>Larry</t>
  </si>
  <si>
    <t xml:space="preserve">1103 SW Arborfair Dr </t>
  </si>
  <si>
    <t>Lees Summit</t>
  </si>
  <si>
    <t>Furman</t>
  </si>
  <si>
    <t>George</t>
  </si>
  <si>
    <t xml:space="preserve">2574 Litchfield Dr </t>
  </si>
  <si>
    <t>Waterford</t>
  </si>
  <si>
    <t>Chill</t>
  </si>
  <si>
    <t>Deborah Lee</t>
  </si>
  <si>
    <t xml:space="preserve">34480 County Line Rd 34480 County Line Rd 3448 Rd </t>
  </si>
  <si>
    <t>Yucaipa</t>
  </si>
  <si>
    <t>Schmiesing</t>
  </si>
  <si>
    <t xml:space="preserve">24075 Leatherwood Rd </t>
  </si>
  <si>
    <t>Quaker City</t>
  </si>
  <si>
    <t>Carter</t>
  </si>
  <si>
    <t>Ashley</t>
  </si>
  <si>
    <t xml:space="preserve">116 Tom Stamper Rd </t>
  </si>
  <si>
    <t>Frenchburg</t>
  </si>
  <si>
    <t xml:space="preserve">4180 San Juan Dr </t>
  </si>
  <si>
    <t>Pittsburg</t>
  </si>
  <si>
    <t>Wahlstrom</t>
  </si>
  <si>
    <t>Alexandra</t>
  </si>
  <si>
    <t xml:space="preserve">505 Ridgefield Cir # C </t>
  </si>
  <si>
    <t>01510-1443</t>
  </si>
  <si>
    <t>Rice</t>
  </si>
  <si>
    <t>Monument Valley</t>
  </si>
  <si>
    <t>Slaten</t>
  </si>
  <si>
    <t>Constance</t>
  </si>
  <si>
    <t xml:space="preserve">9184 E Whipsaw Ln </t>
  </si>
  <si>
    <t>McGaughey</t>
  </si>
  <si>
    <t xml:space="preserve">381 NE Village Squire Avav Unit 2 </t>
  </si>
  <si>
    <t>Gresham</t>
  </si>
  <si>
    <t>Rogler</t>
  </si>
  <si>
    <t>Patricia</t>
  </si>
  <si>
    <t xml:space="preserve">119 County St </t>
  </si>
  <si>
    <t>Rehoboth</t>
  </si>
  <si>
    <t>Newman</t>
  </si>
  <si>
    <t>Virginia</t>
  </si>
  <si>
    <t xml:space="preserve">817 Washington St </t>
  </si>
  <si>
    <t>Tieton</t>
  </si>
  <si>
    <t>Hoffer</t>
  </si>
  <si>
    <t>Julie</t>
  </si>
  <si>
    <t xml:space="preserve">54 Livingston St Apt 10 </t>
  </si>
  <si>
    <t>11201-4814</t>
  </si>
  <si>
    <t>Johnson</t>
  </si>
  <si>
    <t xml:space="preserve">583 Prairie Rose Dr </t>
  </si>
  <si>
    <t>Perrysburg</t>
  </si>
  <si>
    <t>Ziegler</t>
  </si>
  <si>
    <t>Russ</t>
  </si>
  <si>
    <t xml:space="preserve">22 61st St </t>
  </si>
  <si>
    <t>Downers Grove</t>
  </si>
  <si>
    <t>Weaver</t>
  </si>
  <si>
    <t>Wes</t>
  </si>
  <si>
    <t xml:space="preserve">342 Dogwood Knl </t>
  </si>
  <si>
    <t>Boone</t>
  </si>
  <si>
    <t>Bergeron</t>
  </si>
  <si>
    <t>Terry</t>
  </si>
  <si>
    <t xml:space="preserve">5189 Cedar Chase Dr Apt J </t>
  </si>
  <si>
    <t>Spoon</t>
  </si>
  <si>
    <t>Leslie</t>
  </si>
  <si>
    <t xml:space="preserve">1298 Ramona Ave </t>
  </si>
  <si>
    <t>Los Osos</t>
  </si>
  <si>
    <t>Veghte</t>
  </si>
  <si>
    <t xml:space="preserve">PO Box 60279 </t>
  </si>
  <si>
    <t>Viscuso</t>
  </si>
  <si>
    <t xml:space="preserve">352 Scudder Ave </t>
  </si>
  <si>
    <t>Northport</t>
  </si>
  <si>
    <t>McMahon</t>
  </si>
  <si>
    <t xml:space="preserve">320 Rose Ave </t>
  </si>
  <si>
    <t>Sabina</t>
  </si>
  <si>
    <t>Bly</t>
  </si>
  <si>
    <t xml:space="preserve">216 N Geneva St </t>
  </si>
  <si>
    <t xml:space="preserve">75 Prince William Ct </t>
  </si>
  <si>
    <t>Saint Charles</t>
  </si>
  <si>
    <t>Phelan</t>
  </si>
  <si>
    <t xml:space="preserve">9601 Miccosukee Rd Lot 20 </t>
  </si>
  <si>
    <t>Tallahassee</t>
  </si>
  <si>
    <t>Luhan</t>
  </si>
  <si>
    <t>Ernesto</t>
  </si>
  <si>
    <t xml:space="preserve">PO Box 1432 </t>
  </si>
  <si>
    <t>El Prado</t>
  </si>
  <si>
    <t>Jagiello</t>
  </si>
  <si>
    <t xml:space="preserve">91 Wood Pl </t>
  </si>
  <si>
    <t>Bloomingdale</t>
  </si>
  <si>
    <t>White</t>
  </si>
  <si>
    <t>Bruce</t>
  </si>
  <si>
    <t xml:space="preserve">PO Box 66616 </t>
  </si>
  <si>
    <t>Scotts Valley</t>
  </si>
  <si>
    <t>Elizabeth</t>
  </si>
  <si>
    <t xml:space="preserve">900 W Tyler St </t>
  </si>
  <si>
    <t>Dalton</t>
  </si>
  <si>
    <t>Hewins</t>
  </si>
  <si>
    <t>Maureen</t>
  </si>
  <si>
    <t xml:space="preserve">13162 Stonegate Dr Apt 7 </t>
  </si>
  <si>
    <t>Sterling Heights</t>
  </si>
  <si>
    <t>Fergeson</t>
  </si>
  <si>
    <t xml:space="preserve">3330 Midland Dr </t>
  </si>
  <si>
    <t>Ogden</t>
  </si>
  <si>
    <t>Eric</t>
  </si>
  <si>
    <t xml:space="preserve">120 Yorkshire Cir </t>
  </si>
  <si>
    <t>Ewing</t>
  </si>
  <si>
    <t>08628-3251</t>
  </si>
  <si>
    <t>Costolo</t>
  </si>
  <si>
    <t>Elaine</t>
  </si>
  <si>
    <t xml:space="preserve">215 Boley Dr </t>
  </si>
  <si>
    <t>Picayune</t>
  </si>
  <si>
    <t>MS</t>
  </si>
  <si>
    <t>Matusoff</t>
  </si>
  <si>
    <t xml:space="preserve">11903 Caraway Cv </t>
  </si>
  <si>
    <t>San Antonio</t>
  </si>
  <si>
    <t>Carmean Floyd</t>
  </si>
  <si>
    <t>Roxann</t>
  </si>
  <si>
    <t xml:space="preserve">834 W Longhorn Rd </t>
  </si>
  <si>
    <t>Payson</t>
  </si>
  <si>
    <t>Wagner</t>
  </si>
  <si>
    <t>Inge</t>
  </si>
  <si>
    <t xml:space="preserve">335 S Berendo St Apt 205 </t>
  </si>
  <si>
    <t>90020-2020</t>
  </si>
  <si>
    <t>Byrne</t>
  </si>
  <si>
    <t>Charles</t>
  </si>
  <si>
    <t xml:space="preserve">1905 Divisadero St </t>
  </si>
  <si>
    <t>Benjamin</t>
  </si>
  <si>
    <t>Corey</t>
  </si>
  <si>
    <t xml:space="preserve">5241 De Longpre Ave </t>
  </si>
  <si>
    <t>Kripli</t>
  </si>
  <si>
    <t xml:space="preserve">2308 Everest Ave SE </t>
  </si>
  <si>
    <t>Grand Rapids</t>
  </si>
  <si>
    <t>Ganmoryn</t>
  </si>
  <si>
    <t>Croitiene</t>
  </si>
  <si>
    <t xml:space="preserve">6211 SE 24th Ave # NA </t>
  </si>
  <si>
    <t>Ocala</t>
  </si>
  <si>
    <t>Turnstone</t>
  </si>
  <si>
    <t>Ruddy</t>
  </si>
  <si>
    <t xml:space="preserve">627 Lake Ave </t>
  </si>
  <si>
    <t>Lake Worth</t>
  </si>
  <si>
    <t>Starita</t>
  </si>
  <si>
    <t xml:space="preserve">9621 E Calgary Ave </t>
  </si>
  <si>
    <t>Sun Lakes</t>
  </si>
  <si>
    <t>Merkel</t>
  </si>
  <si>
    <t>Karynn</t>
  </si>
  <si>
    <t xml:space="preserve">833 Everding St </t>
  </si>
  <si>
    <t>Eureka</t>
  </si>
  <si>
    <t>Ames</t>
  </si>
  <si>
    <t xml:space="preserve">339 Cloud St </t>
  </si>
  <si>
    <t>Front Royal</t>
  </si>
  <si>
    <t>Reiher</t>
  </si>
  <si>
    <t xml:space="preserve">5800 Wagoneer Ct </t>
  </si>
  <si>
    <t>Fasbender</t>
  </si>
  <si>
    <t>Jenna</t>
  </si>
  <si>
    <t xml:space="preserve">5725 Malcolm Lake Rd </t>
  </si>
  <si>
    <t>Edgerton</t>
  </si>
  <si>
    <t>Pono</t>
  </si>
  <si>
    <t xml:space="preserve">57 Woodlawn Dr </t>
  </si>
  <si>
    <t>Palm Coast</t>
  </si>
  <si>
    <t>Stewart</t>
  </si>
  <si>
    <t xml:space="preserve">414 Dark Forest Dr </t>
  </si>
  <si>
    <t>Chapel Hill</t>
  </si>
  <si>
    <t>Debing</t>
  </si>
  <si>
    <t>Therese</t>
  </si>
  <si>
    <t xml:space="preserve">935 Lighthouse Ave Apt 14 </t>
  </si>
  <si>
    <t>Pacific Grove</t>
  </si>
  <si>
    <t>Przybycien</t>
  </si>
  <si>
    <t xml:space="preserve">62 Kent Shore Dr </t>
  </si>
  <si>
    <t>Carmel</t>
  </si>
  <si>
    <t>Delachartre</t>
  </si>
  <si>
    <t>Eve</t>
  </si>
  <si>
    <t xml:space="preserve">5031 46th St # 2 </t>
  </si>
  <si>
    <t>Woodside</t>
  </si>
  <si>
    <t>Holderbaum</t>
  </si>
  <si>
    <t xml:space="preserve">67041 Beech Rd </t>
  </si>
  <si>
    <t>Wakarusa</t>
  </si>
  <si>
    <t>Wolf</t>
  </si>
  <si>
    <t xml:space="preserve">403 Emeline Ave None </t>
  </si>
  <si>
    <t>Santa Cruz</t>
  </si>
  <si>
    <t>Held</t>
  </si>
  <si>
    <t>Johanna</t>
  </si>
  <si>
    <t xml:space="preserve">400 Breckenridge Ln </t>
  </si>
  <si>
    <t>Friedman</t>
  </si>
  <si>
    <t>Melissa</t>
  </si>
  <si>
    <t xml:space="preserve">106 Ava Ave </t>
  </si>
  <si>
    <t>Somerdale</t>
  </si>
  <si>
    <t>Benita</t>
  </si>
  <si>
    <t xml:space="preserve">2315 Oak St </t>
  </si>
  <si>
    <t>Weissman</t>
  </si>
  <si>
    <t xml:space="preserve">5711 S Flint St </t>
  </si>
  <si>
    <t>Fort Mohave</t>
  </si>
  <si>
    <t>Margaret</t>
  </si>
  <si>
    <t xml:space="preserve">19 Vincent St </t>
  </si>
  <si>
    <t>Binghamton</t>
  </si>
  <si>
    <t>Bonnie</t>
  </si>
  <si>
    <t xml:space="preserve">205 NE 51st Rd </t>
  </si>
  <si>
    <t>Warrensburg</t>
  </si>
  <si>
    <t xml:space="preserve">2701 Broadway Blvd NE Ste A </t>
  </si>
  <si>
    <t>Kupferschmid</t>
  </si>
  <si>
    <t xml:space="preserve">491 1st Ave </t>
  </si>
  <si>
    <t>Bethlehem</t>
  </si>
  <si>
    <t>Schumacher-Jennings</t>
  </si>
  <si>
    <t xml:space="preserve">870 Terra California Dr Apt 6 </t>
  </si>
  <si>
    <t>Walnut Creek</t>
  </si>
  <si>
    <t>Boletchek</t>
  </si>
  <si>
    <t xml:space="preserve">1106 Elbury Dr </t>
  </si>
  <si>
    <t>Apex</t>
  </si>
  <si>
    <t>Chuang</t>
  </si>
  <si>
    <t>Irene</t>
  </si>
  <si>
    <t xml:space="preserve">2326 Webster St </t>
  </si>
  <si>
    <t>Palo Alto</t>
  </si>
  <si>
    <t>Reed</t>
  </si>
  <si>
    <t>Robert</t>
  </si>
  <si>
    <t xml:space="preserve">239 Lower Cliff Dr Apt 9A </t>
  </si>
  <si>
    <t>92651-1870</t>
  </si>
  <si>
    <t>Snyder</t>
  </si>
  <si>
    <t>Andrea</t>
  </si>
  <si>
    <t xml:space="preserve">228 14th Ave SE Apt F </t>
  </si>
  <si>
    <t>Hickory</t>
  </si>
  <si>
    <t>28602-5244</t>
  </si>
  <si>
    <t>Walker</t>
  </si>
  <si>
    <t xml:space="preserve">2903 Prairie Hawk Ln </t>
  </si>
  <si>
    <t>Pueblo</t>
  </si>
  <si>
    <t>81005-4030</t>
  </si>
  <si>
    <t>Walsh</t>
  </si>
  <si>
    <t xml:space="preserve">500 NW Division St Apt 388 </t>
  </si>
  <si>
    <t>Klauer</t>
  </si>
  <si>
    <t>Helmut</t>
  </si>
  <si>
    <t xml:space="preserve">PO Box 2208 </t>
  </si>
  <si>
    <t>Pahoa</t>
  </si>
  <si>
    <t>Friis</t>
  </si>
  <si>
    <t>Rolf</t>
  </si>
  <si>
    <t xml:space="preserve">206 Flanders Ct Apt 2 </t>
  </si>
  <si>
    <t>40218-1645</t>
  </si>
  <si>
    <t>Bloom</t>
  </si>
  <si>
    <t>Katherine</t>
  </si>
  <si>
    <t xml:space="preserve">3020 Avenida Ciruela </t>
  </si>
  <si>
    <t>Carlsbad</t>
  </si>
  <si>
    <t>Totty</t>
  </si>
  <si>
    <t xml:space="preserve">402 Iron Bridge Rd </t>
  </si>
  <si>
    <t>Monroe</t>
  </si>
  <si>
    <t>McVicars</t>
  </si>
  <si>
    <t xml:space="preserve">1700 Rodao Dr </t>
  </si>
  <si>
    <t>River Falls</t>
  </si>
  <si>
    <t>Gableson</t>
  </si>
  <si>
    <t xml:space="preserve">12982 Summerview Dr </t>
  </si>
  <si>
    <t>Huntley</t>
  </si>
  <si>
    <t>Graham-Waldon</t>
  </si>
  <si>
    <t>Martha</t>
  </si>
  <si>
    <t xml:space="preserve">9501 E Zayante Rd </t>
  </si>
  <si>
    <t>Bartl</t>
  </si>
  <si>
    <t xml:space="preserve">276 Grand Blvd </t>
  </si>
  <si>
    <t>Bedford</t>
  </si>
  <si>
    <t>Starling</t>
  </si>
  <si>
    <t xml:space="preserve">3216 Hubbard Rd </t>
  </si>
  <si>
    <t>Mitchell</t>
  </si>
  <si>
    <t xml:space="preserve">17227 Chardonnay Ctchardonnay Ct </t>
  </si>
  <si>
    <t>Cornelius</t>
  </si>
  <si>
    <t>Rolfes</t>
  </si>
  <si>
    <t>Kevin</t>
  </si>
  <si>
    <t xml:space="preserve">14006 N Green Hills Loop Null </t>
  </si>
  <si>
    <t>Leonard</t>
  </si>
  <si>
    <t>Shirley</t>
  </si>
  <si>
    <t xml:space="preserve">4161 SW 95th St </t>
  </si>
  <si>
    <t>Hough</t>
  </si>
  <si>
    <t xml:space="preserve">305 Andrews Rd </t>
  </si>
  <si>
    <t>Red Springs</t>
  </si>
  <si>
    <t>Mary Jo</t>
  </si>
  <si>
    <t xml:space="preserve">319 Thorncliff Rd </t>
  </si>
  <si>
    <t>Jerry</t>
  </si>
  <si>
    <t xml:space="preserve">2211 Legacy Park Loop </t>
  </si>
  <si>
    <t>Tuscaloosa</t>
  </si>
  <si>
    <t>AL</t>
  </si>
  <si>
    <t>Simonin</t>
  </si>
  <si>
    <t xml:space="preserve">143 S 33rd St </t>
  </si>
  <si>
    <t>Belleville</t>
  </si>
  <si>
    <t>Martenson</t>
  </si>
  <si>
    <t xml:space="preserve">85 Franklin St </t>
  </si>
  <si>
    <t>Carraway</t>
  </si>
  <si>
    <t>Coralie</t>
  </si>
  <si>
    <t xml:space="preserve">11401 Pickle Barrel Rd </t>
  </si>
  <si>
    <t>Auburn</t>
  </si>
  <si>
    <t>Doozan</t>
  </si>
  <si>
    <t>Louise</t>
  </si>
  <si>
    <t xml:space="preserve">4158 Pinewood Lake Dr </t>
  </si>
  <si>
    <t>Bakersfield</t>
  </si>
  <si>
    <t xml:space="preserve">8819 Ariel St </t>
  </si>
  <si>
    <t>Houston</t>
  </si>
  <si>
    <t>Malkis</t>
  </si>
  <si>
    <t xml:space="preserve">977 Goodrich Ave Apt 2 </t>
  </si>
  <si>
    <t>Saint Paul</t>
  </si>
  <si>
    <t>Beach</t>
  </si>
  <si>
    <t xml:space="preserve">2021 32nd St </t>
  </si>
  <si>
    <t>Greeley</t>
  </si>
  <si>
    <t>Pierre</t>
  </si>
  <si>
    <t>Nanie</t>
  </si>
  <si>
    <t xml:space="preserve">1501 River Reach Dr Apt 276 </t>
  </si>
  <si>
    <t>Orlando</t>
  </si>
  <si>
    <t>Magzis</t>
  </si>
  <si>
    <t xml:space="preserve">34 Roger Ave </t>
  </si>
  <si>
    <t>Gilbert</t>
  </si>
  <si>
    <t>Jenny</t>
  </si>
  <si>
    <t xml:space="preserve">1601 Glen Echo Rd </t>
  </si>
  <si>
    <t>Tanalski</t>
  </si>
  <si>
    <t>Theo</t>
  </si>
  <si>
    <t xml:space="preserve">12760 Via Cortina </t>
  </si>
  <si>
    <t>Del Mar</t>
  </si>
  <si>
    <t>Alice</t>
  </si>
  <si>
    <t xml:space="preserve">76 Orange Ave </t>
  </si>
  <si>
    <t>Irvington</t>
  </si>
  <si>
    <t>Field</t>
  </si>
  <si>
    <t>Liz</t>
  </si>
  <si>
    <t xml:space="preserve">160 E 84th St Apt 15A </t>
  </si>
  <si>
    <t>Lasky</t>
  </si>
  <si>
    <t>Allison</t>
  </si>
  <si>
    <t xml:space="preserve">2320 Las Casitas </t>
  </si>
  <si>
    <t>Santa Fe</t>
  </si>
  <si>
    <t>Brazil</t>
  </si>
  <si>
    <t xml:space="preserve">10 Hillside Ct </t>
  </si>
  <si>
    <t>Cloverdale</t>
  </si>
  <si>
    <t>Youngblood</t>
  </si>
  <si>
    <t xml:space="preserve">2209 Zach Scott St </t>
  </si>
  <si>
    <t>Tuck</t>
  </si>
  <si>
    <t xml:space="preserve">3521 E 23rd St </t>
  </si>
  <si>
    <t>Tucson</t>
  </si>
  <si>
    <t>Castell</t>
  </si>
  <si>
    <t>Tess</t>
  </si>
  <si>
    <t xml:space="preserve">160 W Lake St </t>
  </si>
  <si>
    <t>Marrs</t>
  </si>
  <si>
    <t>Christopher</t>
  </si>
  <si>
    <t xml:space="preserve">157 Haada Laas Rd </t>
  </si>
  <si>
    <t>Maurer</t>
  </si>
  <si>
    <t xml:space="preserve">538 Ballytore Rd </t>
  </si>
  <si>
    <t>Wynnewood</t>
  </si>
  <si>
    <t>Harrison</t>
  </si>
  <si>
    <t>Randy</t>
  </si>
  <si>
    <t xml:space="preserve">4051 Wagner St </t>
  </si>
  <si>
    <t>Eugene</t>
  </si>
  <si>
    <t>Deal</t>
  </si>
  <si>
    <t>Brandie</t>
  </si>
  <si>
    <t xml:space="preserve">301 225th St SW </t>
  </si>
  <si>
    <t>Bothell</t>
  </si>
  <si>
    <t>Scholl</t>
  </si>
  <si>
    <t xml:space="preserve">514 Prospect Ave 2 </t>
  </si>
  <si>
    <t>Neptune</t>
  </si>
  <si>
    <t>Leigh</t>
  </si>
  <si>
    <t xml:space="preserve">8016 Pine Dr </t>
  </si>
  <si>
    <t>Bengston</t>
  </si>
  <si>
    <t>Lynn</t>
  </si>
  <si>
    <t xml:space="preserve">37 North St </t>
  </si>
  <si>
    <t>Belchertown</t>
  </si>
  <si>
    <t>Gaetano</t>
  </si>
  <si>
    <t>Nick</t>
  </si>
  <si>
    <t xml:space="preserve">430 Ashton Dr </t>
  </si>
  <si>
    <t>Burr</t>
  </si>
  <si>
    <t>Tina</t>
  </si>
  <si>
    <t xml:space="preserve">PO Box 319 </t>
  </si>
  <si>
    <t>Arnal</t>
  </si>
  <si>
    <t xml:space="preserve">2331 Adonis Cir </t>
  </si>
  <si>
    <t>Saint George</t>
  </si>
  <si>
    <t>Doak</t>
  </si>
  <si>
    <t xml:space="preserve">4410 NE 18th Ct </t>
  </si>
  <si>
    <t>Renton</t>
  </si>
  <si>
    <t>Colman</t>
  </si>
  <si>
    <t>Stuart</t>
  </si>
  <si>
    <t xml:space="preserve">10 Live Oak Dr </t>
  </si>
  <si>
    <t>Isle Of Palms</t>
  </si>
  <si>
    <t>SC</t>
  </si>
  <si>
    <t>Ridder</t>
  </si>
  <si>
    <t>Lynette</t>
  </si>
  <si>
    <t xml:space="preserve">4822 Eagle Way </t>
  </si>
  <si>
    <t>Woodard</t>
  </si>
  <si>
    <t>Pam</t>
  </si>
  <si>
    <t xml:space="preserve">12505 E 27th Pl </t>
  </si>
  <si>
    <t>Tulsa</t>
  </si>
  <si>
    <t>Stuckmeyer</t>
  </si>
  <si>
    <t xml:space="preserve">2347 Cavendish Ln </t>
  </si>
  <si>
    <t>Matt</t>
  </si>
  <si>
    <t xml:space="preserve">4347 E Bellevue St </t>
  </si>
  <si>
    <t>Kearse</t>
  </si>
  <si>
    <t xml:space="preserve">2113 Oakcrest Ct </t>
  </si>
  <si>
    <t>Shuford</t>
  </si>
  <si>
    <t xml:space="preserve">116 Pitch Pine Ln </t>
  </si>
  <si>
    <t>Edstedt</t>
  </si>
  <si>
    <t xml:space="preserve">393 Sakari Ln </t>
  </si>
  <si>
    <t>Kelso</t>
  </si>
  <si>
    <t>Boroskin</t>
  </si>
  <si>
    <t>Aaron</t>
  </si>
  <si>
    <t xml:space="preserve">26313 Forest Vista Dr </t>
  </si>
  <si>
    <t>Clarksburg</t>
  </si>
  <si>
    <t>McDonald</t>
  </si>
  <si>
    <t>Pamela</t>
  </si>
  <si>
    <t xml:space="preserve">11246 Parkhaven Way </t>
  </si>
  <si>
    <t>Edmonds</t>
  </si>
  <si>
    <t xml:space="preserve">145 Franklin Parke Ct </t>
  </si>
  <si>
    <t>Christiansburg</t>
  </si>
  <si>
    <t>Ishii-Kiefer</t>
  </si>
  <si>
    <t>Takako</t>
  </si>
  <si>
    <t xml:space="preserve">11 Winter Pl </t>
  </si>
  <si>
    <t>Aberdeen</t>
  </si>
  <si>
    <t>Luck</t>
  </si>
  <si>
    <t xml:space="preserve">3204 NE 27th Ave </t>
  </si>
  <si>
    <t>Buonpane</t>
  </si>
  <si>
    <t xml:space="preserve">4900 Hunt Rd Unit 1421 </t>
  </si>
  <si>
    <t>Blue Ash</t>
  </si>
  <si>
    <t>Elia</t>
  </si>
  <si>
    <t xml:space="preserve">7760 George River Ln </t>
  </si>
  <si>
    <t>Rothrock</t>
  </si>
  <si>
    <t>Leilani</t>
  </si>
  <si>
    <t xml:space="preserve">4421 E Fort Lowell Rd </t>
  </si>
  <si>
    <t>Post</t>
  </si>
  <si>
    <t>Heath</t>
  </si>
  <si>
    <t xml:space="preserve">1323 W Wieland Rd </t>
  </si>
  <si>
    <t>Gibson</t>
  </si>
  <si>
    <t>Nathan</t>
  </si>
  <si>
    <t xml:space="preserve">3033 21st Ave W Unit B </t>
  </si>
  <si>
    <t>Seattle</t>
  </si>
  <si>
    <t>Filakosky</t>
  </si>
  <si>
    <t>Denise</t>
  </si>
  <si>
    <t xml:space="preserve">555 Summit Ave </t>
  </si>
  <si>
    <t>Mill Valley</t>
  </si>
  <si>
    <t>Becker</t>
  </si>
  <si>
    <t xml:space="preserve">14257 Roblar Pl </t>
  </si>
  <si>
    <t>Sherman Oaks</t>
  </si>
  <si>
    <t xml:space="preserve">1839 Mountain View Dr </t>
  </si>
  <si>
    <t>Cody</t>
  </si>
  <si>
    <t>Schwefel</t>
  </si>
  <si>
    <t>Jeff</t>
  </si>
  <si>
    <t xml:space="preserve">64 Allston St </t>
  </si>
  <si>
    <t>Allston</t>
  </si>
  <si>
    <t>Khalsa</t>
  </si>
  <si>
    <t>Mha Atma S</t>
  </si>
  <si>
    <t xml:space="preserve">1536 S Crest Dr </t>
  </si>
  <si>
    <t>Burt</t>
  </si>
  <si>
    <t>Kirsten</t>
  </si>
  <si>
    <t xml:space="preserve">3236 SE 52nd Ave </t>
  </si>
  <si>
    <t>St. James</t>
  </si>
  <si>
    <t xml:space="preserve">11 Georgetown Dr </t>
  </si>
  <si>
    <t>Amherst</t>
  </si>
  <si>
    <t>Evans</t>
  </si>
  <si>
    <t>Peggy</t>
  </si>
  <si>
    <t xml:space="preserve">1615 Dellwood Ave </t>
  </si>
  <si>
    <t>Cookeville</t>
  </si>
  <si>
    <t>Bernard</t>
  </si>
  <si>
    <t xml:space="preserve">56 Mildred St </t>
  </si>
  <si>
    <t>South Portland</t>
  </si>
  <si>
    <t>Montgomery</t>
  </si>
  <si>
    <t xml:space="preserve">124 Lindley Ln </t>
  </si>
  <si>
    <t>Pottstown</t>
  </si>
  <si>
    <t>Lanigan</t>
  </si>
  <si>
    <t xml:space="preserve">13800 Brookdale Ave </t>
  </si>
  <si>
    <t>Brook Park</t>
  </si>
  <si>
    <t>Gleason</t>
  </si>
  <si>
    <t xml:space="preserve">5700 W Grace St True </t>
  </si>
  <si>
    <t>Rivers</t>
  </si>
  <si>
    <t xml:space="preserve">5960 30th Ave S </t>
  </si>
  <si>
    <t>Gulfport</t>
  </si>
  <si>
    <t>Bilokur</t>
  </si>
  <si>
    <t>Emilie</t>
  </si>
  <si>
    <t xml:space="preserve">725 S 2nd Ave </t>
  </si>
  <si>
    <t>J Joanna</t>
  </si>
  <si>
    <t xml:space="preserve">650 Jewell Ave Unit 202 </t>
  </si>
  <si>
    <t>Schatz</t>
  </si>
  <si>
    <t xml:space="preserve">2415 Sunflower Ct Aurora IL60506 </t>
  </si>
  <si>
    <t>Aurora</t>
  </si>
  <si>
    <t>60506-1546</t>
  </si>
  <si>
    <t>Martin</t>
  </si>
  <si>
    <t>Chas</t>
  </si>
  <si>
    <t xml:space="preserve">4331 Southview Way Dr </t>
  </si>
  <si>
    <t>Jenner</t>
  </si>
  <si>
    <t xml:space="preserve">3430 78th St Apt 4H </t>
  </si>
  <si>
    <t>Jackson Heights</t>
  </si>
  <si>
    <t>Naidich</t>
  </si>
  <si>
    <t>Sandra</t>
  </si>
  <si>
    <t xml:space="preserve">603 4th Ave </t>
  </si>
  <si>
    <t>Ingraham</t>
  </si>
  <si>
    <t>E.</t>
  </si>
  <si>
    <t xml:space="preserve">5519 Lindenshire Ln </t>
  </si>
  <si>
    <t xml:space="preserve">5015 15th Ave SE Lacey WA98503 </t>
  </si>
  <si>
    <t>Lacey</t>
  </si>
  <si>
    <t>Hansen</t>
  </si>
  <si>
    <t xml:space="preserve">4240 Dudley St </t>
  </si>
  <si>
    <t>Wheat Ridge</t>
  </si>
  <si>
    <t>Douglas</t>
  </si>
  <si>
    <t xml:space="preserve">4162 Hubert Dr NE </t>
  </si>
  <si>
    <t>Marietta</t>
  </si>
  <si>
    <t>Ramis</t>
  </si>
  <si>
    <t>Anna</t>
  </si>
  <si>
    <t xml:space="preserve">9458 Brett Ln </t>
  </si>
  <si>
    <t>Columbia</t>
  </si>
  <si>
    <t>Andrews</t>
  </si>
  <si>
    <t>Silas</t>
  </si>
  <si>
    <t xml:space="preserve">8954 Golf Links Rd </t>
  </si>
  <si>
    <t>Khalil</t>
  </si>
  <si>
    <t xml:space="preserve">3 Prospect St Apt 2F </t>
  </si>
  <si>
    <t>New Rochelle</t>
  </si>
  <si>
    <t>Osborne</t>
  </si>
  <si>
    <t>Jessie</t>
  </si>
  <si>
    <t xml:space="preserve">3615 Vista Bella Unit 8 </t>
  </si>
  <si>
    <t>Oceanside</t>
  </si>
  <si>
    <t xml:space="preserve">514 Dilley St </t>
  </si>
  <si>
    <t>Jane</t>
  </si>
  <si>
    <t xml:space="preserve">314 Wild Rose Dr </t>
  </si>
  <si>
    <t>Hedgesville</t>
  </si>
  <si>
    <t>Beebe</t>
  </si>
  <si>
    <t xml:space="preserve">2374 S Guthrie Rd </t>
  </si>
  <si>
    <t>Golden Valley</t>
  </si>
  <si>
    <t>Rose</t>
  </si>
  <si>
    <t>Cindy</t>
  </si>
  <si>
    <t xml:space="preserve">10624 S Eastern Ave </t>
  </si>
  <si>
    <t>Henderson</t>
  </si>
  <si>
    <t>Sparks</t>
  </si>
  <si>
    <t xml:space="preserve">111 Altair Dr </t>
  </si>
  <si>
    <t>Livingston</t>
  </si>
  <si>
    <t xml:space="preserve">1000 Purusha Pl Apt 122 </t>
  </si>
  <si>
    <t>Romney</t>
  </si>
  <si>
    <t>Neff</t>
  </si>
  <si>
    <t>Grace</t>
  </si>
  <si>
    <t xml:space="preserve">800 28th Ave SE </t>
  </si>
  <si>
    <t>Lack</t>
  </si>
  <si>
    <t xml:space="preserve">1417 Shawnee Way </t>
  </si>
  <si>
    <t>Salinas</t>
  </si>
  <si>
    <t>Katsouros</t>
  </si>
  <si>
    <t>Tracey</t>
  </si>
  <si>
    <t xml:space="preserve">1322 Harwich Dr </t>
  </si>
  <si>
    <t>Waldorf</t>
  </si>
  <si>
    <t>Mugglestone</t>
  </si>
  <si>
    <t xml:space="preserve">3023 Deakin St </t>
  </si>
  <si>
    <t>Fielder</t>
  </si>
  <si>
    <t xml:space="preserve">2234 Carmel Dr </t>
  </si>
  <si>
    <t>Carrollton</t>
  </si>
  <si>
    <t>Swanson</t>
  </si>
  <si>
    <t>Victoria</t>
  </si>
  <si>
    <t xml:space="preserve">847 Concha Loma Dr </t>
  </si>
  <si>
    <t>Carpinteria</t>
  </si>
  <si>
    <t>Hicks</t>
  </si>
  <si>
    <t xml:space="preserve">2999 E Ocean Blvd Unit 1740 </t>
  </si>
  <si>
    <t>Hardziej</t>
  </si>
  <si>
    <t xml:space="preserve">63 Wellesley Dr </t>
  </si>
  <si>
    <t>Pleasant Ridge</t>
  </si>
  <si>
    <t>Yvonne M</t>
  </si>
  <si>
    <t xml:space="preserve">6206 Hillston Dr </t>
  </si>
  <si>
    <t>Temple</t>
  </si>
  <si>
    <t>Michele</t>
  </si>
  <si>
    <t xml:space="preserve">4226 69th St Null </t>
  </si>
  <si>
    <t>Mazias</t>
  </si>
  <si>
    <t xml:space="preserve">2032 Prentiss Dr Apt 310 </t>
  </si>
  <si>
    <t>Myers</t>
  </si>
  <si>
    <t xml:space="preserve">9075 Playhouse Rd </t>
  </si>
  <si>
    <t>Petersburg</t>
  </si>
  <si>
    <t>Schreiber</t>
  </si>
  <si>
    <t xml:space="preserve">4471 Nottingham Way </t>
  </si>
  <si>
    <t>Trenton</t>
  </si>
  <si>
    <t>Baldwin</t>
  </si>
  <si>
    <t>Keith</t>
  </si>
  <si>
    <t xml:space="preserve">419 Strawberry Ln </t>
  </si>
  <si>
    <t>Alexander</t>
  </si>
  <si>
    <t>Zsanine</t>
  </si>
  <si>
    <t xml:space="preserve">2501 N Glenoaks Blvd Apt B </t>
  </si>
  <si>
    <t>Burbank</t>
  </si>
  <si>
    <t>Ingram</t>
  </si>
  <si>
    <t>Carole</t>
  </si>
  <si>
    <t xml:space="preserve">110 Brentwood Ln </t>
  </si>
  <si>
    <t>South Fulton</t>
  </si>
  <si>
    <t>Tim</t>
  </si>
  <si>
    <t xml:space="preserve">1520 Gough St Apt 505 </t>
  </si>
  <si>
    <t>Bartol</t>
  </si>
  <si>
    <t xml:space="preserve">36 Greeley Hill Rd </t>
  </si>
  <si>
    <t>Palacky</t>
  </si>
  <si>
    <t xml:space="preserve">8005 Bethelen Woods Ln </t>
  </si>
  <si>
    <t>Gray</t>
  </si>
  <si>
    <t xml:space="preserve">7776 Palmyra Dr </t>
  </si>
  <si>
    <t>Fair Oaks</t>
  </si>
  <si>
    <t>Juhlin</t>
  </si>
  <si>
    <t xml:space="preserve">135 Candy Mountain Hts </t>
  </si>
  <si>
    <t>Burgess</t>
  </si>
  <si>
    <t xml:space="preserve">PO Box 87704 </t>
  </si>
  <si>
    <t xml:space="preserve">3501 Monterrey St </t>
  </si>
  <si>
    <t>Corpus Christi</t>
  </si>
  <si>
    <t>Korthase</t>
  </si>
  <si>
    <t xml:space="preserve">1860 Country Club Rd </t>
  </si>
  <si>
    <t>Boyne Falls</t>
  </si>
  <si>
    <t>Royer</t>
  </si>
  <si>
    <t>Allen</t>
  </si>
  <si>
    <t xml:space="preserve">1165 Garfield Ave </t>
  </si>
  <si>
    <t xml:space="preserve">6184 N Fork Rd </t>
  </si>
  <si>
    <t>Deming</t>
  </si>
  <si>
    <t>Berens</t>
  </si>
  <si>
    <t>Monica</t>
  </si>
  <si>
    <t xml:space="preserve">1509 N Altadena Ave </t>
  </si>
  <si>
    <t>Royal Oak</t>
  </si>
  <si>
    <t xml:space="preserve">26 Laurel St </t>
  </si>
  <si>
    <t>Danbury</t>
  </si>
  <si>
    <t>Chryst</t>
  </si>
  <si>
    <t xml:space="preserve">8084 Farm Crossing Cir </t>
  </si>
  <si>
    <t>Powell</t>
  </si>
  <si>
    <t>Sanchez</t>
  </si>
  <si>
    <t xml:space="preserve">89 Dean Rd Apt A </t>
  </si>
  <si>
    <t>Fenenbock</t>
  </si>
  <si>
    <t>Lauren</t>
  </si>
  <si>
    <t xml:space="preserve">519 Mississippi Ave </t>
  </si>
  <si>
    <t>El Paso</t>
  </si>
  <si>
    <t>Stevenson</t>
  </si>
  <si>
    <t xml:space="preserve">864 Scrubgrass Rd </t>
  </si>
  <si>
    <t>Mercer</t>
  </si>
  <si>
    <t>Taiani</t>
  </si>
  <si>
    <t xml:space="preserve">926 Bloomfield Ave 2 </t>
  </si>
  <si>
    <t>Glen Ridge</t>
  </si>
  <si>
    <t>Frank And Mary Jane</t>
  </si>
  <si>
    <t xml:space="preserve">515 N Meyler St </t>
  </si>
  <si>
    <t>San Pedro</t>
  </si>
  <si>
    <t>Lewis</t>
  </si>
  <si>
    <t xml:space="preserve">48 Michener Cir </t>
  </si>
  <si>
    <t>Dawsonville</t>
  </si>
  <si>
    <t xml:space="preserve">96 Barnes St </t>
  </si>
  <si>
    <t>Trammell</t>
  </si>
  <si>
    <t>Terri</t>
  </si>
  <si>
    <t xml:space="preserve">33021 Commodore Ct </t>
  </si>
  <si>
    <t>San Juan Capistrano</t>
  </si>
  <si>
    <t>Tuma</t>
  </si>
  <si>
    <t xml:space="preserve">4020 Larkspur Ln </t>
  </si>
  <si>
    <t>Beers</t>
  </si>
  <si>
    <t>Alex</t>
  </si>
  <si>
    <t xml:space="preserve">20 Kaikai St </t>
  </si>
  <si>
    <t>Wailuku</t>
  </si>
  <si>
    <t>Schaffer</t>
  </si>
  <si>
    <t xml:space="preserve">2530 Kavanagh Rd </t>
  </si>
  <si>
    <t>San Pablo</t>
  </si>
  <si>
    <t>Gallo</t>
  </si>
  <si>
    <t xml:space="preserve">2355 Brommer St Spc 41 </t>
  </si>
  <si>
    <t>Daniels</t>
  </si>
  <si>
    <t>Elliot</t>
  </si>
  <si>
    <t xml:space="preserve">4633 28th Rd S Apt A </t>
  </si>
  <si>
    <t>Arlington</t>
  </si>
  <si>
    <t>Stamos</t>
  </si>
  <si>
    <t xml:space="preserve">13361 Argonne Dr </t>
  </si>
  <si>
    <t>Saratoga</t>
  </si>
  <si>
    <t>Schelbert</t>
  </si>
  <si>
    <t xml:space="preserve">2523 Asbury Ave </t>
  </si>
  <si>
    <t>Evanston</t>
  </si>
  <si>
    <t>Nachazel</t>
  </si>
  <si>
    <t xml:space="preserve">1844 Effie St </t>
  </si>
  <si>
    <t>Harold</t>
  </si>
  <si>
    <t xml:space="preserve">13 Juniper Meadow Rd </t>
  </si>
  <si>
    <t>Washington Depot</t>
  </si>
  <si>
    <t>Monath</t>
  </si>
  <si>
    <t xml:space="preserve">41 S Prospect Ave </t>
  </si>
  <si>
    <t>Patchogue</t>
  </si>
  <si>
    <t>Biale</t>
  </si>
  <si>
    <t xml:space="preserve">7711 Greenridge St SW </t>
  </si>
  <si>
    <t>Olympia</t>
  </si>
  <si>
    <t>Vallejo</t>
  </si>
  <si>
    <t xml:space="preserve">8040 Colonial Dr </t>
  </si>
  <si>
    <t>Stockton</t>
  </si>
  <si>
    <t>Pineda</t>
  </si>
  <si>
    <t>Annalee</t>
  </si>
  <si>
    <t xml:space="preserve">1035 Sutter St Apt 24 </t>
  </si>
  <si>
    <t>Unick</t>
  </si>
  <si>
    <t>Lori</t>
  </si>
  <si>
    <t xml:space="preserve">3660 W Calla Rd </t>
  </si>
  <si>
    <t>Canfield</t>
  </si>
  <si>
    <t>Welles</t>
  </si>
  <si>
    <t xml:space="preserve">705 Craig St Apt B </t>
  </si>
  <si>
    <t>Shawn</t>
  </si>
  <si>
    <t xml:space="preserve">951 Stratford Dr </t>
  </si>
  <si>
    <t>Encinitas</t>
  </si>
  <si>
    <t>Darrow</t>
  </si>
  <si>
    <t xml:space="preserve">8960 Village Ct </t>
  </si>
  <si>
    <t>Olmsted Falls</t>
  </si>
  <si>
    <t>Dow</t>
  </si>
  <si>
    <t>Roxane</t>
  </si>
  <si>
    <t xml:space="preserve">3109 Albatross Cir </t>
  </si>
  <si>
    <t>Las Vegas</t>
  </si>
  <si>
    <t>Decargouet</t>
  </si>
  <si>
    <t>Yves</t>
  </si>
  <si>
    <t xml:space="preserve">6824 Virginia Dr </t>
  </si>
  <si>
    <t>Lucerne</t>
  </si>
  <si>
    <t>Romero</t>
  </si>
  <si>
    <t>Valerie</t>
  </si>
  <si>
    <t xml:space="preserve">1962 E Main St </t>
  </si>
  <si>
    <t>Caswell</t>
  </si>
  <si>
    <t>Nancy M.</t>
  </si>
  <si>
    <t xml:space="preserve">92 S Meadow Rd Unit 1 </t>
  </si>
  <si>
    <t xml:space="preserve">5321 W 72nd St </t>
  </si>
  <si>
    <t>Prairie Village</t>
  </si>
  <si>
    <t>Brown</t>
  </si>
  <si>
    <t>Jason D</t>
  </si>
  <si>
    <t xml:space="preserve">7 Montrose Park Pl </t>
  </si>
  <si>
    <t>Elgin</t>
  </si>
  <si>
    <t>Fischoff</t>
  </si>
  <si>
    <t xml:space="preserve">PO Box 2743 </t>
  </si>
  <si>
    <t>Silver City</t>
  </si>
  <si>
    <t>Brooks</t>
  </si>
  <si>
    <t>Jonica</t>
  </si>
  <si>
    <t xml:space="preserve">3804 23rd St </t>
  </si>
  <si>
    <t>Yerena Jr</t>
  </si>
  <si>
    <t>Julian</t>
  </si>
  <si>
    <t xml:space="preserve">13571 E 3rd St </t>
  </si>
  <si>
    <t>Parlier</t>
  </si>
  <si>
    <t>Winfrey</t>
  </si>
  <si>
    <t>Bobbiejo</t>
  </si>
  <si>
    <t xml:space="preserve">6101 Green Manor Dr </t>
  </si>
  <si>
    <t>Lafleur</t>
  </si>
  <si>
    <t>Rhonda</t>
  </si>
  <si>
    <t xml:space="preserve">1031 V St </t>
  </si>
  <si>
    <t>Terlau</t>
  </si>
  <si>
    <t>Mary Teresa</t>
  </si>
  <si>
    <t xml:space="preserve">2347 Payne St </t>
  </si>
  <si>
    <t>Kerr</t>
  </si>
  <si>
    <t>Tara</t>
  </si>
  <si>
    <t xml:space="preserve">1018 Bold Springs Rd </t>
  </si>
  <si>
    <t>South Boston</t>
  </si>
  <si>
    <t>Hamilton</t>
  </si>
  <si>
    <t>Toni</t>
  </si>
  <si>
    <t xml:space="preserve">8620 Pembroke Ave </t>
  </si>
  <si>
    <t>Detroit</t>
  </si>
  <si>
    <t>Fisher</t>
  </si>
  <si>
    <t>Eilene</t>
  </si>
  <si>
    <t xml:space="preserve">812 5th Ave SE </t>
  </si>
  <si>
    <t>Waseca</t>
  </si>
  <si>
    <t>Wayne</t>
  </si>
  <si>
    <t xml:space="preserve">122 N Juniper St Apt 102 </t>
  </si>
  <si>
    <t>Omak</t>
  </si>
  <si>
    <t>Delisi</t>
  </si>
  <si>
    <t xml:space="preserve">59885 Bates Rd </t>
  </si>
  <si>
    <t>Lenox</t>
  </si>
  <si>
    <t xml:space="preserve">1882 Everglades Dr </t>
  </si>
  <si>
    <t>Navarre</t>
  </si>
  <si>
    <t>Calabrese</t>
  </si>
  <si>
    <t xml:space="preserve">380 Old Waterbury Rd Apt 3 </t>
  </si>
  <si>
    <t>Southbury</t>
  </si>
  <si>
    <t>Aghazarian</t>
  </si>
  <si>
    <t>Alayna</t>
  </si>
  <si>
    <t xml:space="preserve">123 Vista Del Monte </t>
  </si>
  <si>
    <t>Mac Donald</t>
  </si>
  <si>
    <t xml:space="preserve">55 Page St </t>
  </si>
  <si>
    <t>Brownville</t>
  </si>
  <si>
    <t>Schurr</t>
  </si>
  <si>
    <t xml:space="preserve">369 Warren St </t>
  </si>
  <si>
    <t>Valney</t>
  </si>
  <si>
    <t>John  Shirley</t>
  </si>
  <si>
    <t xml:space="preserve">295 Hillcrest Dr </t>
  </si>
  <si>
    <t>Reno</t>
  </si>
  <si>
    <t>Lasahn</t>
  </si>
  <si>
    <t>J</t>
  </si>
  <si>
    <t xml:space="preserve">808 Balra Dr </t>
  </si>
  <si>
    <t>El Cerrito</t>
  </si>
  <si>
    <t xml:space="preserve">2 W 70th St </t>
  </si>
  <si>
    <t>Kansas City</t>
  </si>
  <si>
    <t>Koch</t>
  </si>
  <si>
    <t>Joann</t>
  </si>
  <si>
    <t xml:space="preserve">134 Olenick Rd </t>
  </si>
  <si>
    <t>Lebanon</t>
  </si>
  <si>
    <t>Archer</t>
  </si>
  <si>
    <t xml:space="preserve">3035 22nd St SE </t>
  </si>
  <si>
    <t>Fitzpatrick</t>
  </si>
  <si>
    <t xml:space="preserve">6128 Roxbury Ave </t>
  </si>
  <si>
    <t>Callahan</t>
  </si>
  <si>
    <t>Sharon</t>
  </si>
  <si>
    <t xml:space="preserve">103 Schmitz Ter </t>
  </si>
  <si>
    <t>Mt Arlington</t>
  </si>
  <si>
    <t xml:space="preserve">7401 Lofty Loop SE </t>
  </si>
  <si>
    <t>Salem</t>
  </si>
  <si>
    <t>Dooley</t>
  </si>
  <si>
    <t>Philip</t>
  </si>
  <si>
    <t xml:space="preserve">192 Goose Ln </t>
  </si>
  <si>
    <t>Tolland</t>
  </si>
  <si>
    <t xml:space="preserve">4843 E Coronado Rd </t>
  </si>
  <si>
    <t>Mecky</t>
  </si>
  <si>
    <t xml:space="preserve">228 N Irena Ave </t>
  </si>
  <si>
    <t>Redondo Beach</t>
  </si>
  <si>
    <t>Casey</t>
  </si>
  <si>
    <t>Brad</t>
  </si>
  <si>
    <t xml:space="preserve">4402 Taylor Ln </t>
  </si>
  <si>
    <t>Richardson</t>
  </si>
  <si>
    <t xml:space="preserve">625 Glenloch Way </t>
  </si>
  <si>
    <t>Emerald Hills</t>
  </si>
  <si>
    <t>Babb</t>
  </si>
  <si>
    <t xml:space="preserve">1720 Beeler Ave </t>
  </si>
  <si>
    <t>Speedway</t>
  </si>
  <si>
    <t>Odear</t>
  </si>
  <si>
    <t xml:space="preserve">4301 Bissonnet St Apt 75 </t>
  </si>
  <si>
    <t>Bellaire</t>
  </si>
  <si>
    <t>Atteberry</t>
  </si>
  <si>
    <t xml:space="preserve">4625 Parkoaks Dr Apt 44 </t>
  </si>
  <si>
    <t>Baton Rouge</t>
  </si>
  <si>
    <t>Stoike</t>
  </si>
  <si>
    <t>Richie</t>
  </si>
  <si>
    <t xml:space="preserve">5508 Haspel St </t>
  </si>
  <si>
    <t>Elmhurst</t>
  </si>
  <si>
    <t>Peale</t>
  </si>
  <si>
    <t>Mike</t>
  </si>
  <si>
    <t xml:space="preserve">5 Worth Hill Ln </t>
  </si>
  <si>
    <t>Aston</t>
  </si>
  <si>
    <t>Milbourne</t>
  </si>
  <si>
    <t xml:space="preserve">PO Box 385 </t>
  </si>
  <si>
    <t>Sanford</t>
  </si>
  <si>
    <t>Gilles</t>
  </si>
  <si>
    <t xml:space="preserve">34114 Gail Dr </t>
  </si>
  <si>
    <t>North Ridgeville</t>
  </si>
  <si>
    <t>Sarandis</t>
  </si>
  <si>
    <t>Saralyn</t>
  </si>
  <si>
    <t xml:space="preserve">177 Bird Ln </t>
  </si>
  <si>
    <t>Kunkletown</t>
  </si>
  <si>
    <t>Garrison</t>
  </si>
  <si>
    <t xml:space="preserve">5107 W Ashby Rd </t>
  </si>
  <si>
    <t>Brierfield</t>
  </si>
  <si>
    <t>Malarkey</t>
  </si>
  <si>
    <t xml:space="preserve">212 Illinois St </t>
  </si>
  <si>
    <t>Cutler</t>
  </si>
  <si>
    <t>Barry</t>
  </si>
  <si>
    <t xml:space="preserve">115 Wyndmoor Rd 2 </t>
  </si>
  <si>
    <t>Boswell</t>
  </si>
  <si>
    <t xml:space="preserve">1927 Woodland Estates Dr </t>
  </si>
  <si>
    <t>Saint Clair</t>
  </si>
  <si>
    <t>Oltarsh</t>
  </si>
  <si>
    <t>Highland Mills</t>
  </si>
  <si>
    <t>Gradoni</t>
  </si>
  <si>
    <t>Peter</t>
  </si>
  <si>
    <t xml:space="preserve">PO Box 1114 </t>
  </si>
  <si>
    <t>Courts</t>
  </si>
  <si>
    <t xml:space="preserve">1250 S Stone Ave </t>
  </si>
  <si>
    <t>La Grange</t>
  </si>
  <si>
    <t>Silfies</t>
  </si>
  <si>
    <t>Jeri</t>
  </si>
  <si>
    <t xml:space="preserve">13160 SW 63rd Ave </t>
  </si>
  <si>
    <t>Sherman</t>
  </si>
  <si>
    <t xml:space="preserve">2787 Hillcrest Ave </t>
  </si>
  <si>
    <t>Bottom</t>
  </si>
  <si>
    <t xml:space="preserve">9240 Yellowstone Rd </t>
  </si>
  <si>
    <t>Yarnell</t>
  </si>
  <si>
    <t xml:space="preserve">5722 Hideaway Dr </t>
  </si>
  <si>
    <t>Brisson</t>
  </si>
  <si>
    <t xml:space="preserve">42 Westgate Cir </t>
  </si>
  <si>
    <t>Osborn</t>
  </si>
  <si>
    <t xml:space="preserve">938 Summit Ave </t>
  </si>
  <si>
    <t>Westfield</t>
  </si>
  <si>
    <t>Balzano</t>
  </si>
  <si>
    <t xml:space="preserve">3405 Pierce St </t>
  </si>
  <si>
    <t>Graffin</t>
  </si>
  <si>
    <t>Jeanne</t>
  </si>
  <si>
    <t xml:space="preserve">5421 Quiet Stone Dr </t>
  </si>
  <si>
    <t>Fitchburg</t>
  </si>
  <si>
    <t>Kaskin</t>
  </si>
  <si>
    <t>Jonathan</t>
  </si>
  <si>
    <t xml:space="preserve">7120 Snug Harbor Ct </t>
  </si>
  <si>
    <t>Nepomnyashchy</t>
  </si>
  <si>
    <t>Victor</t>
  </si>
  <si>
    <t xml:space="preserve">9131 Burnet Ave Unit 7 </t>
  </si>
  <si>
    <t>North Hills</t>
  </si>
  <si>
    <t>Damon</t>
  </si>
  <si>
    <t xml:space="preserve">150 Pulehunui Rd </t>
  </si>
  <si>
    <t>Kula</t>
  </si>
  <si>
    <t xml:space="preserve">58 Oakwood Ave </t>
  </si>
  <si>
    <t>Summertown</t>
  </si>
  <si>
    <t>Watson</t>
  </si>
  <si>
    <t xml:space="preserve">1901 Julie Ln </t>
  </si>
  <si>
    <t>Stevens Point</t>
  </si>
  <si>
    <t>Goldenberg</t>
  </si>
  <si>
    <t xml:space="preserve">7739 Southampton Ter Apt G107 </t>
  </si>
  <si>
    <t>Tamarac</t>
  </si>
  <si>
    <t>Vasconcellos</t>
  </si>
  <si>
    <t>Jude</t>
  </si>
  <si>
    <t xml:space="preserve">PO Box 394 </t>
  </si>
  <si>
    <t>Inverness</t>
  </si>
  <si>
    <t>Leto</t>
  </si>
  <si>
    <t xml:space="preserve">159 Hudson Dr </t>
  </si>
  <si>
    <t>Phoenixville</t>
  </si>
  <si>
    <t>Griffeth</t>
  </si>
  <si>
    <t xml:space="preserve">72 Leta Dr </t>
  </si>
  <si>
    <t>Colorado Springs</t>
  </si>
  <si>
    <t>Weber</t>
  </si>
  <si>
    <t xml:space="preserve">76 -789 Io Pl </t>
  </si>
  <si>
    <t>Kailua Kona</t>
  </si>
  <si>
    <t>Woodall</t>
  </si>
  <si>
    <t xml:space="preserve">118 Hermine Blvd </t>
  </si>
  <si>
    <t>Eggers</t>
  </si>
  <si>
    <t>Lynne</t>
  </si>
  <si>
    <t xml:space="preserve">221 Mullen Ave </t>
  </si>
  <si>
    <t>Freiband</t>
  </si>
  <si>
    <t xml:space="preserve">16 Bettina Ct </t>
  </si>
  <si>
    <t>Hampton Bays</t>
  </si>
  <si>
    <t>Krug</t>
  </si>
  <si>
    <t>Ilana</t>
  </si>
  <si>
    <t xml:space="preserve">6610 Sharon Rd </t>
  </si>
  <si>
    <t>Idlewylde</t>
  </si>
  <si>
    <t>Jiranek</t>
  </si>
  <si>
    <t xml:space="preserve">400 Forest Ridge Rd </t>
  </si>
  <si>
    <t>Earlysville</t>
  </si>
  <si>
    <t>Heard</t>
  </si>
  <si>
    <t xml:space="preserve">PO Box 2403 </t>
  </si>
  <si>
    <t>Palm Beach</t>
  </si>
  <si>
    <t>Shulman</t>
  </si>
  <si>
    <t xml:space="preserve">6249 Romo St </t>
  </si>
  <si>
    <t>Shiffrin</t>
  </si>
  <si>
    <t>Joyce</t>
  </si>
  <si>
    <t xml:space="preserve">576 Eastern Pkwy Apt 3H </t>
  </si>
  <si>
    <t>Ravnitzky</t>
  </si>
  <si>
    <t xml:space="preserve">124 Hill St </t>
  </si>
  <si>
    <t>Mahopac</t>
  </si>
  <si>
    <t>Yeomans</t>
  </si>
  <si>
    <t xml:space="preserve">9234 Kessler Ln </t>
  </si>
  <si>
    <t>Piehl</t>
  </si>
  <si>
    <t>Deann</t>
  </si>
  <si>
    <t xml:space="preserve">3620 N Woodhaven Ct </t>
  </si>
  <si>
    <t>Appleton</t>
  </si>
  <si>
    <t>Schumacher</t>
  </si>
  <si>
    <t xml:space="preserve">4127 Middlebrook Dr </t>
  </si>
  <si>
    <t>Beavercreek</t>
  </si>
  <si>
    <t xml:space="preserve">38 Valley Rd </t>
  </si>
  <si>
    <t>Cos Cob</t>
  </si>
  <si>
    <t>06807-2533</t>
  </si>
  <si>
    <t>Parzick</t>
  </si>
  <si>
    <t xml:space="preserve">2612 Wavecrest Dr </t>
  </si>
  <si>
    <t>Corona Del Mar</t>
  </si>
  <si>
    <t xml:space="preserve">2673 Carolina Ave </t>
  </si>
  <si>
    <t>Redwood City</t>
  </si>
  <si>
    <t>Berger</t>
  </si>
  <si>
    <t>Eleanor</t>
  </si>
  <si>
    <t xml:space="preserve">12 Lakeview Dr </t>
  </si>
  <si>
    <t>Plattsburgh</t>
  </si>
  <si>
    <t>O'Quinn</t>
  </si>
  <si>
    <t>Blake</t>
  </si>
  <si>
    <t xml:space="preserve">1000 S Williams Ave </t>
  </si>
  <si>
    <t>Mt Pleasant</t>
  </si>
  <si>
    <t>Coble</t>
  </si>
  <si>
    <t xml:space="preserve">7432 Liffey Ln </t>
  </si>
  <si>
    <t>Liverpool</t>
  </si>
  <si>
    <t>Feldman</t>
  </si>
  <si>
    <t>Tracy</t>
  </si>
  <si>
    <t xml:space="preserve">5306 Pelham Rd </t>
  </si>
  <si>
    <t>Durham</t>
  </si>
  <si>
    <t>Lynda</t>
  </si>
  <si>
    <t xml:space="preserve">493 Pio Dr Apt 206 </t>
  </si>
  <si>
    <t xml:space="preserve">77 Fieldstone Rd </t>
  </si>
  <si>
    <t>Elkton</t>
  </si>
  <si>
    <t>Bush</t>
  </si>
  <si>
    <t>Ricky</t>
  </si>
  <si>
    <t xml:space="preserve">4580 Brentwood St </t>
  </si>
  <si>
    <t>Boliver</t>
  </si>
  <si>
    <t xml:space="preserve">52 Moores Cir </t>
  </si>
  <si>
    <t>Laurel</t>
  </si>
  <si>
    <t>Rudolph</t>
  </si>
  <si>
    <t>Joellen</t>
  </si>
  <si>
    <t xml:space="preserve">9799 Townline Rd </t>
  </si>
  <si>
    <t>Petoskey</t>
  </si>
  <si>
    <t>Hunt</t>
  </si>
  <si>
    <t>Cyndi</t>
  </si>
  <si>
    <t xml:space="preserve">960 Towhee Rd </t>
  </si>
  <si>
    <t>Kern</t>
  </si>
  <si>
    <t xml:space="preserve">1310 Crumpet </t>
  </si>
  <si>
    <t>Roo</t>
  </si>
  <si>
    <t>Reeta</t>
  </si>
  <si>
    <t xml:space="preserve">13202 Dupont Rd </t>
  </si>
  <si>
    <t>Sebastopol</t>
  </si>
  <si>
    <t>Duckworth</t>
  </si>
  <si>
    <t>Nadine</t>
  </si>
  <si>
    <t xml:space="preserve">804 Deal Farm Ln </t>
  </si>
  <si>
    <t>Taylorsville</t>
  </si>
  <si>
    <t>Phillips</t>
  </si>
  <si>
    <t>Clifford</t>
  </si>
  <si>
    <t xml:space="preserve">176 Main St </t>
  </si>
  <si>
    <t>Northfield</t>
  </si>
  <si>
    <t xml:space="preserve">167 Teilh Dr </t>
  </si>
  <si>
    <t>Boulder Creek</t>
  </si>
  <si>
    <t>Robinson</t>
  </si>
  <si>
    <t xml:space="preserve">110 Winston Dr Bldg </t>
  </si>
  <si>
    <t>Talladega</t>
  </si>
  <si>
    <t>Schaim</t>
  </si>
  <si>
    <t>Marjorie</t>
  </si>
  <si>
    <t xml:space="preserve">890 N Hill Ln </t>
  </si>
  <si>
    <t>Cincinnati</t>
  </si>
  <si>
    <t>Zimmerman</t>
  </si>
  <si>
    <t xml:space="preserve">7320 N Sonya Way </t>
  </si>
  <si>
    <t>Mullet</t>
  </si>
  <si>
    <t xml:space="preserve">100 E Main St </t>
  </si>
  <si>
    <t>Syracuse</t>
  </si>
  <si>
    <t>Clarke</t>
  </si>
  <si>
    <t>Rosalee</t>
  </si>
  <si>
    <t xml:space="preserve">876 Spinosa Dr </t>
  </si>
  <si>
    <t>Melchior</t>
  </si>
  <si>
    <t xml:space="preserve">880 Church Ave </t>
  </si>
  <si>
    <t>Jasper</t>
  </si>
  <si>
    <t>Hurley</t>
  </si>
  <si>
    <t xml:space="preserve">3003 Terramar St </t>
  </si>
  <si>
    <t>Fort Lauderdale</t>
  </si>
  <si>
    <t>Zoubek</t>
  </si>
  <si>
    <t xml:space="preserve">44 Fitch Ave </t>
  </si>
  <si>
    <t>Darien</t>
  </si>
  <si>
    <t>Laplante</t>
  </si>
  <si>
    <t xml:space="preserve">137 Old Tilton Rd </t>
  </si>
  <si>
    <t>Canterbury</t>
  </si>
  <si>
    <t>Santaniello</t>
  </si>
  <si>
    <t>Deirdre</t>
  </si>
  <si>
    <t xml:space="preserve">26590 Daphne Way </t>
  </si>
  <si>
    <t>Willits</t>
  </si>
  <si>
    <t>Snider</t>
  </si>
  <si>
    <t>Sid</t>
  </si>
  <si>
    <t xml:space="preserve">4526 NE 13th Ave </t>
  </si>
  <si>
    <t>Leib</t>
  </si>
  <si>
    <t xml:space="preserve">455 Barbara Ave </t>
  </si>
  <si>
    <t>Solana Beach</t>
  </si>
  <si>
    <t>Marsden</t>
  </si>
  <si>
    <t xml:space="preserve">1872 Howard St N </t>
  </si>
  <si>
    <t>Maplewood</t>
  </si>
  <si>
    <t>Ora Lee</t>
  </si>
  <si>
    <t xml:space="preserve">2507 Hillside Ct </t>
  </si>
  <si>
    <t>Sugar Land</t>
  </si>
  <si>
    <t>Walser</t>
  </si>
  <si>
    <t xml:space="preserve">7133 Park Shores Ct </t>
  </si>
  <si>
    <t>Middleton</t>
  </si>
  <si>
    <t>Singer</t>
  </si>
  <si>
    <t>Barbara</t>
  </si>
  <si>
    <t xml:space="preserve">7880 NW 51st St </t>
  </si>
  <si>
    <t>Lauderhill</t>
  </si>
  <si>
    <t>Tucker</t>
  </si>
  <si>
    <t xml:space="preserve">111 1/2 4th Ave </t>
  </si>
  <si>
    <t>Warren</t>
  </si>
  <si>
    <t>Tignanelli</t>
  </si>
  <si>
    <t>Doreen</t>
  </si>
  <si>
    <t xml:space="preserve">29 Colburn Dr </t>
  </si>
  <si>
    <t>Poughkeepsie</t>
  </si>
  <si>
    <t>Fradkin</t>
  </si>
  <si>
    <t xml:space="preserve">3616 Torrey Pines Pkwy </t>
  </si>
  <si>
    <t>Northbrook</t>
  </si>
  <si>
    <t xml:space="preserve">405 W Olive St </t>
  </si>
  <si>
    <t>Bozeman</t>
  </si>
  <si>
    <t>Rosenblith</t>
  </si>
  <si>
    <t xml:space="preserve">555 NE 34th St Apt 908 </t>
  </si>
  <si>
    <t>Griffin</t>
  </si>
  <si>
    <t xml:space="preserve">15 El Carmello Cir </t>
  </si>
  <si>
    <t>Thorp</t>
  </si>
  <si>
    <t>Frank K.</t>
  </si>
  <si>
    <t xml:space="preserve">12614 Rail Ln </t>
  </si>
  <si>
    <t>Palos Park</t>
  </si>
  <si>
    <t>Rouse</t>
  </si>
  <si>
    <t>Frank</t>
  </si>
  <si>
    <t xml:space="preserve">21710 S Green Mountain Rd </t>
  </si>
  <si>
    <t>Wiles</t>
  </si>
  <si>
    <t xml:space="preserve">5205 Langford Ter </t>
  </si>
  <si>
    <t>Piker</t>
  </si>
  <si>
    <t xml:space="preserve">1209 Smithland Ave </t>
  </si>
  <si>
    <t>La Junta</t>
  </si>
  <si>
    <t>Tran</t>
  </si>
  <si>
    <t>Sheila</t>
  </si>
  <si>
    <t xml:space="preserve">111 N CENTRAL Ave </t>
  </si>
  <si>
    <t>Eagan</t>
  </si>
  <si>
    <t>Blom</t>
  </si>
  <si>
    <t xml:space="preserve">4 Ora Way </t>
  </si>
  <si>
    <t>Munves</t>
  </si>
  <si>
    <t>Sol</t>
  </si>
  <si>
    <t xml:space="preserve">1351 Indian Trl </t>
  </si>
  <si>
    <t>Lamarche</t>
  </si>
  <si>
    <t xml:space="preserve">PO Box 10577 </t>
  </si>
  <si>
    <t>Tempe</t>
  </si>
  <si>
    <t>McClintock</t>
  </si>
  <si>
    <t xml:space="preserve">6940 Eberhart St </t>
  </si>
  <si>
    <t>Corsover</t>
  </si>
  <si>
    <t>Harry</t>
  </si>
  <si>
    <t xml:space="preserve">363 Inverness Pkwy Apt 3 </t>
  </si>
  <si>
    <t>Englewood</t>
  </si>
  <si>
    <t>Stein</t>
  </si>
  <si>
    <t xml:space="preserve">2231 W 11th St </t>
  </si>
  <si>
    <t>Duluth</t>
  </si>
  <si>
    <t>Rosin</t>
  </si>
  <si>
    <t>Jay</t>
  </si>
  <si>
    <t xml:space="preserve">12228 Bluffwood Ter </t>
  </si>
  <si>
    <t>20871-5359</t>
  </si>
  <si>
    <t>Privitera</t>
  </si>
  <si>
    <t>Salvatore</t>
  </si>
  <si>
    <t xml:space="preserve">66 Hickory Manor Dr </t>
  </si>
  <si>
    <t>14606-4511</t>
  </si>
  <si>
    <t>Susann</t>
  </si>
  <si>
    <t xml:space="preserve">SHIREWOOD Dr </t>
  </si>
  <si>
    <t>Hopkins</t>
  </si>
  <si>
    <t xml:space="preserve">2748 Prospect Ave </t>
  </si>
  <si>
    <t>La Crescenta</t>
  </si>
  <si>
    <t>Cleven</t>
  </si>
  <si>
    <t>Heidi</t>
  </si>
  <si>
    <t xml:space="preserve">748 Union St </t>
  </si>
  <si>
    <t>Hine</t>
  </si>
  <si>
    <t xml:space="preserve">492 Hillsdale Dr </t>
  </si>
  <si>
    <t>Binzer</t>
  </si>
  <si>
    <t xml:space="preserve">120 Buckhorn Ct Apt 3 </t>
  </si>
  <si>
    <t>Erlanger</t>
  </si>
  <si>
    <t>Bower</t>
  </si>
  <si>
    <t xml:space="preserve">25157 325th St </t>
  </si>
  <si>
    <t>Sioux City</t>
  </si>
  <si>
    <t>Rueckel</t>
  </si>
  <si>
    <t xml:space="preserve">206 Kensington Ct </t>
  </si>
  <si>
    <t>Brewster</t>
  </si>
  <si>
    <t>Montes</t>
  </si>
  <si>
    <t xml:space="preserve">1360 Amberwood Dr </t>
  </si>
  <si>
    <t>Crystal Lake</t>
  </si>
  <si>
    <t>Jessler</t>
  </si>
  <si>
    <t>Darynne</t>
  </si>
  <si>
    <t xml:space="preserve">4408 Gentry Ave </t>
  </si>
  <si>
    <t>Valley Village</t>
  </si>
  <si>
    <t>Latimer</t>
  </si>
  <si>
    <t xml:space="preserve">253 Tonda Vista Rd </t>
  </si>
  <si>
    <t>Port Angeles</t>
  </si>
  <si>
    <t>Kesler</t>
  </si>
  <si>
    <t xml:space="preserve">1045 Ford St </t>
  </si>
  <si>
    <t>Bridgeport</t>
  </si>
  <si>
    <t>Toth</t>
  </si>
  <si>
    <t>Lana</t>
  </si>
  <si>
    <t xml:space="preserve">428 Baldy Hill Rd </t>
  </si>
  <si>
    <t>Alburtis</t>
  </si>
  <si>
    <t>McDaniel</t>
  </si>
  <si>
    <t>Skot</t>
  </si>
  <si>
    <t xml:space="preserve">1457 Pastel Ln </t>
  </si>
  <si>
    <t>Elohim</t>
  </si>
  <si>
    <t>Shemayim</t>
  </si>
  <si>
    <t xml:space="preserve">213 32nd Ave # AE </t>
  </si>
  <si>
    <t>Beglin</t>
  </si>
  <si>
    <t xml:space="preserve">1550 N Verdugo Rd </t>
  </si>
  <si>
    <t>Glendale</t>
  </si>
  <si>
    <t>Kathryn</t>
  </si>
  <si>
    <t xml:space="preserve">832 Navajo Trl </t>
  </si>
  <si>
    <t>Show Low</t>
  </si>
  <si>
    <t>Crystal</t>
  </si>
  <si>
    <t xml:space="preserve">309 Misty Wood </t>
  </si>
  <si>
    <t>Bertram</t>
  </si>
  <si>
    <t>Davidson</t>
  </si>
  <si>
    <t xml:space="preserve">4217 N Ashland Ave Unit 2S </t>
  </si>
  <si>
    <t>Selena</t>
  </si>
  <si>
    <t xml:space="preserve">PO Box 353 </t>
  </si>
  <si>
    <t>Rocky Gap</t>
  </si>
  <si>
    <t>Stebbings</t>
  </si>
  <si>
    <t>Barrie</t>
  </si>
  <si>
    <t xml:space="preserve">390 Cedar Rd # A </t>
  </si>
  <si>
    <t>Bolinas</t>
  </si>
  <si>
    <t>Iazzetta</t>
  </si>
  <si>
    <t>Vincent</t>
  </si>
  <si>
    <t xml:space="preserve">29 Franklin St </t>
  </si>
  <si>
    <t>Annapolis</t>
  </si>
  <si>
    <t>Cavanaugh</t>
  </si>
  <si>
    <t xml:space="preserve">10 Emery Rd </t>
  </si>
  <si>
    <t>Townsend</t>
  </si>
  <si>
    <t>Demmy</t>
  </si>
  <si>
    <t xml:space="preserve">419 Foresthill Ave </t>
  </si>
  <si>
    <t>Niemi</t>
  </si>
  <si>
    <t xml:space="preserve">2121 El Paseo St Apt 1313 </t>
  </si>
  <si>
    <t>77054-3224</t>
  </si>
  <si>
    <t>Marisa</t>
  </si>
  <si>
    <t xml:space="preserve">308 Cliffside Dr </t>
  </si>
  <si>
    <t>Shavano Park</t>
  </si>
  <si>
    <t>78231-1512</t>
  </si>
  <si>
    <t>Furberg</t>
  </si>
  <si>
    <t>Sven</t>
  </si>
  <si>
    <t xml:space="preserve">25 South Rd </t>
  </si>
  <si>
    <t>Kent</t>
  </si>
  <si>
    <t>06757-1718</t>
  </si>
  <si>
    <t>Rumiantseva</t>
  </si>
  <si>
    <t>Elena</t>
  </si>
  <si>
    <t xml:space="preserve">8051 20th Ave NE </t>
  </si>
  <si>
    <t>98115-4405</t>
  </si>
  <si>
    <t>Smudin</t>
  </si>
  <si>
    <t xml:space="preserve">635 Walnut St </t>
  </si>
  <si>
    <t>Bridgewater</t>
  </si>
  <si>
    <t>Fuhs</t>
  </si>
  <si>
    <t xml:space="preserve">561 Washburn Street 561 Washburn St 561 Wash St </t>
  </si>
  <si>
    <t>Kornberg</t>
  </si>
  <si>
    <t xml:space="preserve">3314 Lacewood Rd </t>
  </si>
  <si>
    <t>Tampa</t>
  </si>
  <si>
    <t>Laurent</t>
  </si>
  <si>
    <t>Val</t>
  </si>
  <si>
    <t xml:space="preserve">1680 Clay St Apt 14 </t>
  </si>
  <si>
    <t>Susie</t>
  </si>
  <si>
    <t xml:space="preserve">9500 Gilman Dr </t>
  </si>
  <si>
    <t>La Jolla</t>
  </si>
  <si>
    <t>92093-5004</t>
  </si>
  <si>
    <t>D</t>
  </si>
  <si>
    <t xml:space="preserve">561 Breckenridge Dr </t>
  </si>
  <si>
    <t>Broomfield</t>
  </si>
  <si>
    <t>80020-6085</t>
  </si>
  <si>
    <t>Domagall</t>
  </si>
  <si>
    <t xml:space="preserve">10840 Paris Ave S </t>
  </si>
  <si>
    <t>Hastings</t>
  </si>
  <si>
    <t>Foltz</t>
  </si>
  <si>
    <t xml:space="preserve">6111 Jason Ct </t>
  </si>
  <si>
    <t>Aptos</t>
  </si>
  <si>
    <t>Soria</t>
  </si>
  <si>
    <t>Luis</t>
  </si>
  <si>
    <t xml:space="preserve">227 Duke Rd </t>
  </si>
  <si>
    <t>Schneider</t>
  </si>
  <si>
    <t xml:space="preserve">814 NE 84th St </t>
  </si>
  <si>
    <t>Dimarcantonio</t>
  </si>
  <si>
    <t xml:space="preserve">1 Evelyn Pl </t>
  </si>
  <si>
    <t>Rockaway</t>
  </si>
  <si>
    <t xml:space="preserve">3230 Maple Leaf Dr </t>
  </si>
  <si>
    <t>Corrado-Babe</t>
  </si>
  <si>
    <t>Amie</t>
  </si>
  <si>
    <t xml:space="preserve">1103 Montgomery Rd </t>
  </si>
  <si>
    <t>Wilmington</t>
  </si>
  <si>
    <t>DE</t>
  </si>
  <si>
    <t>Remke</t>
  </si>
  <si>
    <t xml:space="preserve">1724 Chamisa Rd NE </t>
  </si>
  <si>
    <t>Rio Rancho</t>
  </si>
  <si>
    <t>Cordale</t>
  </si>
  <si>
    <t xml:space="preserve">12444 S Laflin St </t>
  </si>
  <si>
    <t>Calumet Park</t>
  </si>
  <si>
    <t>Lund</t>
  </si>
  <si>
    <t xml:space="preserve">414 Lynn St </t>
  </si>
  <si>
    <t>Staten Island</t>
  </si>
  <si>
    <t>Cechony</t>
  </si>
  <si>
    <t xml:space="preserve">60 1st Ave </t>
  </si>
  <si>
    <t>Loper</t>
  </si>
  <si>
    <t xml:space="preserve">38 Mark Dr </t>
  </si>
  <si>
    <t>Tiverton</t>
  </si>
  <si>
    <t>Mumaw</t>
  </si>
  <si>
    <t xml:space="preserve">450 Woodstock Rd Apt A </t>
  </si>
  <si>
    <t>Millbrook</t>
  </si>
  <si>
    <t>Lane</t>
  </si>
  <si>
    <t>Katie</t>
  </si>
  <si>
    <t xml:space="preserve">16 Barnard Rd </t>
  </si>
  <si>
    <t>Garcia</t>
  </si>
  <si>
    <t xml:space="preserve">57 Herkimer St </t>
  </si>
  <si>
    <t>MacDonald</t>
  </si>
  <si>
    <t xml:space="preserve">139 Schubert Ct </t>
  </si>
  <si>
    <t>Irvine</t>
  </si>
  <si>
    <t>Savage</t>
  </si>
  <si>
    <t xml:space="preserve">87 Shady Rest Rd </t>
  </si>
  <si>
    <t>Mammoth Lakes</t>
  </si>
  <si>
    <t>Welti</t>
  </si>
  <si>
    <t xml:space="preserve">1322 Alabama Ave # I </t>
  </si>
  <si>
    <t>Sheboygan</t>
  </si>
  <si>
    <t>Lutz</t>
  </si>
  <si>
    <t>Heather</t>
  </si>
  <si>
    <t xml:space="preserve">2536 Fox Squirrel Ct </t>
  </si>
  <si>
    <t>Apopka</t>
  </si>
  <si>
    <t>Watilo</t>
  </si>
  <si>
    <t>Bobbie</t>
  </si>
  <si>
    <t xml:space="preserve">74 HERRERA Rd </t>
  </si>
  <si>
    <t>Greene</t>
  </si>
  <si>
    <t xml:space="preserve">7487 N John Young Rd 7487 John Young Rd Unionvi N 47468 </t>
  </si>
  <si>
    <t>Unionville</t>
  </si>
  <si>
    <t>Wiik</t>
  </si>
  <si>
    <t xml:space="preserve">724 Hilfillan Ln </t>
  </si>
  <si>
    <t>Haslag</t>
  </si>
  <si>
    <t xml:space="preserve">878 W Pembrook Ave </t>
  </si>
  <si>
    <t>Nixa</t>
  </si>
  <si>
    <t>A</t>
  </si>
  <si>
    <t xml:space="preserve">ARENOSO </t>
  </si>
  <si>
    <t>San Clemente</t>
  </si>
  <si>
    <t>Cifaldi</t>
  </si>
  <si>
    <t>Margret</t>
  </si>
  <si>
    <t xml:space="preserve">7950 W Flamingo Rd Unit 1162 </t>
  </si>
  <si>
    <t>89147-4228</t>
  </si>
  <si>
    <t>Ferris</t>
  </si>
  <si>
    <t>Chuck</t>
  </si>
  <si>
    <t xml:space="preserve">2100 E Ocean View Ave Apt 15 </t>
  </si>
  <si>
    <t>Norfolk</t>
  </si>
  <si>
    <t>Carlton</t>
  </si>
  <si>
    <t xml:space="preserve">3953 Lamarr Ave </t>
  </si>
  <si>
    <t>Culver City</t>
  </si>
  <si>
    <t>Rampi</t>
  </si>
  <si>
    <t xml:space="preserve">2150 Jefferson Ave </t>
  </si>
  <si>
    <t xml:space="preserve">6493 Cooper St </t>
  </si>
  <si>
    <t xml:space="preserve">1445 MacArthur Rd </t>
  </si>
  <si>
    <t>Madison</t>
  </si>
  <si>
    <t>Gardner</t>
  </si>
  <si>
    <t xml:space="preserve">3708 S Marshall Dr </t>
  </si>
  <si>
    <t>Independence</t>
  </si>
  <si>
    <t>MacKenie</t>
  </si>
  <si>
    <t xml:space="preserve">66 Berens Dr </t>
  </si>
  <si>
    <t>Kentfield</t>
  </si>
  <si>
    <t>Seigel</t>
  </si>
  <si>
    <t xml:space="preserve">231 Jackson Mills Rd </t>
  </si>
  <si>
    <t>Freehold</t>
  </si>
  <si>
    <t>Holt</t>
  </si>
  <si>
    <t xml:space="preserve">PO Box 2183 </t>
  </si>
  <si>
    <t>Manchaca</t>
  </si>
  <si>
    <t>Crane</t>
  </si>
  <si>
    <t xml:space="preserve">37378 Middle Ridge Rd </t>
  </si>
  <si>
    <t xml:space="preserve">20607 Coventry Cir </t>
  </si>
  <si>
    <t>Bend</t>
  </si>
  <si>
    <t xml:space="preserve">1426 El Sereno </t>
  </si>
  <si>
    <t>Yuba City</t>
  </si>
  <si>
    <t>Hammersley</t>
  </si>
  <si>
    <t xml:space="preserve">1311 Welser Ave NE </t>
  </si>
  <si>
    <t>Palm Bay</t>
  </si>
  <si>
    <t>Kinsel</t>
  </si>
  <si>
    <t xml:space="preserve">761 Helena Ct </t>
  </si>
  <si>
    <t>Fort Collins</t>
  </si>
  <si>
    <t>Battaly</t>
  </si>
  <si>
    <t>Gertrude</t>
  </si>
  <si>
    <t xml:space="preserve">112 Chelsea Rd </t>
  </si>
  <si>
    <t>White Plains</t>
  </si>
  <si>
    <t>Nevel</t>
  </si>
  <si>
    <t>Cecilia</t>
  </si>
  <si>
    <t xml:space="preserve">1150 Marine St </t>
  </si>
  <si>
    <t>Clearwater</t>
  </si>
  <si>
    <t>Comnes</t>
  </si>
  <si>
    <t xml:space="preserve">1030 NW 12th Ave Apt 123 </t>
  </si>
  <si>
    <t>Samples</t>
  </si>
  <si>
    <t>Joe</t>
  </si>
  <si>
    <t xml:space="preserve">3300 Bee Caves Rd Ste PM650 </t>
  </si>
  <si>
    <t>West Lake Hills</t>
  </si>
  <si>
    <t>Dickerson</t>
  </si>
  <si>
    <t xml:space="preserve">WOODLAND Ln </t>
  </si>
  <si>
    <t>Jenson</t>
  </si>
  <si>
    <t>Kay</t>
  </si>
  <si>
    <t xml:space="preserve">3700 1ST Ave SE Unit 108 </t>
  </si>
  <si>
    <t>Cerentano</t>
  </si>
  <si>
    <t>Tony</t>
  </si>
  <si>
    <t xml:space="preserve">1404 W 6th St </t>
  </si>
  <si>
    <t>Staunton</t>
  </si>
  <si>
    <t>Scheree</t>
  </si>
  <si>
    <t xml:space="preserve">24352 S 4090 Rd </t>
  </si>
  <si>
    <t>Claremore</t>
  </si>
  <si>
    <t>Forman</t>
  </si>
  <si>
    <t>Fay</t>
  </si>
  <si>
    <t xml:space="preserve">351 W 24th St </t>
  </si>
  <si>
    <t>Price</t>
  </si>
  <si>
    <t xml:space="preserve">44 Brookside Dr </t>
  </si>
  <si>
    <t>Cranston</t>
  </si>
  <si>
    <t>Tolliver</t>
  </si>
  <si>
    <t xml:space="preserve">339 Eastern St Apt B306 </t>
  </si>
  <si>
    <t>New Haven</t>
  </si>
  <si>
    <t>Rosenblatt</t>
  </si>
  <si>
    <t>Roy</t>
  </si>
  <si>
    <t xml:space="preserve">SHERMAN Oaks CA 91403 </t>
  </si>
  <si>
    <t>Merrick</t>
  </si>
  <si>
    <t xml:space="preserve">3012 NE Lansing Ct </t>
  </si>
  <si>
    <t>Morgante</t>
  </si>
  <si>
    <t xml:space="preserve">120 6th Ave S Apt 209 </t>
  </si>
  <si>
    <t>98104-3719</t>
  </si>
  <si>
    <t>El-Moslimany</t>
  </si>
  <si>
    <t xml:space="preserve">2655 SW 151st Pl </t>
  </si>
  <si>
    <t>Burien</t>
  </si>
  <si>
    <t>Keller</t>
  </si>
  <si>
    <t>Marnie</t>
  </si>
  <si>
    <t xml:space="preserve">5964 S Helena Ct </t>
  </si>
  <si>
    <t>Centennial</t>
  </si>
  <si>
    <t>Scribner</t>
  </si>
  <si>
    <t xml:space="preserve">4124 Diplomacy Cir </t>
  </si>
  <si>
    <t>Corum</t>
  </si>
  <si>
    <t>Carrie</t>
  </si>
  <si>
    <t xml:space="preserve">15505 Baileys Ln </t>
  </si>
  <si>
    <t xml:space="preserve">104 Rainbow Dr SW </t>
  </si>
  <si>
    <t>Fort Payne</t>
  </si>
  <si>
    <t>Levine</t>
  </si>
  <si>
    <t xml:space="preserve">71 Ocean Pkwy Apt 1D </t>
  </si>
  <si>
    <t>Kane</t>
  </si>
  <si>
    <t xml:space="preserve">1101 Timberbrooke Dr </t>
  </si>
  <si>
    <t>Bedminster</t>
  </si>
  <si>
    <t>Zangara</t>
  </si>
  <si>
    <t>Amanda</t>
  </si>
  <si>
    <t xml:space="preserve">205 Ragle Ave S </t>
  </si>
  <si>
    <t>Ryba</t>
  </si>
  <si>
    <t>Dominique</t>
  </si>
  <si>
    <t xml:space="preserve">1593 Jonathon St </t>
  </si>
  <si>
    <t>Vista</t>
  </si>
  <si>
    <t>Abler</t>
  </si>
  <si>
    <t xml:space="preserve">99 Frederick St </t>
  </si>
  <si>
    <t>Cline</t>
  </si>
  <si>
    <t xml:space="preserve">13375 Atlantic Rd </t>
  </si>
  <si>
    <t>Strongsville</t>
  </si>
  <si>
    <t>Farinacci</t>
  </si>
  <si>
    <t xml:space="preserve">7132 Barton Dr </t>
  </si>
  <si>
    <t>Mentor</t>
  </si>
  <si>
    <t>Olcott</t>
  </si>
  <si>
    <t xml:space="preserve">3056 S Geneva St </t>
  </si>
  <si>
    <t>Lawler</t>
  </si>
  <si>
    <t xml:space="preserve">15 Kimberly Dr </t>
  </si>
  <si>
    <t>Merrimack</t>
  </si>
  <si>
    <t>Parry</t>
  </si>
  <si>
    <t xml:space="preserve">960 Sierra Ct </t>
  </si>
  <si>
    <t>Stergas</t>
  </si>
  <si>
    <t xml:space="preserve">10 Lodge Way </t>
  </si>
  <si>
    <t>Roberts</t>
  </si>
  <si>
    <t>Laney</t>
  </si>
  <si>
    <t xml:space="preserve">313 N Dean Rd </t>
  </si>
  <si>
    <t>Kulish</t>
  </si>
  <si>
    <t>Clement</t>
  </si>
  <si>
    <t xml:space="preserve">8014 S 34th Pl </t>
  </si>
  <si>
    <t xml:space="preserve">31181 Holly Dr </t>
  </si>
  <si>
    <t>Mihalik</t>
  </si>
  <si>
    <t xml:space="preserve">PO Box 248 </t>
  </si>
  <si>
    <t>Toronto</t>
  </si>
  <si>
    <t>Gantos</t>
  </si>
  <si>
    <t>Angela</t>
  </si>
  <si>
    <t xml:space="preserve">344 Blackfield Dr </t>
  </si>
  <si>
    <t>Tiburon</t>
  </si>
  <si>
    <t xml:space="preserve">151 Hudson St # 3 </t>
  </si>
  <si>
    <t>New Bedford</t>
  </si>
  <si>
    <t>02744-1210</t>
  </si>
  <si>
    <t>Rowe</t>
  </si>
  <si>
    <t xml:space="preserve">246 Via Russo Lane Mary States Lake Fl UNITED </t>
  </si>
  <si>
    <t>Lake Mary</t>
  </si>
  <si>
    <t>Gregg</t>
  </si>
  <si>
    <t xml:space="preserve">1346 The Alameda Ste 7 </t>
  </si>
  <si>
    <t>95126-5006</t>
  </si>
  <si>
    <t>Gordon</t>
  </si>
  <si>
    <t xml:space="preserve">1116 S Palo Verde St # 2 </t>
  </si>
  <si>
    <t xml:space="preserve">245 Hilltop Rd </t>
  </si>
  <si>
    <t>Annie</t>
  </si>
  <si>
    <t xml:space="preserve">265 Commonwealth Ave </t>
  </si>
  <si>
    <t>Boston</t>
  </si>
  <si>
    <t>Bob</t>
  </si>
  <si>
    <t xml:space="preserve">348 W 15th St Apt 1 </t>
  </si>
  <si>
    <t>Drummond</t>
  </si>
  <si>
    <t>Jessica</t>
  </si>
  <si>
    <t xml:space="preserve">44880 Rivermont Ter Apt 303 </t>
  </si>
  <si>
    <t>Ashburn</t>
  </si>
  <si>
    <t>Kenner</t>
  </si>
  <si>
    <t xml:space="preserve">3539 Weatherhead Hollow Rd </t>
  </si>
  <si>
    <t>Guilford</t>
  </si>
  <si>
    <t>05301-8395</t>
  </si>
  <si>
    <t>Kayne</t>
  </si>
  <si>
    <t>Abraham</t>
  </si>
  <si>
    <t xml:space="preserve">1600 Hatcher Cres </t>
  </si>
  <si>
    <t>Angelosanto</t>
  </si>
  <si>
    <t xml:space="preserve">240 W Emerson St </t>
  </si>
  <si>
    <t>Melrose</t>
  </si>
  <si>
    <t>Cole</t>
  </si>
  <si>
    <t>Gaia</t>
  </si>
  <si>
    <t xml:space="preserve">20 Prospect Ave </t>
  </si>
  <si>
    <t xml:space="preserve">1380 Old Topanga Canyon Rd </t>
  </si>
  <si>
    <t>Schoultz</t>
  </si>
  <si>
    <t>Hot Springs National Park</t>
  </si>
  <si>
    <t>AR</t>
  </si>
  <si>
    <t>Wagar</t>
  </si>
  <si>
    <t xml:space="preserve">2 Little Fox Ln </t>
  </si>
  <si>
    <t>Norwalk</t>
  </si>
  <si>
    <t>Wild</t>
  </si>
  <si>
    <t xml:space="preserve">150 Arthur Ave SE </t>
  </si>
  <si>
    <t>Sequichie-Kerchee</t>
  </si>
  <si>
    <t xml:space="preserve">PO Box 701 </t>
  </si>
  <si>
    <t>Cache</t>
  </si>
  <si>
    <t>Buxbaum</t>
  </si>
  <si>
    <t>Doris</t>
  </si>
  <si>
    <t xml:space="preserve">2259 Carley Ct </t>
  </si>
  <si>
    <t>Christa</t>
  </si>
  <si>
    <t>Foxen</t>
  </si>
  <si>
    <t xml:space="preserve">811 Crooked Branch Dr </t>
  </si>
  <si>
    <t>Clermont</t>
  </si>
  <si>
    <t>Puryear</t>
  </si>
  <si>
    <t>Wilmalyn</t>
  </si>
  <si>
    <t xml:space="preserve">209 Sandee Rd </t>
  </si>
  <si>
    <t>Timonium</t>
  </si>
  <si>
    <t>Andrew</t>
  </si>
  <si>
    <t xml:space="preserve">133 3rd Ave SW Apt 201 </t>
  </si>
  <si>
    <t>Hutchinson</t>
  </si>
  <si>
    <t>Hemmelsbach</t>
  </si>
  <si>
    <t xml:space="preserve">702 Couples St </t>
  </si>
  <si>
    <t>Lady Lake</t>
  </si>
  <si>
    <t>Sonin</t>
  </si>
  <si>
    <t>John S.</t>
  </si>
  <si>
    <t xml:space="preserve">2201 Crow Hill Dr Apt A6 </t>
  </si>
  <si>
    <t>AK</t>
  </si>
  <si>
    <t>Peckover</t>
  </si>
  <si>
    <t>Geoffrey</t>
  </si>
  <si>
    <t xml:space="preserve">1368 E 18th St </t>
  </si>
  <si>
    <t>Koepfer</t>
  </si>
  <si>
    <t>Adelheid</t>
  </si>
  <si>
    <t xml:space="preserve">34 Whiffle Tree Rd </t>
  </si>
  <si>
    <t>Wallingford</t>
  </si>
  <si>
    <t>06492-2867</t>
  </si>
  <si>
    <t>Gedgaudas</t>
  </si>
  <si>
    <t>Nora</t>
  </si>
  <si>
    <t xml:space="preserve">5200 SW Pomona St Unit STEAPTETCOPTION </t>
  </si>
  <si>
    <t>Segal</t>
  </si>
  <si>
    <t xml:space="preserve">4743 E Mabel St Tucson AZ85712 </t>
  </si>
  <si>
    <t>T J</t>
  </si>
  <si>
    <t xml:space="preserve">Undefined </t>
  </si>
  <si>
    <t>Gig Harbor</t>
  </si>
  <si>
    <t>MacKenzie</t>
  </si>
  <si>
    <t xml:space="preserve">1235 Yale Pl Apt 607 </t>
  </si>
  <si>
    <t>55403-1945</t>
  </si>
  <si>
    <t>Stevens</t>
  </si>
  <si>
    <t xml:space="preserve">409 N Pch Hwy Ste 388 </t>
  </si>
  <si>
    <t>Esser</t>
  </si>
  <si>
    <t>Char</t>
  </si>
  <si>
    <t xml:space="preserve">505 Van Lears Run </t>
  </si>
  <si>
    <t>Villanova</t>
  </si>
  <si>
    <t>Pettis</t>
  </si>
  <si>
    <t xml:space="preserve">25408 Silver Crest Ct </t>
  </si>
  <si>
    <t>Santa Clarita</t>
  </si>
  <si>
    <t>91350-3346</t>
  </si>
  <si>
    <t xml:space="preserve">10795 County Road 197A Lot 194 </t>
  </si>
  <si>
    <t>Nathrop</t>
  </si>
  <si>
    <t>McNellis</t>
  </si>
  <si>
    <t>Gerald</t>
  </si>
  <si>
    <t xml:space="preserve">1252 Laurel Way </t>
  </si>
  <si>
    <t>Monterey</t>
  </si>
  <si>
    <t>Cranmer</t>
  </si>
  <si>
    <t>Julia</t>
  </si>
  <si>
    <t xml:space="preserve">2371 Route 206 </t>
  </si>
  <si>
    <t>Southampton</t>
  </si>
  <si>
    <t>England</t>
  </si>
  <si>
    <t xml:space="preserve">19 FRONT </t>
  </si>
  <si>
    <t>Winchester</t>
  </si>
  <si>
    <t>Behrens</t>
  </si>
  <si>
    <t>K.</t>
  </si>
  <si>
    <t xml:space="preserve">3788 Johns St </t>
  </si>
  <si>
    <t xml:space="preserve">6854 Sly Park Rd # 0 </t>
  </si>
  <si>
    <t>Placerville</t>
  </si>
  <si>
    <t>Natalini</t>
  </si>
  <si>
    <t xml:space="preserve">6282 Commodore Sloat Dr Apt 1 </t>
  </si>
  <si>
    <t>Cosgrove</t>
  </si>
  <si>
    <t xml:space="preserve">307 SE Avenue B Apt A </t>
  </si>
  <si>
    <t>Carrabelle</t>
  </si>
  <si>
    <t>Panciocco</t>
  </si>
  <si>
    <t>Sammia</t>
  </si>
  <si>
    <t xml:space="preserve">6 Telfer Cir # O </t>
  </si>
  <si>
    <t>Gregory D</t>
  </si>
  <si>
    <t xml:space="preserve">13311 Riggs Way </t>
  </si>
  <si>
    <t>Windermere</t>
  </si>
  <si>
    <t>34786-6361</t>
  </si>
  <si>
    <t>Kriss</t>
  </si>
  <si>
    <t>Evan Jane</t>
  </si>
  <si>
    <t xml:space="preserve">26 Cloud View Rd </t>
  </si>
  <si>
    <t>Sausalito</t>
  </si>
  <si>
    <t>94965-2066</t>
  </si>
  <si>
    <t>Hildy</t>
  </si>
  <si>
    <t xml:space="preserve">6363 Cumberland Rd </t>
  </si>
  <si>
    <t>Magalia</t>
  </si>
  <si>
    <t>Tull</t>
  </si>
  <si>
    <t xml:space="preserve">2454 Desert Hills Dr </t>
  </si>
  <si>
    <t>Alamogordo</t>
  </si>
  <si>
    <t>Hall</t>
  </si>
  <si>
    <t>Silvia</t>
  </si>
  <si>
    <t xml:space="preserve">349 NE 3rd St </t>
  </si>
  <si>
    <t>Boca Raton</t>
  </si>
  <si>
    <t>Harrell</t>
  </si>
  <si>
    <t>Jan</t>
  </si>
  <si>
    <t xml:space="preserve">218 W Hersey St </t>
  </si>
  <si>
    <t xml:space="preserve">5440 S Havana Ct </t>
  </si>
  <si>
    <t>80111-3817</t>
  </si>
  <si>
    <t>Winters</t>
  </si>
  <si>
    <t xml:space="preserve">24901 Roberts Dr </t>
  </si>
  <si>
    <t>Black Diamond</t>
  </si>
  <si>
    <t>Brom</t>
  </si>
  <si>
    <t xml:space="preserve">6700 Stoneridge Dr Unit 23 </t>
  </si>
  <si>
    <t>Champion</t>
  </si>
  <si>
    <t>Perszyk</t>
  </si>
  <si>
    <t>Kim</t>
  </si>
  <si>
    <t xml:space="preserve">1759 Pentuckett Ave </t>
  </si>
  <si>
    <t>92104-5727</t>
  </si>
  <si>
    <t>King</t>
  </si>
  <si>
    <t>W Jason</t>
  </si>
  <si>
    <t xml:space="preserve">1777 Peoria St Apt 105 </t>
  </si>
  <si>
    <t>80010-2929</t>
  </si>
  <si>
    <t>Huttner</t>
  </si>
  <si>
    <t xml:space="preserve">233 W Newhall Ave </t>
  </si>
  <si>
    <t>Waukesha</t>
  </si>
  <si>
    <t>Caspar</t>
  </si>
  <si>
    <t xml:space="preserve">525 Hopewell Rd </t>
  </si>
  <si>
    <t>Downingtown</t>
  </si>
  <si>
    <t>19335-1220</t>
  </si>
  <si>
    <t>Forsythe</t>
  </si>
  <si>
    <t>Santa Clara</t>
  </si>
  <si>
    <t>Millican</t>
  </si>
  <si>
    <t xml:space="preserve">218 5th Ave W </t>
  </si>
  <si>
    <t>Heintz</t>
  </si>
  <si>
    <t>Penny</t>
  </si>
  <si>
    <t xml:space="preserve">15033 Towle Ln </t>
  </si>
  <si>
    <t>Grass Valley</t>
  </si>
  <si>
    <t>95945-7885</t>
  </si>
  <si>
    <t>Rodar</t>
  </si>
  <si>
    <t>Jodi</t>
  </si>
  <si>
    <t>Koltuv</t>
  </si>
  <si>
    <t>Myron</t>
  </si>
  <si>
    <t xml:space="preserve">135 Schroon Hill Rd </t>
  </si>
  <si>
    <t>Kerhonkson</t>
  </si>
  <si>
    <t>12446-1410</t>
  </si>
  <si>
    <t xml:space="preserve">275 Los Ranchitos Rd </t>
  </si>
  <si>
    <t>San Rafael</t>
  </si>
  <si>
    <t>Leblanc</t>
  </si>
  <si>
    <t xml:space="preserve">4550 N Flowing Wells Rd Unit 89 </t>
  </si>
  <si>
    <t>Marian</t>
  </si>
  <si>
    <t xml:space="preserve">501 Tuckaway Dr </t>
  </si>
  <si>
    <t>Adams</t>
  </si>
  <si>
    <t xml:space="preserve">1050 Plum Creek Dr </t>
  </si>
  <si>
    <t>Crownsville</t>
  </si>
  <si>
    <t>Marks</t>
  </si>
  <si>
    <t xml:space="preserve">738 Caroline St </t>
  </si>
  <si>
    <t>Mondazze</t>
  </si>
  <si>
    <t xml:space="preserve">2114 N 45th Ave </t>
  </si>
  <si>
    <t>Hollywood</t>
  </si>
  <si>
    <t xml:space="preserve">52 Sioux Ct </t>
  </si>
  <si>
    <t>Red Feather Lakes</t>
  </si>
  <si>
    <t>Lampkin</t>
  </si>
  <si>
    <t xml:space="preserve">1731 RABBIT CREEK Rd </t>
  </si>
  <si>
    <t>Franklin</t>
  </si>
  <si>
    <t>Brigandi</t>
  </si>
  <si>
    <t xml:space="preserve">401 W Hildreth Ave </t>
  </si>
  <si>
    <t>Wildwood</t>
  </si>
  <si>
    <t>Firestone</t>
  </si>
  <si>
    <t>Klara</t>
  </si>
  <si>
    <t xml:space="preserve">470 S Bedford Dr Apt 101 </t>
  </si>
  <si>
    <t>90212-4180</t>
  </si>
  <si>
    <t>Burger</t>
  </si>
  <si>
    <t xml:space="preserve">35 Lafayette Sq Fl 3 </t>
  </si>
  <si>
    <t>Haverhill</t>
  </si>
  <si>
    <t>Johnston</t>
  </si>
  <si>
    <t xml:space="preserve">377 Alvarado St </t>
  </si>
  <si>
    <t>Brisbane</t>
  </si>
  <si>
    <t>Joslyn</t>
  </si>
  <si>
    <t xml:space="preserve">ALEXANDER Rd </t>
  </si>
  <si>
    <t>New Britain</t>
  </si>
  <si>
    <t>Demetzky</t>
  </si>
  <si>
    <t xml:space="preserve">8134 Crestwood Dr </t>
  </si>
  <si>
    <t>44039-7312</t>
  </si>
  <si>
    <t>Kittle</t>
  </si>
  <si>
    <t>Rex</t>
  </si>
  <si>
    <t xml:space="preserve">26240 Huntington St </t>
  </si>
  <si>
    <t>Roseville</t>
  </si>
  <si>
    <t>48066-3439</t>
  </si>
  <si>
    <t>Castaline</t>
  </si>
  <si>
    <t>Myrna</t>
  </si>
  <si>
    <t xml:space="preserve">MOORHEAD </t>
  </si>
  <si>
    <t>Nuesch</t>
  </si>
  <si>
    <t xml:space="preserve">5419 Hollywood Blvd </t>
  </si>
  <si>
    <t>90027-3480</t>
  </si>
  <si>
    <t xml:space="preserve">355 8th Ave </t>
  </si>
  <si>
    <t>Simmonds</t>
  </si>
  <si>
    <t>Beatrice</t>
  </si>
  <si>
    <t xml:space="preserve">1409 Metropolitan Ave Apt 5B </t>
  </si>
  <si>
    <t>Conover</t>
  </si>
  <si>
    <t>Tacey</t>
  </si>
  <si>
    <t>Hutzelman</t>
  </si>
  <si>
    <t xml:space="preserve">14707 BARRYKNOLL HOUSTON 77079 </t>
  </si>
  <si>
    <t>Eichenbaum</t>
  </si>
  <si>
    <t>Ingrid</t>
  </si>
  <si>
    <t xml:space="preserve">106 Kualapa Pl </t>
  </si>
  <si>
    <t>Lahaina</t>
  </si>
  <si>
    <t>Streich</t>
  </si>
  <si>
    <t xml:space="preserve">42011 Carriage Cove Dr Unit CANTON </t>
  </si>
  <si>
    <t xml:space="preserve">34364 Backbone Rd </t>
  </si>
  <si>
    <t>Auberry</t>
  </si>
  <si>
    <t xml:space="preserve">9 N Virginia Ave </t>
  </si>
  <si>
    <t>Brunswick</t>
  </si>
  <si>
    <t>Turley</t>
  </si>
  <si>
    <t>Leann</t>
  </si>
  <si>
    <t xml:space="preserve">PO Box 672 </t>
  </si>
  <si>
    <t>Clearfield</t>
  </si>
  <si>
    <t>Staker</t>
  </si>
  <si>
    <t xml:space="preserve">1900 W Quinn Rd Trlr Quinn Rd Trlr 19005 </t>
  </si>
  <si>
    <t>Pocatello</t>
  </si>
  <si>
    <t>Volz</t>
  </si>
  <si>
    <t>Candace</t>
  </si>
  <si>
    <t xml:space="preserve">1410 CRESTON Rd </t>
  </si>
  <si>
    <t>Marney</t>
  </si>
  <si>
    <t xml:space="preserve">508 Robin Ln </t>
  </si>
  <si>
    <t>Florence</t>
  </si>
  <si>
    <t>Chad</t>
  </si>
  <si>
    <t xml:space="preserve">12359 Twilight Ave </t>
  </si>
  <si>
    <t>Sylmar</t>
  </si>
  <si>
    <t>Schaub</t>
  </si>
  <si>
    <t>Marsha</t>
  </si>
  <si>
    <t xml:space="preserve">151 Big Springs Dr </t>
  </si>
  <si>
    <t>Naples</t>
  </si>
  <si>
    <t>Gendvil</t>
  </si>
  <si>
    <t>Derek</t>
  </si>
  <si>
    <t xml:space="preserve">9421 Darwell Dr </t>
  </si>
  <si>
    <t>Yates</t>
  </si>
  <si>
    <t xml:space="preserve">37 Lakeshore Dr </t>
  </si>
  <si>
    <t>Forsyth</t>
  </si>
  <si>
    <t>Donald</t>
  </si>
  <si>
    <t xml:space="preserve">102 Delabarre Ave # B </t>
  </si>
  <si>
    <t>Conway</t>
  </si>
  <si>
    <t>01341-9733</t>
  </si>
  <si>
    <t>Wulbern</t>
  </si>
  <si>
    <t>Kristina</t>
  </si>
  <si>
    <t>Sarnacki</t>
  </si>
  <si>
    <t xml:space="preserve">2 Robin Ln </t>
  </si>
  <si>
    <t>Troy</t>
  </si>
  <si>
    <t>Eigles</t>
  </si>
  <si>
    <t>Norma</t>
  </si>
  <si>
    <t xml:space="preserve">6152 Verde Trl N Apt E216 </t>
  </si>
  <si>
    <t>33433-2437</t>
  </si>
  <si>
    <t>Ehli</t>
  </si>
  <si>
    <t>Dawn</t>
  </si>
  <si>
    <t xml:space="preserve">129 Lantern Ridge Ln </t>
  </si>
  <si>
    <t>Cary</t>
  </si>
  <si>
    <t>Fotsch</t>
  </si>
  <si>
    <t xml:space="preserve">1304 W Jefferson St Apt 3 </t>
  </si>
  <si>
    <t>Thomas-Brown</t>
  </si>
  <si>
    <t>Pauline</t>
  </si>
  <si>
    <t xml:space="preserve">58 Royal Ln </t>
  </si>
  <si>
    <t>Burlington</t>
  </si>
  <si>
    <t>Obert</t>
  </si>
  <si>
    <t xml:space="preserve">10 Quaddick Rd </t>
  </si>
  <si>
    <t>Kitay</t>
  </si>
  <si>
    <t>Lawrence</t>
  </si>
  <si>
    <t xml:space="preserve">SCOTTSDALE Rd </t>
  </si>
  <si>
    <t>McKee</t>
  </si>
  <si>
    <t xml:space="preserve">2349 E 1st St </t>
  </si>
  <si>
    <t>O'Kiersey</t>
  </si>
  <si>
    <t>Mary E.</t>
  </si>
  <si>
    <t xml:space="preserve">1025 Pleasant Pl Apt 9 </t>
  </si>
  <si>
    <t>Oak Park</t>
  </si>
  <si>
    <t>60302-3172</t>
  </si>
  <si>
    <t xml:space="preserve">1530 Hamilton Ave </t>
  </si>
  <si>
    <t>Cartwright</t>
  </si>
  <si>
    <t>Charlsey</t>
  </si>
  <si>
    <t xml:space="preserve">9962 Valderama Way </t>
  </si>
  <si>
    <t>Calcagno</t>
  </si>
  <si>
    <t xml:space="preserve">55 Heather Way </t>
  </si>
  <si>
    <t>Wood River</t>
  </si>
  <si>
    <t>Schumm</t>
  </si>
  <si>
    <t xml:space="preserve">PO Box 68996 </t>
  </si>
  <si>
    <t>Oro Valley</t>
  </si>
  <si>
    <t>Storer</t>
  </si>
  <si>
    <t xml:space="preserve">3791 E Edison St </t>
  </si>
  <si>
    <t>Leary</t>
  </si>
  <si>
    <t>Westbrook</t>
  </si>
  <si>
    <t>Fulmer</t>
  </si>
  <si>
    <t xml:space="preserve">113 Mitchell St Apt 4B </t>
  </si>
  <si>
    <t>Saint Michaels</t>
  </si>
  <si>
    <t>21663-2172</t>
  </si>
  <si>
    <t>Lucas</t>
  </si>
  <si>
    <t xml:space="preserve">6301 NE 7TH Ave </t>
  </si>
  <si>
    <t>Osteen</t>
  </si>
  <si>
    <t xml:space="preserve">10817 Graeloch Rd </t>
  </si>
  <si>
    <t>20723-1124</t>
  </si>
  <si>
    <t xml:space="preserve">1100 Elm Ave </t>
  </si>
  <si>
    <t>Uhlman</t>
  </si>
  <si>
    <t xml:space="preserve">161 E Chicago Ave Unit 27F </t>
  </si>
  <si>
    <t>Jakobcic</t>
  </si>
  <si>
    <t>Porcher</t>
  </si>
  <si>
    <t>Janeene</t>
  </si>
  <si>
    <t xml:space="preserve">13568 W 23rd Pl </t>
  </si>
  <si>
    <t>Golden</t>
  </si>
  <si>
    <t>80401-6804</t>
  </si>
  <si>
    <t>Kaser-Odor</t>
  </si>
  <si>
    <t xml:space="preserve">278 Fryling Ave SW </t>
  </si>
  <si>
    <t>28025-5776</t>
  </si>
  <si>
    <t>Sheri</t>
  </si>
  <si>
    <t>Camp Verde</t>
  </si>
  <si>
    <t>Corliss</t>
  </si>
  <si>
    <t>Nan</t>
  </si>
  <si>
    <t xml:space="preserve">10300 Morris Rd </t>
  </si>
  <si>
    <t>Weisman</t>
  </si>
  <si>
    <t>Baruch</t>
  </si>
  <si>
    <t xml:space="preserve">1029 E 12th St </t>
  </si>
  <si>
    <t>Edward And Gail</t>
  </si>
  <si>
    <t xml:space="preserve">422 8th St </t>
  </si>
  <si>
    <t>Reedy</t>
  </si>
  <si>
    <t>Stacy</t>
  </si>
  <si>
    <t xml:space="preserve">3613 Regency Dr </t>
  </si>
  <si>
    <t>Reading</t>
  </si>
  <si>
    <t>Waterston</t>
  </si>
  <si>
    <t xml:space="preserve">5815 Princeton Ave NE </t>
  </si>
  <si>
    <t>Rivas</t>
  </si>
  <si>
    <t>Nelida</t>
  </si>
  <si>
    <t xml:space="preserve">4325 Moss Spring Dr </t>
  </si>
  <si>
    <t xml:space="preserve">2764 Hedwig Dr </t>
  </si>
  <si>
    <t>Yorktown Heights</t>
  </si>
  <si>
    <t>10598-3226</t>
  </si>
  <si>
    <t>Abosida</t>
  </si>
  <si>
    <t xml:space="preserve">1905 Foothill Dr </t>
  </si>
  <si>
    <t>Francis</t>
  </si>
  <si>
    <t xml:space="preserve">8736 Bluff Ln </t>
  </si>
  <si>
    <t>Oliva</t>
  </si>
  <si>
    <t>Jacquelyn</t>
  </si>
  <si>
    <t xml:space="preserve">668 Angelo Ave </t>
  </si>
  <si>
    <t>Gurnee</t>
  </si>
  <si>
    <t>Moraski</t>
  </si>
  <si>
    <t xml:space="preserve">7611 Teal Bay </t>
  </si>
  <si>
    <t>Woodbury</t>
  </si>
  <si>
    <t xml:space="preserve">10526 Troon Ave </t>
  </si>
  <si>
    <t>Zylius</t>
  </si>
  <si>
    <t xml:space="preserve">11 PENNSYLVANIA Ave </t>
  </si>
  <si>
    <t>Nitzberg</t>
  </si>
  <si>
    <t>Berna</t>
  </si>
  <si>
    <t>Ditizio</t>
  </si>
  <si>
    <t xml:space="preserve">233 Iiilyssa Way </t>
  </si>
  <si>
    <t>Deddy</t>
  </si>
  <si>
    <t xml:space="preserve">11777 SW 91st Ter </t>
  </si>
  <si>
    <t>Stuhaan</t>
  </si>
  <si>
    <t xml:space="preserve">1731 E Adelaide Dr </t>
  </si>
  <si>
    <t>Proctor</t>
  </si>
  <si>
    <t>Green</t>
  </si>
  <si>
    <t>Wendy</t>
  </si>
  <si>
    <t xml:space="preserve">PO Box 823 </t>
  </si>
  <si>
    <t>Toledo</t>
  </si>
  <si>
    <t>McGarry</t>
  </si>
  <si>
    <t>A.C.</t>
  </si>
  <si>
    <t xml:space="preserve">15559 S Plaza Dr </t>
  </si>
  <si>
    <t>48180-6007</t>
  </si>
  <si>
    <t>McCartney</t>
  </si>
  <si>
    <t xml:space="preserve">Riostc Gmailcom </t>
  </si>
  <si>
    <t>Glen Allen</t>
  </si>
  <si>
    <t>Brace</t>
  </si>
  <si>
    <t xml:space="preserve">7215 Cascade Rd # 6908 </t>
  </si>
  <si>
    <t>Joshua Tree</t>
  </si>
  <si>
    <t>Guinan</t>
  </si>
  <si>
    <t xml:space="preserve">16879 Jacinto Rd Ste 4251 </t>
  </si>
  <si>
    <t xml:space="preserve">1401 Blair Mill Rd # A </t>
  </si>
  <si>
    <t>Bach</t>
  </si>
  <si>
    <t xml:space="preserve">4250 Players Pl Unit 2622 </t>
  </si>
  <si>
    <t>Sarasota</t>
  </si>
  <si>
    <t>34238-5451</t>
  </si>
  <si>
    <t xml:space="preserve">2223 Heritage Pt </t>
  </si>
  <si>
    <t>Morgantown</t>
  </si>
  <si>
    <t>26505-3065</t>
  </si>
  <si>
    <t>Turetsky</t>
  </si>
  <si>
    <t>Samantha</t>
  </si>
  <si>
    <t xml:space="preserve">2099 SW 72nd Ave </t>
  </si>
  <si>
    <t>33317-7119</t>
  </si>
  <si>
    <t>Perea</t>
  </si>
  <si>
    <t xml:space="preserve">450 W Portal Ave </t>
  </si>
  <si>
    <t>Rubin</t>
  </si>
  <si>
    <t xml:space="preserve">2221 Victoria Ave </t>
  </si>
  <si>
    <t>Oxnard</t>
  </si>
  <si>
    <t>93035-2930</t>
  </si>
  <si>
    <t>Novy</t>
  </si>
  <si>
    <t xml:space="preserve">3100 Alameda St </t>
  </si>
  <si>
    <t>97504-8680</t>
  </si>
  <si>
    <t>Malmuth</t>
  </si>
  <si>
    <t>Sonja</t>
  </si>
  <si>
    <t xml:space="preserve">3955 Indian Way Apt 102 </t>
  </si>
  <si>
    <t>Santa Ynez</t>
  </si>
  <si>
    <t>Norton</t>
  </si>
  <si>
    <t xml:space="preserve">1459 E State St 1459 East State St </t>
  </si>
  <si>
    <t>Aboulafia</t>
  </si>
  <si>
    <t>Darren</t>
  </si>
  <si>
    <t xml:space="preserve">838 NE Hancock St </t>
  </si>
  <si>
    <t>Porter</t>
  </si>
  <si>
    <t>Audrey</t>
  </si>
  <si>
    <t xml:space="preserve">198 Johnnycake Dr </t>
  </si>
  <si>
    <t>Schweyen</t>
  </si>
  <si>
    <t>Veronica</t>
  </si>
  <si>
    <t xml:space="preserve">25 Springvale Rd Apt C </t>
  </si>
  <si>
    <t>Croton On Hudson</t>
  </si>
  <si>
    <t xml:space="preserve">90717 LOMITA </t>
  </si>
  <si>
    <t>Lomita</t>
  </si>
  <si>
    <t>Teevan</t>
  </si>
  <si>
    <t xml:space="preserve">805 Hawksview Pl </t>
  </si>
  <si>
    <t>Chula Vista</t>
  </si>
  <si>
    <t>Ligammari</t>
  </si>
  <si>
    <t>Marcie</t>
  </si>
  <si>
    <t xml:space="preserve">610 N LIBBY </t>
  </si>
  <si>
    <t>Paradise</t>
  </si>
  <si>
    <t xml:space="preserve">6027 Sir Lancelot Ct NE </t>
  </si>
  <si>
    <t>Keizer</t>
  </si>
  <si>
    <t>97303-3564</t>
  </si>
  <si>
    <t>Kosec</t>
  </si>
  <si>
    <t>Youngstown</t>
  </si>
  <si>
    <t>Pierson</t>
  </si>
  <si>
    <t xml:space="preserve">624 N Macdonald </t>
  </si>
  <si>
    <t>Spicer</t>
  </si>
  <si>
    <t>Camilla</t>
  </si>
  <si>
    <t xml:space="preserve">5350 Rustic Dr </t>
  </si>
  <si>
    <t>Punta Gorda</t>
  </si>
  <si>
    <t>33982-8702</t>
  </si>
  <si>
    <t>Pernot</t>
  </si>
  <si>
    <t xml:space="preserve">5098 ROAD 245 </t>
  </si>
  <si>
    <t>Cortez</t>
  </si>
  <si>
    <t xml:space="preserve">2304 Greymoor Way </t>
  </si>
  <si>
    <t>Baldwinsville</t>
  </si>
  <si>
    <t>Paquette</t>
  </si>
  <si>
    <t xml:space="preserve">2288 University Ave W </t>
  </si>
  <si>
    <t>Tischler</t>
  </si>
  <si>
    <t xml:space="preserve">418 Brighton Dr </t>
  </si>
  <si>
    <t>Wheaton</t>
  </si>
  <si>
    <t>Woticky</t>
  </si>
  <si>
    <t xml:space="preserve">1437 Southwood Way </t>
  </si>
  <si>
    <t xml:space="preserve">51 Hillandale Dr </t>
  </si>
  <si>
    <t>Luehrmann</t>
  </si>
  <si>
    <t xml:space="preserve">223 N Guadalupe St </t>
  </si>
  <si>
    <t>Chamberlin</t>
  </si>
  <si>
    <t xml:space="preserve">1001 Cedro Ct </t>
  </si>
  <si>
    <t>Los Alamos</t>
  </si>
  <si>
    <t xml:space="preserve">12104 Ashford Gables Dr </t>
  </si>
  <si>
    <t>Dunwoody</t>
  </si>
  <si>
    <t>Vogelsang</t>
  </si>
  <si>
    <t xml:space="preserve">5034 Willowcrest Ave </t>
  </si>
  <si>
    <t>North Hollywood</t>
  </si>
  <si>
    <t>Benes</t>
  </si>
  <si>
    <t xml:space="preserve">299 W Mingus Ave </t>
  </si>
  <si>
    <t>Cottonwood</t>
  </si>
  <si>
    <t xml:space="preserve">2431 Palace Dr </t>
  </si>
  <si>
    <t>Kambra</t>
  </si>
  <si>
    <t xml:space="preserve">5113 Jacobs Creek Ct </t>
  </si>
  <si>
    <t>Sevilla</t>
  </si>
  <si>
    <t xml:space="preserve">7050 Shoup Ave Unit 162 </t>
  </si>
  <si>
    <t>Canoga Park</t>
  </si>
  <si>
    <t>Skelton</t>
  </si>
  <si>
    <t xml:space="preserve">40900 Bemis Rd </t>
  </si>
  <si>
    <t>Diederichs</t>
  </si>
  <si>
    <t xml:space="preserve">12956 Christman Ln </t>
  </si>
  <si>
    <t xml:space="preserve">W4199 Union Cemetery Rd </t>
  </si>
  <si>
    <t>Bonduel</t>
  </si>
  <si>
    <t>Nolan</t>
  </si>
  <si>
    <t xml:space="preserve">10540 N Blaney Ave </t>
  </si>
  <si>
    <t>Cupertino</t>
  </si>
  <si>
    <t>Zeigler</t>
  </si>
  <si>
    <t xml:space="preserve">6320 Marywood Dr </t>
  </si>
  <si>
    <t>Huchingson</t>
  </si>
  <si>
    <t>June</t>
  </si>
  <si>
    <t xml:space="preserve">141 W Boston Blvd </t>
  </si>
  <si>
    <t>Larson</t>
  </si>
  <si>
    <t xml:space="preserve">3408 Beauty Lake Rd SW </t>
  </si>
  <si>
    <t>Pillager</t>
  </si>
  <si>
    <t>Rigby</t>
  </si>
  <si>
    <t xml:space="preserve">10 Ivy Ln </t>
  </si>
  <si>
    <t>Gold</t>
  </si>
  <si>
    <t>Esther</t>
  </si>
  <si>
    <t xml:space="preserve">PO Box 77 </t>
  </si>
  <si>
    <t>Carman</t>
  </si>
  <si>
    <t xml:space="preserve">194 Abcaw Blvd </t>
  </si>
  <si>
    <t>Myrtle Beach</t>
  </si>
  <si>
    <t>Boots</t>
  </si>
  <si>
    <t xml:space="preserve">2363 Old Trail Dr </t>
  </si>
  <si>
    <t>Reston</t>
  </si>
  <si>
    <t xml:space="preserve">9965 Ridgefield Dr </t>
  </si>
  <si>
    <t>Zierikzee</t>
  </si>
  <si>
    <t>R.</t>
  </si>
  <si>
    <t xml:space="preserve">845 Euclid Ave Apt 4 </t>
  </si>
  <si>
    <t xml:space="preserve">11930 State Route 28 </t>
  </si>
  <si>
    <t>Forestport</t>
  </si>
  <si>
    <t>Kuehnling</t>
  </si>
  <si>
    <t xml:space="preserve">8 Shire Dr S </t>
  </si>
  <si>
    <t>East Amherst</t>
  </si>
  <si>
    <t xml:space="preserve">8312 Vera Dr </t>
  </si>
  <si>
    <t>Broadview Heights</t>
  </si>
  <si>
    <t>Engle</t>
  </si>
  <si>
    <t>I.</t>
  </si>
  <si>
    <t>La Luz</t>
  </si>
  <si>
    <t>Lanzman</t>
  </si>
  <si>
    <t xml:space="preserve">1784 Simmons Gap Rd </t>
  </si>
  <si>
    <t>Dyke</t>
  </si>
  <si>
    <t>Tigerlily</t>
  </si>
  <si>
    <t>Eliot</t>
  </si>
  <si>
    <t xml:space="preserve">906 Redwood Dr </t>
  </si>
  <si>
    <t>Garberville</t>
  </si>
  <si>
    <t>Von Glahn</t>
  </si>
  <si>
    <t xml:space="preserve">119 Hartsdale Ave </t>
  </si>
  <si>
    <t xml:space="preserve">2004 Mill Run Dr </t>
  </si>
  <si>
    <t>Hartman</t>
  </si>
  <si>
    <t xml:space="preserve">481 Harrison St </t>
  </si>
  <si>
    <t>Nutley</t>
  </si>
  <si>
    <t>Wissler</t>
  </si>
  <si>
    <t xml:space="preserve">PO Box 566 </t>
  </si>
  <si>
    <t>Middlebury</t>
  </si>
  <si>
    <t xml:space="preserve">3864 Clayton Ave </t>
  </si>
  <si>
    <t>Wakefield</t>
  </si>
  <si>
    <t xml:space="preserve">6050 Nevada Ave Apt 13 </t>
  </si>
  <si>
    <t>Will</t>
  </si>
  <si>
    <t xml:space="preserve">1572 Fernbrook Way </t>
  </si>
  <si>
    <t>Upland</t>
  </si>
  <si>
    <t>Wick</t>
  </si>
  <si>
    <t xml:space="preserve">623 Sausalito Blvd CA94965 </t>
  </si>
  <si>
    <t>Eloise</t>
  </si>
  <si>
    <t xml:space="preserve">529 Palace Ct </t>
  </si>
  <si>
    <t>Van Dyke</t>
  </si>
  <si>
    <t>Carl</t>
  </si>
  <si>
    <t xml:space="preserve">PO Box 490 </t>
  </si>
  <si>
    <t>Monte Rio</t>
  </si>
  <si>
    <t>Ballard</t>
  </si>
  <si>
    <t xml:space="preserve">3120 Ripple Rd </t>
  </si>
  <si>
    <t>Windsor Mill</t>
  </si>
  <si>
    <t>Bunting</t>
  </si>
  <si>
    <t xml:space="preserve">6506 Darnall Rd Null </t>
  </si>
  <si>
    <t>Towson</t>
  </si>
  <si>
    <t>Levy</t>
  </si>
  <si>
    <t xml:space="preserve">9151 Lime Bay Blvd Apt 310 </t>
  </si>
  <si>
    <t>Kinney</t>
  </si>
  <si>
    <t xml:space="preserve">813 Hunt Ave </t>
  </si>
  <si>
    <t>Alamosa</t>
  </si>
  <si>
    <t xml:space="preserve">4123 E Blanche Dr </t>
  </si>
  <si>
    <t>Ronald And Deidre</t>
  </si>
  <si>
    <t xml:space="preserve">214 4th Ave </t>
  </si>
  <si>
    <t>Mourtada</t>
  </si>
  <si>
    <t>Hussein</t>
  </si>
  <si>
    <t xml:space="preserve">2518 Glenrise Pl </t>
  </si>
  <si>
    <t>Wesley Chapel</t>
  </si>
  <si>
    <t>Schecter</t>
  </si>
  <si>
    <t xml:space="preserve">1154 Pulehu Rd </t>
  </si>
  <si>
    <t>Wilson</t>
  </si>
  <si>
    <t xml:space="preserve">302 Maryland St Apt 5 </t>
  </si>
  <si>
    <t>El Segundo</t>
  </si>
  <si>
    <t>Tambornino</t>
  </si>
  <si>
    <t>John And Dorothy</t>
  </si>
  <si>
    <t xml:space="preserve">W4844 27th St </t>
  </si>
  <si>
    <t>Necedah</t>
  </si>
  <si>
    <t>Lynch</t>
  </si>
  <si>
    <t xml:space="preserve">636 Dover Rd Apt 1 </t>
  </si>
  <si>
    <t>Easton</t>
  </si>
  <si>
    <t>Sardineer</t>
  </si>
  <si>
    <t>Ann Marie</t>
  </si>
  <si>
    <t xml:space="preserve">233 Woodlawn Dr </t>
  </si>
  <si>
    <t>Trafford</t>
  </si>
  <si>
    <t>Wilhite</t>
  </si>
  <si>
    <t xml:space="preserve">7015 Chico Way NW </t>
  </si>
  <si>
    <t>Bremerton</t>
  </si>
  <si>
    <t>Vayu</t>
  </si>
  <si>
    <t>Satya</t>
  </si>
  <si>
    <t xml:space="preserve">6608 SE 81st Ave </t>
  </si>
  <si>
    <t>Moore</t>
  </si>
  <si>
    <t>Anthony</t>
  </si>
  <si>
    <t xml:space="preserve">8820 W Portage St </t>
  </si>
  <si>
    <t>Foy</t>
  </si>
  <si>
    <t>Joy</t>
  </si>
  <si>
    <t xml:space="preserve">403 E School St </t>
  </si>
  <si>
    <t>Fry</t>
  </si>
  <si>
    <t xml:space="preserve">115 Pine Cone Rd </t>
  </si>
  <si>
    <t>Mondragon</t>
  </si>
  <si>
    <t xml:space="preserve">601 Hermits Trl </t>
  </si>
  <si>
    <t>Altamonte Springs</t>
  </si>
  <si>
    <t>Romo</t>
  </si>
  <si>
    <t>Roberto</t>
  </si>
  <si>
    <t xml:space="preserve">3227 Anza St </t>
  </si>
  <si>
    <t>Wright</t>
  </si>
  <si>
    <t>Georgina</t>
  </si>
  <si>
    <t xml:space="preserve">4370 New Suffolk St Unit 101 </t>
  </si>
  <si>
    <t>Bonetti</t>
  </si>
  <si>
    <t xml:space="preserve">1170 Monroe Dr Apt B </t>
  </si>
  <si>
    <t xml:space="preserve">19 E 32nd Ave </t>
  </si>
  <si>
    <t>Spokane</t>
  </si>
  <si>
    <t>Tyler</t>
  </si>
  <si>
    <t xml:space="preserve">16 Seaside Cir </t>
  </si>
  <si>
    <t>Newport Beach</t>
  </si>
  <si>
    <t>Klemme Eliceiri</t>
  </si>
  <si>
    <t xml:space="preserve">649 Bismark Ave </t>
  </si>
  <si>
    <t xml:space="preserve">1226 S State St </t>
  </si>
  <si>
    <t>Hayden</t>
  </si>
  <si>
    <t xml:space="preserve">8205 N Espe Rd </t>
  </si>
  <si>
    <t>Foley</t>
  </si>
  <si>
    <t xml:space="preserve">6619 Lussier Dr </t>
  </si>
  <si>
    <t>Asnes</t>
  </si>
  <si>
    <t xml:space="preserve">185 Bellevue Rd </t>
  </si>
  <si>
    <t>Watertown</t>
  </si>
  <si>
    <t xml:space="preserve">94224 Templeton Rd </t>
  </si>
  <si>
    <t>Junction City</t>
  </si>
  <si>
    <t>Castelli-Hill</t>
  </si>
  <si>
    <t xml:space="preserve">518 Sweet Hollow Rd </t>
  </si>
  <si>
    <t>Melville</t>
  </si>
  <si>
    <t>Durrum</t>
  </si>
  <si>
    <t xml:space="preserve">1818 S Fundy Way </t>
  </si>
  <si>
    <t>Angeline</t>
  </si>
  <si>
    <t xml:space="preserve">PO Box 17932 </t>
  </si>
  <si>
    <t>Ainsley</t>
  </si>
  <si>
    <t xml:space="preserve">1227 Pine Needle Ct Apt 307 </t>
  </si>
  <si>
    <t>Dinsmore</t>
  </si>
  <si>
    <t xml:space="preserve">117 Glenview St </t>
  </si>
  <si>
    <t xml:space="preserve">1754 Lang Dr </t>
  </si>
  <si>
    <t>Crofton</t>
  </si>
  <si>
    <t xml:space="preserve">7319 N Camino De La Tierra </t>
  </si>
  <si>
    <t>Lang</t>
  </si>
  <si>
    <t>Lynn C.</t>
  </si>
  <si>
    <t xml:space="preserve">1721 Polaris Ct </t>
  </si>
  <si>
    <t>Saint Cloud</t>
  </si>
  <si>
    <t>Guzman</t>
  </si>
  <si>
    <t>Edwin</t>
  </si>
  <si>
    <t xml:space="preserve">65 Passaic St </t>
  </si>
  <si>
    <t>North Middletown</t>
  </si>
  <si>
    <t>Farrell</t>
  </si>
  <si>
    <t xml:space="preserve">4005 N 24th St </t>
  </si>
  <si>
    <t>Tacoma</t>
  </si>
  <si>
    <t>Perrecone</t>
  </si>
  <si>
    <t>Jody</t>
  </si>
  <si>
    <t xml:space="preserve">5364 Woodland Pond Ln </t>
  </si>
  <si>
    <t>Loves Park</t>
  </si>
  <si>
    <t xml:space="preserve">1148 Western Dr </t>
  </si>
  <si>
    <t>Limyao</t>
  </si>
  <si>
    <t xml:space="preserve">6497 James Francis Pl </t>
  </si>
  <si>
    <t>Toye</t>
  </si>
  <si>
    <t xml:space="preserve">2185 160th St </t>
  </si>
  <si>
    <t>Clarinda</t>
  </si>
  <si>
    <t>Welch</t>
  </si>
  <si>
    <t>Divina</t>
  </si>
  <si>
    <t xml:space="preserve">5437 Flicker Way </t>
  </si>
  <si>
    <t>Dayton</t>
  </si>
  <si>
    <t>Mathews</t>
  </si>
  <si>
    <t xml:space="preserve">7369 Forest Ave </t>
  </si>
  <si>
    <t>Whittier</t>
  </si>
  <si>
    <t>Mayer</t>
  </si>
  <si>
    <t xml:space="preserve">4552 Mitchell Rd </t>
  </si>
  <si>
    <t>Turov</t>
  </si>
  <si>
    <t>Ilya</t>
  </si>
  <si>
    <t xml:space="preserve">26416 Field St </t>
  </si>
  <si>
    <t>Moreno Valley</t>
  </si>
  <si>
    <t>Hauck</t>
  </si>
  <si>
    <t xml:space="preserve">3 Oyster Creek Dr </t>
  </si>
  <si>
    <t>Keyport</t>
  </si>
  <si>
    <t>Bradford</t>
  </si>
  <si>
    <t xml:space="preserve">70 Flora Ct </t>
  </si>
  <si>
    <t>Pleasant Hill</t>
  </si>
  <si>
    <t>Forthofer</t>
  </si>
  <si>
    <t xml:space="preserve">3912 Divot Ct </t>
  </si>
  <si>
    <t>Erceg</t>
  </si>
  <si>
    <t xml:space="preserve">3079 Donnellville Rd </t>
  </si>
  <si>
    <t>Natrona Heights</t>
  </si>
  <si>
    <t>Mendez</t>
  </si>
  <si>
    <t xml:space="preserve">1836 Rodman St Apt 1 </t>
  </si>
  <si>
    <t>Voth</t>
  </si>
  <si>
    <t>Theodore</t>
  </si>
  <si>
    <t xml:space="preserve">17 N 7th St Apt 2 </t>
  </si>
  <si>
    <t>Cooper</t>
  </si>
  <si>
    <t xml:space="preserve">24 Woodruff Rd </t>
  </si>
  <si>
    <t>Morristown</t>
  </si>
  <si>
    <t>Behar</t>
  </si>
  <si>
    <t xml:space="preserve">3620 Floradale Ct </t>
  </si>
  <si>
    <t>Thousand Oaks</t>
  </si>
  <si>
    <t>Chamberlain</t>
  </si>
  <si>
    <t xml:space="preserve">2608 Greenway Dr # 907 </t>
  </si>
  <si>
    <t>Brownwood</t>
  </si>
  <si>
    <t xml:space="preserve">1901 Aggie Ln </t>
  </si>
  <si>
    <t>Girshick</t>
  </si>
  <si>
    <t xml:space="preserve">2653 N Platina </t>
  </si>
  <si>
    <t xml:space="preserve">5415 S Grove St Apt 4 </t>
  </si>
  <si>
    <t>Rocklin</t>
  </si>
  <si>
    <t>Coen</t>
  </si>
  <si>
    <t xml:space="preserve">132 Hillside Rd </t>
  </si>
  <si>
    <t>Zucker</t>
  </si>
  <si>
    <t>Marguery Lee</t>
  </si>
  <si>
    <t xml:space="preserve">1966 Orchard St </t>
  </si>
  <si>
    <t>Grant</t>
  </si>
  <si>
    <t xml:space="preserve">PO Box 727 </t>
  </si>
  <si>
    <t>Nevada City</t>
  </si>
  <si>
    <t>Wuerslin</t>
  </si>
  <si>
    <t xml:space="preserve">130 Hartman Pl </t>
  </si>
  <si>
    <t>Kazak</t>
  </si>
  <si>
    <t>Ilene</t>
  </si>
  <si>
    <t xml:space="preserve">7611 Dibrova Dr </t>
  </si>
  <si>
    <t>Brighton</t>
  </si>
  <si>
    <t>Jarvis</t>
  </si>
  <si>
    <t>G Joan</t>
  </si>
  <si>
    <t xml:space="preserve">14614 SW Grayling Ln </t>
  </si>
  <si>
    <t>Shah</t>
  </si>
  <si>
    <t>Nandita</t>
  </si>
  <si>
    <t xml:space="preserve">7024 Mink Hollow Rd </t>
  </si>
  <si>
    <t>Highland</t>
  </si>
  <si>
    <t>Whatley</t>
  </si>
  <si>
    <t xml:space="preserve">667 Rodney Dr </t>
  </si>
  <si>
    <t>Drabbs</t>
  </si>
  <si>
    <t xml:space="preserve">6900 Hensch Ave NE </t>
  </si>
  <si>
    <t>Hegedus</t>
  </si>
  <si>
    <t xml:space="preserve">404 Fox Trl </t>
  </si>
  <si>
    <t>Parkesburg</t>
  </si>
  <si>
    <t>Johns</t>
  </si>
  <si>
    <t xml:space="preserve">693 Yorktown Rd </t>
  </si>
  <si>
    <t>Lewisberry</t>
  </si>
  <si>
    <t>Tamara</t>
  </si>
  <si>
    <t xml:space="preserve">335 Manning Ln </t>
  </si>
  <si>
    <t>Hampton</t>
  </si>
  <si>
    <t>Trimmer</t>
  </si>
  <si>
    <t>Cathleen</t>
  </si>
  <si>
    <t xml:space="preserve">507 Oak Island Dr </t>
  </si>
  <si>
    <t>Erpelding-Garratt</t>
  </si>
  <si>
    <t xml:space="preserve">400 Plantation Grove Ln </t>
  </si>
  <si>
    <t>Saint Augustine</t>
  </si>
  <si>
    <t>Christensen</t>
  </si>
  <si>
    <t>Freya</t>
  </si>
  <si>
    <t xml:space="preserve">605 S SPRING St </t>
  </si>
  <si>
    <t>Werner</t>
  </si>
  <si>
    <t xml:space="preserve">39 Leonard Rd </t>
  </si>
  <si>
    <t>Hamden</t>
  </si>
  <si>
    <t xml:space="preserve">11561 W Colony St </t>
  </si>
  <si>
    <t>Boise</t>
  </si>
  <si>
    <t xml:space="preserve">19 Westfield Rd </t>
  </si>
  <si>
    <t xml:space="preserve">2 Loon Dr </t>
  </si>
  <si>
    <t>Topsham</t>
  </si>
  <si>
    <t>Edmond</t>
  </si>
  <si>
    <t xml:space="preserve">26512 Las Palmas Apt 1 </t>
  </si>
  <si>
    <t>Laguna Hills</t>
  </si>
  <si>
    <t xml:space="preserve">6 Peck Ave Apt 62B </t>
  </si>
  <si>
    <t>Rye</t>
  </si>
  <si>
    <t>Gover</t>
  </si>
  <si>
    <t>Pat And Gary</t>
  </si>
  <si>
    <t xml:space="preserve">300 Lincoln St </t>
  </si>
  <si>
    <t>Fairhope</t>
  </si>
  <si>
    <t xml:space="preserve">32251 Arlington Dr </t>
  </si>
  <si>
    <t>Bockian</t>
  </si>
  <si>
    <t xml:space="preserve">1501 Dorothy Ln </t>
  </si>
  <si>
    <t>Fullerton</t>
  </si>
  <si>
    <t>Frost</t>
  </si>
  <si>
    <t>Jaimie</t>
  </si>
  <si>
    <t xml:space="preserve">17 Silver Doe Ln </t>
  </si>
  <si>
    <t>Strom</t>
  </si>
  <si>
    <t>Lynna</t>
  </si>
  <si>
    <t xml:space="preserve">308 118th Ave NW </t>
  </si>
  <si>
    <t>Skaff</t>
  </si>
  <si>
    <t xml:space="preserve">23 Meadowood Ests </t>
  </si>
  <si>
    <t>Scott Depot</t>
  </si>
  <si>
    <t>Elliott</t>
  </si>
  <si>
    <t xml:space="preserve">110 Dorgate Rd </t>
  </si>
  <si>
    <t>Owings Mills</t>
  </si>
  <si>
    <t>Mejia</t>
  </si>
  <si>
    <t>Lily</t>
  </si>
  <si>
    <t xml:space="preserve">658 El Dorado Ln </t>
  </si>
  <si>
    <t>Hemet</t>
  </si>
  <si>
    <t>Wallace</t>
  </si>
  <si>
    <t>Guy</t>
  </si>
  <si>
    <t xml:space="preserve">1033 Bay Oaks Dr </t>
  </si>
  <si>
    <t>Mejides</t>
  </si>
  <si>
    <t>Andres</t>
  </si>
  <si>
    <t xml:space="preserve">25650 SW 197th Ave </t>
  </si>
  <si>
    <t>Homestead</t>
  </si>
  <si>
    <t>Syre</t>
  </si>
  <si>
    <t xml:space="preserve">1267 Bockius Ave </t>
  </si>
  <si>
    <t>Abington</t>
  </si>
  <si>
    <t>Pegg</t>
  </si>
  <si>
    <t>Lyn</t>
  </si>
  <si>
    <t xml:space="preserve">1335 Minnesota Ave </t>
  </si>
  <si>
    <t>Schmitt</t>
  </si>
  <si>
    <t xml:space="preserve">1 Sunset Ln </t>
  </si>
  <si>
    <t>Polk</t>
  </si>
  <si>
    <t xml:space="preserve">6405 SE 62nd Ave </t>
  </si>
  <si>
    <t>Fabiano</t>
  </si>
  <si>
    <t xml:space="preserve">9651 Argonne Way </t>
  </si>
  <si>
    <t>Forestville</t>
  </si>
  <si>
    <t>Ondre</t>
  </si>
  <si>
    <t xml:space="preserve">PO Box 661405 </t>
  </si>
  <si>
    <t>Trautmann</t>
  </si>
  <si>
    <t>Gene</t>
  </si>
  <si>
    <t xml:space="preserve">14546 Martha St </t>
  </si>
  <si>
    <t>Dalla</t>
  </si>
  <si>
    <t xml:space="preserve">2464 Abarth St </t>
  </si>
  <si>
    <t>Kunstler</t>
  </si>
  <si>
    <t xml:space="preserve">49 Highwood Rd </t>
  </si>
  <si>
    <t>East Norwich</t>
  </si>
  <si>
    <t>Creswell</t>
  </si>
  <si>
    <t xml:space="preserve">3663 Brookland Ave </t>
  </si>
  <si>
    <t>Alwart</t>
  </si>
  <si>
    <t xml:space="preserve">123 Evergreen Ct </t>
  </si>
  <si>
    <t xml:space="preserve">1812 S Watersilk Pl </t>
  </si>
  <si>
    <t>Piper</t>
  </si>
  <si>
    <t xml:space="preserve">404 Fremaux Ave </t>
  </si>
  <si>
    <t>Slidell</t>
  </si>
  <si>
    <t>Gutshall</t>
  </si>
  <si>
    <t>Tamra</t>
  </si>
  <si>
    <t xml:space="preserve">PO Box 303 </t>
  </si>
  <si>
    <t>Paonia</t>
  </si>
  <si>
    <t>Batty</t>
  </si>
  <si>
    <t>Vernon</t>
  </si>
  <si>
    <t xml:space="preserve">1160 Majestic Dr </t>
  </si>
  <si>
    <t>Pagosa Springs</t>
  </si>
  <si>
    <t>Kessler</t>
  </si>
  <si>
    <t>Roberta</t>
  </si>
  <si>
    <t xml:space="preserve">2340 Ardaugh Ave </t>
  </si>
  <si>
    <t>Crest Hill</t>
  </si>
  <si>
    <t>Huxoll</t>
  </si>
  <si>
    <t xml:space="preserve">17503 Catron Rd </t>
  </si>
  <si>
    <t>Alma</t>
  </si>
  <si>
    <t>Kerman</t>
  </si>
  <si>
    <t>Iris</t>
  </si>
  <si>
    <t xml:space="preserve">31 Denali Ct </t>
  </si>
  <si>
    <t>South Barrington</t>
  </si>
  <si>
    <t>Ferrucci</t>
  </si>
  <si>
    <t>Al</t>
  </si>
  <si>
    <t xml:space="preserve">5720 Friendship Ave </t>
  </si>
  <si>
    <t>Pittsburgh</t>
  </si>
  <si>
    <t>Malinowski Melody</t>
  </si>
  <si>
    <t>Sybil</t>
  </si>
  <si>
    <t xml:space="preserve">PO Box 1179 </t>
  </si>
  <si>
    <t>Clarkdale</t>
  </si>
  <si>
    <t>Millhollen</t>
  </si>
  <si>
    <t xml:space="preserve">2685 Benson Ln </t>
  </si>
  <si>
    <t>Blandford</t>
  </si>
  <si>
    <t xml:space="preserve">2800 Randy St </t>
  </si>
  <si>
    <t>Amarillo</t>
  </si>
  <si>
    <t>Cleveland</t>
  </si>
  <si>
    <t xml:space="preserve">713 Valley Way </t>
  </si>
  <si>
    <t>Atkins</t>
  </si>
  <si>
    <t>Ed</t>
  </si>
  <si>
    <t xml:space="preserve">1820 Panther Ridge Rd </t>
  </si>
  <si>
    <t>Netti</t>
  </si>
  <si>
    <t xml:space="preserve">1266 Via Escalante </t>
  </si>
  <si>
    <t>Asbell</t>
  </si>
  <si>
    <t xml:space="preserve">247 Mountain Mary Rd </t>
  </si>
  <si>
    <t>Boyertown</t>
  </si>
  <si>
    <t>Fairchild</t>
  </si>
  <si>
    <t xml:space="preserve">6885 Sherrard Rd </t>
  </si>
  <si>
    <t>Cambridge</t>
  </si>
  <si>
    <t>Palmer</t>
  </si>
  <si>
    <t xml:space="preserve">12940 Shasta Dr </t>
  </si>
  <si>
    <t>Rancho Cucamonga</t>
  </si>
  <si>
    <t>Kamin</t>
  </si>
  <si>
    <t xml:space="preserve">7460 S Aragon Blvd Unit 3 </t>
  </si>
  <si>
    <t>Sunrise</t>
  </si>
  <si>
    <t>Kat Rose</t>
  </si>
  <si>
    <t>Elana</t>
  </si>
  <si>
    <t xml:space="preserve">1 Pond View Cir </t>
  </si>
  <si>
    <t>Rapp</t>
  </si>
  <si>
    <t xml:space="preserve">611 Circle Dr </t>
  </si>
  <si>
    <t>East Palo Alto</t>
  </si>
  <si>
    <t>Flater</t>
  </si>
  <si>
    <t xml:space="preserve">802 Saunders Ct </t>
  </si>
  <si>
    <t>Lutherville</t>
  </si>
  <si>
    <t>Schulze</t>
  </si>
  <si>
    <t>Katarina</t>
  </si>
  <si>
    <t xml:space="preserve">209 N Emerson St </t>
  </si>
  <si>
    <t>Mt Prospect</t>
  </si>
  <si>
    <t>Hancock</t>
  </si>
  <si>
    <t xml:space="preserve">1305 E 30th St </t>
  </si>
  <si>
    <t>Tarallo</t>
  </si>
  <si>
    <t xml:space="preserve">10331 N 1000 W </t>
  </si>
  <si>
    <t>Demotte</t>
  </si>
  <si>
    <t>Ryder</t>
  </si>
  <si>
    <t xml:space="preserve">1024 Spruce St # A </t>
  </si>
  <si>
    <t>Hagerstown</t>
  </si>
  <si>
    <t>Mayellen</t>
  </si>
  <si>
    <t xml:space="preserve">16651 SE 17th St </t>
  </si>
  <si>
    <t>Quill</t>
  </si>
  <si>
    <t xml:space="preserve">4 Great Meadow Rd </t>
  </si>
  <si>
    <t>Byfield</t>
  </si>
  <si>
    <t>Fawn</t>
  </si>
  <si>
    <t xml:space="preserve">11 W 8th St </t>
  </si>
  <si>
    <t>Kocher</t>
  </si>
  <si>
    <t xml:space="preserve">7327 Occidental Rd </t>
  </si>
  <si>
    <t>Straubinger</t>
  </si>
  <si>
    <t xml:space="preserve">13820 Wakley Ct </t>
  </si>
  <si>
    <t>Centreville</t>
  </si>
  <si>
    <t xml:space="preserve">50 US Rte 1 </t>
  </si>
  <si>
    <t>Robbinston</t>
  </si>
  <si>
    <t xml:space="preserve">328 Summerwood Ln </t>
  </si>
  <si>
    <t>Castle Pines</t>
  </si>
  <si>
    <t>Hecht</t>
  </si>
  <si>
    <t xml:space="preserve">970 Melody Ln </t>
  </si>
  <si>
    <t>Henneman</t>
  </si>
  <si>
    <t>Chip</t>
  </si>
  <si>
    <t xml:space="preserve">3117 Orson F Dr </t>
  </si>
  <si>
    <t>Layton</t>
  </si>
  <si>
    <t>Swanke</t>
  </si>
  <si>
    <t xml:space="preserve">25 Garland Rd </t>
  </si>
  <si>
    <t>West Hartford</t>
  </si>
  <si>
    <t>Lambert</t>
  </si>
  <si>
    <t xml:space="preserve">402 Pleasant St </t>
  </si>
  <si>
    <t>Marlborough</t>
  </si>
  <si>
    <t>Garescher</t>
  </si>
  <si>
    <t>Marie</t>
  </si>
  <si>
    <t xml:space="preserve">3 Pheasant Walk </t>
  </si>
  <si>
    <t>Peekskill</t>
  </si>
  <si>
    <t>Duclaud</t>
  </si>
  <si>
    <t xml:space="preserve">461 2nd St Apt 230 </t>
  </si>
  <si>
    <t>Katz</t>
  </si>
  <si>
    <t xml:space="preserve">HONE St </t>
  </si>
  <si>
    <t>Kingston</t>
  </si>
  <si>
    <t>Bentley</t>
  </si>
  <si>
    <t xml:space="preserve">2232 Shade Valley Rd Apt A </t>
  </si>
  <si>
    <t>Heavyrunner</t>
  </si>
  <si>
    <t>Mia</t>
  </si>
  <si>
    <t xml:space="preserve">9540 SE Glendale St </t>
  </si>
  <si>
    <t>Port Orchard</t>
  </si>
  <si>
    <t xml:space="preserve">1349 Arkansas St </t>
  </si>
  <si>
    <t>Carey</t>
  </si>
  <si>
    <t xml:space="preserve">11 N Riding Dr </t>
  </si>
  <si>
    <t>Jenkins</t>
  </si>
  <si>
    <t>Vicki</t>
  </si>
  <si>
    <t xml:space="preserve">405 W Mount Pleasant Ave </t>
  </si>
  <si>
    <t>Edwards</t>
  </si>
  <si>
    <t xml:space="preserve">219 6th Ave </t>
  </si>
  <si>
    <t>Bergmann</t>
  </si>
  <si>
    <t xml:space="preserve">215 W Roanoke St </t>
  </si>
  <si>
    <t>Richmond</t>
  </si>
  <si>
    <t>Tenner</t>
  </si>
  <si>
    <t>Deborah And Robert</t>
  </si>
  <si>
    <t xml:space="preserve">6394 Ginger Dr </t>
  </si>
  <si>
    <t>Eden Prairie</t>
  </si>
  <si>
    <t>Kingery</t>
  </si>
  <si>
    <t xml:space="preserve">346 Circle Rd </t>
  </si>
  <si>
    <t>Manchester</t>
  </si>
  <si>
    <t>Rhoda</t>
  </si>
  <si>
    <t xml:space="preserve">18 E 8th St Apt 2A </t>
  </si>
  <si>
    <t>Saunders</t>
  </si>
  <si>
    <t xml:space="preserve">170 King St Unit 809 </t>
  </si>
  <si>
    <t xml:space="preserve">56 S 75th Pl </t>
  </si>
  <si>
    <t>Messing</t>
  </si>
  <si>
    <t xml:space="preserve">619 5th St None </t>
  </si>
  <si>
    <t>Traverse City</t>
  </si>
  <si>
    <t>Ray</t>
  </si>
  <si>
    <t>Kristy</t>
  </si>
  <si>
    <t xml:space="preserve">2302 Sinking Creek Rd </t>
  </si>
  <si>
    <t>Johnson City</t>
  </si>
  <si>
    <t>Winterer</t>
  </si>
  <si>
    <t>Maurna</t>
  </si>
  <si>
    <t xml:space="preserve">4537 E Rock Wren Rd </t>
  </si>
  <si>
    <t xml:space="preserve">100 Imperial Dr W Apt 301 </t>
  </si>
  <si>
    <t>West St Paul</t>
  </si>
  <si>
    <t>Orengo-McFarlane</t>
  </si>
  <si>
    <t xml:space="preserve">622 Donna Mae Ct Apt 1 </t>
  </si>
  <si>
    <t>El Sobrante</t>
  </si>
  <si>
    <t>Hanson</t>
  </si>
  <si>
    <t xml:space="preserve">11013 E Sahuaro Dr </t>
  </si>
  <si>
    <t>Neumann</t>
  </si>
  <si>
    <t xml:space="preserve">1244 SE Seaport Cir </t>
  </si>
  <si>
    <t>Corvallis</t>
  </si>
  <si>
    <t>Halligan</t>
  </si>
  <si>
    <t xml:space="preserve">1190 Schooner Way </t>
  </si>
  <si>
    <t>Yust</t>
  </si>
  <si>
    <t xml:space="preserve">13707 Tastad Rd </t>
  </si>
  <si>
    <t>Skevofilax</t>
  </si>
  <si>
    <t xml:space="preserve">1980 Commonwealth Ave Apt 31 </t>
  </si>
  <si>
    <t>Horner</t>
  </si>
  <si>
    <t xml:space="preserve">90 Virginia Ln </t>
  </si>
  <si>
    <t>Montecito</t>
  </si>
  <si>
    <t>Stofan</t>
  </si>
  <si>
    <t xml:space="preserve">3205 Lariat Ln </t>
  </si>
  <si>
    <t>Garland</t>
  </si>
  <si>
    <t>Kristin</t>
  </si>
  <si>
    <t xml:space="preserve">PO Box 238 </t>
  </si>
  <si>
    <t>Stafford</t>
  </si>
  <si>
    <t>Blackman</t>
  </si>
  <si>
    <t xml:space="preserve">107 Orchid Ct </t>
  </si>
  <si>
    <t>Round O</t>
  </si>
  <si>
    <t>McGuire</t>
  </si>
  <si>
    <t>Jason</t>
  </si>
  <si>
    <t xml:space="preserve">4022 Hawkmount Way </t>
  </si>
  <si>
    <t>San Ramon</t>
  </si>
  <si>
    <t>Majerowicz</t>
  </si>
  <si>
    <t xml:space="preserve">4449 Presidio Dr </t>
  </si>
  <si>
    <t>View Park</t>
  </si>
  <si>
    <t xml:space="preserve">4800 Blackhawk Rd </t>
  </si>
  <si>
    <t>Redding</t>
  </si>
  <si>
    <t>Mulvey</t>
  </si>
  <si>
    <t xml:space="preserve">1084 10 Mile Rd NE </t>
  </si>
  <si>
    <t>Comstock Park</t>
  </si>
  <si>
    <t>Perinchief</t>
  </si>
  <si>
    <t xml:space="preserve">3330 Arbor Way </t>
  </si>
  <si>
    <t>Nguyen</t>
  </si>
  <si>
    <t>Dylan</t>
  </si>
  <si>
    <t xml:space="preserve">555 Willow Ave </t>
  </si>
  <si>
    <t>Milpitas</t>
  </si>
  <si>
    <t>Richards</t>
  </si>
  <si>
    <t xml:space="preserve">20801 Cross Ct </t>
  </si>
  <si>
    <t>Schuster</t>
  </si>
  <si>
    <t>Loree</t>
  </si>
  <si>
    <t xml:space="preserve">53 W Tulpehocken St </t>
  </si>
  <si>
    <t xml:space="preserve">137 Arnold St </t>
  </si>
  <si>
    <t>Levinson</t>
  </si>
  <si>
    <t xml:space="preserve">332 E 6th St </t>
  </si>
  <si>
    <t>McMichael</t>
  </si>
  <si>
    <t xml:space="preserve">1028 Bernice Ave </t>
  </si>
  <si>
    <t>B</t>
  </si>
  <si>
    <t>Shary</t>
  </si>
  <si>
    <t xml:space="preserve">1950 Alaskan Way </t>
  </si>
  <si>
    <t>Rudman</t>
  </si>
  <si>
    <t xml:space="preserve">910 W End Ave </t>
  </si>
  <si>
    <t>Cargman</t>
  </si>
  <si>
    <t>Jered</t>
  </si>
  <si>
    <t xml:space="preserve">48700 Twin Pines Rd </t>
  </si>
  <si>
    <t>Banning</t>
  </si>
  <si>
    <t>Reese</t>
  </si>
  <si>
    <t xml:space="preserve">203 Washburn St </t>
  </si>
  <si>
    <t>Holloway</t>
  </si>
  <si>
    <t>Hakeem</t>
  </si>
  <si>
    <t xml:space="preserve">1208 W 30th St </t>
  </si>
  <si>
    <t>Gould</t>
  </si>
  <si>
    <t xml:space="preserve">16753 Gresham St </t>
  </si>
  <si>
    <t>Northridge</t>
  </si>
  <si>
    <t>Robbins</t>
  </si>
  <si>
    <t xml:space="preserve">223 Shingle Mill Dr </t>
  </si>
  <si>
    <t>Drums</t>
  </si>
  <si>
    <t>Wise</t>
  </si>
  <si>
    <t>Sally</t>
  </si>
  <si>
    <t xml:space="preserve">232 S 8th Ave </t>
  </si>
  <si>
    <t>West Bend</t>
  </si>
  <si>
    <t>Gabehart</t>
  </si>
  <si>
    <t xml:space="preserve">7320 S Old Mazon Rd </t>
  </si>
  <si>
    <t>Stillwater</t>
  </si>
  <si>
    <t xml:space="preserve">3603 1/2 W 6th St # 189 </t>
  </si>
  <si>
    <t>Veltri</t>
  </si>
  <si>
    <t xml:space="preserve">14119 Millco Ln </t>
  </si>
  <si>
    <t>Valley Center</t>
  </si>
  <si>
    <t>Woodriff</t>
  </si>
  <si>
    <t xml:space="preserve">717 N McDowell Blvd Spc 307 </t>
  </si>
  <si>
    <t>Likens</t>
  </si>
  <si>
    <t xml:space="preserve">8137 Santa Inez Way </t>
  </si>
  <si>
    <t>Buena Park</t>
  </si>
  <si>
    <t>Citko</t>
  </si>
  <si>
    <t xml:space="preserve">418 Langley St </t>
  </si>
  <si>
    <t>Kelley</t>
  </si>
  <si>
    <t xml:space="preserve">217 Sandburg Pl </t>
  </si>
  <si>
    <t>Pine Bush</t>
  </si>
  <si>
    <t>Rothenberg</t>
  </si>
  <si>
    <t>Florie</t>
  </si>
  <si>
    <t xml:space="preserve">3125 SW Raymond St </t>
  </si>
  <si>
    <t>Keating</t>
  </si>
  <si>
    <t>C</t>
  </si>
  <si>
    <t xml:space="preserve">8 Laurel Dr </t>
  </si>
  <si>
    <t>Carmichael</t>
  </si>
  <si>
    <t xml:space="preserve">150 Slocum Ave </t>
  </si>
  <si>
    <t>Barclift</t>
  </si>
  <si>
    <t xml:space="preserve">15204 Bareback Dr </t>
  </si>
  <si>
    <t>McGill</t>
  </si>
  <si>
    <t xml:space="preserve">10384 Maple Ln </t>
  </si>
  <si>
    <t>Conneaut Lake</t>
  </si>
  <si>
    <t>Amdur</t>
  </si>
  <si>
    <t>Varda</t>
  </si>
  <si>
    <t xml:space="preserve">70 Virginia Rd Apt 3F </t>
  </si>
  <si>
    <t>Malnati</t>
  </si>
  <si>
    <t xml:space="preserve">35935 W 14 Mile Rd </t>
  </si>
  <si>
    <t>Farmington Hills</t>
  </si>
  <si>
    <t>Herschlag</t>
  </si>
  <si>
    <t>Herbert</t>
  </si>
  <si>
    <t xml:space="preserve">47 Saddle Rock Rd </t>
  </si>
  <si>
    <t>Holland</t>
  </si>
  <si>
    <t>K</t>
  </si>
  <si>
    <t xml:space="preserve">14595 County Road 28 S </t>
  </si>
  <si>
    <t>Kolodner</t>
  </si>
  <si>
    <t xml:space="preserve">106 Naples Rd # 2 </t>
  </si>
  <si>
    <t>Brookline</t>
  </si>
  <si>
    <t>Somma</t>
  </si>
  <si>
    <t xml:space="preserve">3195 Grand Ave </t>
  </si>
  <si>
    <t>Pinellas Park</t>
  </si>
  <si>
    <t>Fielding</t>
  </si>
  <si>
    <t>Rosemary</t>
  </si>
  <si>
    <t xml:space="preserve">415 Oak Rd </t>
  </si>
  <si>
    <t>Oil City</t>
  </si>
  <si>
    <t>16301-1244</t>
  </si>
  <si>
    <t>Andy</t>
  </si>
  <si>
    <t xml:space="preserve">1150 Fort Pickens Rd Apt G7 </t>
  </si>
  <si>
    <t>Pensacola Beach</t>
  </si>
  <si>
    <t>Campbell</t>
  </si>
  <si>
    <t>Benita J.</t>
  </si>
  <si>
    <t xml:space="preserve">23 Hindman Ave </t>
  </si>
  <si>
    <t>Burgettstown</t>
  </si>
  <si>
    <t>Burns</t>
  </si>
  <si>
    <t xml:space="preserve">12610 Riata Trace Pkwy Apt 1018 </t>
  </si>
  <si>
    <t>78727-7161</t>
  </si>
  <si>
    <t>Mackie</t>
  </si>
  <si>
    <t>Craig</t>
  </si>
  <si>
    <t xml:space="preserve">36300 Pacific Palisades Pl </t>
  </si>
  <si>
    <t>Nehalem</t>
  </si>
  <si>
    <t xml:space="preserve">240 Rainwater Dr </t>
  </si>
  <si>
    <t>Aylett</t>
  </si>
  <si>
    <t xml:space="preserve">10128 Northeast Ave </t>
  </si>
  <si>
    <t xml:space="preserve">1947 W Superior St </t>
  </si>
  <si>
    <t>Gibb</t>
  </si>
  <si>
    <t xml:space="preserve">5036 Revenue St </t>
  </si>
  <si>
    <t>Vennett</t>
  </si>
  <si>
    <t>Sean</t>
  </si>
  <si>
    <t xml:space="preserve">PO Box 10571 </t>
  </si>
  <si>
    <t xml:space="preserve">5018 Solus Pl </t>
  </si>
  <si>
    <t>Weed</t>
  </si>
  <si>
    <t>Lugo-Hernandez</t>
  </si>
  <si>
    <t xml:space="preserve">26 Colonial Ct </t>
  </si>
  <si>
    <t>Wichita Falls</t>
  </si>
  <si>
    <t>Peterson</t>
  </si>
  <si>
    <t xml:space="preserve">6312 Jumilla Ave </t>
  </si>
  <si>
    <t>Fornagiel</t>
  </si>
  <si>
    <t>Valeri</t>
  </si>
  <si>
    <t xml:space="preserve">343 Kelly Rd </t>
  </si>
  <si>
    <t>Wellsboro</t>
  </si>
  <si>
    <t>Diaz</t>
  </si>
  <si>
    <t xml:space="preserve">214 Cleveland Ave </t>
  </si>
  <si>
    <t>Long Branch</t>
  </si>
  <si>
    <t>Vesley</t>
  </si>
  <si>
    <t xml:space="preserve">1598 Edmund Ave </t>
  </si>
  <si>
    <t>Bricker</t>
  </si>
  <si>
    <t xml:space="preserve">54 Nickle Dr </t>
  </si>
  <si>
    <t>Mifflintown</t>
  </si>
  <si>
    <t>Markel</t>
  </si>
  <si>
    <t xml:space="preserve">4242 Coolidge Ave </t>
  </si>
  <si>
    <t>Aiken</t>
  </si>
  <si>
    <t xml:space="preserve">4640 Hawksbury Rd </t>
  </si>
  <si>
    <t>Baltimore</t>
  </si>
  <si>
    <t>Neill</t>
  </si>
  <si>
    <t>Laurie</t>
  </si>
  <si>
    <t xml:space="preserve">15205 Oceanview Dr </t>
  </si>
  <si>
    <t>Smith River</t>
  </si>
  <si>
    <t>Szurley</t>
  </si>
  <si>
    <t xml:space="preserve">2235 Reneer Ave </t>
  </si>
  <si>
    <t>Norton Shores</t>
  </si>
  <si>
    <t>Kramer</t>
  </si>
  <si>
    <t xml:space="preserve">2748 FLEET Dr </t>
  </si>
  <si>
    <t>Lown</t>
  </si>
  <si>
    <t xml:space="preserve">225 Lawrence Ct </t>
  </si>
  <si>
    <t>Fairfield</t>
  </si>
  <si>
    <t>Alvin</t>
  </si>
  <si>
    <t xml:space="preserve">20221 Biltmore St </t>
  </si>
  <si>
    <t>48235-2109</t>
  </si>
  <si>
    <t>Grassman</t>
  </si>
  <si>
    <t xml:space="preserve">726 Negley Ave </t>
  </si>
  <si>
    <t>Evansville</t>
  </si>
  <si>
    <t>Bolembach</t>
  </si>
  <si>
    <t xml:space="preserve">46 Marlboro Rd </t>
  </si>
  <si>
    <t>Clifton</t>
  </si>
  <si>
    <t>Jairo</t>
  </si>
  <si>
    <t xml:space="preserve">310 Emerson Dr NW </t>
  </si>
  <si>
    <t>Farrar</t>
  </si>
  <si>
    <t>Alonna</t>
  </si>
  <si>
    <t xml:space="preserve">454 Papaya St </t>
  </si>
  <si>
    <t xml:space="preserve">1217 Princeton Ave </t>
  </si>
  <si>
    <t>Hughes</t>
  </si>
  <si>
    <t xml:space="preserve">1165 Fulton Ave </t>
  </si>
  <si>
    <t>Coos Bay</t>
  </si>
  <si>
    <t>Aldridge</t>
  </si>
  <si>
    <t xml:space="preserve">2188 Wakita Dr SE </t>
  </si>
  <si>
    <t>McKim</t>
  </si>
  <si>
    <t xml:space="preserve">1717 Greenwood Ave </t>
  </si>
  <si>
    <t>San Carlos</t>
  </si>
  <si>
    <t>Molly</t>
  </si>
  <si>
    <t>P</t>
  </si>
  <si>
    <t xml:space="preserve">3900 Decatur Ave </t>
  </si>
  <si>
    <t>Kensington</t>
  </si>
  <si>
    <t>Ward</t>
  </si>
  <si>
    <t xml:space="preserve">PO Box 296 </t>
  </si>
  <si>
    <t>Stanfordville</t>
  </si>
  <si>
    <t>Sneddon</t>
  </si>
  <si>
    <t xml:space="preserve">1138 Portola Rd </t>
  </si>
  <si>
    <t>Pebble Beach</t>
  </si>
  <si>
    <t>Betty</t>
  </si>
  <si>
    <t xml:space="preserve">233 Ridgewood Rd </t>
  </si>
  <si>
    <t>Graetz</t>
  </si>
  <si>
    <t xml:space="preserve">6260 S Lake Dr Apt 401 </t>
  </si>
  <si>
    <t>Cudahy</t>
  </si>
  <si>
    <t>Schloessinger</t>
  </si>
  <si>
    <t xml:space="preserve">11 Caurel Dr </t>
  </si>
  <si>
    <t>Great Neck</t>
  </si>
  <si>
    <t xml:space="preserve">PO Box 760 </t>
  </si>
  <si>
    <t>Desert Hot Springs</t>
  </si>
  <si>
    <t>Kiser</t>
  </si>
  <si>
    <t xml:space="preserve">2831 Mcleod Rd </t>
  </si>
  <si>
    <t>Lorenz</t>
  </si>
  <si>
    <t xml:space="preserve">3731 Prairie Ave Unit 353 </t>
  </si>
  <si>
    <t>Griffith</t>
  </si>
  <si>
    <t xml:space="preserve">10450 Lavender Ct </t>
  </si>
  <si>
    <t>Grecco</t>
  </si>
  <si>
    <t>Eowyn</t>
  </si>
  <si>
    <t xml:space="preserve">7758 Bluebird Ln </t>
  </si>
  <si>
    <t>Young Harris</t>
  </si>
  <si>
    <t>Chorostecki</t>
  </si>
  <si>
    <t xml:space="preserve">1405 Vegas Verdes Unit 218 </t>
  </si>
  <si>
    <t>87507-3565</t>
  </si>
  <si>
    <t>Casper</t>
  </si>
  <si>
    <t xml:space="preserve">1600 Sherman Ave </t>
  </si>
  <si>
    <t>54481-7200</t>
  </si>
  <si>
    <t>Grossman</t>
  </si>
  <si>
    <t xml:space="preserve">627 Lillian Way </t>
  </si>
  <si>
    <t>Hornbuckle</t>
  </si>
  <si>
    <t>Jovohn</t>
  </si>
  <si>
    <t xml:space="preserve">329 Teakwood Ln </t>
  </si>
  <si>
    <t>Cedar Hill</t>
  </si>
  <si>
    <t>Ruiz</t>
  </si>
  <si>
    <t>Louis</t>
  </si>
  <si>
    <t xml:space="preserve">1816 Lotman Dr </t>
  </si>
  <si>
    <t>O'Brien</t>
  </si>
  <si>
    <t xml:space="preserve">5110 Holiday Dr </t>
  </si>
  <si>
    <t>Rheta</t>
  </si>
  <si>
    <t xml:space="preserve">285 E Arboretum Cir </t>
  </si>
  <si>
    <t>Ricksecker</t>
  </si>
  <si>
    <t>Julianne</t>
  </si>
  <si>
    <t xml:space="preserve">5944 Tulane St </t>
  </si>
  <si>
    <t xml:space="preserve">455 Eggemoggin Rd </t>
  </si>
  <si>
    <t>Little Deer Isle</t>
  </si>
  <si>
    <t xml:space="preserve">2445 Spring Hill Dr </t>
  </si>
  <si>
    <t>Cedarburg</t>
  </si>
  <si>
    <t>Fegan</t>
  </si>
  <si>
    <t xml:space="preserve">150 Main St # 9 </t>
  </si>
  <si>
    <t>Nanuet</t>
  </si>
  <si>
    <t>Zielinski</t>
  </si>
  <si>
    <t xml:space="preserve">23724 Woods Creek Rd </t>
  </si>
  <si>
    <t>Philomath</t>
  </si>
  <si>
    <t>Chandler</t>
  </si>
  <si>
    <t xml:space="preserve">90 Sierra Vista Ave </t>
  </si>
  <si>
    <t>Mountain View</t>
  </si>
  <si>
    <t>Thatcher</t>
  </si>
  <si>
    <t>Tobey</t>
  </si>
  <si>
    <t xml:space="preserve">19190 S Alpha Ave Apt 4206 </t>
  </si>
  <si>
    <t>Green Valley</t>
  </si>
  <si>
    <t>Kates</t>
  </si>
  <si>
    <t>Meredith</t>
  </si>
  <si>
    <t xml:space="preserve">140 Sebastian Ct </t>
  </si>
  <si>
    <t>Hillsdale</t>
  </si>
  <si>
    <t>Salas</t>
  </si>
  <si>
    <t xml:space="preserve">610 14th Ave Apt 6 </t>
  </si>
  <si>
    <t>Lange</t>
  </si>
  <si>
    <t>Marlena</t>
  </si>
  <si>
    <t xml:space="preserve">MAR32123 Gmailcom </t>
  </si>
  <si>
    <t>Timmins</t>
  </si>
  <si>
    <t xml:space="preserve">8081 S Carbury Way </t>
  </si>
  <si>
    <t>Waugh</t>
  </si>
  <si>
    <t xml:space="preserve">38203 SE Lusted Rd </t>
  </si>
  <si>
    <t>Boring</t>
  </si>
  <si>
    <t>97009-9726</t>
  </si>
  <si>
    <t>Kolbe</t>
  </si>
  <si>
    <t xml:space="preserve">305 Harvest Ln </t>
  </si>
  <si>
    <t>Kemper</t>
  </si>
  <si>
    <t xml:space="preserve">1388 California St # 404A </t>
  </si>
  <si>
    <t>Gallanosa</t>
  </si>
  <si>
    <t xml:space="preserve">504 River Oak Dr </t>
  </si>
  <si>
    <t>Danville</t>
  </si>
  <si>
    <t>Hampel</t>
  </si>
  <si>
    <t xml:space="preserve">113 Douglas Manor Ln </t>
  </si>
  <si>
    <t>Eastsound</t>
  </si>
  <si>
    <t>Thornton</t>
  </si>
  <si>
    <t xml:space="preserve">3901 Race St </t>
  </si>
  <si>
    <t>Bergtholdt</t>
  </si>
  <si>
    <t xml:space="preserve">4520 W Cypress Ave Apt 107 </t>
  </si>
  <si>
    <t>Visalia</t>
  </si>
  <si>
    <t>Zeman</t>
  </si>
  <si>
    <t xml:space="preserve">11173 Galaxy Ln </t>
  </si>
  <si>
    <t>Thonotosassa</t>
  </si>
  <si>
    <t>33592-3332</t>
  </si>
  <si>
    <t xml:space="preserve">26281 Avenida Calidad </t>
  </si>
  <si>
    <t>Mission Viejo</t>
  </si>
  <si>
    <t>92691-3250</t>
  </si>
  <si>
    <t xml:space="preserve">2762 Redwood Dr </t>
  </si>
  <si>
    <t xml:space="preserve">6175 N Lake Dr </t>
  </si>
  <si>
    <t>Whitefish Bay</t>
  </si>
  <si>
    <t>Pirrone</t>
  </si>
  <si>
    <t xml:space="preserve">1628 San Anselmo Ave </t>
  </si>
  <si>
    <t>San Anselmo</t>
  </si>
  <si>
    <t>Lovell</t>
  </si>
  <si>
    <t>Darlene</t>
  </si>
  <si>
    <t xml:space="preserve">721 45th St </t>
  </si>
  <si>
    <t>Chmiel</t>
  </si>
  <si>
    <t xml:space="preserve">12255 3600 Rd </t>
  </si>
  <si>
    <t>Hotchkiss</t>
  </si>
  <si>
    <t>81419-9693</t>
  </si>
  <si>
    <t xml:space="preserve">946 Marisa Ln </t>
  </si>
  <si>
    <t xml:space="preserve">3612 Morningside Dr </t>
  </si>
  <si>
    <t>Ringle</t>
  </si>
  <si>
    <t xml:space="preserve">7113 Heather Rd </t>
  </si>
  <si>
    <t>Macungie</t>
  </si>
  <si>
    <t>Clark</t>
  </si>
  <si>
    <t xml:space="preserve">18484 Carter Cir </t>
  </si>
  <si>
    <t>Cedar Valley</t>
  </si>
  <si>
    <t>Raposo</t>
  </si>
  <si>
    <t>Cesar</t>
  </si>
  <si>
    <t xml:space="preserve">2607 Watson Blvd </t>
  </si>
  <si>
    <t>Endicott</t>
  </si>
  <si>
    <t>McHale</t>
  </si>
  <si>
    <t xml:space="preserve">29 Tupelo Ave </t>
  </si>
  <si>
    <t xml:space="preserve">5118 Chowan Ave </t>
  </si>
  <si>
    <t>Donnelly</t>
  </si>
  <si>
    <t xml:space="preserve">4622 N 525 W </t>
  </si>
  <si>
    <t>Laporte</t>
  </si>
  <si>
    <t>Rando</t>
  </si>
  <si>
    <t xml:space="preserve">2151 185th St Unit 2 </t>
  </si>
  <si>
    <t>S</t>
  </si>
  <si>
    <t xml:space="preserve">963 SE Ensign Pl </t>
  </si>
  <si>
    <t>College Place</t>
  </si>
  <si>
    <t xml:space="preserve">208 15th St </t>
  </si>
  <si>
    <t>Huntington Beach</t>
  </si>
  <si>
    <t>Larimer</t>
  </si>
  <si>
    <t xml:space="preserve">4611 Valley Rd </t>
  </si>
  <si>
    <t>Sparkes</t>
  </si>
  <si>
    <t xml:space="preserve">3332 Pine Villa Ct </t>
  </si>
  <si>
    <t>Grand Blanc</t>
  </si>
  <si>
    <t>Quilenderino</t>
  </si>
  <si>
    <t>Yvonne</t>
  </si>
  <si>
    <t xml:space="preserve">209 Nijmegen Rd </t>
  </si>
  <si>
    <t>Seaside</t>
  </si>
  <si>
    <t>Fox</t>
  </si>
  <si>
    <t>Stephanie C.</t>
  </si>
  <si>
    <t>Bloomfield</t>
  </si>
  <si>
    <t>Valenza</t>
  </si>
  <si>
    <t xml:space="preserve">32 Mary Fran Dr </t>
  </si>
  <si>
    <t>West Chester</t>
  </si>
  <si>
    <t>Stutheit</t>
  </si>
  <si>
    <t xml:space="preserve">23013 88th Ave W # B </t>
  </si>
  <si>
    <t>Dissosway</t>
  </si>
  <si>
    <t xml:space="preserve">2636 Lasalle Dr </t>
  </si>
  <si>
    <t>Irving</t>
  </si>
  <si>
    <t>Coz</t>
  </si>
  <si>
    <t>Ball</t>
  </si>
  <si>
    <t xml:space="preserve">1859 Spyglass Circle Spyglass Cir </t>
  </si>
  <si>
    <t>Wilder</t>
  </si>
  <si>
    <t xml:space="preserve">1662 NW Fields St </t>
  </si>
  <si>
    <t>Dosaj</t>
  </si>
  <si>
    <t>Soraya</t>
  </si>
  <si>
    <t xml:space="preserve">6220 Allott Ave </t>
  </si>
  <si>
    <t>Van Nuys</t>
  </si>
  <si>
    <t>Lowry</t>
  </si>
  <si>
    <t>Kristen</t>
  </si>
  <si>
    <t xml:space="preserve">8 20HELLO I Am Requesting An Eta For This </t>
  </si>
  <si>
    <t>Vacaville</t>
  </si>
  <si>
    <t>Schwartz</t>
  </si>
  <si>
    <t>Ronlyn</t>
  </si>
  <si>
    <t xml:space="preserve">3648 Davie Ln </t>
  </si>
  <si>
    <t>Langley</t>
  </si>
  <si>
    <t>98260-9584</t>
  </si>
  <si>
    <t>Genandt</t>
  </si>
  <si>
    <t xml:space="preserve">710 Timothy Ct </t>
  </si>
  <si>
    <t>East Dundee</t>
  </si>
  <si>
    <t>Seay</t>
  </si>
  <si>
    <t xml:space="preserve">6 Fuller Pl </t>
  </si>
  <si>
    <t xml:space="preserve">799 Oldenburg Way </t>
  </si>
  <si>
    <t>Galt</t>
  </si>
  <si>
    <t>Greenberg</t>
  </si>
  <si>
    <t xml:space="preserve">26 ALGONQUIN LANE POBOC 238 </t>
  </si>
  <si>
    <t>Highmount</t>
  </si>
  <si>
    <t>Pfeifer</t>
  </si>
  <si>
    <t>Nezka</t>
  </si>
  <si>
    <t xml:space="preserve">3811 Shaw Blvd # 3 </t>
  </si>
  <si>
    <t>63110-3740</t>
  </si>
  <si>
    <t>Talbott</t>
  </si>
  <si>
    <t xml:space="preserve">135 S Sunset Pl </t>
  </si>
  <si>
    <t>Monrovia</t>
  </si>
  <si>
    <t>Ream</t>
  </si>
  <si>
    <t>Ahren</t>
  </si>
  <si>
    <t xml:space="preserve">55 Sharadin Rd </t>
  </si>
  <si>
    <t>Kutztown</t>
  </si>
  <si>
    <t xml:space="preserve">10204 Green Forest Dr </t>
  </si>
  <si>
    <t>M. Virginia</t>
  </si>
  <si>
    <t>Jesse</t>
  </si>
  <si>
    <t xml:space="preserve">6303 N Nordica Ave </t>
  </si>
  <si>
    <t>Jeremy Nathan</t>
  </si>
  <si>
    <t xml:space="preserve">13911 Flint Rock Rd </t>
  </si>
  <si>
    <t>Luth</t>
  </si>
  <si>
    <t xml:space="preserve">10752 Charnock Rd </t>
  </si>
  <si>
    <t>Shaub</t>
  </si>
  <si>
    <t xml:space="preserve">566 Cleardale Ave </t>
  </si>
  <si>
    <t>Schlaffer</t>
  </si>
  <si>
    <t>Runa</t>
  </si>
  <si>
    <t xml:space="preserve">241 Hungry Hollow Rd </t>
  </si>
  <si>
    <t>Chestnut Ridge</t>
  </si>
  <si>
    <t>Hoffman</t>
  </si>
  <si>
    <t>Maxine</t>
  </si>
  <si>
    <t xml:space="preserve">4926 Saint Andrews Ct </t>
  </si>
  <si>
    <t>Shephard</t>
  </si>
  <si>
    <t xml:space="preserve">PO Box 48608 </t>
  </si>
  <si>
    <t>Watauga</t>
  </si>
  <si>
    <t>Reynolds</t>
  </si>
  <si>
    <t>Desiree</t>
  </si>
  <si>
    <t xml:space="preserve">5249 E County Road 900 S 5249 E County Road 900 S </t>
  </si>
  <si>
    <t>Walton</t>
  </si>
  <si>
    <t>Muncey</t>
  </si>
  <si>
    <t xml:space="preserve">16 520 ORCHIDLAND Dr </t>
  </si>
  <si>
    <t>Keaau</t>
  </si>
  <si>
    <t>Pitner</t>
  </si>
  <si>
    <t xml:space="preserve">27 North Ave </t>
  </si>
  <si>
    <t xml:space="preserve">2401 Pennsylvania Ave </t>
  </si>
  <si>
    <t>Banks</t>
  </si>
  <si>
    <t xml:space="preserve">14 Maple St </t>
  </si>
  <si>
    <t>Center Barnstead</t>
  </si>
  <si>
    <t>Modjeski</t>
  </si>
  <si>
    <t xml:space="preserve">4315 Lotus Ct Unit A </t>
  </si>
  <si>
    <t>Murrells Inlet</t>
  </si>
  <si>
    <t>29576-4321</t>
  </si>
  <si>
    <t xml:space="preserve">691 Paige Ln </t>
  </si>
  <si>
    <t xml:space="preserve">8314 Woodborough Way </t>
  </si>
  <si>
    <t>Hutton</t>
  </si>
  <si>
    <t xml:space="preserve">12 Grozier Rd Apt 1 </t>
  </si>
  <si>
    <t>02138-3315</t>
  </si>
  <si>
    <t>Ihrig</t>
  </si>
  <si>
    <t xml:space="preserve">928 N San Fernando Blvd Ste J </t>
  </si>
  <si>
    <t>Beth</t>
  </si>
  <si>
    <t xml:space="preserve">BETH72ROLA Gmailcom </t>
  </si>
  <si>
    <t>Krause</t>
  </si>
  <si>
    <t>Doug</t>
  </si>
  <si>
    <t xml:space="preserve">1201 University Dr NW </t>
  </si>
  <si>
    <t>Jones</t>
  </si>
  <si>
    <t>Maryn</t>
  </si>
  <si>
    <t xml:space="preserve">3507 Seffner Dr </t>
  </si>
  <si>
    <t>Holiday</t>
  </si>
  <si>
    <t>Valero</t>
  </si>
  <si>
    <t>Maudie</t>
  </si>
  <si>
    <t xml:space="preserve">20 Alhambra Cir Apt 5 </t>
  </si>
  <si>
    <t>Coral Gables</t>
  </si>
  <si>
    <t>Hanbury</t>
  </si>
  <si>
    <t xml:space="preserve">8510 Corrigan Way </t>
  </si>
  <si>
    <t>Glover</t>
  </si>
  <si>
    <t xml:space="preserve">7292 Maxwelton Rd </t>
  </si>
  <si>
    <t>Friestad</t>
  </si>
  <si>
    <t xml:space="preserve">141 Ecum Secum Pl </t>
  </si>
  <si>
    <t>McCarthy</t>
  </si>
  <si>
    <t xml:space="preserve">1725 Eastwyck Cir </t>
  </si>
  <si>
    <t>Birmingham</t>
  </si>
  <si>
    <t xml:space="preserve">521 Westgate Ave </t>
  </si>
  <si>
    <t>Whitlock</t>
  </si>
  <si>
    <t xml:space="preserve">904 Niblick Dr </t>
  </si>
  <si>
    <t xml:space="preserve">1713 Whitehall Dr </t>
  </si>
  <si>
    <t xml:space="preserve">6006 Highland Gardens Dr </t>
  </si>
  <si>
    <t>Bogard</t>
  </si>
  <si>
    <t xml:space="preserve">604 Amaranth Blvd </t>
  </si>
  <si>
    <t>Yborra</t>
  </si>
  <si>
    <t xml:space="preserve">803 W 8th St </t>
  </si>
  <si>
    <t>Nieland</t>
  </si>
  <si>
    <t xml:space="preserve">415 Oakwood Dr </t>
  </si>
  <si>
    <t>Alamo</t>
  </si>
  <si>
    <t>Lebeau</t>
  </si>
  <si>
    <t xml:space="preserve">97 Phenix Ave Unit 1 </t>
  </si>
  <si>
    <t>West Warwick</t>
  </si>
  <si>
    <t>Dacia</t>
  </si>
  <si>
    <t xml:space="preserve">830 Orman Dr </t>
  </si>
  <si>
    <t>Mawhorter</t>
  </si>
  <si>
    <t xml:space="preserve">200 Linden Ave </t>
  </si>
  <si>
    <t>Cunningham</t>
  </si>
  <si>
    <t>Caroline</t>
  </si>
  <si>
    <t xml:space="preserve">1467 Siskiyou Blvd # 313 </t>
  </si>
  <si>
    <t>Hinz</t>
  </si>
  <si>
    <t xml:space="preserve">1427 Park Ave </t>
  </si>
  <si>
    <t>Delaney</t>
  </si>
  <si>
    <t xml:space="preserve">5406 Western Hills Dr </t>
  </si>
  <si>
    <t>Nyne</t>
  </si>
  <si>
    <t xml:space="preserve">2132 High St </t>
  </si>
  <si>
    <t>Barhydt</t>
  </si>
  <si>
    <t xml:space="preserve">5555 Lakewood Dr </t>
  </si>
  <si>
    <t>Goodale</t>
  </si>
  <si>
    <t xml:space="preserve">8 S Fulton St </t>
  </si>
  <si>
    <t>Homer</t>
  </si>
  <si>
    <t xml:space="preserve">950 Humboldt Rd </t>
  </si>
  <si>
    <t>Prada</t>
  </si>
  <si>
    <t xml:space="preserve">343 E 30th St Apt 12M </t>
  </si>
  <si>
    <t>Tyree</t>
  </si>
  <si>
    <t xml:space="preserve">9 Meadowcreek Dr </t>
  </si>
  <si>
    <t>Suarez</t>
  </si>
  <si>
    <t>Rene</t>
  </si>
  <si>
    <t xml:space="preserve">6464 San Marcos Way </t>
  </si>
  <si>
    <t>Madejczyk</t>
  </si>
  <si>
    <t xml:space="preserve">2705 Highland Ave </t>
  </si>
  <si>
    <t>Kirchner</t>
  </si>
  <si>
    <t xml:space="preserve">7510 Hope Farm Rd </t>
  </si>
  <si>
    <t>Crawford</t>
  </si>
  <si>
    <t>Jeanine</t>
  </si>
  <si>
    <t xml:space="preserve">27564 Courtview Dr </t>
  </si>
  <si>
    <t>Valencia</t>
  </si>
  <si>
    <t>Lupenko</t>
  </si>
  <si>
    <t xml:space="preserve">8555 Golden Ave </t>
  </si>
  <si>
    <t>Lemon Grove</t>
  </si>
  <si>
    <t>Gmeiner</t>
  </si>
  <si>
    <t>Kjersten</t>
  </si>
  <si>
    <t xml:space="preserve">12051 14th Ave NE </t>
  </si>
  <si>
    <t>Dalaviras</t>
  </si>
  <si>
    <t xml:space="preserve">5612 Circle Dr </t>
  </si>
  <si>
    <t>High Ridge</t>
  </si>
  <si>
    <t>Chismar</t>
  </si>
  <si>
    <t xml:space="preserve">6 York Dr Apt 6A </t>
  </si>
  <si>
    <t>Edison</t>
  </si>
  <si>
    <t>Ratcliff</t>
  </si>
  <si>
    <t xml:space="preserve">4665 Tragen Ct SE </t>
  </si>
  <si>
    <t>Nimmons</t>
  </si>
  <si>
    <t xml:space="preserve">6345 138th Pl SE </t>
  </si>
  <si>
    <t>Berman</t>
  </si>
  <si>
    <t xml:space="preserve">7200 Viewpoint Rd </t>
  </si>
  <si>
    <t xml:space="preserve">2403 Pima Ln </t>
  </si>
  <si>
    <t>Schivell</t>
  </si>
  <si>
    <t>Chrystal</t>
  </si>
  <si>
    <t xml:space="preserve">24 Monroe Ln Null </t>
  </si>
  <si>
    <t>Princeton</t>
  </si>
  <si>
    <t>Broughal</t>
  </si>
  <si>
    <t>Patrick</t>
  </si>
  <si>
    <t xml:space="preserve">135 Burbank Ave </t>
  </si>
  <si>
    <t>Levin</t>
  </si>
  <si>
    <t>Susanna</t>
  </si>
  <si>
    <t xml:space="preserve">1255 North Ave Apt 3I </t>
  </si>
  <si>
    <t xml:space="preserve">32 Redondo Ct </t>
  </si>
  <si>
    <t>Saint Helena</t>
  </si>
  <si>
    <t>Perricelli</t>
  </si>
  <si>
    <t xml:space="preserve">2259 16th St # 2259 </t>
  </si>
  <si>
    <t>Strayer</t>
  </si>
  <si>
    <t xml:space="preserve">5036 Freter Rd </t>
  </si>
  <si>
    <t>Sykesville</t>
  </si>
  <si>
    <t>Beavers</t>
  </si>
  <si>
    <t>John A</t>
  </si>
  <si>
    <t xml:space="preserve">4431 N Troy St # 2 </t>
  </si>
  <si>
    <t>Carrigan</t>
  </si>
  <si>
    <t>Milton</t>
  </si>
  <si>
    <t xml:space="preserve">2250 King Ct Unit 7 </t>
  </si>
  <si>
    <t>Cohen</t>
  </si>
  <si>
    <t xml:space="preserve">3854 Ahonui Pl </t>
  </si>
  <si>
    <t>Princeville</t>
  </si>
  <si>
    <t>Bish</t>
  </si>
  <si>
    <t xml:space="preserve">6079 S Pierson Ct </t>
  </si>
  <si>
    <t>Littleton</t>
  </si>
  <si>
    <t>Schwab</t>
  </si>
  <si>
    <t xml:space="preserve">9142 N Mercer Way Apt 7203 </t>
  </si>
  <si>
    <t>Mercer Island</t>
  </si>
  <si>
    <t xml:space="preserve">4730 Shore Acres Blvd NE </t>
  </si>
  <si>
    <t>Korn</t>
  </si>
  <si>
    <t>Meryle A.</t>
  </si>
  <si>
    <t xml:space="preserve">2821 Huron St </t>
  </si>
  <si>
    <t>Groome</t>
  </si>
  <si>
    <t>Malcolm</t>
  </si>
  <si>
    <t xml:space="preserve">19688 Grand View Dr </t>
  </si>
  <si>
    <t>Racanelli</t>
  </si>
  <si>
    <t xml:space="preserve">4098 Valeta St Unit 377 </t>
  </si>
  <si>
    <t>Jakusz</t>
  </si>
  <si>
    <t xml:space="preserve">Amherst Jct </t>
  </si>
  <si>
    <t>Amherst Junction</t>
  </si>
  <si>
    <t>Legene</t>
  </si>
  <si>
    <t xml:space="preserve">69 Welcome St </t>
  </si>
  <si>
    <t>Great Barrington</t>
  </si>
  <si>
    <t xml:space="preserve">1016 Prague St </t>
  </si>
  <si>
    <t>Gallagher</t>
  </si>
  <si>
    <t xml:space="preserve">15866 36th Ave NE </t>
  </si>
  <si>
    <t>Lake Forest Park</t>
  </si>
  <si>
    <t>Mullen</t>
  </si>
  <si>
    <t xml:space="preserve">1301 Brookview Dr </t>
  </si>
  <si>
    <t>Reinfried</t>
  </si>
  <si>
    <t xml:space="preserve">797 Scott Ln # PA </t>
  </si>
  <si>
    <t>Lititz</t>
  </si>
  <si>
    <t xml:space="preserve">1930 E Cairo St </t>
  </si>
  <si>
    <t>Dillon</t>
  </si>
  <si>
    <t>Christi</t>
  </si>
  <si>
    <t xml:space="preserve">175 Forest Ridge Rd </t>
  </si>
  <si>
    <t>Mooresville</t>
  </si>
  <si>
    <t>Zuckerman</t>
  </si>
  <si>
    <t>Arlene</t>
  </si>
  <si>
    <t xml:space="preserve">11035 72nd Rd Apt 606 </t>
  </si>
  <si>
    <t>Forest Hills</t>
  </si>
  <si>
    <t>Keefe</t>
  </si>
  <si>
    <t xml:space="preserve">55 Central Ave </t>
  </si>
  <si>
    <t>Braintree</t>
  </si>
  <si>
    <t xml:space="preserve">205 Inman Rd </t>
  </si>
  <si>
    <t>Lyman</t>
  </si>
  <si>
    <t>Grimes</t>
  </si>
  <si>
    <t>Marylynn</t>
  </si>
  <si>
    <t xml:space="preserve">459 Gifford Rd </t>
  </si>
  <si>
    <t>Schenectady</t>
  </si>
  <si>
    <t>Conrad</t>
  </si>
  <si>
    <t xml:space="preserve">3812 Jamaca Ave N </t>
  </si>
  <si>
    <t>Lake Elmo</t>
  </si>
  <si>
    <t>Kliche</t>
  </si>
  <si>
    <t xml:space="preserve">3351 Ridge Park Ct </t>
  </si>
  <si>
    <t>Padilla</t>
  </si>
  <si>
    <t xml:space="preserve">6193 Baltimore Dr </t>
  </si>
  <si>
    <t>La Mesa</t>
  </si>
  <si>
    <t>Kisor</t>
  </si>
  <si>
    <t>Dave</t>
  </si>
  <si>
    <t xml:space="preserve">14 -3444 Tutu Ln # RR4 </t>
  </si>
  <si>
    <t xml:space="preserve">22985 N Fork Rd SE </t>
  </si>
  <si>
    <t>Lyons</t>
  </si>
  <si>
    <t>Chester</t>
  </si>
  <si>
    <t xml:space="preserve">1933 NE 60th Ave </t>
  </si>
  <si>
    <t>Dawson</t>
  </si>
  <si>
    <t>Adele</t>
  </si>
  <si>
    <t xml:space="preserve">347 Hemlock St </t>
  </si>
  <si>
    <t>Jeremy</t>
  </si>
  <si>
    <t xml:space="preserve">551 Arguello Blvd </t>
  </si>
  <si>
    <t>Chapek</t>
  </si>
  <si>
    <t>S.</t>
  </si>
  <si>
    <t>Rashkow</t>
  </si>
  <si>
    <t xml:space="preserve">1420 Brickell Bay Dr Apt 1102 </t>
  </si>
  <si>
    <t>Wood</t>
  </si>
  <si>
    <t>Dianne</t>
  </si>
  <si>
    <t xml:space="preserve">4934 Center St NE </t>
  </si>
  <si>
    <t>Gladstone</t>
  </si>
  <si>
    <t xml:space="preserve">23020 Beverly St </t>
  </si>
  <si>
    <t>Polito</t>
  </si>
  <si>
    <t xml:space="preserve">290 Walker Dr </t>
  </si>
  <si>
    <t>Cimperman</t>
  </si>
  <si>
    <t xml:space="preserve">2982 Meadow Brook Alcove </t>
  </si>
  <si>
    <t>Naidnur</t>
  </si>
  <si>
    <t xml:space="preserve">2401 W Forrest Hill Ave </t>
  </si>
  <si>
    <t>Peoria</t>
  </si>
  <si>
    <t>Broadbent</t>
  </si>
  <si>
    <t xml:space="preserve">4348 N Chestnut St Apt 2AP </t>
  </si>
  <si>
    <t>Kellie</t>
  </si>
  <si>
    <t xml:space="preserve">13 Brandy Ln </t>
  </si>
  <si>
    <t>Deering</t>
  </si>
  <si>
    <t xml:space="preserve">3448 Solari Way </t>
  </si>
  <si>
    <t>Ingman</t>
  </si>
  <si>
    <t xml:space="preserve">3407 Goldberry Ln </t>
  </si>
  <si>
    <t>Howard</t>
  </si>
  <si>
    <t>Celeste</t>
  </si>
  <si>
    <t xml:space="preserve">6525 NE Deer Run St </t>
  </si>
  <si>
    <t>Hillsboro</t>
  </si>
  <si>
    <t xml:space="preserve">1070 Mitchell Way # 94803 </t>
  </si>
  <si>
    <t xml:space="preserve">123 No Address </t>
  </si>
  <si>
    <t>McCombs</t>
  </si>
  <si>
    <t xml:space="preserve">204 Sea Crest Pl </t>
  </si>
  <si>
    <t>Otter Rock</t>
  </si>
  <si>
    <t>Estes</t>
  </si>
  <si>
    <t xml:space="preserve">14200 Bear Creek Rd </t>
  </si>
  <si>
    <t>Rogers</t>
  </si>
  <si>
    <t xml:space="preserve">316 W Columbia Dr </t>
  </si>
  <si>
    <t>Newberg</t>
  </si>
  <si>
    <t>Silva</t>
  </si>
  <si>
    <t>Welthy</t>
  </si>
  <si>
    <t xml:space="preserve">1433 Cottonwood Pl </t>
  </si>
  <si>
    <t xml:space="preserve">36 N 7th St </t>
  </si>
  <si>
    <t>Lewisburg</t>
  </si>
  <si>
    <t>Schildgen</t>
  </si>
  <si>
    <t xml:space="preserve">2418 Spaulding Ave </t>
  </si>
  <si>
    <t>Bradley</t>
  </si>
  <si>
    <t xml:space="preserve">1220 Fredericksburg Dr S </t>
  </si>
  <si>
    <t>Lugoff</t>
  </si>
  <si>
    <t>Boguske</t>
  </si>
  <si>
    <t>Matthew</t>
  </si>
  <si>
    <t xml:space="preserve">8500 148th Ave NE Apt B1005 </t>
  </si>
  <si>
    <t>Redmond</t>
  </si>
  <si>
    <t>Schaef</t>
  </si>
  <si>
    <t>Dennis</t>
  </si>
  <si>
    <t xml:space="preserve">715 Limber Rd </t>
  </si>
  <si>
    <t>Meadville</t>
  </si>
  <si>
    <t>Boice</t>
  </si>
  <si>
    <t xml:space="preserve">162 Willow Grove Rd </t>
  </si>
  <si>
    <t>Shamong</t>
  </si>
  <si>
    <t>Delpino</t>
  </si>
  <si>
    <t xml:space="preserve">1001 Collins Ave </t>
  </si>
  <si>
    <t>Baden</t>
  </si>
  <si>
    <t>Shanley</t>
  </si>
  <si>
    <t xml:space="preserve">328 Jasper Peak Ct </t>
  </si>
  <si>
    <t>Lafayette</t>
  </si>
  <si>
    <t>Gorr</t>
  </si>
  <si>
    <t xml:space="preserve">8 Deer Run </t>
  </si>
  <si>
    <t>Skaneateles</t>
  </si>
  <si>
    <t>Wilkinson</t>
  </si>
  <si>
    <t xml:space="preserve">3122 Clark Ave </t>
  </si>
  <si>
    <t>Kuzdenyi</t>
  </si>
  <si>
    <t xml:space="preserve">741 Lighthouse Ave </t>
  </si>
  <si>
    <t xml:space="preserve">26895 Aliso Creek Rd </t>
  </si>
  <si>
    <t>Aliso Viejo</t>
  </si>
  <si>
    <t xml:space="preserve">4944 Cass St Unit 1201 </t>
  </si>
  <si>
    <t xml:space="preserve">35912 Valley View Ln </t>
  </si>
  <si>
    <t>Halfway</t>
  </si>
  <si>
    <t>Hayes</t>
  </si>
  <si>
    <t xml:space="preserve">6363 Streamview Dr </t>
  </si>
  <si>
    <t>Pauling</t>
  </si>
  <si>
    <t xml:space="preserve">5812 Olene Ave N </t>
  </si>
  <si>
    <t>Oak Park Heights</t>
  </si>
  <si>
    <t>Gamble</t>
  </si>
  <si>
    <t>Albert</t>
  </si>
  <si>
    <t xml:space="preserve">25 Sampan Ave </t>
  </si>
  <si>
    <t>Jamestown</t>
  </si>
  <si>
    <t>Belcastro</t>
  </si>
  <si>
    <t xml:space="preserve">285 N Grandview Ave </t>
  </si>
  <si>
    <t>Dubuque</t>
  </si>
  <si>
    <t>Shirey</t>
  </si>
  <si>
    <t xml:space="preserve">355 SE 16th Ave </t>
  </si>
  <si>
    <t>Okeechobee</t>
  </si>
  <si>
    <t>Smale</t>
  </si>
  <si>
    <t>Maryann</t>
  </si>
  <si>
    <t xml:space="preserve">37 Dyers Bay Rd </t>
  </si>
  <si>
    <t>Steuben</t>
  </si>
  <si>
    <t>Iseri</t>
  </si>
  <si>
    <t xml:space="preserve">4267 Bannister Rd </t>
  </si>
  <si>
    <t>Shimata</t>
  </si>
  <si>
    <t xml:space="preserve">3453 Pawaina St </t>
  </si>
  <si>
    <t>Honolulu</t>
  </si>
  <si>
    <t xml:space="preserve">374 Guerrero St Apt 5 </t>
  </si>
  <si>
    <t>Bains</t>
  </si>
  <si>
    <t xml:space="preserve">1721 Myrtle Beach Dr </t>
  </si>
  <si>
    <t>The Villages</t>
  </si>
  <si>
    <t xml:space="preserve">7024 Hidden Creek Dr </t>
  </si>
  <si>
    <t>Bara</t>
  </si>
  <si>
    <t>Asa</t>
  </si>
  <si>
    <t xml:space="preserve">45 Linswood St </t>
  </si>
  <si>
    <t>Cardlin</t>
  </si>
  <si>
    <t>Dorothy</t>
  </si>
  <si>
    <t xml:space="preserve">3 Serene Ln </t>
  </si>
  <si>
    <t>Yardley</t>
  </si>
  <si>
    <t>Morell</t>
  </si>
  <si>
    <t>Phyl</t>
  </si>
  <si>
    <t xml:space="preserve">984 Harrison Ferry Rd </t>
  </si>
  <si>
    <t>White Pine</t>
  </si>
  <si>
    <t>Kolker</t>
  </si>
  <si>
    <t>Dora</t>
  </si>
  <si>
    <t xml:space="preserve">1400 Mayapple Trl </t>
  </si>
  <si>
    <t>Glencoe</t>
  </si>
  <si>
    <t>Curtler III</t>
  </si>
  <si>
    <t>Hugh</t>
  </si>
  <si>
    <t xml:space="preserve">4516 89th Cres N </t>
  </si>
  <si>
    <t>Brooklyn Park</t>
  </si>
  <si>
    <t>Concetta</t>
  </si>
  <si>
    <t xml:space="preserve">15285 W Morningtree Dr </t>
  </si>
  <si>
    <t>Surprise</t>
  </si>
  <si>
    <t xml:space="preserve">1406 Wyoming Ave </t>
  </si>
  <si>
    <t>Scranton</t>
  </si>
  <si>
    <t>Gore</t>
  </si>
  <si>
    <t xml:space="preserve">101 Mira Mesa </t>
  </si>
  <si>
    <t>Rancho Santa Margarita</t>
  </si>
  <si>
    <t>McCroskey</t>
  </si>
  <si>
    <t xml:space="preserve">5346 Zara Ave </t>
  </si>
  <si>
    <t>Whitworth</t>
  </si>
  <si>
    <t xml:space="preserve">1725 SE 34th Ave </t>
  </si>
  <si>
    <t>Burk</t>
  </si>
  <si>
    <t>Bill</t>
  </si>
  <si>
    <t xml:space="preserve">56238 Bufflehead Rd </t>
  </si>
  <si>
    <t>Weinberg</t>
  </si>
  <si>
    <t>Gudrun</t>
  </si>
  <si>
    <t xml:space="preserve">801 Yale Ave Apt 1217 </t>
  </si>
  <si>
    <t>Swarthmore</t>
  </si>
  <si>
    <t>Tj</t>
  </si>
  <si>
    <t xml:space="preserve">12723 Rockrose Gln </t>
  </si>
  <si>
    <t>Lakewood Ranch</t>
  </si>
  <si>
    <t>Dieckmann</t>
  </si>
  <si>
    <t xml:space="preserve">1211 Chase St </t>
  </si>
  <si>
    <t>Gregory</t>
  </si>
  <si>
    <t xml:space="preserve">3538 NE 86th St </t>
  </si>
  <si>
    <t>Nester</t>
  </si>
  <si>
    <t xml:space="preserve">812 Helen St </t>
  </si>
  <si>
    <t>Wapakoneta</t>
  </si>
  <si>
    <t>Dowson</t>
  </si>
  <si>
    <t xml:space="preserve">2007 Mill Pointe Dr SE </t>
  </si>
  <si>
    <t>Mill Creek</t>
  </si>
  <si>
    <t>Shoham</t>
  </si>
  <si>
    <t>Amit</t>
  </si>
  <si>
    <t xml:space="preserve">5413 El Camile Ave </t>
  </si>
  <si>
    <t>Obler</t>
  </si>
  <si>
    <t>Dita</t>
  </si>
  <si>
    <t xml:space="preserve">318 Brookline St </t>
  </si>
  <si>
    <t>Shaffer</t>
  </si>
  <si>
    <t>Nicole</t>
  </si>
  <si>
    <t xml:space="preserve">4377 Teeter Totter Cir </t>
  </si>
  <si>
    <t>Snavely</t>
  </si>
  <si>
    <t>Kathie</t>
  </si>
  <si>
    <t xml:space="preserve">446 Riverview Dr </t>
  </si>
  <si>
    <t>Wrightsville</t>
  </si>
  <si>
    <t>Rohana</t>
  </si>
  <si>
    <t xml:space="preserve">1930 Ridge Ave </t>
  </si>
  <si>
    <t>Eckberg</t>
  </si>
  <si>
    <t xml:space="preserve">1503 N 5th St </t>
  </si>
  <si>
    <t>Pekin</t>
  </si>
  <si>
    <t>Sorrell</t>
  </si>
  <si>
    <t xml:space="preserve">645 Thistle Creek Ln </t>
  </si>
  <si>
    <t>Yellow Springs</t>
  </si>
  <si>
    <t>Butche</t>
  </si>
  <si>
    <t xml:space="preserve">2660 Carriage Ct </t>
  </si>
  <si>
    <t>Barnett</t>
  </si>
  <si>
    <t xml:space="preserve">12662 Rock Island Trl </t>
  </si>
  <si>
    <t>Petruccelli</t>
  </si>
  <si>
    <t>Rita</t>
  </si>
  <si>
    <t xml:space="preserve">129 Cedardale Ave </t>
  </si>
  <si>
    <t>Villas</t>
  </si>
  <si>
    <t>Egstad</t>
  </si>
  <si>
    <t xml:space="preserve">5312 Scenic Ridge Trl </t>
  </si>
  <si>
    <t>Krok</t>
  </si>
  <si>
    <t xml:space="preserve">103 Hart St </t>
  </si>
  <si>
    <t xml:space="preserve">2431 S Fig Ct </t>
  </si>
  <si>
    <t>Lakewood</t>
  </si>
  <si>
    <t>Shutkin</t>
  </si>
  <si>
    <t xml:space="preserve">5255 N Hollywood Ave </t>
  </si>
  <si>
    <t>Gloria J</t>
  </si>
  <si>
    <t xml:space="preserve">12425 N Derringer Rd # 520812-7220 </t>
  </si>
  <si>
    <t>Marana</t>
  </si>
  <si>
    <t>Stefano</t>
  </si>
  <si>
    <t xml:space="preserve">22440 Vale Ct SE </t>
  </si>
  <si>
    <t>Yelm</t>
  </si>
  <si>
    <t>Bales</t>
  </si>
  <si>
    <t xml:space="preserve">1900 Renaissance Dr Apt 1405 </t>
  </si>
  <si>
    <t>Oerke Jr</t>
  </si>
  <si>
    <t xml:space="preserve">264 Lexington Dr </t>
  </si>
  <si>
    <t>River Edge</t>
  </si>
  <si>
    <t xml:space="preserve">255 Cabrini Blvd Apt 5A </t>
  </si>
  <si>
    <t>Linsenbigler</t>
  </si>
  <si>
    <t xml:space="preserve">625 W Omar St </t>
  </si>
  <si>
    <t>Struthers</t>
  </si>
  <si>
    <t>Gillett</t>
  </si>
  <si>
    <t>Julia Marie</t>
  </si>
  <si>
    <t xml:space="preserve">950 E 32nd St Apt 210 </t>
  </si>
  <si>
    <t>Durango</t>
  </si>
  <si>
    <t xml:space="preserve">307 Whippoorwill Gln </t>
  </si>
  <si>
    <t>Escondido</t>
  </si>
  <si>
    <t>Kroll</t>
  </si>
  <si>
    <t xml:space="preserve">205 Colbert St Apt B217 </t>
  </si>
  <si>
    <t>Stroudsburg</t>
  </si>
  <si>
    <t>Savard</t>
  </si>
  <si>
    <t xml:space="preserve">5138 Spruce St # A </t>
  </si>
  <si>
    <t>Laona</t>
  </si>
  <si>
    <t>Leach</t>
  </si>
  <si>
    <t xml:space="preserve">11 E High St </t>
  </si>
  <si>
    <t>McCleary</t>
  </si>
  <si>
    <t>Harriet</t>
  </si>
  <si>
    <t xml:space="preserve">2440 Stevens Ave Apt 2 </t>
  </si>
  <si>
    <t>Eaton</t>
  </si>
  <si>
    <t xml:space="preserve">1011 W 121st St </t>
  </si>
  <si>
    <t>Eckert</t>
  </si>
  <si>
    <t xml:space="preserve">6 Conifer Ct </t>
  </si>
  <si>
    <t>Boker</t>
  </si>
  <si>
    <t xml:space="preserve">701 S Adams St </t>
  </si>
  <si>
    <t>Havre De Grace</t>
  </si>
  <si>
    <t>Auer</t>
  </si>
  <si>
    <t xml:space="preserve">1353 Westbrooke Meadows Ln </t>
  </si>
  <si>
    <t>Ballwin</t>
  </si>
  <si>
    <t>Merle</t>
  </si>
  <si>
    <t xml:space="preserve">529 Maurice River Pkwy </t>
  </si>
  <si>
    <t>Vineland</t>
  </si>
  <si>
    <t>Nardell</t>
  </si>
  <si>
    <t xml:space="preserve">1484 Meeker Dr </t>
  </si>
  <si>
    <t>Cameron</t>
  </si>
  <si>
    <t xml:space="preserve">1517 Concord Cir </t>
  </si>
  <si>
    <t>College Station</t>
  </si>
  <si>
    <t>Ortega</t>
  </si>
  <si>
    <t>Gayla</t>
  </si>
  <si>
    <t xml:space="preserve">3900 Elks Dr </t>
  </si>
  <si>
    <t>Las Cruces</t>
  </si>
  <si>
    <t>Creighton</t>
  </si>
  <si>
    <t xml:space="preserve">434 Palmer Rd </t>
  </si>
  <si>
    <t>E Greenbush</t>
  </si>
  <si>
    <t>Marzocchi</t>
  </si>
  <si>
    <t xml:space="preserve">64 Overlook Dr </t>
  </si>
  <si>
    <t>Cook</t>
  </si>
  <si>
    <t>Nena</t>
  </si>
  <si>
    <t xml:space="preserve">222 Bear Paw Dr </t>
  </si>
  <si>
    <t>Newport</t>
  </si>
  <si>
    <t xml:space="preserve">653 W 653 W </t>
  </si>
  <si>
    <t xml:space="preserve">536 Selborne Rd </t>
  </si>
  <si>
    <t>Ledden</t>
  </si>
  <si>
    <t xml:space="preserve">4545 Grinding Rock Rd </t>
  </si>
  <si>
    <t>Fiddletown</t>
  </si>
  <si>
    <t>Touchstone</t>
  </si>
  <si>
    <t xml:space="preserve">252 Grapewood St </t>
  </si>
  <si>
    <t xml:space="preserve">1 David Ln Apt 4M </t>
  </si>
  <si>
    <t>Yonkers</t>
  </si>
  <si>
    <t>Steele</t>
  </si>
  <si>
    <t xml:space="preserve">5 Del Norte St </t>
  </si>
  <si>
    <t>Gabel</t>
  </si>
  <si>
    <t xml:space="preserve">5643 Springburn Dr </t>
  </si>
  <si>
    <t>Dublin</t>
  </si>
  <si>
    <t>Bergstedt</t>
  </si>
  <si>
    <t>Charlie</t>
  </si>
  <si>
    <t xml:space="preserve">350 Bay St # 100-257 </t>
  </si>
  <si>
    <t>Albanese</t>
  </si>
  <si>
    <t xml:space="preserve">156 Basswood Dr </t>
  </si>
  <si>
    <t>Elk Grove Village</t>
  </si>
  <si>
    <t>Licia</t>
  </si>
  <si>
    <t xml:space="preserve">7025 Riggs St </t>
  </si>
  <si>
    <t xml:space="preserve">521 Lotz Ave </t>
  </si>
  <si>
    <t>Altoona</t>
  </si>
  <si>
    <t>Zoe</t>
  </si>
  <si>
    <t xml:space="preserve">PO Box 265 </t>
  </si>
  <si>
    <t>Blum</t>
  </si>
  <si>
    <t xml:space="preserve">41739 Ilam Park Ln </t>
  </si>
  <si>
    <t>Leesburg</t>
  </si>
  <si>
    <t>Likavec</t>
  </si>
  <si>
    <t xml:space="preserve">5780 Pine Aires Dr </t>
  </si>
  <si>
    <t>Cato</t>
  </si>
  <si>
    <t xml:space="preserve">1807 Pecan Park Dr </t>
  </si>
  <si>
    <t xml:space="preserve">34452 Jefferson Ave Apt C41 </t>
  </si>
  <si>
    <t>Harrison Township</t>
  </si>
  <si>
    <t>Sylvia</t>
  </si>
  <si>
    <t xml:space="preserve">1117 Orlando Dr </t>
  </si>
  <si>
    <t>Plano</t>
  </si>
  <si>
    <t>Ambrose</t>
  </si>
  <si>
    <t xml:space="preserve">122 Marguerite Rd </t>
  </si>
  <si>
    <t>Latrobe</t>
  </si>
  <si>
    <t>Lizer</t>
  </si>
  <si>
    <t xml:space="preserve">4500 Yale Ave NW </t>
  </si>
  <si>
    <t>Jeannie</t>
  </si>
  <si>
    <t xml:space="preserve">1004 Yale Rd </t>
  </si>
  <si>
    <t>McFadden</t>
  </si>
  <si>
    <t xml:space="preserve">26766 Butternut Ridge Rd </t>
  </si>
  <si>
    <t>North Olmsted</t>
  </si>
  <si>
    <t>Andersen</t>
  </si>
  <si>
    <t xml:space="preserve">24 Silver Rdg </t>
  </si>
  <si>
    <t>Veazie</t>
  </si>
  <si>
    <t>Bouilland</t>
  </si>
  <si>
    <t xml:space="preserve">1016 SW 21st Ave </t>
  </si>
  <si>
    <t xml:space="preserve">1008 Starfield Cir </t>
  </si>
  <si>
    <t>Hillsborough</t>
  </si>
  <si>
    <t>Amaka</t>
  </si>
  <si>
    <t xml:space="preserve">7008 Lake Whitney Dr </t>
  </si>
  <si>
    <t>Patterson</t>
  </si>
  <si>
    <t xml:space="preserve">PO Box 180982 </t>
  </si>
  <si>
    <t>Felizola</t>
  </si>
  <si>
    <t xml:space="preserve">1823 Giles Ave NW </t>
  </si>
  <si>
    <t>Margolese-Malin</t>
  </si>
  <si>
    <t xml:space="preserve">5 Balsam Ct </t>
  </si>
  <si>
    <t>Lilli</t>
  </si>
  <si>
    <t xml:space="preserve">390 W End Ave Apt 8DS </t>
  </si>
  <si>
    <t>Stanistreet</t>
  </si>
  <si>
    <t>Cedar</t>
  </si>
  <si>
    <t xml:space="preserve">130 Belmont Ave </t>
  </si>
  <si>
    <t>Brattleboro</t>
  </si>
  <si>
    <t>05301-6656</t>
  </si>
  <si>
    <t>Kirch</t>
  </si>
  <si>
    <t>Herb</t>
  </si>
  <si>
    <t xml:space="preserve">4392 Linthicum Rd </t>
  </si>
  <si>
    <t xml:space="preserve">329 Sierra Pl NE </t>
  </si>
  <si>
    <t>Gieryn</t>
  </si>
  <si>
    <t xml:space="preserve">1011 E Linden Ave </t>
  </si>
  <si>
    <t>Manitowoc</t>
  </si>
  <si>
    <t xml:space="preserve">443 Westgate Ave </t>
  </si>
  <si>
    <t>University City</t>
  </si>
  <si>
    <t>Marcus</t>
  </si>
  <si>
    <t>Jack David</t>
  </si>
  <si>
    <t xml:space="preserve">215 W 92nd St Apt 15E </t>
  </si>
  <si>
    <t xml:space="preserve">989 Bidwell St </t>
  </si>
  <si>
    <t>Bauer</t>
  </si>
  <si>
    <t xml:space="preserve">479 Saint Pauls Rd </t>
  </si>
  <si>
    <t>Freeman</t>
  </si>
  <si>
    <t xml:space="preserve">8711 Rustling Mdws </t>
  </si>
  <si>
    <t>Vaught</t>
  </si>
  <si>
    <t xml:space="preserve">505 Oak Forest Circle 505 Oak Forest Cir 505 Cir </t>
  </si>
  <si>
    <t>Antioch</t>
  </si>
  <si>
    <t>Cahn</t>
  </si>
  <si>
    <t xml:space="preserve">8208 Bryant Dr </t>
  </si>
  <si>
    <t>De La Cruz</t>
  </si>
  <si>
    <t xml:space="preserve">876 Natalie Dr </t>
  </si>
  <si>
    <t>Windsor</t>
  </si>
  <si>
    <t>De Felice</t>
  </si>
  <si>
    <t>Anita</t>
  </si>
  <si>
    <t xml:space="preserve">180 Grant St </t>
  </si>
  <si>
    <t>Hulse</t>
  </si>
  <si>
    <t>Leroy</t>
  </si>
  <si>
    <t xml:space="preserve">3300 Main St </t>
  </si>
  <si>
    <t>Forest Grove</t>
  </si>
  <si>
    <t xml:space="preserve">4412 Ocean View Blvd Apt 207 </t>
  </si>
  <si>
    <t>Montrose</t>
  </si>
  <si>
    <t>Karrmann</t>
  </si>
  <si>
    <t xml:space="preserve">2870 Sand Castle Ln </t>
  </si>
  <si>
    <t>Stocking</t>
  </si>
  <si>
    <t>Reginald</t>
  </si>
  <si>
    <t xml:space="preserve">1301 Sanchez St </t>
  </si>
  <si>
    <t>Bedell-Waite</t>
  </si>
  <si>
    <t>Robin</t>
  </si>
  <si>
    <t xml:space="preserve">5728 Knobcone Dr </t>
  </si>
  <si>
    <t>Balabanian</t>
  </si>
  <si>
    <t xml:space="preserve">156 Gordon Ave </t>
  </si>
  <si>
    <t>Totowa</t>
  </si>
  <si>
    <t>Kantor</t>
  </si>
  <si>
    <t xml:space="preserve">1246 Kenilworth Pl </t>
  </si>
  <si>
    <t>Clawson</t>
  </si>
  <si>
    <t>Everett</t>
  </si>
  <si>
    <t xml:space="preserve">1028 Pampas Dr </t>
  </si>
  <si>
    <t>Frederick</t>
  </si>
  <si>
    <t xml:space="preserve">108 Washington St W </t>
  </si>
  <si>
    <t>Fayetteville</t>
  </si>
  <si>
    <t>McClure</t>
  </si>
  <si>
    <t xml:space="preserve">217 E St SW </t>
  </si>
  <si>
    <t>Stephon</t>
  </si>
  <si>
    <t xml:space="preserve">13212 Park Ln </t>
  </si>
  <si>
    <t>Fort Washington</t>
  </si>
  <si>
    <t xml:space="preserve">1603 Hanson Rd </t>
  </si>
  <si>
    <t>Ely</t>
  </si>
  <si>
    <t>Bracken</t>
  </si>
  <si>
    <t xml:space="preserve">1430 Bald Eagle Rd </t>
  </si>
  <si>
    <t xml:space="preserve">403 St Marys Rd </t>
  </si>
  <si>
    <t>Ramble</t>
  </si>
  <si>
    <t xml:space="preserve">458 Pennsylvania Ave </t>
  </si>
  <si>
    <t>York</t>
  </si>
  <si>
    <t>Munger</t>
  </si>
  <si>
    <t xml:space="preserve">555 S Emerson St </t>
  </si>
  <si>
    <t>Huenefeld</t>
  </si>
  <si>
    <t>Mary-Alyce</t>
  </si>
  <si>
    <t xml:space="preserve">9164 S Florence Pl </t>
  </si>
  <si>
    <t>Liss</t>
  </si>
  <si>
    <t xml:space="preserve">901 80th St Apt 6F </t>
  </si>
  <si>
    <t>Pollak</t>
  </si>
  <si>
    <t xml:space="preserve">2672 Honeysuckle Dr </t>
  </si>
  <si>
    <t>Herald</t>
  </si>
  <si>
    <t xml:space="preserve">807 W College Ave </t>
  </si>
  <si>
    <t xml:space="preserve">3530 Still Rd </t>
  </si>
  <si>
    <t>Cumming</t>
  </si>
  <si>
    <t>Lesinski</t>
  </si>
  <si>
    <t>Pete</t>
  </si>
  <si>
    <t xml:space="preserve">5726 Lakeshore Rd </t>
  </si>
  <si>
    <t>Fort Gratiot</t>
  </si>
  <si>
    <t>Terrie</t>
  </si>
  <si>
    <t xml:space="preserve">850 Laura Ln None </t>
  </si>
  <si>
    <t>Vidor</t>
  </si>
  <si>
    <t>Kappel</t>
  </si>
  <si>
    <t xml:space="preserve">57 Winter St </t>
  </si>
  <si>
    <t>Leominster</t>
  </si>
  <si>
    <t>Costa</t>
  </si>
  <si>
    <t>Mardene</t>
  </si>
  <si>
    <t xml:space="preserve">4115 Bennett Ave </t>
  </si>
  <si>
    <t>Sasonoff</t>
  </si>
  <si>
    <t>Alixine</t>
  </si>
  <si>
    <t xml:space="preserve">3701 SW 3 Tree Point Ln </t>
  </si>
  <si>
    <t>Raup-Kounovsky</t>
  </si>
  <si>
    <t xml:space="preserve">37 High St </t>
  </si>
  <si>
    <t>Chatham</t>
  </si>
  <si>
    <t>Gourville</t>
  </si>
  <si>
    <t xml:space="preserve">117 Royal Oak Dr </t>
  </si>
  <si>
    <t>Cooke</t>
  </si>
  <si>
    <t xml:space="preserve">19 Marine Ave Apt C3 </t>
  </si>
  <si>
    <t>Raphael</t>
  </si>
  <si>
    <t>Rayzel</t>
  </si>
  <si>
    <t xml:space="preserve">1211 Ansley Ave </t>
  </si>
  <si>
    <t>Melrose Park</t>
  </si>
  <si>
    <t>Leas</t>
  </si>
  <si>
    <t xml:space="preserve">21287 Sandal Foot Dr </t>
  </si>
  <si>
    <t>Venice</t>
  </si>
  <si>
    <t>Heether</t>
  </si>
  <si>
    <t xml:space="preserve">11643 W Dickerson Lake Rd </t>
  </si>
  <si>
    <t>Trufant</t>
  </si>
  <si>
    <t xml:space="preserve">167 Acorn Rd </t>
  </si>
  <si>
    <t>Roaring Spring</t>
  </si>
  <si>
    <t xml:space="preserve">6424 Greenridge Ave </t>
  </si>
  <si>
    <t>New Carlisle</t>
  </si>
  <si>
    <t>Shellie</t>
  </si>
  <si>
    <t xml:space="preserve">48 John Yaeger Rd </t>
  </si>
  <si>
    <t>Saugerties</t>
  </si>
  <si>
    <t xml:space="preserve">3827 NE 17th Street Cir </t>
  </si>
  <si>
    <t>Jerome</t>
  </si>
  <si>
    <t>Maynard</t>
  </si>
  <si>
    <t xml:space="preserve">26103 W Lauren Dr </t>
  </si>
  <si>
    <t>Channahon</t>
  </si>
  <si>
    <t>Bailey</t>
  </si>
  <si>
    <t>Kenneth</t>
  </si>
  <si>
    <t xml:space="preserve">16437 Oak Hill Dr </t>
  </si>
  <si>
    <t>Fenton</t>
  </si>
  <si>
    <t>Wojtalik</t>
  </si>
  <si>
    <t xml:space="preserve">3723 Green Oak Ct </t>
  </si>
  <si>
    <t>Parkville</t>
  </si>
  <si>
    <t>Steiner</t>
  </si>
  <si>
    <t>Neal</t>
  </si>
  <si>
    <t xml:space="preserve">2706 Castle Heights Pl </t>
  </si>
  <si>
    <t xml:space="preserve">6402 E Corrine Dr </t>
  </si>
  <si>
    <t>Hobart</t>
  </si>
  <si>
    <t>Garret</t>
  </si>
  <si>
    <t xml:space="preserve">1155 Dairy Hill Rd </t>
  </si>
  <si>
    <t>South Royalton</t>
  </si>
  <si>
    <t>Greinke</t>
  </si>
  <si>
    <t>Pamylle</t>
  </si>
  <si>
    <t xml:space="preserve">PO Box 456 </t>
  </si>
  <si>
    <t>Peconic</t>
  </si>
  <si>
    <t xml:space="preserve">4215 Hoala St Apt 101 </t>
  </si>
  <si>
    <t>Lihue</t>
  </si>
  <si>
    <t>Khambholja</t>
  </si>
  <si>
    <t xml:space="preserve">6195 E Rough Rock Dr </t>
  </si>
  <si>
    <t>Harder</t>
  </si>
  <si>
    <t xml:space="preserve">1 N186 Main St </t>
  </si>
  <si>
    <t>Glen Ellyn</t>
  </si>
  <si>
    <t>Knoben</t>
  </si>
  <si>
    <t xml:space="preserve">49739 153rd Pl </t>
  </si>
  <si>
    <t>Tamarack</t>
  </si>
  <si>
    <t>William G</t>
  </si>
  <si>
    <t xml:space="preserve">200 Dashew Dr Apt A15 </t>
  </si>
  <si>
    <t>Suffern</t>
  </si>
  <si>
    <t>Weltner</t>
  </si>
  <si>
    <t xml:space="preserve">53 Laurel St </t>
  </si>
  <si>
    <t>Mosher</t>
  </si>
  <si>
    <t xml:space="preserve">61 Wellington Rd </t>
  </si>
  <si>
    <t>Delmar</t>
  </si>
  <si>
    <t>Ness</t>
  </si>
  <si>
    <t>Sonia</t>
  </si>
  <si>
    <t xml:space="preserve">328 Banbury Ave </t>
  </si>
  <si>
    <t>Coulson</t>
  </si>
  <si>
    <t xml:space="preserve">12 Oakwood St Apt 2 </t>
  </si>
  <si>
    <t>Ruby</t>
  </si>
  <si>
    <t xml:space="preserve">18 Tiffany Rd Apt 10 </t>
  </si>
  <si>
    <t>Serge</t>
  </si>
  <si>
    <t xml:space="preserve">4052 Meadowleigh Way </t>
  </si>
  <si>
    <t>Columbus</t>
  </si>
  <si>
    <t>Swett</t>
  </si>
  <si>
    <t xml:space="preserve">301 Montreat Rd </t>
  </si>
  <si>
    <t>Black Mountain</t>
  </si>
  <si>
    <t xml:space="preserve">385 61st St </t>
  </si>
  <si>
    <t>Incao</t>
  </si>
  <si>
    <t>Philip F.</t>
  </si>
  <si>
    <t xml:space="preserve">276 N Spruce St Box 894 </t>
  </si>
  <si>
    <t>Crestone</t>
  </si>
  <si>
    <t>Dragity</t>
  </si>
  <si>
    <t xml:space="preserve">8618 Grayson Park Dr </t>
  </si>
  <si>
    <t>Makynen</t>
  </si>
  <si>
    <t>Sandi</t>
  </si>
  <si>
    <t xml:space="preserve">2034 County Road C </t>
  </si>
  <si>
    <t>Somerset</t>
  </si>
  <si>
    <t xml:space="preserve">2117 Claremont Ave NW </t>
  </si>
  <si>
    <t>Massillon</t>
  </si>
  <si>
    <t>Hirshorn</t>
  </si>
  <si>
    <t xml:space="preserve">13600 Aeronauts Way </t>
  </si>
  <si>
    <t>Rockerville</t>
  </si>
  <si>
    <t>SD</t>
  </si>
  <si>
    <t>Smiley</t>
  </si>
  <si>
    <t>C. M.</t>
  </si>
  <si>
    <t xml:space="preserve">10516 France Ave S </t>
  </si>
  <si>
    <t xml:space="preserve">6604 10th St </t>
  </si>
  <si>
    <t xml:space="preserve">1209 Maple St </t>
  </si>
  <si>
    <t>Lake In The Hills</t>
  </si>
  <si>
    <t>Oder</t>
  </si>
  <si>
    <t xml:space="preserve">1865 1/2 NE Seavy Ave </t>
  </si>
  <si>
    <t>Mill City</t>
  </si>
  <si>
    <t>Henson</t>
  </si>
  <si>
    <t xml:space="preserve">1412 Suffolk Ct </t>
  </si>
  <si>
    <t>La Vergne</t>
  </si>
  <si>
    <t>McCown</t>
  </si>
  <si>
    <t xml:space="preserve">7944 Appaloosa Ct </t>
  </si>
  <si>
    <t>Alta Loma</t>
  </si>
  <si>
    <t>Gordon-Brown</t>
  </si>
  <si>
    <t xml:space="preserve">10 Linden Ln </t>
  </si>
  <si>
    <t>Gengo</t>
  </si>
  <si>
    <t xml:space="preserve">27 Fifth St # B </t>
  </si>
  <si>
    <t>Cayton</t>
  </si>
  <si>
    <t>Marcy</t>
  </si>
  <si>
    <t xml:space="preserve">PO Box 567 </t>
  </si>
  <si>
    <t>Haiku</t>
  </si>
  <si>
    <t>Voelker</t>
  </si>
  <si>
    <t xml:space="preserve">5116 Twin Lakes Dr </t>
  </si>
  <si>
    <t>Kimball</t>
  </si>
  <si>
    <t>Riley</t>
  </si>
  <si>
    <t xml:space="preserve">121 Karr Ave </t>
  </si>
  <si>
    <t>Hoquiam</t>
  </si>
  <si>
    <t>Lindhorst</t>
  </si>
  <si>
    <t>Corine</t>
  </si>
  <si>
    <t xml:space="preserve">103 Golden Valley Loop </t>
  </si>
  <si>
    <t>Great Falls</t>
  </si>
  <si>
    <t xml:space="preserve">72 Patricia Ave </t>
  </si>
  <si>
    <t>Colonia</t>
  </si>
  <si>
    <t xml:space="preserve">12112 Indian Hollow Rd </t>
  </si>
  <si>
    <t>Grafton</t>
  </si>
  <si>
    <t>Opps</t>
  </si>
  <si>
    <t>Harvey</t>
  </si>
  <si>
    <t xml:space="preserve">291 Saxxony G </t>
  </si>
  <si>
    <t>Delray Beach</t>
  </si>
  <si>
    <t>Carroll</t>
  </si>
  <si>
    <t xml:space="preserve">1827 W Estes Ave </t>
  </si>
  <si>
    <t>Carr</t>
  </si>
  <si>
    <t xml:space="preserve">22 School St # A </t>
  </si>
  <si>
    <t>03755-2027</t>
  </si>
  <si>
    <t>Knight</t>
  </si>
  <si>
    <t>Haven</t>
  </si>
  <si>
    <t xml:space="preserve">1394 Copper Cir </t>
  </si>
  <si>
    <t>Natasha</t>
  </si>
  <si>
    <t xml:space="preserve">28 Old Fulton St Apt 4A </t>
  </si>
  <si>
    <t>Shenkman</t>
  </si>
  <si>
    <t xml:space="preserve">38 Barney Rd </t>
  </si>
  <si>
    <t>Towaco</t>
  </si>
  <si>
    <t>Swindell</t>
  </si>
  <si>
    <t>Elak</t>
  </si>
  <si>
    <t xml:space="preserve">807 Academy Ave </t>
  </si>
  <si>
    <t>Waynesboro</t>
  </si>
  <si>
    <t xml:space="preserve">440 Canyon Dr </t>
  </si>
  <si>
    <t>Hunnicutt</t>
  </si>
  <si>
    <t xml:space="preserve">3300 S Gila Dr Apt 112 </t>
  </si>
  <si>
    <t>Wade</t>
  </si>
  <si>
    <t xml:space="preserve">1884 Havana St </t>
  </si>
  <si>
    <t>Goodman</t>
  </si>
  <si>
    <t xml:space="preserve">10501 Lagrima De Oro Rd NE Apt 131 </t>
  </si>
  <si>
    <t>Devoss</t>
  </si>
  <si>
    <t>Shannon</t>
  </si>
  <si>
    <t xml:space="preserve">1442 E Provost Lake Rd </t>
  </si>
  <si>
    <t>Skandia</t>
  </si>
  <si>
    <t>James R</t>
  </si>
  <si>
    <t xml:space="preserve">5521 Michigan Blvd </t>
  </si>
  <si>
    <t xml:space="preserve">556 Quaker St </t>
  </si>
  <si>
    <t>North Ferrisburgh</t>
  </si>
  <si>
    <t xml:space="preserve">11063 E Rosebush Rd </t>
  </si>
  <si>
    <t>Coleman</t>
  </si>
  <si>
    <t>Knauber</t>
  </si>
  <si>
    <t xml:space="preserve">18 Royal Palm Dr </t>
  </si>
  <si>
    <t>Cheektowaga</t>
  </si>
  <si>
    <t xml:space="preserve">4106 Quintana St </t>
  </si>
  <si>
    <t>Hyattsville</t>
  </si>
  <si>
    <t xml:space="preserve">3765 Canfield Rd </t>
  </si>
  <si>
    <t>Barnes</t>
  </si>
  <si>
    <t xml:space="preserve">517 Adams St </t>
  </si>
  <si>
    <t>Owosso</t>
  </si>
  <si>
    <t xml:space="preserve">3378 Bishop Rd </t>
  </si>
  <si>
    <t>Dryden</t>
  </si>
  <si>
    <t>Zyzanski</t>
  </si>
  <si>
    <t xml:space="preserve">1187 Brainard Rd </t>
  </si>
  <si>
    <t>Lyndhurst</t>
  </si>
  <si>
    <t>Lufkin</t>
  </si>
  <si>
    <t xml:space="preserve">212 21st Ave SE </t>
  </si>
  <si>
    <t>Larschan</t>
  </si>
  <si>
    <t xml:space="preserve">81 Julbet Dr </t>
  </si>
  <si>
    <t>Sayville</t>
  </si>
  <si>
    <t>Hogan</t>
  </si>
  <si>
    <t xml:space="preserve">4914 Ladera Sarina </t>
  </si>
  <si>
    <t>Cunha</t>
  </si>
  <si>
    <t xml:space="preserve">17812 N 3rd Pl </t>
  </si>
  <si>
    <t>Niles</t>
  </si>
  <si>
    <t xml:space="preserve">76 Vista Rd </t>
  </si>
  <si>
    <t>North Haven</t>
  </si>
  <si>
    <t>Stephens</t>
  </si>
  <si>
    <t>Roderic</t>
  </si>
  <si>
    <t xml:space="preserve">1787 Lakeside Dr </t>
  </si>
  <si>
    <t>McCanlies</t>
  </si>
  <si>
    <t xml:space="preserve">1403 Townview Ave Apt 216 </t>
  </si>
  <si>
    <t xml:space="preserve">316 W Harris St </t>
  </si>
  <si>
    <t>Pine Mountain</t>
  </si>
  <si>
    <t xml:space="preserve">946 Hyland Dr </t>
  </si>
  <si>
    <t>Corley</t>
  </si>
  <si>
    <t xml:space="preserve">2058 Ferree Dr </t>
  </si>
  <si>
    <t>Grand Junction</t>
  </si>
  <si>
    <t>Milstein</t>
  </si>
  <si>
    <t xml:space="preserve">5007 Lakehurst Ln </t>
  </si>
  <si>
    <t>Bible</t>
  </si>
  <si>
    <t xml:space="preserve">3014 Brunswick Ave S </t>
  </si>
  <si>
    <t>Saint Louis Park</t>
  </si>
  <si>
    <t>Edell</t>
  </si>
  <si>
    <t xml:space="preserve">5244 Bridgetown Pl </t>
  </si>
  <si>
    <t>Westlake Village</t>
  </si>
  <si>
    <t>Semel</t>
  </si>
  <si>
    <t xml:space="preserve">46 Tally Ho Dr </t>
  </si>
  <si>
    <t>Warminster</t>
  </si>
  <si>
    <t>Di Benedetto</t>
  </si>
  <si>
    <t>Rainbow</t>
  </si>
  <si>
    <t xml:space="preserve">7708 Waldon Dr </t>
  </si>
  <si>
    <t>Craven</t>
  </si>
  <si>
    <t xml:space="preserve">1320 3rd St Apt 9 </t>
  </si>
  <si>
    <t>Cheney</t>
  </si>
  <si>
    <t xml:space="preserve">410 Prospectors Pt </t>
  </si>
  <si>
    <t>Else</t>
  </si>
  <si>
    <t xml:space="preserve">9702 Veterans Dr SW # 9702 </t>
  </si>
  <si>
    <t>Chisari</t>
  </si>
  <si>
    <t xml:space="preserve">3195 Keith Ln </t>
  </si>
  <si>
    <t>Mims</t>
  </si>
  <si>
    <t>Claudine</t>
  </si>
  <si>
    <t xml:space="preserve">25 Thalia St # 92694 </t>
  </si>
  <si>
    <t>Ladera Ranch</t>
  </si>
  <si>
    <t>Annecone</t>
  </si>
  <si>
    <t xml:space="preserve">PO Box 1017 </t>
  </si>
  <si>
    <t>Malone</t>
  </si>
  <si>
    <t xml:space="preserve">10 Denton Rd </t>
  </si>
  <si>
    <t>Cali</t>
  </si>
  <si>
    <t xml:space="preserve">5419 Hollywood Blvd # C814 </t>
  </si>
  <si>
    <t>Burnash</t>
  </si>
  <si>
    <t xml:space="preserve">10541 Malaga Way </t>
  </si>
  <si>
    <t>Rancho Cordova</t>
  </si>
  <si>
    <t>Roxanne</t>
  </si>
  <si>
    <t xml:space="preserve">523 W 112th St Apt 72 </t>
  </si>
  <si>
    <t>Carlson</t>
  </si>
  <si>
    <t xml:space="preserve">136 Jackie Dr </t>
  </si>
  <si>
    <t>Rutherfordton</t>
  </si>
  <si>
    <t>Cappello</t>
  </si>
  <si>
    <t xml:space="preserve">2015 Bandek Ln # 22 </t>
  </si>
  <si>
    <t xml:space="preserve">407 Valencia School Rd </t>
  </si>
  <si>
    <t>Lozoraitis</t>
  </si>
  <si>
    <t xml:space="preserve">16 Congress St </t>
  </si>
  <si>
    <t>Worcester</t>
  </si>
  <si>
    <t>Malven</t>
  </si>
  <si>
    <t>Tania</t>
  </si>
  <si>
    <t xml:space="preserve">2228 E Kleindale Rd </t>
  </si>
  <si>
    <t>Nitschke</t>
  </si>
  <si>
    <t xml:space="preserve">2559 Willow Creek Dr </t>
  </si>
  <si>
    <t xml:space="preserve">32 Lmwood Ave </t>
  </si>
  <si>
    <t>Montclair</t>
  </si>
  <si>
    <t xml:space="preserve">19 Locust St </t>
  </si>
  <si>
    <t>Waterloo</t>
  </si>
  <si>
    <t>McCool</t>
  </si>
  <si>
    <t xml:space="preserve">48 Dorothy Rd </t>
  </si>
  <si>
    <t>Millbury</t>
  </si>
  <si>
    <t>Martens</t>
  </si>
  <si>
    <t>Steuart</t>
  </si>
  <si>
    <t xml:space="preserve">92 Glade Cir W </t>
  </si>
  <si>
    <t>Rehoboth Beach</t>
  </si>
  <si>
    <t>Brabham</t>
  </si>
  <si>
    <t>Lorraine</t>
  </si>
  <si>
    <t xml:space="preserve">1313 Grand St </t>
  </si>
  <si>
    <t>Hoboken</t>
  </si>
  <si>
    <t>Valance</t>
  </si>
  <si>
    <t>Liberty</t>
  </si>
  <si>
    <t xml:space="preserve">3 Potter Pl </t>
  </si>
  <si>
    <t>Weehawken</t>
  </si>
  <si>
    <t>Rothman</t>
  </si>
  <si>
    <t xml:space="preserve">702 Walnut Ave </t>
  </si>
  <si>
    <t>Goodwyn</t>
  </si>
  <si>
    <t>Kahlil</t>
  </si>
  <si>
    <t xml:space="preserve">30 Montrose Ave Apt 22Q </t>
  </si>
  <si>
    <t>V.</t>
  </si>
  <si>
    <t xml:space="preserve">323 E 2nd St Apt 212 </t>
  </si>
  <si>
    <t>Schoch</t>
  </si>
  <si>
    <t xml:space="preserve">27 Pine St </t>
  </si>
  <si>
    <t>Salamanca</t>
  </si>
  <si>
    <t>Bud</t>
  </si>
  <si>
    <t xml:space="preserve">25250 482nd Ave </t>
  </si>
  <si>
    <t>Garretson</t>
  </si>
  <si>
    <t>Jordan</t>
  </si>
  <si>
    <t xml:space="preserve">11070 Campbell Cemetary Rd </t>
  </si>
  <si>
    <t>Loami</t>
  </si>
  <si>
    <t>Kiholm</t>
  </si>
  <si>
    <t xml:space="preserve">1541 N 107th Pl </t>
  </si>
  <si>
    <t>Benndorff</t>
  </si>
  <si>
    <t>Erich</t>
  </si>
  <si>
    <t xml:space="preserve">23637 Calistoga Pl </t>
  </si>
  <si>
    <t>Ramona</t>
  </si>
  <si>
    <t>Wf</t>
  </si>
  <si>
    <t xml:space="preserve">152 Kent Oaks Way </t>
  </si>
  <si>
    <t>Gaithersburg</t>
  </si>
  <si>
    <t>Schodorf</t>
  </si>
  <si>
    <t>Cathi</t>
  </si>
  <si>
    <t xml:space="preserve">1594 S Teakwood Dr </t>
  </si>
  <si>
    <t>Stevensville</t>
  </si>
  <si>
    <t>Ching</t>
  </si>
  <si>
    <t xml:space="preserve">1835 Via Isla </t>
  </si>
  <si>
    <t>Palm Springs</t>
  </si>
  <si>
    <t>Pitstick</t>
  </si>
  <si>
    <t xml:space="preserve">406 Overlook Heights Ln </t>
  </si>
  <si>
    <t>Chillicothe</t>
  </si>
  <si>
    <t xml:space="preserve">3988 Moore Hollow Rd </t>
  </si>
  <si>
    <t>Woodlawn</t>
  </si>
  <si>
    <t>Benotti</t>
  </si>
  <si>
    <t xml:space="preserve">94 John Wise Ave </t>
  </si>
  <si>
    <t>Essex</t>
  </si>
  <si>
    <t>Libengood</t>
  </si>
  <si>
    <t xml:space="preserve">4038 Ridge Pkwy </t>
  </si>
  <si>
    <t>Franich</t>
  </si>
  <si>
    <t xml:space="preserve">13301 Mockingbird Ct </t>
  </si>
  <si>
    <t>Fine</t>
  </si>
  <si>
    <t xml:space="preserve">7901 N Rasmussen Ave </t>
  </si>
  <si>
    <t xml:space="preserve">400 37th St </t>
  </si>
  <si>
    <t xml:space="preserve">5849 Rockdale Ct </t>
  </si>
  <si>
    <t xml:space="preserve">972 Allamanda Dr </t>
  </si>
  <si>
    <t>Filip</t>
  </si>
  <si>
    <t xml:space="preserve">PO Box 1332 </t>
  </si>
  <si>
    <t>Moorpark</t>
  </si>
  <si>
    <t>93020-1332</t>
  </si>
  <si>
    <t>Sherfy</t>
  </si>
  <si>
    <t xml:space="preserve">14334 Banister Dr </t>
  </si>
  <si>
    <t>Noblesville</t>
  </si>
  <si>
    <t>Ague</t>
  </si>
  <si>
    <t xml:space="preserve">491 Sherwood Way </t>
  </si>
  <si>
    <t>Menlo Park</t>
  </si>
  <si>
    <t>Saskin</t>
  </si>
  <si>
    <t>Helene</t>
  </si>
  <si>
    <t xml:space="preserve">7876 Wild Orchard Ln </t>
  </si>
  <si>
    <t>Dempsey</t>
  </si>
  <si>
    <t xml:space="preserve">5342 Saint James Pl </t>
  </si>
  <si>
    <t>Morgenthaler</t>
  </si>
  <si>
    <t>Jeffery</t>
  </si>
  <si>
    <t xml:space="preserve">1366 Alden Nash Ave NE </t>
  </si>
  <si>
    <t>Lowell</t>
  </si>
  <si>
    <t>Penhart</t>
  </si>
  <si>
    <t>Maree</t>
  </si>
  <si>
    <t xml:space="preserve">4625 Falkirk Bay </t>
  </si>
  <si>
    <t>Paladin</t>
  </si>
  <si>
    <t xml:space="preserve">3185 Sparrow Flight Dr </t>
  </si>
  <si>
    <t>Seven Hills</t>
  </si>
  <si>
    <t>Zani</t>
  </si>
  <si>
    <t xml:space="preserve">8210 Iwipolena Rd </t>
  </si>
  <si>
    <t>Kekaha</t>
  </si>
  <si>
    <t>Trauth</t>
  </si>
  <si>
    <t>Beti Webb</t>
  </si>
  <si>
    <t xml:space="preserve">2324 Harris St </t>
  </si>
  <si>
    <t>Haflich</t>
  </si>
  <si>
    <t xml:space="preserve">6723 SW Swonthold Rd </t>
  </si>
  <si>
    <t>Topeka</t>
  </si>
  <si>
    <t>Poleno</t>
  </si>
  <si>
    <t xml:space="preserve">310 Lake Dr </t>
  </si>
  <si>
    <t>New Castle</t>
  </si>
  <si>
    <t>Benson</t>
  </si>
  <si>
    <t xml:space="preserve">301 Hickory Grove Dr </t>
  </si>
  <si>
    <t>Amelia</t>
  </si>
  <si>
    <t xml:space="preserve">425 Raymond Ave </t>
  </si>
  <si>
    <t xml:space="preserve">1218 Twinberry Ct </t>
  </si>
  <si>
    <t>Byron</t>
  </si>
  <si>
    <t>Randi</t>
  </si>
  <si>
    <t xml:space="preserve">83 Deepwood Dr </t>
  </si>
  <si>
    <t>Avon</t>
  </si>
  <si>
    <t>Verkamp</t>
  </si>
  <si>
    <t xml:space="preserve">1819 Ashby Dr </t>
  </si>
  <si>
    <t>Charleston</t>
  </si>
  <si>
    <t>Gayle Spencer</t>
  </si>
  <si>
    <t xml:space="preserve">2603 Alpine Rd </t>
  </si>
  <si>
    <t>Zah</t>
  </si>
  <si>
    <t xml:space="preserve">446 Moore Ave </t>
  </si>
  <si>
    <t>St Charles</t>
  </si>
  <si>
    <t>Tao</t>
  </si>
  <si>
    <t xml:space="preserve">241 Geil St Apt A </t>
  </si>
  <si>
    <t>Eilenberg</t>
  </si>
  <si>
    <t>Alisa</t>
  </si>
  <si>
    <t xml:space="preserve">3006 Arlington Ave </t>
  </si>
  <si>
    <t>Allie</t>
  </si>
  <si>
    <t xml:space="preserve">247 W Avenida Palizada </t>
  </si>
  <si>
    <t>Altshuler</t>
  </si>
  <si>
    <t xml:space="preserve">2910 Grand Cayman Dr </t>
  </si>
  <si>
    <t>Elkins</t>
  </si>
  <si>
    <t xml:space="preserve">5025 Pirotte Dr </t>
  </si>
  <si>
    <t>F</t>
  </si>
  <si>
    <t xml:space="preserve">ETION Ave </t>
  </si>
  <si>
    <t>Dearborn Heights</t>
  </si>
  <si>
    <t xml:space="preserve">5875 Glacier Hwy Spc 26 </t>
  </si>
  <si>
    <t>Juneau</t>
  </si>
  <si>
    <t xml:space="preserve">558 Main St # 267 </t>
  </si>
  <si>
    <t>Church Hill</t>
  </si>
  <si>
    <t>L</t>
  </si>
  <si>
    <t xml:space="preserve">139 E Wayfield Dr </t>
  </si>
  <si>
    <t>Draper</t>
  </si>
  <si>
    <t>Amos</t>
  </si>
  <si>
    <t>Fran</t>
  </si>
  <si>
    <t xml:space="preserve">1937 Flintlock Ter W </t>
  </si>
  <si>
    <t>Goodwin</t>
  </si>
  <si>
    <t>Viola</t>
  </si>
  <si>
    <t xml:space="preserve">155 Sunlit Ter </t>
  </si>
  <si>
    <t>Wollman</t>
  </si>
  <si>
    <t>Russell</t>
  </si>
  <si>
    <t xml:space="preserve">296 Elizabeth St Apt 5R </t>
  </si>
  <si>
    <t>Standridge</t>
  </si>
  <si>
    <t>Teri</t>
  </si>
  <si>
    <t xml:space="preserve">834 Cemetery Rd </t>
  </si>
  <si>
    <t>Oliver Springs</t>
  </si>
  <si>
    <t>Vaz</t>
  </si>
  <si>
    <t>Frank And Mary</t>
  </si>
  <si>
    <t xml:space="preserve">1134 Cielita Linda Dr </t>
  </si>
  <si>
    <t>Summers</t>
  </si>
  <si>
    <t xml:space="preserve">1521 University Ave </t>
  </si>
  <si>
    <t>Melloh Md</t>
  </si>
  <si>
    <t xml:space="preserve">47 Sprague St </t>
  </si>
  <si>
    <t>S Portland</t>
  </si>
  <si>
    <t xml:space="preserve">2201 Stephen Ct </t>
  </si>
  <si>
    <t>Southworth</t>
  </si>
  <si>
    <t>Todd</t>
  </si>
  <si>
    <t xml:space="preserve">1127 Ravenwood Rd Apt 8 </t>
  </si>
  <si>
    <t>Mills</t>
  </si>
  <si>
    <t xml:space="preserve">916 N Commerce St </t>
  </si>
  <si>
    <t>Lockhart</t>
  </si>
  <si>
    <t>Romann</t>
  </si>
  <si>
    <t xml:space="preserve">1271 SE Camano Dr </t>
  </si>
  <si>
    <t>Camano Island</t>
  </si>
  <si>
    <t>Chalfen</t>
  </si>
  <si>
    <t xml:space="preserve">300 Commercial St Apt 204 </t>
  </si>
  <si>
    <t>Abby</t>
  </si>
  <si>
    <t xml:space="preserve">2535 Paintbrush Dr </t>
  </si>
  <si>
    <t>Twin Falls</t>
  </si>
  <si>
    <t>Derald</t>
  </si>
  <si>
    <t xml:space="preserve">520 14th Ave </t>
  </si>
  <si>
    <t>Kush</t>
  </si>
  <si>
    <t xml:space="preserve">PO Box 1360 </t>
  </si>
  <si>
    <t>Water Mill</t>
  </si>
  <si>
    <t>Cuff</t>
  </si>
  <si>
    <t xml:space="preserve">45 2nd St </t>
  </si>
  <si>
    <t>Kolstad</t>
  </si>
  <si>
    <t xml:space="preserve">5200 Oyster Rd </t>
  </si>
  <si>
    <t>Defurio</t>
  </si>
  <si>
    <t xml:space="preserve">239 Reidy Hill Road Hebron </t>
  </si>
  <si>
    <t>Hebron</t>
  </si>
  <si>
    <t>Grenard</t>
  </si>
  <si>
    <t xml:space="preserve">12810 N Cave Creek Rd Apt 105 </t>
  </si>
  <si>
    <t>Walter</t>
  </si>
  <si>
    <t xml:space="preserve">5316 SE Sherman St Apt STEBLDGOPTIONAL </t>
  </si>
  <si>
    <t>Hildebrand</t>
  </si>
  <si>
    <t>Charmaine</t>
  </si>
  <si>
    <t xml:space="preserve">9 Pheasant Ln </t>
  </si>
  <si>
    <t>Portsmouth</t>
  </si>
  <si>
    <t>Kramchak</t>
  </si>
  <si>
    <t>Garry</t>
  </si>
  <si>
    <t xml:space="preserve">8542 Dairy View Ln </t>
  </si>
  <si>
    <t>Turobiner</t>
  </si>
  <si>
    <t xml:space="preserve">11445 E Via Linda </t>
  </si>
  <si>
    <t>McGregor</t>
  </si>
  <si>
    <t xml:space="preserve">605 CEDAR TOP Dr </t>
  </si>
  <si>
    <t>Sevierville</t>
  </si>
  <si>
    <t>Capitola</t>
  </si>
  <si>
    <t>Kendra</t>
  </si>
  <si>
    <t xml:space="preserve">1111 Wunivblvd </t>
  </si>
  <si>
    <t>Kleinschmidt</t>
  </si>
  <si>
    <t>Reverend Ruby</t>
  </si>
  <si>
    <t xml:space="preserve">732 Broad St </t>
  </si>
  <si>
    <t>Menasha</t>
  </si>
  <si>
    <t>Sperber</t>
  </si>
  <si>
    <t xml:space="preserve">5814 Oakview Cir </t>
  </si>
  <si>
    <t>Sharpe</t>
  </si>
  <si>
    <t xml:space="preserve">1644 Old Arcata Rd </t>
  </si>
  <si>
    <t>Bayside</t>
  </si>
  <si>
    <t>Shushan</t>
  </si>
  <si>
    <t xml:space="preserve">26 Regent Rd </t>
  </si>
  <si>
    <t>Belmont</t>
  </si>
  <si>
    <t>Willis</t>
  </si>
  <si>
    <t xml:space="preserve">10108 W 59th Ter </t>
  </si>
  <si>
    <t>Shawnee</t>
  </si>
  <si>
    <t>Dursi</t>
  </si>
  <si>
    <t xml:space="preserve">27 Putney Rd </t>
  </si>
  <si>
    <t>Baldwin Place</t>
  </si>
  <si>
    <t>Zellner</t>
  </si>
  <si>
    <t xml:space="preserve">18311 Lakeshore Rd </t>
  </si>
  <si>
    <t>Two Rivers</t>
  </si>
  <si>
    <t>Hartigan</t>
  </si>
  <si>
    <t xml:space="preserve">417 Glen Malcolm Dr Apt D </t>
  </si>
  <si>
    <t>Glenshaw</t>
  </si>
  <si>
    <t>Ratkovsky</t>
  </si>
  <si>
    <t xml:space="preserve">5461 Fernhoff Rd </t>
  </si>
  <si>
    <t>Jennings</t>
  </si>
  <si>
    <t xml:space="preserve">1828 Crown Point Woods Cir </t>
  </si>
  <si>
    <t>Ocoee</t>
  </si>
  <si>
    <t xml:space="preserve">213 W Columbine Ave </t>
  </si>
  <si>
    <t>Santa Ana</t>
  </si>
  <si>
    <t>Geyer</t>
  </si>
  <si>
    <t xml:space="preserve">PO Box 391942 </t>
  </si>
  <si>
    <t>Anza</t>
  </si>
  <si>
    <t>Bloch</t>
  </si>
  <si>
    <t xml:space="preserve">7238 Shaftesbury Ave </t>
  </si>
  <si>
    <t xml:space="preserve">1935 Hickok Rd </t>
  </si>
  <si>
    <t>El Dorado Hills</t>
  </si>
  <si>
    <t>Doty</t>
  </si>
  <si>
    <t xml:space="preserve">705 Harroun St </t>
  </si>
  <si>
    <t>Belding</t>
  </si>
  <si>
    <t>Pinc</t>
  </si>
  <si>
    <t>J Michael</t>
  </si>
  <si>
    <t xml:space="preserve">6201 NE 80th Ct </t>
  </si>
  <si>
    <t>Vancouver</t>
  </si>
  <si>
    <t>Berka</t>
  </si>
  <si>
    <t xml:space="preserve">1409 Sheep Creek Ct </t>
  </si>
  <si>
    <t>80526-3459</t>
  </si>
  <si>
    <t>Isaacson</t>
  </si>
  <si>
    <t>Rosalie</t>
  </si>
  <si>
    <t xml:space="preserve">2640 W Lunt Ave </t>
  </si>
  <si>
    <t xml:space="preserve">3010 Cleinview Ave </t>
  </si>
  <si>
    <t>Rhein</t>
  </si>
  <si>
    <t>Tansy</t>
  </si>
  <si>
    <t xml:space="preserve">4864 SE Caruthers St </t>
  </si>
  <si>
    <t>Lefever</t>
  </si>
  <si>
    <t xml:space="preserve">2359 Blue Sky Ln </t>
  </si>
  <si>
    <t>97520-2712</t>
  </si>
  <si>
    <t>Amberg</t>
  </si>
  <si>
    <t>Lou-Anne</t>
  </si>
  <si>
    <t xml:space="preserve">33125 SE White Oak Rd Unit 38 </t>
  </si>
  <si>
    <t>97333-2444</t>
  </si>
  <si>
    <t xml:space="preserve">15333 Greenhaven Ln </t>
  </si>
  <si>
    <t>Burnsville</t>
  </si>
  <si>
    <t>Lathrop</t>
  </si>
  <si>
    <t>Lesley</t>
  </si>
  <si>
    <t xml:space="preserve">Lesley </t>
  </si>
  <si>
    <t>Gambol</t>
  </si>
  <si>
    <t>Rhett</t>
  </si>
  <si>
    <t xml:space="preserve">318 10th Ave E Apt C10 </t>
  </si>
  <si>
    <t>Stordahl</t>
  </si>
  <si>
    <t xml:space="preserve">Wuffybruno Yahoocom </t>
  </si>
  <si>
    <t>Michael And Barbara</t>
  </si>
  <si>
    <t xml:space="preserve">701 Mineral Hill Rd </t>
  </si>
  <si>
    <t>Mineral</t>
  </si>
  <si>
    <t>Forbes</t>
  </si>
  <si>
    <t xml:space="preserve">9078 Stump Point Rd </t>
  </si>
  <si>
    <t>23072-4604</t>
  </si>
  <si>
    <t>Hougham</t>
  </si>
  <si>
    <t xml:space="preserve">4001 W Hougham Rd </t>
  </si>
  <si>
    <t>Trafalgar</t>
  </si>
  <si>
    <t>Kohl</t>
  </si>
  <si>
    <t xml:space="preserve">93 S Lillie St </t>
  </si>
  <si>
    <t>Kankakee</t>
  </si>
  <si>
    <t>Lora</t>
  </si>
  <si>
    <t xml:space="preserve">743 N Aztec Dr </t>
  </si>
  <si>
    <t>Biernoff</t>
  </si>
  <si>
    <t>Ari</t>
  </si>
  <si>
    <t xml:space="preserve">PO Box 23631 </t>
  </si>
  <si>
    <t>Balsamo</t>
  </si>
  <si>
    <t xml:space="preserve">27 Hampden St Apt 4 </t>
  </si>
  <si>
    <t>Wellesley</t>
  </si>
  <si>
    <t>Rhodes</t>
  </si>
  <si>
    <t xml:space="preserve">5034 El Camino Dr </t>
  </si>
  <si>
    <t>Duni</t>
  </si>
  <si>
    <t xml:space="preserve">10527 Montrose Ave </t>
  </si>
  <si>
    <t>Donohue</t>
  </si>
  <si>
    <t>Gloria Donohue</t>
  </si>
  <si>
    <t xml:space="preserve">368 Camellia Cir </t>
  </si>
  <si>
    <t>Larkspur</t>
  </si>
  <si>
    <t>94939-1561</t>
  </si>
  <si>
    <t>Findlay</t>
  </si>
  <si>
    <t xml:space="preserve">777 College Park Dr SW Unit 32 </t>
  </si>
  <si>
    <t>Malafy</t>
  </si>
  <si>
    <t xml:space="preserve">280 Centerville Harp Rd </t>
  </si>
  <si>
    <t>French Creek</t>
  </si>
  <si>
    <t>26218-7338</t>
  </si>
  <si>
    <t>Sphaera</t>
  </si>
  <si>
    <t>Azul</t>
  </si>
  <si>
    <t xml:space="preserve">321 N Allen St </t>
  </si>
  <si>
    <t>53726-3921</t>
  </si>
  <si>
    <t>Black</t>
  </si>
  <si>
    <t xml:space="preserve">PO Box 1549 </t>
  </si>
  <si>
    <t xml:space="preserve">1020 Orion Ave </t>
  </si>
  <si>
    <t>Okun</t>
  </si>
  <si>
    <t xml:space="preserve">238 Nickels Arc </t>
  </si>
  <si>
    <t>Fletcher</t>
  </si>
  <si>
    <t xml:space="preserve">131 S Zeeb Rd </t>
  </si>
  <si>
    <t>Bowser</t>
  </si>
  <si>
    <t xml:space="preserve">323 S 14th St </t>
  </si>
  <si>
    <t>Fort Calhoun</t>
  </si>
  <si>
    <t xml:space="preserve">25 Esplanade Dr </t>
  </si>
  <si>
    <t xml:space="preserve">17280 Whitewater Ct </t>
  </si>
  <si>
    <t>Fort Myers Beach</t>
  </si>
  <si>
    <t>33931-5307</t>
  </si>
  <si>
    <t>Schramm</t>
  </si>
  <si>
    <t xml:space="preserve">2565 Dover Ct </t>
  </si>
  <si>
    <t>80215-1757</t>
  </si>
  <si>
    <t xml:space="preserve">168 Furnace Rd </t>
  </si>
  <si>
    <t>Birdsboro</t>
  </si>
  <si>
    <t>Dreyer</t>
  </si>
  <si>
    <t xml:space="preserve">15 Marianne Rd </t>
  </si>
  <si>
    <t xml:space="preserve">812 Park Ave </t>
  </si>
  <si>
    <t xml:space="preserve">9609 Spurwood Ct </t>
  </si>
  <si>
    <t>Leppo</t>
  </si>
  <si>
    <t xml:space="preserve">310 Cuyama Ave </t>
  </si>
  <si>
    <t>Shell Beach</t>
  </si>
  <si>
    <t>93449-1806</t>
  </si>
  <si>
    <t>Hoess</t>
  </si>
  <si>
    <t xml:space="preserve">11182 Pottawotomie Trl </t>
  </si>
  <si>
    <t>Walkerton</t>
  </si>
  <si>
    <t>46574-9373</t>
  </si>
  <si>
    <t>Thielen</t>
  </si>
  <si>
    <t xml:space="preserve">3800 W Wilson St Spc 125 </t>
  </si>
  <si>
    <t>92220-3446</t>
  </si>
  <si>
    <t>Moffett</t>
  </si>
  <si>
    <t xml:space="preserve">42 Annandale Rd </t>
  </si>
  <si>
    <t>91105-1404</t>
  </si>
  <si>
    <t xml:space="preserve">101 Alma St Apt 507 </t>
  </si>
  <si>
    <t>94301-1006</t>
  </si>
  <si>
    <t>Cospito</t>
  </si>
  <si>
    <t>Dr. Robert</t>
  </si>
  <si>
    <t xml:space="preserve">186 Highland Ave </t>
  </si>
  <si>
    <t>Somerville</t>
  </si>
  <si>
    <t>Morgan</t>
  </si>
  <si>
    <t>Nerissa</t>
  </si>
  <si>
    <t xml:space="preserve">PO Box 494 </t>
  </si>
  <si>
    <t>Roslyn</t>
  </si>
  <si>
    <t xml:space="preserve">196 East75th St Nyc NY Nyc NY </t>
  </si>
  <si>
    <t>Unrath</t>
  </si>
  <si>
    <t xml:space="preserve">6415 Marshall Rd </t>
  </si>
  <si>
    <t>Dexter</t>
  </si>
  <si>
    <t>Gommers</t>
  </si>
  <si>
    <t xml:space="preserve">6 Arboleda Cir </t>
  </si>
  <si>
    <t>Fairfax</t>
  </si>
  <si>
    <t>Agres</t>
  </si>
  <si>
    <t>Trudy P.</t>
  </si>
  <si>
    <t xml:space="preserve">PO Box BOOX 311 </t>
  </si>
  <si>
    <t>Bennington</t>
  </si>
  <si>
    <t>Ruedi</t>
  </si>
  <si>
    <t>Gayle</t>
  </si>
  <si>
    <t xml:space="preserve">1020 Fearrington Post </t>
  </si>
  <si>
    <t>Pittsboro</t>
  </si>
  <si>
    <t>27312-5503</t>
  </si>
  <si>
    <t>Cross</t>
  </si>
  <si>
    <t xml:space="preserve">2222 Faber St </t>
  </si>
  <si>
    <t>Hamtramck</t>
  </si>
  <si>
    <t>Gret</t>
  </si>
  <si>
    <t xml:space="preserve">6235 Chestnut St Apt 304L </t>
  </si>
  <si>
    <t>19139-2940</t>
  </si>
  <si>
    <t>Dowling</t>
  </si>
  <si>
    <t xml:space="preserve">408 E TENORIO St </t>
  </si>
  <si>
    <t>Marfa</t>
  </si>
  <si>
    <t>Schatzberg</t>
  </si>
  <si>
    <t xml:space="preserve">10726 SW 49th Ave # AT </t>
  </si>
  <si>
    <t>Gaya</t>
  </si>
  <si>
    <t xml:space="preserve">1907 Adams Ct </t>
  </si>
  <si>
    <t>McKelvey</t>
  </si>
  <si>
    <t xml:space="preserve">2005 E 226th St </t>
  </si>
  <si>
    <t>Euclid</t>
  </si>
  <si>
    <t>Large</t>
  </si>
  <si>
    <t xml:space="preserve">125 S Laurel St </t>
  </si>
  <si>
    <t>Reardon</t>
  </si>
  <si>
    <t xml:space="preserve">322 Boston Ave Apt 4 </t>
  </si>
  <si>
    <t>Boucher</t>
  </si>
  <si>
    <t xml:space="preserve">4101 Gallatin St </t>
  </si>
  <si>
    <t>20781-2133</t>
  </si>
  <si>
    <t>Sibrina</t>
  </si>
  <si>
    <t xml:space="preserve">1398 Grassland Dr </t>
  </si>
  <si>
    <t>Ashland City</t>
  </si>
  <si>
    <t>37015-4570</t>
  </si>
  <si>
    <t xml:space="preserve">WINN Rd </t>
  </si>
  <si>
    <t>Lyndeborough</t>
  </si>
  <si>
    <t>Deptula</t>
  </si>
  <si>
    <t xml:space="preserve">41406 Breton Beach Rd </t>
  </si>
  <si>
    <t>Leonardtown</t>
  </si>
  <si>
    <t>20650-4215</t>
  </si>
  <si>
    <t xml:space="preserve">4983 Dekoven St </t>
  </si>
  <si>
    <t>Sekhavat</t>
  </si>
  <si>
    <t>Abbass</t>
  </si>
  <si>
    <t xml:space="preserve">5919 Westgrove Dr </t>
  </si>
  <si>
    <t>Burton</t>
  </si>
  <si>
    <t xml:space="preserve">17120 Qn Victoria Ct Apt 302 </t>
  </si>
  <si>
    <t>Kolinski-Schultz</t>
  </si>
  <si>
    <t xml:space="preserve">6217 Chermont St NW </t>
  </si>
  <si>
    <t>44718-1007</t>
  </si>
  <si>
    <t>Hallal</t>
  </si>
  <si>
    <t xml:space="preserve">28 Arcade </t>
  </si>
  <si>
    <t>92603-0120</t>
  </si>
  <si>
    <t>Schmaier</t>
  </si>
  <si>
    <t xml:space="preserve">901 Hillsborough Blvd </t>
  </si>
  <si>
    <t>94010-6428</t>
  </si>
  <si>
    <t>Cassidy</t>
  </si>
  <si>
    <t xml:space="preserve">5520 Irving Ave S </t>
  </si>
  <si>
    <t>55419-1634</t>
  </si>
  <si>
    <t xml:space="preserve">523 SE Riverside Ave </t>
  </si>
  <si>
    <t>97526-3146</t>
  </si>
  <si>
    <t>Kastner</t>
  </si>
  <si>
    <t xml:space="preserve">802 Blenheim Ave </t>
  </si>
  <si>
    <t>Mayfield</t>
  </si>
  <si>
    <t>Suellen</t>
  </si>
  <si>
    <t xml:space="preserve">1102 Superba Ave </t>
  </si>
  <si>
    <t>Knapp</t>
  </si>
  <si>
    <t xml:space="preserve">2560 Colgate Way </t>
  </si>
  <si>
    <t xml:space="preserve">MEADOWBROOK Dr </t>
  </si>
  <si>
    <t>Pantelis</t>
  </si>
  <si>
    <t xml:space="preserve">13 Victoria Ln </t>
  </si>
  <si>
    <t>Lincolnshire</t>
  </si>
  <si>
    <t>Langue</t>
  </si>
  <si>
    <t xml:space="preserve">334 Bowery </t>
  </si>
  <si>
    <t>Licciardi</t>
  </si>
  <si>
    <t>Gerardo</t>
  </si>
  <si>
    <t xml:space="preserve">2941 Briarwood Dr </t>
  </si>
  <si>
    <t>Torrance</t>
  </si>
  <si>
    <t>Satterfield</t>
  </si>
  <si>
    <t xml:space="preserve">109 N Pleasant St </t>
  </si>
  <si>
    <t>West Union</t>
  </si>
  <si>
    <t>Shultz</t>
  </si>
  <si>
    <t>Jamie</t>
  </si>
  <si>
    <t xml:space="preserve">26 Paul Wilson Ln </t>
  </si>
  <si>
    <t>Butterworth</t>
  </si>
  <si>
    <t xml:space="preserve">228 N San Mateo Dr Apt 4 </t>
  </si>
  <si>
    <t>San Mateo</t>
  </si>
  <si>
    <t xml:space="preserve">11110 Moorpark St Apt 201 </t>
  </si>
  <si>
    <t>Revilla</t>
  </si>
  <si>
    <t xml:space="preserve">1744 NE Liberty St </t>
  </si>
  <si>
    <t>Zeidman</t>
  </si>
  <si>
    <t>Lois</t>
  </si>
  <si>
    <t xml:space="preserve">7716 S Apricot Dr </t>
  </si>
  <si>
    <t>Burchard</t>
  </si>
  <si>
    <t xml:space="preserve">777 Pompadour Dr </t>
  </si>
  <si>
    <t>Polish</t>
  </si>
  <si>
    <t>Bret</t>
  </si>
  <si>
    <t xml:space="preserve">18111 Topham St Apt STEBLDGOPTIONAL </t>
  </si>
  <si>
    <t>Tarzana</t>
  </si>
  <si>
    <t>Ullrich</t>
  </si>
  <si>
    <t xml:space="preserve">3527 Shawnee Rd </t>
  </si>
  <si>
    <t xml:space="preserve">43 E Weile Ave Apt 412 </t>
  </si>
  <si>
    <t>Wengert</t>
  </si>
  <si>
    <t>Portage</t>
  </si>
  <si>
    <t>Salof</t>
  </si>
  <si>
    <t xml:space="preserve">2474 Del Mar Ave </t>
  </si>
  <si>
    <t>Rosemead</t>
  </si>
  <si>
    <t>McConnell</t>
  </si>
  <si>
    <t xml:space="preserve">631 E Coronado Way </t>
  </si>
  <si>
    <t>85541-5626</t>
  </si>
  <si>
    <t>Findley</t>
  </si>
  <si>
    <t xml:space="preserve">27230 Ibis Cove COURT230 Ibis Cove Ct </t>
  </si>
  <si>
    <t>Bonita Springs</t>
  </si>
  <si>
    <t>Libonati</t>
  </si>
  <si>
    <t xml:space="preserve">159 Sky Vista Pl </t>
  </si>
  <si>
    <t>MacConnell</t>
  </si>
  <si>
    <t>Darcy</t>
  </si>
  <si>
    <t>Mount Morris</t>
  </si>
  <si>
    <t>Wu</t>
  </si>
  <si>
    <t xml:space="preserve">100 Pangolin </t>
  </si>
  <si>
    <t>Aurelie</t>
  </si>
  <si>
    <t xml:space="preserve">1409 Forest Park Dr </t>
  </si>
  <si>
    <t>Statesville</t>
  </si>
  <si>
    <t>28677-7925</t>
  </si>
  <si>
    <t>Bodine</t>
  </si>
  <si>
    <t xml:space="preserve">1236 Tennyson Ln </t>
  </si>
  <si>
    <t>60540-0392</t>
  </si>
  <si>
    <t>Hay</t>
  </si>
  <si>
    <t xml:space="preserve">4608 Howe Rd </t>
  </si>
  <si>
    <t>Greer</t>
  </si>
  <si>
    <t>29651-4718</t>
  </si>
  <si>
    <t>Nugent</t>
  </si>
  <si>
    <t xml:space="preserve">1103 NE Irene Ct </t>
  </si>
  <si>
    <t>97124-4044</t>
  </si>
  <si>
    <t>Romano</t>
  </si>
  <si>
    <t xml:space="preserve">7175 W Vassar Ave </t>
  </si>
  <si>
    <t>80227-3301</t>
  </si>
  <si>
    <t>Selbin</t>
  </si>
  <si>
    <t xml:space="preserve">2209 Granada &amp; Place Viia NW </t>
  </si>
  <si>
    <t xml:space="preserve">3 Rockland Dr </t>
  </si>
  <si>
    <t>Old Orchard Beach</t>
  </si>
  <si>
    <t>Wolfsohn</t>
  </si>
  <si>
    <t xml:space="preserve">8024 Parknoll Dr </t>
  </si>
  <si>
    <t>Huntersville</t>
  </si>
  <si>
    <t>Amrod</t>
  </si>
  <si>
    <t xml:space="preserve">3171 River Knoll Dr N Apt 1805 </t>
  </si>
  <si>
    <t>Horlick</t>
  </si>
  <si>
    <t xml:space="preserve">200 S Willow St # 15 </t>
  </si>
  <si>
    <t>Telluride</t>
  </si>
  <si>
    <t xml:space="preserve">344 N 5th St Apt 6 </t>
  </si>
  <si>
    <t>Ballenger</t>
  </si>
  <si>
    <t xml:space="preserve">LOS PADRES Dr </t>
  </si>
  <si>
    <t>Chiu</t>
  </si>
  <si>
    <t xml:space="preserve">4931 NE 45TH St </t>
  </si>
  <si>
    <t>Hunter</t>
  </si>
  <si>
    <t>Eileen</t>
  </si>
  <si>
    <t xml:space="preserve">791 Wittelsbach Dr Apt B </t>
  </si>
  <si>
    <t>Alanna</t>
  </si>
  <si>
    <t xml:space="preserve">7508 159th Pl NE Apt 259 </t>
  </si>
  <si>
    <t>Fotos</t>
  </si>
  <si>
    <t xml:space="preserve">16 Truell Rd </t>
  </si>
  <si>
    <t>Hollis</t>
  </si>
  <si>
    <t>Thames</t>
  </si>
  <si>
    <t xml:space="preserve">1576 Mitchell Ave </t>
  </si>
  <si>
    <t>Perron</t>
  </si>
  <si>
    <t xml:space="preserve">1718 Melrose Ave </t>
  </si>
  <si>
    <t>Genest</t>
  </si>
  <si>
    <t xml:space="preserve">17200 SE 26th Dr Unit K38 </t>
  </si>
  <si>
    <t>Van Der Veen</t>
  </si>
  <si>
    <t xml:space="preserve">500 S Orange Grove Ave </t>
  </si>
  <si>
    <t>Felice</t>
  </si>
  <si>
    <t xml:space="preserve">11368 E Caribbean Ln </t>
  </si>
  <si>
    <t>Lyon</t>
  </si>
  <si>
    <t xml:space="preserve">PO Box 1175 </t>
  </si>
  <si>
    <t>93116-1175</t>
  </si>
  <si>
    <t>Sterling</t>
  </si>
  <si>
    <t>Kaylah</t>
  </si>
  <si>
    <t xml:space="preserve">1500 Park Ave Apt 221 </t>
  </si>
  <si>
    <t>Emeryville</t>
  </si>
  <si>
    <t>94608-3577</t>
  </si>
  <si>
    <t>Michiko</t>
  </si>
  <si>
    <t xml:space="preserve">2025 Bentivar Dr </t>
  </si>
  <si>
    <t>22911-8234</t>
  </si>
  <si>
    <t>Poppe</t>
  </si>
  <si>
    <t>Dorothy Poppe</t>
  </si>
  <si>
    <t xml:space="preserve">3009 Graystone Manor Pkwy </t>
  </si>
  <si>
    <t>40241-3100</t>
  </si>
  <si>
    <t>Preston</t>
  </si>
  <si>
    <t xml:space="preserve">344 Highland Ave </t>
  </si>
  <si>
    <t>94110-5813</t>
  </si>
  <si>
    <t>Koenig</t>
  </si>
  <si>
    <t xml:space="preserve">9830 Fairfax Blvd </t>
  </si>
  <si>
    <t>Lake</t>
  </si>
  <si>
    <t xml:space="preserve">960 Celadon St </t>
  </si>
  <si>
    <t>Winter Garden</t>
  </si>
  <si>
    <t>Limberg</t>
  </si>
  <si>
    <t xml:space="preserve">1901 Cartwright St </t>
  </si>
  <si>
    <t>Caraballo</t>
  </si>
  <si>
    <t xml:space="preserve">975 Camden Ln </t>
  </si>
  <si>
    <t>Burmester</t>
  </si>
  <si>
    <t xml:space="preserve">10829 SE Happy Valley Dr </t>
  </si>
  <si>
    <t>Happy Valley</t>
  </si>
  <si>
    <t xml:space="preserve">5 Moss Rock Dr </t>
  </si>
  <si>
    <t>New Braunfels</t>
  </si>
  <si>
    <t>78130-6141</t>
  </si>
  <si>
    <t>Sobanski</t>
  </si>
  <si>
    <t xml:space="preserve">140 E 2nd St </t>
  </si>
  <si>
    <t>11218-1447</t>
  </si>
  <si>
    <t>Shea Rn</t>
  </si>
  <si>
    <t>Bonita</t>
  </si>
  <si>
    <t xml:space="preserve">76 Finch Way </t>
  </si>
  <si>
    <t>Wasola</t>
  </si>
  <si>
    <t>Danks</t>
  </si>
  <si>
    <t xml:space="preserve">1200 Overcash Dr </t>
  </si>
  <si>
    <t>Dunedin</t>
  </si>
  <si>
    <t>Broderson</t>
  </si>
  <si>
    <t xml:space="preserve">608 Fulton Rd </t>
  </si>
  <si>
    <t>Hartmann</t>
  </si>
  <si>
    <t xml:space="preserve">1218 Noyes St </t>
  </si>
  <si>
    <t>Kirby G</t>
  </si>
  <si>
    <t xml:space="preserve">32619 Meadowlark Ct </t>
  </si>
  <si>
    <t>Farmington</t>
  </si>
  <si>
    <t>Edelen</t>
  </si>
  <si>
    <t xml:space="preserve">6304 Hanses Dr </t>
  </si>
  <si>
    <t>Lux</t>
  </si>
  <si>
    <t xml:space="preserve">154 Franklin Ln </t>
  </si>
  <si>
    <t>State Road</t>
  </si>
  <si>
    <t>Tongas</t>
  </si>
  <si>
    <t>Melanie</t>
  </si>
  <si>
    <t xml:space="preserve">11717 Darlington Ave </t>
  </si>
  <si>
    <t>Harrold</t>
  </si>
  <si>
    <t xml:space="preserve">4704 Linscott Ave </t>
  </si>
  <si>
    <t>Pucak</t>
  </si>
  <si>
    <t xml:space="preserve">478 Stagecoach Ln </t>
  </si>
  <si>
    <t>Carbondale</t>
  </si>
  <si>
    <t xml:space="preserve">8801 Brigadier Ln </t>
  </si>
  <si>
    <t>Mint Hill</t>
  </si>
  <si>
    <t xml:space="preserve">2595 Glaramara Ter </t>
  </si>
  <si>
    <t>Tobal</t>
  </si>
  <si>
    <t xml:space="preserve">7725 Kenway Pl E </t>
  </si>
  <si>
    <t>Seiler</t>
  </si>
  <si>
    <t xml:space="preserve">2674 Montrose Pl </t>
  </si>
  <si>
    <t>Colley</t>
  </si>
  <si>
    <t>Belinda</t>
  </si>
  <si>
    <t xml:space="preserve">PO Box 152 </t>
  </si>
  <si>
    <t>Azalea</t>
  </si>
  <si>
    <t>Cypher</t>
  </si>
  <si>
    <t xml:space="preserve">1136 N Main St # 200 </t>
  </si>
  <si>
    <t>O'Donnell</t>
  </si>
  <si>
    <t xml:space="preserve">10046 13th Ave NW </t>
  </si>
  <si>
    <t>Janota</t>
  </si>
  <si>
    <t xml:space="preserve">5163 the Pointe </t>
  </si>
  <si>
    <t>Rasmussen</t>
  </si>
  <si>
    <t xml:space="preserve">12835 Valleywood Dr </t>
  </si>
  <si>
    <t>Woodbridge</t>
  </si>
  <si>
    <t>Danby</t>
  </si>
  <si>
    <t xml:space="preserve">16883 Weber Way </t>
  </si>
  <si>
    <t>Mead</t>
  </si>
  <si>
    <t>Syfan</t>
  </si>
  <si>
    <t>Meg</t>
  </si>
  <si>
    <t xml:space="preserve">2297 Inyo St </t>
  </si>
  <si>
    <t>St Peter</t>
  </si>
  <si>
    <t xml:space="preserve">29155 Van Riper St </t>
  </si>
  <si>
    <t>Flat Rock</t>
  </si>
  <si>
    <t>Colafranceschi</t>
  </si>
  <si>
    <t xml:space="preserve">PO Box 201 </t>
  </si>
  <si>
    <t>Whitethorn</t>
  </si>
  <si>
    <t>Chambo</t>
  </si>
  <si>
    <t xml:space="preserve">2914 Brightside Dr </t>
  </si>
  <si>
    <t>Turlo</t>
  </si>
  <si>
    <t xml:space="preserve">116 Palos Verdes Blvd Apt C </t>
  </si>
  <si>
    <t>Krucoff</t>
  </si>
  <si>
    <t xml:space="preserve">5441 S Kenwood Ave Apt 3 </t>
  </si>
  <si>
    <t>Micheau</t>
  </si>
  <si>
    <t xml:space="preserve">901 Concord Ct </t>
  </si>
  <si>
    <t>Pratt</t>
  </si>
  <si>
    <t xml:space="preserve">3523 Northwood Ave </t>
  </si>
  <si>
    <t>Everton</t>
  </si>
  <si>
    <t xml:space="preserve">1104 Duckbill Ct </t>
  </si>
  <si>
    <t>Midlothian</t>
  </si>
  <si>
    <t>Leisman</t>
  </si>
  <si>
    <t xml:space="preserve">523 N Pembroke Rd # 63021 </t>
  </si>
  <si>
    <t>Pembroke</t>
  </si>
  <si>
    <t>Sewald</t>
  </si>
  <si>
    <t xml:space="preserve">1401 Wewatta St </t>
  </si>
  <si>
    <t>G.</t>
  </si>
  <si>
    <t>Randall</t>
  </si>
  <si>
    <t xml:space="preserve">3000 Harper St </t>
  </si>
  <si>
    <t>Fiedler</t>
  </si>
  <si>
    <t xml:space="preserve">12325 Limerick Ave </t>
  </si>
  <si>
    <t>Farr</t>
  </si>
  <si>
    <t xml:space="preserve">5507 Regent Ave N </t>
  </si>
  <si>
    <t xml:space="preserve">457 Millfield Pl </t>
  </si>
  <si>
    <t>Moraga</t>
  </si>
  <si>
    <t>Lozon</t>
  </si>
  <si>
    <t xml:space="preserve">1506 Raspberry Ln </t>
  </si>
  <si>
    <t>Flint</t>
  </si>
  <si>
    <t xml:space="preserve">360 Elm St </t>
  </si>
  <si>
    <t>Elberton</t>
  </si>
  <si>
    <t>Perrier</t>
  </si>
  <si>
    <t>Gwyneth</t>
  </si>
  <si>
    <t xml:space="preserve">827 29th Ave </t>
  </si>
  <si>
    <t xml:space="preserve">828 Lighthouse Cv </t>
  </si>
  <si>
    <t>Garlit</t>
  </si>
  <si>
    <t xml:space="preserve">49651 Shenandoah Cir </t>
  </si>
  <si>
    <t>Albrecht</t>
  </si>
  <si>
    <t xml:space="preserve">24785 Chatfield Dr </t>
  </si>
  <si>
    <t>Belle Plaine</t>
  </si>
  <si>
    <t>Alison</t>
  </si>
  <si>
    <t xml:space="preserve">214 70th St # 2C </t>
  </si>
  <si>
    <t>Guttenberg</t>
  </si>
  <si>
    <t>Welkowitz</t>
  </si>
  <si>
    <t xml:space="preserve">1600 S Eads St Apt 526N </t>
  </si>
  <si>
    <t>Baker</t>
  </si>
  <si>
    <t xml:space="preserve">11416 10th Ave S </t>
  </si>
  <si>
    <t>Evelyn</t>
  </si>
  <si>
    <t xml:space="preserve">PO Box 302 </t>
  </si>
  <si>
    <t>Hadlyme</t>
  </si>
  <si>
    <t>Hooper</t>
  </si>
  <si>
    <t xml:space="preserve">329 Glenstone Dr </t>
  </si>
  <si>
    <t>Mountain Home</t>
  </si>
  <si>
    <t>Berndt</t>
  </si>
  <si>
    <t xml:space="preserve">10 Jackson Rd </t>
  </si>
  <si>
    <t>Janicki</t>
  </si>
  <si>
    <t xml:space="preserve">2230 Norfolk Ave </t>
  </si>
  <si>
    <t>Crete</t>
  </si>
  <si>
    <t>Wilber</t>
  </si>
  <si>
    <t xml:space="preserve">335 Sims St </t>
  </si>
  <si>
    <t>Whitmire</t>
  </si>
  <si>
    <t>Naylor</t>
  </si>
  <si>
    <t xml:space="preserve">PO Box 1749 </t>
  </si>
  <si>
    <t>Makawao</t>
  </si>
  <si>
    <t xml:space="preserve">30 Mill St </t>
  </si>
  <si>
    <t>Newark</t>
  </si>
  <si>
    <t>Strickler</t>
  </si>
  <si>
    <t xml:space="preserve">671 W 11th Ave </t>
  </si>
  <si>
    <t>Rutherford</t>
  </si>
  <si>
    <t xml:space="preserve">1413 Dogwood Rd </t>
  </si>
  <si>
    <t>Langenau</t>
  </si>
  <si>
    <t xml:space="preserve">52 Davis Rd </t>
  </si>
  <si>
    <t>Salt Point</t>
  </si>
  <si>
    <t>Hoover</t>
  </si>
  <si>
    <t xml:space="preserve">12591 Scandia St </t>
  </si>
  <si>
    <t>Garden Grove</t>
  </si>
  <si>
    <t>Saum</t>
  </si>
  <si>
    <t xml:space="preserve">6 Congress St </t>
  </si>
  <si>
    <t>Belfast</t>
  </si>
  <si>
    <t xml:space="preserve">605 Curzon Ct </t>
  </si>
  <si>
    <t>Howell</t>
  </si>
  <si>
    <t>Godich</t>
  </si>
  <si>
    <t xml:space="preserve">115 Belleauwood Blvd </t>
  </si>
  <si>
    <t>Epailly</t>
  </si>
  <si>
    <t>Guillemette</t>
  </si>
  <si>
    <t xml:space="preserve">1448 Stanford St </t>
  </si>
  <si>
    <t>Katrak</t>
  </si>
  <si>
    <t>Karen A</t>
  </si>
  <si>
    <t xml:space="preserve">43 Glencoe Ct # 202B </t>
  </si>
  <si>
    <t>Phelps</t>
  </si>
  <si>
    <t xml:space="preserve">1735 Barbara Rd </t>
  </si>
  <si>
    <t>Glass</t>
  </si>
  <si>
    <t xml:space="preserve">PO Box 1154 </t>
  </si>
  <si>
    <t>Proteau</t>
  </si>
  <si>
    <t xml:space="preserve">147 1/2 S Sycamore Ave </t>
  </si>
  <si>
    <t>Ayers</t>
  </si>
  <si>
    <t xml:space="preserve">542 W Charles L McKay St </t>
  </si>
  <si>
    <t>Vail</t>
  </si>
  <si>
    <t>Dorsey</t>
  </si>
  <si>
    <t xml:space="preserve">79 Hillside Ter </t>
  </si>
  <si>
    <t>Drew</t>
  </si>
  <si>
    <t xml:space="preserve">414 Oberlin St </t>
  </si>
  <si>
    <t>Stambaugh</t>
  </si>
  <si>
    <t xml:space="preserve">93 Bird Creek Estate Rd </t>
  </si>
  <si>
    <t>Colin</t>
  </si>
  <si>
    <t xml:space="preserve">7637 161st Pl </t>
  </si>
  <si>
    <t>Tinley Park</t>
  </si>
  <si>
    <t>Deorio</t>
  </si>
  <si>
    <t xml:space="preserve">439 Wimer Dr </t>
  </si>
  <si>
    <t>Higgins</t>
  </si>
  <si>
    <t xml:space="preserve">5207 238th St SW </t>
  </si>
  <si>
    <t>Mountlake Terrace</t>
  </si>
  <si>
    <t xml:space="preserve">1902 Lydia Dr </t>
  </si>
  <si>
    <t>Chakalian</t>
  </si>
  <si>
    <t xml:space="preserve">629 N 6th St </t>
  </si>
  <si>
    <t>Montebello</t>
  </si>
  <si>
    <t>Bottorff</t>
  </si>
  <si>
    <t xml:space="preserve">821 E Brighton Ave </t>
  </si>
  <si>
    <t xml:space="preserve">2315 Frederick Dr </t>
  </si>
  <si>
    <t>Winston Salem</t>
  </si>
  <si>
    <t>Kristoferson</t>
  </si>
  <si>
    <t xml:space="preserve">9751 43rd Pl SW </t>
  </si>
  <si>
    <t xml:space="preserve">880 Forest Ave Apt 10-2 </t>
  </si>
  <si>
    <t>Renaud</t>
  </si>
  <si>
    <t xml:space="preserve">6258 Rainier Dr </t>
  </si>
  <si>
    <t>Morrison</t>
  </si>
  <si>
    <t xml:space="preserve">4045 White Ave </t>
  </si>
  <si>
    <t>Hartley</t>
  </si>
  <si>
    <t xml:space="preserve">405 Dial St </t>
  </si>
  <si>
    <t xml:space="preserve">134 Overcliff Rd </t>
  </si>
  <si>
    <t>Vouroscallahan</t>
  </si>
  <si>
    <t xml:space="preserve">11761 Adams Rd </t>
  </si>
  <si>
    <t>Granger</t>
  </si>
  <si>
    <t>Keefer</t>
  </si>
  <si>
    <t xml:space="preserve">1545 Knoxlyn Rd </t>
  </si>
  <si>
    <t>Gettysburg</t>
  </si>
  <si>
    <t xml:space="preserve">13311 E Forrest Ave </t>
  </si>
  <si>
    <t>Spokane Valley</t>
  </si>
  <si>
    <t>Halley</t>
  </si>
  <si>
    <t>Jack</t>
  </si>
  <si>
    <t xml:space="preserve">1006 Oglethorpe Ln </t>
  </si>
  <si>
    <t>Delnero</t>
  </si>
  <si>
    <t xml:space="preserve">27 Kent St </t>
  </si>
  <si>
    <t>New Hyde Park</t>
  </si>
  <si>
    <t>Labb</t>
  </si>
  <si>
    <t xml:space="preserve">281 Desplaines Ave </t>
  </si>
  <si>
    <t>Ogren</t>
  </si>
  <si>
    <t xml:space="preserve">PO Box 185 </t>
  </si>
  <si>
    <t>Albion</t>
  </si>
  <si>
    <t xml:space="preserve">6 Morning Rose Way </t>
  </si>
  <si>
    <t>Curtis</t>
  </si>
  <si>
    <t xml:space="preserve">724 Terraine Ave </t>
  </si>
  <si>
    <t>Lamb</t>
  </si>
  <si>
    <t>Erin</t>
  </si>
  <si>
    <t xml:space="preserve">12 Brandywyne </t>
  </si>
  <si>
    <t>Wayland</t>
  </si>
  <si>
    <t>Leighton</t>
  </si>
  <si>
    <t xml:space="preserve">360 Brown St </t>
  </si>
  <si>
    <t>Birkenshaw</t>
  </si>
  <si>
    <t xml:space="preserve">22 Beacon Ave Apt 5 </t>
  </si>
  <si>
    <t>Newburyport</t>
  </si>
  <si>
    <t>Lapeyre</t>
  </si>
  <si>
    <t>Sheeva</t>
  </si>
  <si>
    <t xml:space="preserve">551 Venice Way </t>
  </si>
  <si>
    <t>Eckstein</t>
  </si>
  <si>
    <t xml:space="preserve">353 S Vandenberg Rd </t>
  </si>
  <si>
    <t>Green Bay</t>
  </si>
  <si>
    <t>Woolley</t>
  </si>
  <si>
    <t xml:space="preserve">121 Greenbrook Dr </t>
  </si>
  <si>
    <t>Stoughton</t>
  </si>
  <si>
    <t xml:space="preserve">12251 Fallingleaf St </t>
  </si>
  <si>
    <t>Sweeney</t>
  </si>
  <si>
    <t xml:space="preserve">1773 Selo Dr </t>
  </si>
  <si>
    <t>Schererville</t>
  </si>
  <si>
    <t>Wiewel</t>
  </si>
  <si>
    <t xml:space="preserve">604 East St </t>
  </si>
  <si>
    <t>Otho</t>
  </si>
  <si>
    <t>Tovar</t>
  </si>
  <si>
    <t xml:space="preserve">4305 Autumn Ridge Rd Unit 210 </t>
  </si>
  <si>
    <t>Cedar Falls</t>
  </si>
  <si>
    <t>Ketterhgaen</t>
  </si>
  <si>
    <t xml:space="preserve">590 E 10th St </t>
  </si>
  <si>
    <t>Cramer</t>
  </si>
  <si>
    <t xml:space="preserve">1110 S 15th Cir </t>
  </si>
  <si>
    <t>Omaha</t>
  </si>
  <si>
    <t>Hodges</t>
  </si>
  <si>
    <t xml:space="preserve">339 Hillcrest Dr </t>
  </si>
  <si>
    <t>Hadcroft</t>
  </si>
  <si>
    <t>James K</t>
  </si>
  <si>
    <t xml:space="preserve">356 Gifford St </t>
  </si>
  <si>
    <t>Falmouth</t>
  </si>
  <si>
    <t>Mittelman</t>
  </si>
  <si>
    <t xml:space="preserve">1040 Mystery Spot Rd </t>
  </si>
  <si>
    <t>Fahlbusch</t>
  </si>
  <si>
    <t xml:space="preserve">15471 Washington St </t>
  </si>
  <si>
    <t xml:space="preserve">118 Avignon Way </t>
  </si>
  <si>
    <t>Pennsauken</t>
  </si>
  <si>
    <t>Maxa</t>
  </si>
  <si>
    <t xml:space="preserve">6344 Gale Dr </t>
  </si>
  <si>
    <t>Dubey</t>
  </si>
  <si>
    <t xml:space="preserve">19345 SW Willow Creek Ct </t>
  </si>
  <si>
    <t xml:space="preserve">22085 SW Augusta Ln </t>
  </si>
  <si>
    <t>Klunder</t>
  </si>
  <si>
    <t xml:space="preserve">409 York St </t>
  </si>
  <si>
    <t>O'Malley</t>
  </si>
  <si>
    <t>Polly</t>
  </si>
  <si>
    <t xml:space="preserve">1311 Federal Ave Apt 1 </t>
  </si>
  <si>
    <t>Bevitt</t>
  </si>
  <si>
    <t xml:space="preserve">11215 Watermill Ln </t>
  </si>
  <si>
    <t>Bonfield</t>
  </si>
  <si>
    <t xml:space="preserve">5702 N 33rd St Unit 4D </t>
  </si>
  <si>
    <t>Brent</t>
  </si>
  <si>
    <t xml:space="preserve">2231 E Lonsdale Dr </t>
  </si>
  <si>
    <t>Gottfried</t>
  </si>
  <si>
    <t xml:space="preserve">619 Cricklewood Dr </t>
  </si>
  <si>
    <t>State College</t>
  </si>
  <si>
    <t xml:space="preserve">15557 Marietta Cir </t>
  </si>
  <si>
    <t>Praus</t>
  </si>
  <si>
    <t>Margo</t>
  </si>
  <si>
    <t xml:space="preserve">1947 W Harding Way </t>
  </si>
  <si>
    <t>Buttery</t>
  </si>
  <si>
    <t>Rickey</t>
  </si>
  <si>
    <t xml:space="preserve">6395 Wien Ln </t>
  </si>
  <si>
    <t>Cocoa</t>
  </si>
  <si>
    <t xml:space="preserve">PO Box 12033 # 79768 </t>
  </si>
  <si>
    <t>Odessa</t>
  </si>
  <si>
    <t>Nadel</t>
  </si>
  <si>
    <t xml:space="preserve">PO Box 2255 </t>
  </si>
  <si>
    <t>Branford</t>
  </si>
  <si>
    <t xml:space="preserve">419 Pheasant Run </t>
  </si>
  <si>
    <t>Kaukauna</t>
  </si>
  <si>
    <t xml:space="preserve">9502 Ridgely Ave </t>
  </si>
  <si>
    <t>Pease</t>
  </si>
  <si>
    <t xml:space="preserve">84 Bronson St </t>
  </si>
  <si>
    <t>Madorran</t>
  </si>
  <si>
    <t>Robert Madorran</t>
  </si>
  <si>
    <t xml:space="preserve">22 Byron Rd </t>
  </si>
  <si>
    <t>Commack</t>
  </si>
  <si>
    <t>Rengers</t>
  </si>
  <si>
    <t xml:space="preserve">391 John Joy Rd </t>
  </si>
  <si>
    <t>Woodstock</t>
  </si>
  <si>
    <t xml:space="preserve">673 Larkin Ln </t>
  </si>
  <si>
    <t>Laverne</t>
  </si>
  <si>
    <t xml:space="preserve">844 Lincoln St </t>
  </si>
  <si>
    <t>Dickson City</t>
  </si>
  <si>
    <t>Ackerman</t>
  </si>
  <si>
    <t xml:space="preserve">15781 Hayes Trl </t>
  </si>
  <si>
    <t xml:space="preserve">1500 Chapel Ct </t>
  </si>
  <si>
    <t>Patch</t>
  </si>
  <si>
    <t>Rashid</t>
  </si>
  <si>
    <t xml:space="preserve">1110 64th Ave Apt 74 </t>
  </si>
  <si>
    <t>Eva</t>
  </si>
  <si>
    <t xml:space="preserve">100 Laughing Cow Rd None </t>
  </si>
  <si>
    <t>Fong</t>
  </si>
  <si>
    <t>Adrienne</t>
  </si>
  <si>
    <t xml:space="preserve">750 Presidio Ave Apt 207 </t>
  </si>
  <si>
    <t>Tanner</t>
  </si>
  <si>
    <t xml:space="preserve">14037 Mallory Ct </t>
  </si>
  <si>
    <t>McShane</t>
  </si>
  <si>
    <t>Mari</t>
  </si>
  <si>
    <t xml:space="preserve">333 Lucilla St </t>
  </si>
  <si>
    <t>Hawthorn</t>
  </si>
  <si>
    <t>Conklin</t>
  </si>
  <si>
    <t>Lumarion</t>
  </si>
  <si>
    <t xml:space="preserve">4064 S Kendall St </t>
  </si>
  <si>
    <t xml:space="preserve">14 Turpentine Dr </t>
  </si>
  <si>
    <t>Uffer</t>
  </si>
  <si>
    <t xml:space="preserve">PO Box 15333 </t>
  </si>
  <si>
    <t xml:space="preserve">15150 65th Ave S Apt 719 </t>
  </si>
  <si>
    <t>Tukwila</t>
  </si>
  <si>
    <t>Murbach</t>
  </si>
  <si>
    <t xml:space="preserve">4010 MacAlpine Rd </t>
  </si>
  <si>
    <t>Ellicott City</t>
  </si>
  <si>
    <t>Laubscher</t>
  </si>
  <si>
    <t xml:space="preserve">749 E Croak Hollow Rd </t>
  </si>
  <si>
    <t>Lock Haven</t>
  </si>
  <si>
    <t>Rakoncay</t>
  </si>
  <si>
    <t xml:space="preserve">7615 Kildare Ave </t>
  </si>
  <si>
    <t>Skokie</t>
  </si>
  <si>
    <t>Salma</t>
  </si>
  <si>
    <t>Ronnie</t>
  </si>
  <si>
    <t xml:space="preserve">74 Barbuda St </t>
  </si>
  <si>
    <t>Toms River</t>
  </si>
  <si>
    <t>Koundry</t>
  </si>
  <si>
    <t xml:space="preserve">61 Oakley Ln </t>
  </si>
  <si>
    <t>Waltham</t>
  </si>
  <si>
    <t xml:space="preserve">PO Box 1403 </t>
  </si>
  <si>
    <t>Chiloquin</t>
  </si>
  <si>
    <t>Ducatman</t>
  </si>
  <si>
    <t xml:space="preserve">1132 Hillrock Dr </t>
  </si>
  <si>
    <t>South Euclid</t>
  </si>
  <si>
    <t>Winnubst</t>
  </si>
  <si>
    <t xml:space="preserve">415 Houston St </t>
  </si>
  <si>
    <t>Randolph</t>
  </si>
  <si>
    <t xml:space="preserve">6 Sugar Hill Rd Falls Village Ct 6031 </t>
  </si>
  <si>
    <t>Falls Village</t>
  </si>
  <si>
    <t>Boyce</t>
  </si>
  <si>
    <t xml:space="preserve">7061 Grantham Way </t>
  </si>
  <si>
    <t xml:space="preserve">7354 Poncho Cir </t>
  </si>
  <si>
    <t>Ensign</t>
  </si>
  <si>
    <t xml:space="preserve">11600 SW Lancaster Rd </t>
  </si>
  <si>
    <t>Frumkin</t>
  </si>
  <si>
    <t xml:space="preserve">425 Devonshire Ln </t>
  </si>
  <si>
    <t>Saito</t>
  </si>
  <si>
    <t xml:space="preserve">915 E Santa Anita Ave </t>
  </si>
  <si>
    <t>Buonopane</t>
  </si>
  <si>
    <t xml:space="preserve">19 Bear Hill Rd </t>
  </si>
  <si>
    <t>Stoneham</t>
  </si>
  <si>
    <t xml:space="preserve">6201 Radom Ave </t>
  </si>
  <si>
    <t>Delgado</t>
  </si>
  <si>
    <t xml:space="preserve">12100 Steffs Ct </t>
  </si>
  <si>
    <t>San Martin</t>
  </si>
  <si>
    <t>Joos</t>
  </si>
  <si>
    <t xml:space="preserve">4259 SW Patrick Pl </t>
  </si>
  <si>
    <t>Ruggeri</t>
  </si>
  <si>
    <t xml:space="preserve">83 Johnson St </t>
  </si>
  <si>
    <t>Naugatuck</t>
  </si>
  <si>
    <t>Borrell</t>
  </si>
  <si>
    <t xml:space="preserve">305 Riverside Dr </t>
  </si>
  <si>
    <t xml:space="preserve">11807 NE 2nd Ct </t>
  </si>
  <si>
    <t>Galyon</t>
  </si>
  <si>
    <t>Melanoe</t>
  </si>
  <si>
    <t xml:space="preserve">2394 Buck Creek Rd </t>
  </si>
  <si>
    <t>V</t>
  </si>
  <si>
    <t xml:space="preserve">1505 Girard Blvd SE </t>
  </si>
  <si>
    <t xml:space="preserve">17721 NE 156th St </t>
  </si>
  <si>
    <t>Woodinville</t>
  </si>
  <si>
    <t>Sasha</t>
  </si>
  <si>
    <t xml:space="preserve">9415 Sussex St </t>
  </si>
  <si>
    <t>Rossi</t>
  </si>
  <si>
    <t xml:space="preserve">402 4th St NE </t>
  </si>
  <si>
    <t>March</t>
  </si>
  <si>
    <t xml:space="preserve">1455 Maplewood St NE </t>
  </si>
  <si>
    <t>Kittrell</t>
  </si>
  <si>
    <t xml:space="preserve">9541 Fostern Ln </t>
  </si>
  <si>
    <t>Manassas</t>
  </si>
  <si>
    <t>Mooney</t>
  </si>
  <si>
    <t xml:space="preserve">140 Chestnut Cir </t>
  </si>
  <si>
    <t>West Suffield</t>
  </si>
  <si>
    <t>Bussler</t>
  </si>
  <si>
    <t xml:space="preserve">10200 Mill St </t>
  </si>
  <si>
    <t>White Lake</t>
  </si>
  <si>
    <t xml:space="preserve">6391 Toulon Dr </t>
  </si>
  <si>
    <t>Marlies</t>
  </si>
  <si>
    <t xml:space="preserve">6941 Lenwood Way </t>
  </si>
  <si>
    <t>Sindoni</t>
  </si>
  <si>
    <t>Jenne</t>
  </si>
  <si>
    <t xml:space="preserve">119 Marion St </t>
  </si>
  <si>
    <t xml:space="preserve">907 Old Annapolis Neck Rd </t>
  </si>
  <si>
    <t>Skaggs</t>
  </si>
  <si>
    <t xml:space="preserve">525 S Castlerock Ter </t>
  </si>
  <si>
    <t>Bolin</t>
  </si>
  <si>
    <t>Clarence</t>
  </si>
  <si>
    <t xml:space="preserve">918 W Ranch Rd </t>
  </si>
  <si>
    <t>Edna</t>
  </si>
  <si>
    <t xml:space="preserve">1272 Richland Ave </t>
  </si>
  <si>
    <t>Spring Valley</t>
  </si>
  <si>
    <t>Shareing</t>
  </si>
  <si>
    <t>Liona</t>
  </si>
  <si>
    <t xml:space="preserve">650 S Rancho Santa Fe Rd Spc 125 </t>
  </si>
  <si>
    <t>San Marcos</t>
  </si>
  <si>
    <t>Boyd</t>
  </si>
  <si>
    <t>Ernest</t>
  </si>
  <si>
    <t xml:space="preserve">1069 Greco Ave </t>
  </si>
  <si>
    <t>Brunson</t>
  </si>
  <si>
    <t>Trixie</t>
  </si>
  <si>
    <t xml:space="preserve">E7 Gillmore Vlg </t>
  </si>
  <si>
    <t>Utica</t>
  </si>
  <si>
    <t>Matthias</t>
  </si>
  <si>
    <t xml:space="preserve">PO Box 157 </t>
  </si>
  <si>
    <t>Clevenger</t>
  </si>
  <si>
    <t xml:space="preserve">5337 Fox Hollow Ct </t>
  </si>
  <si>
    <t>Hemstreet</t>
  </si>
  <si>
    <t xml:space="preserve">5109 Green Creek Ter </t>
  </si>
  <si>
    <t>Glenn Dale</t>
  </si>
  <si>
    <t>Nash</t>
  </si>
  <si>
    <t>Charlene</t>
  </si>
  <si>
    <t xml:space="preserve">PO Box 11048 </t>
  </si>
  <si>
    <t>Chattanooga</t>
  </si>
  <si>
    <t>Husk</t>
  </si>
  <si>
    <t xml:space="preserve">77 Church Rd Fl 1 </t>
  </si>
  <si>
    <t>Telford</t>
  </si>
  <si>
    <t xml:space="preserve">225 Riley Dr </t>
  </si>
  <si>
    <t>Chilhowie</t>
  </si>
  <si>
    <t xml:space="preserve">1715 Sparrowhawk St </t>
  </si>
  <si>
    <t>Manteca</t>
  </si>
  <si>
    <t>Lerner</t>
  </si>
  <si>
    <t xml:space="preserve">70 Bonnell St </t>
  </si>
  <si>
    <t>Flemington</t>
  </si>
  <si>
    <t xml:space="preserve">10181 Caminito Jovial </t>
  </si>
  <si>
    <t>Livesey-Fassel</t>
  </si>
  <si>
    <t xml:space="preserve">10387 Glenbarr Ave </t>
  </si>
  <si>
    <t>Cartier</t>
  </si>
  <si>
    <t xml:space="preserve">1200 Park Ave Apt 241 </t>
  </si>
  <si>
    <t>Hartman III</t>
  </si>
  <si>
    <t xml:space="preserve">2514 Evans Ave </t>
  </si>
  <si>
    <t>Mulkins</t>
  </si>
  <si>
    <t xml:space="preserve">159 Bahia Cir </t>
  </si>
  <si>
    <t>Castrechino</t>
  </si>
  <si>
    <t xml:space="preserve">112 Meadowdale Dr </t>
  </si>
  <si>
    <t>Shefchuk</t>
  </si>
  <si>
    <t xml:space="preserve">14196 Madison Rd </t>
  </si>
  <si>
    <t>Middlefield</t>
  </si>
  <si>
    <t>Chicklas</t>
  </si>
  <si>
    <t xml:space="preserve">139 Regency Park Dr </t>
  </si>
  <si>
    <t>Agawam</t>
  </si>
  <si>
    <t xml:space="preserve">57 Brookside Ave </t>
  </si>
  <si>
    <t>O'Connor</t>
  </si>
  <si>
    <t>Sherry</t>
  </si>
  <si>
    <t xml:space="preserve">2447 San Marco Dr </t>
  </si>
  <si>
    <t>Hull</t>
  </si>
  <si>
    <t xml:space="preserve">3415 Ciniza Dr </t>
  </si>
  <si>
    <t>Gallup</t>
  </si>
  <si>
    <t xml:space="preserve">723 Reiten Dr </t>
  </si>
  <si>
    <t>Ohlendorf</t>
  </si>
  <si>
    <t xml:space="preserve">22205 Deer Pointe Xing </t>
  </si>
  <si>
    <t>Bradenton</t>
  </si>
  <si>
    <t xml:space="preserve">3586 Tacoma Ave </t>
  </si>
  <si>
    <t>Pettey</t>
  </si>
  <si>
    <t>Corinne</t>
  </si>
  <si>
    <t xml:space="preserve">4631 Satinwood Way </t>
  </si>
  <si>
    <t xml:space="preserve">1040 Kearney St </t>
  </si>
  <si>
    <t>Guerrero</t>
  </si>
  <si>
    <t xml:space="preserve">24 E Palisade Basin Dr </t>
  </si>
  <si>
    <t>Red Lodge</t>
  </si>
  <si>
    <t>Artle</t>
  </si>
  <si>
    <t xml:space="preserve">594 Lucille Dr </t>
  </si>
  <si>
    <t>Incline Village</t>
  </si>
  <si>
    <t xml:space="preserve">114 N Wiley St </t>
  </si>
  <si>
    <t>Crestline</t>
  </si>
  <si>
    <t>Carlos</t>
  </si>
  <si>
    <t xml:space="preserve">9189 La Barca Cir </t>
  </si>
  <si>
    <t>Fountain Valley</t>
  </si>
  <si>
    <t>Bryan</t>
  </si>
  <si>
    <t xml:space="preserve">1474 Falcon Dr </t>
  </si>
  <si>
    <t>Smithwick</t>
  </si>
  <si>
    <t xml:space="preserve">1759 Dyson Dr NE </t>
  </si>
  <si>
    <t>Delamater</t>
  </si>
  <si>
    <t>Adair</t>
  </si>
  <si>
    <t xml:space="preserve">44 E Milan St </t>
  </si>
  <si>
    <t>Bath</t>
  </si>
  <si>
    <t>Kestenbaum</t>
  </si>
  <si>
    <t xml:space="preserve">9 Blue Bell Rd </t>
  </si>
  <si>
    <t>Kelchak</t>
  </si>
  <si>
    <t xml:space="preserve">3935 Evergreen Dr </t>
  </si>
  <si>
    <t>Monroeville</t>
  </si>
  <si>
    <t>Adelman</t>
  </si>
  <si>
    <t xml:space="preserve">7825 101st Ave </t>
  </si>
  <si>
    <t>Vero Beach</t>
  </si>
  <si>
    <t>Foti</t>
  </si>
  <si>
    <t xml:space="preserve">37 Honeysuckle Way </t>
  </si>
  <si>
    <t>Kukkonen</t>
  </si>
  <si>
    <t xml:space="preserve">1607 Burns Ave </t>
  </si>
  <si>
    <t>Musialowski</t>
  </si>
  <si>
    <t>Monique</t>
  </si>
  <si>
    <t xml:space="preserve">28522 Lancaster Dr </t>
  </si>
  <si>
    <t>Chesterfield</t>
  </si>
  <si>
    <t>Fischer-Daly</t>
  </si>
  <si>
    <t xml:space="preserve">222 Forest Home Dr </t>
  </si>
  <si>
    <t>Crenshaw</t>
  </si>
  <si>
    <t xml:space="preserve">1411 Willow Brook Cv Apt 10 </t>
  </si>
  <si>
    <t xml:space="preserve">219 W Edgewater Way </t>
  </si>
  <si>
    <t>Kanno</t>
  </si>
  <si>
    <t xml:space="preserve">23 Barrett St </t>
  </si>
  <si>
    <t>Scriptunas</t>
  </si>
  <si>
    <t xml:space="preserve">3434 Camp Robin Hood Rd </t>
  </si>
  <si>
    <t>Chambersburg</t>
  </si>
  <si>
    <t>Bas</t>
  </si>
  <si>
    <t xml:space="preserve">874 Center Crest Blvd </t>
  </si>
  <si>
    <t>Davenport</t>
  </si>
  <si>
    <t>Groshardt</t>
  </si>
  <si>
    <t xml:space="preserve">302 Trailridge Dr </t>
  </si>
  <si>
    <t xml:space="preserve">801 Malaga Ave </t>
  </si>
  <si>
    <t>Shirlene</t>
  </si>
  <si>
    <t xml:space="preserve">13333 Syracuse St </t>
  </si>
  <si>
    <t>Figtree</t>
  </si>
  <si>
    <t xml:space="preserve">1906 N Bissell St </t>
  </si>
  <si>
    <t>Choy</t>
  </si>
  <si>
    <t xml:space="preserve">PO Box 62061 </t>
  </si>
  <si>
    <t xml:space="preserve">5912 NW 26th St </t>
  </si>
  <si>
    <t>Gainesville</t>
  </si>
  <si>
    <t>Ierulli</t>
  </si>
  <si>
    <t xml:space="preserve">248 Umatilla Ave </t>
  </si>
  <si>
    <t>Smallwood Beltran</t>
  </si>
  <si>
    <t xml:space="preserve">2353 SW 26th Ter </t>
  </si>
  <si>
    <t>Rupp</t>
  </si>
  <si>
    <t xml:space="preserve">1021 7th St </t>
  </si>
  <si>
    <t>Glen Burnie</t>
  </si>
  <si>
    <t xml:space="preserve">102 Balboa Ct </t>
  </si>
  <si>
    <t>New Bern</t>
  </si>
  <si>
    <t>McKnight</t>
  </si>
  <si>
    <t xml:space="preserve">61 Grog Kill Rd </t>
  </si>
  <si>
    <t>Willow</t>
  </si>
  <si>
    <t xml:space="preserve">2601 N Kentucky Ave Apt 27 </t>
  </si>
  <si>
    <t>Borgquist</t>
  </si>
  <si>
    <t>Ronald B.</t>
  </si>
  <si>
    <t xml:space="preserve">7833 Strawberry Hill Rd </t>
  </si>
  <si>
    <t>Lewis Center</t>
  </si>
  <si>
    <t>Rials</t>
  </si>
  <si>
    <t xml:space="preserve">13068 Vernon Ave </t>
  </si>
  <si>
    <t xml:space="preserve">6225 Mineral Point Rd </t>
  </si>
  <si>
    <t>Dacus</t>
  </si>
  <si>
    <t xml:space="preserve">3353 Fairfield Pike </t>
  </si>
  <si>
    <t>Bell Buckle</t>
  </si>
  <si>
    <t>Klements</t>
  </si>
  <si>
    <t xml:space="preserve">PO Box 53 </t>
  </si>
  <si>
    <t>Eagle Point</t>
  </si>
  <si>
    <t>97524-0053</t>
  </si>
  <si>
    <t xml:space="preserve">6231 E Mark Way Unit 31 </t>
  </si>
  <si>
    <t>Cave Creek</t>
  </si>
  <si>
    <t>85331-0001</t>
  </si>
  <si>
    <t>Nowicki</t>
  </si>
  <si>
    <t xml:space="preserve">2324 14th Ave </t>
  </si>
  <si>
    <t>Kasey</t>
  </si>
  <si>
    <t xml:space="preserve">9317 Guenevere Pl </t>
  </si>
  <si>
    <t>Mechanicsville</t>
  </si>
  <si>
    <t>23116-2781</t>
  </si>
  <si>
    <t>Kempa</t>
  </si>
  <si>
    <t xml:space="preserve">PO Box 7 </t>
  </si>
  <si>
    <t>Black Eagle</t>
  </si>
  <si>
    <t>Walters</t>
  </si>
  <si>
    <t>Ernie</t>
  </si>
  <si>
    <t xml:space="preserve">2437 Tartarian Way </t>
  </si>
  <si>
    <t>Union City</t>
  </si>
  <si>
    <t>Ewa</t>
  </si>
  <si>
    <t xml:space="preserve">3463 Knox Ter </t>
  </si>
  <si>
    <t>Port Charlotte</t>
  </si>
  <si>
    <t>Varday</t>
  </si>
  <si>
    <t xml:space="preserve">2221 Peach Tree Ave </t>
  </si>
  <si>
    <t>Hildeman</t>
  </si>
  <si>
    <t xml:space="preserve">4609 N 70th St </t>
  </si>
  <si>
    <t>Sarabia</t>
  </si>
  <si>
    <t xml:space="preserve">407 W Longview Ave </t>
  </si>
  <si>
    <t>Uiterwyk</t>
  </si>
  <si>
    <t xml:space="preserve">7628 Fieldstone Ranch Sq </t>
  </si>
  <si>
    <t xml:space="preserve">11431 Kathy Ln </t>
  </si>
  <si>
    <t>McAdams</t>
  </si>
  <si>
    <t xml:space="preserve">1464 Yorkshire Dr </t>
  </si>
  <si>
    <t>Memphis</t>
  </si>
  <si>
    <t>Willey</t>
  </si>
  <si>
    <t xml:space="preserve">6212 180th St SE </t>
  </si>
  <si>
    <t>Snohomish</t>
  </si>
  <si>
    <t>McCutcheon</t>
  </si>
  <si>
    <t>Meghan</t>
  </si>
  <si>
    <t xml:space="preserve">215 NW Country Place Dr # 234 </t>
  </si>
  <si>
    <t>White Salmon</t>
  </si>
  <si>
    <t>Wenzel</t>
  </si>
  <si>
    <t xml:space="preserve">93 Midwest Ave N </t>
  </si>
  <si>
    <t>L.L.</t>
  </si>
  <si>
    <t xml:space="preserve">411 Orchard Ln </t>
  </si>
  <si>
    <t>Taos</t>
  </si>
  <si>
    <t xml:space="preserve">841 SW Gaines St Unit 1408 </t>
  </si>
  <si>
    <t>Robbins-Druian</t>
  </si>
  <si>
    <t>Sallie</t>
  </si>
  <si>
    <t xml:space="preserve">1990 S Barona Rd </t>
  </si>
  <si>
    <t>Wright III</t>
  </si>
  <si>
    <t>Trigg</t>
  </si>
  <si>
    <t xml:space="preserve">19206 Holly Shade Ct </t>
  </si>
  <si>
    <t>Buerger</t>
  </si>
  <si>
    <t xml:space="preserve">8510 Greenway Blvd Unit 201 </t>
  </si>
  <si>
    <t xml:space="preserve">9445 S 232nd St </t>
  </si>
  <si>
    <t>Steffen</t>
  </si>
  <si>
    <t xml:space="preserve">27601 Blue Lake Rd </t>
  </si>
  <si>
    <t>Laster</t>
  </si>
  <si>
    <t>Dorothea</t>
  </si>
  <si>
    <t xml:space="preserve">3516 Longview Dr </t>
  </si>
  <si>
    <t>Corinth</t>
  </si>
  <si>
    <t>Esposito</t>
  </si>
  <si>
    <t xml:space="preserve">2501 Nicole Dr </t>
  </si>
  <si>
    <t>Port Jefferson Station</t>
  </si>
  <si>
    <t>Sessa</t>
  </si>
  <si>
    <t xml:space="preserve">600 S Dobson Rd Unit 67 </t>
  </si>
  <si>
    <t>Gurdin</t>
  </si>
  <si>
    <t>J. Barry</t>
  </si>
  <si>
    <t xml:space="preserve">247 Ortega St </t>
  </si>
  <si>
    <t>Gunter</t>
  </si>
  <si>
    <t>Karlene</t>
  </si>
  <si>
    <t xml:space="preserve">472 French Rd </t>
  </si>
  <si>
    <t xml:space="preserve">13 Laurel Hill Rd Unit B </t>
  </si>
  <si>
    <t>Greenbelt</t>
  </si>
  <si>
    <t xml:space="preserve">1355 Felder Rd </t>
  </si>
  <si>
    <t>Sonoma</t>
  </si>
  <si>
    <t>Tice</t>
  </si>
  <si>
    <t xml:space="preserve">3215 15th Ave S </t>
  </si>
  <si>
    <t>Bashore</t>
  </si>
  <si>
    <t xml:space="preserve">78 Helton Dr </t>
  </si>
  <si>
    <t>Eldon</t>
  </si>
  <si>
    <t>Noranbrock</t>
  </si>
  <si>
    <t>Violet</t>
  </si>
  <si>
    <t xml:space="preserve">1748 Park Lawn Rd </t>
  </si>
  <si>
    <t>Hacienda Heights</t>
  </si>
  <si>
    <t>Skorheim</t>
  </si>
  <si>
    <t xml:space="preserve">5665 Loma Ave </t>
  </si>
  <si>
    <t>Temple City</t>
  </si>
  <si>
    <t>Bohlen</t>
  </si>
  <si>
    <t>Curt</t>
  </si>
  <si>
    <t xml:space="preserve">176 Northfield Ave </t>
  </si>
  <si>
    <t>Dobbs Ferry</t>
  </si>
  <si>
    <t>Turner</t>
  </si>
  <si>
    <t xml:space="preserve">3274 Bittersweet Ln </t>
  </si>
  <si>
    <t>Rodriguez</t>
  </si>
  <si>
    <t>Macrina</t>
  </si>
  <si>
    <t xml:space="preserve">111 Hebron Cir </t>
  </si>
  <si>
    <t xml:space="preserve">6616 Alahele St </t>
  </si>
  <si>
    <t>Kapaa</t>
  </si>
  <si>
    <t>Vele</t>
  </si>
  <si>
    <t>Brigid</t>
  </si>
  <si>
    <t xml:space="preserve">134 Lyman Rd </t>
  </si>
  <si>
    <t>East Patchogue</t>
  </si>
  <si>
    <t>Weekes</t>
  </si>
  <si>
    <t>Cheryl-Ann</t>
  </si>
  <si>
    <t xml:space="preserve">82 Woolson St </t>
  </si>
  <si>
    <t>Mattapan</t>
  </si>
  <si>
    <t>Gall</t>
  </si>
  <si>
    <t>Wheeling</t>
  </si>
  <si>
    <t xml:space="preserve">715 Madison St # NJ </t>
  </si>
  <si>
    <t xml:space="preserve">7913 Woodleaf Dr NE </t>
  </si>
  <si>
    <t xml:space="preserve">7814 Stonehearth Rd </t>
  </si>
  <si>
    <t>Severn</t>
  </si>
  <si>
    <t>Sharka</t>
  </si>
  <si>
    <t xml:space="preserve">7733 Palmer Lake Rd </t>
  </si>
  <si>
    <t>Tamano</t>
  </si>
  <si>
    <t>Akiko</t>
  </si>
  <si>
    <t xml:space="preserve">9244 Pipilo St </t>
  </si>
  <si>
    <t>Young</t>
  </si>
  <si>
    <t xml:space="preserve">11 Hog Bay Rd </t>
  </si>
  <si>
    <t xml:space="preserve">345 Church St </t>
  </si>
  <si>
    <t xml:space="preserve">12621 Gurd Rd </t>
  </si>
  <si>
    <t>Delton</t>
  </si>
  <si>
    <t>Eudy</t>
  </si>
  <si>
    <t xml:space="preserve">2501 Romain Way </t>
  </si>
  <si>
    <t>East Point</t>
  </si>
  <si>
    <t xml:space="preserve">829 Lake Ct SE </t>
  </si>
  <si>
    <t>Broger-MacKey</t>
  </si>
  <si>
    <t xml:space="preserve">10114 Lasaine Ave </t>
  </si>
  <si>
    <t>Patenaude</t>
  </si>
  <si>
    <t xml:space="preserve">3007 Woodroe Ct </t>
  </si>
  <si>
    <t>Kojzar</t>
  </si>
  <si>
    <t xml:space="preserve">11710 Foxspur Ct </t>
  </si>
  <si>
    <t>Kammar-Kerner</t>
  </si>
  <si>
    <t>Merike</t>
  </si>
  <si>
    <t xml:space="preserve">369 Richard Ave </t>
  </si>
  <si>
    <t>Muhs</t>
  </si>
  <si>
    <t xml:space="preserve">2003 N 2nd Ave E </t>
  </si>
  <si>
    <t>Newton</t>
  </si>
  <si>
    <t>Juch</t>
  </si>
  <si>
    <t xml:space="preserve">6147 Homesweet Way </t>
  </si>
  <si>
    <t>Zayac</t>
  </si>
  <si>
    <t xml:space="preserve">6760 Old Jacksonville Rd </t>
  </si>
  <si>
    <t>New Berlin</t>
  </si>
  <si>
    <t xml:space="preserve">4620 Valley Dr NW </t>
  </si>
  <si>
    <t>Costello</t>
  </si>
  <si>
    <t>Thomas J</t>
  </si>
  <si>
    <t xml:space="preserve">1027 Woodbridge Ave </t>
  </si>
  <si>
    <t>Pearland</t>
  </si>
  <si>
    <t xml:space="preserve">19 Cerro Blanco Rd </t>
  </si>
  <si>
    <t>Lamy</t>
  </si>
  <si>
    <t>Rising</t>
  </si>
  <si>
    <t xml:space="preserve">131 Lantern Way </t>
  </si>
  <si>
    <t>Carrboro</t>
  </si>
  <si>
    <t>Oberti</t>
  </si>
  <si>
    <t>August</t>
  </si>
  <si>
    <t xml:space="preserve">336 Crystal Ave </t>
  </si>
  <si>
    <t xml:space="preserve">27 Pine Hill Ln </t>
  </si>
  <si>
    <t>Dix Hills</t>
  </si>
  <si>
    <t>Mariankitty</t>
  </si>
  <si>
    <t xml:space="preserve">20 Hanover Ct </t>
  </si>
  <si>
    <t>Espinoza</t>
  </si>
  <si>
    <t>Bernadette</t>
  </si>
  <si>
    <t xml:space="preserve">602 E 4th St </t>
  </si>
  <si>
    <t>Blanke</t>
  </si>
  <si>
    <t>Yuana</t>
  </si>
  <si>
    <t xml:space="preserve">10529 Carthage St </t>
  </si>
  <si>
    <t>River Ridge</t>
  </si>
  <si>
    <t>Dugaw</t>
  </si>
  <si>
    <t xml:space="preserve">385 Ogle St # C </t>
  </si>
  <si>
    <t>Costa Mesa</t>
  </si>
  <si>
    <t>Crispi</t>
  </si>
  <si>
    <t xml:space="preserve">2801 Oakhurst Ave </t>
  </si>
  <si>
    <t>Mullins</t>
  </si>
  <si>
    <t>Bobbi</t>
  </si>
  <si>
    <t xml:space="preserve">1403 Van Page Blvd </t>
  </si>
  <si>
    <t>Rund</t>
  </si>
  <si>
    <t>Jen</t>
  </si>
  <si>
    <t xml:space="preserve">403 Via Herbosa </t>
  </si>
  <si>
    <t>Mack</t>
  </si>
  <si>
    <t xml:space="preserve">250 58th St N Apt 1111 </t>
  </si>
  <si>
    <t>Cox</t>
  </si>
  <si>
    <t>Aul</t>
  </si>
  <si>
    <t>Greta</t>
  </si>
  <si>
    <t xml:space="preserve">9 7 COLUMBIA Ave </t>
  </si>
  <si>
    <t>Lancaster</t>
  </si>
  <si>
    <t>Sabato</t>
  </si>
  <si>
    <t>Jennie</t>
  </si>
  <si>
    <t xml:space="preserve">206 Phila Ave </t>
  </si>
  <si>
    <t>Somers Point</t>
  </si>
  <si>
    <t>Dillard</t>
  </si>
  <si>
    <t xml:space="preserve">3616 Far West Blvd Ste PM117 </t>
  </si>
  <si>
    <t xml:space="preserve">5508 Lakeview Dr Apt C </t>
  </si>
  <si>
    <t>Mazzotti</t>
  </si>
  <si>
    <t>Cantrall</t>
  </si>
  <si>
    <t>Kwasneski</t>
  </si>
  <si>
    <t>Cathie</t>
  </si>
  <si>
    <t xml:space="preserve">N1691 Mount Hope Rd </t>
  </si>
  <si>
    <t>Brodhead</t>
  </si>
  <si>
    <t>Briggs</t>
  </si>
  <si>
    <t xml:space="preserve">23912 N 23rd Pl </t>
  </si>
  <si>
    <t>Petitt</t>
  </si>
  <si>
    <t xml:space="preserve">235 Hopkins Ct </t>
  </si>
  <si>
    <t>Alyssa</t>
  </si>
  <si>
    <t xml:space="preserve">1241 Gaskins Rd Apt B7 </t>
  </si>
  <si>
    <t>Henrico</t>
  </si>
  <si>
    <t>Blackwell-Marchant</t>
  </si>
  <si>
    <t xml:space="preserve">5737 Medallion Ct </t>
  </si>
  <si>
    <t>Castro Valley</t>
  </si>
  <si>
    <t>Goldberg</t>
  </si>
  <si>
    <t xml:space="preserve">9225 N Cedarvale Loop Rd </t>
  </si>
  <si>
    <t>Armigo</t>
  </si>
  <si>
    <t xml:space="preserve">776 Henderson Ave </t>
  </si>
  <si>
    <t>Adler</t>
  </si>
  <si>
    <t xml:space="preserve">1409 Las Canoas Ln </t>
  </si>
  <si>
    <t xml:space="preserve">377 Skipperene Rd </t>
  </si>
  <si>
    <t>Narrowsburg</t>
  </si>
  <si>
    <t>Asriel</t>
  </si>
  <si>
    <t xml:space="preserve">10 Crestbrook Dr </t>
  </si>
  <si>
    <t>Arden</t>
  </si>
  <si>
    <t>Hoak</t>
  </si>
  <si>
    <t>W Katherine</t>
  </si>
  <si>
    <t xml:space="preserve">1178 Bancroft Rd </t>
  </si>
  <si>
    <t>Becket</t>
  </si>
  <si>
    <t>Winter</t>
  </si>
  <si>
    <t xml:space="preserve">6530 KISSENA BLVD30 KISSENA Blvd </t>
  </si>
  <si>
    <t>Flushing</t>
  </si>
  <si>
    <t>Bathgate</t>
  </si>
  <si>
    <t xml:space="preserve">355 Linda Way </t>
  </si>
  <si>
    <t>Nader</t>
  </si>
  <si>
    <t>Julianna</t>
  </si>
  <si>
    <t xml:space="preserve">22525 SW Rickard Pl </t>
  </si>
  <si>
    <t>Slauson</t>
  </si>
  <si>
    <t xml:space="preserve">2808 Central Ave </t>
  </si>
  <si>
    <t>Lucy</t>
  </si>
  <si>
    <t xml:space="preserve">1724 Hopkins Ave </t>
  </si>
  <si>
    <t>Norwood</t>
  </si>
  <si>
    <t>Gaylord</t>
  </si>
  <si>
    <t xml:space="preserve">1809 Scarborough Trl </t>
  </si>
  <si>
    <t>Harriet Edith</t>
  </si>
  <si>
    <t xml:space="preserve">2510 Woodland Dr </t>
  </si>
  <si>
    <t>Branham</t>
  </si>
  <si>
    <t xml:space="preserve">2212 Primrose Ln </t>
  </si>
  <si>
    <t>Haas</t>
  </si>
  <si>
    <t xml:space="preserve">11 Blythewood Rd </t>
  </si>
  <si>
    <t>Doylestown</t>
  </si>
  <si>
    <t>Gagon</t>
  </si>
  <si>
    <t xml:space="preserve">3406 Manchaca Rd Apt 27 </t>
  </si>
  <si>
    <t>Phil</t>
  </si>
  <si>
    <t xml:space="preserve">395 14th St NE </t>
  </si>
  <si>
    <t xml:space="preserve">4200 Avenue A </t>
  </si>
  <si>
    <t>Englund</t>
  </si>
  <si>
    <t>Klaudia</t>
  </si>
  <si>
    <t xml:space="preserve">7630 Cypress Way </t>
  </si>
  <si>
    <t>Proudfit</t>
  </si>
  <si>
    <t xml:space="preserve">288 E Tratebas Rd </t>
  </si>
  <si>
    <t>Cobb</t>
  </si>
  <si>
    <t xml:space="preserve">821 View Harbour Rd # 8 </t>
  </si>
  <si>
    <t>Knoxville</t>
  </si>
  <si>
    <t>Rule</t>
  </si>
  <si>
    <t>Juliann</t>
  </si>
  <si>
    <t xml:space="preserve">35002 115th Ave </t>
  </si>
  <si>
    <t>McFall</t>
  </si>
  <si>
    <t xml:space="preserve">6332 Muir Woods Dr N </t>
  </si>
  <si>
    <t>Mobile</t>
  </si>
  <si>
    <t xml:space="preserve">2411 E Franklin St Apt 210 </t>
  </si>
  <si>
    <t>Cornwell</t>
  </si>
  <si>
    <t xml:space="preserve">2504 Propes Ave </t>
  </si>
  <si>
    <t>Granite City</t>
  </si>
  <si>
    <t xml:space="preserve">31773 Goosecreek Rd </t>
  </si>
  <si>
    <t>Mc Arthur</t>
  </si>
  <si>
    <t>Dykoski</t>
  </si>
  <si>
    <t>William 'skip'</t>
  </si>
  <si>
    <t xml:space="preserve">890 9th Ave NW </t>
  </si>
  <si>
    <t>New Brighton</t>
  </si>
  <si>
    <t>Fuhrman</t>
  </si>
  <si>
    <t>Jed</t>
  </si>
  <si>
    <t xml:space="preserve">21587 Encina Rd </t>
  </si>
  <si>
    <t>Konnerth</t>
  </si>
  <si>
    <t>Karl L</t>
  </si>
  <si>
    <t xml:space="preserve">7 Dutch Ct </t>
  </si>
  <si>
    <t>Anders</t>
  </si>
  <si>
    <t xml:space="preserve">5 Delaney Ave </t>
  </si>
  <si>
    <t xml:space="preserve">142 Tickle Rd </t>
  </si>
  <si>
    <t>Westport</t>
  </si>
  <si>
    <t>02790-4730</t>
  </si>
  <si>
    <t>Mickey</t>
  </si>
  <si>
    <t xml:space="preserve">9654 Winterview Dr </t>
  </si>
  <si>
    <t>34109-1516</t>
  </si>
  <si>
    <t>Klapperich</t>
  </si>
  <si>
    <t xml:space="preserve">612 Park Ave </t>
  </si>
  <si>
    <t>Stanley</t>
  </si>
  <si>
    <t xml:space="preserve">1028 W Saffron St </t>
  </si>
  <si>
    <t>Hanford</t>
  </si>
  <si>
    <t xml:space="preserve">9800 Grand Verde Way Apt 413 </t>
  </si>
  <si>
    <t>Maurizzio</t>
  </si>
  <si>
    <t xml:space="preserve">6016 State Route 97 </t>
  </si>
  <si>
    <t>Rachele</t>
  </si>
  <si>
    <t xml:space="preserve">24 Archer Dr </t>
  </si>
  <si>
    <t>Fonda</t>
  </si>
  <si>
    <t xml:space="preserve">108 Westmoor Ct </t>
  </si>
  <si>
    <t>Bogin</t>
  </si>
  <si>
    <t xml:space="preserve">2605 Edwards Ave # 2605 </t>
  </si>
  <si>
    <t>Dobbertin</t>
  </si>
  <si>
    <t xml:space="preserve">5005 54th Pl </t>
  </si>
  <si>
    <t>20781-2710</t>
  </si>
  <si>
    <t xml:space="preserve">460 S Batavia St </t>
  </si>
  <si>
    <t>Orange</t>
  </si>
  <si>
    <t>Potzka</t>
  </si>
  <si>
    <t>Tedric</t>
  </si>
  <si>
    <t xml:space="preserve">319 E Hackamore St </t>
  </si>
  <si>
    <t>Art</t>
  </si>
  <si>
    <t xml:space="preserve">1815 Briarwood Dr </t>
  </si>
  <si>
    <t>Kyle</t>
  </si>
  <si>
    <t xml:space="preserve">40443 La Grange Dr </t>
  </si>
  <si>
    <t>Detato</t>
  </si>
  <si>
    <t xml:space="preserve">564 Evansville Rd </t>
  </si>
  <si>
    <t>Brownington</t>
  </si>
  <si>
    <t>Skolnick</t>
  </si>
  <si>
    <t xml:space="preserve">545 Washington Ave Apt 704 </t>
  </si>
  <si>
    <t xml:space="preserve">4280 S Fox St </t>
  </si>
  <si>
    <t>Nezin</t>
  </si>
  <si>
    <t xml:space="preserve">3752 85th St Apt 32 </t>
  </si>
  <si>
    <t>Ellison</t>
  </si>
  <si>
    <t xml:space="preserve">19209 140th St </t>
  </si>
  <si>
    <t>Columbus Junction</t>
  </si>
  <si>
    <t>Brophy</t>
  </si>
  <si>
    <t xml:space="preserve">2201 Now Maple Glen Rd </t>
  </si>
  <si>
    <t>Bentonville</t>
  </si>
  <si>
    <t>Rochelle</t>
  </si>
  <si>
    <t xml:space="preserve">1140 N Lasalle Chicago Chicago </t>
  </si>
  <si>
    <t>Gilligan</t>
  </si>
  <si>
    <t>Ainslie</t>
  </si>
  <si>
    <t xml:space="preserve">25 Strand Ave </t>
  </si>
  <si>
    <t>Annabelle</t>
  </si>
  <si>
    <t xml:space="preserve">13671 SW 62nd Ave </t>
  </si>
  <si>
    <t xml:space="preserve">12490 Madison Ave NE </t>
  </si>
  <si>
    <t>Bainbridge Is</t>
  </si>
  <si>
    <t>Krismann</t>
  </si>
  <si>
    <t xml:space="preserve">1912 N Shore Dr </t>
  </si>
  <si>
    <t>Teleshia</t>
  </si>
  <si>
    <t xml:space="preserve">13310 Lenfant Dr </t>
  </si>
  <si>
    <t xml:space="preserve">4311 Ginnett Rd </t>
  </si>
  <si>
    <t>Chesnut</t>
  </si>
  <si>
    <t xml:space="preserve">5020 116th St E </t>
  </si>
  <si>
    <t>Ortiz</t>
  </si>
  <si>
    <t xml:space="preserve">6811 Eliot Ave </t>
  </si>
  <si>
    <t>Middle Village</t>
  </si>
  <si>
    <t>Bolton</t>
  </si>
  <si>
    <t>Loretta</t>
  </si>
  <si>
    <t xml:space="preserve">2868 Crane Schoolhouse Rd </t>
  </si>
  <si>
    <t>Bethel</t>
  </si>
  <si>
    <t xml:space="preserve">1067 Reeder Cir NE </t>
  </si>
  <si>
    <t>Doolen</t>
  </si>
  <si>
    <t xml:space="preserve">8100 Sharon Rd </t>
  </si>
  <si>
    <t>Newburgh</t>
  </si>
  <si>
    <t>Halbrook</t>
  </si>
  <si>
    <t xml:space="preserve">28 Birchwood Ln </t>
  </si>
  <si>
    <t>Ballston Spa</t>
  </si>
  <si>
    <t>McKenzie</t>
  </si>
  <si>
    <t xml:space="preserve">6515 Pinehaven Rd </t>
  </si>
  <si>
    <t xml:space="preserve">737 E Jasmine St </t>
  </si>
  <si>
    <t>Desmarais</t>
  </si>
  <si>
    <t>Lauri</t>
  </si>
  <si>
    <t xml:space="preserve">320 Trinity Ridge Dr </t>
  </si>
  <si>
    <t>Wright City</t>
  </si>
  <si>
    <t>Turrubiate</t>
  </si>
  <si>
    <t xml:space="preserve">261 W 112th St Apt 4E </t>
  </si>
  <si>
    <t xml:space="preserve">214 Colorado Trl </t>
  </si>
  <si>
    <t>Browns Mills</t>
  </si>
  <si>
    <t>Ireland</t>
  </si>
  <si>
    <t xml:space="preserve">510 Cluster Ct </t>
  </si>
  <si>
    <t>Grayson</t>
  </si>
  <si>
    <t xml:space="preserve">4160 ENVIRONMENTAL STUDIES </t>
  </si>
  <si>
    <t>Heslin</t>
  </si>
  <si>
    <t>Rilla</t>
  </si>
  <si>
    <t xml:space="preserve">PO Box 982 </t>
  </si>
  <si>
    <t xml:space="preserve">1714 Whitetail Run </t>
  </si>
  <si>
    <t xml:space="preserve">246 W Main St </t>
  </si>
  <si>
    <t>Tate</t>
  </si>
  <si>
    <t>Signal Mountain</t>
  </si>
  <si>
    <t>Melcher</t>
  </si>
  <si>
    <t xml:space="preserve">6779 Treeline Pl </t>
  </si>
  <si>
    <t xml:space="preserve">47 Hawleys Corners Rd Null </t>
  </si>
  <si>
    <t xml:space="preserve">LORRAINE FOSTER </t>
  </si>
  <si>
    <t>Snowdon</t>
  </si>
  <si>
    <t xml:space="preserve">8508 Elliston Dr </t>
  </si>
  <si>
    <t>Wyndmoor</t>
  </si>
  <si>
    <t>Freedman</t>
  </si>
  <si>
    <t xml:space="preserve">85343 N Hideaway Hills Rd </t>
  </si>
  <si>
    <t>Hurst</t>
  </si>
  <si>
    <t xml:space="preserve">1057 Highway Nine O Three </t>
  </si>
  <si>
    <t>Bracey</t>
  </si>
  <si>
    <t>Kramarck</t>
  </si>
  <si>
    <t>John And Elizabeth</t>
  </si>
  <si>
    <t xml:space="preserve">153 Taylors Bridge Rd Laidback Manor Laidbac Mnr </t>
  </si>
  <si>
    <t>Sasaki</t>
  </si>
  <si>
    <t xml:space="preserve">38850 Farwell Dr Apt 7D </t>
  </si>
  <si>
    <t>Levi</t>
  </si>
  <si>
    <t xml:space="preserve">3159 Potomac St </t>
  </si>
  <si>
    <t>Gordin</t>
  </si>
  <si>
    <t xml:space="preserve">15401 River Cove Ct </t>
  </si>
  <si>
    <t>North Fort Myers</t>
  </si>
  <si>
    <t xml:space="preserve">2210 SW Ecole Ave </t>
  </si>
  <si>
    <t xml:space="preserve">2883 NW Sunny Ln </t>
  </si>
  <si>
    <t>Simanton</t>
  </si>
  <si>
    <t xml:space="preserve">1909 W 9th Ave </t>
  </si>
  <si>
    <t xml:space="preserve">91 W Stewart St </t>
  </si>
  <si>
    <t>Machotka</t>
  </si>
  <si>
    <t>Danielle</t>
  </si>
  <si>
    <t>Bennett</t>
  </si>
  <si>
    <t xml:space="preserve">216 N 6th St </t>
  </si>
  <si>
    <t>Montesano</t>
  </si>
  <si>
    <t xml:space="preserve">48 Oxford Rd </t>
  </si>
  <si>
    <t xml:space="preserve">503 Centre St </t>
  </si>
  <si>
    <t>Atols</t>
  </si>
  <si>
    <t xml:space="preserve">920 Banbury Ct </t>
  </si>
  <si>
    <t>Schaumburg</t>
  </si>
  <si>
    <t>J.</t>
  </si>
  <si>
    <t xml:space="preserve">2353 Addy Gifford Rd </t>
  </si>
  <si>
    <t>Addy</t>
  </si>
  <si>
    <t>Cavallaro</t>
  </si>
  <si>
    <t>Lenny</t>
  </si>
  <si>
    <t xml:space="preserve">1 Vine St </t>
  </si>
  <si>
    <t>Methuen</t>
  </si>
  <si>
    <t>Seramba</t>
  </si>
  <si>
    <t xml:space="preserve">1501 Crows Landing Cir </t>
  </si>
  <si>
    <t>Medvedyeva</t>
  </si>
  <si>
    <t>Darya</t>
  </si>
  <si>
    <t xml:space="preserve">112 MIAMI St N </t>
  </si>
  <si>
    <t>Matlin</t>
  </si>
  <si>
    <t>Thelma</t>
  </si>
  <si>
    <t>Katzman</t>
  </si>
  <si>
    <t xml:space="preserve">8006 Kelok Way </t>
  </si>
  <si>
    <t>Clayton</t>
  </si>
  <si>
    <t xml:space="preserve">22209 County Road 173 </t>
  </si>
  <si>
    <t>Bullard</t>
  </si>
  <si>
    <t>75757-8519</t>
  </si>
  <si>
    <t>Hoff</t>
  </si>
  <si>
    <t xml:space="preserve">18521 Bandelier Dr </t>
  </si>
  <si>
    <t>Pflugerville</t>
  </si>
  <si>
    <t>78660-5964</t>
  </si>
  <si>
    <t>Arace</t>
  </si>
  <si>
    <t>Marylucia</t>
  </si>
  <si>
    <t xml:space="preserve">3578 Pear Blossom Dr </t>
  </si>
  <si>
    <t>92057-8614</t>
  </si>
  <si>
    <t>Kalik</t>
  </si>
  <si>
    <t>Antal</t>
  </si>
  <si>
    <t xml:space="preserve">4747 W 167th St # SY </t>
  </si>
  <si>
    <t>Lawndale</t>
  </si>
  <si>
    <t xml:space="preserve">259 Powell Rd </t>
  </si>
  <si>
    <t>McNamara</t>
  </si>
  <si>
    <t xml:space="preserve">4688 W Tangerine Rd Apt 14206 </t>
  </si>
  <si>
    <t>Palecek</t>
  </si>
  <si>
    <t>Bridget</t>
  </si>
  <si>
    <t xml:space="preserve">1665 Clairville Rd </t>
  </si>
  <si>
    <t>Oshkosh</t>
  </si>
  <si>
    <t xml:space="preserve">1458 Princeton Avenue 1458 Princeton Ave 1458 Ave </t>
  </si>
  <si>
    <t>Lasek</t>
  </si>
  <si>
    <t xml:space="preserve">8432 Trenton Falls Rd </t>
  </si>
  <si>
    <t>Barneveld</t>
  </si>
  <si>
    <t>13304-2230</t>
  </si>
  <si>
    <t>Hurth</t>
  </si>
  <si>
    <t xml:space="preserve">13323 Highland Ct </t>
  </si>
  <si>
    <t>Crestwood</t>
  </si>
  <si>
    <t>60418-1346</t>
  </si>
  <si>
    <t xml:space="preserve">205 E Fairview Ave </t>
  </si>
  <si>
    <t>South Bend</t>
  </si>
  <si>
    <t xml:space="preserve">11906 Lena Ave </t>
  </si>
  <si>
    <t>Summerville</t>
  </si>
  <si>
    <t>D. C.</t>
  </si>
  <si>
    <t xml:space="preserve">2026 Brandon Ave </t>
  </si>
  <si>
    <t>Poland</t>
  </si>
  <si>
    <t>Teplin</t>
  </si>
  <si>
    <t xml:space="preserve">846 Palmer Rd Apt 1A </t>
  </si>
  <si>
    <t>Bronxville</t>
  </si>
  <si>
    <t>Mylius</t>
  </si>
  <si>
    <t xml:space="preserve">1702 Fawn Dr </t>
  </si>
  <si>
    <t>Ostrow</t>
  </si>
  <si>
    <t>Hillary</t>
  </si>
  <si>
    <t xml:space="preserve">5835 Hesperia Ave </t>
  </si>
  <si>
    <t xml:space="preserve">759 Drumm Ln </t>
  </si>
  <si>
    <t>Nipomo</t>
  </si>
  <si>
    <t xml:space="preserve">3 Cathedral Sq Apt 5L </t>
  </si>
  <si>
    <t>Randal</t>
  </si>
  <si>
    <t xml:space="preserve">108 Eleanor St </t>
  </si>
  <si>
    <t>Mingo Jct</t>
  </si>
  <si>
    <t>Straub</t>
  </si>
  <si>
    <t xml:space="preserve">920 Pacific St Apt 5 </t>
  </si>
  <si>
    <t>95667-5642</t>
  </si>
  <si>
    <t>Skvarla</t>
  </si>
  <si>
    <t xml:space="preserve">24 Morse Ave </t>
  </si>
  <si>
    <t>Nasir</t>
  </si>
  <si>
    <t xml:space="preserve">43837 Tattinger Ter </t>
  </si>
  <si>
    <t>Hinds</t>
  </si>
  <si>
    <t xml:space="preserve">1769 Bishop Dr </t>
  </si>
  <si>
    <t>Bain</t>
  </si>
  <si>
    <t xml:space="preserve">2657 Hemenway Rd </t>
  </si>
  <si>
    <t>Bridport</t>
  </si>
  <si>
    <t>Braut</t>
  </si>
  <si>
    <t xml:space="preserve">102 Bellini Ct </t>
  </si>
  <si>
    <t>North Venice</t>
  </si>
  <si>
    <t xml:space="preserve">3517 Fairlomas Rd </t>
  </si>
  <si>
    <t>National City</t>
  </si>
  <si>
    <t xml:space="preserve">13200 SE Arista Dr </t>
  </si>
  <si>
    <t>Alberghini</t>
  </si>
  <si>
    <t xml:space="preserve">7740 250th St </t>
  </si>
  <si>
    <t>Brennan</t>
  </si>
  <si>
    <t>Margot</t>
  </si>
  <si>
    <t xml:space="preserve">274 McLaren Gates Dr </t>
  </si>
  <si>
    <t>Cornez</t>
  </si>
  <si>
    <t xml:space="preserve">Sandicornez Gmailcom </t>
  </si>
  <si>
    <t>Bronson</t>
  </si>
  <si>
    <t xml:space="preserve">4815 E Thomas Rd Apt 232 </t>
  </si>
  <si>
    <t>Rullmann</t>
  </si>
  <si>
    <t>Gale</t>
  </si>
  <si>
    <t xml:space="preserve">245 OLDE LIBERTY Dr </t>
  </si>
  <si>
    <t>Youngsville</t>
  </si>
  <si>
    <t>Hreha</t>
  </si>
  <si>
    <t xml:space="preserve">3245 69th St Apt 3M </t>
  </si>
  <si>
    <t>Grove</t>
  </si>
  <si>
    <t xml:space="preserve">2 Grace Ct Apt 5G </t>
  </si>
  <si>
    <t>Dubina</t>
  </si>
  <si>
    <t xml:space="preserve">2680 E Main St </t>
  </si>
  <si>
    <t>Plainfield</t>
  </si>
  <si>
    <t xml:space="preserve">203 Pinewood Rd </t>
  </si>
  <si>
    <t>Stamford</t>
  </si>
  <si>
    <t xml:space="preserve">5500 N Main St Apt 19108 </t>
  </si>
  <si>
    <t>Fall River</t>
  </si>
  <si>
    <t>Kenny</t>
  </si>
  <si>
    <t xml:space="preserve">5150 Tacoma Dr </t>
  </si>
  <si>
    <t>77041-7034</t>
  </si>
  <si>
    <t>Rodan</t>
  </si>
  <si>
    <t xml:space="preserve">8312 Caroline Vines Way </t>
  </si>
  <si>
    <t>Juanita</t>
  </si>
  <si>
    <t xml:space="preserve">5533 S 1200 W </t>
  </si>
  <si>
    <t>84405-4036</t>
  </si>
  <si>
    <t>Lembeck</t>
  </si>
  <si>
    <t xml:space="preserve">CHAUNSEY Dr </t>
  </si>
  <si>
    <t>Lukaseiwicz</t>
  </si>
  <si>
    <t xml:space="preserve">701 Happy Valley Rd </t>
  </si>
  <si>
    <t>95065-9789</t>
  </si>
  <si>
    <t xml:space="preserve">520 32nd Ave S Apt 109 </t>
  </si>
  <si>
    <t>Moorhead</t>
  </si>
  <si>
    <t>Urquhart</t>
  </si>
  <si>
    <t xml:space="preserve">1801 Warrington Rd SW </t>
  </si>
  <si>
    <t>Roanoke</t>
  </si>
  <si>
    <t xml:space="preserve">351 Orwell Ln </t>
  </si>
  <si>
    <t xml:space="preserve">90266 CA CA </t>
  </si>
  <si>
    <t>Manhattan Beach</t>
  </si>
  <si>
    <t>Kilian</t>
  </si>
  <si>
    <t xml:space="preserve">1420 Santo Domingo Ave </t>
  </si>
  <si>
    <t>Duarte</t>
  </si>
  <si>
    <t>Caramanna</t>
  </si>
  <si>
    <t>Vivian</t>
  </si>
  <si>
    <t xml:space="preserve">131 Ten Eyck St # H </t>
  </si>
  <si>
    <t>South Plainfield</t>
  </si>
  <si>
    <t>Hollembaek</t>
  </si>
  <si>
    <t xml:space="preserve">681 Montecito Dr </t>
  </si>
  <si>
    <t>Pahrump</t>
  </si>
  <si>
    <t xml:space="preserve">32ND St </t>
  </si>
  <si>
    <t>Libbey</t>
  </si>
  <si>
    <t xml:space="preserve">1027 E Pike St Pmb 11 </t>
  </si>
  <si>
    <t xml:space="preserve">4215 Fontainebleau Dr Apt C </t>
  </si>
  <si>
    <t>McLaughlin</t>
  </si>
  <si>
    <t>Jeanie</t>
  </si>
  <si>
    <t xml:space="preserve">PO Box 623/139 </t>
  </si>
  <si>
    <t>Cannon Beach</t>
  </si>
  <si>
    <t>Hellwig</t>
  </si>
  <si>
    <t xml:space="preserve">Khellwigrn@Sbcglobalnet </t>
  </si>
  <si>
    <t>Pinsof</t>
  </si>
  <si>
    <t xml:space="preserve">FORT SHERIDAN </t>
  </si>
  <si>
    <t>Highland Park</t>
  </si>
  <si>
    <t>Smilingcoyote</t>
  </si>
  <si>
    <t xml:space="preserve">1823 W Granville Ave Apt 1B </t>
  </si>
  <si>
    <t>60660-1060</t>
  </si>
  <si>
    <t>Vale</t>
  </si>
  <si>
    <t>Harlan</t>
  </si>
  <si>
    <t xml:space="preserve">324 Redwood Dr </t>
  </si>
  <si>
    <t>Woodacre</t>
  </si>
  <si>
    <t>Sheeler</t>
  </si>
  <si>
    <t xml:space="preserve">1868 Muddy Creek Cir </t>
  </si>
  <si>
    <t xml:space="preserve">370 6th Ave S </t>
  </si>
  <si>
    <t xml:space="preserve">505 NE 23rd St </t>
  </si>
  <si>
    <t>Wilton Manors</t>
  </si>
  <si>
    <t>Sloan</t>
  </si>
  <si>
    <t>Wil</t>
  </si>
  <si>
    <t xml:space="preserve">600 Gulf Shore Dr </t>
  </si>
  <si>
    <t>Destin</t>
  </si>
  <si>
    <t>Dunn</t>
  </si>
  <si>
    <t xml:space="preserve">1466 W 1200 N 1466 W 1200 N 1466 W 1200 N </t>
  </si>
  <si>
    <t>Alliot</t>
  </si>
  <si>
    <t>Emmanuel</t>
  </si>
  <si>
    <t xml:space="preserve">19355 Cypress Ridge Ter Unit 715 </t>
  </si>
  <si>
    <t>Oroz</t>
  </si>
  <si>
    <t xml:space="preserve">350 Duncan Hill Rd </t>
  </si>
  <si>
    <t>95603-9532</t>
  </si>
  <si>
    <t>Keast</t>
  </si>
  <si>
    <t>Alix</t>
  </si>
  <si>
    <t xml:space="preserve">214 Riverside Dr </t>
  </si>
  <si>
    <t>10025-6816</t>
  </si>
  <si>
    <t xml:space="preserve">1154 Apaseo Del Sol </t>
  </si>
  <si>
    <t>Casselberry</t>
  </si>
  <si>
    <t>Bondoc</t>
  </si>
  <si>
    <t xml:space="preserve">5814 30th Ct E </t>
  </si>
  <si>
    <t>Ellenton</t>
  </si>
  <si>
    <t>Carmen</t>
  </si>
  <si>
    <t xml:space="preserve">4303 Forest View Ave </t>
  </si>
  <si>
    <t>Fura</t>
  </si>
  <si>
    <t xml:space="preserve">1153 Jefferson St Apt 3 </t>
  </si>
  <si>
    <t>Walkowiak</t>
  </si>
  <si>
    <t xml:space="preserve">7036 Gullstrand St </t>
  </si>
  <si>
    <t>92122-2819</t>
  </si>
  <si>
    <t>Saslow</t>
  </si>
  <si>
    <t>Rondi</t>
  </si>
  <si>
    <t xml:space="preserve">5596 Taft Ave </t>
  </si>
  <si>
    <t>94618-1519</t>
  </si>
  <si>
    <t>Mendieta</t>
  </si>
  <si>
    <t>Vince</t>
  </si>
  <si>
    <t xml:space="preserve">PO Box 150726 </t>
  </si>
  <si>
    <t>78715-0726</t>
  </si>
  <si>
    <t>Gonzales</t>
  </si>
  <si>
    <t xml:space="preserve">12536 W Sells Dr </t>
  </si>
  <si>
    <t>Litchfield Park</t>
  </si>
  <si>
    <t>85340-5162</t>
  </si>
  <si>
    <t>Peirce</t>
  </si>
  <si>
    <t xml:space="preserve">18 Paseo De Aguila </t>
  </si>
  <si>
    <t>Chesley</t>
  </si>
  <si>
    <t xml:space="preserve">920 River Rd </t>
  </si>
  <si>
    <t>04357-3628</t>
  </si>
  <si>
    <t>Krell-Bates</t>
  </si>
  <si>
    <t xml:space="preserve">9311 Judicial Dr </t>
  </si>
  <si>
    <t>Ellis</t>
  </si>
  <si>
    <t>Koll</t>
  </si>
  <si>
    <t xml:space="preserve">353 Berkeley Park Blvd Apt G </t>
  </si>
  <si>
    <t>94707-1245</t>
  </si>
  <si>
    <t>Bilyeu</t>
  </si>
  <si>
    <t xml:space="preserve">11637 Charter Oak Ct Apt 201 </t>
  </si>
  <si>
    <t>20190-4522</t>
  </si>
  <si>
    <t>Troiani</t>
  </si>
  <si>
    <t>Mario</t>
  </si>
  <si>
    <t xml:space="preserve">1123 Beacon St </t>
  </si>
  <si>
    <t>Newton Highlands</t>
  </si>
  <si>
    <t>02461-1101</t>
  </si>
  <si>
    <t xml:space="preserve">336 Bon Air Ctr # 507 </t>
  </si>
  <si>
    <t>Greenbrae</t>
  </si>
  <si>
    <t>Lockett</t>
  </si>
  <si>
    <t xml:space="preserve">1915 NW 14th St </t>
  </si>
  <si>
    <t>Eble</t>
  </si>
  <si>
    <t xml:space="preserve">58 Lee Lynn Ln </t>
  </si>
  <si>
    <t>Huntingdon Valley</t>
  </si>
  <si>
    <t xml:space="preserve">2106 Thomas Jefferson Dr </t>
  </si>
  <si>
    <t>Logan</t>
  </si>
  <si>
    <t xml:space="preserve">4474 Pili Rd </t>
  </si>
  <si>
    <t>Kilauea</t>
  </si>
  <si>
    <t>Robertson</t>
  </si>
  <si>
    <t xml:space="preserve">24195 US Highway 19 N Lot 222 </t>
  </si>
  <si>
    <t>Earnshaw</t>
  </si>
  <si>
    <t>Shinann</t>
  </si>
  <si>
    <t xml:space="preserve">4400 Mill St </t>
  </si>
  <si>
    <t>Fortuna</t>
  </si>
  <si>
    <t xml:space="preserve">8094 Upper Craigs Creek Rd </t>
  </si>
  <si>
    <t>Catawba</t>
  </si>
  <si>
    <t>Spring</t>
  </si>
  <si>
    <t xml:space="preserve">LOS ANGELES </t>
  </si>
  <si>
    <t>Donnaway</t>
  </si>
  <si>
    <t xml:space="preserve">1749 Thunderbird Rd </t>
  </si>
  <si>
    <t>Hesperus</t>
  </si>
  <si>
    <t xml:space="preserve">68462 JASMINE Rd </t>
  </si>
  <si>
    <t>Teresia</t>
  </si>
  <si>
    <t xml:space="preserve">Sudbury </t>
  </si>
  <si>
    <t>Sudbury</t>
  </si>
  <si>
    <t>Hernandez</t>
  </si>
  <si>
    <t xml:space="preserve">950 N Townsend Ave # 30 </t>
  </si>
  <si>
    <t>Royce</t>
  </si>
  <si>
    <t>M.</t>
  </si>
  <si>
    <t xml:space="preserve">PO Box 541432 </t>
  </si>
  <si>
    <t>Lenaardson</t>
  </si>
  <si>
    <t xml:space="preserve">8772 1 2 Wyngate St </t>
  </si>
  <si>
    <t>Sunland</t>
  </si>
  <si>
    <t>Gajewski</t>
  </si>
  <si>
    <t xml:space="preserve">4753 Lluvia Encantada </t>
  </si>
  <si>
    <t>Abbott</t>
  </si>
  <si>
    <t xml:space="preserve">45 Dug Rd </t>
  </si>
  <si>
    <t>12561-2908</t>
  </si>
  <si>
    <t xml:space="preserve">3146 Red Hill Ave Ste 150 </t>
  </si>
  <si>
    <t>Bal</t>
  </si>
  <si>
    <t>Eli</t>
  </si>
  <si>
    <t xml:space="preserve">2200 N Westmoreland St </t>
  </si>
  <si>
    <t>Calderon</t>
  </si>
  <si>
    <t xml:space="preserve">4031 Puente Ave </t>
  </si>
  <si>
    <t>Baldwin Park</t>
  </si>
  <si>
    <t>Graham</t>
  </si>
  <si>
    <t>Cono</t>
  </si>
  <si>
    <t xml:space="preserve">206 Linden Ponds Way # OW631 </t>
  </si>
  <si>
    <t>Hingham</t>
  </si>
  <si>
    <t>Seaver</t>
  </si>
  <si>
    <t xml:space="preserve">343 Viewmont Rd </t>
  </si>
  <si>
    <t>Germantown</t>
  </si>
  <si>
    <t>Swanberg</t>
  </si>
  <si>
    <t>Gabrielle</t>
  </si>
  <si>
    <t xml:space="preserve">1649 Lancaster Dr 1649 Lancaster Dr </t>
  </si>
  <si>
    <t>Dearborn</t>
  </si>
  <si>
    <t xml:space="preserve">PO Box 29 </t>
  </si>
  <si>
    <t>Lakemont</t>
  </si>
  <si>
    <t>Segura</t>
  </si>
  <si>
    <t xml:space="preserve">3149 E Desert Inn Rd </t>
  </si>
  <si>
    <t>Guevara</t>
  </si>
  <si>
    <t xml:space="preserve">3540 Willow Dr Apt 67 </t>
  </si>
  <si>
    <t>Plover</t>
  </si>
  <si>
    <t xml:space="preserve">83 Appalachian Way </t>
  </si>
  <si>
    <t>Scherer</t>
  </si>
  <si>
    <t xml:space="preserve">44189 PO B0X PO B0X </t>
  </si>
  <si>
    <t>Booz</t>
  </si>
  <si>
    <t xml:space="preserve">3823 Valley Ln # NA </t>
  </si>
  <si>
    <t>McCoy</t>
  </si>
  <si>
    <t xml:space="preserve">CENTREVILLE </t>
  </si>
  <si>
    <t>Hickey</t>
  </si>
  <si>
    <t xml:space="preserve">280 E Spruce St # 57 </t>
  </si>
  <si>
    <t>Union</t>
  </si>
  <si>
    <t>Rohder</t>
  </si>
  <si>
    <t xml:space="preserve">910 Dolphin St </t>
  </si>
  <si>
    <t>Pizarro</t>
  </si>
  <si>
    <t>Vanessa</t>
  </si>
  <si>
    <t xml:space="preserve">5755 E River Rd Apt 2220 </t>
  </si>
  <si>
    <t>85750-6717</t>
  </si>
  <si>
    <t>Barr</t>
  </si>
  <si>
    <t xml:space="preserve">1400 NE 2nd Ave Apt 1615 </t>
  </si>
  <si>
    <t>Willia</t>
  </si>
  <si>
    <t xml:space="preserve">1012 Bridgeport Dr # 39110 </t>
  </si>
  <si>
    <t>Arcas</t>
  </si>
  <si>
    <t>Luciana</t>
  </si>
  <si>
    <t xml:space="preserve">1950 SW Camelot Ct Apt 601 </t>
  </si>
  <si>
    <t>97225-3755</t>
  </si>
  <si>
    <t xml:space="preserve">PO Box </t>
  </si>
  <si>
    <t>Longley</t>
  </si>
  <si>
    <t xml:space="preserve">719 SW Ch 719 SW Chiefland Ln </t>
  </si>
  <si>
    <t>Fort White</t>
  </si>
  <si>
    <t xml:space="preserve">19769 Sages Rd </t>
  </si>
  <si>
    <t>95959-9375</t>
  </si>
  <si>
    <t>Wilbourn</t>
  </si>
  <si>
    <t xml:space="preserve">1822111 Mile Rd </t>
  </si>
  <si>
    <t>Rocha</t>
  </si>
  <si>
    <t xml:space="preserve">4423 Alpha St </t>
  </si>
  <si>
    <t>Bartlett</t>
  </si>
  <si>
    <t xml:space="preserve">2300 Bear Ct </t>
  </si>
  <si>
    <t>Kavanaugh</t>
  </si>
  <si>
    <t xml:space="preserve">1954 23rd Ave </t>
  </si>
  <si>
    <t xml:space="preserve">135 Plaza Dr </t>
  </si>
  <si>
    <t>Kerrville</t>
  </si>
  <si>
    <t xml:space="preserve">445 Hartford Rd </t>
  </si>
  <si>
    <t>Mount Laurel</t>
  </si>
  <si>
    <t xml:space="preserve">6140 Packard St </t>
  </si>
  <si>
    <t>Cota</t>
  </si>
  <si>
    <t>Joseph Reginald</t>
  </si>
  <si>
    <t xml:space="preserve">382 E California Blvd Apt 208 </t>
  </si>
  <si>
    <t>Tamela</t>
  </si>
  <si>
    <t xml:space="preserve">2233 King St </t>
  </si>
  <si>
    <t>Wixom</t>
  </si>
  <si>
    <t>Rosenstein</t>
  </si>
  <si>
    <t xml:space="preserve">7624 76th Way </t>
  </si>
  <si>
    <t>West Palm Beach</t>
  </si>
  <si>
    <t xml:space="preserve">Pat </t>
  </si>
  <si>
    <t>Esperas</t>
  </si>
  <si>
    <t xml:space="preserve">16879 Jacinto Rd </t>
  </si>
  <si>
    <t>Reola</t>
  </si>
  <si>
    <t xml:space="preserve">127 Avenida Rosa </t>
  </si>
  <si>
    <t>92672-4133</t>
  </si>
  <si>
    <t xml:space="preserve">25 Pleasant St </t>
  </si>
  <si>
    <t>Rockport</t>
  </si>
  <si>
    <t>01966-2151</t>
  </si>
  <si>
    <t xml:space="preserve">173 H </t>
  </si>
  <si>
    <t>Lourdes</t>
  </si>
  <si>
    <t xml:space="preserve">2667 Clarellen St </t>
  </si>
  <si>
    <t>Hines</t>
  </si>
  <si>
    <t>Joris</t>
  </si>
  <si>
    <t xml:space="preserve">PO Box 320116 </t>
  </si>
  <si>
    <t>Santto</t>
  </si>
  <si>
    <t>Aldana</t>
  </si>
  <si>
    <t xml:space="preserve">650 W 204th St Apt 51 </t>
  </si>
  <si>
    <t>Castillo</t>
  </si>
  <si>
    <t xml:space="preserve">6071 Lime Ave </t>
  </si>
  <si>
    <t>90805-3016</t>
  </si>
  <si>
    <t>Kawszan</t>
  </si>
  <si>
    <t>77379-8027</t>
  </si>
  <si>
    <t xml:space="preserve">2284 Pellam Blvd </t>
  </si>
  <si>
    <t>Boydston</t>
  </si>
  <si>
    <t xml:space="preserve">3951 W Donner St </t>
  </si>
  <si>
    <t>89048-2803</t>
  </si>
  <si>
    <t>Aubrey</t>
  </si>
  <si>
    <t xml:space="preserve">PO Box 126 </t>
  </si>
  <si>
    <t>Elk</t>
  </si>
  <si>
    <t>95432-0126</t>
  </si>
  <si>
    <t>Hamm</t>
  </si>
  <si>
    <t xml:space="preserve">4213 Flag Dr # 18 </t>
  </si>
  <si>
    <t>Oneill</t>
  </si>
  <si>
    <t xml:space="preserve">2075 Shady Creek Pl </t>
  </si>
  <si>
    <t>Friedberg</t>
  </si>
  <si>
    <t xml:space="preserve">303 REDSTONE Ln </t>
  </si>
  <si>
    <t xml:space="preserve">5 Sulky Ct Apt 201 </t>
  </si>
  <si>
    <t>Randallstown</t>
  </si>
  <si>
    <t>21133-3118</t>
  </si>
  <si>
    <t>Crist</t>
  </si>
  <si>
    <t xml:space="preserve">353 Charing Cross Way </t>
  </si>
  <si>
    <t>94044-2803</t>
  </si>
  <si>
    <t>Scinto</t>
  </si>
  <si>
    <t xml:space="preserve">91 Princess Dr </t>
  </si>
  <si>
    <t>Watkins</t>
  </si>
  <si>
    <t xml:space="preserve">482 Riley Ave </t>
  </si>
  <si>
    <t>43085-3039</t>
  </si>
  <si>
    <t>Calambro</t>
  </si>
  <si>
    <t xml:space="preserve">1903 Barribee Lane 1903 Barribee Ln 1903 Barr Ln </t>
  </si>
  <si>
    <t>Dal Cais</t>
  </si>
  <si>
    <t xml:space="preserve">4526 47th St </t>
  </si>
  <si>
    <t xml:space="preserve">1367 Harrington Rd </t>
  </si>
  <si>
    <t>Havertown</t>
  </si>
  <si>
    <t>Fertig</t>
  </si>
  <si>
    <t>Asano</t>
  </si>
  <si>
    <t xml:space="preserve">11 Virginia Gdns </t>
  </si>
  <si>
    <t xml:space="preserve">1443 Edwards Ave </t>
  </si>
  <si>
    <t>Fircrest</t>
  </si>
  <si>
    <t xml:space="preserve">2519 Palmer Ave </t>
  </si>
  <si>
    <t>Harper</t>
  </si>
  <si>
    <t xml:space="preserve">13535 Agua Dulce </t>
  </si>
  <si>
    <t>Castroville</t>
  </si>
  <si>
    <t>Boortz</t>
  </si>
  <si>
    <t xml:space="preserve">15750 Winchester Blvd Ste 201 </t>
  </si>
  <si>
    <t>Kralis</t>
  </si>
  <si>
    <t xml:space="preserve">1170 E Ridge Rd Apt 8 </t>
  </si>
  <si>
    <t>Payne</t>
  </si>
  <si>
    <t xml:space="preserve">2100 W Bradley Pl </t>
  </si>
  <si>
    <t>Ney</t>
  </si>
  <si>
    <t xml:space="preserve">530 W Ruscomb St </t>
  </si>
  <si>
    <t xml:space="preserve">990 1st St </t>
  </si>
  <si>
    <t>Huot</t>
  </si>
  <si>
    <t>Zuzonna</t>
  </si>
  <si>
    <t xml:space="preserve">482 Oceanville Rd </t>
  </si>
  <si>
    <t>Stonington</t>
  </si>
  <si>
    <t>Fiore</t>
  </si>
  <si>
    <t xml:space="preserve">445 Boston Post Rd </t>
  </si>
  <si>
    <t>East Lyme</t>
  </si>
  <si>
    <t>Dennison</t>
  </si>
  <si>
    <t xml:space="preserve">12622 Haster St </t>
  </si>
  <si>
    <t xml:space="preserve">47950 NW Dingheiser Rd </t>
  </si>
  <si>
    <t>Manning</t>
  </si>
  <si>
    <t>Norman W</t>
  </si>
  <si>
    <t xml:space="preserve">308 Pierce Ct </t>
  </si>
  <si>
    <t>Bolingbrook</t>
  </si>
  <si>
    <t xml:space="preserve">7620 Marquette St </t>
  </si>
  <si>
    <t>Gregory Alan</t>
  </si>
  <si>
    <t xml:space="preserve">7 Michigan Ave </t>
  </si>
  <si>
    <t>Wornum</t>
  </si>
  <si>
    <t>Claudia</t>
  </si>
  <si>
    <t xml:space="preserve">11780 Cranford Way </t>
  </si>
  <si>
    <t>McCormick</t>
  </si>
  <si>
    <t xml:space="preserve">23602 Via Paloma </t>
  </si>
  <si>
    <t>Trabuco Canyon</t>
  </si>
  <si>
    <t>Maren</t>
  </si>
  <si>
    <t xml:space="preserve">223 S Fresno Spring Way # 116 </t>
  </si>
  <si>
    <t xml:space="preserve">PO Box 985 </t>
  </si>
  <si>
    <t>Chestertown</t>
  </si>
  <si>
    <t>Maglione</t>
  </si>
  <si>
    <t xml:space="preserve">10 Moreview Dr </t>
  </si>
  <si>
    <t>Essman</t>
  </si>
  <si>
    <t xml:space="preserve">PO Box 1381 </t>
  </si>
  <si>
    <t>Healdsburg</t>
  </si>
  <si>
    <t>Herath</t>
  </si>
  <si>
    <t xml:space="preserve">3 Shore Rd </t>
  </si>
  <si>
    <t>Southwick</t>
  </si>
  <si>
    <t>Heithaus</t>
  </si>
  <si>
    <t xml:space="preserve">301 S Sherman St Ste 100 </t>
  </si>
  <si>
    <t xml:space="preserve">3660 Sebastian Cir </t>
  </si>
  <si>
    <t>Franck</t>
  </si>
  <si>
    <t xml:space="preserve">19 Raritan Ave Apt B5 </t>
  </si>
  <si>
    <t>Katharine</t>
  </si>
  <si>
    <t xml:space="preserve">112 Basin Rd </t>
  </si>
  <si>
    <t>New Vineyard</t>
  </si>
  <si>
    <t>Laque</t>
  </si>
  <si>
    <t>J'ulene</t>
  </si>
  <si>
    <t xml:space="preserve">7400 Edinborough Way Apt 5205 </t>
  </si>
  <si>
    <t>Edina</t>
  </si>
  <si>
    <t xml:space="preserve">1415 Pintail Dr </t>
  </si>
  <si>
    <t>Suisun City</t>
  </si>
  <si>
    <t>Proudfire</t>
  </si>
  <si>
    <t xml:space="preserve">658 Seward St </t>
  </si>
  <si>
    <t xml:space="preserve">10480 Sunland Blvd </t>
  </si>
  <si>
    <t>Jain</t>
  </si>
  <si>
    <t>Brenn</t>
  </si>
  <si>
    <t xml:space="preserve">46 Highmeadow Rd </t>
  </si>
  <si>
    <t>Old Greenwich</t>
  </si>
  <si>
    <t xml:space="preserve">1414 E Merced Ave </t>
  </si>
  <si>
    <t>Windwalker</t>
  </si>
  <si>
    <t xml:space="preserve">4211 Mormon Hollow Rd </t>
  </si>
  <si>
    <t>Corning</t>
  </si>
  <si>
    <t>Munar</t>
  </si>
  <si>
    <t>Dwayne</t>
  </si>
  <si>
    <t xml:space="preserve">84 -270 Jade St </t>
  </si>
  <si>
    <t>Waianae</t>
  </si>
  <si>
    <t>Mireault</t>
  </si>
  <si>
    <t xml:space="preserve">32 Oakview Ter </t>
  </si>
  <si>
    <t>Wullenwaber</t>
  </si>
  <si>
    <t xml:space="preserve">2442 California St </t>
  </si>
  <si>
    <t>Aydelott</t>
  </si>
  <si>
    <t xml:space="preserve">20770 Gallop Rd </t>
  </si>
  <si>
    <t>Sheehan</t>
  </si>
  <si>
    <t xml:space="preserve">719 Schoolhouse Rd </t>
  </si>
  <si>
    <t>Brielle</t>
  </si>
  <si>
    <t>Melendez</t>
  </si>
  <si>
    <t xml:space="preserve">272 Wyckoff St Apt 7H </t>
  </si>
  <si>
    <t>Ochoa</t>
  </si>
  <si>
    <t>Chemen</t>
  </si>
  <si>
    <t xml:space="preserve">1 Altura Dr </t>
  </si>
  <si>
    <t xml:space="preserve">317 E Wall Ave </t>
  </si>
  <si>
    <t>Des Moines</t>
  </si>
  <si>
    <t xml:space="preserve">3150 N Course Ln Apt 601 </t>
  </si>
  <si>
    <t>Pompano Beach</t>
  </si>
  <si>
    <t>Trantules</t>
  </si>
  <si>
    <t xml:space="preserve">128 Crider Ave </t>
  </si>
  <si>
    <t>Caruso Santamaria</t>
  </si>
  <si>
    <t xml:space="preserve">1645 Hazelwood St </t>
  </si>
  <si>
    <t>Vesper</t>
  </si>
  <si>
    <t xml:space="preserve">1601 Berkeley Way </t>
  </si>
  <si>
    <t>Daehn</t>
  </si>
  <si>
    <t xml:space="preserve">4103 3rd St NW </t>
  </si>
  <si>
    <t>Hann</t>
  </si>
  <si>
    <t>Suzi</t>
  </si>
  <si>
    <t xml:space="preserve">172 Mill Valley Cir S </t>
  </si>
  <si>
    <t>Ilavsky</t>
  </si>
  <si>
    <t xml:space="preserve">33987 Washington Blvd </t>
  </si>
  <si>
    <t xml:space="preserve">PO Box 222059 </t>
  </si>
  <si>
    <t>Quintal</t>
  </si>
  <si>
    <t>Dean</t>
  </si>
  <si>
    <t xml:space="preserve">208 Diamond Ave </t>
  </si>
  <si>
    <t>Wozniak</t>
  </si>
  <si>
    <t xml:space="preserve">1516 Avenida De Las Adelsas </t>
  </si>
  <si>
    <t>Franklin I.</t>
  </si>
  <si>
    <t xml:space="preserve">355 Aris Ave </t>
  </si>
  <si>
    <t>McLeod</t>
  </si>
  <si>
    <t xml:space="preserve">4536 Vista St </t>
  </si>
  <si>
    <t>Buck</t>
  </si>
  <si>
    <t xml:space="preserve">8445 Kimberly St </t>
  </si>
  <si>
    <t>Ballas</t>
  </si>
  <si>
    <t>Freda</t>
  </si>
  <si>
    <t xml:space="preserve">7531 Caruth Blvd </t>
  </si>
  <si>
    <t xml:space="preserve">1335 Artists Ln </t>
  </si>
  <si>
    <t>Bel Air</t>
  </si>
  <si>
    <t>Bielawski</t>
  </si>
  <si>
    <t xml:space="preserve">161 Sunset Ridge Rd </t>
  </si>
  <si>
    <t>Stanger</t>
  </si>
  <si>
    <t xml:space="preserve">850 Walnut St </t>
  </si>
  <si>
    <t>Schwimmer</t>
  </si>
  <si>
    <t>Dena</t>
  </si>
  <si>
    <t xml:space="preserve">1227 S Genesee Ave </t>
  </si>
  <si>
    <t xml:space="preserve">21660 Chimney Rock Park Cir </t>
  </si>
  <si>
    <t>Mary Helen</t>
  </si>
  <si>
    <t xml:space="preserve">2363 Victor Ct </t>
  </si>
  <si>
    <t>Norcross</t>
  </si>
  <si>
    <t xml:space="preserve">6 E Burnam Rd </t>
  </si>
  <si>
    <t>Dicato</t>
  </si>
  <si>
    <t xml:space="preserve">236 S Batavia St Apt C </t>
  </si>
  <si>
    <t>Covone</t>
  </si>
  <si>
    <t>Lew</t>
  </si>
  <si>
    <t xml:space="preserve">104 Laureti Ln </t>
  </si>
  <si>
    <t>Lake Wales</t>
  </si>
  <si>
    <t>Neitzel</t>
  </si>
  <si>
    <t xml:space="preserve">1605 E 2nd St Apt 301 </t>
  </si>
  <si>
    <t>Storm</t>
  </si>
  <si>
    <t>Joette</t>
  </si>
  <si>
    <t xml:space="preserve">63214 Brightwater Dr </t>
  </si>
  <si>
    <t>Tattu</t>
  </si>
  <si>
    <t xml:space="preserve">2447 Park Ave </t>
  </si>
  <si>
    <t>Hermosa Beach</t>
  </si>
  <si>
    <t>Moritz</t>
  </si>
  <si>
    <t xml:space="preserve">414 S Cedar Brook Rd </t>
  </si>
  <si>
    <t>Velarde</t>
  </si>
  <si>
    <t xml:space="preserve">19860 NW 64th Court Rd </t>
  </si>
  <si>
    <t>Hialeah</t>
  </si>
  <si>
    <t>Tetelbaum</t>
  </si>
  <si>
    <t>Willi</t>
  </si>
  <si>
    <t xml:space="preserve">9 Chestnut St </t>
  </si>
  <si>
    <t>Narragansett</t>
  </si>
  <si>
    <t>Svatek</t>
  </si>
  <si>
    <t xml:space="preserve">4220 Desert Highlands Dr </t>
  </si>
  <si>
    <t>Hankins</t>
  </si>
  <si>
    <t xml:space="preserve">15168 E Grand Ave </t>
  </si>
  <si>
    <t>Haines</t>
  </si>
  <si>
    <t xml:space="preserve">1104 Blossom Ln </t>
  </si>
  <si>
    <t xml:space="preserve">413 N Belmont Ave </t>
  </si>
  <si>
    <t>Kusnic</t>
  </si>
  <si>
    <t xml:space="preserve">2304 NE 113th St </t>
  </si>
  <si>
    <t xml:space="preserve">12203 NE 37th St </t>
  </si>
  <si>
    <t>Motter</t>
  </si>
  <si>
    <t>Marcina</t>
  </si>
  <si>
    <t xml:space="preserve">444 N El Camino Real Spc 12 </t>
  </si>
  <si>
    <t>Darovic</t>
  </si>
  <si>
    <t xml:space="preserve">2140 David Ave </t>
  </si>
  <si>
    <t>Sagovac</t>
  </si>
  <si>
    <t xml:space="preserve">14913 Paddock Dr </t>
  </si>
  <si>
    <t>Wellington</t>
  </si>
  <si>
    <t xml:space="preserve">445 Quaker Dr </t>
  </si>
  <si>
    <t xml:space="preserve">8902 Birdwood Ct </t>
  </si>
  <si>
    <t>Ann C.</t>
  </si>
  <si>
    <t xml:space="preserve">1947 Rocklyn Dr </t>
  </si>
  <si>
    <t>44212-4071</t>
  </si>
  <si>
    <t xml:space="preserve">6121 Montrose Rd </t>
  </si>
  <si>
    <t>Sadleir-Hart</t>
  </si>
  <si>
    <t xml:space="preserve">815 Charles St </t>
  </si>
  <si>
    <t>Sitka</t>
  </si>
  <si>
    <t xml:space="preserve">312 Cavanaugh St </t>
  </si>
  <si>
    <t>Hoy</t>
  </si>
  <si>
    <t xml:space="preserve">2858 Pheasant Ln </t>
  </si>
  <si>
    <t>Asturino</t>
  </si>
  <si>
    <t xml:space="preserve">5679 Steubenville Pike </t>
  </si>
  <si>
    <t>Mc Kees Rocks</t>
  </si>
  <si>
    <t>Lanham</t>
  </si>
  <si>
    <t xml:space="preserve">6001 Hempstead Rd # 50 </t>
  </si>
  <si>
    <t xml:space="preserve">5062 Bridlepath Dr </t>
  </si>
  <si>
    <t>Fulk</t>
  </si>
  <si>
    <t>Agnieszka</t>
  </si>
  <si>
    <t xml:space="preserve">6855 Morro Rd </t>
  </si>
  <si>
    <t>Litzsinger</t>
  </si>
  <si>
    <t xml:space="preserve">1159 Gross Ave </t>
  </si>
  <si>
    <t xml:space="preserve">43287 Creekbank Ct </t>
  </si>
  <si>
    <t>Logue</t>
  </si>
  <si>
    <t xml:space="preserve">6216 E 135th Ave </t>
  </si>
  <si>
    <t>Herther</t>
  </si>
  <si>
    <t xml:space="preserve">1585 Cohansey St Apt 201 </t>
  </si>
  <si>
    <t>Wiant</t>
  </si>
  <si>
    <t xml:space="preserve">117 E Oak Ln </t>
  </si>
  <si>
    <t>Glenolden</t>
  </si>
  <si>
    <t>Pumper</t>
  </si>
  <si>
    <t>Marni</t>
  </si>
  <si>
    <t xml:space="preserve">2609 13th Ave E </t>
  </si>
  <si>
    <t>North St Paul</t>
  </si>
  <si>
    <t>Forwand</t>
  </si>
  <si>
    <t xml:space="preserve">8 Hampton Hill Ct </t>
  </si>
  <si>
    <t>Huntington</t>
  </si>
  <si>
    <t>Cl</t>
  </si>
  <si>
    <t xml:space="preserve">PO Box 6164 </t>
  </si>
  <si>
    <t xml:space="preserve">604 2nd Ave </t>
  </si>
  <si>
    <t>Vaughan</t>
  </si>
  <si>
    <t xml:space="preserve">1221 E Strasburg Rd </t>
  </si>
  <si>
    <t>Thomasson</t>
  </si>
  <si>
    <t>Tabitha</t>
  </si>
  <si>
    <t xml:space="preserve">25 Parsons Pl </t>
  </si>
  <si>
    <t>Dahlonega</t>
  </si>
  <si>
    <t xml:space="preserve">224 Louise St </t>
  </si>
  <si>
    <t>Hawley</t>
  </si>
  <si>
    <t xml:space="preserve">PO Box 49 </t>
  </si>
  <si>
    <t>Ketchum</t>
  </si>
  <si>
    <t>Shimeall</t>
  </si>
  <si>
    <t xml:space="preserve">17705 W 155th Ter </t>
  </si>
  <si>
    <t>Olathe</t>
  </si>
  <si>
    <t>Trosper</t>
  </si>
  <si>
    <t xml:space="preserve">4235 SE Holgate Blvd </t>
  </si>
  <si>
    <t>Pasqualini</t>
  </si>
  <si>
    <t>Lucia</t>
  </si>
  <si>
    <t xml:space="preserve">5394 Grand Park Pl </t>
  </si>
  <si>
    <t xml:space="preserve">325 Marine Ave Apt B8 </t>
  </si>
  <si>
    <t xml:space="preserve">1110 S Alves St </t>
  </si>
  <si>
    <t xml:space="preserve">4185 SW 167th Ave </t>
  </si>
  <si>
    <t>Aloha</t>
  </si>
  <si>
    <t>Deutsch</t>
  </si>
  <si>
    <t xml:space="preserve">15 Tullamore Pl </t>
  </si>
  <si>
    <t>Fritz</t>
  </si>
  <si>
    <t xml:space="preserve">5626 N Francisco Ave </t>
  </si>
  <si>
    <t>Brake</t>
  </si>
  <si>
    <t xml:space="preserve">9811 Wallaston Dr </t>
  </si>
  <si>
    <t>Dade City</t>
  </si>
  <si>
    <t>Hannigan</t>
  </si>
  <si>
    <t xml:space="preserve">1820 NW Hawthorn Pl </t>
  </si>
  <si>
    <t>Landers-Carvalho</t>
  </si>
  <si>
    <t xml:space="preserve">19 Anthony Dr </t>
  </si>
  <si>
    <t>East Longmeadow</t>
  </si>
  <si>
    <t>Barreca</t>
  </si>
  <si>
    <t xml:space="preserve">2109 Highway 25 S </t>
  </si>
  <si>
    <t>Kettle Falls</t>
  </si>
  <si>
    <t>Pielemeier</t>
  </si>
  <si>
    <t xml:space="preserve">5909 Willowbridge Rd </t>
  </si>
  <si>
    <t>Ypsilanti</t>
  </si>
  <si>
    <t xml:space="preserve">1035 Schagrin Dr </t>
  </si>
  <si>
    <t>Samarin</t>
  </si>
  <si>
    <t xml:space="preserve">63866 Sunset Dr </t>
  </si>
  <si>
    <t>Vigh</t>
  </si>
  <si>
    <t>Joanie</t>
  </si>
  <si>
    <t xml:space="preserve">4736 Eastern Ave SE </t>
  </si>
  <si>
    <t>Kentwood</t>
  </si>
  <si>
    <t>Laschiava</t>
  </si>
  <si>
    <t>Dona</t>
  </si>
  <si>
    <t xml:space="preserve">4511 W Rockwood Dr </t>
  </si>
  <si>
    <t xml:space="preserve">4600 E Swans Nest Rd </t>
  </si>
  <si>
    <t>Blasco</t>
  </si>
  <si>
    <t>Natalie</t>
  </si>
  <si>
    <t xml:space="preserve">19075 River Crest Dr </t>
  </si>
  <si>
    <t>Birnbaum</t>
  </si>
  <si>
    <t xml:space="preserve">311 Bronxville Rd </t>
  </si>
  <si>
    <t>Bundy</t>
  </si>
  <si>
    <t>Mary T</t>
  </si>
  <si>
    <t xml:space="preserve">8 Rodriguez Pl </t>
  </si>
  <si>
    <t>Hot Springs</t>
  </si>
  <si>
    <t>Hearne</t>
  </si>
  <si>
    <t xml:space="preserve">91 Bald Creek Rd </t>
  </si>
  <si>
    <t>Leicester</t>
  </si>
  <si>
    <t>Lemelin</t>
  </si>
  <si>
    <t xml:space="preserve">46 Sycamore Ln </t>
  </si>
  <si>
    <t>Kennebunk</t>
  </si>
  <si>
    <t>Webber</t>
  </si>
  <si>
    <t xml:space="preserve">296 Westford Rd </t>
  </si>
  <si>
    <t>Tyngsboro</t>
  </si>
  <si>
    <t xml:space="preserve">360 Cabrini Blvd Apt 6O </t>
  </si>
  <si>
    <t>Sarna</t>
  </si>
  <si>
    <t xml:space="preserve">1812 Broken Arrow Dr Apt A </t>
  </si>
  <si>
    <t>North Little Rock</t>
  </si>
  <si>
    <t>Prine</t>
  </si>
  <si>
    <t xml:space="preserve">16109 E 17th St S </t>
  </si>
  <si>
    <t>Gill</t>
  </si>
  <si>
    <t xml:space="preserve">2300 Barbe Ct </t>
  </si>
  <si>
    <t>Lake Charles</t>
  </si>
  <si>
    <t>Soares</t>
  </si>
  <si>
    <t xml:space="preserve">5744 Juarez Rd </t>
  </si>
  <si>
    <t>Pollock Pines</t>
  </si>
  <si>
    <t>Gaudio</t>
  </si>
  <si>
    <t xml:space="preserve">3901 Winding Way </t>
  </si>
  <si>
    <t>Miele</t>
  </si>
  <si>
    <t xml:space="preserve">252 Winter St </t>
  </si>
  <si>
    <t>North Andover</t>
  </si>
  <si>
    <t>Stanton</t>
  </si>
  <si>
    <t>Arnold</t>
  </si>
  <si>
    <t xml:space="preserve">2733 Loftyview Dr </t>
  </si>
  <si>
    <t>Hoodwin</t>
  </si>
  <si>
    <t xml:space="preserve">8236 Shadow Pine Way </t>
  </si>
  <si>
    <t>Rosas</t>
  </si>
  <si>
    <t xml:space="preserve">4353 Edwards Ln </t>
  </si>
  <si>
    <t>Hakes</t>
  </si>
  <si>
    <t xml:space="preserve">4620 Walker Rd </t>
  </si>
  <si>
    <t>Mone</t>
  </si>
  <si>
    <t xml:space="preserve">PO Box 223 </t>
  </si>
  <si>
    <t>Trinidad</t>
  </si>
  <si>
    <t>Dorinda</t>
  </si>
  <si>
    <t xml:space="preserve">314 NE 53rd Ave </t>
  </si>
  <si>
    <t>Britton</t>
  </si>
  <si>
    <t xml:space="preserve">16 Long Hill Rd </t>
  </si>
  <si>
    <t>Peterborough</t>
  </si>
  <si>
    <t>Ash</t>
  </si>
  <si>
    <t xml:space="preserve">2281 E Newman Rd </t>
  </si>
  <si>
    <t>Lake City</t>
  </si>
  <si>
    <t>Sennert</t>
  </si>
  <si>
    <t xml:space="preserve">7658 Highway Hh # C </t>
  </si>
  <si>
    <t>Catawissa</t>
  </si>
  <si>
    <t>Garrecht</t>
  </si>
  <si>
    <t>Jamila</t>
  </si>
  <si>
    <t xml:space="preserve">620 E St </t>
  </si>
  <si>
    <t>Lorans</t>
  </si>
  <si>
    <t>Isabelle</t>
  </si>
  <si>
    <t xml:space="preserve">3656 Johnson Ave Apt 5A </t>
  </si>
  <si>
    <t xml:space="preserve">3633 Calle Jazmin </t>
  </si>
  <si>
    <t>Calabasas</t>
  </si>
  <si>
    <t>Rea</t>
  </si>
  <si>
    <t xml:space="preserve">246 Mc Duffie Ln </t>
  </si>
  <si>
    <t>Fort Mill</t>
  </si>
  <si>
    <t>Kinsman</t>
  </si>
  <si>
    <t xml:space="preserve">1651 Upas St </t>
  </si>
  <si>
    <t>Banever</t>
  </si>
  <si>
    <t xml:space="preserve">944 N Martel Ave </t>
  </si>
  <si>
    <t>Humphrey</t>
  </si>
  <si>
    <t xml:space="preserve">9630 Keeler Ave </t>
  </si>
  <si>
    <t>Jerrold</t>
  </si>
  <si>
    <t xml:space="preserve">3020 11th St NW </t>
  </si>
  <si>
    <t>Weston</t>
  </si>
  <si>
    <t xml:space="preserve">437 MacDonough St </t>
  </si>
  <si>
    <t>Dill</t>
  </si>
  <si>
    <t xml:space="preserve">202 Brittany E </t>
  </si>
  <si>
    <t>Watters</t>
  </si>
  <si>
    <t>Whitney</t>
  </si>
  <si>
    <t xml:space="preserve">24 Riberia St </t>
  </si>
  <si>
    <t>Budde</t>
  </si>
  <si>
    <t xml:space="preserve">1171 Discovery Way </t>
  </si>
  <si>
    <t>Halloran</t>
  </si>
  <si>
    <t xml:space="preserve">2062 Scotsman Ln NE </t>
  </si>
  <si>
    <t>Schedler</t>
  </si>
  <si>
    <t xml:space="preserve">1262 N Safford Ave </t>
  </si>
  <si>
    <t>Dungan</t>
  </si>
  <si>
    <t xml:space="preserve">8310 Hixson Pike </t>
  </si>
  <si>
    <t>Hixson</t>
  </si>
  <si>
    <t xml:space="preserve">248 Neponset Valley Pkwy </t>
  </si>
  <si>
    <t>Charlene V.</t>
  </si>
  <si>
    <t xml:space="preserve">125 S Of Commons Rd </t>
  </si>
  <si>
    <t>Little Compton</t>
  </si>
  <si>
    <t>Jeane</t>
  </si>
  <si>
    <t xml:space="preserve">3445 SW 31st St </t>
  </si>
  <si>
    <t xml:space="preserve">4710 N Morrison Rd </t>
  </si>
  <si>
    <t>Marchand</t>
  </si>
  <si>
    <t xml:space="preserve">4807 Stonebridge Dr </t>
  </si>
  <si>
    <t>Gibsonia</t>
  </si>
  <si>
    <t>Heinitz</t>
  </si>
  <si>
    <t xml:space="preserve">20406 Withington Dr </t>
  </si>
  <si>
    <t>Katy</t>
  </si>
  <si>
    <t>Cangro</t>
  </si>
  <si>
    <t>Scilla</t>
  </si>
  <si>
    <t xml:space="preserve">21 Pacific Ave </t>
  </si>
  <si>
    <t>Bayville</t>
  </si>
  <si>
    <t>Menne</t>
  </si>
  <si>
    <t xml:space="preserve">265 Geneive Cir </t>
  </si>
  <si>
    <t>Camarillo</t>
  </si>
  <si>
    <t>Dara</t>
  </si>
  <si>
    <t xml:space="preserve">440 E 62nd St Apt 3E </t>
  </si>
  <si>
    <t>10065-8341</t>
  </si>
  <si>
    <t>Church</t>
  </si>
  <si>
    <t xml:space="preserve">211 Cedar Berry Ln </t>
  </si>
  <si>
    <t>Dragon</t>
  </si>
  <si>
    <t xml:space="preserve">187 Waterford St </t>
  </si>
  <si>
    <t>Kaplan</t>
  </si>
  <si>
    <t xml:space="preserve">2027 23rd Ave E </t>
  </si>
  <si>
    <t>Fitch</t>
  </si>
  <si>
    <t>James H.</t>
  </si>
  <si>
    <t xml:space="preserve">PO Box 26566 </t>
  </si>
  <si>
    <t>Straus</t>
  </si>
  <si>
    <t xml:space="preserve">318 Maverick Ct </t>
  </si>
  <si>
    <t>Neumeister</t>
  </si>
  <si>
    <t xml:space="preserve">508 W 172nd St </t>
  </si>
  <si>
    <t xml:space="preserve">30 Southwoods Ln </t>
  </si>
  <si>
    <t>Goin</t>
  </si>
  <si>
    <t xml:space="preserve">61006 Jay Jay Rd </t>
  </si>
  <si>
    <t>Leahy</t>
  </si>
  <si>
    <t xml:space="preserve">2833 Manderly Dr </t>
  </si>
  <si>
    <t>Brentwood</t>
  </si>
  <si>
    <t>Fitzthum</t>
  </si>
  <si>
    <t xml:space="preserve">4702 E Gilbert St </t>
  </si>
  <si>
    <t>Ehrlich</t>
  </si>
  <si>
    <t>Marion</t>
  </si>
  <si>
    <t xml:space="preserve">1424 Carson Rd </t>
  </si>
  <si>
    <t xml:space="preserve">1809 Treadwell St </t>
  </si>
  <si>
    <t xml:space="preserve">3021 Beverly Rd </t>
  </si>
  <si>
    <t>Dwight</t>
  </si>
  <si>
    <t xml:space="preserve">6523 Valhalla Ave </t>
  </si>
  <si>
    <t>Klamath Falls</t>
  </si>
  <si>
    <t xml:space="preserve">564 E Quincy Ave </t>
  </si>
  <si>
    <t>Portola</t>
  </si>
  <si>
    <t>Donaldson</t>
  </si>
  <si>
    <t xml:space="preserve">PO Box 3215 </t>
  </si>
  <si>
    <t xml:space="preserve">2028 Village Ln Ste 104 </t>
  </si>
  <si>
    <t>Solvang</t>
  </si>
  <si>
    <t xml:space="preserve">22353 Riverside Dr </t>
  </si>
  <si>
    <t>Colonna</t>
  </si>
  <si>
    <t xml:space="preserve">400 W Prospect Ave </t>
  </si>
  <si>
    <t>North Wales</t>
  </si>
  <si>
    <t>Sherrie</t>
  </si>
  <si>
    <t xml:space="preserve">2606 Diggider Ln </t>
  </si>
  <si>
    <t>Fairbanks</t>
  </si>
  <si>
    <t>Berlin</t>
  </si>
  <si>
    <t xml:space="preserve">2215 Ambassador Rd NE Apt 34 </t>
  </si>
  <si>
    <t>Reeber</t>
  </si>
  <si>
    <t xml:space="preserve">1551 NE Jackson School Rd </t>
  </si>
  <si>
    <t>Goss</t>
  </si>
  <si>
    <t xml:space="preserve">57 Wentworth Hill Rd </t>
  </si>
  <si>
    <t>Sandwich</t>
  </si>
  <si>
    <t>Busenitz</t>
  </si>
  <si>
    <t xml:space="preserve">16 Lancaster Rd </t>
  </si>
  <si>
    <t xml:space="preserve">850 Fred St </t>
  </si>
  <si>
    <t>Woodcock</t>
  </si>
  <si>
    <t xml:space="preserve">2355 Virginia St </t>
  </si>
  <si>
    <t xml:space="preserve">130 E Alcott Rd </t>
  </si>
  <si>
    <t xml:space="preserve">2557 S Tracy Dr </t>
  </si>
  <si>
    <t xml:space="preserve">432 Karpaw Ln </t>
  </si>
  <si>
    <t>Apollo</t>
  </si>
  <si>
    <t xml:space="preserve">3039 Royale Elk Way </t>
  </si>
  <si>
    <t>Evergreen</t>
  </si>
  <si>
    <t>Ginn</t>
  </si>
  <si>
    <t>Tinsley</t>
  </si>
  <si>
    <t xml:space="preserve">1683 Mary Lou Ln SE </t>
  </si>
  <si>
    <t>Hendricks</t>
  </si>
  <si>
    <t>Nikki</t>
  </si>
  <si>
    <t xml:space="preserve">54 17th St S </t>
  </si>
  <si>
    <t>Hearn</t>
  </si>
  <si>
    <t>Mary Alice</t>
  </si>
  <si>
    <t xml:space="preserve">3301 E 5th Ave </t>
  </si>
  <si>
    <t>Dunham</t>
  </si>
  <si>
    <t xml:space="preserve">PO Box 423 </t>
  </si>
  <si>
    <t>Key</t>
  </si>
  <si>
    <t xml:space="preserve">3805 Ribot Ct </t>
  </si>
  <si>
    <t>Dadgari</t>
  </si>
  <si>
    <t xml:space="preserve">PO Box 492205 </t>
  </si>
  <si>
    <t>Mont-Eton</t>
  </si>
  <si>
    <t xml:space="preserve">4333 Ulloa St </t>
  </si>
  <si>
    <t>Ruckman</t>
  </si>
  <si>
    <t xml:space="preserve">35 McKenzie Ave </t>
  </si>
  <si>
    <t>Wellsburg</t>
  </si>
  <si>
    <t>Knoppers</t>
  </si>
  <si>
    <t xml:space="preserve">3450 9 Mile Rd NW </t>
  </si>
  <si>
    <t>Sparta</t>
  </si>
  <si>
    <t>Mannion</t>
  </si>
  <si>
    <t>Deb</t>
  </si>
  <si>
    <t xml:space="preserve">Cheval Dr </t>
  </si>
  <si>
    <t>Reiter</t>
  </si>
  <si>
    <t xml:space="preserve">151 View Ct </t>
  </si>
  <si>
    <t>Saylorsburg</t>
  </si>
  <si>
    <t>Annick</t>
  </si>
  <si>
    <t xml:space="preserve">420 Lewiston Rd </t>
  </si>
  <si>
    <t xml:space="preserve">1600 Garner Adell Rd </t>
  </si>
  <si>
    <t>Weatherford</t>
  </si>
  <si>
    <t>Block</t>
  </si>
  <si>
    <t xml:space="preserve">1323 Summit Ave </t>
  </si>
  <si>
    <t xml:space="preserve">3101 NE 47th Ct </t>
  </si>
  <si>
    <t>Ft Lauderdale</t>
  </si>
  <si>
    <t>Wolter</t>
  </si>
  <si>
    <t xml:space="preserve">668 Shadow Mountain Dr 668 Shadow Mountain D Dr </t>
  </si>
  <si>
    <t xml:space="preserve">95 W 5th Ave Apt 6 </t>
  </si>
  <si>
    <t>Collegeville</t>
  </si>
  <si>
    <t>Nettesheim</t>
  </si>
  <si>
    <t>Catherine J</t>
  </si>
  <si>
    <t xml:space="preserve">66 Windmill Dr </t>
  </si>
  <si>
    <t>Martone</t>
  </si>
  <si>
    <t xml:space="preserve">23 Elk St </t>
  </si>
  <si>
    <t>Eureka Springs</t>
  </si>
  <si>
    <t>Bostock</t>
  </si>
  <si>
    <t>Vic</t>
  </si>
  <si>
    <t xml:space="preserve">17 Cliveden Grn </t>
  </si>
  <si>
    <t>Altadena</t>
  </si>
  <si>
    <t xml:space="preserve">15 Rally Ct </t>
  </si>
  <si>
    <t xml:space="preserve">UNDERWOOD St </t>
  </si>
  <si>
    <t>Hubert</t>
  </si>
  <si>
    <t xml:space="preserve">6800 Virgil Way </t>
  </si>
  <si>
    <t>Vortman</t>
  </si>
  <si>
    <t xml:space="preserve">134 John St </t>
  </si>
  <si>
    <t>Olson</t>
  </si>
  <si>
    <t xml:space="preserve">515 Birch Ave </t>
  </si>
  <si>
    <t xml:space="preserve">4527 Van Dyke Ave </t>
  </si>
  <si>
    <t xml:space="preserve">1502 Farmington Ave </t>
  </si>
  <si>
    <t>Leonarduzzi</t>
  </si>
  <si>
    <t xml:space="preserve">2441 Club Dr </t>
  </si>
  <si>
    <t>Gilroy</t>
  </si>
  <si>
    <t xml:space="preserve">1501 NE 89th Ct </t>
  </si>
  <si>
    <t>98664-6413</t>
  </si>
  <si>
    <t>Viacrucis</t>
  </si>
  <si>
    <t xml:space="preserve">3002 17th St S Apt 206 </t>
  </si>
  <si>
    <t>Pichiotino</t>
  </si>
  <si>
    <t xml:space="preserve">848 N Traverse St </t>
  </si>
  <si>
    <t>Harbor Springs</t>
  </si>
  <si>
    <t>Zander</t>
  </si>
  <si>
    <t>Suzette</t>
  </si>
  <si>
    <t xml:space="preserve">19431 Maywood Falls Cir </t>
  </si>
  <si>
    <t>Brooker</t>
  </si>
  <si>
    <t xml:space="preserve">215 Crown High Ct # 80904 </t>
  </si>
  <si>
    <t>Saporta</t>
  </si>
  <si>
    <t xml:space="preserve">102 Ellery St </t>
  </si>
  <si>
    <t>Loucks II</t>
  </si>
  <si>
    <t xml:space="preserve">321 Utah St SE </t>
  </si>
  <si>
    <t xml:space="preserve">135 Rice Corner Rd </t>
  </si>
  <si>
    <t>Heimanson</t>
  </si>
  <si>
    <t xml:space="preserve">4457 Murietta Ave Apt 8 </t>
  </si>
  <si>
    <t>Teeter</t>
  </si>
  <si>
    <t xml:space="preserve">38047 S Boulder Wind Dr </t>
  </si>
  <si>
    <t>Ricci</t>
  </si>
  <si>
    <t xml:space="preserve">744 Hickory Pl N </t>
  </si>
  <si>
    <t>Saxon</t>
  </si>
  <si>
    <t xml:space="preserve">4098 Market St NE Apt 23 </t>
  </si>
  <si>
    <t xml:space="preserve">342 Elwood St </t>
  </si>
  <si>
    <t>Venos</t>
  </si>
  <si>
    <t xml:space="preserve">3434 Merrimac Dr </t>
  </si>
  <si>
    <t>Mick</t>
  </si>
  <si>
    <t xml:space="preserve">3103 Observation Trl </t>
  </si>
  <si>
    <t>Anje'</t>
  </si>
  <si>
    <t xml:space="preserve">14945 Christmas Tree Ln </t>
  </si>
  <si>
    <t xml:space="preserve">2700 N Wyman Rd </t>
  </si>
  <si>
    <t>Weidman</t>
  </si>
  <si>
    <t>Debra Miller</t>
  </si>
  <si>
    <t xml:space="preserve">407 Buckhorn Dr </t>
  </si>
  <si>
    <t>Belvidere</t>
  </si>
  <si>
    <t>Held-Warmkessel</t>
  </si>
  <si>
    <t xml:space="preserve">110 Santa Anita Dr </t>
  </si>
  <si>
    <t>Hasselbrink</t>
  </si>
  <si>
    <t xml:space="preserve">5701 S Interstate 25 </t>
  </si>
  <si>
    <t>Desmond</t>
  </si>
  <si>
    <t xml:space="preserve">3148 Piper Ct </t>
  </si>
  <si>
    <t>Cameron Park</t>
  </si>
  <si>
    <t>Steckhouse</t>
  </si>
  <si>
    <t xml:space="preserve">3719 Kings Rd </t>
  </si>
  <si>
    <t>Pennsburg</t>
  </si>
  <si>
    <t>Erbacher</t>
  </si>
  <si>
    <t xml:space="preserve">15180 6125 Rd </t>
  </si>
  <si>
    <t>Beard</t>
  </si>
  <si>
    <t xml:space="preserve">5405 W Tierra Buena Ln </t>
  </si>
  <si>
    <t>Bleck</t>
  </si>
  <si>
    <t xml:space="preserve">2918 Arbor Dr </t>
  </si>
  <si>
    <t>Amalphy</t>
  </si>
  <si>
    <t>Madeline</t>
  </si>
  <si>
    <t xml:space="preserve">651 Saybrooke Oaks Blvd </t>
  </si>
  <si>
    <t>Lahy</t>
  </si>
  <si>
    <t xml:space="preserve">325 San Miguel St </t>
  </si>
  <si>
    <t>Winter Springs</t>
  </si>
  <si>
    <t xml:space="preserve">70 Messenger St </t>
  </si>
  <si>
    <t>Plainville</t>
  </si>
  <si>
    <t>Regina</t>
  </si>
  <si>
    <t xml:space="preserve">20134 Eadwell St </t>
  </si>
  <si>
    <t>Winnetka</t>
  </si>
  <si>
    <t>Guthrie</t>
  </si>
  <si>
    <t xml:space="preserve">7102 77th Ave SE Null </t>
  </si>
  <si>
    <t>Dibble Jr.</t>
  </si>
  <si>
    <t xml:space="preserve">4933 Hersholt Ave </t>
  </si>
  <si>
    <t>Granato</t>
  </si>
  <si>
    <t xml:space="preserve">2772 Maxwell St </t>
  </si>
  <si>
    <t>Orr</t>
  </si>
  <si>
    <t xml:space="preserve">44 -119 Bayview Haven Pl </t>
  </si>
  <si>
    <t>Kaneohe</t>
  </si>
  <si>
    <t>Daniel L.</t>
  </si>
  <si>
    <t xml:space="preserve">142 Richmond Ave </t>
  </si>
  <si>
    <t xml:space="preserve">20360 Harrington Dr </t>
  </si>
  <si>
    <t>Schleifer</t>
  </si>
  <si>
    <t xml:space="preserve">1814 Fulmar Ave </t>
  </si>
  <si>
    <t>Ithier</t>
  </si>
  <si>
    <t xml:space="preserve">55 Arthur St </t>
  </si>
  <si>
    <t xml:space="preserve">937 E Abriendo Ave </t>
  </si>
  <si>
    <t>Comstock</t>
  </si>
  <si>
    <t xml:space="preserve">93 Park St </t>
  </si>
  <si>
    <t>Arcade</t>
  </si>
  <si>
    <t>Stefl</t>
  </si>
  <si>
    <t xml:space="preserve">532 S Nevada St </t>
  </si>
  <si>
    <t>Kline</t>
  </si>
  <si>
    <t xml:space="preserve">6508 Blackhead Rd </t>
  </si>
  <si>
    <t>Middle River</t>
  </si>
  <si>
    <t xml:space="preserve">524 9th Ter </t>
  </si>
  <si>
    <t>Pleasant Grove</t>
  </si>
  <si>
    <t xml:space="preserve">777 Meadowsweet Dr </t>
  </si>
  <si>
    <t>Corte Madera</t>
  </si>
  <si>
    <t>Piazza</t>
  </si>
  <si>
    <t xml:space="preserve">18 Watch Hill Rd </t>
  </si>
  <si>
    <t>Mahwah</t>
  </si>
  <si>
    <t xml:space="preserve">2107 Briarcliff Dr </t>
  </si>
  <si>
    <t>Basileo</t>
  </si>
  <si>
    <t xml:space="preserve">7733 Loudon Dr </t>
  </si>
  <si>
    <t>Rosa-Re</t>
  </si>
  <si>
    <t xml:space="preserve">2842 W 71st Pl </t>
  </si>
  <si>
    <t>Skirvin</t>
  </si>
  <si>
    <t>Laurence</t>
  </si>
  <si>
    <t xml:space="preserve">1507 Syble Dr </t>
  </si>
  <si>
    <t>Villa Rica</t>
  </si>
  <si>
    <t xml:space="preserve">1200 N 11th Ave </t>
  </si>
  <si>
    <t>Smalley</t>
  </si>
  <si>
    <t xml:space="preserve">1943 Summit Ave </t>
  </si>
  <si>
    <t>Oakford</t>
  </si>
  <si>
    <t>Saper</t>
  </si>
  <si>
    <t>Nata</t>
  </si>
  <si>
    <t xml:space="preserve">903 Winton St </t>
  </si>
  <si>
    <t>Hemenez</t>
  </si>
  <si>
    <t xml:space="preserve">2600 Camino Ramon </t>
  </si>
  <si>
    <t xml:space="preserve">143 Oak Ln </t>
  </si>
  <si>
    <t>Hershey</t>
  </si>
  <si>
    <t>La Frinere</t>
  </si>
  <si>
    <t xml:space="preserve">783 Goetschl St </t>
  </si>
  <si>
    <t>Venegas</t>
  </si>
  <si>
    <t xml:space="preserve">413 De Leon Dr </t>
  </si>
  <si>
    <t>Osnes</t>
  </si>
  <si>
    <t xml:space="preserve">2401 Roble Ave </t>
  </si>
  <si>
    <t>Collord</t>
  </si>
  <si>
    <t xml:space="preserve">2817 SE Swain Ave </t>
  </si>
  <si>
    <t>Summitt</t>
  </si>
  <si>
    <t xml:space="preserve">312 Proctor Dr </t>
  </si>
  <si>
    <t>Luce</t>
  </si>
  <si>
    <t xml:space="preserve">5045 Rocoso Way </t>
  </si>
  <si>
    <t>Hazelleaf</t>
  </si>
  <si>
    <t xml:space="preserve">4656 Fir Ave </t>
  </si>
  <si>
    <t>Seal Beach</t>
  </si>
  <si>
    <t>Rush</t>
  </si>
  <si>
    <t xml:space="preserve">2008 N Thirteen Club Dr </t>
  </si>
  <si>
    <t xml:space="preserve">350 Main St </t>
  </si>
  <si>
    <t>Neihart</t>
  </si>
  <si>
    <t xml:space="preserve">6751 Geneva Ave S </t>
  </si>
  <si>
    <t>Cottage Grove</t>
  </si>
  <si>
    <t>Grannell</t>
  </si>
  <si>
    <t xml:space="preserve">3926 S Jersey St </t>
  </si>
  <si>
    <t>Pinson</t>
  </si>
  <si>
    <t xml:space="preserve">619 Sunset Rd </t>
  </si>
  <si>
    <t>Mayerat</t>
  </si>
  <si>
    <t xml:space="preserve">2949 Cloverbank Rd # 14 </t>
  </si>
  <si>
    <t>Hamburg</t>
  </si>
  <si>
    <t>Lorie</t>
  </si>
  <si>
    <t xml:space="preserve">423 Broadway St </t>
  </si>
  <si>
    <t>Skinner</t>
  </si>
  <si>
    <t xml:space="preserve">1929 W Record St </t>
  </si>
  <si>
    <t>Timothy</t>
  </si>
  <si>
    <t xml:space="preserve">1271 Richland Ave </t>
  </si>
  <si>
    <t>Sutter</t>
  </si>
  <si>
    <t xml:space="preserve">931 Market Ct Apt 4A </t>
  </si>
  <si>
    <t>Vernon Hills</t>
  </si>
  <si>
    <t>Seltzer</t>
  </si>
  <si>
    <t xml:space="preserve">9595 Wilshire Blvd Ste 1020 </t>
  </si>
  <si>
    <t>Siddique</t>
  </si>
  <si>
    <t>Omar</t>
  </si>
  <si>
    <t xml:space="preserve">4517 Rebecca Ct </t>
  </si>
  <si>
    <t>Shepherd</t>
  </si>
  <si>
    <t xml:space="preserve">PO Box 715 </t>
  </si>
  <si>
    <t>Champeau</t>
  </si>
  <si>
    <t xml:space="preserve">1394 Crescent Ln </t>
  </si>
  <si>
    <t>Rochester Hills</t>
  </si>
  <si>
    <t xml:space="preserve">4827 Tula Ct </t>
  </si>
  <si>
    <t>Penedo</t>
  </si>
  <si>
    <t xml:space="preserve">72 Hawthorne Ave </t>
  </si>
  <si>
    <t>Kraus</t>
  </si>
  <si>
    <t>Cecile</t>
  </si>
  <si>
    <t xml:space="preserve">2541 Indigo Ln </t>
  </si>
  <si>
    <t xml:space="preserve">4140 Holiday North Ct </t>
  </si>
  <si>
    <t>49686-3784</t>
  </si>
  <si>
    <t>McGrady</t>
  </si>
  <si>
    <t xml:space="preserve">13646 Forest Rock Dr </t>
  </si>
  <si>
    <t>78231-1962</t>
  </si>
  <si>
    <t>Bond</t>
  </si>
  <si>
    <t xml:space="preserve">320 W38 </t>
  </si>
  <si>
    <t xml:space="preserve">2727 SE 16th Ave </t>
  </si>
  <si>
    <t>97202-2209</t>
  </si>
  <si>
    <t>Hutchings</t>
  </si>
  <si>
    <t xml:space="preserve">400 Burnett St Apt 104 </t>
  </si>
  <si>
    <t>76301-2239</t>
  </si>
  <si>
    <t>Wm</t>
  </si>
  <si>
    <t xml:space="preserve">235 Decker St </t>
  </si>
  <si>
    <t>Mansfield</t>
  </si>
  <si>
    <t xml:space="preserve">PO Box 480 </t>
  </si>
  <si>
    <t>Glide</t>
  </si>
  <si>
    <t>Shaw</t>
  </si>
  <si>
    <t xml:space="preserve">6419 Vine St Apt 1 </t>
  </si>
  <si>
    <t>O'Haire</t>
  </si>
  <si>
    <t xml:space="preserve">570 E46th Ave </t>
  </si>
  <si>
    <t xml:space="preserve">3914 SE Licyntra Ln </t>
  </si>
  <si>
    <t>97222-8835</t>
  </si>
  <si>
    <t xml:space="preserve">433 Anchor Ln </t>
  </si>
  <si>
    <t>West Sacramento</t>
  </si>
  <si>
    <t>Zimmermann</t>
  </si>
  <si>
    <t xml:space="preserve">13110 Westhome Rd </t>
  </si>
  <si>
    <t>Tippens</t>
  </si>
  <si>
    <t xml:space="preserve">68 Van Nuys Rd </t>
  </si>
  <si>
    <t>Colrain</t>
  </si>
  <si>
    <t>01340-9633</t>
  </si>
  <si>
    <t>Kaitlin</t>
  </si>
  <si>
    <t xml:space="preserve">1013 State Highway 351 Apt 3 </t>
  </si>
  <si>
    <t>Hammond</t>
  </si>
  <si>
    <t xml:space="preserve">1970 13th St NW </t>
  </si>
  <si>
    <t>Winter Haven</t>
  </si>
  <si>
    <t>Goldblatt</t>
  </si>
  <si>
    <t>Hilary</t>
  </si>
  <si>
    <t xml:space="preserve">3822 Point White Dr NE </t>
  </si>
  <si>
    <t>Bainbridge Island</t>
  </si>
  <si>
    <t>Driscoll</t>
  </si>
  <si>
    <t>Breana</t>
  </si>
  <si>
    <t xml:space="preserve">713 Adams St </t>
  </si>
  <si>
    <t>Battaglia</t>
  </si>
  <si>
    <t xml:space="preserve">114 Radtko Rd </t>
  </si>
  <si>
    <t>Alston</t>
  </si>
  <si>
    <t xml:space="preserve">308 W 82nd St </t>
  </si>
  <si>
    <t>Maki</t>
  </si>
  <si>
    <t xml:space="preserve">7309 32nd Ave SW </t>
  </si>
  <si>
    <t>Mera</t>
  </si>
  <si>
    <t xml:space="preserve">323 Solano Dr SE </t>
  </si>
  <si>
    <t>Krash</t>
  </si>
  <si>
    <t>Kallyn</t>
  </si>
  <si>
    <t xml:space="preserve">72 Park Ter W # WESTE </t>
  </si>
  <si>
    <t xml:space="preserve">20 Confucius Plz Apt 43A </t>
  </si>
  <si>
    <t>Noel</t>
  </si>
  <si>
    <t xml:space="preserve">4626 Locust St </t>
  </si>
  <si>
    <t>Heisler</t>
  </si>
  <si>
    <t xml:space="preserve">1908 14th Ave </t>
  </si>
  <si>
    <t>Gandolfo</t>
  </si>
  <si>
    <t xml:space="preserve">2137 Harman St </t>
  </si>
  <si>
    <t>Ridgewood</t>
  </si>
  <si>
    <t>11385-1925</t>
  </si>
  <si>
    <t>Vaughn</t>
  </si>
  <si>
    <t>Megan</t>
  </si>
  <si>
    <t xml:space="preserve">102 S Spring Valley Rd </t>
  </si>
  <si>
    <t>19807-2413</t>
  </si>
  <si>
    <t>Harrison Jr.</t>
  </si>
  <si>
    <t xml:space="preserve">925 24th St </t>
  </si>
  <si>
    <t>47421-5106</t>
  </si>
  <si>
    <t xml:space="preserve">1506 Venice Blvd Apt 209 </t>
  </si>
  <si>
    <t>Bubala</t>
  </si>
  <si>
    <t>Lou</t>
  </si>
  <si>
    <t xml:space="preserve">2040 Brenda Way </t>
  </si>
  <si>
    <t>Washoe Valley</t>
  </si>
  <si>
    <t>89704-9042</t>
  </si>
  <si>
    <t>Sophia</t>
  </si>
  <si>
    <t>Tristan</t>
  </si>
  <si>
    <t xml:space="preserve">406 W Bridger Creek Rd </t>
  </si>
  <si>
    <t>Reed Point</t>
  </si>
  <si>
    <t>59069-7703</t>
  </si>
  <si>
    <t>Johnsen</t>
  </si>
  <si>
    <t>Jenet</t>
  </si>
  <si>
    <t xml:space="preserve">1 Corral Ln Unit 20 </t>
  </si>
  <si>
    <t>97520-9468</t>
  </si>
  <si>
    <t>Nefsky</t>
  </si>
  <si>
    <t>Melvyn</t>
  </si>
  <si>
    <t xml:space="preserve">10930 National Blvd Unit 301 </t>
  </si>
  <si>
    <t>90064-4168</t>
  </si>
  <si>
    <t>Britt</t>
  </si>
  <si>
    <t xml:space="preserve">4191 W Bonanza Dr </t>
  </si>
  <si>
    <t>MacAre</t>
  </si>
  <si>
    <t xml:space="preserve">5959 Portobelo Ct </t>
  </si>
  <si>
    <t>92124-1111</t>
  </si>
  <si>
    <t>Kobayashi</t>
  </si>
  <si>
    <t>Hugo</t>
  </si>
  <si>
    <t xml:space="preserve">1391 8th Ave Apt 3 </t>
  </si>
  <si>
    <t xml:space="preserve">821 Ralph Mcgill Blvd NE Apt 3307 </t>
  </si>
  <si>
    <t>Efrem</t>
  </si>
  <si>
    <t xml:space="preserve">3430 W Turkey Tucson Tucson </t>
  </si>
  <si>
    <t>Schinzing</t>
  </si>
  <si>
    <t xml:space="preserve">198 Gunston Hall Ct </t>
  </si>
  <si>
    <t>Lowe</t>
  </si>
  <si>
    <t>Kimberly</t>
  </si>
  <si>
    <t xml:space="preserve">3 Zinnia Ct </t>
  </si>
  <si>
    <t>Pasco</t>
  </si>
  <si>
    <t>Kistler</t>
  </si>
  <si>
    <t xml:space="preserve">25260 Chase Dr </t>
  </si>
  <si>
    <t>Marquis</t>
  </si>
  <si>
    <t xml:space="preserve">624 E Sprague St </t>
  </si>
  <si>
    <t>Parodi</t>
  </si>
  <si>
    <t>Mary Lynn</t>
  </si>
  <si>
    <t xml:space="preserve">12045 SW Springwood Dr </t>
  </si>
  <si>
    <t>Tigard</t>
  </si>
  <si>
    <t>Runion</t>
  </si>
  <si>
    <t xml:space="preserve">170 Kipling Ave </t>
  </si>
  <si>
    <t>Ben Lomond</t>
  </si>
  <si>
    <t xml:space="preserve">324 1st Pl </t>
  </si>
  <si>
    <t>Ralph</t>
  </si>
  <si>
    <t>Cecil</t>
  </si>
  <si>
    <t xml:space="preserve">4024032nd St </t>
  </si>
  <si>
    <t>Medoff</t>
  </si>
  <si>
    <t xml:space="preserve">257 W 93rd St </t>
  </si>
  <si>
    <t>10025-7332</t>
  </si>
  <si>
    <t>Fedorow</t>
  </si>
  <si>
    <t xml:space="preserve">2214 Edward Dr </t>
  </si>
  <si>
    <t>46526-1268</t>
  </si>
  <si>
    <t>Pennington</t>
  </si>
  <si>
    <t>Gasco</t>
  </si>
  <si>
    <t>Tarpon Springs</t>
  </si>
  <si>
    <t xml:space="preserve">1830 Laurel Ave </t>
  </si>
  <si>
    <t>Parslow</t>
  </si>
  <si>
    <t>Mrs</t>
  </si>
  <si>
    <t xml:space="preserve">212 Willow Dr </t>
  </si>
  <si>
    <t xml:space="preserve">133 Brandtson Ave </t>
  </si>
  <si>
    <t>Elyria</t>
  </si>
  <si>
    <t>Depreta</t>
  </si>
  <si>
    <t xml:space="preserve">211 Gary Rd </t>
  </si>
  <si>
    <t>Simeone</t>
  </si>
  <si>
    <t xml:space="preserve">2301 Oriole St </t>
  </si>
  <si>
    <t>Epstein</t>
  </si>
  <si>
    <t xml:space="preserve">1152 Morro Rd </t>
  </si>
  <si>
    <t>Fallbrook</t>
  </si>
  <si>
    <t>Silen</t>
  </si>
  <si>
    <t>Stephan</t>
  </si>
  <si>
    <t xml:space="preserve">832 Fawn Dr </t>
  </si>
  <si>
    <t>Grieves</t>
  </si>
  <si>
    <t xml:space="preserve">7709 W Via Del Sol </t>
  </si>
  <si>
    <t>Bonney</t>
  </si>
  <si>
    <t>Patty</t>
  </si>
  <si>
    <t xml:space="preserve">8625 SW Oleson Rd </t>
  </si>
  <si>
    <t>Comella</t>
  </si>
  <si>
    <t xml:space="preserve">1900 John F Kennedy Blvd Apt 1624 </t>
  </si>
  <si>
    <t>Koessel</t>
  </si>
  <si>
    <t>Karl</t>
  </si>
  <si>
    <t xml:space="preserve">330 Myrtlewood Ln </t>
  </si>
  <si>
    <t>McKinleyville</t>
  </si>
  <si>
    <t>Orshoff</t>
  </si>
  <si>
    <t>Tasha</t>
  </si>
  <si>
    <t xml:space="preserve">231 E Alessandro Blvd Ste A101 </t>
  </si>
  <si>
    <t>R</t>
  </si>
  <si>
    <t xml:space="preserve">163-64 </t>
  </si>
  <si>
    <t>Whitestone</t>
  </si>
  <si>
    <t>Bopp</t>
  </si>
  <si>
    <t>Falls Church</t>
  </si>
  <si>
    <t>Ng</t>
  </si>
  <si>
    <t xml:space="preserve">18916 37th Ave Apt N </t>
  </si>
  <si>
    <t>11358-2373</t>
  </si>
  <si>
    <t xml:space="preserve">162 Cherry And Webb Ln # A </t>
  </si>
  <si>
    <t>Westport Point</t>
  </si>
  <si>
    <t>02791-9112</t>
  </si>
  <si>
    <t>Ahern</t>
  </si>
  <si>
    <t xml:space="preserve">1224 Cranford Ave </t>
  </si>
  <si>
    <t xml:space="preserve">831 Wendell St </t>
  </si>
  <si>
    <t>Crescent City</t>
  </si>
  <si>
    <t xml:space="preserve">101 Cedar Rock </t>
  </si>
  <si>
    <t>Williamsburg</t>
  </si>
  <si>
    <t>Riggleman</t>
  </si>
  <si>
    <t xml:space="preserve">25136 Tollhouse Rd </t>
  </si>
  <si>
    <t>Tollhouse</t>
  </si>
  <si>
    <t xml:space="preserve">5405 Stony Hill Ct </t>
  </si>
  <si>
    <t>Hatfield</t>
  </si>
  <si>
    <t xml:space="preserve">850 E Berwyn St Null </t>
  </si>
  <si>
    <t>Indianapolis</t>
  </si>
  <si>
    <t>Immasche</t>
  </si>
  <si>
    <t xml:space="preserve">730 Cottonwood Dr # 36 </t>
  </si>
  <si>
    <t>Zeitler</t>
  </si>
  <si>
    <t xml:space="preserve">335 Platte Wood Dr Unit 114 </t>
  </si>
  <si>
    <t>Royalton</t>
  </si>
  <si>
    <t xml:space="preserve">2180 Amanda Ln </t>
  </si>
  <si>
    <t>Renick</t>
  </si>
  <si>
    <t xml:space="preserve">200 Roger Williams Ave Unit 406 </t>
  </si>
  <si>
    <t>Rumford</t>
  </si>
  <si>
    <t xml:space="preserve">68001 Cloverdale Rd </t>
  </si>
  <si>
    <t>Sisters</t>
  </si>
  <si>
    <t xml:space="preserve">108 Eliseo Dr </t>
  </si>
  <si>
    <t>94904-1316</t>
  </si>
  <si>
    <t>Risvold</t>
  </si>
  <si>
    <t xml:space="preserve">509 Aurora Ave Unit 515 </t>
  </si>
  <si>
    <t>60540-6261</t>
  </si>
  <si>
    <t>Gonsoulin</t>
  </si>
  <si>
    <t>Vickie</t>
  </si>
  <si>
    <t xml:space="preserve">2755 5th St SE </t>
  </si>
  <si>
    <t>Moultrie</t>
  </si>
  <si>
    <t xml:space="preserve">138 Sunnyside Ave </t>
  </si>
  <si>
    <t xml:space="preserve">6230 Thomas Ct </t>
  </si>
  <si>
    <t>Tolar</t>
  </si>
  <si>
    <t xml:space="preserve">PO Box 705 </t>
  </si>
  <si>
    <t>Tonasket</t>
  </si>
  <si>
    <t>Wurtz</t>
  </si>
  <si>
    <t xml:space="preserve">513 Grand St </t>
  </si>
  <si>
    <t>Vavrek</t>
  </si>
  <si>
    <t>Ayesha</t>
  </si>
  <si>
    <t xml:space="preserve">1815 Saint Claude Ave Apt 404 </t>
  </si>
  <si>
    <t>Gasperoni</t>
  </si>
  <si>
    <t xml:space="preserve">1083 NW Charlemagne Pl </t>
  </si>
  <si>
    <t>Sifuentes</t>
  </si>
  <si>
    <t>D.G.</t>
  </si>
  <si>
    <t xml:space="preserve">PO Box 100 Pmb 340 </t>
  </si>
  <si>
    <t xml:space="preserve">9520 S Francis Rd </t>
  </si>
  <si>
    <t>Dewitt</t>
  </si>
  <si>
    <t xml:space="preserve">169 Inner Cir </t>
  </si>
  <si>
    <t>95618-5424</t>
  </si>
  <si>
    <t>Cleaver</t>
  </si>
  <si>
    <t xml:space="preserve">8884 W 500 S N A </t>
  </si>
  <si>
    <t>Sy</t>
  </si>
  <si>
    <t xml:space="preserve">FERNDALE Ave </t>
  </si>
  <si>
    <t>Marshall</t>
  </si>
  <si>
    <t xml:space="preserve">23 Hamal Ct </t>
  </si>
  <si>
    <t>Turnersville</t>
  </si>
  <si>
    <t xml:space="preserve">8661 Hamilton Bridges Dr S </t>
  </si>
  <si>
    <t>Gatcomb</t>
  </si>
  <si>
    <t xml:space="preserve">2 Cedarbrook Vlg Unit D </t>
  </si>
  <si>
    <t>Frye</t>
  </si>
  <si>
    <t xml:space="preserve">MUNSON Rd </t>
  </si>
  <si>
    <t xml:space="preserve">2 Frank St </t>
  </si>
  <si>
    <t xml:space="preserve">3 Racquet Club Dr </t>
  </si>
  <si>
    <t>Rancho Mirage</t>
  </si>
  <si>
    <t>92270-1480</t>
  </si>
  <si>
    <t>Lonsdale</t>
  </si>
  <si>
    <t xml:space="preserve">2014 SW 29th Ct Apt B2 </t>
  </si>
  <si>
    <t>33445-7363</t>
  </si>
  <si>
    <t>Crowe</t>
  </si>
  <si>
    <t xml:space="preserve">3221 Webb St </t>
  </si>
  <si>
    <t>Lamoree</t>
  </si>
  <si>
    <t xml:space="preserve">1708 SW 4th St </t>
  </si>
  <si>
    <t>Clewell</t>
  </si>
  <si>
    <t>Gregory.A..</t>
  </si>
  <si>
    <t xml:space="preserve">258 Fremont Ave Apt 1 </t>
  </si>
  <si>
    <t>Seaside Heights</t>
  </si>
  <si>
    <t>Engonidis</t>
  </si>
  <si>
    <t xml:space="preserve">4860 Carnation Cir Apt 101 </t>
  </si>
  <si>
    <t>Llewellyn</t>
  </si>
  <si>
    <t xml:space="preserve">WINCHESTER Rd </t>
  </si>
  <si>
    <t>Petrich</t>
  </si>
  <si>
    <t>Mary Ellen</t>
  </si>
  <si>
    <t xml:space="preserve">4316 Lanai Rd </t>
  </si>
  <si>
    <t>Buhowsky</t>
  </si>
  <si>
    <t xml:space="preserve">83 Tahoe Ct </t>
  </si>
  <si>
    <t>Gumpert</t>
  </si>
  <si>
    <t xml:space="preserve">1727 Weavertown Rd </t>
  </si>
  <si>
    <t>Douglassville</t>
  </si>
  <si>
    <t>Walls</t>
  </si>
  <si>
    <t xml:space="preserve">10450 Keuka Dr </t>
  </si>
  <si>
    <t>Eisenhower</t>
  </si>
  <si>
    <t>Buda</t>
  </si>
  <si>
    <t xml:space="preserve">225 Everett St # 3 </t>
  </si>
  <si>
    <t>East Boston</t>
  </si>
  <si>
    <t>Hagins</t>
  </si>
  <si>
    <t xml:space="preserve">1172 Alnetta Dr </t>
  </si>
  <si>
    <t>Peischl</t>
  </si>
  <si>
    <t xml:space="preserve">8244 Coach Ct </t>
  </si>
  <si>
    <t>Allison Park</t>
  </si>
  <si>
    <t>Langford</t>
  </si>
  <si>
    <t xml:space="preserve">1640 Nwkings Blvd </t>
  </si>
  <si>
    <t>Greenwald</t>
  </si>
  <si>
    <t xml:space="preserve">4242 Montair Ave </t>
  </si>
  <si>
    <t xml:space="preserve">8600 Boulevard E Ste 1-F </t>
  </si>
  <si>
    <t>North Bergen</t>
  </si>
  <si>
    <t>Chrupka</t>
  </si>
  <si>
    <t xml:space="preserve">14 W Chestnut St Apt 2N </t>
  </si>
  <si>
    <t>Rau</t>
  </si>
  <si>
    <t xml:space="preserve">2406 Redwood Rd </t>
  </si>
  <si>
    <t>Boshkov</t>
  </si>
  <si>
    <t xml:space="preserve">2549 Crescent Meadows Ct 2549 Crescent Meadow Ct </t>
  </si>
  <si>
    <t>Murfreesboro</t>
  </si>
  <si>
    <t>Baggett</t>
  </si>
  <si>
    <t xml:space="preserve">8372 E Amherst Cir </t>
  </si>
  <si>
    <t xml:space="preserve">5223 Silver Maple Cir </t>
  </si>
  <si>
    <t>Fromowitz</t>
  </si>
  <si>
    <t>Allen And Carol</t>
  </si>
  <si>
    <t xml:space="preserve">328 India Dr </t>
  </si>
  <si>
    <t xml:space="preserve">387 Covent Dr </t>
  </si>
  <si>
    <t xml:space="preserve">6911 Sheffield Dr </t>
  </si>
  <si>
    <t xml:space="preserve">8790 Bell Rd Apt 64 </t>
  </si>
  <si>
    <t>Eiffert</t>
  </si>
  <si>
    <t xml:space="preserve">2955 David Ln </t>
  </si>
  <si>
    <t>Gindele</t>
  </si>
  <si>
    <t>Abigail</t>
  </si>
  <si>
    <t xml:space="preserve">229 Clinton St </t>
  </si>
  <si>
    <t>Musser IV</t>
  </si>
  <si>
    <t>William M.</t>
  </si>
  <si>
    <t xml:space="preserve">2913 NE 29th Ave </t>
  </si>
  <si>
    <t>Davison</t>
  </si>
  <si>
    <t xml:space="preserve">923 112th St SW Apt A106 </t>
  </si>
  <si>
    <t>98204-7866</t>
  </si>
  <si>
    <t>Arbuckle</t>
  </si>
  <si>
    <t xml:space="preserve">40215 HOMEVIEW Dr </t>
  </si>
  <si>
    <t xml:space="preserve">311 Cedar Ave </t>
  </si>
  <si>
    <t>20877-1904</t>
  </si>
  <si>
    <t>Replogle</t>
  </si>
  <si>
    <t xml:space="preserve">56665 Tamarac Ln </t>
  </si>
  <si>
    <t>Three Rivers</t>
  </si>
  <si>
    <t>49093-8059</t>
  </si>
  <si>
    <t>Mark L.</t>
  </si>
  <si>
    <t xml:space="preserve">230 Excelsior Ave N </t>
  </si>
  <si>
    <t>55302-1163</t>
  </si>
  <si>
    <t xml:space="preserve">8219 Peach Dr </t>
  </si>
  <si>
    <t>Inwood</t>
  </si>
  <si>
    <t xml:space="preserve">55 Wyckoff Ave </t>
  </si>
  <si>
    <t>Wyckoff</t>
  </si>
  <si>
    <t>Worth</t>
  </si>
  <si>
    <t xml:space="preserve">8000 E Girard Ave Apt 603 </t>
  </si>
  <si>
    <t>80231-4407</t>
  </si>
  <si>
    <t xml:space="preserve">4404 Travis Country Cir Unit H-3 </t>
  </si>
  <si>
    <t>Eberle</t>
  </si>
  <si>
    <t>Stefan</t>
  </si>
  <si>
    <t xml:space="preserve">2464 Elka Ave </t>
  </si>
  <si>
    <t>94043-2714</t>
  </si>
  <si>
    <t>Gottesman</t>
  </si>
  <si>
    <t xml:space="preserve">1355 Will O Wood Dr # OH44425 </t>
  </si>
  <si>
    <t>Hubbard</t>
  </si>
  <si>
    <t>Lenney</t>
  </si>
  <si>
    <t>Marina</t>
  </si>
  <si>
    <t xml:space="preserve">225 E Cota St Apt 7 </t>
  </si>
  <si>
    <t>Siggins</t>
  </si>
  <si>
    <t xml:space="preserve">22372 143rd Ave </t>
  </si>
  <si>
    <t>Rapid City</t>
  </si>
  <si>
    <t xml:space="preserve">730 River Dr </t>
  </si>
  <si>
    <t>Linwood</t>
  </si>
  <si>
    <t>08221-1234</t>
  </si>
  <si>
    <t xml:space="preserve">PO Box 1085 </t>
  </si>
  <si>
    <t>Gauntt</t>
  </si>
  <si>
    <t xml:space="preserve">19020 BENSALEM BENSALEM </t>
  </si>
  <si>
    <t>Bensalem</t>
  </si>
  <si>
    <t>Milne</t>
  </si>
  <si>
    <t xml:space="preserve">13 Haymaker Ln </t>
  </si>
  <si>
    <t>South Burlington</t>
  </si>
  <si>
    <t>Isely</t>
  </si>
  <si>
    <t xml:space="preserve">125 Hudson St </t>
  </si>
  <si>
    <t>Glau</t>
  </si>
  <si>
    <t xml:space="preserve">51555 Monroe St Spc 132 </t>
  </si>
  <si>
    <t>Shaughnessy</t>
  </si>
  <si>
    <t xml:space="preserve">2529 Ohio 534 </t>
  </si>
  <si>
    <t>Geneva</t>
  </si>
  <si>
    <t>Candis</t>
  </si>
  <si>
    <t xml:space="preserve">1640 E Chisholm Ln </t>
  </si>
  <si>
    <t>Montoya</t>
  </si>
  <si>
    <t xml:space="preserve">252 NE 87th St </t>
  </si>
  <si>
    <t>El Portal</t>
  </si>
  <si>
    <t xml:space="preserve">5930 Reseda Blvd </t>
  </si>
  <si>
    <t>91356-1545</t>
  </si>
  <si>
    <t xml:space="preserve">2021 Swazey St </t>
  </si>
  <si>
    <t>93401-4526</t>
  </si>
  <si>
    <t>Roberson</t>
  </si>
  <si>
    <t xml:space="preserve">410 E 17th St Apt 4C </t>
  </si>
  <si>
    <t>11226-5736</t>
  </si>
  <si>
    <t xml:space="preserve">28421 Cerveza Ct </t>
  </si>
  <si>
    <t xml:space="preserve">1000 Carteret Ave # 1 </t>
  </si>
  <si>
    <t>Zirasri</t>
  </si>
  <si>
    <t>Ran</t>
  </si>
  <si>
    <t xml:space="preserve">2610 15th St S Apt 13 </t>
  </si>
  <si>
    <t>Fargo</t>
  </si>
  <si>
    <t>ND</t>
  </si>
  <si>
    <t>Weiner</t>
  </si>
  <si>
    <t>Nona</t>
  </si>
  <si>
    <t xml:space="preserve">14238 Lucian Ave </t>
  </si>
  <si>
    <t>95127-1433</t>
  </si>
  <si>
    <t>Joel</t>
  </si>
  <si>
    <t xml:space="preserve">Private </t>
  </si>
  <si>
    <t>Ukiah</t>
  </si>
  <si>
    <t>Grodi</t>
  </si>
  <si>
    <t xml:space="preserve">278 Brevard Rd </t>
  </si>
  <si>
    <t>28806-2925</t>
  </si>
  <si>
    <t xml:space="preserve">16110 US Highway 101 N </t>
  </si>
  <si>
    <t>Cooperstock</t>
  </si>
  <si>
    <t xml:space="preserve">201 E 86th St Apt 17A </t>
  </si>
  <si>
    <t>10028-3043</t>
  </si>
  <si>
    <t>Centoni</t>
  </si>
  <si>
    <t xml:space="preserve">730 Barron Ave Spc 33 </t>
  </si>
  <si>
    <t xml:space="preserve">PO Box 4752 Apt M </t>
  </si>
  <si>
    <t>Lutherville Timonium</t>
  </si>
  <si>
    <t>Sobczak</t>
  </si>
  <si>
    <t xml:space="preserve">5900 W Sylvania Ave </t>
  </si>
  <si>
    <t>Peri</t>
  </si>
  <si>
    <t xml:space="preserve">1132 Glen Canyon Rd </t>
  </si>
  <si>
    <t>95060-1223</t>
  </si>
  <si>
    <t>Colvard</t>
  </si>
  <si>
    <t xml:space="preserve">520 Palm St </t>
  </si>
  <si>
    <t>97501-2535</t>
  </si>
  <si>
    <t>Hurlbut</t>
  </si>
  <si>
    <t xml:space="preserve">1215 N Hemlock Way </t>
  </si>
  <si>
    <t>86001-3310</t>
  </si>
  <si>
    <t>Seyler</t>
  </si>
  <si>
    <t xml:space="preserve">1109 Freshman Dr </t>
  </si>
  <si>
    <t xml:space="preserve">PO Box 782 </t>
  </si>
  <si>
    <t>Dagna</t>
  </si>
  <si>
    <t xml:space="preserve">215 Etammany St </t>
  </si>
  <si>
    <t>Orwigsburg</t>
  </si>
  <si>
    <t xml:space="preserve">2990 Neet Ave Apt 3 </t>
  </si>
  <si>
    <t>Feller</t>
  </si>
  <si>
    <t xml:space="preserve">136 Mitchell Blvd </t>
  </si>
  <si>
    <t>Provost</t>
  </si>
  <si>
    <t xml:space="preserve">140 7th Ave Apt 1B </t>
  </si>
  <si>
    <t>10011-1816</t>
  </si>
  <si>
    <t>Solomon</t>
  </si>
  <si>
    <t>Facey</t>
  </si>
  <si>
    <t>Millers Falls</t>
  </si>
  <si>
    <t>Lloyd</t>
  </si>
  <si>
    <t xml:space="preserve">2124 Firestone Trce </t>
  </si>
  <si>
    <t>Akron</t>
  </si>
  <si>
    <t>44333-1187</t>
  </si>
  <si>
    <t>Bates</t>
  </si>
  <si>
    <t xml:space="preserve">40 S STATE ROUTE 44 </t>
  </si>
  <si>
    <t>Apple Creek</t>
  </si>
  <si>
    <t>Mendels</t>
  </si>
  <si>
    <t xml:space="preserve">1209 Sanchez St </t>
  </si>
  <si>
    <t>Pond</t>
  </si>
  <si>
    <t>Olivia</t>
  </si>
  <si>
    <t xml:space="preserve">111 S Summit St </t>
  </si>
  <si>
    <t>Mylott</t>
  </si>
  <si>
    <t xml:space="preserve">77 Coons Dr </t>
  </si>
  <si>
    <t>Charlestown</t>
  </si>
  <si>
    <t>Jurkovich</t>
  </si>
  <si>
    <t xml:space="preserve">99 Clarks River Rd </t>
  </si>
  <si>
    <t>Silesia</t>
  </si>
  <si>
    <t>Havan</t>
  </si>
  <si>
    <t>Artineh</t>
  </si>
  <si>
    <t xml:space="preserve">7 5 ROSELLI St </t>
  </si>
  <si>
    <t xml:space="preserve">821 E 7th St Apt 1 </t>
  </si>
  <si>
    <t>Khristine</t>
  </si>
  <si>
    <t xml:space="preserve">4908 N 160th St </t>
  </si>
  <si>
    <t>68116-8037</t>
  </si>
  <si>
    <t>Trickett</t>
  </si>
  <si>
    <t>Hannahlore</t>
  </si>
  <si>
    <t xml:space="preserve">50 Father Rasle Rd </t>
  </si>
  <si>
    <t>Norridgewock</t>
  </si>
  <si>
    <t xml:space="preserve">5763 Sunberry Cir # 2 </t>
  </si>
  <si>
    <t>Alayza Mujica</t>
  </si>
  <si>
    <t>Bernardo</t>
  </si>
  <si>
    <t>Matoff</t>
  </si>
  <si>
    <t xml:space="preserve">Apt 2 </t>
  </si>
  <si>
    <t>Crittenden</t>
  </si>
  <si>
    <t xml:space="preserve">E8022 Bakkom Rd E8022 Bakkom Rd E8022 Bakkom Rd </t>
  </si>
  <si>
    <t>Viroqua</t>
  </si>
  <si>
    <t>Dale Wood</t>
  </si>
  <si>
    <t xml:space="preserve">950 Spring Run Dr Apt 18 </t>
  </si>
  <si>
    <t>Broege</t>
  </si>
  <si>
    <t>Hank</t>
  </si>
  <si>
    <t xml:space="preserve">37 Payson Ave Apt 5H </t>
  </si>
  <si>
    <t xml:space="preserve">4318 N Damen Ave </t>
  </si>
  <si>
    <t>Dunkle</t>
  </si>
  <si>
    <t xml:space="preserve">11200 Beach Mill Rd </t>
  </si>
  <si>
    <t xml:space="preserve">8715 1st Ave Apt 220C </t>
  </si>
  <si>
    <t>Guier</t>
  </si>
  <si>
    <t xml:space="preserve">255 W 108th St </t>
  </si>
  <si>
    <t>10025-2976</t>
  </si>
  <si>
    <t>Badalian</t>
  </si>
  <si>
    <t xml:space="preserve">15075 SW Kingbird Dr </t>
  </si>
  <si>
    <t>97007-8166</t>
  </si>
  <si>
    <t xml:space="preserve">5111 Battery Ln </t>
  </si>
  <si>
    <t>20814-2413</t>
  </si>
  <si>
    <t xml:space="preserve">5233 Delette Ave S </t>
  </si>
  <si>
    <t>33707-5653</t>
  </si>
  <si>
    <t>Doochin</t>
  </si>
  <si>
    <t xml:space="preserve">52 Concord Park E </t>
  </si>
  <si>
    <t>Jastromb</t>
  </si>
  <si>
    <t xml:space="preserve">73 Barrett St Apt 1040 </t>
  </si>
  <si>
    <t>Northampton</t>
  </si>
  <si>
    <t>Biere</t>
  </si>
  <si>
    <t xml:space="preserve">7617 Meadowbrook Ln </t>
  </si>
  <si>
    <t>Barnhart</t>
  </si>
  <si>
    <t>Mortensen</t>
  </si>
  <si>
    <t>Loren</t>
  </si>
  <si>
    <t xml:space="preserve">185 S 200 W </t>
  </si>
  <si>
    <t>Clarkston</t>
  </si>
  <si>
    <t>Montag</t>
  </si>
  <si>
    <t>Jonathon</t>
  </si>
  <si>
    <t xml:space="preserve">4400 19TH St # 567 </t>
  </si>
  <si>
    <t>Ehrenfried</t>
  </si>
  <si>
    <t xml:space="preserve">2462 Pierce St Apt 13 </t>
  </si>
  <si>
    <t>33020-4371</t>
  </si>
  <si>
    <t>Kreiner</t>
  </si>
  <si>
    <t xml:space="preserve">2307 Arrow St </t>
  </si>
  <si>
    <t>Carpentersville</t>
  </si>
  <si>
    <t>60110-1201</t>
  </si>
  <si>
    <t>Ramsay</t>
  </si>
  <si>
    <t xml:space="preserve">30 Churchill Ave Apt 610 </t>
  </si>
  <si>
    <t>02140-1134</t>
  </si>
  <si>
    <t xml:space="preserve">512 Kenmare Ct </t>
  </si>
  <si>
    <t>Pinole</t>
  </si>
  <si>
    <t>94564-2689</t>
  </si>
  <si>
    <t>Difante</t>
  </si>
  <si>
    <t xml:space="preserve">10506 E Sunnydale Dr </t>
  </si>
  <si>
    <t>Atlas</t>
  </si>
  <si>
    <t xml:space="preserve">1413 W 6th St </t>
  </si>
  <si>
    <t>Weslaco</t>
  </si>
  <si>
    <t>78596-5753</t>
  </si>
  <si>
    <t>Mulder</t>
  </si>
  <si>
    <t>Joni</t>
  </si>
  <si>
    <t xml:space="preserve">4312 Spicetree St </t>
  </si>
  <si>
    <t xml:space="preserve">PO Box 526 </t>
  </si>
  <si>
    <t>Cyphers</t>
  </si>
  <si>
    <t>Karla</t>
  </si>
  <si>
    <t xml:space="preserve">100 E Delaware St </t>
  </si>
  <si>
    <t>47711-5404</t>
  </si>
  <si>
    <t>Pieniazek</t>
  </si>
  <si>
    <t xml:space="preserve">2212 Dunlavy St Apt 11 </t>
  </si>
  <si>
    <t>77006-1760</t>
  </si>
  <si>
    <t xml:space="preserve">2964 E Kael St </t>
  </si>
  <si>
    <t xml:space="preserve">193 Torzelli Ln # 1 </t>
  </si>
  <si>
    <t>Meisel</t>
  </si>
  <si>
    <t xml:space="preserve">2780 McConnell Dr </t>
  </si>
  <si>
    <t>Quadrini</t>
  </si>
  <si>
    <t xml:space="preserve">256 Donahue St </t>
  </si>
  <si>
    <t xml:space="preserve">1415 W Lunt Ave Apt 412 </t>
  </si>
  <si>
    <t>Kessinger</t>
  </si>
  <si>
    <t xml:space="preserve">14410 47th Pl W </t>
  </si>
  <si>
    <t>Lynnwood</t>
  </si>
  <si>
    <t>Rookhuyzen</t>
  </si>
  <si>
    <t>Van</t>
  </si>
  <si>
    <t xml:space="preserve">145 Taylor St Apt 708 </t>
  </si>
  <si>
    <t>Chastain</t>
  </si>
  <si>
    <t>Leeann</t>
  </si>
  <si>
    <t>Delibos</t>
  </si>
  <si>
    <t xml:space="preserve">2877 Paradise Rd Unit 1002 </t>
  </si>
  <si>
    <t>89109-5263</t>
  </si>
  <si>
    <t>Tawnya</t>
  </si>
  <si>
    <t xml:space="preserve">7252 S Jersey Ct </t>
  </si>
  <si>
    <t xml:space="preserve">288 Animasviewdr # 101 </t>
  </si>
  <si>
    <t xml:space="preserve">RR </t>
  </si>
  <si>
    <t>Sicard</t>
  </si>
  <si>
    <t xml:space="preserve">216 S 2nd St </t>
  </si>
  <si>
    <t>Bella</t>
  </si>
  <si>
    <t>Celia</t>
  </si>
  <si>
    <t xml:space="preserve">2132 Diamond Ln </t>
  </si>
  <si>
    <t>52556-8611</t>
  </si>
  <si>
    <t xml:space="preserve">3125 Millhurst Laneawaii Ave </t>
  </si>
  <si>
    <t>Smistik</t>
  </si>
  <si>
    <t xml:space="preserve">PO Box 2175 </t>
  </si>
  <si>
    <t>Barnhill</t>
  </si>
  <si>
    <t>Cara</t>
  </si>
  <si>
    <t xml:space="preserve">750 W Alluvial Ave Apt 1100 </t>
  </si>
  <si>
    <t>Clovis</t>
  </si>
  <si>
    <t>Christeen</t>
  </si>
  <si>
    <t xml:space="preserve">4609 Top Flight Dr </t>
  </si>
  <si>
    <t>Crestview</t>
  </si>
  <si>
    <t>32539-5710</t>
  </si>
  <si>
    <t>Weeks</t>
  </si>
  <si>
    <t xml:space="preserve">3301 Timberbrook Ct </t>
  </si>
  <si>
    <t>46122-8515</t>
  </si>
  <si>
    <t>Edie</t>
  </si>
  <si>
    <t xml:space="preserve">1116 King Dr </t>
  </si>
  <si>
    <t xml:space="preserve">400 Indiantown Farm Ln </t>
  </si>
  <si>
    <t xml:space="preserve">102 Pope St </t>
  </si>
  <si>
    <t xml:space="preserve">225 Everett St </t>
  </si>
  <si>
    <t>Griffiths</t>
  </si>
  <si>
    <t xml:space="preserve">1498 Fieldcrest Cir </t>
  </si>
  <si>
    <t>Cammann</t>
  </si>
  <si>
    <t xml:space="preserve">3437 Laurelwood Ct NE </t>
  </si>
  <si>
    <t xml:space="preserve">19200 Rising Sun Rd </t>
  </si>
  <si>
    <t>Corona</t>
  </si>
  <si>
    <t xml:space="preserve">5225 White Willow Dr </t>
  </si>
  <si>
    <t>Galbo</t>
  </si>
  <si>
    <t xml:space="preserve">336 COUNTRYSIDE LANE36 COUNTRYSIDE Ln </t>
  </si>
  <si>
    <t>MacLaren</t>
  </si>
  <si>
    <t>Hannah</t>
  </si>
  <si>
    <t xml:space="preserve">604 Royce St </t>
  </si>
  <si>
    <t xml:space="preserve">27 NW Mueller Ave </t>
  </si>
  <si>
    <t xml:space="preserve">2378 Rinard Rd </t>
  </si>
  <si>
    <t>Cleveland Heights</t>
  </si>
  <si>
    <t xml:space="preserve">142 Langner Pl </t>
  </si>
  <si>
    <t>Westwood</t>
  </si>
  <si>
    <t xml:space="preserve">2425 Greenhedge Dr </t>
  </si>
  <si>
    <t>Orange City</t>
  </si>
  <si>
    <t>Frey</t>
  </si>
  <si>
    <t>Lorna</t>
  </si>
  <si>
    <t xml:space="preserve">1115 Delrose Dr </t>
  </si>
  <si>
    <t xml:space="preserve">31 Linwood Rd </t>
  </si>
  <si>
    <t>Freeport</t>
  </si>
  <si>
    <t>Kohn</t>
  </si>
  <si>
    <t>Ericka</t>
  </si>
  <si>
    <t xml:space="preserve">613 S 56th Ave </t>
  </si>
  <si>
    <t>Wausau</t>
  </si>
  <si>
    <t>Haupt</t>
  </si>
  <si>
    <t xml:space="preserve">116 Hessian Hills Rdg Apt 1 </t>
  </si>
  <si>
    <t xml:space="preserve">6756 S Dexter St </t>
  </si>
  <si>
    <t>Harrie</t>
  </si>
  <si>
    <t>Kurzweil</t>
  </si>
  <si>
    <t xml:space="preserve">2343 E 18th St </t>
  </si>
  <si>
    <t>Mockus</t>
  </si>
  <si>
    <t xml:space="preserve">478 E Westleigh Rd Lake Forest Lake Frst </t>
  </si>
  <si>
    <t>Lake Forest</t>
  </si>
  <si>
    <t>Graeff</t>
  </si>
  <si>
    <t>Clara</t>
  </si>
  <si>
    <t xml:space="preserve">8812 Crescent Ave </t>
  </si>
  <si>
    <t>Birkenstock</t>
  </si>
  <si>
    <t xml:space="preserve">902 N High Point Rd Apt 241 </t>
  </si>
  <si>
    <t xml:space="preserve">311 Hurd Rd </t>
  </si>
  <si>
    <t>Slaterville Springs</t>
  </si>
  <si>
    <t>Deneault</t>
  </si>
  <si>
    <t>Stouffville</t>
  </si>
  <si>
    <t>Ontario</t>
  </si>
  <si>
    <t>L4A 1L6</t>
  </si>
  <si>
    <t>J.P.</t>
  </si>
  <si>
    <t xml:space="preserve">514 Indian Pond Rd </t>
  </si>
  <si>
    <t>Orford</t>
  </si>
  <si>
    <t>McLuckie</t>
  </si>
  <si>
    <t xml:space="preserve">TRADITION Dr </t>
  </si>
  <si>
    <t>Reade</t>
  </si>
  <si>
    <t xml:space="preserve">117 Duran St </t>
  </si>
  <si>
    <t>Basile</t>
  </si>
  <si>
    <t xml:space="preserve">7 Evert St </t>
  </si>
  <si>
    <t>Huntington Station</t>
  </si>
  <si>
    <t>Badran</t>
  </si>
  <si>
    <t>Jalil</t>
  </si>
  <si>
    <t xml:space="preserve">11106 Welland St </t>
  </si>
  <si>
    <t>North Potomac</t>
  </si>
  <si>
    <t>Ecker</t>
  </si>
  <si>
    <t xml:space="preserve">112 Calvert Rd </t>
  </si>
  <si>
    <t xml:space="preserve">8 Green Ave </t>
  </si>
  <si>
    <t xml:space="preserve">102 Red Fern Ln </t>
  </si>
  <si>
    <t>Wentzville</t>
  </si>
  <si>
    <t>Norm</t>
  </si>
  <si>
    <t xml:space="preserve">1120 S 25th St Trlr 87 </t>
  </si>
  <si>
    <t xml:space="preserve">31621 Corte Rosario </t>
  </si>
  <si>
    <t>Loudis</t>
  </si>
  <si>
    <t xml:space="preserve">24815 Rushmore Ave </t>
  </si>
  <si>
    <t>Douglaston</t>
  </si>
  <si>
    <t xml:space="preserve">790 7th Ave Apt 103 </t>
  </si>
  <si>
    <t>David Davis</t>
  </si>
  <si>
    <t xml:space="preserve">3015 Riverdale Ave </t>
  </si>
  <si>
    <t xml:space="preserve">5345 37th Ave S </t>
  </si>
  <si>
    <t>Love</t>
  </si>
  <si>
    <t xml:space="preserve">196 Victory Ln </t>
  </si>
  <si>
    <t>Ronda</t>
  </si>
  <si>
    <t xml:space="preserve">2123 Pierce St </t>
  </si>
  <si>
    <t>Weatherly</t>
  </si>
  <si>
    <t xml:space="preserve">975 Wilson Sharpsville Rd </t>
  </si>
  <si>
    <t>Cortland</t>
  </si>
  <si>
    <t>Esch</t>
  </si>
  <si>
    <t xml:space="preserve">3705 Cartwright Ct </t>
  </si>
  <si>
    <t xml:space="preserve">9308 N Charlotte Ct </t>
  </si>
  <si>
    <t>Osten</t>
  </si>
  <si>
    <t xml:space="preserve">46 Spruce St </t>
  </si>
  <si>
    <t>Jamesburg</t>
  </si>
  <si>
    <t xml:space="preserve">3362 Sabal Springs Blvd </t>
  </si>
  <si>
    <t xml:space="preserve">2249 E 2nd St </t>
  </si>
  <si>
    <t>Davlin</t>
  </si>
  <si>
    <t xml:space="preserve">327 Overbrook Rd </t>
  </si>
  <si>
    <t>Ferguson</t>
  </si>
  <si>
    <t xml:space="preserve">2405 15th Ave SW </t>
  </si>
  <si>
    <t xml:space="preserve">553 Penny Ln </t>
  </si>
  <si>
    <t>Harms</t>
  </si>
  <si>
    <t>Kara</t>
  </si>
  <si>
    <t xml:space="preserve">728 Grimes Rd </t>
  </si>
  <si>
    <t>Rolnick</t>
  </si>
  <si>
    <t xml:space="preserve">PO Box 999 </t>
  </si>
  <si>
    <t>Lorane</t>
  </si>
  <si>
    <t>Morrell</t>
  </si>
  <si>
    <t xml:space="preserve">135 Woodbridge St </t>
  </si>
  <si>
    <t>South Hadley</t>
  </si>
  <si>
    <t>Root</t>
  </si>
  <si>
    <t xml:space="preserve">765 N Indian Hill Blvd </t>
  </si>
  <si>
    <t>Claremont</t>
  </si>
  <si>
    <t>Walburn</t>
  </si>
  <si>
    <t xml:space="preserve">12801 Wild Goose St </t>
  </si>
  <si>
    <t>Plog</t>
  </si>
  <si>
    <t>Phyllis</t>
  </si>
  <si>
    <t xml:space="preserve">382 Skidmore Rd </t>
  </si>
  <si>
    <t>Pleasant Valley</t>
  </si>
  <si>
    <t xml:space="preserve">1213 Radis Pl </t>
  </si>
  <si>
    <t xml:space="preserve">150 E Peaceful Pl </t>
  </si>
  <si>
    <t>Grapeview</t>
  </si>
  <si>
    <t>Hofmann</t>
  </si>
  <si>
    <t xml:space="preserve">6755 Heverlo Rd </t>
  </si>
  <si>
    <t>Sunbury</t>
  </si>
  <si>
    <t>Collier</t>
  </si>
  <si>
    <t>Karyn</t>
  </si>
  <si>
    <t xml:space="preserve">8552 Barrington Ct </t>
  </si>
  <si>
    <t xml:space="preserve">9119 Hill Rd </t>
  </si>
  <si>
    <t>Piotti</t>
  </si>
  <si>
    <t xml:space="preserve">13 Evergreen Dr </t>
  </si>
  <si>
    <t>Grotzke</t>
  </si>
  <si>
    <t xml:space="preserve">18136 Rita Rd Apt 2A </t>
  </si>
  <si>
    <t>Packer</t>
  </si>
  <si>
    <t xml:space="preserve">5 Jennifer Rd </t>
  </si>
  <si>
    <t>Scotia</t>
  </si>
  <si>
    <t>Blackburn</t>
  </si>
  <si>
    <t xml:space="preserve">2563 Kensington Way </t>
  </si>
  <si>
    <t>Elizabethtown</t>
  </si>
  <si>
    <t>Clair</t>
  </si>
  <si>
    <t>Kelly Jean</t>
  </si>
  <si>
    <t xml:space="preserve">325 W 100th St </t>
  </si>
  <si>
    <t>Dania</t>
  </si>
  <si>
    <t xml:space="preserve">917 Mound St </t>
  </si>
  <si>
    <t xml:space="preserve">145 Gardenside Dr Apt 6 </t>
  </si>
  <si>
    <t>Homsey</t>
  </si>
  <si>
    <t xml:space="preserve">466 Snuff Mill Ln </t>
  </si>
  <si>
    <t>Hockessin</t>
  </si>
  <si>
    <t>Grau</t>
  </si>
  <si>
    <t xml:space="preserve">206 Newton Swartswood Rd </t>
  </si>
  <si>
    <t>Buttaccio</t>
  </si>
  <si>
    <t xml:space="preserve">3705 S Main St </t>
  </si>
  <si>
    <t>Gamblin</t>
  </si>
  <si>
    <t xml:space="preserve">2112 S Montclair Ave </t>
  </si>
  <si>
    <t xml:space="preserve">17393 Harman St </t>
  </si>
  <si>
    <t>Melvindale</t>
  </si>
  <si>
    <t>Stern</t>
  </si>
  <si>
    <t xml:space="preserve">11 Riverside Dr Apt 1NW </t>
  </si>
  <si>
    <t>Marybeth</t>
  </si>
  <si>
    <t xml:space="preserve">2351 Cedar St </t>
  </si>
  <si>
    <t>Marzolf</t>
  </si>
  <si>
    <t xml:space="preserve">102 Hastings St </t>
  </si>
  <si>
    <t>Demelza</t>
  </si>
  <si>
    <t xml:space="preserve">28626 Ridgeway Rd </t>
  </si>
  <si>
    <t>Sweet Home</t>
  </si>
  <si>
    <t>Smarte</t>
  </si>
  <si>
    <t xml:space="preserve">10528 Renner Rd </t>
  </si>
  <si>
    <t>Union Bridge</t>
  </si>
  <si>
    <t>Hoyes</t>
  </si>
  <si>
    <t xml:space="preserve">6608 Amethyst St </t>
  </si>
  <si>
    <t>Schriner</t>
  </si>
  <si>
    <t>Macie</t>
  </si>
  <si>
    <t xml:space="preserve">402 N Jenison Ave </t>
  </si>
  <si>
    <t xml:space="preserve">61758 Tam McArthur Loop </t>
  </si>
  <si>
    <t>Bucher</t>
  </si>
  <si>
    <t>Anne Marie</t>
  </si>
  <si>
    <t xml:space="preserve">1653 Bayview Ave </t>
  </si>
  <si>
    <t xml:space="preserve">120 W Mulberry Dr </t>
  </si>
  <si>
    <t>Milford</t>
  </si>
  <si>
    <t>Brun</t>
  </si>
  <si>
    <t>Leland</t>
  </si>
  <si>
    <t xml:space="preserve">316 Cheese Factory Rd </t>
  </si>
  <si>
    <t>Honeoye Falls</t>
  </si>
  <si>
    <t xml:space="preserve">22 Perkins Ave </t>
  </si>
  <si>
    <t>Williamson-Pecori</t>
  </si>
  <si>
    <t xml:space="preserve">1295 Silver Ln # 22 </t>
  </si>
  <si>
    <t xml:space="preserve">11275 Manzanita Rd </t>
  </si>
  <si>
    <t>Lakeside</t>
  </si>
  <si>
    <t>Chanen</t>
  </si>
  <si>
    <t xml:space="preserve">2573 Shoreland Dr S </t>
  </si>
  <si>
    <t>Tucay</t>
  </si>
  <si>
    <t xml:space="preserve">524 S Cardiff St </t>
  </si>
  <si>
    <t>Anaheim</t>
  </si>
  <si>
    <t xml:space="preserve">7 Marcellina Ln </t>
  </si>
  <si>
    <t>Galisteo</t>
  </si>
  <si>
    <t xml:space="preserve">10218 Russett Ave </t>
  </si>
  <si>
    <t xml:space="preserve">113 Sonoma Dr </t>
  </si>
  <si>
    <t>Frankfort</t>
  </si>
  <si>
    <t>Jolley</t>
  </si>
  <si>
    <t xml:space="preserve">54 Redwood Ln </t>
  </si>
  <si>
    <t>East Berlin</t>
  </si>
  <si>
    <t>Joyner</t>
  </si>
  <si>
    <t xml:space="preserve">2212 27th Avenue Ct </t>
  </si>
  <si>
    <t>Katrina</t>
  </si>
  <si>
    <t xml:space="preserve">7416 Altura Pl </t>
  </si>
  <si>
    <t xml:space="preserve">55 Lake Shore Dr </t>
  </si>
  <si>
    <t>Newnan</t>
  </si>
  <si>
    <t>Nannette</t>
  </si>
  <si>
    <t xml:space="preserve">19402 SE Stark St Apt 8 </t>
  </si>
  <si>
    <t>Franz</t>
  </si>
  <si>
    <t xml:space="preserve">1130 W Cornelia Ave </t>
  </si>
  <si>
    <t>Moncure</t>
  </si>
  <si>
    <t>Ummer</t>
  </si>
  <si>
    <t>Myra</t>
  </si>
  <si>
    <t xml:space="preserve">325 Hanging Moss Cir # 2 </t>
  </si>
  <si>
    <t xml:space="preserve">35 Holly Glen Ln </t>
  </si>
  <si>
    <t>Cape May Court House</t>
  </si>
  <si>
    <t>Chenelle</t>
  </si>
  <si>
    <t xml:space="preserve">4554 Camino Placitas </t>
  </si>
  <si>
    <t>Gavin</t>
  </si>
  <si>
    <t xml:space="preserve">528 Padgettown Rd </t>
  </si>
  <si>
    <t>Keithler</t>
  </si>
  <si>
    <t xml:space="preserve">11322 E Ida Ct </t>
  </si>
  <si>
    <t>Sayers</t>
  </si>
  <si>
    <t xml:space="preserve">7774 Dovetail </t>
  </si>
  <si>
    <t>Caldwell</t>
  </si>
  <si>
    <t>Chandos</t>
  </si>
  <si>
    <t xml:space="preserve">30 Henry St </t>
  </si>
  <si>
    <t>East Brunswick</t>
  </si>
  <si>
    <t>Serazio</t>
  </si>
  <si>
    <t xml:space="preserve">N1772 Hawks Nest Rd </t>
  </si>
  <si>
    <t>Keshena</t>
  </si>
  <si>
    <t xml:space="preserve">143 Pine Crest Ln </t>
  </si>
  <si>
    <t>Bluemont</t>
  </si>
  <si>
    <t>Ferrell</t>
  </si>
  <si>
    <t xml:space="preserve">1001 Bernice Ave </t>
  </si>
  <si>
    <t>Kirkwood</t>
  </si>
  <si>
    <t>Ogilvy</t>
  </si>
  <si>
    <t>Avis</t>
  </si>
  <si>
    <t xml:space="preserve">7933 Willow St </t>
  </si>
  <si>
    <t>Kuhn</t>
  </si>
  <si>
    <t xml:space="preserve">242 Oak Ln </t>
  </si>
  <si>
    <t>Tabernacle</t>
  </si>
  <si>
    <t>Heinle</t>
  </si>
  <si>
    <t xml:space="preserve">1047 Lincoln Blvd Apt 7 </t>
  </si>
  <si>
    <t xml:space="preserve">8429 Back Valley Rd </t>
  </si>
  <si>
    <t>Evensville</t>
  </si>
  <si>
    <t>Jin</t>
  </si>
  <si>
    <t xml:space="preserve">2821 Palos Verdes Dr W </t>
  </si>
  <si>
    <t>Palos Verdes Estates</t>
  </si>
  <si>
    <t>Blue</t>
  </si>
  <si>
    <t xml:space="preserve">117 N Hanover Ave </t>
  </si>
  <si>
    <t>Lexington</t>
  </si>
  <si>
    <t>Sikand</t>
  </si>
  <si>
    <t>Vikram</t>
  </si>
  <si>
    <t xml:space="preserve">39 King Ave </t>
  </si>
  <si>
    <t>Haverkamp</t>
  </si>
  <si>
    <t xml:space="preserve">722 Billsboro Rd </t>
  </si>
  <si>
    <t>Millette</t>
  </si>
  <si>
    <t xml:space="preserve">5718 Kentland Ave </t>
  </si>
  <si>
    <t>Pajas</t>
  </si>
  <si>
    <t>Madelin R.</t>
  </si>
  <si>
    <t xml:space="preserve">31 Oniell Ln </t>
  </si>
  <si>
    <t>Bella Vista</t>
  </si>
  <si>
    <t>Lewin</t>
  </si>
  <si>
    <t xml:space="preserve">619 Blossom Dr </t>
  </si>
  <si>
    <t>Huth</t>
  </si>
  <si>
    <t xml:space="preserve">2366 Puu Mala Pl </t>
  </si>
  <si>
    <t>Kihei</t>
  </si>
  <si>
    <t>Helmick</t>
  </si>
  <si>
    <t xml:space="preserve">1333 SE 43rd Ave # A </t>
  </si>
  <si>
    <t>McComas</t>
  </si>
  <si>
    <t xml:space="preserve">PO Box 176 </t>
  </si>
  <si>
    <t>Gerrardstown</t>
  </si>
  <si>
    <t>Morgen</t>
  </si>
  <si>
    <t xml:space="preserve">1156 S Sierra Bonita Ave </t>
  </si>
  <si>
    <t>Marotta</t>
  </si>
  <si>
    <t xml:space="preserve">263 Bay 19th St Unit A </t>
  </si>
  <si>
    <t>Angell</t>
  </si>
  <si>
    <t xml:space="preserve">3020 W Dalton Ave </t>
  </si>
  <si>
    <t xml:space="preserve">7 Robin Dr </t>
  </si>
  <si>
    <t>Oakhurst</t>
  </si>
  <si>
    <t>Schlatter</t>
  </si>
  <si>
    <t xml:space="preserve">1049 Cambridge Rd </t>
  </si>
  <si>
    <t>Coshocton</t>
  </si>
  <si>
    <t>Farhoud</t>
  </si>
  <si>
    <t>Aisha</t>
  </si>
  <si>
    <t xml:space="preserve">4750 16th Ave NE </t>
  </si>
  <si>
    <t xml:space="preserve">700 Shawmont Ave </t>
  </si>
  <si>
    <t>Phila</t>
  </si>
  <si>
    <t>Zeller</t>
  </si>
  <si>
    <t xml:space="preserve">200 Indian Creek Dr </t>
  </si>
  <si>
    <t>Langston</t>
  </si>
  <si>
    <t xml:space="preserve">22116 Highway 107 Lot 28 </t>
  </si>
  <si>
    <t>Dori</t>
  </si>
  <si>
    <t xml:space="preserve">68 Sterling Cir Apt 107 </t>
  </si>
  <si>
    <t>Cockrell</t>
  </si>
  <si>
    <t>Ann Morris Cockrell</t>
  </si>
  <si>
    <t xml:space="preserve">3675 S Cherokee St Apt 106 </t>
  </si>
  <si>
    <t>Dalby</t>
  </si>
  <si>
    <t xml:space="preserve">18 6th Ave </t>
  </si>
  <si>
    <t>Tichenor</t>
  </si>
  <si>
    <t xml:space="preserve">636 Bolt Mountain Rd </t>
  </si>
  <si>
    <t>Kutish</t>
  </si>
  <si>
    <t xml:space="preserve">88 Blue Jay Rd </t>
  </si>
  <si>
    <t>Chalfont</t>
  </si>
  <si>
    <t>Swenson</t>
  </si>
  <si>
    <t xml:space="preserve">308 Vairo Blvd Apt H </t>
  </si>
  <si>
    <t>Strickwerda</t>
  </si>
  <si>
    <t xml:space="preserve">105 Riviera Dr </t>
  </si>
  <si>
    <t>Chelan</t>
  </si>
  <si>
    <t>Cresseveur</t>
  </si>
  <si>
    <t xml:space="preserve">2834 Charlestown Rd Apt 6 </t>
  </si>
  <si>
    <t>La Rue</t>
  </si>
  <si>
    <t xml:space="preserve">182 Holiday Hills Dr </t>
  </si>
  <si>
    <t>Handford</t>
  </si>
  <si>
    <t xml:space="preserve">Handfordjn Gmailcom </t>
  </si>
  <si>
    <t xml:space="preserve">110 Whaley Rd </t>
  </si>
  <si>
    <t>Cold Brook</t>
  </si>
  <si>
    <t>Reshetar</t>
  </si>
  <si>
    <t xml:space="preserve">243 W Riverwoods Dr </t>
  </si>
  <si>
    <t>New Hope</t>
  </si>
  <si>
    <t xml:space="preserve">86 Brookfield Rd </t>
  </si>
  <si>
    <t>Hargis</t>
  </si>
  <si>
    <t>Lorrie</t>
  </si>
  <si>
    <t xml:space="preserve">34378 7th Standard Rd </t>
  </si>
  <si>
    <t>Keeney</t>
  </si>
  <si>
    <t xml:space="preserve">1603 Stokes Ln </t>
  </si>
  <si>
    <t xml:space="preserve">18714 Pintail Ln </t>
  </si>
  <si>
    <t xml:space="preserve">4500 19th St Lot 567 </t>
  </si>
  <si>
    <t xml:space="preserve">1000 Pleasant St Unit 6 </t>
  </si>
  <si>
    <t>Weymouth</t>
  </si>
  <si>
    <t>Bradshaw</t>
  </si>
  <si>
    <t xml:space="preserve">62 Snyder Ln </t>
  </si>
  <si>
    <t>Stamm</t>
  </si>
  <si>
    <t xml:space="preserve">11885 Twin Creeks Dr </t>
  </si>
  <si>
    <t xml:space="preserve">210 E Coler St </t>
  </si>
  <si>
    <t xml:space="preserve">320 E Halsey Rd </t>
  </si>
  <si>
    <t>Parsippany</t>
  </si>
  <si>
    <t>Burg</t>
  </si>
  <si>
    <t>Rev. Max</t>
  </si>
  <si>
    <t xml:space="preserve">4746 S Woodlawn Ave Apt 1W </t>
  </si>
  <si>
    <t xml:space="preserve">1440 Puterbaugh St </t>
  </si>
  <si>
    <t>Beatini</t>
  </si>
  <si>
    <t xml:space="preserve">22 Wierimus Rd </t>
  </si>
  <si>
    <t>Ladner</t>
  </si>
  <si>
    <t>Viktoriya</t>
  </si>
  <si>
    <t xml:space="preserve">1000 Opine Rd </t>
  </si>
  <si>
    <t>Opp</t>
  </si>
  <si>
    <t>Woiler</t>
  </si>
  <si>
    <t xml:space="preserve">99 Hillside Ave Apt 9I </t>
  </si>
  <si>
    <t>Minor</t>
  </si>
  <si>
    <t xml:space="preserve">336 Mansion Ave </t>
  </si>
  <si>
    <t>Waltuch</t>
  </si>
  <si>
    <t xml:space="preserve">331 Derby Ave </t>
  </si>
  <si>
    <t>Woodmere</t>
  </si>
  <si>
    <t>Yazmin</t>
  </si>
  <si>
    <t xml:space="preserve">9627 Maple St </t>
  </si>
  <si>
    <t>Bellflower</t>
  </si>
  <si>
    <t>Belloso-Curiel</t>
  </si>
  <si>
    <t>Jorge</t>
  </si>
  <si>
    <t xml:space="preserve">431 Metro Walk Way </t>
  </si>
  <si>
    <t xml:space="preserve">2914 W Pearl Ave </t>
  </si>
  <si>
    <t>Iverson</t>
  </si>
  <si>
    <t xml:space="preserve">143 N Lombard Ave </t>
  </si>
  <si>
    <t>Reisner</t>
  </si>
  <si>
    <t xml:space="preserve">240 SE 160th Ave Apt 18 </t>
  </si>
  <si>
    <t>Pessis</t>
  </si>
  <si>
    <t>Andre</t>
  </si>
  <si>
    <t xml:space="preserve">54 Crescent Rd </t>
  </si>
  <si>
    <t>Bird</t>
  </si>
  <si>
    <t>Oscar</t>
  </si>
  <si>
    <t xml:space="preserve">109 Plum St </t>
  </si>
  <si>
    <t>Bickel</t>
  </si>
  <si>
    <t xml:space="preserve">1201 Michael Dr </t>
  </si>
  <si>
    <t>Yolanda</t>
  </si>
  <si>
    <t xml:space="preserve">1749 36th St SW </t>
  </si>
  <si>
    <t>Wyoming</t>
  </si>
  <si>
    <t>Helm</t>
  </si>
  <si>
    <t xml:space="preserve">4045 N Alaska St </t>
  </si>
  <si>
    <t>Zupancic</t>
  </si>
  <si>
    <t>Jodie</t>
  </si>
  <si>
    <t xml:space="preserve">4335 Colden St Apt 6B </t>
  </si>
  <si>
    <t>Tatom</t>
  </si>
  <si>
    <t xml:space="preserve">333 SE 8th St </t>
  </si>
  <si>
    <t xml:space="preserve">621 N Douglas Ln Apt 8 </t>
  </si>
  <si>
    <t>Canby</t>
  </si>
  <si>
    <t>Dussault</t>
  </si>
  <si>
    <t xml:space="preserve">1809 King St </t>
  </si>
  <si>
    <t>Paden</t>
  </si>
  <si>
    <t xml:space="preserve">665 Cressa Dr </t>
  </si>
  <si>
    <t>Chilton</t>
  </si>
  <si>
    <t xml:space="preserve">1104 Marquette Pl NE </t>
  </si>
  <si>
    <t>Parral</t>
  </si>
  <si>
    <t>Marya</t>
  </si>
  <si>
    <t xml:space="preserve">801 Central Ave Fl 3 </t>
  </si>
  <si>
    <t>Ocean City</t>
  </si>
  <si>
    <t>Sams</t>
  </si>
  <si>
    <t xml:space="preserve">9347 W Alcott Ave </t>
  </si>
  <si>
    <t>Brimley</t>
  </si>
  <si>
    <t xml:space="preserve">14 Crane Ave </t>
  </si>
  <si>
    <t xml:space="preserve">3605 N Franklin St </t>
  </si>
  <si>
    <t>Muncie</t>
  </si>
  <si>
    <t xml:space="preserve">8352 Windmill Farms Dr </t>
  </si>
  <si>
    <t>Cotati</t>
  </si>
  <si>
    <t>Fryberger</t>
  </si>
  <si>
    <t xml:space="preserve">PO Box 4701 </t>
  </si>
  <si>
    <t xml:space="preserve">21731 Montbury Dr </t>
  </si>
  <si>
    <t>Moss</t>
  </si>
  <si>
    <t xml:space="preserve">1849 Whitaker St </t>
  </si>
  <si>
    <t>White Bear Lake</t>
  </si>
  <si>
    <t>Hedayat</t>
  </si>
  <si>
    <t xml:space="preserve">261 E Alegria Ave Apt 15 </t>
  </si>
  <si>
    <t>Sierra Madre</t>
  </si>
  <si>
    <t>Tshibangu</t>
  </si>
  <si>
    <t>Mandy</t>
  </si>
  <si>
    <t xml:space="preserve">47 Lakeside Ct </t>
  </si>
  <si>
    <t>Devon</t>
  </si>
  <si>
    <t>Federin</t>
  </si>
  <si>
    <t xml:space="preserve">1056 Pearl St </t>
  </si>
  <si>
    <t xml:space="preserve">5963 Kedron St </t>
  </si>
  <si>
    <t xml:space="preserve">49 Ten Rod Rd </t>
  </si>
  <si>
    <t>Leitch</t>
  </si>
  <si>
    <t>Mary Ann</t>
  </si>
  <si>
    <t xml:space="preserve">526 Reed St </t>
  </si>
  <si>
    <t xml:space="preserve">3409 NW 21st St </t>
  </si>
  <si>
    <t xml:space="preserve">528 E Calhoun St </t>
  </si>
  <si>
    <t>Arist</t>
  </si>
  <si>
    <t xml:space="preserve">945 Ridge Ave </t>
  </si>
  <si>
    <t>Cady</t>
  </si>
  <si>
    <t xml:space="preserve">9 Ambassador Dr Unit D </t>
  </si>
  <si>
    <t xml:space="preserve">142 Jay St </t>
  </si>
  <si>
    <t>Stowe</t>
  </si>
  <si>
    <t>Lacy</t>
  </si>
  <si>
    <t>Mr.Lynnward</t>
  </si>
  <si>
    <t xml:space="preserve">1145 64th Ave S # SO </t>
  </si>
  <si>
    <t>Stradtman</t>
  </si>
  <si>
    <t xml:space="preserve">700 Elkins Ave Apt B3 </t>
  </si>
  <si>
    <t>Elkins Park</t>
  </si>
  <si>
    <t>Fischer</t>
  </si>
  <si>
    <t xml:space="preserve">117 Zachary Ln </t>
  </si>
  <si>
    <t>Bambauer</t>
  </si>
  <si>
    <t xml:space="preserve">6210 Round Table Dr Apt A </t>
  </si>
  <si>
    <t>Grego</t>
  </si>
  <si>
    <t>Ben</t>
  </si>
  <si>
    <t xml:space="preserve">330 Broadmeadows Blvd Apt G </t>
  </si>
  <si>
    <t xml:space="preserve">219 Butterfield Rd </t>
  </si>
  <si>
    <t>Lytle</t>
  </si>
  <si>
    <t xml:space="preserve">3207 Plaza Dr </t>
  </si>
  <si>
    <t>Amann</t>
  </si>
  <si>
    <t xml:space="preserve">1069 Wexford Way </t>
  </si>
  <si>
    <t>Port Orange</t>
  </si>
  <si>
    <t xml:space="preserve">4634 Beck Ave </t>
  </si>
  <si>
    <t>Toluca Lake</t>
  </si>
  <si>
    <t xml:space="preserve">1177 S Kenilworth Ave </t>
  </si>
  <si>
    <t>Natale</t>
  </si>
  <si>
    <t xml:space="preserve">189 Union Ave </t>
  </si>
  <si>
    <t>New Providence</t>
  </si>
  <si>
    <t>Labarbera</t>
  </si>
  <si>
    <t xml:space="preserve">4127 S 89th St </t>
  </si>
  <si>
    <t>Greenfield</t>
  </si>
  <si>
    <t>Mason</t>
  </si>
  <si>
    <t xml:space="preserve">570 SW Bailey Ter </t>
  </si>
  <si>
    <t>Port Saint Lucie</t>
  </si>
  <si>
    <t>Tregidgo</t>
  </si>
  <si>
    <t xml:space="preserve">1146 Sunnyside Dr </t>
  </si>
  <si>
    <t>Holtwood</t>
  </si>
  <si>
    <t>Radko</t>
  </si>
  <si>
    <t>Danuta</t>
  </si>
  <si>
    <t xml:space="preserve">66 Parker Ave </t>
  </si>
  <si>
    <t>Tewksbury</t>
  </si>
  <si>
    <t>Bailly</t>
  </si>
  <si>
    <t xml:space="preserve">540 W Olin Ave Apt 253 </t>
  </si>
  <si>
    <t xml:space="preserve">17274 Redwood Springs Dr </t>
  </si>
  <si>
    <t>Fort Bragg</t>
  </si>
  <si>
    <t>Nohos</t>
  </si>
  <si>
    <t xml:space="preserve">11731 Heron Lake Rd </t>
  </si>
  <si>
    <t>Saint John</t>
  </si>
  <si>
    <t>Winnick</t>
  </si>
  <si>
    <t>Joie</t>
  </si>
  <si>
    <t xml:space="preserve">13911 Riverside Dr </t>
  </si>
  <si>
    <t xml:space="preserve">11020 Lindblade St </t>
  </si>
  <si>
    <t>Harland</t>
  </si>
  <si>
    <t xml:space="preserve">PO Box 2080 </t>
  </si>
  <si>
    <t>Candler</t>
  </si>
  <si>
    <t>Wieting</t>
  </si>
  <si>
    <t xml:space="preserve">2949 Deepwoods Dr </t>
  </si>
  <si>
    <t>Spacher</t>
  </si>
  <si>
    <t xml:space="preserve">932 Sherry Ln </t>
  </si>
  <si>
    <t>Saginaw</t>
  </si>
  <si>
    <t>Hanna</t>
  </si>
  <si>
    <t xml:space="preserve">6005 Bull Creek Rd </t>
  </si>
  <si>
    <t>Kast</t>
  </si>
  <si>
    <t xml:space="preserve">1238 Calle La Mirada </t>
  </si>
  <si>
    <t>Gurney</t>
  </si>
  <si>
    <t xml:space="preserve">2270 Hickory Circle Dr </t>
  </si>
  <si>
    <t>Wiley</t>
  </si>
  <si>
    <t xml:space="preserve">15457 Eto Camino Rd </t>
  </si>
  <si>
    <t>Victorville</t>
  </si>
  <si>
    <t xml:space="preserve">62 Vista San Juan </t>
  </si>
  <si>
    <t xml:space="preserve">1048 Bay Oaks Dr </t>
  </si>
  <si>
    <t xml:space="preserve">3073 Jemez Dr </t>
  </si>
  <si>
    <t>Cronin</t>
  </si>
  <si>
    <t xml:space="preserve">1837 E 17th St Apt 5B </t>
  </si>
  <si>
    <t>Graciela</t>
  </si>
  <si>
    <t xml:space="preserve">8732 El Manor Ave </t>
  </si>
  <si>
    <t>Hawk</t>
  </si>
  <si>
    <t>Spirit-Eagle</t>
  </si>
  <si>
    <t xml:space="preserve">902 S Grove St </t>
  </si>
  <si>
    <t>Eustis</t>
  </si>
  <si>
    <t>Simcox</t>
  </si>
  <si>
    <t xml:space="preserve">12921 NW Canyon Trl </t>
  </si>
  <si>
    <t>Williamson</t>
  </si>
  <si>
    <t>Rebekah</t>
  </si>
  <si>
    <t xml:space="preserve">306 SE Leland St </t>
  </si>
  <si>
    <t>Horan</t>
  </si>
  <si>
    <t xml:space="preserve">619 Old School House Dr </t>
  </si>
  <si>
    <t xml:space="preserve">17352 SW Sugar Plum Ct </t>
  </si>
  <si>
    <t>Puscheck</t>
  </si>
  <si>
    <t>Robert And Susan</t>
  </si>
  <si>
    <t xml:space="preserve">8461 Glendale Dr </t>
  </si>
  <si>
    <t xml:space="preserve">13144 Via Vesta </t>
  </si>
  <si>
    <t>Schultz</t>
  </si>
  <si>
    <t xml:space="preserve">2741 Bush St </t>
  </si>
  <si>
    <t>Nottingham</t>
  </si>
  <si>
    <t xml:space="preserve">1296 Raindagger Dr </t>
  </si>
  <si>
    <t>86301-6561</t>
  </si>
  <si>
    <t xml:space="preserve">26 Montebello Commons Dr </t>
  </si>
  <si>
    <t>10901-4250</t>
  </si>
  <si>
    <t>Newhouse</t>
  </si>
  <si>
    <t>Jocelin</t>
  </si>
  <si>
    <t xml:space="preserve">6547 County Road 646 </t>
  </si>
  <si>
    <t>Rogers City</t>
  </si>
  <si>
    <t>49779-9511</t>
  </si>
  <si>
    <t>Priest</t>
  </si>
  <si>
    <t xml:space="preserve">600 Bennington Cir </t>
  </si>
  <si>
    <t>Paris</t>
  </si>
  <si>
    <t xml:space="preserve">268 Church Ave Apt B </t>
  </si>
  <si>
    <t>Zellinger</t>
  </si>
  <si>
    <t xml:space="preserve">PO Box 1031 </t>
  </si>
  <si>
    <t>Waialua</t>
  </si>
  <si>
    <t>96791-1031</t>
  </si>
  <si>
    <t xml:space="preserve">9943 N 100 E </t>
  </si>
  <si>
    <t>Ossian</t>
  </si>
  <si>
    <t>Berezansky</t>
  </si>
  <si>
    <t xml:space="preserve">123 Washington Pl </t>
  </si>
  <si>
    <t>Kellman</t>
  </si>
  <si>
    <t>Steven G.</t>
  </si>
  <si>
    <t xml:space="preserve">302 Fawn Dr </t>
  </si>
  <si>
    <t>Okolowicz</t>
  </si>
  <si>
    <t>Sofia</t>
  </si>
  <si>
    <t xml:space="preserve">37470 Crown Valley Rd </t>
  </si>
  <si>
    <t xml:space="preserve">6105 Tecorida Ave </t>
  </si>
  <si>
    <t>Magrath</t>
  </si>
  <si>
    <t xml:space="preserve">1435 Ledgestone Ln </t>
  </si>
  <si>
    <t>Pomona</t>
  </si>
  <si>
    <t>Virga</t>
  </si>
  <si>
    <t xml:space="preserve">2404 Larkspur Ln </t>
  </si>
  <si>
    <t xml:space="preserve">606 N Saluki Dr Marion </t>
  </si>
  <si>
    <t>Parrot</t>
  </si>
  <si>
    <t>Arbella</t>
  </si>
  <si>
    <t xml:space="preserve">647 Glenwood Ave </t>
  </si>
  <si>
    <t xml:space="preserve">323 S Kentucky Ave </t>
  </si>
  <si>
    <t>Diegoli</t>
  </si>
  <si>
    <t xml:space="preserve">1061 Route 5 </t>
  </si>
  <si>
    <t xml:space="preserve">2062 Vine St </t>
  </si>
  <si>
    <t>Misura</t>
  </si>
  <si>
    <t xml:space="preserve">858 Quinnipiac Ave Apt 1 </t>
  </si>
  <si>
    <t xml:space="preserve">812 Moore St </t>
  </si>
  <si>
    <t>Beloit</t>
  </si>
  <si>
    <t>Maghakian</t>
  </si>
  <si>
    <t xml:space="preserve">6457 Sweet Gum Trl </t>
  </si>
  <si>
    <t>Hon</t>
  </si>
  <si>
    <t xml:space="preserve">3135 Arthur St NE </t>
  </si>
  <si>
    <t xml:space="preserve">945 Oso Rd </t>
  </si>
  <si>
    <t>Ojai</t>
  </si>
  <si>
    <t>Guest</t>
  </si>
  <si>
    <t xml:space="preserve">419 S Candler Ave </t>
  </si>
  <si>
    <t>Maloney</t>
  </si>
  <si>
    <t xml:space="preserve">1721 W Barry Ave </t>
  </si>
  <si>
    <t>Holtzman</t>
  </si>
  <si>
    <t xml:space="preserve">1018 13th St Apt 35 </t>
  </si>
  <si>
    <t>Fly</t>
  </si>
  <si>
    <t xml:space="preserve">2205 Broughton Ct </t>
  </si>
  <si>
    <t>Ansbergs</t>
  </si>
  <si>
    <t>Ginny</t>
  </si>
  <si>
    <t xml:space="preserve">133 E Main St </t>
  </si>
  <si>
    <t>Caitilin</t>
  </si>
  <si>
    <t xml:space="preserve">612 E 4th St </t>
  </si>
  <si>
    <t>Dell Rapids</t>
  </si>
  <si>
    <t>Kroeger-Mappes</t>
  </si>
  <si>
    <t xml:space="preserve">82 Frost Ave </t>
  </si>
  <si>
    <t>Frostburg</t>
  </si>
  <si>
    <t>Sant Subagh</t>
  </si>
  <si>
    <t xml:space="preserve">161 Iroquois Trl </t>
  </si>
  <si>
    <t>Ona</t>
  </si>
  <si>
    <t xml:space="preserve">12788 New England Rd </t>
  </si>
  <si>
    <t>Amesville</t>
  </si>
  <si>
    <t>Sytzko</t>
  </si>
  <si>
    <t xml:space="preserve">0-4727THSTREET </t>
  </si>
  <si>
    <t>Fair Lawn</t>
  </si>
  <si>
    <t>Fetchenhier</t>
  </si>
  <si>
    <t xml:space="preserve">387 SE 171st Rd </t>
  </si>
  <si>
    <t>Proemm</t>
  </si>
  <si>
    <t>Klaus</t>
  </si>
  <si>
    <t xml:space="preserve">14 Harrison St </t>
  </si>
  <si>
    <t>Whynott</t>
  </si>
  <si>
    <t xml:space="preserve">9 Falkland Ln </t>
  </si>
  <si>
    <t>Pucci</t>
  </si>
  <si>
    <t>Josh</t>
  </si>
  <si>
    <t xml:space="preserve">1502 N 22nd St </t>
  </si>
  <si>
    <t xml:space="preserve">8216 Rivergreen Dr </t>
  </si>
  <si>
    <t>Elverta</t>
  </si>
  <si>
    <t xml:space="preserve">125 West St </t>
  </si>
  <si>
    <t>Tache</t>
  </si>
  <si>
    <t xml:space="preserve">13644 Buttercup Ct </t>
  </si>
  <si>
    <t>Penn Valley</t>
  </si>
  <si>
    <t>Hemingway</t>
  </si>
  <si>
    <t>Britlin</t>
  </si>
  <si>
    <t xml:space="preserve">13809 Paisano Cir </t>
  </si>
  <si>
    <t xml:space="preserve">323 Casa Grande </t>
  </si>
  <si>
    <t>Edgewater</t>
  </si>
  <si>
    <t>Bronfman</t>
  </si>
  <si>
    <t xml:space="preserve">2849 E St Unit 5 </t>
  </si>
  <si>
    <t xml:space="preserve">11 Snowberry Dr </t>
  </si>
  <si>
    <t>Scarborough</t>
  </si>
  <si>
    <t>Hersha</t>
  </si>
  <si>
    <t xml:space="preserve">55 Griggs St </t>
  </si>
  <si>
    <t>Dixon</t>
  </si>
  <si>
    <t>Mary Joyce</t>
  </si>
  <si>
    <t xml:space="preserve">6217 Upper Hightower Rd </t>
  </si>
  <si>
    <t>Hiawassee</t>
  </si>
  <si>
    <t>Sedon</t>
  </si>
  <si>
    <t xml:space="preserve">2815 Fry Rd </t>
  </si>
  <si>
    <t>Jefferson</t>
  </si>
  <si>
    <t>21755-7424</t>
  </si>
  <si>
    <t xml:space="preserve">7906 Santa Monica Blvd </t>
  </si>
  <si>
    <t>West Hollywood</t>
  </si>
  <si>
    <t>Kolodney</t>
  </si>
  <si>
    <t xml:space="preserve">100 Pinewood Rd </t>
  </si>
  <si>
    <t>Hartsdale</t>
  </si>
  <si>
    <t>Barrett</t>
  </si>
  <si>
    <t xml:space="preserve">1226 SW Oakley Ave </t>
  </si>
  <si>
    <t>Moan</t>
  </si>
  <si>
    <t xml:space="preserve">12517 26th Ave NE </t>
  </si>
  <si>
    <t>Paur</t>
  </si>
  <si>
    <t xml:space="preserve">2935 Kristin Ct </t>
  </si>
  <si>
    <t>Center Valley</t>
  </si>
  <si>
    <t>Michal</t>
  </si>
  <si>
    <t xml:space="preserve">6147 Country Club Rd </t>
  </si>
  <si>
    <t>Lafond</t>
  </si>
  <si>
    <t>David J.</t>
  </si>
  <si>
    <t xml:space="preserve">70 Brown Ave </t>
  </si>
  <si>
    <t>Holyoke</t>
  </si>
  <si>
    <t xml:space="preserve">532 James Rd </t>
  </si>
  <si>
    <t>Putney</t>
  </si>
  <si>
    <t>Sanfilippo</t>
  </si>
  <si>
    <t xml:space="preserve">3246 Ashford St Unit M </t>
  </si>
  <si>
    <t>Gage</t>
  </si>
  <si>
    <t xml:space="preserve">7313 Boyertown Pike </t>
  </si>
  <si>
    <t>Sennett</t>
  </si>
  <si>
    <t xml:space="preserve">818 Idaho St </t>
  </si>
  <si>
    <t>Lewistown</t>
  </si>
  <si>
    <t xml:space="preserve">202 Dancing Fox Rd </t>
  </si>
  <si>
    <t>Decatur</t>
  </si>
  <si>
    <t>Gelsomino</t>
  </si>
  <si>
    <t xml:space="preserve">121 Ivy Ct </t>
  </si>
  <si>
    <t>Luling</t>
  </si>
  <si>
    <t>Torrisi</t>
  </si>
  <si>
    <t xml:space="preserve">2206 Ardmore Ave </t>
  </si>
  <si>
    <t>Eikenbary</t>
  </si>
  <si>
    <t xml:space="preserve">4750 Pleasant Oak Dr </t>
  </si>
  <si>
    <t xml:space="preserve">2241 El Rancho Dr </t>
  </si>
  <si>
    <t xml:space="preserve">20682 NW Dorado Ln </t>
  </si>
  <si>
    <t>Mary M.</t>
  </si>
  <si>
    <t xml:space="preserve">5732 Grimsby Dr </t>
  </si>
  <si>
    <t>Zenker</t>
  </si>
  <si>
    <t>Rev. Elizabeth</t>
  </si>
  <si>
    <t xml:space="preserve">2917 D St </t>
  </si>
  <si>
    <t>Tessieri</t>
  </si>
  <si>
    <t xml:space="preserve">1210 Normandy Ct </t>
  </si>
  <si>
    <t>Racine</t>
  </si>
  <si>
    <t xml:space="preserve">2308 N Old Hicks Rd Unit 2 </t>
  </si>
  <si>
    <t>Palatine</t>
  </si>
  <si>
    <t>Loo</t>
  </si>
  <si>
    <t xml:space="preserve">8339 Church St </t>
  </si>
  <si>
    <t>McFarland</t>
  </si>
  <si>
    <t xml:space="preserve">1098 Pelham Dr </t>
  </si>
  <si>
    <t>Keswick</t>
  </si>
  <si>
    <t>Mendelson</t>
  </si>
  <si>
    <t>Mimi</t>
  </si>
  <si>
    <t xml:space="preserve">1299 N Tamiami Trl Apt 622 </t>
  </si>
  <si>
    <t>Cecelia</t>
  </si>
  <si>
    <t xml:space="preserve">343 Ashgrove Rd </t>
  </si>
  <si>
    <t>Yanez</t>
  </si>
  <si>
    <t>Guadalupe</t>
  </si>
  <si>
    <t xml:space="preserve">12484 Robert Dahl Dr </t>
  </si>
  <si>
    <t>Steinberg</t>
  </si>
  <si>
    <t xml:space="preserve">272 Edgeware Ct </t>
  </si>
  <si>
    <t xml:space="preserve">2376 Via Mariposa W Unit C </t>
  </si>
  <si>
    <t>Laguna Woods</t>
  </si>
  <si>
    <t>92637-8151</t>
  </si>
  <si>
    <t>Patsy</t>
  </si>
  <si>
    <t xml:space="preserve">942 Breton St </t>
  </si>
  <si>
    <t>Stillwell</t>
  </si>
  <si>
    <t xml:space="preserve">1604 Venice Ave </t>
  </si>
  <si>
    <t xml:space="preserve">435 Garvine Mill Rd </t>
  </si>
  <si>
    <t>Fawn Grove</t>
  </si>
  <si>
    <t xml:space="preserve">9138 Lyniss Dr </t>
  </si>
  <si>
    <t>Commerce Township</t>
  </si>
  <si>
    <t>Jena</t>
  </si>
  <si>
    <t xml:space="preserve">252 Coleman Dr </t>
  </si>
  <si>
    <t>Paulson</t>
  </si>
  <si>
    <t>Melony</t>
  </si>
  <si>
    <t xml:space="preserve">21919 Santaquin Dr </t>
  </si>
  <si>
    <t>Diamond Bar</t>
  </si>
  <si>
    <t>Vorhees</t>
  </si>
  <si>
    <t xml:space="preserve">11310 W McCreery Rd </t>
  </si>
  <si>
    <t>Gaston</t>
  </si>
  <si>
    <t>Lustgarten</t>
  </si>
  <si>
    <t xml:space="preserve">595 Columbus Ave Apt 4E </t>
  </si>
  <si>
    <t>Blakey</t>
  </si>
  <si>
    <t xml:space="preserve">5571 Okemos Rd </t>
  </si>
  <si>
    <t>East Lansing</t>
  </si>
  <si>
    <t>Mettam</t>
  </si>
  <si>
    <t xml:space="preserve">4381 Cedar St </t>
  </si>
  <si>
    <t>Gelles</t>
  </si>
  <si>
    <t xml:space="preserve">1125 Rivera St </t>
  </si>
  <si>
    <t>Yrastorza</t>
  </si>
  <si>
    <t xml:space="preserve">2436 Bonar St </t>
  </si>
  <si>
    <t xml:space="preserve">5985 Buena Vista Ave </t>
  </si>
  <si>
    <t>Cowan</t>
  </si>
  <si>
    <t xml:space="preserve">7340 S Alton Way </t>
  </si>
  <si>
    <t xml:space="preserve">16465 County Road 2830 </t>
  </si>
  <si>
    <t>Mabank</t>
  </si>
  <si>
    <t>Woddail</t>
  </si>
  <si>
    <t xml:space="preserve">6340 Sterling Shores Dr </t>
  </si>
  <si>
    <t>Corbelli</t>
  </si>
  <si>
    <t xml:space="preserve">1440 Park Ave </t>
  </si>
  <si>
    <t xml:space="preserve">471 Hartford Tpke </t>
  </si>
  <si>
    <t>Wienert</t>
  </si>
  <si>
    <t xml:space="preserve">520 Tanacrest Cir </t>
  </si>
  <si>
    <t>Eastey</t>
  </si>
  <si>
    <t xml:space="preserve">12819 SE 38th St </t>
  </si>
  <si>
    <t xml:space="preserve">133 15th Ave W </t>
  </si>
  <si>
    <t xml:space="preserve">121 1/2 Lansing Dr SW </t>
  </si>
  <si>
    <t>Steininger</t>
  </si>
  <si>
    <t xml:space="preserve">67174 Stein Rd </t>
  </si>
  <si>
    <t>43718-9732</t>
  </si>
  <si>
    <t>Vu</t>
  </si>
  <si>
    <t>Hoang</t>
  </si>
  <si>
    <t xml:space="preserve">561 Paseo Refugio </t>
  </si>
  <si>
    <t>Piszczek</t>
  </si>
  <si>
    <t xml:space="preserve">2100 Doral Ct </t>
  </si>
  <si>
    <t>Connie</t>
  </si>
  <si>
    <t xml:space="preserve">147 Sheridan Park </t>
  </si>
  <si>
    <t>Joffe</t>
  </si>
  <si>
    <t xml:space="preserve">2645 S Bayshore Dr </t>
  </si>
  <si>
    <t>Bent</t>
  </si>
  <si>
    <t xml:space="preserve">5526 SE Lexington St </t>
  </si>
  <si>
    <t>Arroyos</t>
  </si>
  <si>
    <t>Glory</t>
  </si>
  <si>
    <t xml:space="preserve">3100 Garden Villa Ln </t>
  </si>
  <si>
    <t xml:space="preserve">17450 Ireland Rd </t>
  </si>
  <si>
    <t xml:space="preserve">5417 Oldtowne Rd </t>
  </si>
  <si>
    <t xml:space="preserve">5312 Leavitt Way </t>
  </si>
  <si>
    <t>Schefter</t>
  </si>
  <si>
    <t xml:space="preserve">13876 S Mullen Ct </t>
  </si>
  <si>
    <t xml:space="preserve">1206 11th St </t>
  </si>
  <si>
    <t xml:space="preserve">12271 Wintergreen St </t>
  </si>
  <si>
    <t>Bushue</t>
  </si>
  <si>
    <t xml:space="preserve">860 Dielman Rd </t>
  </si>
  <si>
    <t>Howes</t>
  </si>
  <si>
    <t xml:space="preserve">105 Bayview Ave </t>
  </si>
  <si>
    <t>Berkley</t>
  </si>
  <si>
    <t>Rappaport</t>
  </si>
  <si>
    <t>Nancy Roslyn</t>
  </si>
  <si>
    <t xml:space="preserve">10311 Royal Rd </t>
  </si>
  <si>
    <t>20903-1616</t>
  </si>
  <si>
    <t>Shalat</t>
  </si>
  <si>
    <t xml:space="preserve">102 42 62 Dr </t>
  </si>
  <si>
    <t>Fraser</t>
  </si>
  <si>
    <t xml:space="preserve">343 S Kirkwood Rd </t>
  </si>
  <si>
    <t>Florin</t>
  </si>
  <si>
    <t>Krista</t>
  </si>
  <si>
    <t xml:space="preserve">42 Oak Ave </t>
  </si>
  <si>
    <t>Tenafly</t>
  </si>
  <si>
    <t>Haire</t>
  </si>
  <si>
    <t xml:space="preserve">3041 Hadley Dr </t>
  </si>
  <si>
    <t>Mira Loma</t>
  </si>
  <si>
    <t xml:space="preserve">5516 Oak Park Dr </t>
  </si>
  <si>
    <t>Lavender</t>
  </si>
  <si>
    <t xml:space="preserve">441 Raritan Ave </t>
  </si>
  <si>
    <t>Atco</t>
  </si>
  <si>
    <t>Schiffelbian</t>
  </si>
  <si>
    <t xml:space="preserve">4528 Clemsford Dr </t>
  </si>
  <si>
    <t>Wenger</t>
  </si>
  <si>
    <t xml:space="preserve">13217 Aurora Dr Spc 63 </t>
  </si>
  <si>
    <t>El Cajon</t>
  </si>
  <si>
    <t>Cory</t>
  </si>
  <si>
    <t xml:space="preserve">PO Box 899 </t>
  </si>
  <si>
    <t>Big Bear City</t>
  </si>
  <si>
    <t>Gerla</t>
  </si>
  <si>
    <t xml:space="preserve">1630 Earl Cir </t>
  </si>
  <si>
    <t>Grand Forks</t>
  </si>
  <si>
    <t>Du Toit</t>
  </si>
  <si>
    <t xml:space="preserve">319 Willis Rd </t>
  </si>
  <si>
    <t>Kucharczyk</t>
  </si>
  <si>
    <t xml:space="preserve">53 Holland View Dr </t>
  </si>
  <si>
    <t>Southington</t>
  </si>
  <si>
    <t>Prybylski</t>
  </si>
  <si>
    <t xml:space="preserve">20 Mayberry Dr E </t>
  </si>
  <si>
    <t xml:space="preserve">681 Templebar Way </t>
  </si>
  <si>
    <t>Los Altos</t>
  </si>
  <si>
    <t>Burkhart</t>
  </si>
  <si>
    <t>Catherine Froehlich</t>
  </si>
  <si>
    <t xml:space="preserve">37615 Chestnut Ridge Rd </t>
  </si>
  <si>
    <t>Barnesville</t>
  </si>
  <si>
    <t>Olkkonen</t>
  </si>
  <si>
    <t xml:space="preserve">511 8th St </t>
  </si>
  <si>
    <t>Calumet</t>
  </si>
  <si>
    <t>Talbot</t>
  </si>
  <si>
    <t xml:space="preserve">WOODRUFF Ave </t>
  </si>
  <si>
    <t>Herring</t>
  </si>
  <si>
    <t>Patti</t>
  </si>
  <si>
    <t xml:space="preserve">7048 S Blue Creek Rd </t>
  </si>
  <si>
    <t>Kokowski</t>
  </si>
  <si>
    <t xml:space="preserve">1336 Methyl St </t>
  </si>
  <si>
    <t>Rosenbaum</t>
  </si>
  <si>
    <t xml:space="preserve">1416 Sheffield Dr NE </t>
  </si>
  <si>
    <t>Baecker</t>
  </si>
  <si>
    <t xml:space="preserve">72 Country Pl </t>
  </si>
  <si>
    <t>Davin</t>
  </si>
  <si>
    <t xml:space="preserve">2846 Lowell St </t>
  </si>
  <si>
    <t xml:space="preserve">27 Wabil Rd </t>
  </si>
  <si>
    <t>Miller Place</t>
  </si>
  <si>
    <t>Huber</t>
  </si>
  <si>
    <t xml:space="preserve">1220 Owings Rd </t>
  </si>
  <si>
    <t>Erlbaum</t>
  </si>
  <si>
    <t xml:space="preserve">7150 Bryan St </t>
  </si>
  <si>
    <t>Kaufman</t>
  </si>
  <si>
    <t xml:space="preserve">93 Center St Apt 1 </t>
  </si>
  <si>
    <t>Rutland</t>
  </si>
  <si>
    <t>Janson</t>
  </si>
  <si>
    <t xml:space="preserve">PO Box 133 </t>
  </si>
  <si>
    <t>Otisco</t>
  </si>
  <si>
    <t>Antich</t>
  </si>
  <si>
    <t xml:space="preserve">226 Charlestown Dr </t>
  </si>
  <si>
    <t>Marchig</t>
  </si>
  <si>
    <t>Stacey</t>
  </si>
  <si>
    <t xml:space="preserve">1153 Daly St </t>
  </si>
  <si>
    <t xml:space="preserve">5110 S 194th St </t>
  </si>
  <si>
    <t xml:space="preserve">910 Bent Ln </t>
  </si>
  <si>
    <t>Erdenheim</t>
  </si>
  <si>
    <t xml:space="preserve">32 Eastmoor Dr </t>
  </si>
  <si>
    <t>Espe</t>
  </si>
  <si>
    <t>Garth</t>
  </si>
  <si>
    <t xml:space="preserve">15132 N 100th Way </t>
  </si>
  <si>
    <t>Weisel</t>
  </si>
  <si>
    <t xml:space="preserve">18513 Nre 159Th St </t>
  </si>
  <si>
    <t xml:space="preserve">2514 Sharmar Rd </t>
  </si>
  <si>
    <t xml:space="preserve">59 Kenyon Ave </t>
  </si>
  <si>
    <t xml:space="preserve">1012 S Elizabeth St </t>
  </si>
  <si>
    <t>Fink</t>
  </si>
  <si>
    <t xml:space="preserve">333 N McDowell Blvd Apt A-168 </t>
  </si>
  <si>
    <t>Chino</t>
  </si>
  <si>
    <t xml:space="preserve">1221 Pine Chase Dr </t>
  </si>
  <si>
    <t>Dane</t>
  </si>
  <si>
    <t xml:space="preserve">4910 English Dr </t>
  </si>
  <si>
    <t xml:space="preserve">107 9th Ave </t>
  </si>
  <si>
    <t xml:space="preserve">2106 E Grand Ave </t>
  </si>
  <si>
    <t>Lindenhurst</t>
  </si>
  <si>
    <t>Grill</t>
  </si>
  <si>
    <t xml:space="preserve">21 Stock Ln </t>
  </si>
  <si>
    <t>Rensselaer</t>
  </si>
  <si>
    <t>Wyatt</t>
  </si>
  <si>
    <t xml:space="preserve">10009 Dibble Ave NW </t>
  </si>
  <si>
    <t>Metzger</t>
  </si>
  <si>
    <t>Luke</t>
  </si>
  <si>
    <t xml:space="preserve">3934 E Elm St </t>
  </si>
  <si>
    <t>Berry</t>
  </si>
  <si>
    <t xml:space="preserve">41 Mill St Apt 213 </t>
  </si>
  <si>
    <t>Hosta</t>
  </si>
  <si>
    <t xml:space="preserve">102 E Willow Dr </t>
  </si>
  <si>
    <t>Round Lake Park</t>
  </si>
  <si>
    <t xml:space="preserve">175 N 66th St </t>
  </si>
  <si>
    <t>Winstead</t>
  </si>
  <si>
    <t xml:space="preserve">7905 Tulip Cir </t>
  </si>
  <si>
    <t>Fast</t>
  </si>
  <si>
    <t xml:space="preserve">8406 Green Rd </t>
  </si>
  <si>
    <t>Dansville</t>
  </si>
  <si>
    <t>Ozora</t>
  </si>
  <si>
    <t>Colleen</t>
  </si>
  <si>
    <t xml:space="preserve">2627 Walnut St </t>
  </si>
  <si>
    <t>Pasetta</t>
  </si>
  <si>
    <t xml:space="preserve">3111 Ellington Dr </t>
  </si>
  <si>
    <t>Habrecht</t>
  </si>
  <si>
    <t xml:space="preserve">5193 Highland Rd </t>
  </si>
  <si>
    <t>Dander</t>
  </si>
  <si>
    <t xml:space="preserve">2 Hawthorne Pl </t>
  </si>
  <si>
    <t>Strong</t>
  </si>
  <si>
    <t xml:space="preserve">E4635 Lake Rd </t>
  </si>
  <si>
    <t>Ironwood</t>
  </si>
  <si>
    <t xml:space="preserve">1312 Twin Silo Dr </t>
  </si>
  <si>
    <t>Blue Bell</t>
  </si>
  <si>
    <t>Rolbeck</t>
  </si>
  <si>
    <t xml:space="preserve">2768 Countryside Dr </t>
  </si>
  <si>
    <t>Hadden-Martinez</t>
  </si>
  <si>
    <t xml:space="preserve">3 Sombra Del Monte Rd </t>
  </si>
  <si>
    <t>Placitas</t>
  </si>
  <si>
    <t>Glassman</t>
  </si>
  <si>
    <t xml:space="preserve">45 Baltusrol Dr </t>
  </si>
  <si>
    <t>Harlow</t>
  </si>
  <si>
    <t xml:space="preserve">1152 E Purcell Ln </t>
  </si>
  <si>
    <t>Rembold</t>
  </si>
  <si>
    <t xml:space="preserve">3312 Bewley St </t>
  </si>
  <si>
    <t>Haltom City</t>
  </si>
  <si>
    <t>76117-3319</t>
  </si>
  <si>
    <t>Goldman</t>
  </si>
  <si>
    <t xml:space="preserve">212 N Market St </t>
  </si>
  <si>
    <t>Thorntown</t>
  </si>
  <si>
    <t>46071-1016</t>
  </si>
  <si>
    <t>Harrington</t>
  </si>
  <si>
    <t xml:space="preserve">318 Woodrow Ave </t>
  </si>
  <si>
    <t xml:space="preserve">11 Blackstone St Apt 7 </t>
  </si>
  <si>
    <t>Cordasco</t>
  </si>
  <si>
    <t>Gaetana</t>
  </si>
  <si>
    <t xml:space="preserve">7157 S Hill Rd </t>
  </si>
  <si>
    <t>Deforest</t>
  </si>
  <si>
    <t>Noreen</t>
  </si>
  <si>
    <t xml:space="preserve">1810 Rice Valley South Rd </t>
  </si>
  <si>
    <t>Mahan</t>
  </si>
  <si>
    <t>Lelea</t>
  </si>
  <si>
    <t xml:space="preserve">314 Willow Ave </t>
  </si>
  <si>
    <t>South San Francisco</t>
  </si>
  <si>
    <t>Breese</t>
  </si>
  <si>
    <t xml:space="preserve">5757 S Main St </t>
  </si>
  <si>
    <t>Rock Hall</t>
  </si>
  <si>
    <t>Futrick</t>
  </si>
  <si>
    <t xml:space="preserve">24 Pacific Ave </t>
  </si>
  <si>
    <t>Sinking Spring</t>
  </si>
  <si>
    <t xml:space="preserve">6641 N Cibola </t>
  </si>
  <si>
    <t>Scanlon</t>
  </si>
  <si>
    <t xml:space="preserve">Sunglowaura Aolcom </t>
  </si>
  <si>
    <t>Quist</t>
  </si>
  <si>
    <t xml:space="preserve">560 Park Ln </t>
  </si>
  <si>
    <t>Cervantes</t>
  </si>
  <si>
    <t xml:space="preserve">823 W Boston Ave </t>
  </si>
  <si>
    <t>Kite</t>
  </si>
  <si>
    <t>Colne</t>
  </si>
  <si>
    <t>Lancashire</t>
  </si>
  <si>
    <t>BB8 9AW</t>
  </si>
  <si>
    <t>GB</t>
  </si>
  <si>
    <t xml:space="preserve">13 Arbor Club Dr Unit 315 </t>
  </si>
  <si>
    <t>Ponte Vedra Beach</t>
  </si>
  <si>
    <t>Yee</t>
  </si>
  <si>
    <t>Danny</t>
  </si>
  <si>
    <t xml:space="preserve">2704 Laramie Gate Cir </t>
  </si>
  <si>
    <t>Pleasanton</t>
  </si>
  <si>
    <t>Carny</t>
  </si>
  <si>
    <t xml:space="preserve">782 Mapleview Dr </t>
  </si>
  <si>
    <t>Old Bridge</t>
  </si>
  <si>
    <t>Laube</t>
  </si>
  <si>
    <t xml:space="preserve">42095 Crazy Horse Cnrd </t>
  </si>
  <si>
    <t>Aguanga</t>
  </si>
  <si>
    <t>Bazell</t>
  </si>
  <si>
    <t xml:space="preserve">808 Grand Central St Apt 3 </t>
  </si>
  <si>
    <t>Florsheim</t>
  </si>
  <si>
    <t xml:space="preserve">PO Box 2367 </t>
  </si>
  <si>
    <t>Providence</t>
  </si>
  <si>
    <t xml:space="preserve">PO Box 13023 </t>
  </si>
  <si>
    <t>Offutt Afb</t>
  </si>
  <si>
    <t>Willner</t>
  </si>
  <si>
    <t xml:space="preserve">190 Cherry St # 10D </t>
  </si>
  <si>
    <t>Katonah</t>
  </si>
  <si>
    <t xml:space="preserve">4422 Mccleester Dr </t>
  </si>
  <si>
    <t>San Felipe</t>
  </si>
  <si>
    <t>Alpert</t>
  </si>
  <si>
    <t xml:space="preserve">3003 Plyers Mill Rd # R </t>
  </si>
  <si>
    <t xml:space="preserve">2275 Bolger Ave </t>
  </si>
  <si>
    <t>Spring Hill</t>
  </si>
  <si>
    <t>Jessop</t>
  </si>
  <si>
    <t xml:space="preserve">PO Box 2989 </t>
  </si>
  <si>
    <t>Espanola</t>
  </si>
  <si>
    <t xml:space="preserve">40 Douglas Cir </t>
  </si>
  <si>
    <t>Greenville</t>
  </si>
  <si>
    <t>Fosmark</t>
  </si>
  <si>
    <t xml:space="preserve">17302 270th Ave SE </t>
  </si>
  <si>
    <t>Issaquah</t>
  </si>
  <si>
    <t xml:space="preserve">37 Malibu </t>
  </si>
  <si>
    <t>Laguna Niguel</t>
  </si>
  <si>
    <t>Kring</t>
  </si>
  <si>
    <t>Juli</t>
  </si>
  <si>
    <t xml:space="preserve">12400 Brookglade Cir Unit 42 </t>
  </si>
  <si>
    <t xml:space="preserve">283 Wales Rd </t>
  </si>
  <si>
    <t>Monson</t>
  </si>
  <si>
    <t xml:space="preserve">N14397 380th St </t>
  </si>
  <si>
    <t>Ridgeland</t>
  </si>
  <si>
    <t>Clare</t>
  </si>
  <si>
    <t>ON</t>
  </si>
  <si>
    <t>L5H 3Y5</t>
  </si>
  <si>
    <t>Loughney</t>
  </si>
  <si>
    <t xml:space="preserve">15 Ninham Ave </t>
  </si>
  <si>
    <t>Waldron</t>
  </si>
  <si>
    <t xml:space="preserve">2723 6th Ave </t>
  </si>
  <si>
    <t>Fuqua</t>
  </si>
  <si>
    <t xml:space="preserve">3411 Springrock Ln </t>
  </si>
  <si>
    <t xml:space="preserve">1955 Pajaro Ln </t>
  </si>
  <si>
    <t>Freedom</t>
  </si>
  <si>
    <t>Colston</t>
  </si>
  <si>
    <t xml:space="preserve">603 Wooster Pike </t>
  </si>
  <si>
    <t>Terrace Park</t>
  </si>
  <si>
    <t xml:space="preserve">PO Box 1531 </t>
  </si>
  <si>
    <t xml:space="preserve">594 Wild Turkey Run </t>
  </si>
  <si>
    <t>Chrisman</t>
  </si>
  <si>
    <t xml:space="preserve">1418 Eastwood Ave </t>
  </si>
  <si>
    <t xml:space="preserve">1150 Kinau St Apt 603 </t>
  </si>
  <si>
    <t>Nassirpour</t>
  </si>
  <si>
    <t xml:space="preserve">2833 Rockaway Ln </t>
  </si>
  <si>
    <t>Breitwisch</t>
  </si>
  <si>
    <t xml:space="preserve">2692 NE Palazza Way # 2504 </t>
  </si>
  <si>
    <t>Schreiner</t>
  </si>
  <si>
    <t>Erik</t>
  </si>
  <si>
    <t xml:space="preserve">423 Chesterfield Rd </t>
  </si>
  <si>
    <t>Kosiorek</t>
  </si>
  <si>
    <t xml:space="preserve">238 Osborne Ter </t>
  </si>
  <si>
    <t>Zoulalian</t>
  </si>
  <si>
    <t>Nancy Jane</t>
  </si>
  <si>
    <t xml:space="preserve">20 Plain St </t>
  </si>
  <si>
    <t>Easthampton</t>
  </si>
  <si>
    <t>Abrahamson</t>
  </si>
  <si>
    <t xml:space="preserve">1111 Shakespeare St </t>
  </si>
  <si>
    <t>Seitz-Hipkins</t>
  </si>
  <si>
    <t>Manuela</t>
  </si>
  <si>
    <t xml:space="preserve">VIRGINIA Ave </t>
  </si>
  <si>
    <t>Moss Beach</t>
  </si>
  <si>
    <t>Sperbeck</t>
  </si>
  <si>
    <t xml:space="preserve">618 E Monroe St </t>
  </si>
  <si>
    <t>Little Falls</t>
  </si>
  <si>
    <t>Callaway</t>
  </si>
  <si>
    <t xml:space="preserve">418 N 8th Ave </t>
  </si>
  <si>
    <t>Kaufmann</t>
  </si>
  <si>
    <t xml:space="preserve">1011 Kingston St </t>
  </si>
  <si>
    <t xml:space="preserve">5125 Palm Springs Blvd Unit 2307 </t>
  </si>
  <si>
    <t>Tierney</t>
  </si>
  <si>
    <t xml:space="preserve">4014 E Colorado St </t>
  </si>
  <si>
    <t>Cosgrave</t>
  </si>
  <si>
    <t>BC</t>
  </si>
  <si>
    <t>V8T 2R6</t>
  </si>
  <si>
    <t>Herrick</t>
  </si>
  <si>
    <t xml:space="preserve">502 W Montgomery St # 340 </t>
  </si>
  <si>
    <t>Sargent</t>
  </si>
  <si>
    <t xml:space="preserve">40 Alta Vista Ave </t>
  </si>
  <si>
    <t xml:space="preserve">13 Camino Del Caballo </t>
  </si>
  <si>
    <t>Ranchos De Taos</t>
  </si>
  <si>
    <t xml:space="preserve">1493 Dover Center Rd </t>
  </si>
  <si>
    <t>Westlake</t>
  </si>
  <si>
    <t>Barker</t>
  </si>
  <si>
    <t xml:space="preserve">567 Heather Way </t>
  </si>
  <si>
    <t>Conlan</t>
  </si>
  <si>
    <t>Anda</t>
  </si>
  <si>
    <t xml:space="preserve">852 Massachusetts Ave Apt 1 </t>
  </si>
  <si>
    <t>Zinnes</t>
  </si>
  <si>
    <t>Gomez</t>
  </si>
  <si>
    <t>Armando</t>
  </si>
  <si>
    <t>Schlazer</t>
  </si>
  <si>
    <t xml:space="preserve">8670 Tierra Lago Cv </t>
  </si>
  <si>
    <t xml:space="preserve">5649 Clemens Rd </t>
  </si>
  <si>
    <t>Jimmy</t>
  </si>
  <si>
    <t xml:space="preserve">401 Brian Dr </t>
  </si>
  <si>
    <t>Hurdt</t>
  </si>
  <si>
    <t xml:space="preserve">3741 Wolff St </t>
  </si>
  <si>
    <t xml:space="preserve">6063 Medcalf Rd </t>
  </si>
  <si>
    <t xml:space="preserve">1685 NC 152 W </t>
  </si>
  <si>
    <t>China Grove</t>
  </si>
  <si>
    <t>O'Neil</t>
  </si>
  <si>
    <t xml:space="preserve">16 Washburn Ave </t>
  </si>
  <si>
    <t>Emery</t>
  </si>
  <si>
    <t>Leora</t>
  </si>
  <si>
    <t xml:space="preserve">21815 146th Ave E </t>
  </si>
  <si>
    <t>Stark</t>
  </si>
  <si>
    <t xml:space="preserve">4020 Garfield Ave </t>
  </si>
  <si>
    <t>Labbe</t>
  </si>
  <si>
    <t xml:space="preserve">107 E Sterling Way </t>
  </si>
  <si>
    <t>Carlo-Richards</t>
  </si>
  <si>
    <t>Reggie</t>
  </si>
  <si>
    <t xml:space="preserve">2525 Arapahoe Ave Unit P </t>
  </si>
  <si>
    <t>Heastie</t>
  </si>
  <si>
    <t>Demetrius</t>
  </si>
  <si>
    <t xml:space="preserve">PO Box 11272 </t>
  </si>
  <si>
    <t>Meo</t>
  </si>
  <si>
    <t xml:space="preserve">806 Sharon Dr </t>
  </si>
  <si>
    <t>Seljestad</t>
  </si>
  <si>
    <t xml:space="preserve">3450 Conte Dr </t>
  </si>
  <si>
    <t>Carson City</t>
  </si>
  <si>
    <t xml:space="preserve">116 S Tyler St </t>
  </si>
  <si>
    <t>Masha</t>
  </si>
  <si>
    <t xml:space="preserve">20719 Chadbury Park Dr </t>
  </si>
  <si>
    <t>McCandless</t>
  </si>
  <si>
    <t xml:space="preserve">5450 Beaumont Ave </t>
  </si>
  <si>
    <t>Du Preez</t>
  </si>
  <si>
    <t xml:space="preserve">2 Martins Way Westering </t>
  </si>
  <si>
    <t>East Glastonbury</t>
  </si>
  <si>
    <t>Ahmed-Cramer</t>
  </si>
  <si>
    <t>Nagwa</t>
  </si>
  <si>
    <t xml:space="preserve">2426 W Tilghman St </t>
  </si>
  <si>
    <t>Allentown</t>
  </si>
  <si>
    <t>Strauss</t>
  </si>
  <si>
    <t xml:space="preserve">14310 Mariposa St </t>
  </si>
  <si>
    <t xml:space="preserve">3643 Waco St </t>
  </si>
  <si>
    <t>Harden</t>
  </si>
  <si>
    <t xml:space="preserve">244 Cedar Holw </t>
  </si>
  <si>
    <t>Manheim</t>
  </si>
  <si>
    <t>Orta</t>
  </si>
  <si>
    <t xml:space="preserve">809 Spring St </t>
  </si>
  <si>
    <t>Rickert</t>
  </si>
  <si>
    <t xml:space="preserve">21 Spinning Wheel Rd Apt 15K </t>
  </si>
  <si>
    <t>Hinsdale</t>
  </si>
  <si>
    <t>Ouimet</t>
  </si>
  <si>
    <t xml:space="preserve">6708 Hillglen Way </t>
  </si>
  <si>
    <t xml:space="preserve">4255 Kittredge St Apt 1222 </t>
  </si>
  <si>
    <t>Puckett</t>
  </si>
  <si>
    <t>Neil</t>
  </si>
  <si>
    <t xml:space="preserve">2212 Glen Vista Dr </t>
  </si>
  <si>
    <t>Galone</t>
  </si>
  <si>
    <t xml:space="preserve">8004 Colfax St </t>
  </si>
  <si>
    <t>Morrisey</t>
  </si>
  <si>
    <t xml:space="preserve">131 Burr Oak Dr </t>
  </si>
  <si>
    <t>Spring Arbor</t>
  </si>
  <si>
    <t>Huyser</t>
  </si>
  <si>
    <t xml:space="preserve">1402 Crestwood Rd </t>
  </si>
  <si>
    <t>Vida Lvt</t>
  </si>
  <si>
    <t xml:space="preserve">4291 Dalson Rd None </t>
  </si>
  <si>
    <t>Twin Lake</t>
  </si>
  <si>
    <t>Small</t>
  </si>
  <si>
    <t xml:space="preserve">5174 Supai Dr </t>
  </si>
  <si>
    <t>Hirt</t>
  </si>
  <si>
    <t xml:space="preserve">12952 74th Ave NE </t>
  </si>
  <si>
    <t>East</t>
  </si>
  <si>
    <t xml:space="preserve">2730 Wesley Dr </t>
  </si>
  <si>
    <t>Villa Hills</t>
  </si>
  <si>
    <t>Boudreaux</t>
  </si>
  <si>
    <t xml:space="preserve">2614 Scotts Right of Way </t>
  </si>
  <si>
    <t>Silver</t>
  </si>
  <si>
    <t xml:space="preserve">1829 Sea Oats Dr </t>
  </si>
  <si>
    <t>Atlantic Beach</t>
  </si>
  <si>
    <t xml:space="preserve">67 Nine Mile Ln </t>
  </si>
  <si>
    <t>Wittl</t>
  </si>
  <si>
    <t xml:space="preserve">3069 Calle Mariposa </t>
  </si>
  <si>
    <t>Dust</t>
  </si>
  <si>
    <t xml:space="preserve">6115 S Massasoit Ave </t>
  </si>
  <si>
    <t>Vieira</t>
  </si>
  <si>
    <t xml:space="preserve">36 Summit Ave </t>
  </si>
  <si>
    <t>North Dartmouth</t>
  </si>
  <si>
    <t>Klabbatz</t>
  </si>
  <si>
    <t xml:space="preserve">4111 Swinden Dr </t>
  </si>
  <si>
    <t>Kettle</t>
  </si>
  <si>
    <t>Ma</t>
  </si>
  <si>
    <t xml:space="preserve">100 Manhattan Beach Blvd </t>
  </si>
  <si>
    <t>Plevritis</t>
  </si>
  <si>
    <t>Norridge</t>
  </si>
  <si>
    <t>Naqwi</t>
  </si>
  <si>
    <t xml:space="preserve">17862 Steading Rd </t>
  </si>
  <si>
    <t>Alysoun</t>
  </si>
  <si>
    <t xml:space="preserve">322 W 6th Ave </t>
  </si>
  <si>
    <t>Clark Fork</t>
  </si>
  <si>
    <t>Vazquez</t>
  </si>
  <si>
    <t>Marcelo</t>
  </si>
  <si>
    <t xml:space="preserve">240 DOGWOOD </t>
  </si>
  <si>
    <t>Alabama</t>
  </si>
  <si>
    <t>Hoven</t>
  </si>
  <si>
    <t>Becky</t>
  </si>
  <si>
    <t xml:space="preserve">4223 SE 10th Ave </t>
  </si>
  <si>
    <t xml:space="preserve">9803 E Cisco Ct </t>
  </si>
  <si>
    <t>Kiyak</t>
  </si>
  <si>
    <t xml:space="preserve">635 Eagle St </t>
  </si>
  <si>
    <t>Dunkirk</t>
  </si>
  <si>
    <t xml:space="preserve">7003 Spruce Hill Cir </t>
  </si>
  <si>
    <t>Baudler</t>
  </si>
  <si>
    <t>Wolfgang</t>
  </si>
  <si>
    <t xml:space="preserve">829 N Fork Loop </t>
  </si>
  <si>
    <t>Green Bank</t>
  </si>
  <si>
    <t xml:space="preserve">310 Rose Ave </t>
  </si>
  <si>
    <t>Colfax</t>
  </si>
  <si>
    <t>Matthews</t>
  </si>
  <si>
    <t>Terumi</t>
  </si>
  <si>
    <t xml:space="preserve">31 Wolcott St </t>
  </si>
  <si>
    <t>Trip</t>
  </si>
  <si>
    <t xml:space="preserve">400 2nd Ave NE </t>
  </si>
  <si>
    <t>Abbotts</t>
  </si>
  <si>
    <t xml:space="preserve">109 Lafayette Dr </t>
  </si>
  <si>
    <t>Bleecker</t>
  </si>
  <si>
    <t xml:space="preserve">650 Willow Valley Sq </t>
  </si>
  <si>
    <t>Harries</t>
  </si>
  <si>
    <t xml:space="preserve">48 Himount Dr </t>
  </si>
  <si>
    <t>Hathcock</t>
  </si>
  <si>
    <t xml:space="preserve">303 E 2nd Ave </t>
  </si>
  <si>
    <t>Lenoir City</t>
  </si>
  <si>
    <t xml:space="preserve">9393 E Palo Brea Bnd </t>
  </si>
  <si>
    <t>Fairbairn</t>
  </si>
  <si>
    <t xml:space="preserve">HADLEY Ct </t>
  </si>
  <si>
    <t>Fort Myers</t>
  </si>
  <si>
    <t xml:space="preserve">4332 Fake St </t>
  </si>
  <si>
    <t>Gold Canyon</t>
  </si>
  <si>
    <t xml:space="preserve">3009 Royston Ave </t>
  </si>
  <si>
    <t>Romine</t>
  </si>
  <si>
    <t>Melia</t>
  </si>
  <si>
    <t xml:space="preserve">177 Echo Ln </t>
  </si>
  <si>
    <t>Toney</t>
  </si>
  <si>
    <t>Keene</t>
  </si>
  <si>
    <t xml:space="preserve">216 Reward St </t>
  </si>
  <si>
    <t xml:space="preserve">10 Belnay Ln </t>
  </si>
  <si>
    <t>Montvale</t>
  </si>
  <si>
    <t>Wellman</t>
  </si>
  <si>
    <t xml:space="preserve">2750 Turkey Hen Mountain Ln </t>
  </si>
  <si>
    <t>Lenoir</t>
  </si>
  <si>
    <t>Siegrist</t>
  </si>
  <si>
    <t xml:space="preserve">347 Central Park Ave Apt A </t>
  </si>
  <si>
    <t>Scarsdale</t>
  </si>
  <si>
    <t>Oyos</t>
  </si>
  <si>
    <t>Mona</t>
  </si>
  <si>
    <t xml:space="preserve">216 Mount Hermon Rd Ste E </t>
  </si>
  <si>
    <t xml:space="preserve">130 S Main St </t>
  </si>
  <si>
    <t xml:space="preserve">3167 Landis St </t>
  </si>
  <si>
    <t>Helga</t>
  </si>
  <si>
    <t xml:space="preserve">12669 Westbranch Way </t>
  </si>
  <si>
    <t>Sciacca</t>
  </si>
  <si>
    <t xml:space="preserve">265 W 8th Ave </t>
  </si>
  <si>
    <t>MacArthur</t>
  </si>
  <si>
    <t xml:space="preserve">2020 Hanover St </t>
  </si>
  <si>
    <t>Paul D.</t>
  </si>
  <si>
    <t xml:space="preserve">3 B ELINGER St </t>
  </si>
  <si>
    <t>Karlsruhe, Gy</t>
  </si>
  <si>
    <t>Denmeade</t>
  </si>
  <si>
    <t xml:space="preserve">269 JOHNEY BROOK Rd </t>
  </si>
  <si>
    <t>Wrj</t>
  </si>
  <si>
    <t xml:space="preserve">301 W 112th St </t>
  </si>
  <si>
    <t>Jolliffe</t>
  </si>
  <si>
    <t>Share</t>
  </si>
  <si>
    <t xml:space="preserve">4740 34th Ave NE </t>
  </si>
  <si>
    <t>Star</t>
  </si>
  <si>
    <t xml:space="preserve">1989 Villa Napoli Loop W </t>
  </si>
  <si>
    <t xml:space="preserve">8975 SW Sweek Dr </t>
  </si>
  <si>
    <t>Tualatin</t>
  </si>
  <si>
    <t>Van Deusen</t>
  </si>
  <si>
    <t xml:space="preserve">1451 Dogwood Dr </t>
  </si>
  <si>
    <t>Rifle</t>
  </si>
  <si>
    <t xml:space="preserve">6703 NW 7th St # JSO2980 </t>
  </si>
  <si>
    <t>Brehm</t>
  </si>
  <si>
    <t xml:space="preserve">705 Day Ln </t>
  </si>
  <si>
    <t>Hupp</t>
  </si>
  <si>
    <t>Sikarskie</t>
  </si>
  <si>
    <t xml:space="preserve">9668 SE Denali Dr </t>
  </si>
  <si>
    <t>Ahlgren</t>
  </si>
  <si>
    <t xml:space="preserve">3540 Martin Rd </t>
  </si>
  <si>
    <t>Ezinicki</t>
  </si>
  <si>
    <t xml:space="preserve">50 Vincent Ave </t>
  </si>
  <si>
    <t>Gayeski</t>
  </si>
  <si>
    <t xml:space="preserve">12737 NE 30th St </t>
  </si>
  <si>
    <t>Ketner</t>
  </si>
  <si>
    <t>Janine</t>
  </si>
  <si>
    <t xml:space="preserve">2613 Killdeer Dr </t>
  </si>
  <si>
    <t>Buehler</t>
  </si>
  <si>
    <t xml:space="preserve">PO Box 917 </t>
  </si>
  <si>
    <t>Hartline</t>
  </si>
  <si>
    <t xml:space="preserve">15 Melillo Ave </t>
  </si>
  <si>
    <t>Felmeth</t>
  </si>
  <si>
    <t xml:space="preserve">1265 Green St </t>
  </si>
  <si>
    <t>Vergennes</t>
  </si>
  <si>
    <t xml:space="preserve">3810 SW 94th Ave </t>
  </si>
  <si>
    <t xml:space="preserve">12 Exeter Rd </t>
  </si>
  <si>
    <t>East Windsor</t>
  </si>
  <si>
    <t>Vigil</t>
  </si>
  <si>
    <t xml:space="preserve">PO Box 343 </t>
  </si>
  <si>
    <t>Kenyon</t>
  </si>
  <si>
    <t xml:space="preserve">110 Main St Apt 309 </t>
  </si>
  <si>
    <t>Saco</t>
  </si>
  <si>
    <t>Kerry</t>
  </si>
  <si>
    <t xml:space="preserve">W2051 Hannah Ln </t>
  </si>
  <si>
    <t>Garza</t>
  </si>
  <si>
    <t xml:space="preserve">2673 Wellingham Dr </t>
  </si>
  <si>
    <t>Livermore</t>
  </si>
  <si>
    <t>Kladnik</t>
  </si>
  <si>
    <t xml:space="preserve">3530 N Monte Vista Dr </t>
  </si>
  <si>
    <t>Bochantin</t>
  </si>
  <si>
    <t>Leona</t>
  </si>
  <si>
    <t xml:space="preserve">6 Ridgemont Cir </t>
  </si>
  <si>
    <t xml:space="preserve">39915 Mad Creek Rd Gates </t>
  </si>
  <si>
    <t>Gates</t>
  </si>
  <si>
    <t xml:space="preserve">198 Sears Rd </t>
  </si>
  <si>
    <t>West Islip</t>
  </si>
  <si>
    <t>Forner</t>
  </si>
  <si>
    <t xml:space="preserve">200 N Wynnewood Ave </t>
  </si>
  <si>
    <t>Gans</t>
  </si>
  <si>
    <t>Naomi Beth</t>
  </si>
  <si>
    <t xml:space="preserve">3630 Oxford Ave </t>
  </si>
  <si>
    <t>Ring</t>
  </si>
  <si>
    <t xml:space="preserve">29814 Keller Dr </t>
  </si>
  <si>
    <t xml:space="preserve">14604 Lake Magdalene Cir </t>
  </si>
  <si>
    <t>Laliberte</t>
  </si>
  <si>
    <t xml:space="preserve">35553 Oak View Dr </t>
  </si>
  <si>
    <t>Brownsville</t>
  </si>
  <si>
    <t>Manz</t>
  </si>
  <si>
    <t xml:space="preserve">10 Piesbridge Rd </t>
  </si>
  <si>
    <t>Maryknoll</t>
  </si>
  <si>
    <t>Leske</t>
  </si>
  <si>
    <t xml:space="preserve">402 MAG St </t>
  </si>
  <si>
    <t>Silber</t>
  </si>
  <si>
    <t xml:space="preserve">2086 Ben Hill Rd </t>
  </si>
  <si>
    <t>Joeanne</t>
  </si>
  <si>
    <t xml:space="preserve">4165 Aikepa St </t>
  </si>
  <si>
    <t>Ghosh</t>
  </si>
  <si>
    <t>Sudeshna</t>
  </si>
  <si>
    <t xml:space="preserve">3501 Jefferson Hwy </t>
  </si>
  <si>
    <t>Hathaway-Bates</t>
  </si>
  <si>
    <t xml:space="preserve">8545 Saturn St </t>
  </si>
  <si>
    <t>Diamond</t>
  </si>
  <si>
    <t xml:space="preserve">10101 N Arabian Trl Unit 2027 </t>
  </si>
  <si>
    <t xml:space="preserve">3532 Autumn Lake Dr </t>
  </si>
  <si>
    <t>Rock Hill</t>
  </si>
  <si>
    <t>Rodrigues</t>
  </si>
  <si>
    <t>Shane</t>
  </si>
  <si>
    <t xml:space="preserve">1100 E 17th Ave </t>
  </si>
  <si>
    <t xml:space="preserve">1695 S Clayton St </t>
  </si>
  <si>
    <t>Alva</t>
  </si>
  <si>
    <t xml:space="preserve">PO Box 25 </t>
  </si>
  <si>
    <t>Cedaredge</t>
  </si>
  <si>
    <t>Corrigan</t>
  </si>
  <si>
    <t xml:space="preserve">715 Old West Point Rd </t>
  </si>
  <si>
    <t>Starkville</t>
  </si>
  <si>
    <t xml:space="preserve">84 Maury St </t>
  </si>
  <si>
    <t>Stough</t>
  </si>
  <si>
    <t>Earlene</t>
  </si>
  <si>
    <t xml:space="preserve">815 Amelia St </t>
  </si>
  <si>
    <t>Hollidaysburg</t>
  </si>
  <si>
    <t>Coxall</t>
  </si>
  <si>
    <t xml:space="preserve">Cortijo Cornelio Bz 24 Lagares De Galan </t>
  </si>
  <si>
    <t>West Columbia</t>
  </si>
  <si>
    <t>Pedersen</t>
  </si>
  <si>
    <t xml:space="preserve">11 Delaware Rd </t>
  </si>
  <si>
    <t>Nashua</t>
  </si>
  <si>
    <t>Isabel</t>
  </si>
  <si>
    <t xml:space="preserve">2737 Devonshire Pl NW Ofc NW </t>
  </si>
  <si>
    <t>Venetia</t>
  </si>
  <si>
    <t xml:space="preserve">7168 Etiwanda Ave </t>
  </si>
  <si>
    <t>Barber</t>
  </si>
  <si>
    <t xml:space="preserve">2475 S Tropical Trl </t>
  </si>
  <si>
    <t>Merritt Island</t>
  </si>
  <si>
    <t xml:space="preserve">8580 SW 73rd Ave </t>
  </si>
  <si>
    <t>Weinstein</t>
  </si>
  <si>
    <t>M. Steven</t>
  </si>
  <si>
    <t xml:space="preserve">PO Box 64 </t>
  </si>
  <si>
    <t>Borie</t>
  </si>
  <si>
    <t xml:space="preserve">6 Hickory Hill Rd </t>
  </si>
  <si>
    <t>Mattke</t>
  </si>
  <si>
    <t>Pam And Tom</t>
  </si>
  <si>
    <t xml:space="preserve">704 Merlin Dr </t>
  </si>
  <si>
    <t>Cawley</t>
  </si>
  <si>
    <t xml:space="preserve">980 S Coit Rd </t>
  </si>
  <si>
    <t>Prosper</t>
  </si>
  <si>
    <t xml:space="preserve">1912 Windriver Dr </t>
  </si>
  <si>
    <t>Jefferson City</t>
  </si>
  <si>
    <t>Passty</t>
  </si>
  <si>
    <t>Dr. Jeanette N.</t>
  </si>
  <si>
    <t xml:space="preserve">1801 Martin Luther King Dr </t>
  </si>
  <si>
    <t>Canorro</t>
  </si>
  <si>
    <t xml:space="preserve">14206 Whitecross Dr </t>
  </si>
  <si>
    <t xml:space="preserve">209 Market St Apt 20 </t>
  </si>
  <si>
    <t>Swan</t>
  </si>
  <si>
    <t>Linda G</t>
  </si>
  <si>
    <t xml:space="preserve">13201 Burke Rd </t>
  </si>
  <si>
    <t>Los Altos Hills</t>
  </si>
  <si>
    <t xml:space="preserve">849 N Anderson St </t>
  </si>
  <si>
    <t>Elwood</t>
  </si>
  <si>
    <t>Sincere</t>
  </si>
  <si>
    <t xml:space="preserve">PO Box 2 </t>
  </si>
  <si>
    <t>Sevinor</t>
  </si>
  <si>
    <t>Shelly</t>
  </si>
  <si>
    <t xml:space="preserve">263 Hale St </t>
  </si>
  <si>
    <t>Milhaus</t>
  </si>
  <si>
    <t xml:space="preserve">1401 Blair Mill Rd Apt 917 </t>
  </si>
  <si>
    <t>Fackler</t>
  </si>
  <si>
    <t xml:space="preserve">828 Miami Ridge Dr </t>
  </si>
  <si>
    <t xml:space="preserve">1110 E 9th St </t>
  </si>
  <si>
    <t>Lockport</t>
  </si>
  <si>
    <t>Magdowski</t>
  </si>
  <si>
    <t>Annmary</t>
  </si>
  <si>
    <t xml:space="preserve">37 Amherst Rd </t>
  </si>
  <si>
    <t>Hoover-Dempsey</t>
  </si>
  <si>
    <t xml:space="preserve">2829 HUDSON Rd </t>
  </si>
  <si>
    <t>Montealegre</t>
  </si>
  <si>
    <t>A.F.</t>
  </si>
  <si>
    <t xml:space="preserve">1130 SW 154th Ave </t>
  </si>
  <si>
    <t>Compton</t>
  </si>
  <si>
    <t xml:space="preserve">408 Bear Trl </t>
  </si>
  <si>
    <t>Whitefish</t>
  </si>
  <si>
    <t>Phinney</t>
  </si>
  <si>
    <t xml:space="preserve">62 Scenic Dr </t>
  </si>
  <si>
    <t>Orinda</t>
  </si>
  <si>
    <t xml:space="preserve">3608 Creekstone Ct </t>
  </si>
  <si>
    <t>Hiller</t>
  </si>
  <si>
    <t xml:space="preserve">414 Sackett St </t>
  </si>
  <si>
    <t>Ezoe</t>
  </si>
  <si>
    <t>Fumiko</t>
  </si>
  <si>
    <t xml:space="preserve">1277 E Siena Heights Dr </t>
  </si>
  <si>
    <t xml:space="preserve">14107 Denbridge Ct TX </t>
  </si>
  <si>
    <t>Fingerman</t>
  </si>
  <si>
    <t xml:space="preserve">PO Box 977 </t>
  </si>
  <si>
    <t>Monteagle</t>
  </si>
  <si>
    <t>Zangerle</t>
  </si>
  <si>
    <t xml:space="preserve">240 60th St </t>
  </si>
  <si>
    <t>Caledonia</t>
  </si>
  <si>
    <t>Aures</t>
  </si>
  <si>
    <t xml:space="preserve">117 Klas Ave </t>
  </si>
  <si>
    <t>Enfield</t>
  </si>
  <si>
    <t xml:space="preserve">3997 Dehesa Ct </t>
  </si>
  <si>
    <t xml:space="preserve">3530 Hamstead Ct </t>
  </si>
  <si>
    <t>Kuru</t>
  </si>
  <si>
    <t xml:space="preserve">3093 Midgard Rd </t>
  </si>
  <si>
    <t>Ln</t>
  </si>
  <si>
    <t xml:space="preserve">5656 E Justine Rd </t>
  </si>
  <si>
    <t>Proubasta</t>
  </si>
  <si>
    <t xml:space="preserve">1000 N Shrewsbury Ln </t>
  </si>
  <si>
    <t>Schroeder</t>
  </si>
  <si>
    <t xml:space="preserve">6536 Fish Lake Rd </t>
  </si>
  <si>
    <t>North Branch</t>
  </si>
  <si>
    <t>Scarim</t>
  </si>
  <si>
    <t xml:space="preserve">1048 Cardinal Ct </t>
  </si>
  <si>
    <t>Batavia</t>
  </si>
  <si>
    <t>Serratore</t>
  </si>
  <si>
    <t xml:space="preserve">72 King St </t>
  </si>
  <si>
    <t>Nagle</t>
  </si>
  <si>
    <t>Margie</t>
  </si>
  <si>
    <t xml:space="preserve">2843 Intrepid Cut </t>
  </si>
  <si>
    <t>Morner</t>
  </si>
  <si>
    <t xml:space="preserve">166 Highland Cross </t>
  </si>
  <si>
    <t>Bostrom</t>
  </si>
  <si>
    <t xml:space="preserve">9320 Weidkamp Rd </t>
  </si>
  <si>
    <t>Lynden</t>
  </si>
  <si>
    <t xml:space="preserve">4519 Woodrow Ave </t>
  </si>
  <si>
    <t>Galveston</t>
  </si>
  <si>
    <t>Neuzil</t>
  </si>
  <si>
    <t xml:space="preserve">1421 S Dodge St </t>
  </si>
  <si>
    <t>Padgett</t>
  </si>
  <si>
    <t xml:space="preserve">10099 Bentley Ave </t>
  </si>
  <si>
    <t xml:space="preserve">SHERMAN </t>
  </si>
  <si>
    <t>Ehlers</t>
  </si>
  <si>
    <t xml:space="preserve">20 Ave at Port Imperial Apt 337 </t>
  </si>
  <si>
    <t>West New York</t>
  </si>
  <si>
    <t>Knop</t>
  </si>
  <si>
    <t xml:space="preserve">9307 Raintree Ln </t>
  </si>
  <si>
    <t>Garbrick</t>
  </si>
  <si>
    <t>Kathe</t>
  </si>
  <si>
    <t xml:space="preserve">2944 Keats Ave </t>
  </si>
  <si>
    <t>Manhattan</t>
  </si>
  <si>
    <t>Conlon</t>
  </si>
  <si>
    <t xml:space="preserve">13514 W Figueroa Dr </t>
  </si>
  <si>
    <t>Sun City West</t>
  </si>
  <si>
    <t xml:space="preserve">4197 Syracuse St </t>
  </si>
  <si>
    <t>Sikes</t>
  </si>
  <si>
    <t xml:space="preserve">5 N Forty Rd </t>
  </si>
  <si>
    <t>Carriere</t>
  </si>
  <si>
    <t>Rauch</t>
  </si>
  <si>
    <t xml:space="preserve">30 Park Ave </t>
  </si>
  <si>
    <t>Heaton</t>
  </si>
  <si>
    <t xml:space="preserve">168 Hyde St Apt 206 </t>
  </si>
  <si>
    <t>Stephenson</t>
  </si>
  <si>
    <t xml:space="preserve">16829 5th Ave SE </t>
  </si>
  <si>
    <t>Arsenault</t>
  </si>
  <si>
    <t xml:space="preserve">9 Prospect Pl </t>
  </si>
  <si>
    <t xml:space="preserve">2201 Cherry St </t>
  </si>
  <si>
    <t>Guendel</t>
  </si>
  <si>
    <t xml:space="preserve">18 Kimberly Ct </t>
  </si>
  <si>
    <t>Clifton Park</t>
  </si>
  <si>
    <t xml:space="preserve">13453 W Navaho Trl </t>
  </si>
  <si>
    <t xml:space="preserve">101 W River Rd Unit 72 </t>
  </si>
  <si>
    <t>Hamby</t>
  </si>
  <si>
    <t xml:space="preserve">1206 Harbor Ct </t>
  </si>
  <si>
    <t>Kitty Hawk</t>
  </si>
  <si>
    <t>Romanow</t>
  </si>
  <si>
    <t>Gabriela</t>
  </si>
  <si>
    <t xml:space="preserve">1010 Memorial Dr Apt 5F </t>
  </si>
  <si>
    <t>02138-4866</t>
  </si>
  <si>
    <t>Bowman</t>
  </si>
  <si>
    <t xml:space="preserve">8315 E 1100th St </t>
  </si>
  <si>
    <t>Macomb</t>
  </si>
  <si>
    <t>61455-8161</t>
  </si>
  <si>
    <t xml:space="preserve">8225 Madison Ave </t>
  </si>
  <si>
    <t>Goebel</t>
  </si>
  <si>
    <t xml:space="preserve">1411 Tetbury Ln </t>
  </si>
  <si>
    <t>Matra</t>
  </si>
  <si>
    <t xml:space="preserve">87TH St </t>
  </si>
  <si>
    <t xml:space="preserve">4950 Hackberry Ln Apt 31 </t>
  </si>
  <si>
    <t>Shepperd</t>
  </si>
  <si>
    <t>Kelsey</t>
  </si>
  <si>
    <t xml:space="preserve">1579 Macland Rd </t>
  </si>
  <si>
    <t xml:space="preserve">17935 Starduster Dr </t>
  </si>
  <si>
    <t xml:space="preserve">9458 Fort Worth Way </t>
  </si>
  <si>
    <t>Rempert</t>
  </si>
  <si>
    <t xml:space="preserve">1322 Meadowrue Ln </t>
  </si>
  <si>
    <t>Hadley</t>
  </si>
  <si>
    <t>Springtown</t>
  </si>
  <si>
    <t>Wallach</t>
  </si>
  <si>
    <t xml:space="preserve">779 &amp; MARQUIS RIDGE Ln </t>
  </si>
  <si>
    <t>Clapprood</t>
  </si>
  <si>
    <t xml:space="preserve">31 Old Orchard Way </t>
  </si>
  <si>
    <t>Jensen</t>
  </si>
  <si>
    <t xml:space="preserve">PO Box 2634 </t>
  </si>
  <si>
    <t>Baxter</t>
  </si>
  <si>
    <t>Sacharin</t>
  </si>
  <si>
    <t xml:space="preserve">53 Lawton St Apt 1 </t>
  </si>
  <si>
    <t xml:space="preserve">8616 Braveheart Way </t>
  </si>
  <si>
    <t>Hesselager</t>
  </si>
  <si>
    <t>Barbro</t>
  </si>
  <si>
    <t xml:space="preserve">1835 Buck Ridge Ln </t>
  </si>
  <si>
    <t xml:space="preserve">4601 N Park Ave Apt 104D </t>
  </si>
  <si>
    <t>Chevy Chase</t>
  </si>
  <si>
    <t>Zendel</t>
  </si>
  <si>
    <t xml:space="preserve">128 Burch Ln </t>
  </si>
  <si>
    <t>Nestor</t>
  </si>
  <si>
    <t xml:space="preserve">1556 Sycamore Dr SE </t>
  </si>
  <si>
    <t>Bellacosa</t>
  </si>
  <si>
    <t xml:space="preserve">5511 University Way NE </t>
  </si>
  <si>
    <t>Smathers</t>
  </si>
  <si>
    <t xml:space="preserve">14 Trevors Trl </t>
  </si>
  <si>
    <t>Woodhams</t>
  </si>
  <si>
    <t xml:space="preserve">5596 Autumn Valley Dr </t>
  </si>
  <si>
    <t>Lanagan</t>
  </si>
  <si>
    <t xml:space="preserve">3212 N Pecan St </t>
  </si>
  <si>
    <t>Nacogdoches</t>
  </si>
  <si>
    <t>Madzik</t>
  </si>
  <si>
    <t xml:space="preserve">46 Beacon Hill Ter </t>
  </si>
  <si>
    <t>Demill</t>
  </si>
  <si>
    <t xml:space="preserve">1294 Veronica Ct </t>
  </si>
  <si>
    <t>Naumovitz</t>
  </si>
  <si>
    <t xml:space="preserve">6015 Johnston Rd </t>
  </si>
  <si>
    <t>Slingerlands</t>
  </si>
  <si>
    <t>Joey</t>
  </si>
  <si>
    <t xml:space="preserve">PO Box 2503 </t>
  </si>
  <si>
    <t>Waldport</t>
  </si>
  <si>
    <t>Dalle Carbonare</t>
  </si>
  <si>
    <t>Paola</t>
  </si>
  <si>
    <t xml:space="preserve">32 Radnor Ave </t>
  </si>
  <si>
    <t xml:space="preserve">137 Main St Apt C </t>
  </si>
  <si>
    <t>Shelburne Falls</t>
  </si>
  <si>
    <t>Frohne</t>
  </si>
  <si>
    <t xml:space="preserve">1595 Mojonnier Rd </t>
  </si>
  <si>
    <t>Walla Walla</t>
  </si>
  <si>
    <t>Schmit</t>
  </si>
  <si>
    <t>Alleen</t>
  </si>
  <si>
    <t xml:space="preserve">1012 Alcazar St NE </t>
  </si>
  <si>
    <t>Carolynn</t>
  </si>
  <si>
    <t xml:space="preserve">83 Nawiliwili St </t>
  </si>
  <si>
    <t>Stockert</t>
  </si>
  <si>
    <t>Mary-Margaret</t>
  </si>
  <si>
    <t xml:space="preserve">95817 Highway 241 </t>
  </si>
  <si>
    <t xml:space="preserve">798 Hartford Dr </t>
  </si>
  <si>
    <t>Greenburg</t>
  </si>
  <si>
    <t>Stu</t>
  </si>
  <si>
    <t xml:space="preserve">25948 Voltaire Pl </t>
  </si>
  <si>
    <t>Stevenson Ranch</t>
  </si>
  <si>
    <t>Seegott</t>
  </si>
  <si>
    <t xml:space="preserve">15281 Main Market Rd </t>
  </si>
  <si>
    <t xml:space="preserve">4405 NE 82nd Ave Apt 4 </t>
  </si>
  <si>
    <t>Mueting</t>
  </si>
  <si>
    <t xml:space="preserve">801 S 8th St </t>
  </si>
  <si>
    <t>Atchison</t>
  </si>
  <si>
    <t>Barbara A</t>
  </si>
  <si>
    <t xml:space="preserve">3654 Country Club Rd </t>
  </si>
  <si>
    <t>Endwell</t>
  </si>
  <si>
    <t>Pulitzer</t>
  </si>
  <si>
    <t xml:space="preserve">120 Pulpit Hill Rd </t>
  </si>
  <si>
    <t>Hoyt</t>
  </si>
  <si>
    <t>Emma</t>
  </si>
  <si>
    <t xml:space="preserve">115 Simsbury Rd </t>
  </si>
  <si>
    <t>West Granby</t>
  </si>
  <si>
    <t xml:space="preserve">1256 Monument St </t>
  </si>
  <si>
    <t>Pacific Palisades</t>
  </si>
  <si>
    <t>Applebaum</t>
  </si>
  <si>
    <t xml:space="preserve">3229 Lake Albano Cir </t>
  </si>
  <si>
    <t xml:space="preserve">39 Richton St </t>
  </si>
  <si>
    <t>Audette</t>
  </si>
  <si>
    <t>Jarryd</t>
  </si>
  <si>
    <t>Underhill</t>
  </si>
  <si>
    <t>Kap</t>
  </si>
  <si>
    <t>K.J.</t>
  </si>
  <si>
    <t xml:space="preserve">111 Oakwood Dr </t>
  </si>
  <si>
    <t>Gallegos</t>
  </si>
  <si>
    <t xml:space="preserve">3642 Hargrove St </t>
  </si>
  <si>
    <t xml:space="preserve">2811 Calle De Sonoro </t>
  </si>
  <si>
    <t>Champelli</t>
  </si>
  <si>
    <t xml:space="preserve">641 N Marion Stt </t>
  </si>
  <si>
    <t>Cooluris</t>
  </si>
  <si>
    <t xml:space="preserve">44 Belle Ave </t>
  </si>
  <si>
    <t>Quanbeck</t>
  </si>
  <si>
    <t>Jaq</t>
  </si>
  <si>
    <t xml:space="preserve">1446 Norman Park Dr </t>
  </si>
  <si>
    <t>Billings</t>
  </si>
  <si>
    <t>Clisson</t>
  </si>
  <si>
    <t>Grand Champ</t>
  </si>
  <si>
    <t>FR</t>
  </si>
  <si>
    <t>April</t>
  </si>
  <si>
    <t xml:space="preserve">2471 Walnut Ave </t>
  </si>
  <si>
    <t>Drucker</t>
  </si>
  <si>
    <t xml:space="preserve">66 Browns Point Rd </t>
  </si>
  <si>
    <t>Bowdoinham</t>
  </si>
  <si>
    <t>04008-4804</t>
  </si>
  <si>
    <t>Dicoste</t>
  </si>
  <si>
    <t xml:space="preserve">4421 Oleander St </t>
  </si>
  <si>
    <t xml:space="preserve">B0X PO B0X PO </t>
  </si>
  <si>
    <t>Lorenzetti</t>
  </si>
  <si>
    <t>Elisa Francesca</t>
  </si>
  <si>
    <t>Muenchen</t>
  </si>
  <si>
    <t xml:space="preserve">2901 Carding Pl </t>
  </si>
  <si>
    <t>Lola</t>
  </si>
  <si>
    <t xml:space="preserve">828 NW 16th St </t>
  </si>
  <si>
    <t>Billie</t>
  </si>
  <si>
    <t xml:space="preserve">829 Marietta Pl NW </t>
  </si>
  <si>
    <t>Goldstein</t>
  </si>
  <si>
    <t>Ina</t>
  </si>
  <si>
    <t xml:space="preserve">56 Roberts St </t>
  </si>
  <si>
    <t>Clotilde</t>
  </si>
  <si>
    <t xml:space="preserve">301 Ocean Dr </t>
  </si>
  <si>
    <t>Miami Beach</t>
  </si>
  <si>
    <t xml:space="preserve">166 Norfolk St Apt B </t>
  </si>
  <si>
    <t>Hoppe</t>
  </si>
  <si>
    <t>Brianne</t>
  </si>
  <si>
    <t xml:space="preserve">12020 199th Ct NE </t>
  </si>
  <si>
    <t>Kausler</t>
  </si>
  <si>
    <t xml:space="preserve">1632 Loma Crest St </t>
  </si>
  <si>
    <t>Cabral</t>
  </si>
  <si>
    <t xml:space="preserve">491 Woodland Ave </t>
  </si>
  <si>
    <t>Gwendolyn</t>
  </si>
  <si>
    <t xml:space="preserve">473 Farrelly St </t>
  </si>
  <si>
    <t>Enumclaw</t>
  </si>
  <si>
    <t>Sard</t>
  </si>
  <si>
    <t xml:space="preserve">434 W 120th St </t>
  </si>
  <si>
    <t>Woodward</t>
  </si>
  <si>
    <t xml:space="preserve">112 Woodbridge Rd </t>
  </si>
  <si>
    <t>Camdenton</t>
  </si>
  <si>
    <t xml:space="preserve">1370 Delaware St </t>
  </si>
  <si>
    <t xml:space="preserve">PO Box 11 </t>
  </si>
  <si>
    <t>Snuffin</t>
  </si>
  <si>
    <t xml:space="preserve">MINNESOTA Ave </t>
  </si>
  <si>
    <t>Penngrove</t>
  </si>
  <si>
    <t xml:space="preserve">4995 Columbine Draw </t>
  </si>
  <si>
    <t>Tieso</t>
  </si>
  <si>
    <t>Jovita</t>
  </si>
  <si>
    <t xml:space="preserve">5166 Inspiration Ln </t>
  </si>
  <si>
    <t>Sidwell</t>
  </si>
  <si>
    <t xml:space="preserve">2201 Old Natchez Trce </t>
  </si>
  <si>
    <t>Foreman</t>
  </si>
  <si>
    <t>Ray And Charlotte</t>
  </si>
  <si>
    <t xml:space="preserve">179 Jimmy Dr </t>
  </si>
  <si>
    <t>Crowley</t>
  </si>
  <si>
    <t xml:space="preserve">218 W 104th St </t>
  </si>
  <si>
    <t>Seeber</t>
  </si>
  <si>
    <t xml:space="preserve">7380 W Colorado Dr </t>
  </si>
  <si>
    <t>Swalwell</t>
  </si>
  <si>
    <t>Janis</t>
  </si>
  <si>
    <t xml:space="preserve">PO Box 778 </t>
  </si>
  <si>
    <t>Freeland</t>
  </si>
  <si>
    <t xml:space="preserve">1158 Tivoli Ln </t>
  </si>
  <si>
    <t>Neth</t>
  </si>
  <si>
    <t xml:space="preserve">472 Jefferson St </t>
  </si>
  <si>
    <t>Plymouth Meeting</t>
  </si>
  <si>
    <t>Lynne B.</t>
  </si>
  <si>
    <t xml:space="preserve">128 Lokchapee Lndg </t>
  </si>
  <si>
    <t>Macon</t>
  </si>
  <si>
    <t>Elfers</t>
  </si>
  <si>
    <t xml:space="preserve">504 Hardwood Trl </t>
  </si>
  <si>
    <t>Mesquite</t>
  </si>
  <si>
    <t>Graziose</t>
  </si>
  <si>
    <t xml:space="preserve">19 Irving Ave </t>
  </si>
  <si>
    <t>North Babylon</t>
  </si>
  <si>
    <t xml:space="preserve">1337 Pinebrook Way </t>
  </si>
  <si>
    <t xml:space="preserve">10840 1st St </t>
  </si>
  <si>
    <t>Mokena</t>
  </si>
  <si>
    <t>Kubachka</t>
  </si>
  <si>
    <t xml:space="preserve">450 Old US Highway 33 </t>
  </si>
  <si>
    <t>Shade</t>
  </si>
  <si>
    <t>Pepper</t>
  </si>
  <si>
    <t xml:space="preserve">6 Apple Ridge Rd </t>
  </si>
  <si>
    <t>Saddle River</t>
  </si>
  <si>
    <t>Howarth</t>
  </si>
  <si>
    <t>Liese</t>
  </si>
  <si>
    <t xml:space="preserve">155 S Main St </t>
  </si>
  <si>
    <t>Suffield</t>
  </si>
  <si>
    <t xml:space="preserve">17273 E Wyoming Pl </t>
  </si>
  <si>
    <t>Newberry</t>
  </si>
  <si>
    <t xml:space="preserve">5588 Elm Hill Dr </t>
  </si>
  <si>
    <t>Solon</t>
  </si>
  <si>
    <t>Noblett</t>
  </si>
  <si>
    <t xml:space="preserve">57 Brickyard Rd </t>
  </si>
  <si>
    <t>Mechanicville</t>
  </si>
  <si>
    <t>Abrams</t>
  </si>
  <si>
    <t xml:space="preserve">340 Main St </t>
  </si>
  <si>
    <t>Kunsch</t>
  </si>
  <si>
    <t xml:space="preserve">35 Prospect St </t>
  </si>
  <si>
    <t>Attleboro</t>
  </si>
  <si>
    <t xml:space="preserve">497 Palmer Pl </t>
  </si>
  <si>
    <t>Souderton</t>
  </si>
  <si>
    <t>Rader</t>
  </si>
  <si>
    <t xml:space="preserve">2001 Palm Bay Rd NE </t>
  </si>
  <si>
    <t>Deora</t>
  </si>
  <si>
    <t xml:space="preserve">3519 NE 15th Ave Apt 442 </t>
  </si>
  <si>
    <t>Winzer</t>
  </si>
  <si>
    <t>Schneller</t>
  </si>
  <si>
    <t>Cranford</t>
  </si>
  <si>
    <t xml:space="preserve">LIMESTONE SPRINGS Ct </t>
  </si>
  <si>
    <t>Pickens</t>
  </si>
  <si>
    <t>Aj</t>
  </si>
  <si>
    <t xml:space="preserve">41327 E Village Green Blvd Apt 103 </t>
  </si>
  <si>
    <t>Fillmore</t>
  </si>
  <si>
    <t xml:space="preserve">9174 SW Waverly Dr </t>
  </si>
  <si>
    <t>Heidenheim</t>
  </si>
  <si>
    <t>Ketz-Robinson</t>
  </si>
  <si>
    <t xml:space="preserve">7823 Southdown Rd </t>
  </si>
  <si>
    <t>Rusterholz</t>
  </si>
  <si>
    <t xml:space="preserve">2787 Marion St </t>
  </si>
  <si>
    <t>Itano</t>
  </si>
  <si>
    <t xml:space="preserve">0 N753 Delano St </t>
  </si>
  <si>
    <t xml:space="preserve">1057 Calle 8 </t>
  </si>
  <si>
    <t>San Juan</t>
  </si>
  <si>
    <t>PR</t>
  </si>
  <si>
    <t>Feuille</t>
  </si>
  <si>
    <t xml:space="preserve">1831 California St NW Apt 22 </t>
  </si>
  <si>
    <t>Buss</t>
  </si>
  <si>
    <t xml:space="preserve">1403 Vino Blanc Ct </t>
  </si>
  <si>
    <t>Southlake</t>
  </si>
  <si>
    <t>Cervantes-Gautschi</t>
  </si>
  <si>
    <t xml:space="preserve">22455 S Beavercreek Rd </t>
  </si>
  <si>
    <t>Roe</t>
  </si>
  <si>
    <t xml:space="preserve">3755 Mauna Loa St </t>
  </si>
  <si>
    <t>Brea</t>
  </si>
  <si>
    <t>Lura</t>
  </si>
  <si>
    <t xml:space="preserve">1722 Roydon Trl </t>
  </si>
  <si>
    <t>Micah</t>
  </si>
  <si>
    <t xml:space="preserve">PO Box 3969 </t>
  </si>
  <si>
    <t>Brooksher</t>
  </si>
  <si>
    <t xml:space="preserve">7302 Mobile St </t>
  </si>
  <si>
    <t>Humble</t>
  </si>
  <si>
    <t xml:space="preserve">70 Creekside Dr </t>
  </si>
  <si>
    <t>Tonawanda</t>
  </si>
  <si>
    <t>Kmiec</t>
  </si>
  <si>
    <t xml:space="preserve">23237 HOUSTON </t>
  </si>
  <si>
    <t xml:space="preserve">333 W M St </t>
  </si>
  <si>
    <t>Wrzala</t>
  </si>
  <si>
    <t xml:space="preserve">15 Eastwind St </t>
  </si>
  <si>
    <t>Marina Del Rey</t>
  </si>
  <si>
    <t>Redway</t>
  </si>
  <si>
    <t>Heesch</t>
  </si>
  <si>
    <t xml:space="preserve">1826 Rowland Dr </t>
  </si>
  <si>
    <t>Lenore</t>
  </si>
  <si>
    <t xml:space="preserve">19934 Hickory Stick Ln </t>
  </si>
  <si>
    <t>Weiland</t>
  </si>
  <si>
    <t>Marilynn</t>
  </si>
  <si>
    <t xml:space="preserve">2910 W State St </t>
  </si>
  <si>
    <t>Farnsworth</t>
  </si>
  <si>
    <t xml:space="preserve">PO Box 2104 </t>
  </si>
  <si>
    <t>Battle Ground</t>
  </si>
  <si>
    <t xml:space="preserve">4526 SE 109th St </t>
  </si>
  <si>
    <t>Starke</t>
  </si>
  <si>
    <t>Koloseike</t>
  </si>
  <si>
    <t xml:space="preserve">43 Vermont Ct </t>
  </si>
  <si>
    <t>Boden</t>
  </si>
  <si>
    <t>Thane</t>
  </si>
  <si>
    <t xml:space="preserve">716 Arapaho St </t>
  </si>
  <si>
    <t>Cheyenne</t>
  </si>
  <si>
    <t>Endress</t>
  </si>
  <si>
    <t xml:space="preserve">22003 Erincrest Ct </t>
  </si>
  <si>
    <t>Edwin G.</t>
  </si>
  <si>
    <t xml:space="preserve">638 E 79th St </t>
  </si>
  <si>
    <t>Manhart</t>
  </si>
  <si>
    <t xml:space="preserve">315 3rd St S Apt 523 </t>
  </si>
  <si>
    <t>La Crosse</t>
  </si>
  <si>
    <t>Manuel-Miller</t>
  </si>
  <si>
    <t xml:space="preserve">4275 Lynnridge Ct </t>
  </si>
  <si>
    <t>Walkertown</t>
  </si>
  <si>
    <t>G</t>
  </si>
  <si>
    <t xml:space="preserve">EDEN Pr </t>
  </si>
  <si>
    <t>Morrissey</t>
  </si>
  <si>
    <t xml:space="preserve">1102 N Union St </t>
  </si>
  <si>
    <t>Iambol</t>
  </si>
  <si>
    <t>Boriana</t>
  </si>
  <si>
    <t xml:space="preserve">4223 Berfito Ave </t>
  </si>
  <si>
    <t>Wecker</t>
  </si>
  <si>
    <t xml:space="preserve">9100 SW Gemini Dr </t>
  </si>
  <si>
    <t xml:space="preserve">14 Mallet St # 2 </t>
  </si>
  <si>
    <t>Slade</t>
  </si>
  <si>
    <t xml:space="preserve">588 Sutter St # PMB769 </t>
  </si>
  <si>
    <t>Braconnier</t>
  </si>
  <si>
    <t>Benoit</t>
  </si>
  <si>
    <t>Bordeaux</t>
  </si>
  <si>
    <t>Schmalenberger</t>
  </si>
  <si>
    <t>Manfred</t>
  </si>
  <si>
    <t>Karlstetten</t>
  </si>
  <si>
    <t>AT</t>
  </si>
  <si>
    <t>Reilly</t>
  </si>
  <si>
    <t>La Madera</t>
  </si>
  <si>
    <t>Vanilia</t>
  </si>
  <si>
    <t>Aliz</t>
  </si>
  <si>
    <t>HU</t>
  </si>
  <si>
    <t>Korous</t>
  </si>
  <si>
    <t>Lillian</t>
  </si>
  <si>
    <t xml:space="preserve">109 Adele Ct </t>
  </si>
  <si>
    <t>Atkinson</t>
  </si>
  <si>
    <t xml:space="preserve">PO Box 703 </t>
  </si>
  <si>
    <t>Ansley</t>
  </si>
  <si>
    <t>Sierra</t>
  </si>
  <si>
    <t xml:space="preserve">762 NW Harvest Moon Dr </t>
  </si>
  <si>
    <t xml:space="preserve">41678 Ogier Ln </t>
  </si>
  <si>
    <t>Astoria</t>
  </si>
  <si>
    <t>Uttaro</t>
  </si>
  <si>
    <t xml:space="preserve">261 Newbury St Lot 16 </t>
  </si>
  <si>
    <t>Peabody</t>
  </si>
  <si>
    <t>Colleran</t>
  </si>
  <si>
    <t xml:space="preserve">2121 Chestnut Ave </t>
  </si>
  <si>
    <t>Ardmore</t>
  </si>
  <si>
    <t>Schally</t>
  </si>
  <si>
    <t xml:space="preserve">1104 Creekside Cir </t>
  </si>
  <si>
    <t>Honore</t>
  </si>
  <si>
    <t xml:space="preserve">831 Adour Dr </t>
  </si>
  <si>
    <t>Kissimmee</t>
  </si>
  <si>
    <t xml:space="preserve">29 Saxham Way </t>
  </si>
  <si>
    <t xml:space="preserve">108 Grove St </t>
  </si>
  <si>
    <t>Upton</t>
  </si>
  <si>
    <t xml:space="preserve">1428 S Lakeside Dr Apt 32 </t>
  </si>
  <si>
    <t>Amrit</t>
  </si>
  <si>
    <t xml:space="preserve">1542 Wollacott St </t>
  </si>
  <si>
    <t>Penn</t>
  </si>
  <si>
    <t xml:space="preserve">266 Neptune Ave </t>
  </si>
  <si>
    <t>Kurt</t>
  </si>
  <si>
    <t xml:space="preserve">3201 Rocky River Dr </t>
  </si>
  <si>
    <t>Lindsey</t>
  </si>
  <si>
    <t xml:space="preserve">8349 S Calumet Ave </t>
  </si>
  <si>
    <t xml:space="preserve">3729 English Oak Dr </t>
  </si>
  <si>
    <t>Creech</t>
  </si>
  <si>
    <t>Divini</t>
  </si>
  <si>
    <t>Wylie</t>
  </si>
  <si>
    <t>Manders-Raney</t>
  </si>
  <si>
    <t xml:space="preserve">330 Olympic Heights Rd </t>
  </si>
  <si>
    <t>Romero Villanueva</t>
  </si>
  <si>
    <t>Sant Adrián Del Besos</t>
  </si>
  <si>
    <t>ES</t>
  </si>
  <si>
    <t>Imgrund</t>
  </si>
  <si>
    <t xml:space="preserve">221 Horseshoe Rd </t>
  </si>
  <si>
    <t>Eagleville</t>
  </si>
  <si>
    <t>Mossor</t>
  </si>
  <si>
    <t xml:space="preserve">536 Pent St </t>
  </si>
  <si>
    <t>34689-4048</t>
  </si>
  <si>
    <t>Yogev</t>
  </si>
  <si>
    <t>Yonit</t>
  </si>
  <si>
    <t xml:space="preserve">PO Box 2013 </t>
  </si>
  <si>
    <t>McEwan</t>
  </si>
  <si>
    <t xml:space="preserve">61720 Lime Quarry Rd </t>
  </si>
  <si>
    <t>Enterprise</t>
  </si>
  <si>
    <t xml:space="preserve">10370 Evelyn Dr </t>
  </si>
  <si>
    <t>Clio</t>
  </si>
  <si>
    <t xml:space="preserve">32 Spruce St </t>
  </si>
  <si>
    <t xml:space="preserve">1817 Montague St </t>
  </si>
  <si>
    <t>Rohn</t>
  </si>
  <si>
    <t xml:space="preserve">6654 Hampton Park Ct </t>
  </si>
  <si>
    <t>McLean</t>
  </si>
  <si>
    <t>Humberson</t>
  </si>
  <si>
    <t xml:space="preserve">112 Pacific Ave </t>
  </si>
  <si>
    <t>Cozzi</t>
  </si>
  <si>
    <t xml:space="preserve">10340 W 44th Ave Apt 2A </t>
  </si>
  <si>
    <t>Laws</t>
  </si>
  <si>
    <t xml:space="preserve">1718 Valencia St Null </t>
  </si>
  <si>
    <t xml:space="preserve">16 Covewood Dr </t>
  </si>
  <si>
    <t>Gorsuch</t>
  </si>
  <si>
    <t xml:space="preserve">8773 N County Road 1050 E </t>
  </si>
  <si>
    <t>Brownsburg</t>
  </si>
  <si>
    <t>Akre</t>
  </si>
  <si>
    <t>Kerrianne</t>
  </si>
  <si>
    <t xml:space="preserve">PO Box 42 </t>
  </si>
  <si>
    <t>Gazelle</t>
  </si>
  <si>
    <t>Goyings</t>
  </si>
  <si>
    <t xml:space="preserve">2411 Maywood Cir </t>
  </si>
  <si>
    <t>Paynter</t>
  </si>
  <si>
    <t xml:space="preserve">4025 SE Franklin St </t>
  </si>
  <si>
    <t xml:space="preserve">N0000 HIGHLAND Ave </t>
  </si>
  <si>
    <t>Merrill</t>
  </si>
  <si>
    <t>Beaumont</t>
  </si>
  <si>
    <t xml:space="preserve">3 Palmer St </t>
  </si>
  <si>
    <t>Shearer</t>
  </si>
  <si>
    <t xml:space="preserve">7505 E Hiler Rd </t>
  </si>
  <si>
    <t>Columbia City</t>
  </si>
  <si>
    <t>Dorer</t>
  </si>
  <si>
    <t xml:space="preserve">510 S Coronado St </t>
  </si>
  <si>
    <t xml:space="preserve">2054 Thompson Creek Rd </t>
  </si>
  <si>
    <t>MacLeod</t>
  </si>
  <si>
    <t>Pascale</t>
  </si>
  <si>
    <t xml:space="preserve">626 44th Ave </t>
  </si>
  <si>
    <t>Fleming</t>
  </si>
  <si>
    <t xml:space="preserve">3092 Red Deer Trl </t>
  </si>
  <si>
    <t>Meade-Tollin</t>
  </si>
  <si>
    <t xml:space="preserve">2050 W Khaibar Pl </t>
  </si>
  <si>
    <t>Swallow</t>
  </si>
  <si>
    <t xml:space="preserve">1120 W 76th Ter </t>
  </si>
  <si>
    <t xml:space="preserve">17 Red Oak Ln </t>
  </si>
  <si>
    <t>Hammer</t>
  </si>
  <si>
    <t xml:space="preserve">410 Orchard St N </t>
  </si>
  <si>
    <t>Swank</t>
  </si>
  <si>
    <t xml:space="preserve">69 Michigan Dr </t>
  </si>
  <si>
    <t>Sullins</t>
  </si>
  <si>
    <t xml:space="preserve">60 Lester Ave Apt 1105 </t>
  </si>
  <si>
    <t>Arthur IV</t>
  </si>
  <si>
    <t xml:space="preserve">2209 W Gambit Trl </t>
  </si>
  <si>
    <t>Feichtinger</t>
  </si>
  <si>
    <t xml:space="preserve">2711 Riverside Dr Apt 4 </t>
  </si>
  <si>
    <t xml:space="preserve">441 Pheasant Run Null </t>
  </si>
  <si>
    <t>Blakley</t>
  </si>
  <si>
    <t xml:space="preserve">5604 S Datura St </t>
  </si>
  <si>
    <t>Glick</t>
  </si>
  <si>
    <t xml:space="preserve">17180 Pacato Ct </t>
  </si>
  <si>
    <t>Lukaszewicz</t>
  </si>
  <si>
    <t xml:space="preserve">4005 Caitlin Ter </t>
  </si>
  <si>
    <t>Blasdell</t>
  </si>
  <si>
    <t>Marrone</t>
  </si>
  <si>
    <t xml:space="preserve">939 Somerset Dr </t>
  </si>
  <si>
    <t>Clay</t>
  </si>
  <si>
    <t xml:space="preserve">PO Box 822 </t>
  </si>
  <si>
    <t>Hiramatsu</t>
  </si>
  <si>
    <t xml:space="preserve">1042 Kaweloka St </t>
  </si>
  <si>
    <t>Pearl City</t>
  </si>
  <si>
    <t>Karlsberg</t>
  </si>
  <si>
    <t xml:space="preserve">1495 Centre St </t>
  </si>
  <si>
    <t>Babst</t>
  </si>
  <si>
    <t>Christina</t>
  </si>
  <si>
    <t xml:space="preserve">728 N Doheny Dr </t>
  </si>
  <si>
    <t>Lopane</t>
  </si>
  <si>
    <t>Mel</t>
  </si>
  <si>
    <t xml:space="preserve">283 Lincoln Rd W </t>
  </si>
  <si>
    <t>Helena</t>
  </si>
  <si>
    <t>Pikus</t>
  </si>
  <si>
    <t xml:space="preserve">6109 SE Insley St </t>
  </si>
  <si>
    <t>Maegen</t>
  </si>
  <si>
    <t xml:space="preserve">17120 Boyce Rd </t>
  </si>
  <si>
    <t>Stockbridge</t>
  </si>
  <si>
    <t>Casteel</t>
  </si>
  <si>
    <t xml:space="preserve">808 S Overton Ave </t>
  </si>
  <si>
    <t xml:space="preserve">225 Munger Hill Rd # 225 </t>
  </si>
  <si>
    <t>Bojarski</t>
  </si>
  <si>
    <t xml:space="preserve">9 Valerie Dr </t>
  </si>
  <si>
    <t>Foskett</t>
  </si>
  <si>
    <t>Maryanna</t>
  </si>
  <si>
    <t xml:space="preserve">101 Brantwood Rd </t>
  </si>
  <si>
    <t>Tidwell</t>
  </si>
  <si>
    <t xml:space="preserve">3330 W 78th Pl </t>
  </si>
  <si>
    <t>Merrillville</t>
  </si>
  <si>
    <t>Dohrer</t>
  </si>
  <si>
    <t xml:space="preserve">9942 Echo Plain Dr </t>
  </si>
  <si>
    <t xml:space="preserve">3535 Juniper St </t>
  </si>
  <si>
    <t>Lawson</t>
  </si>
  <si>
    <t xml:space="preserve">29 W 65th St Apt 1G </t>
  </si>
  <si>
    <t>Lawless</t>
  </si>
  <si>
    <t xml:space="preserve">1234 Huson Dr </t>
  </si>
  <si>
    <t>Maradel</t>
  </si>
  <si>
    <t xml:space="preserve">239 Parfitt Way SW Unit 2A </t>
  </si>
  <si>
    <t>98110-4900</t>
  </si>
  <si>
    <t>Schmuck Rsm</t>
  </si>
  <si>
    <t>Sister Mary</t>
  </si>
  <si>
    <t xml:space="preserve">101 Mercy Dr </t>
  </si>
  <si>
    <t>Middlebrook</t>
  </si>
  <si>
    <t>Gigi</t>
  </si>
  <si>
    <t xml:space="preserve">870 College Pkwy Apt 102 </t>
  </si>
  <si>
    <t>Abery-Beekeeper</t>
  </si>
  <si>
    <t xml:space="preserve">841 Sewell Mill Rd </t>
  </si>
  <si>
    <t>Danielsville</t>
  </si>
  <si>
    <t>Coons</t>
  </si>
  <si>
    <t xml:space="preserve">435 NE Wayfinder Dr Unit 204 </t>
  </si>
  <si>
    <t>Prineville</t>
  </si>
  <si>
    <t>Gulczynski</t>
  </si>
  <si>
    <t xml:space="preserve">1232 Eagle Crest Dr </t>
  </si>
  <si>
    <t>Lemont</t>
  </si>
  <si>
    <t xml:space="preserve">15033 20th Rd </t>
  </si>
  <si>
    <t>Beeman</t>
  </si>
  <si>
    <t xml:space="preserve">15123 BUTTNER Rd </t>
  </si>
  <si>
    <t>Guerneville</t>
  </si>
  <si>
    <t xml:space="preserve">5000 N Marine Dr # 9D </t>
  </si>
  <si>
    <t>Wiggam</t>
  </si>
  <si>
    <t xml:space="preserve">154 Briarwood Ct 154 Briarwood Ct 154 Briarw Ct </t>
  </si>
  <si>
    <t>Haguewood</t>
  </si>
  <si>
    <t xml:space="preserve">1309 W 49th St </t>
  </si>
  <si>
    <t xml:space="preserve">92 Aspen Hill Dr </t>
  </si>
  <si>
    <t>Fredericksburg</t>
  </si>
  <si>
    <t>22406-8441</t>
  </si>
  <si>
    <t xml:space="preserve">3706 Los Flores Ave </t>
  </si>
  <si>
    <t>Sue E.</t>
  </si>
  <si>
    <t xml:space="preserve">Deanks Junocom Longmont Longmont </t>
  </si>
  <si>
    <t>Theodora</t>
  </si>
  <si>
    <t xml:space="preserve">290 Johns Island Dr </t>
  </si>
  <si>
    <t>32963-3237</t>
  </si>
  <si>
    <t>Ransom Rn</t>
  </si>
  <si>
    <t xml:space="preserve">2161 Vale St </t>
  </si>
  <si>
    <t>Hoppmann</t>
  </si>
  <si>
    <t xml:space="preserve">PO Box 54607 </t>
  </si>
  <si>
    <t>85078-4607</t>
  </si>
  <si>
    <t>Ramp</t>
  </si>
  <si>
    <t>Rudy</t>
  </si>
  <si>
    <t xml:space="preserve">370 California Ave # A </t>
  </si>
  <si>
    <t>Arcata</t>
  </si>
  <si>
    <t>95521-5207</t>
  </si>
  <si>
    <t>Richenda</t>
  </si>
  <si>
    <t xml:space="preserve">14 Kendal Dr </t>
  </si>
  <si>
    <t>Kennett Square</t>
  </si>
  <si>
    <t xml:space="preserve">4273 County Road 2230 # CR2230 </t>
  </si>
  <si>
    <t>Caddo Mills</t>
  </si>
  <si>
    <t>Cahill</t>
  </si>
  <si>
    <t>Tana</t>
  </si>
  <si>
    <t xml:space="preserve">3309 SE Gladstone St </t>
  </si>
  <si>
    <t>Bartos</t>
  </si>
  <si>
    <t xml:space="preserve">75 Chevaux Cir AR72223 </t>
  </si>
  <si>
    <t>Little Rock</t>
  </si>
  <si>
    <t xml:space="preserve">647 Flaming Star Ave </t>
  </si>
  <si>
    <t>Carolann</t>
  </si>
  <si>
    <t xml:space="preserve">102 Acacia Glen Dr </t>
  </si>
  <si>
    <t>Fetters</t>
  </si>
  <si>
    <t xml:space="preserve">17 Ledgeview Dr </t>
  </si>
  <si>
    <t>Assonet</t>
  </si>
  <si>
    <t xml:space="preserve">3776 Milan St </t>
  </si>
  <si>
    <t>Schmierer</t>
  </si>
  <si>
    <t xml:space="preserve">220 W Behrend Dr </t>
  </si>
  <si>
    <t xml:space="preserve">SUNPARK Dr </t>
  </si>
  <si>
    <t>MacPhail</t>
  </si>
  <si>
    <t>Kristyn</t>
  </si>
  <si>
    <t xml:space="preserve">9236 W Euclid Ave </t>
  </si>
  <si>
    <t xml:space="preserve">6 Lucky Ln </t>
  </si>
  <si>
    <t>Quakertown</t>
  </si>
  <si>
    <t xml:space="preserve">2030 Bristol Rd </t>
  </si>
  <si>
    <t>New Harbor</t>
  </si>
  <si>
    <t>Lesem</t>
  </si>
  <si>
    <t xml:space="preserve">90 James Ave </t>
  </si>
  <si>
    <t>Schlemel</t>
  </si>
  <si>
    <t xml:space="preserve">15 Sheli Dr </t>
  </si>
  <si>
    <t>Old Bethpage</t>
  </si>
  <si>
    <t>Gaynell</t>
  </si>
  <si>
    <t xml:space="preserve">2332 N Wading River Rd </t>
  </si>
  <si>
    <t>Wading River</t>
  </si>
  <si>
    <t>Hutt</t>
  </si>
  <si>
    <t xml:space="preserve">825 Jasmine St </t>
  </si>
  <si>
    <t>Valerugo</t>
  </si>
  <si>
    <t xml:space="preserve">2068 Palatine Rd </t>
  </si>
  <si>
    <t xml:space="preserve">4918 37th Ave S </t>
  </si>
  <si>
    <t>Dannett</t>
  </si>
  <si>
    <t xml:space="preserve">175 Parrott Rd </t>
  </si>
  <si>
    <t>West Nyack</t>
  </si>
  <si>
    <t>Eberhard</t>
  </si>
  <si>
    <t xml:space="preserve">2306 Normandy Dr Apt 1A </t>
  </si>
  <si>
    <t>Michigan City</t>
  </si>
  <si>
    <t xml:space="preserve">5253 Carberry Creek Rd </t>
  </si>
  <si>
    <t>Michaels</t>
  </si>
  <si>
    <t xml:space="preserve">14626 Tropical Dr </t>
  </si>
  <si>
    <t>Karp</t>
  </si>
  <si>
    <t xml:space="preserve">43805 Monterey Ave </t>
  </si>
  <si>
    <t>Palm Desert</t>
  </si>
  <si>
    <t>92260-9334</t>
  </si>
  <si>
    <t>Hagan</t>
  </si>
  <si>
    <t xml:space="preserve">2455 Waipua St </t>
  </si>
  <si>
    <t>Paia</t>
  </si>
  <si>
    <t>96779-9749</t>
  </si>
  <si>
    <t>Doran</t>
  </si>
  <si>
    <t xml:space="preserve">430 E Maple St </t>
  </si>
  <si>
    <t>Sequim</t>
  </si>
  <si>
    <t>98382-3408</t>
  </si>
  <si>
    <t>Brockell</t>
  </si>
  <si>
    <t xml:space="preserve">104 Shade Tree Circle Shade Tree Cir </t>
  </si>
  <si>
    <t>Easley</t>
  </si>
  <si>
    <t xml:space="preserve">31401 Kenwood Avenue Kenwood Ave </t>
  </si>
  <si>
    <t>Madison Heights</t>
  </si>
  <si>
    <t xml:space="preserve">NW 23RD St </t>
  </si>
  <si>
    <t>Cape Coral</t>
  </si>
  <si>
    <t>Siranko</t>
  </si>
  <si>
    <t xml:space="preserve">17 Jefferson Ave </t>
  </si>
  <si>
    <t>Wilcox</t>
  </si>
  <si>
    <t xml:space="preserve">45 Pualu Loop </t>
  </si>
  <si>
    <t xml:space="preserve">310 Mountain View Dr </t>
  </si>
  <si>
    <t>Waterbury Center</t>
  </si>
  <si>
    <t>Faugno</t>
  </si>
  <si>
    <t>Mir</t>
  </si>
  <si>
    <t xml:space="preserve">7777 W 91st St Unit B1160 </t>
  </si>
  <si>
    <t>Playa Del Rey</t>
  </si>
  <si>
    <t xml:space="preserve">608 Abbot Hill Rd </t>
  </si>
  <si>
    <t>Wilton</t>
  </si>
  <si>
    <t>Skerry</t>
  </si>
  <si>
    <t xml:space="preserve">95 Emery St </t>
  </si>
  <si>
    <t>Trujillo</t>
  </si>
  <si>
    <t xml:space="preserve">2621 Hyacinth St </t>
  </si>
  <si>
    <t>81005-2882</t>
  </si>
  <si>
    <t>Lemkuil</t>
  </si>
  <si>
    <t xml:space="preserve">1909 28th St </t>
  </si>
  <si>
    <t>54241-2007</t>
  </si>
  <si>
    <t xml:space="preserve">1417 La Paloma Cir </t>
  </si>
  <si>
    <t>32708-4820</t>
  </si>
  <si>
    <t>Rummel</t>
  </si>
  <si>
    <t xml:space="preserve">4031 Idaho St Unit G </t>
  </si>
  <si>
    <t>92104-2562</t>
  </si>
  <si>
    <t>Pareese</t>
  </si>
  <si>
    <t xml:space="preserve">4931 Comfort Rd </t>
  </si>
  <si>
    <t>Tecumseh</t>
  </si>
  <si>
    <t>49286-9511</t>
  </si>
  <si>
    <t>Reiser</t>
  </si>
  <si>
    <t>Reba</t>
  </si>
  <si>
    <t xml:space="preserve">1014 E 5650 S </t>
  </si>
  <si>
    <t>Hermann</t>
  </si>
  <si>
    <t>Birgit</t>
  </si>
  <si>
    <t xml:space="preserve">Bhermannsf Aolcom </t>
  </si>
  <si>
    <t xml:space="preserve">4753 W Mountain View Dr Apt 2 </t>
  </si>
  <si>
    <t>Dieterle</t>
  </si>
  <si>
    <t xml:space="preserve">737 Walnut St </t>
  </si>
  <si>
    <t>Twyla</t>
  </si>
  <si>
    <t xml:space="preserve">244 Hickory Ave </t>
  </si>
  <si>
    <t>91767-1830</t>
  </si>
  <si>
    <t xml:space="preserve">13954 Milbank St Milbank St </t>
  </si>
  <si>
    <t>Sueanne</t>
  </si>
  <si>
    <t xml:space="preserve">438 Richins Ranch Rd </t>
  </si>
  <si>
    <t>Wanship</t>
  </si>
  <si>
    <t xml:space="preserve">5041 Waverider Cir Apt A </t>
  </si>
  <si>
    <t>Michetti</t>
  </si>
  <si>
    <t xml:space="preserve">605 Sehiela St </t>
  </si>
  <si>
    <t>Mount Horeb</t>
  </si>
  <si>
    <t>Obligacion</t>
  </si>
  <si>
    <t xml:space="preserve">PO Box 3251 </t>
  </si>
  <si>
    <t>Dagostino</t>
  </si>
  <si>
    <t xml:space="preserve">16293 SW 15th Ct # T </t>
  </si>
  <si>
    <t>Borske</t>
  </si>
  <si>
    <t xml:space="preserve">286 S Alta Ave </t>
  </si>
  <si>
    <t>New Hampton</t>
  </si>
  <si>
    <t>Gilman</t>
  </si>
  <si>
    <t xml:space="preserve">7138 Nanitch Ln SE </t>
  </si>
  <si>
    <t>Tenino</t>
  </si>
  <si>
    <t>Acosta</t>
  </si>
  <si>
    <t>Alberto</t>
  </si>
  <si>
    <t xml:space="preserve">235 N Valley St Apt 224 </t>
  </si>
  <si>
    <t>91505-3939</t>
  </si>
  <si>
    <t xml:space="preserve">820 Woodruff Pl </t>
  </si>
  <si>
    <t>28208-4554</t>
  </si>
  <si>
    <t>Hamel</t>
  </si>
  <si>
    <t xml:space="preserve">2326 Ocean St </t>
  </si>
  <si>
    <t>Oceano</t>
  </si>
  <si>
    <t>93445-8903</t>
  </si>
  <si>
    <t xml:space="preserve">330 County Road K </t>
  </si>
  <si>
    <t>Brydle</t>
  </si>
  <si>
    <t xml:space="preserve">9261 E Avenue T10 </t>
  </si>
  <si>
    <t>Littlerock</t>
  </si>
  <si>
    <t xml:space="preserve">22862 Portage Circle Dr </t>
  </si>
  <si>
    <t>90290-4027</t>
  </si>
  <si>
    <t xml:space="preserve">3 O MOUNTAIN VIEW Plz </t>
  </si>
  <si>
    <t>Morrisville</t>
  </si>
  <si>
    <t xml:space="preserve">1414 Continental Dr Apt 1005 </t>
  </si>
  <si>
    <t>Bodwell</t>
  </si>
  <si>
    <t xml:space="preserve">17715 SW Pheasant Ln </t>
  </si>
  <si>
    <t>Todino</t>
  </si>
  <si>
    <t xml:space="preserve">8 Albert St # 1 </t>
  </si>
  <si>
    <t>Woburn</t>
  </si>
  <si>
    <t>01801-2610</t>
  </si>
  <si>
    <t>Jo</t>
  </si>
  <si>
    <t xml:space="preserve">1748 E Fry Blvd # 85635 </t>
  </si>
  <si>
    <t>Sierra Vista</t>
  </si>
  <si>
    <t xml:space="preserve">600 Grandview Rd </t>
  </si>
  <si>
    <t>Scena</t>
  </si>
  <si>
    <t xml:space="preserve">179 Highland Ave </t>
  </si>
  <si>
    <t xml:space="preserve">XXX </t>
  </si>
  <si>
    <t>Sherril</t>
  </si>
  <si>
    <t xml:space="preserve">2723 Annapolis Cir </t>
  </si>
  <si>
    <t>92408-4111</t>
  </si>
  <si>
    <t>Braun</t>
  </si>
  <si>
    <t xml:space="preserve">4457 N Malden St Apt 2 </t>
  </si>
  <si>
    <t>60640-6277</t>
  </si>
  <si>
    <t>Kliewer</t>
  </si>
  <si>
    <t xml:space="preserve">3526 Newport Ave </t>
  </si>
  <si>
    <t>Deschenes</t>
  </si>
  <si>
    <t xml:space="preserve">319 Uriah Ave </t>
  </si>
  <si>
    <t>Gadsden</t>
  </si>
  <si>
    <t xml:space="preserve">438 25th Ave Apt 4 </t>
  </si>
  <si>
    <t>Muller</t>
  </si>
  <si>
    <t xml:space="preserve">6267 Coverty Pl </t>
  </si>
  <si>
    <t>Iovino</t>
  </si>
  <si>
    <t xml:space="preserve">2206 Cornwall St # A </t>
  </si>
  <si>
    <t>Schoemer</t>
  </si>
  <si>
    <t xml:space="preserve">N4007 County Road A N4007 County Rd A </t>
  </si>
  <si>
    <t>Canepa</t>
  </si>
  <si>
    <t xml:space="preserve">140 W Roby Dist Rd Warner NH 3278 </t>
  </si>
  <si>
    <t>Warner</t>
  </si>
  <si>
    <t>Alford</t>
  </si>
  <si>
    <t xml:space="preserve">221 N 3rd St </t>
  </si>
  <si>
    <t>Blythe</t>
  </si>
  <si>
    <t>Mohanty</t>
  </si>
  <si>
    <t>Lopamudra</t>
  </si>
  <si>
    <t xml:space="preserve">1542 River Birch Dr </t>
  </si>
  <si>
    <t>Saint Peters</t>
  </si>
  <si>
    <t>63376-7822</t>
  </si>
  <si>
    <t xml:space="preserve">4400 Stone Way # 101 </t>
  </si>
  <si>
    <t>98103-6984</t>
  </si>
  <si>
    <t xml:space="preserve">227 E 5th St Apt 3FW </t>
  </si>
  <si>
    <t>10003-8556</t>
  </si>
  <si>
    <t xml:space="preserve">2828 Holton Rd </t>
  </si>
  <si>
    <t>Muskegon</t>
  </si>
  <si>
    <t>Lambart</t>
  </si>
  <si>
    <t xml:space="preserve">N OATMAN Ave </t>
  </si>
  <si>
    <t>Folga</t>
  </si>
  <si>
    <t xml:space="preserve">385 Bennett Rd 385 Bennett Rd 385 Bennett Rd </t>
  </si>
  <si>
    <t>Healy</t>
  </si>
  <si>
    <t xml:space="preserve">301 S Elliott Rd # 311 </t>
  </si>
  <si>
    <t>Rigano</t>
  </si>
  <si>
    <t xml:space="preserve">1560 SW Kanner Hwy </t>
  </si>
  <si>
    <t xml:space="preserve">2532 1st St </t>
  </si>
  <si>
    <t>33901-2431</t>
  </si>
  <si>
    <t>Muszynski</t>
  </si>
  <si>
    <t xml:space="preserve">209 Cedar Ln </t>
  </si>
  <si>
    <t>Flagler Beach</t>
  </si>
  <si>
    <t>32136-3477</t>
  </si>
  <si>
    <t>Escoe</t>
  </si>
  <si>
    <t>Shanovia Navee</t>
  </si>
  <si>
    <t xml:space="preserve">607 Foothill Blvd Unit 1231 </t>
  </si>
  <si>
    <t>La Canada Flintridge</t>
  </si>
  <si>
    <t xml:space="preserve">7809 NE 174th Ave </t>
  </si>
  <si>
    <t>Faith-Smith</t>
  </si>
  <si>
    <t xml:space="preserve">290 Washington St # A </t>
  </si>
  <si>
    <t>Willby</t>
  </si>
  <si>
    <t>Francyne</t>
  </si>
  <si>
    <t xml:space="preserve">PO Box 218 </t>
  </si>
  <si>
    <t>Schader</t>
  </si>
  <si>
    <t xml:space="preserve">421 Camelback Rd </t>
  </si>
  <si>
    <t>Appel</t>
  </si>
  <si>
    <t xml:space="preserve">2725 Capitol Ave </t>
  </si>
  <si>
    <t>Rochkind</t>
  </si>
  <si>
    <t xml:space="preserve">4435 Colden St Apt 6B </t>
  </si>
  <si>
    <t>Polz</t>
  </si>
  <si>
    <t xml:space="preserve">9541 W Stonewood Dr </t>
  </si>
  <si>
    <t>83709-4997</t>
  </si>
  <si>
    <t xml:space="preserve">26 W 95th St Apt 5 </t>
  </si>
  <si>
    <t>Honeyman</t>
  </si>
  <si>
    <t>Usha</t>
  </si>
  <si>
    <t xml:space="preserve">1368 NW Lincoln Ave </t>
  </si>
  <si>
    <t>Shadwick</t>
  </si>
  <si>
    <t xml:space="preserve">761 Iris Ln </t>
  </si>
  <si>
    <t>West Blocton</t>
  </si>
  <si>
    <t>35184-2347</t>
  </si>
  <si>
    <t>Larsen</t>
  </si>
  <si>
    <t xml:space="preserve">102 Augusta Ave Apt 203 </t>
  </si>
  <si>
    <t>Dekalb</t>
  </si>
  <si>
    <t xml:space="preserve">11414 Cedar Ridge Dr </t>
  </si>
  <si>
    <t>Potomac</t>
  </si>
  <si>
    <t>Insley</t>
  </si>
  <si>
    <t xml:space="preserve">4945 N Pearl St </t>
  </si>
  <si>
    <t>Ruston</t>
  </si>
  <si>
    <t>Knouf-Burdick</t>
  </si>
  <si>
    <t xml:space="preserve">2597 Primrose St </t>
  </si>
  <si>
    <t>Teed</t>
  </si>
  <si>
    <t>Cornelia</t>
  </si>
  <si>
    <t xml:space="preserve">1201 13th St Unit 201 </t>
  </si>
  <si>
    <t xml:space="preserve">82 Swayback Trl </t>
  </si>
  <si>
    <t>Bubenick</t>
  </si>
  <si>
    <t xml:space="preserve">3641 Fries Bay Rd </t>
  </si>
  <si>
    <t>Loris</t>
  </si>
  <si>
    <t>29569-5556</t>
  </si>
  <si>
    <t>Udell</t>
  </si>
  <si>
    <t xml:space="preserve">4144 N 44th St Ste 7 </t>
  </si>
  <si>
    <t>Mutascio</t>
  </si>
  <si>
    <t>Derosa</t>
  </si>
  <si>
    <t xml:space="preserve">200 Park Ave Apt 8 </t>
  </si>
  <si>
    <t>Lake Park</t>
  </si>
  <si>
    <t>Collecchia</t>
  </si>
  <si>
    <t>Geri</t>
  </si>
  <si>
    <t xml:space="preserve">360 E South Water St Apt 518 </t>
  </si>
  <si>
    <t>Blanchard</t>
  </si>
  <si>
    <t xml:space="preserve">2701 Sigwalt St </t>
  </si>
  <si>
    <t>Rolling Meadows</t>
  </si>
  <si>
    <t>Zentura</t>
  </si>
  <si>
    <t>Ms</t>
  </si>
  <si>
    <t xml:space="preserve">1034 S Nebraska Ave </t>
  </si>
  <si>
    <t>Sterner</t>
  </si>
  <si>
    <t xml:space="preserve">102 W 85th St Apt 1G </t>
  </si>
  <si>
    <t>10024-4406</t>
  </si>
  <si>
    <t>Varon</t>
  </si>
  <si>
    <t>Joseph M.</t>
  </si>
  <si>
    <t xml:space="preserve">244 Lindberg St </t>
  </si>
  <si>
    <t>West Hempstead</t>
  </si>
  <si>
    <t>11552-2431</t>
  </si>
  <si>
    <t>Ober</t>
  </si>
  <si>
    <t>Nicolee</t>
  </si>
  <si>
    <t xml:space="preserve">14463 N La Costa Dr </t>
  </si>
  <si>
    <t>Fountain Hills</t>
  </si>
  <si>
    <t>85268-2934</t>
  </si>
  <si>
    <t>Hirsch</t>
  </si>
  <si>
    <t xml:space="preserve">516 Passaic Ave </t>
  </si>
  <si>
    <t>Springdale</t>
  </si>
  <si>
    <t>Goldthwait</t>
  </si>
  <si>
    <t xml:space="preserve">12652 Adair Creek Way NE </t>
  </si>
  <si>
    <t>O'Neal</t>
  </si>
  <si>
    <t xml:space="preserve">9100 SW 80th Ave # 8 </t>
  </si>
  <si>
    <t>Chieco</t>
  </si>
  <si>
    <t xml:space="preserve">4429 Webster St </t>
  </si>
  <si>
    <t>Tussing</t>
  </si>
  <si>
    <t xml:space="preserve">148 Crestwood Ave Apt 4 </t>
  </si>
  <si>
    <t>Ford</t>
  </si>
  <si>
    <t xml:space="preserve">19900 128th St Lot 60 </t>
  </si>
  <si>
    <t>Bristol</t>
  </si>
  <si>
    <t xml:space="preserve">2712 Grande Vista Ave </t>
  </si>
  <si>
    <t>94601-1320</t>
  </si>
  <si>
    <t>Alden</t>
  </si>
  <si>
    <t xml:space="preserve">235 W 102nd St Apt 8V </t>
  </si>
  <si>
    <t>10025-8428</t>
  </si>
  <si>
    <t>Adama</t>
  </si>
  <si>
    <t xml:space="preserve">1159 Park St </t>
  </si>
  <si>
    <t>Kokal</t>
  </si>
  <si>
    <t xml:space="preserve">1724 Brazo Cir </t>
  </si>
  <si>
    <t>Harlingen</t>
  </si>
  <si>
    <t>Keiser</t>
  </si>
  <si>
    <t xml:space="preserve">6131 SW 85th St # Z </t>
  </si>
  <si>
    <t>South Miami</t>
  </si>
  <si>
    <t>McManus</t>
  </si>
  <si>
    <t xml:space="preserve">800 E Lincoln Ave Apt 5 </t>
  </si>
  <si>
    <t>Storthz</t>
  </si>
  <si>
    <t xml:space="preserve">16 Sherrill Rd </t>
  </si>
  <si>
    <t>72202-1516</t>
  </si>
  <si>
    <t xml:space="preserve">1819 E Republican St Apt 311 </t>
  </si>
  <si>
    <t>98112-4682</t>
  </si>
  <si>
    <t>Charlot</t>
  </si>
  <si>
    <t xml:space="preserve">10914 Farmers Blvd Apt 2 </t>
  </si>
  <si>
    <t>Saint Albans</t>
  </si>
  <si>
    <t>11412-1063</t>
  </si>
  <si>
    <t xml:space="preserve">8 Camino De Las Mananitas # 0 </t>
  </si>
  <si>
    <t>87031-9546</t>
  </si>
  <si>
    <t>John And Sandra</t>
  </si>
  <si>
    <t xml:space="preserve">538 Mount Pleasant Rd </t>
  </si>
  <si>
    <t>Bloomsburg</t>
  </si>
  <si>
    <t>17815-7242</t>
  </si>
  <si>
    <t xml:space="preserve">5005 Palmetto Avenue 5005PALMETTO Ave </t>
  </si>
  <si>
    <t>Noble</t>
  </si>
  <si>
    <t xml:space="preserve">GROVE St S </t>
  </si>
  <si>
    <t>Sepulveda</t>
  </si>
  <si>
    <t xml:space="preserve">458 W Summerfield Cir </t>
  </si>
  <si>
    <t>92802-4778</t>
  </si>
  <si>
    <t>Slack</t>
  </si>
  <si>
    <t>Forest</t>
  </si>
  <si>
    <t>Evon</t>
  </si>
  <si>
    <t xml:space="preserve">1760 Hennepin Ave Apt 34 </t>
  </si>
  <si>
    <t>55403-2123</t>
  </si>
  <si>
    <t xml:space="preserve">427 Mills Dr </t>
  </si>
  <si>
    <t>Benicia</t>
  </si>
  <si>
    <t>Gonzales Jr.</t>
  </si>
  <si>
    <t xml:space="preserve">1407 S Sheldon Rd Apt 4 </t>
  </si>
  <si>
    <t>Plymouth</t>
  </si>
  <si>
    <t>Schafer</t>
  </si>
  <si>
    <t xml:space="preserve">4332 W164th Streetl </t>
  </si>
  <si>
    <t>Naegele</t>
  </si>
  <si>
    <t xml:space="preserve">855 Hawthorne Dr </t>
  </si>
  <si>
    <t>McNulty</t>
  </si>
  <si>
    <t xml:space="preserve">1614 Country Route 26 </t>
  </si>
  <si>
    <t>Climax</t>
  </si>
  <si>
    <t xml:space="preserve">332 Campbell Dr 332 Campbell Dr 332 Campbell Dr </t>
  </si>
  <si>
    <t>Rogersville</t>
  </si>
  <si>
    <t xml:space="preserve">DAUPHINE </t>
  </si>
  <si>
    <t>Krupinski</t>
  </si>
  <si>
    <t xml:space="preserve">6124 Buena Vista Ter </t>
  </si>
  <si>
    <t>Laton</t>
  </si>
  <si>
    <t>Lenahan</t>
  </si>
  <si>
    <t>Jo Ann</t>
  </si>
  <si>
    <t xml:space="preserve">6905 Village Green Blvd </t>
  </si>
  <si>
    <t>Pewee Valley</t>
  </si>
  <si>
    <t>40056-9087</t>
  </si>
  <si>
    <t>Okeefe</t>
  </si>
  <si>
    <t xml:space="preserve">1525 Merkley Ave Apt 216 </t>
  </si>
  <si>
    <t>Kasbarian</t>
  </si>
  <si>
    <t xml:space="preserve">178 Boulevard </t>
  </si>
  <si>
    <t>Kenilworth</t>
  </si>
  <si>
    <t>07033-1423</t>
  </si>
  <si>
    <t xml:space="preserve">1847 Massachusetts Ave SE </t>
  </si>
  <si>
    <t>Kilroy</t>
  </si>
  <si>
    <t xml:space="preserve">980 Tulip Rd SE </t>
  </si>
  <si>
    <t xml:space="preserve">83558 Kiechle Arm Road N O NE N O NE </t>
  </si>
  <si>
    <t xml:space="preserve">108 N Belvedere Blvd Apt 17 </t>
  </si>
  <si>
    <t>38104-2531</t>
  </si>
  <si>
    <t>Van Praag</t>
  </si>
  <si>
    <t>Jane Leatherman</t>
  </si>
  <si>
    <t xml:space="preserve">5365 S DALTON St </t>
  </si>
  <si>
    <t>Gerlach</t>
  </si>
  <si>
    <t xml:space="preserve">50 Ardendale Dr </t>
  </si>
  <si>
    <t>Daly City</t>
  </si>
  <si>
    <t>94014-1407</t>
  </si>
  <si>
    <t xml:space="preserve">2121 Alabama St Apt 2 </t>
  </si>
  <si>
    <t>92648-2861</t>
  </si>
  <si>
    <t>Murrow</t>
  </si>
  <si>
    <t xml:space="preserve">964 Topview Dr </t>
  </si>
  <si>
    <t>Edgewood</t>
  </si>
  <si>
    <t>21040-1950</t>
  </si>
  <si>
    <t>Hraban</t>
  </si>
  <si>
    <t xml:space="preserve">921 Webster St </t>
  </si>
  <si>
    <t>94301-2844</t>
  </si>
  <si>
    <t>Somlyo</t>
  </si>
  <si>
    <t>Louise Lora</t>
  </si>
  <si>
    <t xml:space="preserve">77 Pine St Apt 1-5 </t>
  </si>
  <si>
    <t>Diann</t>
  </si>
  <si>
    <t>Von Zangenberg</t>
  </si>
  <si>
    <t xml:space="preserve">11103 Sheffield Rd </t>
  </si>
  <si>
    <t xml:space="preserve">14 CLARK Ave </t>
  </si>
  <si>
    <t>Krstic</t>
  </si>
  <si>
    <t>Gianna</t>
  </si>
  <si>
    <t xml:space="preserve">175 23rd St NW </t>
  </si>
  <si>
    <t>Mukminov</t>
  </si>
  <si>
    <t>Timur</t>
  </si>
  <si>
    <t xml:space="preserve">MOUNTAIN Vw </t>
  </si>
  <si>
    <t>Frantz</t>
  </si>
  <si>
    <t xml:space="preserve">300 N Main St </t>
  </si>
  <si>
    <t xml:space="preserve">4745 Maxwell Ct Apt 4 </t>
  </si>
  <si>
    <t xml:space="preserve">322 Wisconsin Ct S </t>
  </si>
  <si>
    <t>Spillers</t>
  </si>
  <si>
    <t xml:space="preserve">7776 SE 168Th Lone Oak Loop </t>
  </si>
  <si>
    <t>32162-8353</t>
  </si>
  <si>
    <t xml:space="preserve">326 Sherman Hare Rd </t>
  </si>
  <si>
    <t>Grantsville</t>
  </si>
  <si>
    <t>Oberman</t>
  </si>
  <si>
    <t xml:space="preserve">24042 Highlander Rd </t>
  </si>
  <si>
    <t>West Hills</t>
  </si>
  <si>
    <t>Vreeland</t>
  </si>
  <si>
    <t xml:space="preserve">1241 Coronel Ave </t>
  </si>
  <si>
    <t>Rosenfield</t>
  </si>
  <si>
    <t xml:space="preserve">2420 E Hermosa Vista Dr </t>
  </si>
  <si>
    <t>Keung</t>
  </si>
  <si>
    <t xml:space="preserve">225 Deer Meadow Ln </t>
  </si>
  <si>
    <t>Lamorte</t>
  </si>
  <si>
    <t xml:space="preserve">7427 W 109th Pl </t>
  </si>
  <si>
    <t>Weiske</t>
  </si>
  <si>
    <t xml:space="preserve">6128 Wilshire Blvd </t>
  </si>
  <si>
    <t>Trexler</t>
  </si>
  <si>
    <t xml:space="preserve">48 Spy Pond Ln </t>
  </si>
  <si>
    <t>Rheinstein</t>
  </si>
  <si>
    <t xml:space="preserve">905 W End Ave </t>
  </si>
  <si>
    <t xml:space="preserve">2417 Milan St </t>
  </si>
  <si>
    <t xml:space="preserve">6239 SW 40th Ave </t>
  </si>
  <si>
    <t>Estabrook</t>
  </si>
  <si>
    <t xml:space="preserve">814 E Birch Ave </t>
  </si>
  <si>
    <t>Coeur D Alene</t>
  </si>
  <si>
    <t xml:space="preserve">6821 44th Ave NE </t>
  </si>
  <si>
    <t>Lobiondo</t>
  </si>
  <si>
    <t>Roanal</t>
  </si>
  <si>
    <t xml:space="preserve">13930 Monticello St </t>
  </si>
  <si>
    <t>Cushwa</t>
  </si>
  <si>
    <t xml:space="preserve">2715 Nterry St Portland Or </t>
  </si>
  <si>
    <t>Uhing</t>
  </si>
  <si>
    <t xml:space="preserve">2619 Arnold Rd Apt 16 </t>
  </si>
  <si>
    <t xml:space="preserve">4520 Decatur St </t>
  </si>
  <si>
    <t xml:space="preserve">1517 Oliver Ave </t>
  </si>
  <si>
    <t xml:space="preserve">85 Metropolitan Ave </t>
  </si>
  <si>
    <t xml:space="preserve">2721 Midtown Ct Apt 313 </t>
  </si>
  <si>
    <t xml:space="preserve">80 W Hookston Rd Apt 221 </t>
  </si>
  <si>
    <t>Delia</t>
  </si>
  <si>
    <t>Blase</t>
  </si>
  <si>
    <t xml:space="preserve">7690 Tohickon Hill Rd Unit 1 </t>
  </si>
  <si>
    <t>Pipersville</t>
  </si>
  <si>
    <t>Corson</t>
  </si>
  <si>
    <t xml:space="preserve">47 Valley Dr </t>
  </si>
  <si>
    <t>De Leon Springs</t>
  </si>
  <si>
    <t>Donovan</t>
  </si>
  <si>
    <t xml:space="preserve">1637 B Ave NW </t>
  </si>
  <si>
    <t>Cedar Rapids</t>
  </si>
  <si>
    <t>52405-3715</t>
  </si>
  <si>
    <t xml:space="preserve">38392 Nebo Dr </t>
  </si>
  <si>
    <t>94536-1829</t>
  </si>
  <si>
    <t>Ocampo</t>
  </si>
  <si>
    <t>Vicky</t>
  </si>
  <si>
    <t xml:space="preserve">1 Washington Sq </t>
  </si>
  <si>
    <t>Benak</t>
  </si>
  <si>
    <t>Mickie</t>
  </si>
  <si>
    <t xml:space="preserve">1855 Tanglewood Dr Unit 5E </t>
  </si>
  <si>
    <t>Rojeski</t>
  </si>
  <si>
    <t xml:space="preserve">2603 3rd St Apt 6 </t>
  </si>
  <si>
    <t>90405-4130</t>
  </si>
  <si>
    <t>Domke</t>
  </si>
  <si>
    <t xml:space="preserve">1309 W Thorndale Ave </t>
  </si>
  <si>
    <t xml:space="preserve">Hm </t>
  </si>
  <si>
    <t>Davies</t>
  </si>
  <si>
    <t xml:space="preserve">750 Smith Hills Rd </t>
  </si>
  <si>
    <t>Philo</t>
  </si>
  <si>
    <t>Kiefer</t>
  </si>
  <si>
    <t xml:space="preserve">5354 N Kenmore Ave </t>
  </si>
  <si>
    <t>Klingman</t>
  </si>
  <si>
    <t xml:space="preserve">2140 L St NW </t>
  </si>
  <si>
    <t>Bakalian</t>
  </si>
  <si>
    <t>Sima</t>
  </si>
  <si>
    <t xml:space="preserve">5012 Cloister Dr </t>
  </si>
  <si>
    <t>Postel</t>
  </si>
  <si>
    <t xml:space="preserve">9711 Calpher Ct </t>
  </si>
  <si>
    <t>Hinton</t>
  </si>
  <si>
    <t xml:space="preserve">7280 Pioneer Lakes Cir </t>
  </si>
  <si>
    <t>33413-2254</t>
  </si>
  <si>
    <t>Nero</t>
  </si>
  <si>
    <t xml:space="preserve">5387 Valley Mist Ct </t>
  </si>
  <si>
    <t>Peachtree Corners</t>
  </si>
  <si>
    <t>30092-1613</t>
  </si>
  <si>
    <t>Anderbeck</t>
  </si>
  <si>
    <t xml:space="preserve">4658 Stoddart Ln </t>
  </si>
  <si>
    <t xml:space="preserve">1288 Church St </t>
  </si>
  <si>
    <t>94114-3918</t>
  </si>
  <si>
    <t xml:space="preserve">676 Ggg </t>
  </si>
  <si>
    <t>Kershaw</t>
  </si>
  <si>
    <t xml:space="preserve">26 Skylark Dr Apt 1 </t>
  </si>
  <si>
    <t>94939-1264</t>
  </si>
  <si>
    <t>Siegler</t>
  </si>
  <si>
    <t xml:space="preserve">75 Manhattan Dr Ste 107 </t>
  </si>
  <si>
    <t>Marinilli</t>
  </si>
  <si>
    <t xml:space="preserve">2970 Emo Rd </t>
  </si>
  <si>
    <t>14572-9419</t>
  </si>
  <si>
    <t>Tintle</t>
  </si>
  <si>
    <t xml:space="preserve">242 Orchard Rd </t>
  </si>
  <si>
    <t>Shelburne</t>
  </si>
  <si>
    <t>Longyear</t>
  </si>
  <si>
    <t xml:space="preserve">2765 Hyatt St </t>
  </si>
  <si>
    <t>Spradlin</t>
  </si>
  <si>
    <t>Winger</t>
  </si>
  <si>
    <t xml:space="preserve">6 Bosworth Cir </t>
  </si>
  <si>
    <t>Courtney</t>
  </si>
  <si>
    <t xml:space="preserve">1551 Lake Marion Dr </t>
  </si>
  <si>
    <t>32712-2615</t>
  </si>
  <si>
    <t>Renouf</t>
  </si>
  <si>
    <t xml:space="preserve">417 Lincoln Cir </t>
  </si>
  <si>
    <t>Wentzel</t>
  </si>
  <si>
    <t>Feaars</t>
  </si>
  <si>
    <t xml:space="preserve">2 Shoal Dr </t>
  </si>
  <si>
    <t>Alia</t>
  </si>
  <si>
    <t xml:space="preserve">123 Counter Rd </t>
  </si>
  <si>
    <t xml:space="preserve">1093 WILEY BRIDGE RD DIXIE HILL FARM </t>
  </si>
  <si>
    <t>Platt</t>
  </si>
  <si>
    <t xml:space="preserve">66 Seyon St </t>
  </si>
  <si>
    <t>Jeromin</t>
  </si>
  <si>
    <t xml:space="preserve">537 Cream Hill Rd </t>
  </si>
  <si>
    <t>Connor</t>
  </si>
  <si>
    <t xml:space="preserve">1841 Trosper Rd SW Trlr 30 </t>
  </si>
  <si>
    <t>Tumwater</t>
  </si>
  <si>
    <t>98512-6965</t>
  </si>
  <si>
    <t>Herndon</t>
  </si>
  <si>
    <t xml:space="preserve">1925 Marlwood Cir </t>
  </si>
  <si>
    <t>Handley</t>
  </si>
  <si>
    <t xml:space="preserve">VINELAND Rd </t>
  </si>
  <si>
    <t>Scherba</t>
  </si>
  <si>
    <t xml:space="preserve">94949-6829 </t>
  </si>
  <si>
    <t>Ehr</t>
  </si>
  <si>
    <t>Robert  M.</t>
  </si>
  <si>
    <t xml:space="preserve">5301 Laurel St Unit A </t>
  </si>
  <si>
    <t>Van Saun</t>
  </si>
  <si>
    <t xml:space="preserve">3717 SE Yamhill St </t>
  </si>
  <si>
    <t xml:space="preserve">5100 NW Highway 99 Unit 17 </t>
  </si>
  <si>
    <t xml:space="preserve">1101 Pinar Dr </t>
  </si>
  <si>
    <t>Hallowell</t>
  </si>
  <si>
    <t xml:space="preserve">540 Main St Apt 142 </t>
  </si>
  <si>
    <t xml:space="preserve">1100 SE 4th Ave </t>
  </si>
  <si>
    <t>Deerfield Beach</t>
  </si>
  <si>
    <t>Novkov</t>
  </si>
  <si>
    <t xml:space="preserve">602 Sawyer Ter Apt 308 </t>
  </si>
  <si>
    <t>53705-3253</t>
  </si>
  <si>
    <t xml:space="preserve">1950 Demaray Dr Spc 16 </t>
  </si>
  <si>
    <t>97527-9134</t>
  </si>
  <si>
    <t>Cf</t>
  </si>
  <si>
    <t xml:space="preserve">2020 Beverley Rd </t>
  </si>
  <si>
    <t>11226-4902</t>
  </si>
  <si>
    <t>Larue</t>
  </si>
  <si>
    <t xml:space="preserve">17598 Maiben Rd </t>
  </si>
  <si>
    <t>98233-9670</t>
  </si>
  <si>
    <t>Scripp</t>
  </si>
  <si>
    <t xml:space="preserve">3100 Syler Rd </t>
  </si>
  <si>
    <t>Varysburg</t>
  </si>
  <si>
    <t>14167-9725</t>
  </si>
  <si>
    <t xml:space="preserve">8025 Taylor Rc </t>
  </si>
  <si>
    <t>Scantlebury</t>
  </si>
  <si>
    <t>E</t>
  </si>
  <si>
    <t xml:space="preserve">1915 W Casa Del Rio Dr </t>
  </si>
  <si>
    <t>Sorenson</t>
  </si>
  <si>
    <t>Danita</t>
  </si>
  <si>
    <t xml:space="preserve">10469 Pleasant Hill Ct </t>
  </si>
  <si>
    <t>Ian</t>
  </si>
  <si>
    <t xml:space="preserve">955 43rd Ave Apt 112 </t>
  </si>
  <si>
    <t>Wilhelmi</t>
  </si>
  <si>
    <t xml:space="preserve">1501 ROCK SPRINGS Dr Apt 124 </t>
  </si>
  <si>
    <t xml:space="preserve">1030 N Baker St </t>
  </si>
  <si>
    <t>Coldwell</t>
  </si>
  <si>
    <t>Sherilyn</t>
  </si>
  <si>
    <t xml:space="preserve">1433 Sherri Mar St </t>
  </si>
  <si>
    <t>Zito And Family</t>
  </si>
  <si>
    <t>Nola</t>
  </si>
  <si>
    <t xml:space="preserve">132 Clubhouse Cir Bldg 2 </t>
  </si>
  <si>
    <t xml:space="preserve">1222 Chestnut St </t>
  </si>
  <si>
    <t>Milton Freewater</t>
  </si>
  <si>
    <t>97862-1137</t>
  </si>
  <si>
    <t>Englander</t>
  </si>
  <si>
    <t xml:space="preserve">42 Ridge Rd Unit M </t>
  </si>
  <si>
    <t>Spurling</t>
  </si>
  <si>
    <t xml:space="preserve">1200 N 152nd St </t>
  </si>
  <si>
    <t>Shoreline</t>
  </si>
  <si>
    <t>Meaux</t>
  </si>
  <si>
    <t xml:space="preserve">720 Talison Ave Apt 102 </t>
  </si>
  <si>
    <t>Daniel Island</t>
  </si>
  <si>
    <t xml:space="preserve">GREENMEADOW Rd </t>
  </si>
  <si>
    <t>Bowling</t>
  </si>
  <si>
    <t xml:space="preserve">2221 Ridgetrail Dr </t>
  </si>
  <si>
    <t>Castle Rock</t>
  </si>
  <si>
    <t>Vargas</t>
  </si>
  <si>
    <t xml:space="preserve">378 N 1st Pl </t>
  </si>
  <si>
    <t>Rathsam</t>
  </si>
  <si>
    <t xml:space="preserve">2395 Green Meadows Way Unit STEAPTETCOPTION </t>
  </si>
  <si>
    <t xml:space="preserve">256 Axis Loop </t>
  </si>
  <si>
    <t>78628-1910</t>
  </si>
  <si>
    <t>Jules</t>
  </si>
  <si>
    <t xml:space="preserve">8285 NW Mitchell Dr </t>
  </si>
  <si>
    <t>97330-2824</t>
  </si>
  <si>
    <t>Law</t>
  </si>
  <si>
    <t>Meya</t>
  </si>
  <si>
    <t xml:space="preserve">7100 Mount Forest Ter </t>
  </si>
  <si>
    <t>District Heights</t>
  </si>
  <si>
    <t>20747-3968</t>
  </si>
  <si>
    <t>Fleetwood</t>
  </si>
  <si>
    <t xml:space="preserve">5203 T C Steele Rd # 47448 </t>
  </si>
  <si>
    <t>Gahan</t>
  </si>
  <si>
    <t xml:space="preserve">PO Box 533 </t>
  </si>
  <si>
    <t>Twentynine Palms</t>
  </si>
  <si>
    <t>Leibovitz</t>
  </si>
  <si>
    <t xml:space="preserve">3043 W Birchwood Avenue 3043 West Birchwood Ave Ave </t>
  </si>
  <si>
    <t>Rohde</t>
  </si>
  <si>
    <t xml:space="preserve">W365 Eagle Ln </t>
  </si>
  <si>
    <t>Considine</t>
  </si>
  <si>
    <t xml:space="preserve">1129 Maricopa Hwy </t>
  </si>
  <si>
    <t xml:space="preserve">Homeless </t>
  </si>
  <si>
    <t>Wilmette</t>
  </si>
  <si>
    <t>Jahn</t>
  </si>
  <si>
    <t xml:space="preserve">645 Wolff St Apt 102 </t>
  </si>
  <si>
    <t>Deltognoarmanasco</t>
  </si>
  <si>
    <t xml:space="preserve">15215 S 48th St Ste 130 </t>
  </si>
  <si>
    <t>Lehman</t>
  </si>
  <si>
    <t xml:space="preserve">994 S Belvoir Blvd </t>
  </si>
  <si>
    <t xml:space="preserve">353 S Edwards Rd </t>
  </si>
  <si>
    <t>98368-9269</t>
  </si>
  <si>
    <t xml:space="preserve">308 Friday Rd </t>
  </si>
  <si>
    <t>15209-2112</t>
  </si>
  <si>
    <t>Ambrosio</t>
  </si>
  <si>
    <t>Antoinette</t>
  </si>
  <si>
    <t xml:space="preserve">6517 Deadwood Rd </t>
  </si>
  <si>
    <t>89108-4427</t>
  </si>
  <si>
    <t xml:space="preserve">16 Lexington Ln W Apt G </t>
  </si>
  <si>
    <t>Palm Beach Gardens</t>
  </si>
  <si>
    <t>Kantowicz</t>
  </si>
  <si>
    <t xml:space="preserve">3528 S Manor Dr </t>
  </si>
  <si>
    <t>McGowan</t>
  </si>
  <si>
    <t xml:space="preserve">66 Chatham Ct </t>
  </si>
  <si>
    <t>Viney</t>
  </si>
  <si>
    <t xml:space="preserve">900 S Donner Way Apt 201 </t>
  </si>
  <si>
    <t>84108-4112</t>
  </si>
  <si>
    <t>Lepage</t>
  </si>
  <si>
    <t>Lucille</t>
  </si>
  <si>
    <t xml:space="preserve">10 Dale Ave Apt 211 </t>
  </si>
  <si>
    <t>Gloucester</t>
  </si>
  <si>
    <t>Lonna</t>
  </si>
  <si>
    <t xml:space="preserve">185 Sunset Way </t>
  </si>
  <si>
    <t>Muir Beach</t>
  </si>
  <si>
    <t>94965-9754</t>
  </si>
  <si>
    <t xml:space="preserve">27 LINDSEY KNOLL </t>
  </si>
  <si>
    <t>Crossville</t>
  </si>
  <si>
    <t>Pearthree</t>
  </si>
  <si>
    <t>Pippa</t>
  </si>
  <si>
    <t xml:space="preserve">625 Caton Ave Apt 1B </t>
  </si>
  <si>
    <t>Erway</t>
  </si>
  <si>
    <t xml:space="preserve">77 St </t>
  </si>
  <si>
    <t>Markham</t>
  </si>
  <si>
    <t xml:space="preserve">519 S Jefferson St </t>
  </si>
  <si>
    <t>42445-2115</t>
  </si>
  <si>
    <t>Merckx</t>
  </si>
  <si>
    <t xml:space="preserve">520 E 77th St Apt 1939 </t>
  </si>
  <si>
    <t>10162-0020</t>
  </si>
  <si>
    <t>Rena</t>
  </si>
  <si>
    <t xml:space="preserve">5309 Mountain Rd NE </t>
  </si>
  <si>
    <t>87110-6417</t>
  </si>
  <si>
    <t xml:space="preserve">15 Great Meadow Cir </t>
  </si>
  <si>
    <t>14623-2033</t>
  </si>
  <si>
    <t>Dakouzlian</t>
  </si>
  <si>
    <t>Marge</t>
  </si>
  <si>
    <t xml:space="preserve">110 Stuyvesant Pl </t>
  </si>
  <si>
    <t>10301-1916</t>
  </si>
  <si>
    <t>Gardiner</t>
  </si>
  <si>
    <t>John And Christine</t>
  </si>
  <si>
    <t xml:space="preserve">420 W River St </t>
  </si>
  <si>
    <t>Cave Junction</t>
  </si>
  <si>
    <t>97523-9545</t>
  </si>
  <si>
    <t>Kunz</t>
  </si>
  <si>
    <t>James  Leslea</t>
  </si>
  <si>
    <t xml:space="preserve">1218 Coral Reef Ct </t>
  </si>
  <si>
    <t>28560-7193</t>
  </si>
  <si>
    <t>Messina</t>
  </si>
  <si>
    <t xml:space="preserve">4 Victorian Cir </t>
  </si>
  <si>
    <t>75002-5244</t>
  </si>
  <si>
    <t>Novoa</t>
  </si>
  <si>
    <t xml:space="preserve">424 N Iowa Ave </t>
  </si>
  <si>
    <t>Villa Park</t>
  </si>
  <si>
    <t>Germash</t>
  </si>
  <si>
    <t xml:space="preserve">226 Lee St </t>
  </si>
  <si>
    <t>Peaster</t>
  </si>
  <si>
    <t>Sigman</t>
  </si>
  <si>
    <t xml:space="preserve">13805 Cedar Rd Apt 101 </t>
  </si>
  <si>
    <t xml:space="preserve">217 Booth St </t>
  </si>
  <si>
    <t>Gernheuser</t>
  </si>
  <si>
    <t xml:space="preserve">8161 Silverstone Dr </t>
  </si>
  <si>
    <t>Waterville</t>
  </si>
  <si>
    <t>Barshis</t>
  </si>
  <si>
    <t xml:space="preserve">1500 Sheridan Rd Unit 5E </t>
  </si>
  <si>
    <t>Erickson</t>
  </si>
  <si>
    <t>Winfield</t>
  </si>
  <si>
    <t>A.L.</t>
  </si>
  <si>
    <t xml:space="preserve">1222 Atwood St </t>
  </si>
  <si>
    <t>Cornwallville</t>
  </si>
  <si>
    <t>Les</t>
  </si>
  <si>
    <t xml:space="preserve">PO Box 199 </t>
  </si>
  <si>
    <t>Serafina</t>
  </si>
  <si>
    <t>Dodd</t>
  </si>
  <si>
    <t xml:space="preserve">415 Home Ave </t>
  </si>
  <si>
    <t>Itasca</t>
  </si>
  <si>
    <t xml:space="preserve">106 CURRANT Dr </t>
  </si>
  <si>
    <t>South Jordan</t>
  </si>
  <si>
    <t>Janna</t>
  </si>
  <si>
    <t xml:space="preserve">14865 SW 74th Ave Ste 110 </t>
  </si>
  <si>
    <t>Bartkowicz</t>
  </si>
  <si>
    <t xml:space="preserve">1011 Atlantic Ave Apt A </t>
  </si>
  <si>
    <t>Hoffman Estates</t>
  </si>
  <si>
    <t>60169-3750</t>
  </si>
  <si>
    <t>Kunzler</t>
  </si>
  <si>
    <t>Willard</t>
  </si>
  <si>
    <t xml:space="preserve">117 Ashcrest Pt </t>
  </si>
  <si>
    <t xml:space="preserve">9655 SW North Dakota St Apt 55 </t>
  </si>
  <si>
    <t xml:space="preserve">21962 Tobarra </t>
  </si>
  <si>
    <t>Fryer</t>
  </si>
  <si>
    <t xml:space="preserve">161 Ridge View Rd </t>
  </si>
  <si>
    <t>Versailles</t>
  </si>
  <si>
    <t xml:space="preserve">3455 W 171st St </t>
  </si>
  <si>
    <t xml:space="preserve">136 W Palm Ave </t>
  </si>
  <si>
    <t>Bokaie</t>
  </si>
  <si>
    <t xml:space="preserve">8822 Veranda Ct </t>
  </si>
  <si>
    <t>Maraldo</t>
  </si>
  <si>
    <t xml:space="preserve">25999 Ballard St # 25999 </t>
  </si>
  <si>
    <t>Harrison Twp</t>
  </si>
  <si>
    <t>Granlund</t>
  </si>
  <si>
    <t xml:space="preserve">5619 Lankershim Blvd # 102 </t>
  </si>
  <si>
    <t>Shabbott</t>
  </si>
  <si>
    <t xml:space="preserve">10249 Acorn Trl </t>
  </si>
  <si>
    <t>Batchelder</t>
  </si>
  <si>
    <t xml:space="preserve">15 Welfare St </t>
  </si>
  <si>
    <t>East Providence</t>
  </si>
  <si>
    <t>Pogel</t>
  </si>
  <si>
    <t xml:space="preserve">460 PETERSBURG IMPEACH TRUMP &amp; PENCE IMPEACH </t>
  </si>
  <si>
    <t>Plantation</t>
  </si>
  <si>
    <t>Klerer</t>
  </si>
  <si>
    <t xml:space="preserve">71 Straw Hill Ave </t>
  </si>
  <si>
    <t xml:space="preserve">5101 Beard Ave S </t>
  </si>
  <si>
    <t xml:space="preserve">2815 Sierra Vista Way </t>
  </si>
  <si>
    <t xml:space="preserve">828 10th St Apt 9 </t>
  </si>
  <si>
    <t>Laur</t>
  </si>
  <si>
    <t xml:space="preserve">20811 Lassen St Apt 11 </t>
  </si>
  <si>
    <t>Chatsworth</t>
  </si>
  <si>
    <t>Caudill</t>
  </si>
  <si>
    <t xml:space="preserve">17585 Cherry Tree Rd </t>
  </si>
  <si>
    <t>Sell</t>
  </si>
  <si>
    <t xml:space="preserve">18417 Flamingo Ave </t>
  </si>
  <si>
    <t>44135-3811</t>
  </si>
  <si>
    <t>Nilsson</t>
  </si>
  <si>
    <t>Derinda</t>
  </si>
  <si>
    <t xml:space="preserve">308 Richardson Ave </t>
  </si>
  <si>
    <t>Kalita</t>
  </si>
  <si>
    <t xml:space="preserve">38038 Chiloquin Ridge Rd </t>
  </si>
  <si>
    <t>Appenzeller</t>
  </si>
  <si>
    <t xml:space="preserve">759 President St Apt 2D </t>
  </si>
  <si>
    <t>Cashman</t>
  </si>
  <si>
    <t xml:space="preserve">279 Posada </t>
  </si>
  <si>
    <t xml:space="preserve">3953 S Peninsula Dr </t>
  </si>
  <si>
    <t>32127-6515</t>
  </si>
  <si>
    <t>Enamorado</t>
  </si>
  <si>
    <t>Naomi</t>
  </si>
  <si>
    <t xml:space="preserve">762 Dogwood Rd </t>
  </si>
  <si>
    <t>Bremen</t>
  </si>
  <si>
    <t>Kraft</t>
  </si>
  <si>
    <t>Evan</t>
  </si>
  <si>
    <t xml:space="preserve">5233 Nebraska Ave NW </t>
  </si>
  <si>
    <t xml:space="preserve">2235 1/2 N Fairview St </t>
  </si>
  <si>
    <t>Arent</t>
  </si>
  <si>
    <t xml:space="preserve">1 Belleview Dr Severna Park </t>
  </si>
  <si>
    <t>Severna Park</t>
  </si>
  <si>
    <t>Van Gerven</t>
  </si>
  <si>
    <t xml:space="preserve">719 Ithaca Dr </t>
  </si>
  <si>
    <t xml:space="preserve">1360 Road Runner Ter Apt E </t>
  </si>
  <si>
    <t>94087-7905</t>
  </si>
  <si>
    <t>Woods</t>
  </si>
  <si>
    <t>Rocquelle</t>
  </si>
  <si>
    <t xml:space="preserve">103 Cotton Bend Dr SW </t>
  </si>
  <si>
    <t>Huntsville</t>
  </si>
  <si>
    <t>35824-2907</t>
  </si>
  <si>
    <t xml:space="preserve">63 Winecoff Ave NW </t>
  </si>
  <si>
    <t>28025-4433</t>
  </si>
  <si>
    <t xml:space="preserve">197 Woodland Pkwy Ste PM104 </t>
  </si>
  <si>
    <t>Sheets</t>
  </si>
  <si>
    <t xml:space="preserve">1100 Albert Rd Apt B26 </t>
  </si>
  <si>
    <t>Brookhaven</t>
  </si>
  <si>
    <t>Pakurar</t>
  </si>
  <si>
    <t xml:space="preserve">13912 Bayport Landing Rd </t>
  </si>
  <si>
    <t>Galdo</t>
  </si>
  <si>
    <t>Querido</t>
  </si>
  <si>
    <t xml:space="preserve">3105 Riverdale Rd </t>
  </si>
  <si>
    <t>Shook</t>
  </si>
  <si>
    <t xml:space="preserve">14131 Chalk Hill Rd </t>
  </si>
  <si>
    <t xml:space="preserve">9100 1/2 E Fairview Ave </t>
  </si>
  <si>
    <t>San Gabriel</t>
  </si>
  <si>
    <t>Zalenski</t>
  </si>
  <si>
    <t xml:space="preserve">5225 Horger St </t>
  </si>
  <si>
    <t>Parker</t>
  </si>
  <si>
    <t xml:space="preserve">119 Private Road 4422 </t>
  </si>
  <si>
    <t>Rhome</t>
  </si>
  <si>
    <t>Flack</t>
  </si>
  <si>
    <t xml:space="preserve">1130 Biegler Cir </t>
  </si>
  <si>
    <t>McPherson</t>
  </si>
  <si>
    <t xml:space="preserve">764 Rock Hollow Rd </t>
  </si>
  <si>
    <t>Elliottsburg</t>
  </si>
  <si>
    <t xml:space="preserve">800 the Mark Ln Unit 1705 </t>
  </si>
  <si>
    <t>Frothingham</t>
  </si>
  <si>
    <t xml:space="preserve">608 N Pine St </t>
  </si>
  <si>
    <t>T Or C</t>
  </si>
  <si>
    <t>McGowan-Guida</t>
  </si>
  <si>
    <t xml:space="preserve">99 Merrill Rd </t>
  </si>
  <si>
    <t>Parmenter</t>
  </si>
  <si>
    <t>Annmarie</t>
  </si>
  <si>
    <t xml:space="preserve">201 Belleville Ave </t>
  </si>
  <si>
    <t>Smolsky</t>
  </si>
  <si>
    <t xml:space="preserve">1806 N 173rd St </t>
  </si>
  <si>
    <t>Jacqui</t>
  </si>
  <si>
    <t xml:space="preserve">731 State St </t>
  </si>
  <si>
    <t>Hair</t>
  </si>
  <si>
    <t xml:space="preserve">732 Wynette Way </t>
  </si>
  <si>
    <t>Margolis</t>
  </si>
  <si>
    <t xml:space="preserve">4915 Samish Way Unit 7 </t>
  </si>
  <si>
    <t xml:space="preserve">3524 Paseo De Los Americanos Unit 107 </t>
  </si>
  <si>
    <t>Wortel</t>
  </si>
  <si>
    <t xml:space="preserve">1411 Pohl Rd </t>
  </si>
  <si>
    <t>Mankato</t>
  </si>
  <si>
    <t>Dember</t>
  </si>
  <si>
    <t>Ira</t>
  </si>
  <si>
    <t xml:space="preserve">0 PRIVATE </t>
  </si>
  <si>
    <t xml:space="preserve">103 N Park Ave </t>
  </si>
  <si>
    <t>Lepore</t>
  </si>
  <si>
    <t xml:space="preserve">80 Berwick Rd </t>
  </si>
  <si>
    <t>03901-2702</t>
  </si>
  <si>
    <t xml:space="preserve">1614 Glennwood Ave SE </t>
  </si>
  <si>
    <t>Stice</t>
  </si>
  <si>
    <t xml:space="preserve">1377 Arthur St </t>
  </si>
  <si>
    <t>Magathan</t>
  </si>
  <si>
    <t xml:space="preserve">2401 Holly Dr </t>
  </si>
  <si>
    <t>Degeyter</t>
  </si>
  <si>
    <t xml:space="preserve">78 Oak Hill Rd </t>
  </si>
  <si>
    <t>Ghent</t>
  </si>
  <si>
    <t xml:space="preserve">48 Edgewater Dr </t>
  </si>
  <si>
    <t>Gotvald</t>
  </si>
  <si>
    <t xml:space="preserve">528 Monti Cir </t>
  </si>
  <si>
    <t xml:space="preserve">6 Washington St </t>
  </si>
  <si>
    <t xml:space="preserve">47 Beatty Ave </t>
  </si>
  <si>
    <t>John And Sandy</t>
  </si>
  <si>
    <t xml:space="preserve">1021 Eastview Ln </t>
  </si>
  <si>
    <t>Warsaw</t>
  </si>
  <si>
    <t>Decourcey</t>
  </si>
  <si>
    <t xml:space="preserve">3947 SE 14th St </t>
  </si>
  <si>
    <t xml:space="preserve">1901 Water Fall Way </t>
  </si>
  <si>
    <t>Riggs</t>
  </si>
  <si>
    <t xml:space="preserve">143 Cedar Grove Rd </t>
  </si>
  <si>
    <t>Branchburg</t>
  </si>
  <si>
    <t>Jillian</t>
  </si>
  <si>
    <t xml:space="preserve">2112 33rd St </t>
  </si>
  <si>
    <t>Alworth</t>
  </si>
  <si>
    <t xml:space="preserve">6904 Sunderland Trl </t>
  </si>
  <si>
    <t xml:space="preserve">2280 Hudson St </t>
  </si>
  <si>
    <t>Izer</t>
  </si>
  <si>
    <t xml:space="preserve">2166 Giltshire Dr </t>
  </si>
  <si>
    <t>Nicholson</t>
  </si>
  <si>
    <t xml:space="preserve">22 Wendy Ct </t>
  </si>
  <si>
    <t>Darwin</t>
  </si>
  <si>
    <t xml:space="preserve">2444 E Brown St </t>
  </si>
  <si>
    <t>Millensifer</t>
  </si>
  <si>
    <t>Aimee</t>
  </si>
  <si>
    <t xml:space="preserve">2087 S Xenia Way </t>
  </si>
  <si>
    <t>Bergman</t>
  </si>
  <si>
    <t>Potenza</t>
  </si>
  <si>
    <t xml:space="preserve">21516 Roseton Ave </t>
  </si>
  <si>
    <t>Stoller</t>
  </si>
  <si>
    <t xml:space="preserve">7516 Easton Rd </t>
  </si>
  <si>
    <t>Funk</t>
  </si>
  <si>
    <t>Melinda</t>
  </si>
  <si>
    <t>Kamloops</t>
  </si>
  <si>
    <t xml:space="preserve">313 Elkchester Cir </t>
  </si>
  <si>
    <t>Nicholasville</t>
  </si>
  <si>
    <t>Dubasik</t>
  </si>
  <si>
    <t>Valentina</t>
  </si>
  <si>
    <t xml:space="preserve">2948 Brighton Rd </t>
  </si>
  <si>
    <t>Shaker Hts</t>
  </si>
  <si>
    <t>Brucken</t>
  </si>
  <si>
    <t xml:space="preserve">8088 Long Forest Dr </t>
  </si>
  <si>
    <t>Brecksville</t>
  </si>
  <si>
    <t>Taffy</t>
  </si>
  <si>
    <t xml:space="preserve">191 Westchester Ave </t>
  </si>
  <si>
    <t>Tuckahoe</t>
  </si>
  <si>
    <t xml:space="preserve">2801 Abercorn St </t>
  </si>
  <si>
    <t>Savannah</t>
  </si>
  <si>
    <t xml:space="preserve">5887 N Central Ave </t>
  </si>
  <si>
    <t>Seldin</t>
  </si>
  <si>
    <t xml:space="preserve">11300 Knights Landing Ct </t>
  </si>
  <si>
    <t>Haggerty</t>
  </si>
  <si>
    <t xml:space="preserve">313 Brookfield Cir </t>
  </si>
  <si>
    <t xml:space="preserve">1216 Woodhull Rd </t>
  </si>
  <si>
    <t>Webster</t>
  </si>
  <si>
    <t>Renner</t>
  </si>
  <si>
    <t xml:space="preserve">19920 NE 30th Ct </t>
  </si>
  <si>
    <t>Sammamish</t>
  </si>
  <si>
    <t>Hager</t>
  </si>
  <si>
    <t xml:space="preserve">167 Bennett St </t>
  </si>
  <si>
    <t>Hughesville</t>
  </si>
  <si>
    <t>Mogen</t>
  </si>
  <si>
    <t xml:space="preserve">6 Big Spruce Ln </t>
  </si>
  <si>
    <t>Binder</t>
  </si>
  <si>
    <t xml:space="preserve">5900 Arlington Ave </t>
  </si>
  <si>
    <t>Sitran</t>
  </si>
  <si>
    <t xml:space="preserve">Noneofyourbiz Dr </t>
  </si>
  <si>
    <t>Hart</t>
  </si>
  <si>
    <t xml:space="preserve">10061 Theseus Dr </t>
  </si>
  <si>
    <t>Tortoriello</t>
  </si>
  <si>
    <t xml:space="preserve">2156 W Bowler St </t>
  </si>
  <si>
    <t>Meehan</t>
  </si>
  <si>
    <t xml:space="preserve">1134 Roxbury Dr </t>
  </si>
  <si>
    <t>Roth</t>
  </si>
  <si>
    <t xml:space="preserve">1270 Lincolnshire Dr </t>
  </si>
  <si>
    <t>Rockingham</t>
  </si>
  <si>
    <t>Fusilier</t>
  </si>
  <si>
    <t>Gilda</t>
  </si>
  <si>
    <t>Calleja</t>
  </si>
  <si>
    <t>Marta</t>
  </si>
  <si>
    <t xml:space="preserve">1839 Marengo St </t>
  </si>
  <si>
    <t xml:space="preserve">4025 Rose Creek Rd </t>
  </si>
  <si>
    <t xml:space="preserve">32 Bay Hill Rd </t>
  </si>
  <si>
    <t>Salazar</t>
  </si>
  <si>
    <t xml:space="preserve">9384 Wichita Trl </t>
  </si>
  <si>
    <t>Frisco</t>
  </si>
  <si>
    <t>Starseed</t>
  </si>
  <si>
    <t>Lozz</t>
  </si>
  <si>
    <t xml:space="preserve">250 Massachusetts Ave </t>
  </si>
  <si>
    <t>Eckles</t>
  </si>
  <si>
    <t xml:space="preserve">8300 Coromar Ave </t>
  </si>
  <si>
    <t xml:space="preserve">3106 Menlo Ave </t>
  </si>
  <si>
    <t>Plauche</t>
  </si>
  <si>
    <t xml:space="preserve">80475 Oaklawn Dr </t>
  </si>
  <si>
    <t>Deen</t>
  </si>
  <si>
    <t>Sheleeza</t>
  </si>
  <si>
    <t xml:space="preserve">14217 84th Dr </t>
  </si>
  <si>
    <t xml:space="preserve">4801 Running Springs Rd </t>
  </si>
  <si>
    <t xml:space="preserve">3330 Grand View Blvd </t>
  </si>
  <si>
    <t>Oberholtzer</t>
  </si>
  <si>
    <t xml:space="preserve">1601 Rhododendron Dr Spc 522 </t>
  </si>
  <si>
    <t>Pettit</t>
  </si>
  <si>
    <t xml:space="preserve">2833 Sternwheeler Dr </t>
  </si>
  <si>
    <t>Toby Ann</t>
  </si>
  <si>
    <t xml:space="preserve">1117 W River Rd </t>
  </si>
  <si>
    <t>Valley City</t>
  </si>
  <si>
    <t>Dewaay</t>
  </si>
  <si>
    <t xml:space="preserve">1028 S Dakota St </t>
  </si>
  <si>
    <t>Butte</t>
  </si>
  <si>
    <t>Rust</t>
  </si>
  <si>
    <t xml:space="preserve">517 Fox St </t>
  </si>
  <si>
    <t>Joliet</t>
  </si>
  <si>
    <t>Van Brown</t>
  </si>
  <si>
    <t xml:space="preserve">3243 Ponce De Leon St </t>
  </si>
  <si>
    <t xml:space="preserve">1552 State Highway 102 </t>
  </si>
  <si>
    <t>Bar Harbor</t>
  </si>
  <si>
    <t>Jeannine</t>
  </si>
  <si>
    <t xml:space="preserve">2521 Orchard Ln </t>
  </si>
  <si>
    <t>Roseburg</t>
  </si>
  <si>
    <t xml:space="preserve">1 Beverly Ln </t>
  </si>
  <si>
    <t>Gorham</t>
  </si>
  <si>
    <t xml:space="preserve">8657 Maplebrook Pkwy N </t>
  </si>
  <si>
    <t>Money</t>
  </si>
  <si>
    <t>Christine M.C.</t>
  </si>
  <si>
    <t xml:space="preserve">5 Douglas Dr # L </t>
  </si>
  <si>
    <t>Long Valley</t>
  </si>
  <si>
    <t>Collett</t>
  </si>
  <si>
    <t xml:space="preserve">280 E 1100 S </t>
  </si>
  <si>
    <t>Bountiful</t>
  </si>
  <si>
    <t>Brinning</t>
  </si>
  <si>
    <t xml:space="preserve">11510 Snowden Pond Rd </t>
  </si>
  <si>
    <t xml:space="preserve">2830 W Centennial Dr Unit H </t>
  </si>
  <si>
    <t>Tevelow</t>
  </si>
  <si>
    <t xml:space="preserve">10205 Wincopin Cir </t>
  </si>
  <si>
    <t>Marshalek</t>
  </si>
  <si>
    <t xml:space="preserve">801 W 7th St </t>
  </si>
  <si>
    <t>Jantzen</t>
  </si>
  <si>
    <t>Ronald L</t>
  </si>
  <si>
    <t xml:space="preserve">160 Maple St </t>
  </si>
  <si>
    <t>Sherborn</t>
  </si>
  <si>
    <t>Ramond</t>
  </si>
  <si>
    <t xml:space="preserve">6842 Colbath Ave </t>
  </si>
  <si>
    <t>Baccelli</t>
  </si>
  <si>
    <t>M L</t>
  </si>
  <si>
    <t xml:space="preserve">PO Box 613 </t>
  </si>
  <si>
    <t>Fairhaven</t>
  </si>
  <si>
    <t xml:space="preserve">PO Box 391 </t>
  </si>
  <si>
    <t xml:space="preserve">2051 2100th St </t>
  </si>
  <si>
    <t>Kronick</t>
  </si>
  <si>
    <t>Jenn</t>
  </si>
  <si>
    <t xml:space="preserve">1919 Harrison Ct </t>
  </si>
  <si>
    <t>Placentia</t>
  </si>
  <si>
    <t>Stalcup</t>
  </si>
  <si>
    <t>Irl</t>
  </si>
  <si>
    <t xml:space="preserve">5066 Chalet Dr </t>
  </si>
  <si>
    <t xml:space="preserve">150 Redwood Ave </t>
  </si>
  <si>
    <t>Kremer</t>
  </si>
  <si>
    <t xml:space="preserve">10141 SW Trapper Ter </t>
  </si>
  <si>
    <t xml:space="preserve">1800 SW 15th St </t>
  </si>
  <si>
    <t xml:space="preserve">54 New Wickham Dr </t>
  </si>
  <si>
    <t>Penfield</t>
  </si>
  <si>
    <t>Shumway</t>
  </si>
  <si>
    <t xml:space="preserve">CC35 Calle Jumacao </t>
  </si>
  <si>
    <t>Caguas</t>
  </si>
  <si>
    <t xml:space="preserve">219 N 1st St </t>
  </si>
  <si>
    <t>Loup City</t>
  </si>
  <si>
    <t>Dravis</t>
  </si>
  <si>
    <t xml:space="preserve">10730 Church St Apt 360 </t>
  </si>
  <si>
    <t>MacDowell</t>
  </si>
  <si>
    <t xml:space="preserve">PO Box 11458 </t>
  </si>
  <si>
    <t>Darling</t>
  </si>
  <si>
    <t xml:space="preserve">3295 SW 106th Ave # A </t>
  </si>
  <si>
    <t>Klumb</t>
  </si>
  <si>
    <t xml:space="preserve">W370S9784 State Road 67 </t>
  </si>
  <si>
    <t>Eagle</t>
  </si>
  <si>
    <t>McNally</t>
  </si>
  <si>
    <t xml:space="preserve">362 Cooks Hollow Rd </t>
  </si>
  <si>
    <t>Tyrone</t>
  </si>
  <si>
    <t xml:space="preserve">2690 Mack Way </t>
  </si>
  <si>
    <t>Woodland</t>
  </si>
  <si>
    <t>Antonie</t>
  </si>
  <si>
    <t xml:space="preserve">240 E 89th St Apt 2B </t>
  </si>
  <si>
    <t>Brinker</t>
  </si>
  <si>
    <t xml:space="preserve">6217 Arapahoe Pl </t>
  </si>
  <si>
    <t>Schuchard</t>
  </si>
  <si>
    <t xml:space="preserve">1666 Allendale Dr </t>
  </si>
  <si>
    <t>Nolensville</t>
  </si>
  <si>
    <t xml:space="preserve">2801 Denton Tap Rd </t>
  </si>
  <si>
    <t>Lewisville</t>
  </si>
  <si>
    <t>Johnoff</t>
  </si>
  <si>
    <t xml:space="preserve">2608 W Burgess Ln </t>
  </si>
  <si>
    <t>Short</t>
  </si>
  <si>
    <t xml:space="preserve">916 Wbulb Farm </t>
  </si>
  <si>
    <t>Shelton</t>
  </si>
  <si>
    <t>Camp</t>
  </si>
  <si>
    <t xml:space="preserve">435 E Magnolia Blvd Apt 209 </t>
  </si>
  <si>
    <t>Schmoker</t>
  </si>
  <si>
    <t xml:space="preserve">6502 Rockwood Dr </t>
  </si>
  <si>
    <t xml:space="preserve">103 Rosewell Way </t>
  </si>
  <si>
    <t>Brady</t>
  </si>
  <si>
    <t xml:space="preserve">5714 W Houston Ave </t>
  </si>
  <si>
    <t>Yater</t>
  </si>
  <si>
    <t xml:space="preserve">2654 Barton Hills Dr </t>
  </si>
  <si>
    <t>Maryjayne</t>
  </si>
  <si>
    <t xml:space="preserve">13708 Canada Del Oso Pl NE </t>
  </si>
  <si>
    <t>Terrell</t>
  </si>
  <si>
    <t xml:space="preserve">3704 E El Paso Dr </t>
  </si>
  <si>
    <t xml:space="preserve">320 Poopoo Pl </t>
  </si>
  <si>
    <t>Kailua</t>
  </si>
  <si>
    <t xml:space="preserve">1107 Baldwin St </t>
  </si>
  <si>
    <t>Mechanicsburg</t>
  </si>
  <si>
    <t>Rolofson</t>
  </si>
  <si>
    <t xml:space="preserve">71 Marland Pl </t>
  </si>
  <si>
    <t xml:space="preserve">3 B Lenape Dr </t>
  </si>
  <si>
    <t>Whiting</t>
  </si>
  <si>
    <t>Holman</t>
  </si>
  <si>
    <t xml:space="preserve">228 Highland St </t>
  </si>
  <si>
    <t>Alda</t>
  </si>
  <si>
    <t xml:space="preserve">2600 Brentwood Rd </t>
  </si>
  <si>
    <t>Beachwood</t>
  </si>
  <si>
    <t>Nunley</t>
  </si>
  <si>
    <t xml:space="preserve">212 Wood Duck Ln </t>
  </si>
  <si>
    <t>Devine</t>
  </si>
  <si>
    <t xml:space="preserve">5143 N Neenah Ave </t>
  </si>
  <si>
    <t xml:space="preserve">9834 4th St NE </t>
  </si>
  <si>
    <t xml:space="preserve">5837 Grand Ave </t>
  </si>
  <si>
    <t>Sferlazza</t>
  </si>
  <si>
    <t xml:space="preserve">46031 Waco St </t>
  </si>
  <si>
    <t>Shelby Township</t>
  </si>
  <si>
    <t xml:space="preserve">4765 Sundial Dr NE </t>
  </si>
  <si>
    <t>Libby</t>
  </si>
  <si>
    <t>Dominic</t>
  </si>
  <si>
    <t xml:space="preserve">63 Middleton Rd </t>
  </si>
  <si>
    <t>Vogt</t>
  </si>
  <si>
    <t xml:space="preserve">2137 Deerpath Rd </t>
  </si>
  <si>
    <t>Franktown</t>
  </si>
  <si>
    <t>Schmidt</t>
  </si>
  <si>
    <t xml:space="preserve">4282 State Rd </t>
  </si>
  <si>
    <t>Medina</t>
  </si>
  <si>
    <t>Gillaspy</t>
  </si>
  <si>
    <t xml:space="preserve">9155 Wigwam Way </t>
  </si>
  <si>
    <t xml:space="preserve">307 1/2 Garfield Ave </t>
  </si>
  <si>
    <t>Scholten</t>
  </si>
  <si>
    <t xml:space="preserve">8220 184th St SW </t>
  </si>
  <si>
    <t>Roller</t>
  </si>
  <si>
    <t>Di</t>
  </si>
  <si>
    <t xml:space="preserve">708 King Beach Dr </t>
  </si>
  <si>
    <t>Piech</t>
  </si>
  <si>
    <t xml:space="preserve">256 Georges Rd </t>
  </si>
  <si>
    <t>Wapwallopen</t>
  </si>
  <si>
    <t>Saltzman</t>
  </si>
  <si>
    <t xml:space="preserve">1420 Locust St Apt 23M </t>
  </si>
  <si>
    <t>Frieden</t>
  </si>
  <si>
    <t>Sarajo</t>
  </si>
  <si>
    <t xml:space="preserve">1910 N Serrano Ave </t>
  </si>
  <si>
    <t xml:space="preserve">2916 10th St </t>
  </si>
  <si>
    <t>Schumann</t>
  </si>
  <si>
    <t>Sheilah</t>
  </si>
  <si>
    <t xml:space="preserve">9 Diellen Ct </t>
  </si>
  <si>
    <t>Sabrina</t>
  </si>
  <si>
    <t xml:space="preserve">507 N Elkhart Ave </t>
  </si>
  <si>
    <t>Lubbock</t>
  </si>
  <si>
    <t>Lipson</t>
  </si>
  <si>
    <t xml:space="preserve">10 Holland Ln 2 </t>
  </si>
  <si>
    <t>Napolitano</t>
  </si>
  <si>
    <t xml:space="preserve">826 Amethyst Ave </t>
  </si>
  <si>
    <t>Falkenstein</t>
  </si>
  <si>
    <t xml:space="preserve">277 Southwest Rd </t>
  </si>
  <si>
    <t xml:space="preserve">1555 Gleaner Hall Ct </t>
  </si>
  <si>
    <t xml:space="preserve">650 Rector St # 303 </t>
  </si>
  <si>
    <t xml:space="preserve">134 E Eddington Ave </t>
  </si>
  <si>
    <t xml:space="preserve">41 Pequest Dr </t>
  </si>
  <si>
    <t xml:space="preserve">6680 Barbara Dr </t>
  </si>
  <si>
    <t>Honaker</t>
  </si>
  <si>
    <t>Mb</t>
  </si>
  <si>
    <t xml:space="preserve">PO Box 8498 </t>
  </si>
  <si>
    <t>Hoagland</t>
  </si>
  <si>
    <t xml:space="preserve">40 Duck Hawk Ct </t>
  </si>
  <si>
    <t>Hackettstown</t>
  </si>
  <si>
    <t>Laurance</t>
  </si>
  <si>
    <t>Lauree</t>
  </si>
  <si>
    <t xml:space="preserve">721 N Main St Apt 8 </t>
  </si>
  <si>
    <t>Murgatroyd</t>
  </si>
  <si>
    <t xml:space="preserve">1335 Steve Dr </t>
  </si>
  <si>
    <t xml:space="preserve">3706 Maywood Dr </t>
  </si>
  <si>
    <t>Eau Claire</t>
  </si>
  <si>
    <t>Doherty</t>
  </si>
  <si>
    <t xml:space="preserve">3434 N Nottingham Ave </t>
  </si>
  <si>
    <t>Lantow</t>
  </si>
  <si>
    <t xml:space="preserve">4615 Peacock Ln </t>
  </si>
  <si>
    <t xml:space="preserve">6007 N Sheridan Rd </t>
  </si>
  <si>
    <t xml:space="preserve">246 NE 33rd St Apt 7 </t>
  </si>
  <si>
    <t>Rubino</t>
  </si>
  <si>
    <t xml:space="preserve">113 Iceland Dr </t>
  </si>
  <si>
    <t>Bowen</t>
  </si>
  <si>
    <t xml:space="preserve">138 Breezewood Dr </t>
  </si>
  <si>
    <t>Orchard Park</t>
  </si>
  <si>
    <t>Polak</t>
  </si>
  <si>
    <t>Ml</t>
  </si>
  <si>
    <t xml:space="preserve">329 S Hicks St </t>
  </si>
  <si>
    <t>Sher</t>
  </si>
  <si>
    <t xml:space="preserve">1107 Wadsworth Pl </t>
  </si>
  <si>
    <t xml:space="preserve">24 Genesee View Trl </t>
  </si>
  <si>
    <t>Lassahn</t>
  </si>
  <si>
    <t xml:space="preserve">2615 E Robino Dr </t>
  </si>
  <si>
    <t>Wareh</t>
  </si>
  <si>
    <t>Ronna</t>
  </si>
  <si>
    <t xml:space="preserve">21005 SW Rosedale Rd </t>
  </si>
  <si>
    <t>Dieter</t>
  </si>
  <si>
    <t>Clarice</t>
  </si>
  <si>
    <t xml:space="preserve">39792 the Narrows Rd </t>
  </si>
  <si>
    <t xml:space="preserve">302 Raymond Ln </t>
  </si>
  <si>
    <t>Zorina</t>
  </si>
  <si>
    <t xml:space="preserve">111 S Fullerton Ave </t>
  </si>
  <si>
    <t xml:space="preserve">4 Greenwood Ln </t>
  </si>
  <si>
    <t>Jager</t>
  </si>
  <si>
    <t>Colt</t>
  </si>
  <si>
    <t xml:space="preserve">7700 242nd Ave Salem WI53168 </t>
  </si>
  <si>
    <t>Jacopetti</t>
  </si>
  <si>
    <t xml:space="preserve">4939 Deerwood Dr </t>
  </si>
  <si>
    <t>Viers</t>
  </si>
  <si>
    <t xml:space="preserve">1148 Malcolm Rd </t>
  </si>
  <si>
    <t>Clark-Laughlin</t>
  </si>
  <si>
    <t xml:space="preserve">11 Red Haven Ct </t>
  </si>
  <si>
    <t xml:space="preserve">2483 E Garwood Rd </t>
  </si>
  <si>
    <t>Hauska</t>
  </si>
  <si>
    <t xml:space="preserve">7873 Kellogg Creek Dr </t>
  </si>
  <si>
    <t xml:space="preserve">20 Juniper Ln Unit 15 </t>
  </si>
  <si>
    <t>Lando</t>
  </si>
  <si>
    <t xml:space="preserve">126 Brattle Cir </t>
  </si>
  <si>
    <t>Valencius</t>
  </si>
  <si>
    <t xml:space="preserve">21 Germaine Rd </t>
  </si>
  <si>
    <t>Norwell</t>
  </si>
  <si>
    <t>Zingher</t>
  </si>
  <si>
    <t xml:space="preserve">40 Winthrop Ave </t>
  </si>
  <si>
    <t>Elmsford</t>
  </si>
  <si>
    <t>Danne</t>
  </si>
  <si>
    <t xml:space="preserve">3010 SW 23rd Ter Apt 118 </t>
  </si>
  <si>
    <t>Mielke</t>
  </si>
  <si>
    <t>Orben</t>
  </si>
  <si>
    <t xml:space="preserve">203 Kay Ave </t>
  </si>
  <si>
    <t>Sheboygan Falls</t>
  </si>
  <si>
    <t>Strelke</t>
  </si>
  <si>
    <t>Charleen</t>
  </si>
  <si>
    <t xml:space="preserve">7 Douglas Dr </t>
  </si>
  <si>
    <t>North Easton</t>
  </si>
  <si>
    <t>Deierling</t>
  </si>
  <si>
    <t xml:space="preserve">3140 E Kleindale Rd </t>
  </si>
  <si>
    <t>Rich</t>
  </si>
  <si>
    <t xml:space="preserve">1250 Phelps St </t>
  </si>
  <si>
    <t>Ottawa</t>
  </si>
  <si>
    <t xml:space="preserve">1408 Live Oak Cir </t>
  </si>
  <si>
    <t>Arakawa</t>
  </si>
  <si>
    <t xml:space="preserve">3529 Bayberry Ln NW </t>
  </si>
  <si>
    <t xml:space="preserve">314 Airport Rd </t>
  </si>
  <si>
    <t>Medley</t>
  </si>
  <si>
    <t xml:space="preserve">2015 Oakadia Dr Frnt HOUSE </t>
  </si>
  <si>
    <t>McMurray</t>
  </si>
  <si>
    <t>Phillip</t>
  </si>
  <si>
    <t xml:space="preserve">PO Box 300 </t>
  </si>
  <si>
    <t xml:space="preserve">401 Lake Village Blvd </t>
  </si>
  <si>
    <t>Hutchison</t>
  </si>
  <si>
    <t xml:space="preserve">88 Sparks St </t>
  </si>
  <si>
    <t xml:space="preserve">1347 NE 47th Ave </t>
  </si>
  <si>
    <t>Jaya</t>
  </si>
  <si>
    <t xml:space="preserve">4118 Monterey St </t>
  </si>
  <si>
    <t xml:space="preserve">612 NE Hans Dr </t>
  </si>
  <si>
    <t>Blue Springs</t>
  </si>
  <si>
    <t>Gehman</t>
  </si>
  <si>
    <t xml:space="preserve">616 Allentown Rd </t>
  </si>
  <si>
    <t>Meese</t>
  </si>
  <si>
    <t>Joelle</t>
  </si>
  <si>
    <t xml:space="preserve">2402 N Riverside Dr </t>
  </si>
  <si>
    <t>Enns</t>
  </si>
  <si>
    <t xml:space="preserve">1990 Arvis Cir E </t>
  </si>
  <si>
    <t>Deanne</t>
  </si>
  <si>
    <t xml:space="preserve">137 Ron Dr </t>
  </si>
  <si>
    <t>Derry</t>
  </si>
  <si>
    <t xml:space="preserve">26 Duck Pond Rd </t>
  </si>
  <si>
    <t xml:space="preserve">119 E Lawrence St </t>
  </si>
  <si>
    <t xml:space="preserve">2079 Wayne Rd </t>
  </si>
  <si>
    <t xml:space="preserve">341 Buchanan Rd </t>
  </si>
  <si>
    <t>Selah</t>
  </si>
  <si>
    <t>De Beck</t>
  </si>
  <si>
    <t xml:space="preserve">10389 N 1000 E </t>
  </si>
  <si>
    <t>Cromwell</t>
  </si>
  <si>
    <t xml:space="preserve">1112 Randall St </t>
  </si>
  <si>
    <t>East Stroudsburg</t>
  </si>
  <si>
    <t>Kelli</t>
  </si>
  <si>
    <t xml:space="preserve">7171 Manor House Dr </t>
  </si>
  <si>
    <t>Warrenton</t>
  </si>
  <si>
    <t>Kammer</t>
  </si>
  <si>
    <t xml:space="preserve">7608 N Shilo Rd </t>
  </si>
  <si>
    <t xml:space="preserve">704 River Rd </t>
  </si>
  <si>
    <t>Hergenrather</t>
  </si>
  <si>
    <t xml:space="preserve">7527 Kennedy Rd </t>
  </si>
  <si>
    <t>McConkey</t>
  </si>
  <si>
    <t xml:space="preserve">1475 Stonefield Dr None </t>
  </si>
  <si>
    <t>Goltermann</t>
  </si>
  <si>
    <t xml:space="preserve">W236N6022 Pine Ter </t>
  </si>
  <si>
    <t>Sussex</t>
  </si>
  <si>
    <t xml:space="preserve">225 S Houghton St </t>
  </si>
  <si>
    <t>McIlhinney</t>
  </si>
  <si>
    <t>Eileen E</t>
  </si>
  <si>
    <t xml:space="preserve">6139 N Franklin St </t>
  </si>
  <si>
    <t>Toby</t>
  </si>
  <si>
    <t xml:space="preserve">744 Timacuan Blvd </t>
  </si>
  <si>
    <t xml:space="preserve">86 Tamalpais Rd </t>
  </si>
  <si>
    <t xml:space="preserve">2550 Oak Rd Apt 319 </t>
  </si>
  <si>
    <t xml:space="preserve">1301 E Main St </t>
  </si>
  <si>
    <t>Bev</t>
  </si>
  <si>
    <t xml:space="preserve">5369 Saffron Dr </t>
  </si>
  <si>
    <t>Prosser</t>
  </si>
  <si>
    <t xml:space="preserve">5117 Lavery Ct </t>
  </si>
  <si>
    <t>Degero</t>
  </si>
  <si>
    <t xml:space="preserve">PO Box 260036 </t>
  </si>
  <si>
    <t>Jarbidge</t>
  </si>
  <si>
    <t>Fredenburg</t>
  </si>
  <si>
    <t xml:space="preserve">11 Arrow Ln </t>
  </si>
  <si>
    <t>Albrightsville</t>
  </si>
  <si>
    <t>Wing</t>
  </si>
  <si>
    <t xml:space="preserve">387 60th St </t>
  </si>
  <si>
    <t xml:space="preserve">7117 Shamrock Dr </t>
  </si>
  <si>
    <t>Fost Et Al</t>
  </si>
  <si>
    <t>T</t>
  </si>
  <si>
    <t xml:space="preserve">134 Cramer Rd </t>
  </si>
  <si>
    <t>Micherone</t>
  </si>
  <si>
    <t xml:space="preserve">26 Packers Falls Rd </t>
  </si>
  <si>
    <t>Newmarket</t>
  </si>
  <si>
    <t xml:space="preserve">3502 Primrose Dr </t>
  </si>
  <si>
    <t>Weems</t>
  </si>
  <si>
    <t xml:space="preserve">44 Thompson St </t>
  </si>
  <si>
    <t>Urbanek</t>
  </si>
  <si>
    <t xml:space="preserve">2020 W Musket Pl </t>
  </si>
  <si>
    <t>Stob</t>
  </si>
  <si>
    <t xml:space="preserve">5691 Berry Brook Cir </t>
  </si>
  <si>
    <t>Pace</t>
  </si>
  <si>
    <t xml:space="preserve">2895 Valpak Rd NE </t>
  </si>
  <si>
    <t xml:space="preserve">73 Rmbs </t>
  </si>
  <si>
    <t>Ocean</t>
  </si>
  <si>
    <t>Mellon</t>
  </si>
  <si>
    <t>Mary Lou</t>
  </si>
  <si>
    <t xml:space="preserve">7050 Arbor Ln Apt 303 </t>
  </si>
  <si>
    <t>Dearden</t>
  </si>
  <si>
    <t xml:space="preserve">160 Scituate St # MA2476 </t>
  </si>
  <si>
    <t>Kittell</t>
  </si>
  <si>
    <t xml:space="preserve">510 N Hayes St </t>
  </si>
  <si>
    <t>Moscow</t>
  </si>
  <si>
    <t xml:space="preserve">1260 Harrison Ave </t>
  </si>
  <si>
    <t>Blaine</t>
  </si>
  <si>
    <t xml:space="preserve">2128 E Hawkeye Ave </t>
  </si>
  <si>
    <t xml:space="preserve">560 E New York St </t>
  </si>
  <si>
    <t>Wolpa</t>
  </si>
  <si>
    <t xml:space="preserve">3428 Old Colony Rd </t>
  </si>
  <si>
    <t xml:space="preserve">201 Albemarle Rd </t>
  </si>
  <si>
    <t>Marley</t>
  </si>
  <si>
    <t xml:space="preserve">7943 W Sweetwater Ave </t>
  </si>
  <si>
    <t>Kaspark</t>
  </si>
  <si>
    <t xml:space="preserve">68 Spring Garden St </t>
  </si>
  <si>
    <t>Warwick</t>
  </si>
  <si>
    <t>Egan</t>
  </si>
  <si>
    <t xml:space="preserve">4415 Deyo Pl </t>
  </si>
  <si>
    <t xml:space="preserve">6400 Salcon Cliff Dr </t>
  </si>
  <si>
    <t>Talaski</t>
  </si>
  <si>
    <t xml:space="preserve">3660 Carpenter Rd </t>
  </si>
  <si>
    <t>Filion</t>
  </si>
  <si>
    <t>Tesoro</t>
  </si>
  <si>
    <t xml:space="preserve">10850 71st Ave </t>
  </si>
  <si>
    <t>Canright</t>
  </si>
  <si>
    <t xml:space="preserve">8 Deboer Farm Ln 2 </t>
  </si>
  <si>
    <t>Asbury</t>
  </si>
  <si>
    <t xml:space="preserve">699 Shaw Hill Rd </t>
  </si>
  <si>
    <t>Industry</t>
  </si>
  <si>
    <t>Stanek</t>
  </si>
  <si>
    <t xml:space="preserve">469 Game Ridge Trl </t>
  </si>
  <si>
    <t>Oregon</t>
  </si>
  <si>
    <t xml:space="preserve">2920 NW Mulkey Ave </t>
  </si>
  <si>
    <t>Cornell</t>
  </si>
  <si>
    <t>Denice</t>
  </si>
  <si>
    <t xml:space="preserve">6716 224th St # B </t>
  </si>
  <si>
    <t>Oakland Gardens</t>
  </si>
  <si>
    <t>Fernandez</t>
  </si>
  <si>
    <t xml:space="preserve">2007 Birch Ave </t>
  </si>
  <si>
    <t>Shel</t>
  </si>
  <si>
    <t xml:space="preserve">1706 Rosetta Dr </t>
  </si>
  <si>
    <t>Dohse</t>
  </si>
  <si>
    <t xml:space="preserve">50906 Johnstown Rd </t>
  </si>
  <si>
    <t>Soldiers Grove</t>
  </si>
  <si>
    <t xml:space="preserve">6517 Zimmerman Ave NE </t>
  </si>
  <si>
    <t>Trotta</t>
  </si>
  <si>
    <t xml:space="preserve">417 Bleecker St Apt 508 </t>
  </si>
  <si>
    <t>Lutton</t>
  </si>
  <si>
    <t xml:space="preserve">6802 E Presidio Rd </t>
  </si>
  <si>
    <t>Goodrich</t>
  </si>
  <si>
    <t xml:space="preserve">9607 Musket Ball Cir </t>
  </si>
  <si>
    <t>Anchorage</t>
  </si>
  <si>
    <t xml:space="preserve">7425 Pleasant Ave </t>
  </si>
  <si>
    <t>Richfield</t>
  </si>
  <si>
    <t>Handsaker</t>
  </si>
  <si>
    <t xml:space="preserve">918 Avenue C </t>
  </si>
  <si>
    <t>Hewett</t>
  </si>
  <si>
    <t xml:space="preserve">24 Birch Rd </t>
  </si>
  <si>
    <t>South Hamilton</t>
  </si>
  <si>
    <t xml:space="preserve">290 Steelmanville Rd </t>
  </si>
  <si>
    <t>Egg Harbor Township</t>
  </si>
  <si>
    <t xml:space="preserve">15153 McVay Ln </t>
  </si>
  <si>
    <t>Dietz</t>
  </si>
  <si>
    <t xml:space="preserve">2130 Perrine Rd </t>
  </si>
  <si>
    <t>Rives Junction</t>
  </si>
  <si>
    <t>Mankowski</t>
  </si>
  <si>
    <t xml:space="preserve">2549 Elmwood Ln </t>
  </si>
  <si>
    <t>Ortepio</t>
  </si>
  <si>
    <t xml:space="preserve">5386 Bergamo Ave </t>
  </si>
  <si>
    <t>Alman</t>
  </si>
  <si>
    <t xml:space="preserve">1393 Ford Rd </t>
  </si>
  <si>
    <t>Fowler</t>
  </si>
  <si>
    <t xml:space="preserve">13862 Stone Mill Way </t>
  </si>
  <si>
    <t xml:space="preserve">9451 Washington St </t>
  </si>
  <si>
    <t>Chagrin Falls</t>
  </si>
  <si>
    <t>Barocca</t>
  </si>
  <si>
    <t xml:space="preserve">1217 Evesham Ave </t>
  </si>
  <si>
    <t xml:space="preserve">203 110th Pl SE </t>
  </si>
  <si>
    <t>Lodolo</t>
  </si>
  <si>
    <t xml:space="preserve">1518 20th St </t>
  </si>
  <si>
    <t>Calvert</t>
  </si>
  <si>
    <t xml:space="preserve">3853 Edinburgh Dr </t>
  </si>
  <si>
    <t xml:space="preserve">233 Franklin St </t>
  </si>
  <si>
    <t>Kokolis</t>
  </si>
  <si>
    <t>Katerina</t>
  </si>
  <si>
    <t xml:space="preserve">207 Charter House Rd </t>
  </si>
  <si>
    <t>O'Grady</t>
  </si>
  <si>
    <t>Pennie</t>
  </si>
  <si>
    <t xml:space="preserve">8038 Meridian Ave N </t>
  </si>
  <si>
    <t>Murdoch</t>
  </si>
  <si>
    <t xml:space="preserve">15515 W Sunset Blvd Unit 308 </t>
  </si>
  <si>
    <t>Jeannette</t>
  </si>
  <si>
    <t xml:space="preserve">5770 Winfield Blvd Spc 116 </t>
  </si>
  <si>
    <t>Ogella</t>
  </si>
  <si>
    <t xml:space="preserve">4868 Rhoads Ave </t>
  </si>
  <si>
    <t xml:space="preserve">26505 Noble Rd </t>
  </si>
  <si>
    <t>Excelsior</t>
  </si>
  <si>
    <t xml:space="preserve">393 Palser Run Rd </t>
  </si>
  <si>
    <t>Normantown</t>
  </si>
  <si>
    <t>Terese</t>
  </si>
  <si>
    <t xml:space="preserve">1270 Kensington Dr </t>
  </si>
  <si>
    <t>Biloxi</t>
  </si>
  <si>
    <t>Karpin</t>
  </si>
  <si>
    <t xml:space="preserve">1919 Chestnut St Apt 823 </t>
  </si>
  <si>
    <t>Mandarich</t>
  </si>
  <si>
    <t xml:space="preserve">W1099 Spleas Skoney Rd </t>
  </si>
  <si>
    <t>East Troy</t>
  </si>
  <si>
    <t>Haydn</t>
  </si>
  <si>
    <t xml:space="preserve">582 Hoene St </t>
  </si>
  <si>
    <t>Buxton</t>
  </si>
  <si>
    <t>Raquel</t>
  </si>
  <si>
    <t xml:space="preserve">4800 Lamonte Ln </t>
  </si>
  <si>
    <t>Wechter</t>
  </si>
  <si>
    <t xml:space="preserve">46 Fox Briar Dr Unit 201 </t>
  </si>
  <si>
    <t>Azevedo</t>
  </si>
  <si>
    <t xml:space="preserve">2340 E Hawthorne St </t>
  </si>
  <si>
    <t>Hector</t>
  </si>
  <si>
    <t xml:space="preserve">720 S San Antonio Dr </t>
  </si>
  <si>
    <t>Covina</t>
  </si>
  <si>
    <t>Beckerman</t>
  </si>
  <si>
    <t>Anndee</t>
  </si>
  <si>
    <t xml:space="preserve">1912 Dumfries Ct </t>
  </si>
  <si>
    <t>Saint Johns</t>
  </si>
  <si>
    <t>Gaulke</t>
  </si>
  <si>
    <t xml:space="preserve">W287N8950 Center Oak Rd </t>
  </si>
  <si>
    <t>Hartland</t>
  </si>
  <si>
    <t xml:space="preserve">13 Rex Cir </t>
  </si>
  <si>
    <t>Salida</t>
  </si>
  <si>
    <t>Cowden</t>
  </si>
  <si>
    <t xml:space="preserve">11076 E Becker Ln </t>
  </si>
  <si>
    <t>Lewandowski</t>
  </si>
  <si>
    <t xml:space="preserve">1923 Newton Ave </t>
  </si>
  <si>
    <t>Van Rossen</t>
  </si>
  <si>
    <t xml:space="preserve">59 Mountainview Ave </t>
  </si>
  <si>
    <t>Mount Arlington</t>
  </si>
  <si>
    <t xml:space="preserve">149 Stony Kill Rd </t>
  </si>
  <si>
    <t>Accord</t>
  </si>
  <si>
    <t>Wieland</t>
  </si>
  <si>
    <t xml:space="preserve">206 Compton Cir Apt A </t>
  </si>
  <si>
    <t xml:space="preserve">620 20 Mile Rd </t>
  </si>
  <si>
    <t>Kent City</t>
  </si>
  <si>
    <t>Trudeau</t>
  </si>
  <si>
    <t xml:space="preserve">2601 Boundbrook Blvd Apt 201 </t>
  </si>
  <si>
    <t>Strickland</t>
  </si>
  <si>
    <t xml:space="preserve">6779 W Caley Pl </t>
  </si>
  <si>
    <t>Shead</t>
  </si>
  <si>
    <t xml:space="preserve">1932 Gear Ave Lot 8 </t>
  </si>
  <si>
    <t>Pratley</t>
  </si>
  <si>
    <t xml:space="preserve">3739 Schuette Rd </t>
  </si>
  <si>
    <t>Meier</t>
  </si>
  <si>
    <t xml:space="preserve">49 Richsquire Dr </t>
  </si>
  <si>
    <t xml:space="preserve">777 Elm Tree Ln </t>
  </si>
  <si>
    <t>Sassano</t>
  </si>
  <si>
    <t xml:space="preserve">1545 Upland Ave </t>
  </si>
  <si>
    <t>Jubb</t>
  </si>
  <si>
    <t xml:space="preserve">16300 SE Highway 224 </t>
  </si>
  <si>
    <t>Damascus</t>
  </si>
  <si>
    <t>Kellogg</t>
  </si>
  <si>
    <t xml:space="preserve">4104 N Elston Ave </t>
  </si>
  <si>
    <t>Manske</t>
  </si>
  <si>
    <t>Amber</t>
  </si>
  <si>
    <t xml:space="preserve">12701 West Ave </t>
  </si>
  <si>
    <t xml:space="preserve">3069 Louise Ave </t>
  </si>
  <si>
    <t>Grove City</t>
  </si>
  <si>
    <t>Rae</t>
  </si>
  <si>
    <t xml:space="preserve">257 Northampton St </t>
  </si>
  <si>
    <t>Hellertown</t>
  </si>
  <si>
    <t>Hipp</t>
  </si>
  <si>
    <t xml:space="preserve">609 Rosette Ct </t>
  </si>
  <si>
    <t>Klug</t>
  </si>
  <si>
    <t xml:space="preserve">1000 Delta Ave </t>
  </si>
  <si>
    <t>Tipton</t>
  </si>
  <si>
    <t>Christian</t>
  </si>
  <si>
    <t xml:space="preserve">3834 E 55th St </t>
  </si>
  <si>
    <t>44105-3324</t>
  </si>
  <si>
    <t>Nadreau</t>
  </si>
  <si>
    <t xml:space="preserve">24191 Dial Ave </t>
  </si>
  <si>
    <t>Tomah</t>
  </si>
  <si>
    <t>Sun</t>
  </si>
  <si>
    <t xml:space="preserve">15713 37th Ave NE WA98155 </t>
  </si>
  <si>
    <t xml:space="preserve">PO Box 436 </t>
  </si>
  <si>
    <t>Rago</t>
  </si>
  <si>
    <t xml:space="preserve">10 City Pl Apt 29E </t>
  </si>
  <si>
    <t xml:space="preserve">912 Avalon Ave </t>
  </si>
  <si>
    <t>Chesapeake</t>
  </si>
  <si>
    <t xml:space="preserve">138 Crofton Ave </t>
  </si>
  <si>
    <t>Goulet</t>
  </si>
  <si>
    <t xml:space="preserve">LOOP Rd </t>
  </si>
  <si>
    <t xml:space="preserve">2558 Lake Debra Dr </t>
  </si>
  <si>
    <t>Pykare</t>
  </si>
  <si>
    <t xml:space="preserve">980 Johnson Plank Rd NE </t>
  </si>
  <si>
    <t xml:space="preserve">2318 11th St </t>
  </si>
  <si>
    <t xml:space="preserve">247 N Jay St </t>
  </si>
  <si>
    <t xml:space="preserve">12615 Millvan Dr </t>
  </si>
  <si>
    <t>Gibbs</t>
  </si>
  <si>
    <t xml:space="preserve">1282 Arrowwood Ln </t>
  </si>
  <si>
    <t>Koontz</t>
  </si>
  <si>
    <t xml:space="preserve">207 Spruce St </t>
  </si>
  <si>
    <t>Pana</t>
  </si>
  <si>
    <t xml:space="preserve">61200 Kunstman Rd </t>
  </si>
  <si>
    <t>Underwood</t>
  </si>
  <si>
    <t>Trisha</t>
  </si>
  <si>
    <t xml:space="preserve">PO Box 154 </t>
  </si>
  <si>
    <t xml:space="preserve">8 Meadow Dr </t>
  </si>
  <si>
    <t>Moorestown</t>
  </si>
  <si>
    <t>Speidel</t>
  </si>
  <si>
    <t xml:space="preserve">761 Calle Los Olivos </t>
  </si>
  <si>
    <t xml:space="preserve">6822 Kenton Ave # 2 </t>
  </si>
  <si>
    <t xml:space="preserve">120 Rebecca Ct </t>
  </si>
  <si>
    <t>Destree</t>
  </si>
  <si>
    <t>Reg</t>
  </si>
  <si>
    <t xml:space="preserve">22831 N 21st St </t>
  </si>
  <si>
    <t>Spears</t>
  </si>
  <si>
    <t xml:space="preserve">268 E Broadway Frnt A </t>
  </si>
  <si>
    <t>Gebert</t>
  </si>
  <si>
    <t xml:space="preserve">1105 Drake Ave </t>
  </si>
  <si>
    <t>Prospect Heights</t>
  </si>
  <si>
    <t xml:space="preserve">6142 150th St </t>
  </si>
  <si>
    <t>Hans</t>
  </si>
  <si>
    <t xml:space="preserve">1620 Rice Hill Ct </t>
  </si>
  <si>
    <t>Veltkamp</t>
  </si>
  <si>
    <t xml:space="preserve">100 Ocean Trail Way Apt 1108 </t>
  </si>
  <si>
    <t>Jupiter</t>
  </si>
  <si>
    <t>Sanders</t>
  </si>
  <si>
    <t xml:space="preserve">2240 S MAIN Ext </t>
  </si>
  <si>
    <t>Janie</t>
  </si>
  <si>
    <t xml:space="preserve">827 Capp St </t>
  </si>
  <si>
    <t>Baldridge</t>
  </si>
  <si>
    <t>Olive</t>
  </si>
  <si>
    <t xml:space="preserve">26 America Way </t>
  </si>
  <si>
    <t>Betsy</t>
  </si>
  <si>
    <t xml:space="preserve">24897 Taree Dr NE </t>
  </si>
  <si>
    <t xml:space="preserve">3370 Woodbridge Cir </t>
  </si>
  <si>
    <t>Evett</t>
  </si>
  <si>
    <t>Elisa</t>
  </si>
  <si>
    <t xml:space="preserve">298 Bald Hill Rd </t>
  </si>
  <si>
    <t>Brooktondale</t>
  </si>
  <si>
    <t>Fleischer</t>
  </si>
  <si>
    <t xml:space="preserve">1247 Milton St </t>
  </si>
  <si>
    <t xml:space="preserve">4481 Blanchard St </t>
  </si>
  <si>
    <t>Pfitzinger</t>
  </si>
  <si>
    <t>Gay</t>
  </si>
  <si>
    <t xml:space="preserve">3801 White Settlement Rd </t>
  </si>
  <si>
    <t>Mastrangelo</t>
  </si>
  <si>
    <t xml:space="preserve">171 Farm Ln </t>
  </si>
  <si>
    <t>Bound Brook</t>
  </si>
  <si>
    <t>Bedell</t>
  </si>
  <si>
    <t xml:space="preserve">PO Box 1219 </t>
  </si>
  <si>
    <t>Bolgiano</t>
  </si>
  <si>
    <t>Christel</t>
  </si>
  <si>
    <t xml:space="preserve">4618 Iris Pl </t>
  </si>
  <si>
    <t xml:space="preserve">6210 Cornell Dr </t>
  </si>
  <si>
    <t>Sherri</t>
  </si>
  <si>
    <t xml:space="preserve">910 Sage St </t>
  </si>
  <si>
    <t>Clymer</t>
  </si>
  <si>
    <t>Verbryck</t>
  </si>
  <si>
    <t xml:space="preserve">6219 W Shangri La Rd </t>
  </si>
  <si>
    <t xml:space="preserve">6190 San Mateo Ct </t>
  </si>
  <si>
    <t>Rohnert Park</t>
  </si>
  <si>
    <t>Hoenig</t>
  </si>
  <si>
    <t>Irwin</t>
  </si>
  <si>
    <t xml:space="preserve">PO Box 5292 </t>
  </si>
  <si>
    <t xml:space="preserve">13 12th Ave </t>
  </si>
  <si>
    <t>Pemberton</t>
  </si>
  <si>
    <t xml:space="preserve">2512 Coconut Dr </t>
  </si>
  <si>
    <t xml:space="preserve">399 Carpenteria Rd </t>
  </si>
  <si>
    <t>Aromas</t>
  </si>
  <si>
    <t xml:space="preserve">310 Riverside Dr Apt 517 </t>
  </si>
  <si>
    <t>Dierks</t>
  </si>
  <si>
    <t>Dick</t>
  </si>
  <si>
    <t xml:space="preserve">218 E Harris St </t>
  </si>
  <si>
    <t>Pierce</t>
  </si>
  <si>
    <t xml:space="preserve">1060 Georgina Dr </t>
  </si>
  <si>
    <t>Fuller</t>
  </si>
  <si>
    <t xml:space="preserve">517 Deerfield Pl </t>
  </si>
  <si>
    <t>Knipp</t>
  </si>
  <si>
    <t xml:space="preserve">60 Seaman Ave Apt 2E </t>
  </si>
  <si>
    <t xml:space="preserve">3156 S Quincy Ave </t>
  </si>
  <si>
    <t>Bender</t>
  </si>
  <si>
    <t xml:space="preserve">364 Donegal Springs Rd </t>
  </si>
  <si>
    <t>Mount Joy</t>
  </si>
  <si>
    <t>Meinhardt</t>
  </si>
  <si>
    <t xml:space="preserve">769 Beethoven St </t>
  </si>
  <si>
    <t>Volo</t>
  </si>
  <si>
    <t>Sanitate</t>
  </si>
  <si>
    <t xml:space="preserve">2153 Newport Rd </t>
  </si>
  <si>
    <t>Edstrom</t>
  </si>
  <si>
    <t xml:space="preserve">1102 Hodson Ln </t>
  </si>
  <si>
    <t>Francisca</t>
  </si>
  <si>
    <t xml:space="preserve">3436 E 2nd St </t>
  </si>
  <si>
    <t>Spann</t>
  </si>
  <si>
    <t xml:space="preserve">1210 Hancock Rd </t>
  </si>
  <si>
    <t>Williamstown</t>
  </si>
  <si>
    <t>Schaetzel-Hill</t>
  </si>
  <si>
    <t xml:space="preserve">5740 78th Ave NE </t>
  </si>
  <si>
    <t>C. Alexander</t>
  </si>
  <si>
    <t xml:space="preserve">39 S Pine St </t>
  </si>
  <si>
    <t>Dover</t>
  </si>
  <si>
    <t>Kately</t>
  </si>
  <si>
    <t xml:space="preserve">720 S Dobson Rd Unit 104 </t>
  </si>
  <si>
    <t>Whitman</t>
  </si>
  <si>
    <t xml:space="preserve">14311 Cahill Ln </t>
  </si>
  <si>
    <t>Gonnering</t>
  </si>
  <si>
    <t xml:space="preserve">742 Crest Ave </t>
  </si>
  <si>
    <t>Heyduk</t>
  </si>
  <si>
    <t xml:space="preserve">111 Windsong Pl </t>
  </si>
  <si>
    <t xml:space="preserve">1525 Henry St </t>
  </si>
  <si>
    <t>Beyer</t>
  </si>
  <si>
    <t>Brody</t>
  </si>
  <si>
    <t xml:space="preserve">2315 13th St </t>
  </si>
  <si>
    <t>Rucker</t>
  </si>
  <si>
    <t xml:space="preserve">21375 Waterfront Dr </t>
  </si>
  <si>
    <t>Lakatos</t>
  </si>
  <si>
    <t xml:space="preserve">120 Truesdale Dr </t>
  </si>
  <si>
    <t xml:space="preserve">2838 Rivers End Rd </t>
  </si>
  <si>
    <t>Christy</t>
  </si>
  <si>
    <t xml:space="preserve">230 Clarks Farm Rd </t>
  </si>
  <si>
    <t>Keysville</t>
  </si>
  <si>
    <t>Cone</t>
  </si>
  <si>
    <t xml:space="preserve">909 8th Ave SW </t>
  </si>
  <si>
    <t>Ruskin</t>
  </si>
  <si>
    <t>Cockshott</t>
  </si>
  <si>
    <t>Shiela</t>
  </si>
  <si>
    <t xml:space="preserve">2753 Yosemite Dr </t>
  </si>
  <si>
    <t>Polekoff</t>
  </si>
  <si>
    <t xml:space="preserve">506 W Lawn Ave </t>
  </si>
  <si>
    <t>Lansdale</t>
  </si>
  <si>
    <t>Roderick</t>
  </si>
  <si>
    <t>Richard M</t>
  </si>
  <si>
    <t xml:space="preserve">127 Mountain View Dr </t>
  </si>
  <si>
    <t>Wells River</t>
  </si>
  <si>
    <t>Wildman</t>
  </si>
  <si>
    <t>Teena Wildman</t>
  </si>
  <si>
    <t xml:space="preserve">2150 Center Ave </t>
  </si>
  <si>
    <t>Fort Lee</t>
  </si>
  <si>
    <t>Lafavers</t>
  </si>
  <si>
    <t xml:space="preserve">838 Davis Rd </t>
  </si>
  <si>
    <t>League City</t>
  </si>
  <si>
    <t>Lennon</t>
  </si>
  <si>
    <t xml:space="preserve">418 Roslyn Ave </t>
  </si>
  <si>
    <t>Glenside</t>
  </si>
  <si>
    <t xml:space="preserve">26001 NW Highway 47 </t>
  </si>
  <si>
    <t>Massar</t>
  </si>
  <si>
    <t xml:space="preserve">9 Harbour Ln Apt 1A </t>
  </si>
  <si>
    <t>Oyster Bay</t>
  </si>
  <si>
    <t>Fleishon</t>
  </si>
  <si>
    <t xml:space="preserve">100 Landsdowne St # 16 </t>
  </si>
  <si>
    <t>Reesor</t>
  </si>
  <si>
    <t xml:space="preserve">324 Ludwell Dr </t>
  </si>
  <si>
    <t>Haddock</t>
  </si>
  <si>
    <t xml:space="preserve">542 County Road 101 </t>
  </si>
  <si>
    <t>Lorenzo</t>
  </si>
  <si>
    <t>Wirth</t>
  </si>
  <si>
    <t xml:space="preserve">1690 Broadway Apt 205 </t>
  </si>
  <si>
    <t>Oldham</t>
  </si>
  <si>
    <t xml:space="preserve">2712 Verde Vista Dr </t>
  </si>
  <si>
    <t>Clausen</t>
  </si>
  <si>
    <t xml:space="preserve">710 S Fitch Mountain Rd Apt 103 </t>
  </si>
  <si>
    <t>Lopresti</t>
  </si>
  <si>
    <t xml:space="preserve">91 -1411 Keoneula Blvd Unit 2106 </t>
  </si>
  <si>
    <t>Ewa Beach</t>
  </si>
  <si>
    <t xml:space="preserve">1 Ada Ct </t>
  </si>
  <si>
    <t>Ortiz Rasmussen</t>
  </si>
  <si>
    <t>Ivonne</t>
  </si>
  <si>
    <t xml:space="preserve">1150 Dawson Dr </t>
  </si>
  <si>
    <t xml:space="preserve">1167 Dorroll St NE </t>
  </si>
  <si>
    <t>Detmers</t>
  </si>
  <si>
    <t xml:space="preserve">13488 Shelter Dr </t>
  </si>
  <si>
    <t>Demeis</t>
  </si>
  <si>
    <t xml:space="preserve">5686 White Dove Ln </t>
  </si>
  <si>
    <t>Stine</t>
  </si>
  <si>
    <t xml:space="preserve">3029 N County Road 450 W </t>
  </si>
  <si>
    <t>Greencastle</t>
  </si>
  <si>
    <t xml:space="preserve">15972 Oak Ridge Dr </t>
  </si>
  <si>
    <t>Calcutta</t>
  </si>
  <si>
    <t xml:space="preserve">2184 Washington St </t>
  </si>
  <si>
    <t>Holliston</t>
  </si>
  <si>
    <t xml:space="preserve">24 Larkspur Ct </t>
  </si>
  <si>
    <t xml:space="preserve">3512 Peach Orchard Rd </t>
  </si>
  <si>
    <t xml:space="preserve">5 Smoke Rise Cir </t>
  </si>
  <si>
    <t>Basye</t>
  </si>
  <si>
    <t>Mae</t>
  </si>
  <si>
    <t xml:space="preserve">501 Quest Ridge Dr </t>
  </si>
  <si>
    <t>Fuquay Varina</t>
  </si>
  <si>
    <t>Ehlert</t>
  </si>
  <si>
    <t xml:space="preserve">12194 E Amherst Cir </t>
  </si>
  <si>
    <t>Flynn</t>
  </si>
  <si>
    <t xml:space="preserve">1419 Hill Rd </t>
  </si>
  <si>
    <t>Millville</t>
  </si>
  <si>
    <t xml:space="preserve">10101 Bren Rd E </t>
  </si>
  <si>
    <t>Merljak</t>
  </si>
  <si>
    <t>Julija</t>
  </si>
  <si>
    <t xml:space="preserve">18 Rooibekkie St </t>
  </si>
  <si>
    <t>Fairplay</t>
  </si>
  <si>
    <t>Murawski</t>
  </si>
  <si>
    <t xml:space="preserve">17929 W Spring Lake Dr SE </t>
  </si>
  <si>
    <t>Grieco</t>
  </si>
  <si>
    <t>Mercy</t>
  </si>
  <si>
    <t xml:space="preserve">1692 E Richmond Ave </t>
  </si>
  <si>
    <t>Vanvalkenburg</t>
  </si>
  <si>
    <t xml:space="preserve">1127 Elgin St </t>
  </si>
  <si>
    <t>San Lorenzo</t>
  </si>
  <si>
    <t xml:space="preserve">7084 Hillview Rd </t>
  </si>
  <si>
    <t xml:space="preserve">816 Reserve St </t>
  </si>
  <si>
    <t>Silverton</t>
  </si>
  <si>
    <t>Billy</t>
  </si>
  <si>
    <t xml:space="preserve">128 Cook Ave </t>
  </si>
  <si>
    <t>Chaffee</t>
  </si>
  <si>
    <t>Kupke</t>
  </si>
  <si>
    <t xml:space="preserve">95 Winchester Dr </t>
  </si>
  <si>
    <t>Klipfel II</t>
  </si>
  <si>
    <t>George F</t>
  </si>
  <si>
    <t xml:space="preserve">67380 Garbino Rd </t>
  </si>
  <si>
    <t>Cathedral City</t>
  </si>
  <si>
    <t xml:space="preserve">1557 KINSLEY St </t>
  </si>
  <si>
    <t xml:space="preserve">7331 48th Ave S </t>
  </si>
  <si>
    <t>Alvare</t>
  </si>
  <si>
    <t xml:space="preserve">134 Hastings Ave </t>
  </si>
  <si>
    <t>Markowitz</t>
  </si>
  <si>
    <t xml:space="preserve">151 W 86th St </t>
  </si>
  <si>
    <t>Langan</t>
  </si>
  <si>
    <t xml:space="preserve">13051 Greenwood Rd </t>
  </si>
  <si>
    <t>Huntingdon</t>
  </si>
  <si>
    <t xml:space="preserve">1732 B St </t>
  </si>
  <si>
    <t>France</t>
  </si>
  <si>
    <t xml:space="preserve">1799 Fort Spring Pike </t>
  </si>
  <si>
    <t>Fort Spring</t>
  </si>
  <si>
    <t>Angie</t>
  </si>
  <si>
    <t xml:space="preserve">1317 W Chapman Ave </t>
  </si>
  <si>
    <t>Lapidus</t>
  </si>
  <si>
    <t xml:space="preserve">2995 Rea Ct </t>
  </si>
  <si>
    <t xml:space="preserve">1425 N Kenwood St </t>
  </si>
  <si>
    <t>Hitomi</t>
  </si>
  <si>
    <t xml:space="preserve">404 Tree Summit Pkwy </t>
  </si>
  <si>
    <t xml:space="preserve">18056 Poplar Ave </t>
  </si>
  <si>
    <t>Byrnes</t>
  </si>
  <si>
    <t xml:space="preserve">270 Toro Canyon Rd </t>
  </si>
  <si>
    <t>Henigman</t>
  </si>
  <si>
    <t>Mali</t>
  </si>
  <si>
    <t xml:space="preserve">494 27th Ave Apt 26 </t>
  </si>
  <si>
    <t>Agee</t>
  </si>
  <si>
    <t xml:space="preserve">8342 Northview Dr </t>
  </si>
  <si>
    <t xml:space="preserve">839 Mariposa Rd </t>
  </si>
  <si>
    <t xml:space="preserve">9779 Beaver Creek Church Rd </t>
  </si>
  <si>
    <t>Colyer</t>
  </si>
  <si>
    <t xml:space="preserve">Alnwyck Farm </t>
  </si>
  <si>
    <t>Coatesville</t>
  </si>
  <si>
    <t xml:space="preserve">305 Kilborn Dr </t>
  </si>
  <si>
    <t xml:space="preserve">650 Van Sicklen Rd </t>
  </si>
  <si>
    <t>Williston</t>
  </si>
  <si>
    <t xml:space="preserve">1810 W Hart Rd Apt 8 </t>
  </si>
  <si>
    <t>Tung</t>
  </si>
  <si>
    <t xml:space="preserve">16415 SW Keda Ct </t>
  </si>
  <si>
    <t>Densmore</t>
  </si>
  <si>
    <t xml:space="preserve">800 W 65th St Apt 102 </t>
  </si>
  <si>
    <t>Vlazny</t>
  </si>
  <si>
    <t xml:space="preserve">2201 3rd Ave SW </t>
  </si>
  <si>
    <t>Cush</t>
  </si>
  <si>
    <t xml:space="preserve">206 10th St </t>
  </si>
  <si>
    <t>Aspinwall</t>
  </si>
  <si>
    <t>Smisek</t>
  </si>
  <si>
    <t xml:space="preserve">1762 Oakdale Ave Apt 315 </t>
  </si>
  <si>
    <t>Basso</t>
  </si>
  <si>
    <t>Marjory</t>
  </si>
  <si>
    <t xml:space="preserve">1032 Darrow Ave </t>
  </si>
  <si>
    <t xml:space="preserve">197 SE South 40 Ln </t>
  </si>
  <si>
    <t>Depoe Bay</t>
  </si>
  <si>
    <t xml:space="preserve">1651 N Coronado St </t>
  </si>
  <si>
    <t xml:space="preserve">521 S Madison Ave </t>
  </si>
  <si>
    <t xml:space="preserve">3025 Rowe St NE </t>
  </si>
  <si>
    <t>Hanrahan</t>
  </si>
  <si>
    <t xml:space="preserve">2718 SE Brooklyn St </t>
  </si>
  <si>
    <t xml:space="preserve">11900 N Labyrinth Dr </t>
  </si>
  <si>
    <t>German</t>
  </si>
  <si>
    <t xml:space="preserve">3405 York Rd </t>
  </si>
  <si>
    <t>Genaze</t>
  </si>
  <si>
    <t xml:space="preserve">3901 Clausen Ave </t>
  </si>
  <si>
    <t>Western Springs</t>
  </si>
  <si>
    <t>Benefield</t>
  </si>
  <si>
    <t xml:space="preserve">11043 10TH Pl NE </t>
  </si>
  <si>
    <t xml:space="preserve">2120 Bridle Ct </t>
  </si>
  <si>
    <t>Phenix City</t>
  </si>
  <si>
    <t>Williams II</t>
  </si>
  <si>
    <t>Clyde</t>
  </si>
  <si>
    <t xml:space="preserve">7672 SE Roots Rd </t>
  </si>
  <si>
    <t>Oak Grove</t>
  </si>
  <si>
    <t>Meppelink</t>
  </si>
  <si>
    <t xml:space="preserve">4939 S Charlton Park Rd </t>
  </si>
  <si>
    <t>Bordelon</t>
  </si>
  <si>
    <t>Tika</t>
  </si>
  <si>
    <t xml:space="preserve">1400 Hubbell Pl Apt 1112 </t>
  </si>
  <si>
    <t>Evette</t>
  </si>
  <si>
    <t xml:space="preserve">10230 Ridgeview Dr </t>
  </si>
  <si>
    <t>Roussell</t>
  </si>
  <si>
    <t xml:space="preserve">1210 Parkerhaven Ct </t>
  </si>
  <si>
    <t>Regele</t>
  </si>
  <si>
    <t xml:space="preserve">9872 US Highway 212 </t>
  </si>
  <si>
    <t>Greco</t>
  </si>
  <si>
    <t xml:space="preserve">478 Old Dominion Rd # C </t>
  </si>
  <si>
    <t>Colville</t>
  </si>
  <si>
    <t>David R</t>
  </si>
  <si>
    <t xml:space="preserve">2102 N Campbell Ave </t>
  </si>
  <si>
    <t>Hood</t>
  </si>
  <si>
    <t xml:space="preserve">5036 Peppertree Rd </t>
  </si>
  <si>
    <t>Clemmons</t>
  </si>
  <si>
    <t>Simms</t>
  </si>
  <si>
    <t>Twikie</t>
  </si>
  <si>
    <t xml:space="preserve">1415 W Chevy Chase Dr </t>
  </si>
  <si>
    <t>Pelosi</t>
  </si>
  <si>
    <t xml:space="preserve">21341 Almaden Rd </t>
  </si>
  <si>
    <t>Rutenber</t>
  </si>
  <si>
    <t xml:space="preserve">18 Briarwood Ter </t>
  </si>
  <si>
    <t>Lukas</t>
  </si>
  <si>
    <t xml:space="preserve">961 Ellington Cir </t>
  </si>
  <si>
    <t>Greenwood</t>
  </si>
  <si>
    <t>Dee</t>
  </si>
  <si>
    <t xml:space="preserve">336 Mission Serra Ter </t>
  </si>
  <si>
    <t>Selig</t>
  </si>
  <si>
    <t xml:space="preserve">4073 W 138th St Apt B </t>
  </si>
  <si>
    <t>Hawthorne</t>
  </si>
  <si>
    <t>Cencula</t>
  </si>
  <si>
    <t xml:space="preserve">9145 Cordoba Blvd </t>
  </si>
  <si>
    <t>Donald F.</t>
  </si>
  <si>
    <t xml:space="preserve">205 Winnepoge Dr </t>
  </si>
  <si>
    <t>Elrick</t>
  </si>
  <si>
    <t>Mellisa</t>
  </si>
  <si>
    <t xml:space="preserve">1620 Forest Lakes Blvd </t>
  </si>
  <si>
    <t>Tillman</t>
  </si>
  <si>
    <t xml:space="preserve">1200 78th St </t>
  </si>
  <si>
    <t>Koslen</t>
  </si>
  <si>
    <t xml:space="preserve">37700 Cedar Rd </t>
  </si>
  <si>
    <t>Gates Mills</t>
  </si>
  <si>
    <t xml:space="preserve">125 Denn Pl </t>
  </si>
  <si>
    <t>Ashmore</t>
  </si>
  <si>
    <t xml:space="preserve">12995 N Oracle Rd Ste PM141 </t>
  </si>
  <si>
    <t>Armistead</t>
  </si>
  <si>
    <t xml:space="preserve">7206 Hawthorn Ave </t>
  </si>
  <si>
    <t xml:space="preserve">37980 Seneca Ct </t>
  </si>
  <si>
    <t>Charlotte Hall</t>
  </si>
  <si>
    <t>Whebbe</t>
  </si>
  <si>
    <t xml:space="preserve">261 Annapolis St W </t>
  </si>
  <si>
    <t>Ono</t>
  </si>
  <si>
    <t>Lory</t>
  </si>
  <si>
    <t xml:space="preserve">44 -022 Nohokai Pl </t>
  </si>
  <si>
    <t>Wleklinski</t>
  </si>
  <si>
    <t xml:space="preserve">66 Heritage Dr </t>
  </si>
  <si>
    <t xml:space="preserve">5849 Sunrise Vista Dr Apt 12 </t>
  </si>
  <si>
    <t>Citrus Heights</t>
  </si>
  <si>
    <t>95610-7206</t>
  </si>
  <si>
    <t xml:space="preserve">295 Voyager Dr </t>
  </si>
  <si>
    <t>94590-4013</t>
  </si>
  <si>
    <t>Karson</t>
  </si>
  <si>
    <t xml:space="preserve">1485 Manitou Blvd Apt 2 </t>
  </si>
  <si>
    <t>80904-3644</t>
  </si>
  <si>
    <t>Farabaugh</t>
  </si>
  <si>
    <t xml:space="preserve">301 Lake St # 309 </t>
  </si>
  <si>
    <t>Selvage</t>
  </si>
  <si>
    <t xml:space="preserve">5019 Chancellor St </t>
  </si>
  <si>
    <t>Coe</t>
  </si>
  <si>
    <t xml:space="preserve">9412 Royal Path Cv </t>
  </si>
  <si>
    <t>Haynes</t>
  </si>
  <si>
    <t xml:space="preserve">1832 San Felipe Cir </t>
  </si>
  <si>
    <t xml:space="preserve">1433 Cayman Dr </t>
  </si>
  <si>
    <t>Mueller</t>
  </si>
  <si>
    <t>Karsten</t>
  </si>
  <si>
    <t>Hopkinson</t>
  </si>
  <si>
    <t xml:space="preserve">544 29th Ave </t>
  </si>
  <si>
    <t xml:space="preserve">7546 High Valley Rd </t>
  </si>
  <si>
    <t>Horstman</t>
  </si>
  <si>
    <t xml:space="preserve">52 Herndon Dr </t>
  </si>
  <si>
    <t>47711-3725</t>
  </si>
  <si>
    <t>Pope</t>
  </si>
  <si>
    <t xml:space="preserve">444 WATERMILL Cir </t>
  </si>
  <si>
    <t>Paselk</t>
  </si>
  <si>
    <t xml:space="preserve">19 Lunq Pl </t>
  </si>
  <si>
    <t>Monko</t>
  </si>
  <si>
    <t>Erika</t>
  </si>
  <si>
    <t>Shelby</t>
  </si>
  <si>
    <t>Bc</t>
  </si>
  <si>
    <t xml:space="preserve">1040 NW 10th Ave Apt 525 </t>
  </si>
  <si>
    <t>97209-3464</t>
  </si>
  <si>
    <t>Rohner</t>
  </si>
  <si>
    <t xml:space="preserve">11745 Decatur St Apt F205 </t>
  </si>
  <si>
    <t>Demme</t>
  </si>
  <si>
    <t xml:space="preserve">319 NW Denton Ave </t>
  </si>
  <si>
    <t>Viteri</t>
  </si>
  <si>
    <t xml:space="preserve">14462 41st Ave # 11355 </t>
  </si>
  <si>
    <t>Budelier</t>
  </si>
  <si>
    <t>Moody</t>
  </si>
  <si>
    <t>Osa</t>
  </si>
  <si>
    <t xml:space="preserve">41 Gateswood Dr </t>
  </si>
  <si>
    <t>Ten Broeke</t>
  </si>
  <si>
    <t xml:space="preserve">14688 SE Carol Ave </t>
  </si>
  <si>
    <t>B.</t>
  </si>
  <si>
    <t xml:space="preserve">18550 Hatteras St Unit 106 </t>
  </si>
  <si>
    <t>Howie</t>
  </si>
  <si>
    <t xml:space="preserve">23543 Via Boscana </t>
  </si>
  <si>
    <t>91355-3020</t>
  </si>
  <si>
    <t>Weidenhamer</t>
  </si>
  <si>
    <t xml:space="preserve">13000 Newburg Ct </t>
  </si>
  <si>
    <t>45458-6096</t>
  </si>
  <si>
    <t xml:space="preserve">794 Cherry St </t>
  </si>
  <si>
    <t>Lief</t>
  </si>
  <si>
    <t xml:space="preserve">10220 SE Waverly Ct Apt 5 </t>
  </si>
  <si>
    <t>Milwaukie</t>
  </si>
  <si>
    <t>L'dera</t>
  </si>
  <si>
    <t>Gordona</t>
  </si>
  <si>
    <t xml:space="preserve">287 E 139th St </t>
  </si>
  <si>
    <t>Horton</t>
  </si>
  <si>
    <t xml:space="preserve">4311 Independence Hwy </t>
  </si>
  <si>
    <t>97351-9800</t>
  </si>
  <si>
    <t>Citron</t>
  </si>
  <si>
    <t xml:space="preserve">6 Ash Ave </t>
  </si>
  <si>
    <t>West Orange</t>
  </si>
  <si>
    <t>07052-2435</t>
  </si>
  <si>
    <t xml:space="preserve">112 Snowden Dr </t>
  </si>
  <si>
    <t>15229-1033</t>
  </si>
  <si>
    <t>Kilgore</t>
  </si>
  <si>
    <t xml:space="preserve">510 Capitol Way N Apt 113 </t>
  </si>
  <si>
    <t>98501-1061</t>
  </si>
  <si>
    <t xml:space="preserve">PO Box 63 </t>
  </si>
  <si>
    <t>Slater</t>
  </si>
  <si>
    <t xml:space="preserve">300 Overlake Dr E </t>
  </si>
  <si>
    <t>98039-5329</t>
  </si>
  <si>
    <t>Merz</t>
  </si>
  <si>
    <t xml:space="preserve">111 W Lincoln Ave Apt 305 </t>
  </si>
  <si>
    <t>Fergus Falls</t>
  </si>
  <si>
    <t xml:space="preserve">4471 NC 8610 </t>
  </si>
  <si>
    <t>Parthenon</t>
  </si>
  <si>
    <t>Janowitz-Price</t>
  </si>
  <si>
    <t xml:space="preserve">3020 N 14th St # 106 </t>
  </si>
  <si>
    <t>Hagstrom</t>
  </si>
  <si>
    <t xml:space="preserve">404 New York St Unit 9821 </t>
  </si>
  <si>
    <t>Redlands</t>
  </si>
  <si>
    <t>Deck</t>
  </si>
  <si>
    <t xml:space="preserve">10200 W Maple St Apt A206 </t>
  </si>
  <si>
    <t>67209-3122</t>
  </si>
  <si>
    <t>Ayres</t>
  </si>
  <si>
    <t xml:space="preserve">25 W640 INDIAN Hl Woods </t>
  </si>
  <si>
    <t>Hade</t>
  </si>
  <si>
    <t>Michaeline</t>
  </si>
  <si>
    <t xml:space="preserve">2223 W Leland Ave Apt 1 </t>
  </si>
  <si>
    <t xml:space="preserve">12205 SE 31st Pl Apt 121 </t>
  </si>
  <si>
    <t>Sazonov-Robinson</t>
  </si>
  <si>
    <t>Mauria</t>
  </si>
  <si>
    <t xml:space="preserve">PO Box 655 </t>
  </si>
  <si>
    <t>Artzt</t>
  </si>
  <si>
    <t xml:space="preserve">51 Hawthorne Ave </t>
  </si>
  <si>
    <t>08540-3803</t>
  </si>
  <si>
    <t>Korth</t>
  </si>
  <si>
    <t xml:space="preserve">7417 S Lake Bluff O5 Dr # 05 </t>
  </si>
  <si>
    <t xml:space="preserve">221 Gibson St </t>
  </si>
  <si>
    <t>Talent</t>
  </si>
  <si>
    <t>Robins</t>
  </si>
  <si>
    <t>Berklee</t>
  </si>
  <si>
    <t xml:space="preserve">14071 Chatham Ct </t>
  </si>
  <si>
    <t>Lake Oswego</t>
  </si>
  <si>
    <t>Clairone</t>
  </si>
  <si>
    <t xml:space="preserve">8242 Imperial Dr </t>
  </si>
  <si>
    <t>Rogan</t>
  </si>
  <si>
    <t xml:space="preserve">4062 W 13 Apt B </t>
  </si>
  <si>
    <t>Nagel</t>
  </si>
  <si>
    <t xml:space="preserve">3095 N Score Dr # 3 </t>
  </si>
  <si>
    <t>Hipol</t>
  </si>
  <si>
    <t>Jay-R</t>
  </si>
  <si>
    <t xml:space="preserve">285 Prairiewood Ct </t>
  </si>
  <si>
    <t>Manzo</t>
  </si>
  <si>
    <t>P.</t>
  </si>
  <si>
    <t xml:space="preserve">PO Box A1056 </t>
  </si>
  <si>
    <t>Ojo Caliente</t>
  </si>
  <si>
    <t>Vescio</t>
  </si>
  <si>
    <t xml:space="preserve">312 Arvo Ln </t>
  </si>
  <si>
    <t>Devlin</t>
  </si>
  <si>
    <t>Felicity</t>
  </si>
  <si>
    <t xml:space="preserve">2417 N Washington Tacoma Tacoma </t>
  </si>
  <si>
    <t>Schutt</t>
  </si>
  <si>
    <t xml:space="preserve">322 Gold Run Rd </t>
  </si>
  <si>
    <t>Breckenridge</t>
  </si>
  <si>
    <t xml:space="preserve">2 O64 LERNHART St </t>
  </si>
  <si>
    <t>Linder</t>
  </si>
  <si>
    <t xml:space="preserve">3750 Desert Pinon Dr NE </t>
  </si>
  <si>
    <t>87144-2543</t>
  </si>
  <si>
    <t>Gunther</t>
  </si>
  <si>
    <t xml:space="preserve">11024 161st St N </t>
  </si>
  <si>
    <t>33478-6204</t>
  </si>
  <si>
    <t>Ruhe</t>
  </si>
  <si>
    <t>Stapler</t>
  </si>
  <si>
    <t>19085-0343</t>
  </si>
  <si>
    <t xml:space="preserve">900 Oak Ridge Rd # D </t>
  </si>
  <si>
    <t xml:space="preserve">6032 Kentworth Dr </t>
  </si>
  <si>
    <t>Holly Springs</t>
  </si>
  <si>
    <t>Romaine</t>
  </si>
  <si>
    <t>Caridad</t>
  </si>
  <si>
    <t xml:space="preserve">417 E Main St Apt X4 </t>
  </si>
  <si>
    <t>Bay Shore</t>
  </si>
  <si>
    <t>11706-8530</t>
  </si>
  <si>
    <t>Ra</t>
  </si>
  <si>
    <t>Orchid</t>
  </si>
  <si>
    <t xml:space="preserve">2214 Fieldcrest Rd </t>
  </si>
  <si>
    <t>Southport</t>
  </si>
  <si>
    <t>Burval</t>
  </si>
  <si>
    <t xml:space="preserve">125 Bailey Ave </t>
  </si>
  <si>
    <t>Hillside</t>
  </si>
  <si>
    <t xml:space="preserve">405 Cross Rd </t>
  </si>
  <si>
    <t>Bean Station</t>
  </si>
  <si>
    <t>Schiller</t>
  </si>
  <si>
    <t xml:space="preserve">220 W 26th St Apt 703 </t>
  </si>
  <si>
    <t>10001-6742</t>
  </si>
  <si>
    <t xml:space="preserve">4404 NE 56th Ave </t>
  </si>
  <si>
    <t>97218-2167</t>
  </si>
  <si>
    <t>Dan And Ann</t>
  </si>
  <si>
    <t xml:space="preserve">64 S Main St Apt 2 </t>
  </si>
  <si>
    <t>Turk</t>
  </si>
  <si>
    <t xml:space="preserve">1156 Cherbourg Pl </t>
  </si>
  <si>
    <t>Beltram</t>
  </si>
  <si>
    <t xml:space="preserve">6195 Rosemarie Stne </t>
  </si>
  <si>
    <t xml:space="preserve">5320 Tenneryville Rd # 25 </t>
  </si>
  <si>
    <t>Longview</t>
  </si>
  <si>
    <t>Guarino</t>
  </si>
  <si>
    <t xml:space="preserve">12 Marvel Rd Marvel Rd </t>
  </si>
  <si>
    <t xml:space="preserve">6488 SW MIDMAR PORTLAND </t>
  </si>
  <si>
    <t>Klessig</t>
  </si>
  <si>
    <t xml:space="preserve">3740 N Claremont Ave # 2 </t>
  </si>
  <si>
    <t>Rosenqvist</t>
  </si>
  <si>
    <t xml:space="preserve">ROBB Dr </t>
  </si>
  <si>
    <t xml:space="preserve">2324 Blake St Apt 4 </t>
  </si>
  <si>
    <t xml:space="preserve">3039 Sacramento St </t>
  </si>
  <si>
    <t xml:space="preserve">1559 Victoria Way </t>
  </si>
  <si>
    <t xml:space="preserve">7 Spruce Ave </t>
  </si>
  <si>
    <t xml:space="preserve">14607 Batteliere Dr </t>
  </si>
  <si>
    <t xml:space="preserve">1440 N Gravel Pike </t>
  </si>
  <si>
    <t>Perkiomenville</t>
  </si>
  <si>
    <t>18074-9786</t>
  </si>
  <si>
    <t>Wingfield</t>
  </si>
  <si>
    <t xml:space="preserve">18101 N R NORTH St </t>
  </si>
  <si>
    <t>Javier</t>
  </si>
  <si>
    <t xml:space="preserve">2418 Nugent Cir </t>
  </si>
  <si>
    <t>Urbana</t>
  </si>
  <si>
    <t xml:space="preserve">6 Overlake Ct </t>
  </si>
  <si>
    <t>98229-4427</t>
  </si>
  <si>
    <t xml:space="preserve">1140 S Lorraine Rd Apt 3C </t>
  </si>
  <si>
    <t>60189-7020</t>
  </si>
  <si>
    <t xml:space="preserve">3775 Street Rd </t>
  </si>
  <si>
    <t xml:space="preserve">145 Central Park W # 6296 </t>
  </si>
  <si>
    <t>Baseman</t>
  </si>
  <si>
    <t xml:space="preserve">419 Kemper Rd </t>
  </si>
  <si>
    <t>Joppa</t>
  </si>
  <si>
    <t>Aguirre</t>
  </si>
  <si>
    <t xml:space="preserve">27742 Ferguson Dr </t>
  </si>
  <si>
    <t>Castaic</t>
  </si>
  <si>
    <t xml:space="preserve">274 N Centre Ave Apt 43B </t>
  </si>
  <si>
    <t>Rockville Centre</t>
  </si>
  <si>
    <t>Schmeder</t>
  </si>
  <si>
    <t>Nadya</t>
  </si>
  <si>
    <t xml:space="preserve">1901 York St </t>
  </si>
  <si>
    <t>Cesario</t>
  </si>
  <si>
    <t xml:space="preserve">14 Crandendr </t>
  </si>
  <si>
    <t>Elisabeth</t>
  </si>
  <si>
    <t xml:space="preserve">3307 241st Ave SE # AE </t>
  </si>
  <si>
    <t>Linda J</t>
  </si>
  <si>
    <t xml:space="preserve">528 Thayer Ln </t>
  </si>
  <si>
    <t>Taft</t>
  </si>
  <si>
    <t xml:space="preserve">26 Currituck Ln </t>
  </si>
  <si>
    <t>Hesselink</t>
  </si>
  <si>
    <t xml:space="preserve">W2838EAGLE Rd </t>
  </si>
  <si>
    <t>Neshkoro</t>
  </si>
  <si>
    <t>Hartung</t>
  </si>
  <si>
    <t xml:space="preserve">James </t>
  </si>
  <si>
    <t>Sivan</t>
  </si>
  <si>
    <t>Vidya</t>
  </si>
  <si>
    <t xml:space="preserve">20 Penniman Rd </t>
  </si>
  <si>
    <t>Parr</t>
  </si>
  <si>
    <t xml:space="preserve">2976 Bascom Corner Rd 2976 Bascom Corner Rd 2 Rd </t>
  </si>
  <si>
    <t>Rising Sun</t>
  </si>
  <si>
    <t>Wire</t>
  </si>
  <si>
    <t xml:space="preserve">PO Box 579 </t>
  </si>
  <si>
    <t xml:space="preserve">1518 Del Pueblo Pso N Unit 1432 </t>
  </si>
  <si>
    <t>Schell-Ryan</t>
  </si>
  <si>
    <t xml:space="preserve">2177 E Thousand Oaks Blvd </t>
  </si>
  <si>
    <t>Riti</t>
  </si>
  <si>
    <t xml:space="preserve">1019 N Lafayette St Apt 2 </t>
  </si>
  <si>
    <t>Reid</t>
  </si>
  <si>
    <t xml:space="preserve">9334 Soakley Avenue Chicago </t>
  </si>
  <si>
    <t>Kenthack</t>
  </si>
  <si>
    <t xml:space="preserve">7077 Woodmont Ave Apt 204 </t>
  </si>
  <si>
    <t>20815-6294</t>
  </si>
  <si>
    <t>Hiltz</t>
  </si>
  <si>
    <t xml:space="preserve">50 William Ln # 21 </t>
  </si>
  <si>
    <t>Iltis</t>
  </si>
  <si>
    <t xml:space="preserve">2784 Marshall Pkwy </t>
  </si>
  <si>
    <t>Wanenmacher</t>
  </si>
  <si>
    <t xml:space="preserve">1422 Agua Fria St </t>
  </si>
  <si>
    <t>Roman</t>
  </si>
  <si>
    <t xml:space="preserve">2800 Capella Ct </t>
  </si>
  <si>
    <t>Benincasa</t>
  </si>
  <si>
    <t xml:space="preserve">297 Spring St Apt 6 </t>
  </si>
  <si>
    <t>Red Bank</t>
  </si>
  <si>
    <t>Brazis</t>
  </si>
  <si>
    <t xml:space="preserve">2867 Landing Way </t>
  </si>
  <si>
    <t>Palm Harbor</t>
  </si>
  <si>
    <t>Iannuzzi</t>
  </si>
  <si>
    <t xml:space="preserve">20512 Alderleaf Ter </t>
  </si>
  <si>
    <t>Jacoby</t>
  </si>
  <si>
    <t>Katha</t>
  </si>
  <si>
    <t xml:space="preserve">2820 W Park Ave </t>
  </si>
  <si>
    <t>Perley</t>
  </si>
  <si>
    <t xml:space="preserve">969 Kupulau Dr </t>
  </si>
  <si>
    <t>MacNeil</t>
  </si>
  <si>
    <t>D'Anne</t>
  </si>
  <si>
    <t xml:space="preserve">1718 S Longmore Unit 4 </t>
  </si>
  <si>
    <t>85202-5766</t>
  </si>
  <si>
    <t>Bean</t>
  </si>
  <si>
    <t xml:space="preserve">DEPOT St </t>
  </si>
  <si>
    <t>Hanks</t>
  </si>
  <si>
    <t xml:space="preserve">6281 SE Deering Ct </t>
  </si>
  <si>
    <t>97222-2325</t>
  </si>
  <si>
    <t>Hays</t>
  </si>
  <si>
    <t xml:space="preserve">1971 Water Ln </t>
  </si>
  <si>
    <t>Maitland</t>
  </si>
  <si>
    <t>Laurenzano</t>
  </si>
  <si>
    <t xml:space="preserve">2399 Ginger Dr </t>
  </si>
  <si>
    <t>Gambrills</t>
  </si>
  <si>
    <t xml:space="preserve">1043 Yuba Dr </t>
  </si>
  <si>
    <t>McGreevy</t>
  </si>
  <si>
    <t xml:space="preserve">140 Prospect Ave </t>
  </si>
  <si>
    <t>Hackensack</t>
  </si>
  <si>
    <t>Velotas</t>
  </si>
  <si>
    <t xml:space="preserve">BREEZE HILL Rd </t>
  </si>
  <si>
    <t>Schweiker</t>
  </si>
  <si>
    <t xml:space="preserve">24 Leepas Ln # 7 </t>
  </si>
  <si>
    <t>New Gretna</t>
  </si>
  <si>
    <t xml:space="preserve">30 Flintlock Dr </t>
  </si>
  <si>
    <t xml:space="preserve">601 Milwaukee Ave Apt 102 </t>
  </si>
  <si>
    <t>South Milwaukee</t>
  </si>
  <si>
    <t>Rivoire</t>
  </si>
  <si>
    <t xml:space="preserve">114 Oak Hill Dr </t>
  </si>
  <si>
    <t>37148-1733</t>
  </si>
  <si>
    <t>Spellman</t>
  </si>
  <si>
    <t xml:space="preserve">PO Box 2682 </t>
  </si>
  <si>
    <t>California City</t>
  </si>
  <si>
    <t>93504-0682</t>
  </si>
  <si>
    <t>Celli</t>
  </si>
  <si>
    <t xml:space="preserve">497 Legends Way </t>
  </si>
  <si>
    <t>27516-4371</t>
  </si>
  <si>
    <t>Gustab</t>
  </si>
  <si>
    <t xml:space="preserve">875 N Michigan Ave </t>
  </si>
  <si>
    <t>Chatman</t>
  </si>
  <si>
    <t xml:space="preserve">1040 Key Route Blvd </t>
  </si>
  <si>
    <t>Stirpe</t>
  </si>
  <si>
    <t xml:space="preserve">2311 SE ASH311 SE Ash </t>
  </si>
  <si>
    <t>Dogole</t>
  </si>
  <si>
    <t xml:space="preserve">102 Ash Way </t>
  </si>
  <si>
    <t>Bourlotos</t>
  </si>
  <si>
    <t xml:space="preserve">2213 Gates Ct </t>
  </si>
  <si>
    <t>Morris Plains</t>
  </si>
  <si>
    <t>M. S.</t>
  </si>
  <si>
    <t xml:space="preserve">8202 Hammocks Dr </t>
  </si>
  <si>
    <t>Canandaigua</t>
  </si>
  <si>
    <t xml:space="preserve">312 Old Farm Rd </t>
  </si>
  <si>
    <t>Brigida</t>
  </si>
  <si>
    <t xml:space="preserve">11480 Belshire Ln </t>
  </si>
  <si>
    <t>Powers-Jaeger</t>
  </si>
  <si>
    <t xml:space="preserve">2361 N Menzies Ct </t>
  </si>
  <si>
    <t>97217-8218</t>
  </si>
  <si>
    <t>Sipes</t>
  </si>
  <si>
    <t xml:space="preserve">782 Dawnville Rd NE </t>
  </si>
  <si>
    <t>30721-8415</t>
  </si>
  <si>
    <t>Plummer</t>
  </si>
  <si>
    <t xml:space="preserve">5805 Hidden Lake Dr Apt E </t>
  </si>
  <si>
    <t>Harrisburg</t>
  </si>
  <si>
    <t>17111-4679</t>
  </si>
  <si>
    <t>Beitel</t>
  </si>
  <si>
    <t xml:space="preserve">VILLA Ave </t>
  </si>
  <si>
    <t>Pitman</t>
  </si>
  <si>
    <t>Minnick</t>
  </si>
  <si>
    <t xml:space="preserve">21 Goldsmith Ave </t>
  </si>
  <si>
    <t>Islandia</t>
  </si>
  <si>
    <t>Lindpere</t>
  </si>
  <si>
    <t xml:space="preserve">3750 E Via Palomita Apt 39203 </t>
  </si>
  <si>
    <t>Ricki</t>
  </si>
  <si>
    <t xml:space="preserve">210 E COOPER </t>
  </si>
  <si>
    <t>Aspen</t>
  </si>
  <si>
    <t xml:space="preserve">2309 N Fitzhugh Ave </t>
  </si>
  <si>
    <t>Files</t>
  </si>
  <si>
    <t xml:space="preserve">3860 Dabate Ct </t>
  </si>
  <si>
    <t>Peniche</t>
  </si>
  <si>
    <t>Dione</t>
  </si>
  <si>
    <t xml:space="preserve">9 Glockenblumenweg </t>
  </si>
  <si>
    <t>Dionne</t>
  </si>
  <si>
    <t xml:space="preserve">9833 Fairbanks St </t>
  </si>
  <si>
    <t>Van Buren Twp</t>
  </si>
  <si>
    <t>Nulty</t>
  </si>
  <si>
    <t xml:space="preserve">34555 Casitas Pl </t>
  </si>
  <si>
    <t>Dana Point</t>
  </si>
  <si>
    <t>Lanum</t>
  </si>
  <si>
    <t xml:space="preserve">25634 Hall Rd </t>
  </si>
  <si>
    <t>Fritzke</t>
  </si>
  <si>
    <t xml:space="preserve">5385 Stacy Trl Trlr 324 </t>
  </si>
  <si>
    <t>Katsetos</t>
  </si>
  <si>
    <t xml:space="preserve">2301 S Lamar Blvd Apt 203 </t>
  </si>
  <si>
    <t xml:space="preserve">6423 Redpine Rd </t>
  </si>
  <si>
    <t>Ramirez</t>
  </si>
  <si>
    <t xml:space="preserve">148 Tontine Ave Unit 2 </t>
  </si>
  <si>
    <t>Lowenthal</t>
  </si>
  <si>
    <t xml:space="preserve">112 Lewis Rd </t>
  </si>
  <si>
    <t xml:space="preserve">2715 Greenwood Rd </t>
  </si>
  <si>
    <t xml:space="preserve">PO Box 365 </t>
  </si>
  <si>
    <t xml:space="preserve">8416 Pines Rd </t>
  </si>
  <si>
    <t>Shreveport</t>
  </si>
  <si>
    <t>Poirier</t>
  </si>
  <si>
    <t>Magda</t>
  </si>
  <si>
    <t xml:space="preserve">59 Messer St </t>
  </si>
  <si>
    <t>Laconia</t>
  </si>
  <si>
    <t xml:space="preserve">7171 Switzer Dr </t>
  </si>
  <si>
    <t>Linden</t>
  </si>
  <si>
    <t>Sweeton</t>
  </si>
  <si>
    <t xml:space="preserve">719 Valley Bridge Rd </t>
  </si>
  <si>
    <t xml:space="preserve">908 Anchor Ave </t>
  </si>
  <si>
    <t xml:space="preserve">43 Hazard St </t>
  </si>
  <si>
    <t>Coventry</t>
  </si>
  <si>
    <t>Makurat</t>
  </si>
  <si>
    <t xml:space="preserve">10816 Verde Vista Dr </t>
  </si>
  <si>
    <t xml:space="preserve">1418 N Mohawk St </t>
  </si>
  <si>
    <t>Elson</t>
  </si>
  <si>
    <t xml:space="preserve">5606 Forest Bend Ct </t>
  </si>
  <si>
    <t>Whitley</t>
  </si>
  <si>
    <t xml:space="preserve">2660 Santa Rosa Dr </t>
  </si>
  <si>
    <t xml:space="preserve">8097 W 5th St </t>
  </si>
  <si>
    <t>Rathdrum</t>
  </si>
  <si>
    <t>Webb</t>
  </si>
  <si>
    <t xml:space="preserve">1068 Park Ave NE </t>
  </si>
  <si>
    <t>Klemm</t>
  </si>
  <si>
    <t xml:space="preserve">1505 Clinton Rd Apt 303 </t>
  </si>
  <si>
    <t>Verrill</t>
  </si>
  <si>
    <t xml:space="preserve">1155 Fawn Ln </t>
  </si>
  <si>
    <t>Michaels-Tyner</t>
  </si>
  <si>
    <t xml:space="preserve">S 6TH </t>
  </si>
  <si>
    <t>Lateiner</t>
  </si>
  <si>
    <t>Ulysses</t>
  </si>
  <si>
    <t xml:space="preserve">15 Chandler St </t>
  </si>
  <si>
    <t>Talhami</t>
  </si>
  <si>
    <t xml:space="preserve">4476 N Woodburn St </t>
  </si>
  <si>
    <t>Shorewood</t>
  </si>
  <si>
    <t>Sommer</t>
  </si>
  <si>
    <t xml:space="preserve">2128 N Raleigh St </t>
  </si>
  <si>
    <t xml:space="preserve">10387 Pineway Dr </t>
  </si>
  <si>
    <t>Zahorsky</t>
  </si>
  <si>
    <t xml:space="preserve">323 S 12th St </t>
  </si>
  <si>
    <t>Myerly</t>
  </si>
  <si>
    <t xml:space="preserve">3211 Bellemeade Ave </t>
  </si>
  <si>
    <t xml:space="preserve">1306 W St NW </t>
  </si>
  <si>
    <t>Manda</t>
  </si>
  <si>
    <t xml:space="preserve">PO Box 211 </t>
  </si>
  <si>
    <t>Burrows</t>
  </si>
  <si>
    <t xml:space="preserve">424 S Chestnut St </t>
  </si>
  <si>
    <t xml:space="preserve">17 Woods N Water Dr </t>
  </si>
  <si>
    <t>Mount Dora</t>
  </si>
  <si>
    <t xml:space="preserve">56530 Stephanie Ln </t>
  </si>
  <si>
    <t>Pine City</t>
  </si>
  <si>
    <t>Choquet</t>
  </si>
  <si>
    <t>Herta</t>
  </si>
  <si>
    <t xml:space="preserve">18 Oakland St </t>
  </si>
  <si>
    <t>Alper</t>
  </si>
  <si>
    <t>Gregor</t>
  </si>
  <si>
    <t xml:space="preserve">707 Jacon Way </t>
  </si>
  <si>
    <t xml:space="preserve">10033 Glade Ave </t>
  </si>
  <si>
    <t>Cantrell</t>
  </si>
  <si>
    <t xml:space="preserve">3502 Highway 112 </t>
  </si>
  <si>
    <t>Eastland</t>
  </si>
  <si>
    <t xml:space="preserve">6318 110th St NW </t>
  </si>
  <si>
    <t>Laurena</t>
  </si>
  <si>
    <t xml:space="preserve">269 Peckham Pl </t>
  </si>
  <si>
    <t>McCracken</t>
  </si>
  <si>
    <t xml:space="preserve">3231 Old Highway 70 </t>
  </si>
  <si>
    <t xml:space="preserve">5121 Lindell Rd Unit 206 </t>
  </si>
  <si>
    <t>Sharp</t>
  </si>
  <si>
    <t xml:space="preserve">26110 Bud Ln </t>
  </si>
  <si>
    <t>Veneta</t>
  </si>
  <si>
    <t>Nold</t>
  </si>
  <si>
    <t xml:space="preserve">1146 Terrace Ln </t>
  </si>
  <si>
    <t>Saltmarsh</t>
  </si>
  <si>
    <t xml:space="preserve">12 Highridge Trl </t>
  </si>
  <si>
    <t xml:space="preserve">PO Box 387 </t>
  </si>
  <si>
    <t>Orleans</t>
  </si>
  <si>
    <t xml:space="preserve">1026 Robbinsville Edinburg Rd </t>
  </si>
  <si>
    <t>Aronson</t>
  </si>
  <si>
    <t>Reevyn</t>
  </si>
  <si>
    <t xml:space="preserve">2802 Medford Ave </t>
  </si>
  <si>
    <t>Scheihagen</t>
  </si>
  <si>
    <t xml:space="preserve">3341 Saint Cloud Cir </t>
  </si>
  <si>
    <t>Lubker</t>
  </si>
  <si>
    <t xml:space="preserve">10609 Hudson Cir </t>
  </si>
  <si>
    <t xml:space="preserve">3617 S Adams Rd Apt 105 </t>
  </si>
  <si>
    <t>Allgaier</t>
  </si>
  <si>
    <t>Gwenne</t>
  </si>
  <si>
    <t xml:space="preserve">123 W Traverse Lake Rd </t>
  </si>
  <si>
    <t>Maple City</t>
  </si>
  <si>
    <t xml:space="preserve">415 Woodrow Ave </t>
  </si>
  <si>
    <t xml:space="preserve">4150 Brook Ln </t>
  </si>
  <si>
    <t xml:space="preserve">19007 Bella Dr Apt A5 </t>
  </si>
  <si>
    <t>Whipp</t>
  </si>
  <si>
    <t>Angina</t>
  </si>
  <si>
    <t xml:space="preserve">438 Dolton Rd </t>
  </si>
  <si>
    <t>Accorsi</t>
  </si>
  <si>
    <t xml:space="preserve">13 Meadow Rue Pl </t>
  </si>
  <si>
    <t>Guilfoyle</t>
  </si>
  <si>
    <t xml:space="preserve">PO Box 4763 </t>
  </si>
  <si>
    <t>Page</t>
  </si>
  <si>
    <t>Deysher</t>
  </si>
  <si>
    <t xml:space="preserve">21 Lackey St </t>
  </si>
  <si>
    <t>Westborough</t>
  </si>
  <si>
    <t>Raichle</t>
  </si>
  <si>
    <t xml:space="preserve">807 E Ridley Ave </t>
  </si>
  <si>
    <t>Ridley Park</t>
  </si>
  <si>
    <t>Wornica</t>
  </si>
  <si>
    <t xml:space="preserve">10130 Tonawanda Creek Rd </t>
  </si>
  <si>
    <t>Clarence Center</t>
  </si>
  <si>
    <t>Deanna</t>
  </si>
  <si>
    <t xml:space="preserve">1290 Rambling Rd </t>
  </si>
  <si>
    <t xml:space="preserve">1205 E Desert Rose Trl </t>
  </si>
  <si>
    <t>San Tan Valley</t>
  </si>
  <si>
    <t>Feilmeyer</t>
  </si>
  <si>
    <t xml:space="preserve">935 Linwood Ave </t>
  </si>
  <si>
    <t xml:space="preserve">401 S Earlham St </t>
  </si>
  <si>
    <t>Waltasti</t>
  </si>
  <si>
    <t xml:space="preserve">20117 N Geyser Dr </t>
  </si>
  <si>
    <t>Maricopa</t>
  </si>
  <si>
    <t>Kocoras</t>
  </si>
  <si>
    <t xml:space="preserve">73 South St </t>
  </si>
  <si>
    <t xml:space="preserve">400 Wesley Way </t>
  </si>
  <si>
    <t>Ball Ground</t>
  </si>
  <si>
    <t>Mellen</t>
  </si>
  <si>
    <t xml:space="preserve">182 North St </t>
  </si>
  <si>
    <t xml:space="preserve">426 Mill St </t>
  </si>
  <si>
    <t xml:space="preserve">30 Flax Hill Rd </t>
  </si>
  <si>
    <t xml:space="preserve">1625 Woodbrook St Apt 102 </t>
  </si>
  <si>
    <t xml:space="preserve">63 Evergreen Rd </t>
  </si>
  <si>
    <t>Natick</t>
  </si>
  <si>
    <t>Esquivel</t>
  </si>
  <si>
    <t xml:space="preserve">3801 Evangelho Cir </t>
  </si>
  <si>
    <t>Caddes</t>
  </si>
  <si>
    <t xml:space="preserve">32072 Via Buena </t>
  </si>
  <si>
    <t>Wattles</t>
  </si>
  <si>
    <t xml:space="preserve">1360 Rolling Hill Dr </t>
  </si>
  <si>
    <t>Meridian</t>
  </si>
  <si>
    <t xml:space="preserve">2812 Water St </t>
  </si>
  <si>
    <t xml:space="preserve">955 Culver Rd </t>
  </si>
  <si>
    <t>Sergienko</t>
  </si>
  <si>
    <t xml:space="preserve">2127 NW Irving St Apt 101 </t>
  </si>
  <si>
    <t>Lunz</t>
  </si>
  <si>
    <t xml:space="preserve">10718 Lakespring Way </t>
  </si>
  <si>
    <t>Cockeysville</t>
  </si>
  <si>
    <t>Curd</t>
  </si>
  <si>
    <t>Lauretta</t>
  </si>
  <si>
    <t xml:space="preserve">18510 Montour Dr </t>
  </si>
  <si>
    <t>Whitaker</t>
  </si>
  <si>
    <t>Howard J</t>
  </si>
  <si>
    <t xml:space="preserve">2041 Campton Cir </t>
  </si>
  <si>
    <t>Gold River</t>
  </si>
  <si>
    <t>Fazio</t>
  </si>
  <si>
    <t xml:space="preserve">11352 W State Road 84 # 50 </t>
  </si>
  <si>
    <t xml:space="preserve">1855 Bridgepointe Cir Unit 23 </t>
  </si>
  <si>
    <t>Simonich</t>
  </si>
  <si>
    <t xml:space="preserve">411 Magellan Ave </t>
  </si>
  <si>
    <t>Half Moon Bay</t>
  </si>
  <si>
    <t>Malpass</t>
  </si>
  <si>
    <t xml:space="preserve">2326 Lochmere Way </t>
  </si>
  <si>
    <t>Kingwood</t>
  </si>
  <si>
    <t xml:space="preserve">24561 La Hermosa Ave </t>
  </si>
  <si>
    <t>Avila</t>
  </si>
  <si>
    <t xml:space="preserve">2419 Waters Edge Way </t>
  </si>
  <si>
    <t xml:space="preserve">222 Peahi Rd </t>
  </si>
  <si>
    <t xml:space="preserve">1641 Furlong Rd </t>
  </si>
  <si>
    <t xml:space="preserve">1807 Indian Rd </t>
  </si>
  <si>
    <t>Fort Scott</t>
  </si>
  <si>
    <t>Edmison</t>
  </si>
  <si>
    <t xml:space="preserve">11820 167th Pl NE </t>
  </si>
  <si>
    <t xml:space="preserve">12505 Kuhl Rd </t>
  </si>
  <si>
    <t>Balfour</t>
  </si>
  <si>
    <t xml:space="preserve">124 E Turgot Ave </t>
  </si>
  <si>
    <t>Bowers</t>
  </si>
  <si>
    <t xml:space="preserve">9228 Wyattwood Rd </t>
  </si>
  <si>
    <t>Ryk</t>
  </si>
  <si>
    <t xml:space="preserve">1870 Parkland Dr </t>
  </si>
  <si>
    <t xml:space="preserve">712 Cole Rd </t>
  </si>
  <si>
    <t>Coralville</t>
  </si>
  <si>
    <t xml:space="preserve">4 Starboard Ln </t>
  </si>
  <si>
    <t>Stoppe</t>
  </si>
  <si>
    <t xml:space="preserve">85 Leavitt Hill Rd </t>
  </si>
  <si>
    <t>Etgen</t>
  </si>
  <si>
    <t xml:space="preserve">3600 Whitney Ave </t>
  </si>
  <si>
    <t>Boykin</t>
  </si>
  <si>
    <t>D J</t>
  </si>
  <si>
    <t xml:space="preserve">832 Shady Glen Ln </t>
  </si>
  <si>
    <t xml:space="preserve">530 S Stewart Dr </t>
  </si>
  <si>
    <t xml:space="preserve">3613 W Sundial Pl </t>
  </si>
  <si>
    <t>Yohannes</t>
  </si>
  <si>
    <t>Aida</t>
  </si>
  <si>
    <t xml:space="preserve">111 S Raven Mine Dr </t>
  </si>
  <si>
    <t>Koppelman</t>
  </si>
  <si>
    <t xml:space="preserve">2308 Wabash Rd </t>
  </si>
  <si>
    <t xml:space="preserve">6852 Ryan Rd </t>
  </si>
  <si>
    <t xml:space="preserve">266 Poinsettia St </t>
  </si>
  <si>
    <t>Sherry And Tom</t>
  </si>
  <si>
    <t xml:space="preserve">5706 Beech Ave </t>
  </si>
  <si>
    <t>Coloma</t>
  </si>
  <si>
    <t>Max</t>
  </si>
  <si>
    <t xml:space="preserve">2997 Crosby Blvd SW Apt 331 </t>
  </si>
  <si>
    <t xml:space="preserve">812 Bridgewater St SW </t>
  </si>
  <si>
    <t xml:space="preserve">401 Highbanks Ct </t>
  </si>
  <si>
    <t xml:space="preserve">145 Sheridan Way </t>
  </si>
  <si>
    <t>Alfano</t>
  </si>
  <si>
    <t xml:space="preserve">6148 Palm Harbor Dr </t>
  </si>
  <si>
    <t>Lantana</t>
  </si>
  <si>
    <t>Baltin</t>
  </si>
  <si>
    <t xml:space="preserve">500 13th Ave E Apt 107 </t>
  </si>
  <si>
    <t>Sternlicht</t>
  </si>
  <si>
    <t xml:space="preserve">PO Box 1058 </t>
  </si>
  <si>
    <t>Pepeekeo</t>
  </si>
  <si>
    <t>Valone</t>
  </si>
  <si>
    <t xml:space="preserve">12 Sanchez Ave </t>
  </si>
  <si>
    <t xml:space="preserve">3125 Alfred Ave </t>
  </si>
  <si>
    <t>Browne</t>
  </si>
  <si>
    <t xml:space="preserve">355 Phelps Ave </t>
  </si>
  <si>
    <t>Patton</t>
  </si>
  <si>
    <t xml:space="preserve">104 Apache Trl </t>
  </si>
  <si>
    <t>Weinstock</t>
  </si>
  <si>
    <t xml:space="preserve">37 Kendal Dr </t>
  </si>
  <si>
    <t>Oberlin</t>
  </si>
  <si>
    <t xml:space="preserve">6655 Jackson Rd Unit 762 </t>
  </si>
  <si>
    <t>Goldsmith</t>
  </si>
  <si>
    <t xml:space="preserve">22 Windridge Ln </t>
  </si>
  <si>
    <t>Greenhalgh</t>
  </si>
  <si>
    <t xml:space="preserve">2051 Red Lick Rd </t>
  </si>
  <si>
    <t>New Milton</t>
  </si>
  <si>
    <t>Brothers</t>
  </si>
  <si>
    <t>Nancy N</t>
  </si>
  <si>
    <t>Callicoon Ctr</t>
  </si>
  <si>
    <t xml:space="preserve">1542 Cerro Gordo Rd </t>
  </si>
  <si>
    <t xml:space="preserve">1710 Woodtrail Dr </t>
  </si>
  <si>
    <t>Benschoter</t>
  </si>
  <si>
    <t xml:space="preserve">10424 S 46th Way Null </t>
  </si>
  <si>
    <t>Meltzer</t>
  </si>
  <si>
    <t xml:space="preserve">170 W End Ave Apt 23B </t>
  </si>
  <si>
    <t>Traci</t>
  </si>
  <si>
    <t xml:space="preserve">202 S Halsted St </t>
  </si>
  <si>
    <t>Chicago Heights</t>
  </si>
  <si>
    <t>Jahos</t>
  </si>
  <si>
    <t xml:space="preserve">PO Box 891 </t>
  </si>
  <si>
    <t>Alstead</t>
  </si>
  <si>
    <t>Drake</t>
  </si>
  <si>
    <t>Shanna</t>
  </si>
  <si>
    <t xml:space="preserve">10222 148th Ave SE </t>
  </si>
  <si>
    <t>Bechard</t>
  </si>
  <si>
    <t xml:space="preserve">1108 Robertson Way </t>
  </si>
  <si>
    <t>Glenmoore</t>
  </si>
  <si>
    <t xml:space="preserve">7041 4th Ave </t>
  </si>
  <si>
    <t xml:space="preserve">PO Box 626 </t>
  </si>
  <si>
    <t>Morongo Valley</t>
  </si>
  <si>
    <t xml:space="preserve">71 Westminster Dr </t>
  </si>
  <si>
    <t>Bridy</t>
  </si>
  <si>
    <t>Joseph Bridy</t>
  </si>
  <si>
    <t xml:space="preserve">709 Morris St </t>
  </si>
  <si>
    <t xml:space="preserve">859 Worcester Ln </t>
  </si>
  <si>
    <t>Napoli</t>
  </si>
  <si>
    <t xml:space="preserve">2233 S 2400 W </t>
  </si>
  <si>
    <t>Wellsville</t>
  </si>
  <si>
    <t>Lipsitz</t>
  </si>
  <si>
    <t xml:space="preserve">1511 6th Ave </t>
  </si>
  <si>
    <t>Royse</t>
  </si>
  <si>
    <t>Gerry</t>
  </si>
  <si>
    <t xml:space="preserve">2828 Sweet Way </t>
  </si>
  <si>
    <t xml:space="preserve">16 Sparks St </t>
  </si>
  <si>
    <t>Kamhout</t>
  </si>
  <si>
    <t xml:space="preserve">744 N Willard Ct Apt 202 </t>
  </si>
  <si>
    <t xml:space="preserve">143 Dartford St </t>
  </si>
  <si>
    <t>Hercules</t>
  </si>
  <si>
    <t>Ac</t>
  </si>
  <si>
    <t xml:space="preserve">302 N 82nd Ave </t>
  </si>
  <si>
    <t>Yakima</t>
  </si>
  <si>
    <t>Betty Lou</t>
  </si>
  <si>
    <t xml:space="preserve">105771 THISTLE BERRY Ct </t>
  </si>
  <si>
    <t xml:space="preserve">294 Hillside St </t>
  </si>
  <si>
    <t>Doucette</t>
  </si>
  <si>
    <t xml:space="preserve">11 Concord Hill Rd </t>
  </si>
  <si>
    <t>Pittsfield</t>
  </si>
  <si>
    <t xml:space="preserve">2877 Hillbrook Way </t>
  </si>
  <si>
    <t>Franken</t>
  </si>
  <si>
    <t xml:space="preserve">3038 Irvington Way </t>
  </si>
  <si>
    <t xml:space="preserve">14 Bamboo Ln </t>
  </si>
  <si>
    <t xml:space="preserve">72 Priscilla Ave </t>
  </si>
  <si>
    <t xml:space="preserve">5701 N Sheridan Rd Apt 18O </t>
  </si>
  <si>
    <t xml:space="preserve">2845 Grand Ave </t>
  </si>
  <si>
    <t>Tjessem</t>
  </si>
  <si>
    <t xml:space="preserve">1102 N Harrison St </t>
  </si>
  <si>
    <t>Caolo</t>
  </si>
  <si>
    <t xml:space="preserve">1512 E Gibson St </t>
  </si>
  <si>
    <t>Felicia</t>
  </si>
  <si>
    <t xml:space="preserve">1920 66th Pl NE </t>
  </si>
  <si>
    <t>Tulalip</t>
  </si>
  <si>
    <t>Carswell</t>
  </si>
  <si>
    <t xml:space="preserve">640 Woodward Dr </t>
  </si>
  <si>
    <t>Aurelia</t>
  </si>
  <si>
    <t xml:space="preserve">6926 SW 189th Ave </t>
  </si>
  <si>
    <t>Suda</t>
  </si>
  <si>
    <t xml:space="preserve">2083 E Partridge Ln </t>
  </si>
  <si>
    <t>Eagle Mountain</t>
  </si>
  <si>
    <t>Laughery</t>
  </si>
  <si>
    <t xml:space="preserve">24352 Highway 140 </t>
  </si>
  <si>
    <t>Braxton</t>
  </si>
  <si>
    <t>Angelika</t>
  </si>
  <si>
    <t xml:space="preserve">9703 Spruce Ridge Dr </t>
  </si>
  <si>
    <t>Converse</t>
  </si>
  <si>
    <t>Fresco</t>
  </si>
  <si>
    <t xml:space="preserve">4905 Pleasant View Ct </t>
  </si>
  <si>
    <t>Bowie</t>
  </si>
  <si>
    <t>Ramsey</t>
  </si>
  <si>
    <t xml:space="preserve">1317 Kendlewood Ave </t>
  </si>
  <si>
    <t>McAllen</t>
  </si>
  <si>
    <t>Phleger</t>
  </si>
  <si>
    <t>Nansy</t>
  </si>
  <si>
    <t xml:space="preserve">322 Front St </t>
  </si>
  <si>
    <t>Boord</t>
  </si>
  <si>
    <t xml:space="preserve">631 Olney Dr </t>
  </si>
  <si>
    <t>Risley</t>
  </si>
  <si>
    <t xml:space="preserve">PO Box 1272 </t>
  </si>
  <si>
    <t>Kapaau</t>
  </si>
  <si>
    <t>Vogel</t>
  </si>
  <si>
    <t xml:space="preserve">5441 California St </t>
  </si>
  <si>
    <t>Linnea</t>
  </si>
  <si>
    <t xml:space="preserve">3609 Skyline Blvd </t>
  </si>
  <si>
    <t>Texarkana</t>
  </si>
  <si>
    <t>Miess</t>
  </si>
  <si>
    <t>Peter And Marilyn</t>
  </si>
  <si>
    <t xml:space="preserve">601 N Segoe Rd Apt 302 </t>
  </si>
  <si>
    <t xml:space="preserve">1373 Lees Chapel Rd </t>
  </si>
  <si>
    <t>Greensboro</t>
  </si>
  <si>
    <t>Hittel</t>
  </si>
  <si>
    <t xml:space="preserve">250 W 90th St Apt 10H </t>
  </si>
  <si>
    <t>Pape</t>
  </si>
  <si>
    <t xml:space="preserve">11517 Fast Horse Dr </t>
  </si>
  <si>
    <t>Bistak</t>
  </si>
  <si>
    <t xml:space="preserve">12984 Martin Dr </t>
  </si>
  <si>
    <t>Parma</t>
  </si>
  <si>
    <t xml:space="preserve">225 W 83rd St Apt 4M </t>
  </si>
  <si>
    <t xml:space="preserve">PO Box 281 </t>
  </si>
  <si>
    <t>Bunton</t>
  </si>
  <si>
    <t>Gerald And Doryne</t>
  </si>
  <si>
    <t xml:space="preserve">PO Box 573 </t>
  </si>
  <si>
    <t>Mimbres</t>
  </si>
  <si>
    <t>Gwen</t>
  </si>
  <si>
    <t xml:space="preserve">215 S Myrtle St </t>
  </si>
  <si>
    <t>Edwardsville</t>
  </si>
  <si>
    <t>Seyfried</t>
  </si>
  <si>
    <t xml:space="preserve">701 California Ave </t>
  </si>
  <si>
    <t>Boulder City</t>
  </si>
  <si>
    <t>Sixtus</t>
  </si>
  <si>
    <t xml:space="preserve">8353 Rumson Dr Santee CA92071 </t>
  </si>
  <si>
    <t>Santee</t>
  </si>
  <si>
    <t>Wooten</t>
  </si>
  <si>
    <t xml:space="preserve">13194 Fair Oaks Ln </t>
  </si>
  <si>
    <t>Grover Beach</t>
  </si>
  <si>
    <t xml:space="preserve">51 Orange Dr </t>
  </si>
  <si>
    <t>Jericho</t>
  </si>
  <si>
    <t>St Petersburg</t>
  </si>
  <si>
    <t>Edmundson</t>
  </si>
  <si>
    <t xml:space="preserve">814 Bittersweet Ln </t>
  </si>
  <si>
    <t>Jeffries</t>
  </si>
  <si>
    <t xml:space="preserve">1455 NW Ithaca Ave </t>
  </si>
  <si>
    <t>Keckler</t>
  </si>
  <si>
    <t xml:space="preserve">PO Box 5563 </t>
  </si>
  <si>
    <t>Lahti</t>
  </si>
  <si>
    <t xml:space="preserve">91 E Soderberg Rd Unit 9 </t>
  </si>
  <si>
    <t>Allyn</t>
  </si>
  <si>
    <t xml:space="preserve">11105 Roseland Rd </t>
  </si>
  <si>
    <t>Sebastian</t>
  </si>
  <si>
    <t>Breen</t>
  </si>
  <si>
    <t xml:space="preserve">15 Polhemus Pl </t>
  </si>
  <si>
    <t>Andi</t>
  </si>
  <si>
    <t xml:space="preserve">77 Norwood Ter </t>
  </si>
  <si>
    <t>Carolina</t>
  </si>
  <si>
    <t xml:space="preserve">520 Covington Pl </t>
  </si>
  <si>
    <t xml:space="preserve">3611 Vista De La Bahia </t>
  </si>
  <si>
    <t>Boyle</t>
  </si>
  <si>
    <t xml:space="preserve">6017 N Forest Glen Ave </t>
  </si>
  <si>
    <t xml:space="preserve">960 White Ave </t>
  </si>
  <si>
    <t>Morse</t>
  </si>
  <si>
    <t>Annabella</t>
  </si>
  <si>
    <t xml:space="preserve">97 Brimstone Cor </t>
  </si>
  <si>
    <t>Antrim</t>
  </si>
  <si>
    <t>Frandson</t>
  </si>
  <si>
    <t xml:space="preserve">16917 Bellota Dr </t>
  </si>
  <si>
    <t>Fenstermaker</t>
  </si>
  <si>
    <t xml:space="preserve">327 Daleville Hwy </t>
  </si>
  <si>
    <t>Covington Township</t>
  </si>
  <si>
    <t>Wendi</t>
  </si>
  <si>
    <t xml:space="preserve">50 Glendale Rd </t>
  </si>
  <si>
    <t>Ossining</t>
  </si>
  <si>
    <t>Freibergs</t>
  </si>
  <si>
    <t xml:space="preserve">484 Mariposa Ave Apt A </t>
  </si>
  <si>
    <t xml:space="preserve">9019 Vistas Dr NE </t>
  </si>
  <si>
    <t>Ralphe</t>
  </si>
  <si>
    <t xml:space="preserve">26 Vernon Ln </t>
  </si>
  <si>
    <t>Rose Valley</t>
  </si>
  <si>
    <t>Ruthsdottir</t>
  </si>
  <si>
    <t xml:space="preserve">29 School St </t>
  </si>
  <si>
    <t>Burtis</t>
  </si>
  <si>
    <t xml:space="preserve">103 Jasmine Ln </t>
  </si>
  <si>
    <t>Calistoga</t>
  </si>
  <si>
    <t xml:space="preserve">1633 Stonington Cir </t>
  </si>
  <si>
    <t>Van Horne</t>
  </si>
  <si>
    <t xml:space="preserve">1571 Piikoi St Apt 1706 </t>
  </si>
  <si>
    <t xml:space="preserve">829 S Winton Rd S </t>
  </si>
  <si>
    <t>Terwilliger</t>
  </si>
  <si>
    <t xml:space="preserve">2369 Newton Ransom Blvd </t>
  </si>
  <si>
    <t>Clarks Summit</t>
  </si>
  <si>
    <t>Voves</t>
  </si>
  <si>
    <t xml:space="preserve">13231 Mountain Pl </t>
  </si>
  <si>
    <t>Selby</t>
  </si>
  <si>
    <t xml:space="preserve">1370 Townview Ave Apt 304 </t>
  </si>
  <si>
    <t>Meadow</t>
  </si>
  <si>
    <t>Rhea</t>
  </si>
  <si>
    <t xml:space="preserve">404 Main St </t>
  </si>
  <si>
    <t>Reed Plt</t>
  </si>
  <si>
    <t>Luhrs</t>
  </si>
  <si>
    <t xml:space="preserve">52 Peru St </t>
  </si>
  <si>
    <t>Sayles</t>
  </si>
  <si>
    <t xml:space="preserve">1262 N Vankal St </t>
  </si>
  <si>
    <t>Kalamazoo</t>
  </si>
  <si>
    <t xml:space="preserve">267 W Funderburg Rd </t>
  </si>
  <si>
    <t>Fairborn</t>
  </si>
  <si>
    <t xml:space="preserve">211 Southway </t>
  </si>
  <si>
    <t xml:space="preserve">1807 Kansas St </t>
  </si>
  <si>
    <t>Baytown</t>
  </si>
  <si>
    <t>Peck</t>
  </si>
  <si>
    <t xml:space="preserve">829 E Simpson Ave </t>
  </si>
  <si>
    <t>Konopa</t>
  </si>
  <si>
    <t xml:space="preserve">60 Mann St </t>
  </si>
  <si>
    <t xml:space="preserve">2162 Naomi Pl </t>
  </si>
  <si>
    <t>Loftis</t>
  </si>
  <si>
    <t xml:space="preserve">1210 Vickers Ave </t>
  </si>
  <si>
    <t>Baumer</t>
  </si>
  <si>
    <t xml:space="preserve">1280 Onondaga Rd </t>
  </si>
  <si>
    <t>Eaton Rapids</t>
  </si>
  <si>
    <t>Clough</t>
  </si>
  <si>
    <t xml:space="preserve">7504 E Indianapolis St </t>
  </si>
  <si>
    <t xml:space="preserve">2406 Rivendell Ln </t>
  </si>
  <si>
    <t>L.D.</t>
  </si>
  <si>
    <t xml:space="preserve">4040 Verdant St </t>
  </si>
  <si>
    <t xml:space="preserve">617 Katlian St Unit A7 </t>
  </si>
  <si>
    <t>Munitz</t>
  </si>
  <si>
    <t xml:space="preserve">507 Euclid St </t>
  </si>
  <si>
    <t xml:space="preserve">3712 Country Club Dr Apt C </t>
  </si>
  <si>
    <t>Lazarz</t>
  </si>
  <si>
    <t xml:space="preserve">8 Old Meetinghouse Rd </t>
  </si>
  <si>
    <t>Trunnell</t>
  </si>
  <si>
    <t xml:space="preserve">835 Melton Rd </t>
  </si>
  <si>
    <t>Avagliano</t>
  </si>
  <si>
    <t xml:space="preserve">14 Meadow Ct </t>
  </si>
  <si>
    <t>Dunaj</t>
  </si>
  <si>
    <t xml:space="preserve">PO Box 369 </t>
  </si>
  <si>
    <t>Old Lyme</t>
  </si>
  <si>
    <t>Capowich</t>
  </si>
  <si>
    <t xml:space="preserve">1806 Sweet Apple Cir </t>
  </si>
  <si>
    <t>Alpharetta</t>
  </si>
  <si>
    <t>Wasielewski</t>
  </si>
  <si>
    <t xml:space="preserve">2000 N Court St </t>
  </si>
  <si>
    <t>Standeford</t>
  </si>
  <si>
    <t>46224-5507</t>
  </si>
  <si>
    <t>Tochterman</t>
  </si>
  <si>
    <t xml:space="preserve">74 Nims Rd </t>
  </si>
  <si>
    <t>03431-5500</t>
  </si>
  <si>
    <t>Oaks</t>
  </si>
  <si>
    <t xml:space="preserve">1403 Little Marrowbone Rd </t>
  </si>
  <si>
    <t>37015-4021</t>
  </si>
  <si>
    <t>Fernald</t>
  </si>
  <si>
    <t xml:space="preserve">20 High St </t>
  </si>
  <si>
    <t>East Millinocket</t>
  </si>
  <si>
    <t>04430-1219</t>
  </si>
  <si>
    <t xml:space="preserve">1207 Myrtle St </t>
  </si>
  <si>
    <t>95380-4933</t>
  </si>
  <si>
    <t>Len</t>
  </si>
  <si>
    <t xml:space="preserve">600 S State St Apt 408 </t>
  </si>
  <si>
    <t>98225-6147</t>
  </si>
  <si>
    <t>Moser</t>
  </si>
  <si>
    <t xml:space="preserve">659 Mayrum St </t>
  </si>
  <si>
    <t>93111-2718</t>
  </si>
  <si>
    <t>Emerick</t>
  </si>
  <si>
    <t xml:space="preserve">221 NW 9th St </t>
  </si>
  <si>
    <t xml:space="preserve">13425 W Elm Rd </t>
  </si>
  <si>
    <t>Lake Bluff</t>
  </si>
  <si>
    <t>Hess</t>
  </si>
  <si>
    <t xml:space="preserve">631 SW 51st Rd </t>
  </si>
  <si>
    <t>Cutolo</t>
  </si>
  <si>
    <t>Earline</t>
  </si>
  <si>
    <t xml:space="preserve">2 Amsterdam Ct </t>
  </si>
  <si>
    <t>Colts Neck</t>
  </si>
  <si>
    <t xml:space="preserve">7106 98th Ave Unit C </t>
  </si>
  <si>
    <t>Kenosha</t>
  </si>
  <si>
    <t>McHugh</t>
  </si>
  <si>
    <t xml:space="preserve">14 Blachford Ct </t>
  </si>
  <si>
    <t>Peters Martin</t>
  </si>
  <si>
    <t xml:space="preserve">6832 River Road Pike </t>
  </si>
  <si>
    <t xml:space="preserve">242 Kenmore Ave </t>
  </si>
  <si>
    <t>Deerfield</t>
  </si>
  <si>
    <t xml:space="preserve">ALDEN Ave </t>
  </si>
  <si>
    <t>Sledge</t>
  </si>
  <si>
    <t xml:space="preserve">287 Chris Dr </t>
  </si>
  <si>
    <t>Rockwall</t>
  </si>
  <si>
    <t>Riskin</t>
  </si>
  <si>
    <t>Fiona</t>
  </si>
  <si>
    <t xml:space="preserve">3675 Wasatch Ave </t>
  </si>
  <si>
    <t>Nesto</t>
  </si>
  <si>
    <t xml:space="preserve">1400 Morrow Rd </t>
  </si>
  <si>
    <t>Cora</t>
  </si>
  <si>
    <t xml:space="preserve">9514 W Hidden Valley Cir </t>
  </si>
  <si>
    <t>Sun City</t>
  </si>
  <si>
    <t>Daniela</t>
  </si>
  <si>
    <t xml:space="preserve">132 Cavalry Dr </t>
  </si>
  <si>
    <t>Grabowski</t>
  </si>
  <si>
    <t>Leon</t>
  </si>
  <si>
    <t xml:space="preserve">12200 E State Route 69 Lot 235 </t>
  </si>
  <si>
    <t>Dewey</t>
  </si>
  <si>
    <t>Cruz</t>
  </si>
  <si>
    <t xml:space="preserve">3460 R St Unit 402 </t>
  </si>
  <si>
    <t>Merced</t>
  </si>
  <si>
    <t>Hafiz</t>
  </si>
  <si>
    <t>Muhammad</t>
  </si>
  <si>
    <t xml:space="preserve">BEDOK RESERVOIR ROAD BLK # 7-4682 </t>
  </si>
  <si>
    <t>Singapore</t>
  </si>
  <si>
    <t>Rosen</t>
  </si>
  <si>
    <t xml:space="preserve">333 W 86th St </t>
  </si>
  <si>
    <t>Vinson</t>
  </si>
  <si>
    <t xml:space="preserve">264 Euclid Ave </t>
  </si>
  <si>
    <t>Kenmore</t>
  </si>
  <si>
    <t>Liu</t>
  </si>
  <si>
    <t xml:space="preserve">117 Saint Botolph St Apt 2 </t>
  </si>
  <si>
    <t>Robidoux</t>
  </si>
  <si>
    <t>Summer</t>
  </si>
  <si>
    <t xml:space="preserve">4275 Promontory Ct </t>
  </si>
  <si>
    <t>Vega</t>
  </si>
  <si>
    <t xml:space="preserve">14 47TH Ave </t>
  </si>
  <si>
    <t>Whitson</t>
  </si>
  <si>
    <t xml:space="preserve">1650 Spruce St </t>
  </si>
  <si>
    <t xml:space="preserve">47008 La Duke Rd </t>
  </si>
  <si>
    <t>Westfir</t>
  </si>
  <si>
    <t xml:space="preserve">110 Wellborn Chase </t>
  </si>
  <si>
    <t xml:space="preserve">RR 1 </t>
  </si>
  <si>
    <t>Hardin</t>
  </si>
  <si>
    <t>Mann</t>
  </si>
  <si>
    <t xml:space="preserve">7801 Suthard Dr </t>
  </si>
  <si>
    <t>Derwood</t>
  </si>
  <si>
    <t>Hitchcock</t>
  </si>
  <si>
    <t xml:space="preserve">1464 Green Acres Rd </t>
  </si>
  <si>
    <t>Hiddle</t>
  </si>
  <si>
    <t xml:space="preserve">2500 Casa Alegre </t>
  </si>
  <si>
    <t>Altus</t>
  </si>
  <si>
    <t>Lazor</t>
  </si>
  <si>
    <t xml:space="preserve">543 Lansdale Pl </t>
  </si>
  <si>
    <t xml:space="preserve">125 Edmond St </t>
  </si>
  <si>
    <t xml:space="preserve">90029 Spires Ln </t>
  </si>
  <si>
    <t>Dickerman</t>
  </si>
  <si>
    <t xml:space="preserve">710 Poplar Creek Rd </t>
  </si>
  <si>
    <t>McMahan</t>
  </si>
  <si>
    <t>Alexa</t>
  </si>
  <si>
    <t xml:space="preserve">4892 Maui Cir </t>
  </si>
  <si>
    <t xml:space="preserve">114 Cutler Rd </t>
  </si>
  <si>
    <t>Desimone</t>
  </si>
  <si>
    <t xml:space="preserve">16920 Birkdale Commons Pkwy Apt E </t>
  </si>
  <si>
    <t>Rittling</t>
  </si>
  <si>
    <t>Apryl</t>
  </si>
  <si>
    <t xml:space="preserve">5646 Scherff Rd </t>
  </si>
  <si>
    <t>Beckman</t>
  </si>
  <si>
    <t xml:space="preserve">9007 Bindley Mounts Rd </t>
  </si>
  <si>
    <t>Blanchester</t>
  </si>
  <si>
    <t xml:space="preserve">1929 E Las Tunas Rd </t>
  </si>
  <si>
    <t>Bike</t>
  </si>
  <si>
    <t xml:space="preserve">6606 E Valle Di Cadore </t>
  </si>
  <si>
    <t xml:space="preserve">2374 Ledgewood Dr </t>
  </si>
  <si>
    <t>Schlesinger</t>
  </si>
  <si>
    <t xml:space="preserve">854 N La Jolla Ave </t>
  </si>
  <si>
    <t>Rj</t>
  </si>
  <si>
    <t>Bartleman</t>
  </si>
  <si>
    <t xml:space="preserve">1984 Del Mar Ave </t>
  </si>
  <si>
    <t>Ashtabula</t>
  </si>
  <si>
    <t>Turchan</t>
  </si>
  <si>
    <t xml:space="preserve">18 Concord Dr </t>
  </si>
  <si>
    <t xml:space="preserve">9018 NE 195th St </t>
  </si>
  <si>
    <t>Rueli</t>
  </si>
  <si>
    <t xml:space="preserve">637 8th Ave </t>
  </si>
  <si>
    <t>Barham</t>
  </si>
  <si>
    <t xml:space="preserve">20 Church St </t>
  </si>
  <si>
    <t>Greenwich</t>
  </si>
  <si>
    <t>Yvette</t>
  </si>
  <si>
    <t xml:space="preserve">206 Longs Peak Ave </t>
  </si>
  <si>
    <t>Takush</t>
  </si>
  <si>
    <t>Kathie E</t>
  </si>
  <si>
    <t xml:space="preserve">1026 Franklin St Apt 1206 </t>
  </si>
  <si>
    <t xml:space="preserve">1467 Siskiyou Blvd # 154 </t>
  </si>
  <si>
    <t>Shapiro</t>
  </si>
  <si>
    <t xml:space="preserve">925 Greenleaf Ave </t>
  </si>
  <si>
    <t>Antonia</t>
  </si>
  <si>
    <t xml:space="preserve">PO Box 777 </t>
  </si>
  <si>
    <t>Rainier</t>
  </si>
  <si>
    <t xml:space="preserve">2661 Highlands Dr </t>
  </si>
  <si>
    <t>Reedsport</t>
  </si>
  <si>
    <t>Bieber</t>
  </si>
  <si>
    <t xml:space="preserve">5710 Center St </t>
  </si>
  <si>
    <t>Kerrigan</t>
  </si>
  <si>
    <t xml:space="preserve">460 Old Reservoir Rd </t>
  </si>
  <si>
    <t>Berea</t>
  </si>
  <si>
    <t>Kirstin</t>
  </si>
  <si>
    <t xml:space="preserve">6335 Waipouli Rd Unit B </t>
  </si>
  <si>
    <t>Crites</t>
  </si>
  <si>
    <t>Vici</t>
  </si>
  <si>
    <t xml:space="preserve">1620 Dundee Way </t>
  </si>
  <si>
    <t xml:space="preserve">3222 Hollywood Dr NE </t>
  </si>
  <si>
    <t>Lillard</t>
  </si>
  <si>
    <t>Renee</t>
  </si>
  <si>
    <t xml:space="preserve">40 W800 Bowes Bend Dr </t>
  </si>
  <si>
    <t>Siens</t>
  </si>
  <si>
    <t xml:space="preserve">51 Libby Hill Rd </t>
  </si>
  <si>
    <t>Unity</t>
  </si>
  <si>
    <t>Sheryl</t>
  </si>
  <si>
    <t xml:space="preserve">564 Sugarloaf Rd </t>
  </si>
  <si>
    <t>Greenway</t>
  </si>
  <si>
    <t>Lumina</t>
  </si>
  <si>
    <t xml:space="preserve">17 Camden Ct </t>
  </si>
  <si>
    <t>Nillissen</t>
  </si>
  <si>
    <t xml:space="preserve">3143 Texas Ave </t>
  </si>
  <si>
    <t xml:space="preserve">1120 3/4 Hacienda Pl </t>
  </si>
  <si>
    <t xml:space="preserve">PO Box 706 </t>
  </si>
  <si>
    <t>Pelc</t>
  </si>
  <si>
    <t xml:space="preserve">525 29th St </t>
  </si>
  <si>
    <t>Delcore</t>
  </si>
  <si>
    <t xml:space="preserve">1 Deer Run Cir </t>
  </si>
  <si>
    <t>Barco</t>
  </si>
  <si>
    <t xml:space="preserve">1861 NW 37th Ave </t>
  </si>
  <si>
    <t>Fariborzian</t>
  </si>
  <si>
    <t xml:space="preserve">14462 41st Ave </t>
  </si>
  <si>
    <t xml:space="preserve">4 Garden St </t>
  </si>
  <si>
    <t xml:space="preserve">17134 Woodson View Ln </t>
  </si>
  <si>
    <t>Jablin</t>
  </si>
  <si>
    <t xml:space="preserve">3938 El Camino Rd </t>
  </si>
  <si>
    <t xml:space="preserve">5719 Briceland Thorn Rd </t>
  </si>
  <si>
    <t>French Belanger</t>
  </si>
  <si>
    <t xml:space="preserve">120 E 83rd St Apt 3D </t>
  </si>
  <si>
    <t xml:space="preserve">43 Beach Ave </t>
  </si>
  <si>
    <t>Zarah</t>
  </si>
  <si>
    <t xml:space="preserve">2638 Adams Ave </t>
  </si>
  <si>
    <t xml:space="preserve">183 New York Ave </t>
  </si>
  <si>
    <t>Larry T</t>
  </si>
  <si>
    <t xml:space="preserve">4915 Watercress Dr NE </t>
  </si>
  <si>
    <t>Pulvirenti</t>
  </si>
  <si>
    <t>Liliana</t>
  </si>
  <si>
    <t xml:space="preserve">1639 Winding Brook Way </t>
  </si>
  <si>
    <t>Hollinger</t>
  </si>
  <si>
    <t xml:space="preserve">606 Valle Vista Ave </t>
  </si>
  <si>
    <t>Slawson</t>
  </si>
  <si>
    <t xml:space="preserve">41 Loft Dr </t>
  </si>
  <si>
    <t>Martinsville</t>
  </si>
  <si>
    <t>Zastenik</t>
  </si>
  <si>
    <t xml:space="preserve">7994 Steeplechase Ct </t>
  </si>
  <si>
    <t>Main</t>
  </si>
  <si>
    <t xml:space="preserve">227 Highland Ter </t>
  </si>
  <si>
    <t>Farley</t>
  </si>
  <si>
    <t>Chanda</t>
  </si>
  <si>
    <t xml:space="preserve">117 Ford St </t>
  </si>
  <si>
    <t>Paduch</t>
  </si>
  <si>
    <t xml:space="preserve">4 Read Ave </t>
  </si>
  <si>
    <t>Kleckler</t>
  </si>
  <si>
    <t xml:space="preserve">309 W 10th St </t>
  </si>
  <si>
    <t>Bolles</t>
  </si>
  <si>
    <t xml:space="preserve">41 Cole St </t>
  </si>
  <si>
    <t>Zeuner</t>
  </si>
  <si>
    <t xml:space="preserve">287 Messina Ave </t>
  </si>
  <si>
    <t>Hammonton</t>
  </si>
  <si>
    <t>Saltman</t>
  </si>
  <si>
    <t xml:space="preserve">6 Fairchild Cir </t>
  </si>
  <si>
    <t>Trumbull</t>
  </si>
  <si>
    <t xml:space="preserve">4622 Schwartz Ave </t>
  </si>
  <si>
    <t>Lisle</t>
  </si>
  <si>
    <t xml:space="preserve">2115 Dale Evans Way </t>
  </si>
  <si>
    <t>Kingman</t>
  </si>
  <si>
    <t xml:space="preserve">1163 Red Tail Hawk Ct Unit 1 </t>
  </si>
  <si>
    <t xml:space="preserve">2475 Milton Hills Dr </t>
  </si>
  <si>
    <t>Rosenblood</t>
  </si>
  <si>
    <t xml:space="preserve">12235 Gorham Ave </t>
  </si>
  <si>
    <t>Griffis</t>
  </si>
  <si>
    <t>Fritzi</t>
  </si>
  <si>
    <t xml:space="preserve">6922 E 4th St </t>
  </si>
  <si>
    <t xml:space="preserve">137 Winchester Dr </t>
  </si>
  <si>
    <t>Lavin</t>
  </si>
  <si>
    <t xml:space="preserve">PO Box 251 </t>
  </si>
  <si>
    <t>Knife River</t>
  </si>
  <si>
    <t>Fusco</t>
  </si>
  <si>
    <t xml:space="preserve">50 Del Mar Ave </t>
  </si>
  <si>
    <t xml:space="preserve">5704 70th St NE </t>
  </si>
  <si>
    <t>Marysville</t>
  </si>
  <si>
    <t>Jacquie</t>
  </si>
  <si>
    <t xml:space="preserve">4843 Stately Oaks Ct </t>
  </si>
  <si>
    <t>Powder Springs</t>
  </si>
  <si>
    <t xml:space="preserve">1212 Emeraldport St </t>
  </si>
  <si>
    <t xml:space="preserve">1632 Bracken Rd </t>
  </si>
  <si>
    <t xml:space="preserve">4828 Blue Spruce Rd </t>
  </si>
  <si>
    <t>Watts</t>
  </si>
  <si>
    <t xml:space="preserve">1265 Clarence </t>
  </si>
  <si>
    <t>Pinckney</t>
  </si>
  <si>
    <t>Bullock</t>
  </si>
  <si>
    <t xml:space="preserve">77 Benson St </t>
  </si>
  <si>
    <t>Wasilewski</t>
  </si>
  <si>
    <t xml:space="preserve">129 Hale View Cir </t>
  </si>
  <si>
    <t>Quail</t>
  </si>
  <si>
    <t xml:space="preserve">1050 Lake Blvd </t>
  </si>
  <si>
    <t>Gilardin</t>
  </si>
  <si>
    <t xml:space="preserve">PO Box 44 </t>
  </si>
  <si>
    <t>Calpella</t>
  </si>
  <si>
    <t>Griggs</t>
  </si>
  <si>
    <t xml:space="preserve">814 W B St </t>
  </si>
  <si>
    <t>Kannapolis</t>
  </si>
  <si>
    <t xml:space="preserve">6836 Betts Ave </t>
  </si>
  <si>
    <t>Thoma</t>
  </si>
  <si>
    <t xml:space="preserve">N6722 County Road G </t>
  </si>
  <si>
    <t>Neillsville</t>
  </si>
  <si>
    <t>Hannon</t>
  </si>
  <si>
    <t xml:space="preserve">23 Schenck Ave Apt 2CD </t>
  </si>
  <si>
    <t xml:space="preserve">14 Winsor Ct </t>
  </si>
  <si>
    <t>Sayreville</t>
  </si>
  <si>
    <t xml:space="preserve">30 Ironia Rd </t>
  </si>
  <si>
    <t>Flanders</t>
  </si>
  <si>
    <t xml:space="preserve">4027 Braesgate Ln </t>
  </si>
  <si>
    <t>Ridgeway</t>
  </si>
  <si>
    <t>Karina</t>
  </si>
  <si>
    <t xml:space="preserve">19 Pecos Pl </t>
  </si>
  <si>
    <t>Wake Village</t>
  </si>
  <si>
    <t>Rubietta</t>
  </si>
  <si>
    <t xml:space="preserve">403 Grant Pl </t>
  </si>
  <si>
    <t>Brook</t>
  </si>
  <si>
    <t xml:space="preserve">14 Longridge Ln </t>
  </si>
  <si>
    <t>Glen Head</t>
  </si>
  <si>
    <t xml:space="preserve">500 Audubon Dr </t>
  </si>
  <si>
    <t>Oriental</t>
  </si>
  <si>
    <t xml:space="preserve">871 Cady Hill Rd </t>
  </si>
  <si>
    <t>Garitty</t>
  </si>
  <si>
    <t xml:space="preserve">13088 Vista Knls </t>
  </si>
  <si>
    <t xml:space="preserve">4707 Willow Creek Ln </t>
  </si>
  <si>
    <t xml:space="preserve">2 Tudor City Pl Apt 8GN </t>
  </si>
  <si>
    <t xml:space="preserve">738 Monroe Dr NE Apt 7 </t>
  </si>
  <si>
    <t xml:space="preserve">820 Sunrise Dr </t>
  </si>
  <si>
    <t>Garner</t>
  </si>
  <si>
    <t>Breeden</t>
  </si>
  <si>
    <t xml:space="preserve">19 Willow Brook Ln </t>
  </si>
  <si>
    <t xml:space="preserve">11376 Red Cedar Way </t>
  </si>
  <si>
    <t>Heaston</t>
  </si>
  <si>
    <t xml:space="preserve">10820 S Eberhart Ave </t>
  </si>
  <si>
    <t>Nesbitt</t>
  </si>
  <si>
    <t>Jocelyn</t>
  </si>
  <si>
    <t xml:space="preserve">4649 Howard Ave </t>
  </si>
  <si>
    <t xml:space="preserve">44 Rogers Ln </t>
  </si>
  <si>
    <t>McCall</t>
  </si>
  <si>
    <t xml:space="preserve">309 Lamar Ave </t>
  </si>
  <si>
    <t>Durland</t>
  </si>
  <si>
    <t xml:space="preserve">4719 Quail Creek Ln </t>
  </si>
  <si>
    <t xml:space="preserve">2935 Husking Peg Ln </t>
  </si>
  <si>
    <t>Vannostrand</t>
  </si>
  <si>
    <t>Montie</t>
  </si>
  <si>
    <t xml:space="preserve">PO Box 111 </t>
  </si>
  <si>
    <t>Hacker Valley</t>
  </si>
  <si>
    <t xml:space="preserve">44507 Manitou Dr </t>
  </si>
  <si>
    <t>Clinton Township</t>
  </si>
  <si>
    <t>Girardin</t>
  </si>
  <si>
    <t>Josephine</t>
  </si>
  <si>
    <t xml:space="preserve">27 Reilly St </t>
  </si>
  <si>
    <t xml:space="preserve">4811 Binney St </t>
  </si>
  <si>
    <t xml:space="preserve">191 S 200 E </t>
  </si>
  <si>
    <t>Moab</t>
  </si>
  <si>
    <t>Willhoft</t>
  </si>
  <si>
    <t xml:space="preserve">12903 Centralia </t>
  </si>
  <si>
    <t>Redford</t>
  </si>
  <si>
    <t>Silversmith</t>
  </si>
  <si>
    <t xml:space="preserve">260 New Mark Esplanade </t>
  </si>
  <si>
    <t>Teal</t>
  </si>
  <si>
    <t xml:space="preserve">1618 College St </t>
  </si>
  <si>
    <t>Lipps</t>
  </si>
  <si>
    <t xml:space="preserve">96 Brookshire Creek Dr </t>
  </si>
  <si>
    <t>Balaban</t>
  </si>
  <si>
    <t xml:space="preserve">204 Lockerbie Ln </t>
  </si>
  <si>
    <t xml:space="preserve">408 Beacon St </t>
  </si>
  <si>
    <t>Loe</t>
  </si>
  <si>
    <t xml:space="preserve">13516 Tufts Ct </t>
  </si>
  <si>
    <t>Pettiford</t>
  </si>
  <si>
    <t xml:space="preserve">4355 Ragged Ridge Rd </t>
  </si>
  <si>
    <t>Cassel</t>
  </si>
  <si>
    <t xml:space="preserve">2 Mayfair Ln Apt 303 </t>
  </si>
  <si>
    <t>Mitchell-Shihabi</t>
  </si>
  <si>
    <t xml:space="preserve">8346 Clear Corrie Ct </t>
  </si>
  <si>
    <t>Antelope</t>
  </si>
  <si>
    <t>Vinikoff</t>
  </si>
  <si>
    <t>Jerald</t>
  </si>
  <si>
    <t xml:space="preserve">PO Box 288 </t>
  </si>
  <si>
    <t xml:space="preserve">5359 Bindewald Rd </t>
  </si>
  <si>
    <t xml:space="preserve">10506 Berthound Dr </t>
  </si>
  <si>
    <t xml:space="preserve">459 McMahen St </t>
  </si>
  <si>
    <t xml:space="preserve">29 Van Buren Ave </t>
  </si>
  <si>
    <t>Friddell</t>
  </si>
  <si>
    <t xml:space="preserve">4407 Park Ave </t>
  </si>
  <si>
    <t xml:space="preserve">25635 Grand Concourse St </t>
  </si>
  <si>
    <t>Southfield</t>
  </si>
  <si>
    <t>Valdez</t>
  </si>
  <si>
    <t>Tullin</t>
  </si>
  <si>
    <t xml:space="preserve">10104 Jeffery Pine Rd </t>
  </si>
  <si>
    <t>Truckee</t>
  </si>
  <si>
    <t xml:space="preserve">4165 Porte De Palmas Unit 195 </t>
  </si>
  <si>
    <t xml:space="preserve">2924 Arden Way </t>
  </si>
  <si>
    <t xml:space="preserve">253 Savin Hill Ave </t>
  </si>
  <si>
    <t>Dorchester</t>
  </si>
  <si>
    <t xml:space="preserve">17667 Grant St </t>
  </si>
  <si>
    <t xml:space="preserve">507 Highland Grove Dr </t>
  </si>
  <si>
    <t>Buffalo Grove</t>
  </si>
  <si>
    <t>Edmondson</t>
  </si>
  <si>
    <t xml:space="preserve">10706 Wyld Dr </t>
  </si>
  <si>
    <t>Upper Marlboro</t>
  </si>
  <si>
    <t>Midkiff</t>
  </si>
  <si>
    <t xml:space="preserve">4151 Nuuanu Pali Dr </t>
  </si>
  <si>
    <t xml:space="preserve">3654 Lois Dr </t>
  </si>
  <si>
    <t>Hood River</t>
  </si>
  <si>
    <t>Younger</t>
  </si>
  <si>
    <t xml:space="preserve">4831 Lyric Ln </t>
  </si>
  <si>
    <t>Loschiavo</t>
  </si>
  <si>
    <t xml:space="preserve">727 Coralberry Ln </t>
  </si>
  <si>
    <t>Day</t>
  </si>
  <si>
    <t xml:space="preserve">4981 SE Rainbow Ln </t>
  </si>
  <si>
    <t>Donnay</t>
  </si>
  <si>
    <t xml:space="preserve">1032 Ironsides Ave </t>
  </si>
  <si>
    <t>Melbourne</t>
  </si>
  <si>
    <t>Yerardi</t>
  </si>
  <si>
    <t xml:space="preserve">89 Thomas St </t>
  </si>
  <si>
    <t xml:space="preserve">26 Scott Dr </t>
  </si>
  <si>
    <t xml:space="preserve">RR 1 Box 9090 </t>
  </si>
  <si>
    <t>Talihina</t>
  </si>
  <si>
    <t>Conner</t>
  </si>
  <si>
    <t xml:space="preserve">75 Fulton St </t>
  </si>
  <si>
    <t xml:space="preserve">96 Jefferson Ave </t>
  </si>
  <si>
    <t>Gaegler</t>
  </si>
  <si>
    <t xml:space="preserve">3148 Plyers Mill Rd </t>
  </si>
  <si>
    <t>Needham</t>
  </si>
  <si>
    <t xml:space="preserve">5 Manor Pl </t>
  </si>
  <si>
    <t>Giddings</t>
  </si>
  <si>
    <t xml:space="preserve">1625 9th St </t>
  </si>
  <si>
    <t xml:space="preserve">1266 Northfield Rd </t>
  </si>
  <si>
    <t>Stuehler</t>
  </si>
  <si>
    <t xml:space="preserve">12777 Red Rock Rd </t>
  </si>
  <si>
    <t>Silvey</t>
  </si>
  <si>
    <t xml:space="preserve">1567 Ashwood Dr </t>
  </si>
  <si>
    <t>Townill</t>
  </si>
  <si>
    <t xml:space="preserve">24037 W Oak St </t>
  </si>
  <si>
    <t xml:space="preserve">11846 Adams St </t>
  </si>
  <si>
    <t xml:space="preserve">3006 Baronian Ct </t>
  </si>
  <si>
    <t>Pine</t>
  </si>
  <si>
    <t xml:space="preserve">50 7th Ave </t>
  </si>
  <si>
    <t>Sea Cliff</t>
  </si>
  <si>
    <t xml:space="preserve">3002 N 28th St </t>
  </si>
  <si>
    <t>Kiesewetter</t>
  </si>
  <si>
    <t>Trudy</t>
  </si>
  <si>
    <t xml:space="preserve">3414 N 31st St </t>
  </si>
  <si>
    <t xml:space="preserve">2653 Northridge Ct </t>
  </si>
  <si>
    <t xml:space="preserve">7517 N 40th St Apt F204 </t>
  </si>
  <si>
    <t>Hossa</t>
  </si>
  <si>
    <t xml:space="preserve">17317 Winnipeg Cir </t>
  </si>
  <si>
    <t>Charlebois</t>
  </si>
  <si>
    <t>Stacie</t>
  </si>
  <si>
    <t xml:space="preserve">701 Grandview Rd </t>
  </si>
  <si>
    <t>Kronquist</t>
  </si>
  <si>
    <t xml:space="preserve">832 Gilchrist Dr Apt 2 </t>
  </si>
  <si>
    <t>Tittle</t>
  </si>
  <si>
    <t>James.    Yvonne</t>
  </si>
  <si>
    <t xml:space="preserve">2075 Wallace Ave </t>
  </si>
  <si>
    <t>Fall</t>
  </si>
  <si>
    <t xml:space="preserve">106 Uxbridge </t>
  </si>
  <si>
    <t>Hennelly</t>
  </si>
  <si>
    <t xml:space="preserve">3931 Edenhurst Ave </t>
  </si>
  <si>
    <t>Milito</t>
  </si>
  <si>
    <t xml:space="preserve">11234 Aqua Vista St </t>
  </si>
  <si>
    <t>Studio City</t>
  </si>
  <si>
    <t>Wahl</t>
  </si>
  <si>
    <t xml:space="preserve">315 Waterside Rd M Wahl NY11768 </t>
  </si>
  <si>
    <t>Jorgensen</t>
  </si>
  <si>
    <t>Janette</t>
  </si>
  <si>
    <t xml:space="preserve">26 Drew Rd </t>
  </si>
  <si>
    <t>Richford</t>
  </si>
  <si>
    <t xml:space="preserve">498 Inverway </t>
  </si>
  <si>
    <t xml:space="preserve">10275 County Road 27 SW </t>
  </si>
  <si>
    <t>Farwell</t>
  </si>
  <si>
    <t>Bremmer</t>
  </si>
  <si>
    <t xml:space="preserve">8 Springhouse Rd </t>
  </si>
  <si>
    <t>Taggart</t>
  </si>
  <si>
    <t xml:space="preserve">1705 Valparaiso Ave </t>
  </si>
  <si>
    <t>Yoder</t>
  </si>
  <si>
    <t xml:space="preserve">337 Velva Dr </t>
  </si>
  <si>
    <t>Finitzer</t>
  </si>
  <si>
    <t xml:space="preserve">5888 Kings Hwy </t>
  </si>
  <si>
    <t>Parma Heights</t>
  </si>
  <si>
    <t>Doob</t>
  </si>
  <si>
    <t xml:space="preserve">7122 Smooth Path </t>
  </si>
  <si>
    <t>MacKelvie</t>
  </si>
  <si>
    <t xml:space="preserve">1954 Palisades Dr </t>
  </si>
  <si>
    <t>Grand Chute</t>
  </si>
  <si>
    <t>Kuligowski</t>
  </si>
  <si>
    <t xml:space="preserve">25339 State Highway 99 </t>
  </si>
  <si>
    <t>Cambridge Springs</t>
  </si>
  <si>
    <t xml:space="preserve">2032 Marys Shady Ln </t>
  </si>
  <si>
    <t>McNallen</t>
  </si>
  <si>
    <t xml:space="preserve">6 Washington Pl </t>
  </si>
  <si>
    <t>Norwich</t>
  </si>
  <si>
    <t>Agro</t>
  </si>
  <si>
    <t xml:space="preserve">21 Burns Ave </t>
  </si>
  <si>
    <t xml:space="preserve">6687 Deframe Ct </t>
  </si>
  <si>
    <t>Mendys</t>
  </si>
  <si>
    <t xml:space="preserve">5 Central Sq Apt 212 </t>
  </si>
  <si>
    <t>Massa</t>
  </si>
  <si>
    <t>Martine</t>
  </si>
  <si>
    <t>Nice</t>
  </si>
  <si>
    <t>AP</t>
  </si>
  <si>
    <t xml:space="preserve">407 Centennial Ave </t>
  </si>
  <si>
    <t>Normal</t>
  </si>
  <si>
    <t xml:space="preserve">PO Box 329 </t>
  </si>
  <si>
    <t>Pioneertown</t>
  </si>
  <si>
    <t>Leong</t>
  </si>
  <si>
    <t xml:space="preserve">60 Continental Ave </t>
  </si>
  <si>
    <t>Lomas</t>
  </si>
  <si>
    <t xml:space="preserve">2290 Emerald Rd </t>
  </si>
  <si>
    <t>Carosone</t>
  </si>
  <si>
    <t xml:space="preserve">7 Lancaster Ave </t>
  </si>
  <si>
    <t>French</t>
  </si>
  <si>
    <t xml:space="preserve">1042 Atlantic City Ave </t>
  </si>
  <si>
    <t>Kraniotakis</t>
  </si>
  <si>
    <t xml:space="preserve">12406 25th Rd </t>
  </si>
  <si>
    <t>Goode</t>
  </si>
  <si>
    <t xml:space="preserve">9191 Edgemont Ln </t>
  </si>
  <si>
    <t>Kimble</t>
  </si>
  <si>
    <t xml:space="preserve">1154 Olde Cameron Ln </t>
  </si>
  <si>
    <t>Rybicki</t>
  </si>
  <si>
    <t xml:space="preserve">39 Flagg Ct </t>
  </si>
  <si>
    <t>Sommerville</t>
  </si>
  <si>
    <t xml:space="preserve">5453 Ridge St Apt H2 </t>
  </si>
  <si>
    <t>Robbi</t>
  </si>
  <si>
    <t xml:space="preserve">26332 Loch Gln </t>
  </si>
  <si>
    <t>Landkammer</t>
  </si>
  <si>
    <t xml:space="preserve">800 Lane De Chantel </t>
  </si>
  <si>
    <t>Kutz</t>
  </si>
  <si>
    <t xml:space="preserve">4822 Camino Dos Vidas </t>
  </si>
  <si>
    <t>Chai</t>
  </si>
  <si>
    <t xml:space="preserve">11222 Bloomington Dr </t>
  </si>
  <si>
    <t>Bippert-Plymate</t>
  </si>
  <si>
    <t xml:space="preserve">PO Box 3493 </t>
  </si>
  <si>
    <t>Hester</t>
  </si>
  <si>
    <t>Cawthon</t>
  </si>
  <si>
    <t xml:space="preserve">1020 Julia Cir </t>
  </si>
  <si>
    <t>Bainbridge</t>
  </si>
  <si>
    <t>Ciampi</t>
  </si>
  <si>
    <t xml:space="preserve">PO Box 587 </t>
  </si>
  <si>
    <t>Floral City</t>
  </si>
  <si>
    <t xml:space="preserve">16413 Berry Way </t>
  </si>
  <si>
    <t xml:space="preserve">PO Box 165 </t>
  </si>
  <si>
    <t>Sound Beach</t>
  </si>
  <si>
    <t>Ebershoff-Coles</t>
  </si>
  <si>
    <t>Susab</t>
  </si>
  <si>
    <t xml:space="preserve">PO Box 725 </t>
  </si>
  <si>
    <t>Goulart</t>
  </si>
  <si>
    <t xml:space="preserve">86 Rolling Ln </t>
  </si>
  <si>
    <t xml:space="preserve">25 Roberson Ln </t>
  </si>
  <si>
    <t>Louisburg</t>
  </si>
  <si>
    <t xml:space="preserve">3049 Willow Ranch Dr </t>
  </si>
  <si>
    <t>Upp</t>
  </si>
  <si>
    <t xml:space="preserve">4288 Redonda Ln </t>
  </si>
  <si>
    <t>Windrum</t>
  </si>
  <si>
    <t xml:space="preserve">160 S Gramercy Pl Apt 206 </t>
  </si>
  <si>
    <t>Hawkins</t>
  </si>
  <si>
    <t xml:space="preserve">5503 24th Ave </t>
  </si>
  <si>
    <t xml:space="preserve">4042 Cochise Ter </t>
  </si>
  <si>
    <t>Pilz</t>
  </si>
  <si>
    <t xml:space="preserve">9015 32nd Ct E </t>
  </si>
  <si>
    <t>Parrish</t>
  </si>
  <si>
    <t>Minter</t>
  </si>
  <si>
    <t xml:space="preserve">30 Forest Cir </t>
  </si>
  <si>
    <t>Kollar</t>
  </si>
  <si>
    <t xml:space="preserve">29035 Brockway Dr </t>
  </si>
  <si>
    <t xml:space="preserve">225 Linden Dr </t>
  </si>
  <si>
    <t>Pannozza</t>
  </si>
  <si>
    <t xml:space="preserve">208 Maple St </t>
  </si>
  <si>
    <t xml:space="preserve">18 Fulton Ave </t>
  </si>
  <si>
    <t>Hicksville</t>
  </si>
  <si>
    <t>Covey</t>
  </si>
  <si>
    <t xml:space="preserve">1747 Salem St </t>
  </si>
  <si>
    <t xml:space="preserve">3336 Winlock Rd </t>
  </si>
  <si>
    <t xml:space="preserve">683 Sweetwater Rd </t>
  </si>
  <si>
    <t>Gypsum</t>
  </si>
  <si>
    <t>Congdon</t>
  </si>
  <si>
    <t xml:space="preserve">PO Box 311 </t>
  </si>
  <si>
    <t xml:space="preserve">1801 Murrayhill Rd </t>
  </si>
  <si>
    <t xml:space="preserve">PO Box 1042 Apt 242D </t>
  </si>
  <si>
    <t xml:space="preserve">840 54th St # 1 </t>
  </si>
  <si>
    <t>Ordonez</t>
  </si>
  <si>
    <t xml:space="preserve">6700 S Brainard Ave Apt 205 </t>
  </si>
  <si>
    <t>Countryside</t>
  </si>
  <si>
    <t>Rogalny</t>
  </si>
  <si>
    <t xml:space="preserve">1167 Hampstead Rd </t>
  </si>
  <si>
    <t>Essexville</t>
  </si>
  <si>
    <t xml:space="preserve">3117 Collins Blvd </t>
  </si>
  <si>
    <t>Ludwick</t>
  </si>
  <si>
    <t xml:space="preserve">1009 S Madison St </t>
  </si>
  <si>
    <t>Papillion</t>
  </si>
  <si>
    <t>Varner</t>
  </si>
  <si>
    <t xml:space="preserve">2110 Teton Ave </t>
  </si>
  <si>
    <t>Lampasas</t>
  </si>
  <si>
    <t>Zakala</t>
  </si>
  <si>
    <t xml:space="preserve">10415 E Edgar Rd </t>
  </si>
  <si>
    <t>Vestaburg</t>
  </si>
  <si>
    <t>Alstad</t>
  </si>
  <si>
    <t xml:space="preserve">383 Suncrest Ave NW </t>
  </si>
  <si>
    <t>Huff</t>
  </si>
  <si>
    <t>Kristine</t>
  </si>
  <si>
    <t xml:space="preserve">132 Waite Ave </t>
  </si>
  <si>
    <t xml:space="preserve">4 E 70th St </t>
  </si>
  <si>
    <t xml:space="preserve">1923 Genoa Pl </t>
  </si>
  <si>
    <t xml:space="preserve">1127 Rand Way </t>
  </si>
  <si>
    <t>Superior</t>
  </si>
  <si>
    <t>Bettina</t>
  </si>
  <si>
    <t xml:space="preserve">121 Twinbrook Rd </t>
  </si>
  <si>
    <t>Senger Jr</t>
  </si>
  <si>
    <t xml:space="preserve">1055 County Road 500 </t>
  </si>
  <si>
    <t>Bayfield</t>
  </si>
  <si>
    <t>Wohleb</t>
  </si>
  <si>
    <t>Norah</t>
  </si>
  <si>
    <t xml:space="preserve">1737 P St </t>
  </si>
  <si>
    <t>Hochstetler</t>
  </si>
  <si>
    <t xml:space="preserve">2200 E 24th St </t>
  </si>
  <si>
    <t>Salzmann</t>
  </si>
  <si>
    <t xml:space="preserve">39529 Old Sterling Hwy </t>
  </si>
  <si>
    <t>Anchor Point</t>
  </si>
  <si>
    <t xml:space="preserve">379 Maka Hou Loop </t>
  </si>
  <si>
    <t>McDonough</t>
  </si>
  <si>
    <t xml:space="preserve">65 Highland Ave </t>
  </si>
  <si>
    <t>Otisville</t>
  </si>
  <si>
    <t xml:space="preserve">3656 S Dead Horse Mountain Rd </t>
  </si>
  <si>
    <t>Semler</t>
  </si>
  <si>
    <t>Kira</t>
  </si>
  <si>
    <t xml:space="preserve">274 W Glen Ave </t>
  </si>
  <si>
    <t>Snowberger</t>
  </si>
  <si>
    <t xml:space="preserve">354 S Taft Ct </t>
  </si>
  <si>
    <t>A.</t>
  </si>
  <si>
    <t xml:space="preserve">NORTHERN SHADOWS Ln </t>
  </si>
  <si>
    <t>Penni</t>
  </si>
  <si>
    <t xml:space="preserve">19831 Greenbriar Dr </t>
  </si>
  <si>
    <t>Marrapese</t>
  </si>
  <si>
    <t xml:space="preserve">13808 Chippewa Trl </t>
  </si>
  <si>
    <t>Middleburg Heights</t>
  </si>
  <si>
    <t>Damolaris</t>
  </si>
  <si>
    <t xml:space="preserve">1580 Fidler Ct # 2 </t>
  </si>
  <si>
    <t>Davine</t>
  </si>
  <si>
    <t xml:space="preserve">4047 La Salle Ave </t>
  </si>
  <si>
    <t>Painter</t>
  </si>
  <si>
    <t xml:space="preserve">8316 W 81st St </t>
  </si>
  <si>
    <t>Santora</t>
  </si>
  <si>
    <t xml:space="preserve">5408 Orchard Park Ct Apt 613 </t>
  </si>
  <si>
    <t>Estevez</t>
  </si>
  <si>
    <t>Nicolas</t>
  </si>
  <si>
    <t xml:space="preserve">756 Beck St </t>
  </si>
  <si>
    <t>Nam</t>
  </si>
  <si>
    <t xml:space="preserve">165 Bennett Ave Apt 4L </t>
  </si>
  <si>
    <t>De Forest</t>
  </si>
  <si>
    <t xml:space="preserve">2534 Lake St </t>
  </si>
  <si>
    <t xml:space="preserve">605 W 57th St Lot 17A </t>
  </si>
  <si>
    <t xml:space="preserve">2640 N Sheffield Ave Apt 210 </t>
  </si>
  <si>
    <t>Aarow S.</t>
  </si>
  <si>
    <t xml:space="preserve">2961 Upper Pack River Rd </t>
  </si>
  <si>
    <t>Sandpoint</t>
  </si>
  <si>
    <t xml:space="preserve">4 Oakland Ave </t>
  </si>
  <si>
    <t>Peaks Island</t>
  </si>
  <si>
    <t>Sandvig</t>
  </si>
  <si>
    <t xml:space="preserve">21727 Calhoun Rd </t>
  </si>
  <si>
    <t>Krichten</t>
  </si>
  <si>
    <t>Zebulon</t>
  </si>
  <si>
    <t xml:space="preserve">376 Kuhn Fording Rd </t>
  </si>
  <si>
    <t>Bails</t>
  </si>
  <si>
    <t xml:space="preserve">21221 Thiele Ct </t>
  </si>
  <si>
    <t>Saint Clair Shores</t>
  </si>
  <si>
    <t>Beaver</t>
  </si>
  <si>
    <t>Hollye</t>
  </si>
  <si>
    <t xml:space="preserve">803 Sharp Rock Rd </t>
  </si>
  <si>
    <t>McAlester</t>
  </si>
  <si>
    <t>Kinde</t>
  </si>
  <si>
    <t xml:space="preserve">870TH Ave </t>
  </si>
  <si>
    <t>Boyceville</t>
  </si>
  <si>
    <t>Espinosa</t>
  </si>
  <si>
    <t xml:space="preserve">1629 S Ammons St </t>
  </si>
  <si>
    <t>Bree</t>
  </si>
  <si>
    <t xml:space="preserve">2702 Cason St </t>
  </si>
  <si>
    <t>Girtz</t>
  </si>
  <si>
    <t xml:space="preserve">7759 Front St NW </t>
  </si>
  <si>
    <t>Schaff</t>
  </si>
  <si>
    <t>Emily W</t>
  </si>
  <si>
    <t xml:space="preserve">530 S Belle Vista Ave </t>
  </si>
  <si>
    <t xml:space="preserve">1700 N 20th St </t>
  </si>
  <si>
    <t>Ostempowski</t>
  </si>
  <si>
    <t xml:space="preserve">54 Impala Pkwy </t>
  </si>
  <si>
    <t xml:space="preserve">24110 Jumping Jay Ln </t>
  </si>
  <si>
    <t>Hockley</t>
  </si>
  <si>
    <t>Rosa</t>
  </si>
  <si>
    <t xml:space="preserve">74351 Santolina Dr </t>
  </si>
  <si>
    <t>Black Reid</t>
  </si>
  <si>
    <t xml:space="preserve">4505 MacArthur Blvd NW </t>
  </si>
  <si>
    <t>Marsh</t>
  </si>
  <si>
    <t xml:space="preserve">3039 W Peoria Ave Phx AZ85029 </t>
  </si>
  <si>
    <t>Boelter</t>
  </si>
  <si>
    <t xml:space="preserve">80 Sunset Ln </t>
  </si>
  <si>
    <t>Allely</t>
  </si>
  <si>
    <t xml:space="preserve">100 S 9th St </t>
  </si>
  <si>
    <t>Council Bluffs</t>
  </si>
  <si>
    <t>Dobski</t>
  </si>
  <si>
    <t>Haines Falls</t>
  </si>
  <si>
    <t>Heil</t>
  </si>
  <si>
    <t xml:space="preserve">25904 210th Ave SE </t>
  </si>
  <si>
    <t>Maple Valley</t>
  </si>
  <si>
    <t>Withers</t>
  </si>
  <si>
    <t>Lynell</t>
  </si>
  <si>
    <t xml:space="preserve">2108 E 15th St </t>
  </si>
  <si>
    <t>Russellville</t>
  </si>
  <si>
    <t xml:space="preserve">8447 Leeward Dr </t>
  </si>
  <si>
    <t xml:space="preserve">3038 Arrow Head Ln </t>
  </si>
  <si>
    <t xml:space="preserve">15 Lindy St </t>
  </si>
  <si>
    <t>Kotelko</t>
  </si>
  <si>
    <t xml:space="preserve">4531 Brighton Ave </t>
  </si>
  <si>
    <t>Konermann</t>
  </si>
  <si>
    <t xml:space="preserve">6531 Lucky Ln </t>
  </si>
  <si>
    <t>Liberty Township</t>
  </si>
  <si>
    <t>Trout</t>
  </si>
  <si>
    <t xml:space="preserve">13020 Marsh Lndg </t>
  </si>
  <si>
    <t>Camaraota</t>
  </si>
  <si>
    <t xml:space="preserve">1337 Monte Maria Ave </t>
  </si>
  <si>
    <t>Drumright</t>
  </si>
  <si>
    <t xml:space="preserve">1434 E Main St Apt 26 </t>
  </si>
  <si>
    <t>Crowther</t>
  </si>
  <si>
    <t xml:space="preserve">228 Grandview Farm Dr </t>
  </si>
  <si>
    <t>Montevallo</t>
  </si>
  <si>
    <t>Demarco</t>
  </si>
  <si>
    <t xml:space="preserve">203 Quartz Ct </t>
  </si>
  <si>
    <t>Warrington</t>
  </si>
  <si>
    <t xml:space="preserve">3912 Calle Tangara </t>
  </si>
  <si>
    <t>Schluederberg</t>
  </si>
  <si>
    <t xml:space="preserve">1100 Sunset Dr </t>
  </si>
  <si>
    <t>Schumaker</t>
  </si>
  <si>
    <t xml:space="preserve">225 Juanita Rd </t>
  </si>
  <si>
    <t>Bost</t>
  </si>
  <si>
    <t xml:space="preserve">20 Wendell St Apt 36E </t>
  </si>
  <si>
    <t>Hempstead</t>
  </si>
  <si>
    <t xml:space="preserve">106 Michigan Ave </t>
  </si>
  <si>
    <t>Sturgis</t>
  </si>
  <si>
    <t>Colman-Pinning</t>
  </si>
  <si>
    <t xml:space="preserve">3315 N Bayview Rd </t>
  </si>
  <si>
    <t>Thrall</t>
  </si>
  <si>
    <t xml:space="preserve">2812 22nd Ave </t>
  </si>
  <si>
    <t>Kurz</t>
  </si>
  <si>
    <t xml:space="preserve">11 Cameron </t>
  </si>
  <si>
    <t>Trattner</t>
  </si>
  <si>
    <t xml:space="preserve">1517 E Lowden Ave </t>
  </si>
  <si>
    <t xml:space="preserve">37306 244th Ave SE </t>
  </si>
  <si>
    <t>Christin</t>
  </si>
  <si>
    <t xml:space="preserve">12624 Remington Rd </t>
  </si>
  <si>
    <t>Apple Valley</t>
  </si>
  <si>
    <t>Hauber</t>
  </si>
  <si>
    <t>Barclay</t>
  </si>
  <si>
    <t xml:space="preserve">160 Old Pollock Rd </t>
  </si>
  <si>
    <t>Pollock</t>
  </si>
  <si>
    <t>Dickens</t>
  </si>
  <si>
    <t xml:space="preserve">653 N Althea Ave </t>
  </si>
  <si>
    <t>Hitt</t>
  </si>
  <si>
    <t xml:space="preserve">1340 Oakes St </t>
  </si>
  <si>
    <t>Marinette</t>
  </si>
  <si>
    <t>Wroblewski</t>
  </si>
  <si>
    <t xml:space="preserve">2217 Morcambe Bay Dr </t>
  </si>
  <si>
    <t>New Lenox</t>
  </si>
  <si>
    <t>Ropicki</t>
  </si>
  <si>
    <t xml:space="preserve">2015 NW 35th St </t>
  </si>
  <si>
    <t xml:space="preserve">555 W 1050 S </t>
  </si>
  <si>
    <t xml:space="preserve">177 Avenue Z </t>
  </si>
  <si>
    <t>Marilee</t>
  </si>
  <si>
    <t xml:space="preserve">126 Madrona Dr </t>
  </si>
  <si>
    <t>Friday Harbor</t>
  </si>
  <si>
    <t>Mazuji</t>
  </si>
  <si>
    <t>Nasrin</t>
  </si>
  <si>
    <t xml:space="preserve">3498 Little Hill Ln </t>
  </si>
  <si>
    <t>Ciocan</t>
  </si>
  <si>
    <t xml:space="preserve">1278 McDavid Ln NE </t>
  </si>
  <si>
    <t>Kornylak</t>
  </si>
  <si>
    <t xml:space="preserve">1432 E Bay Shore Dr </t>
  </si>
  <si>
    <t>Silvay</t>
  </si>
  <si>
    <t xml:space="preserve">4139 Rustic Rd </t>
  </si>
  <si>
    <t xml:space="preserve">1251 Greenbush Rd </t>
  </si>
  <si>
    <t xml:space="preserve">433 N 7th St </t>
  </si>
  <si>
    <t>Murphysboro</t>
  </si>
  <si>
    <t>N</t>
  </si>
  <si>
    <t xml:space="preserve">WILLOW Rd </t>
  </si>
  <si>
    <t>Sanbornton</t>
  </si>
  <si>
    <t>Hubler</t>
  </si>
  <si>
    <t xml:space="preserve">2902 Old Post Rd </t>
  </si>
  <si>
    <t>Slatington</t>
  </si>
  <si>
    <t>Caruso</t>
  </si>
  <si>
    <t xml:space="preserve">51 Tablazon Rd </t>
  </si>
  <si>
    <t>Tijeras</t>
  </si>
  <si>
    <t xml:space="preserve">2546 Helix St </t>
  </si>
  <si>
    <t xml:space="preserve">1523 NE Highmoor Ct </t>
  </si>
  <si>
    <t>Pendolino</t>
  </si>
  <si>
    <t xml:space="preserve">2269 Keim Rd </t>
  </si>
  <si>
    <t>Albistegui</t>
  </si>
  <si>
    <t xml:space="preserve">1024 Eucalyptus Ave </t>
  </si>
  <si>
    <t>Schrader</t>
  </si>
  <si>
    <t xml:space="preserve">116 Skylark Way </t>
  </si>
  <si>
    <t>Jr</t>
  </si>
  <si>
    <t xml:space="preserve">62 Brooksite Dr </t>
  </si>
  <si>
    <t xml:space="preserve">4320 S Higuera St </t>
  </si>
  <si>
    <t xml:space="preserve">2678 Currant Ct </t>
  </si>
  <si>
    <t>Greenbank</t>
  </si>
  <si>
    <t xml:space="preserve">2255 N Townline Rd </t>
  </si>
  <si>
    <t>Sandusky</t>
  </si>
  <si>
    <t>Quintana</t>
  </si>
  <si>
    <t>Pilar</t>
  </si>
  <si>
    <t xml:space="preserve">46 Lorenzo Cir </t>
  </si>
  <si>
    <t>Fair</t>
  </si>
  <si>
    <t xml:space="preserve">745 N Raymond Ave </t>
  </si>
  <si>
    <t>Theriault</t>
  </si>
  <si>
    <t xml:space="preserve">82 W Shore Dr </t>
  </si>
  <si>
    <t>Valatie</t>
  </si>
  <si>
    <t>Breaux</t>
  </si>
  <si>
    <t xml:space="preserve">406 Crawford St </t>
  </si>
  <si>
    <t xml:space="preserve">325 Rosewood Ave SE </t>
  </si>
  <si>
    <t>Showalter</t>
  </si>
  <si>
    <t xml:space="preserve">120 Evelyn Way </t>
  </si>
  <si>
    <t xml:space="preserve">N86W17042 Joss Pl </t>
  </si>
  <si>
    <t>Menomonee Falls</t>
  </si>
  <si>
    <t>Belanger-Neddo</t>
  </si>
  <si>
    <t xml:space="preserve">2234 Sylvan Ave SE </t>
  </si>
  <si>
    <t xml:space="preserve">5365 Carolina Pl </t>
  </si>
  <si>
    <t>Richey</t>
  </si>
  <si>
    <t xml:space="preserve">7410 Lake Breeze Dr Apt 508 </t>
  </si>
  <si>
    <t>Grosch</t>
  </si>
  <si>
    <t xml:space="preserve">2179 Terracina Dr </t>
  </si>
  <si>
    <t>Shoemaker</t>
  </si>
  <si>
    <t>Terrance</t>
  </si>
  <si>
    <t xml:space="preserve">6937 Hillside Way </t>
  </si>
  <si>
    <t>Perciballi</t>
  </si>
  <si>
    <t xml:space="preserve">PO Box 328 </t>
  </si>
  <si>
    <t>Augusta</t>
  </si>
  <si>
    <t>Judth</t>
  </si>
  <si>
    <t xml:space="preserve">1853 Laurel Ave </t>
  </si>
  <si>
    <t xml:space="preserve">1817 Adams St SE </t>
  </si>
  <si>
    <t xml:space="preserve">1830 S Carpenter Ln </t>
  </si>
  <si>
    <t xml:space="preserve">17234 Lost Cabin Rd </t>
  </si>
  <si>
    <t>Bayona</t>
  </si>
  <si>
    <t>Antonio</t>
  </si>
  <si>
    <t xml:space="preserve">12286 Amstater Cir </t>
  </si>
  <si>
    <t xml:space="preserve">187 Woods Dr </t>
  </si>
  <si>
    <t>Ancramdale</t>
  </si>
  <si>
    <t>Lotwala</t>
  </si>
  <si>
    <t>Harshada</t>
  </si>
  <si>
    <t xml:space="preserve">1518 Marilyn Way </t>
  </si>
  <si>
    <t>Santa Maria</t>
  </si>
  <si>
    <t>Lainoff</t>
  </si>
  <si>
    <t xml:space="preserve">35 Montauk Dr </t>
  </si>
  <si>
    <t>Cibes</t>
  </si>
  <si>
    <t xml:space="preserve">31 Woodland St Apt 12B </t>
  </si>
  <si>
    <t>Hartford</t>
  </si>
  <si>
    <t>Gove</t>
  </si>
  <si>
    <t xml:space="preserve">43 Canal Rd </t>
  </si>
  <si>
    <t>Traveler</t>
  </si>
  <si>
    <t>Calum</t>
  </si>
  <si>
    <t xml:space="preserve">764 Welch Ct </t>
  </si>
  <si>
    <t>Graves</t>
  </si>
  <si>
    <t xml:space="preserve">2613 SW Natura Ave </t>
  </si>
  <si>
    <t>Sacks</t>
  </si>
  <si>
    <t xml:space="preserve">2019 Windham Ln </t>
  </si>
  <si>
    <t>Nygren</t>
  </si>
  <si>
    <t xml:space="preserve">107 Woodpond Rd </t>
  </si>
  <si>
    <t xml:space="preserve">2330 Greenmont Ct </t>
  </si>
  <si>
    <t>Sulara James</t>
  </si>
  <si>
    <t xml:space="preserve">726 Kumulani Dr </t>
  </si>
  <si>
    <t>Guaspari</t>
  </si>
  <si>
    <t xml:space="preserve">1365 Walden Rd </t>
  </si>
  <si>
    <t>McCartan</t>
  </si>
  <si>
    <t xml:space="preserve">103 Rita Way </t>
  </si>
  <si>
    <t xml:space="preserve">302 Country Club Dr </t>
  </si>
  <si>
    <t>Tequesta</t>
  </si>
  <si>
    <t>Lavery</t>
  </si>
  <si>
    <t xml:space="preserve">256 Madison St </t>
  </si>
  <si>
    <t>Wilkes Barre</t>
  </si>
  <si>
    <t>Bissell</t>
  </si>
  <si>
    <t xml:space="preserve">607 36TH St SW </t>
  </si>
  <si>
    <t xml:space="preserve">2557 W Obispo Cir </t>
  </si>
  <si>
    <t>Dochow</t>
  </si>
  <si>
    <t xml:space="preserve">8331 S Lulu Ave </t>
  </si>
  <si>
    <t>Haysville</t>
  </si>
  <si>
    <t>Kroon</t>
  </si>
  <si>
    <t xml:space="preserve">417 Rialto Ct </t>
  </si>
  <si>
    <t>McDermott</t>
  </si>
  <si>
    <t xml:space="preserve">116 Weekeepeemee Rd </t>
  </si>
  <si>
    <t>H</t>
  </si>
  <si>
    <t xml:space="preserve">533 W Indianapolis Ave </t>
  </si>
  <si>
    <t xml:space="preserve">69 Beechwood Rd </t>
  </si>
  <si>
    <t>Winthrop</t>
  </si>
  <si>
    <t>Benoliel</t>
  </si>
  <si>
    <t xml:space="preserve">10510 Crossing Creek Rd </t>
  </si>
  <si>
    <t>Levitan</t>
  </si>
  <si>
    <t xml:space="preserve">25 Boxwood Dr </t>
  </si>
  <si>
    <t>Meister</t>
  </si>
  <si>
    <t xml:space="preserve">271 S 11th St </t>
  </si>
  <si>
    <t>Hilkovitch</t>
  </si>
  <si>
    <t xml:space="preserve">317 Alexandria Dr </t>
  </si>
  <si>
    <t>Addis</t>
  </si>
  <si>
    <t xml:space="preserve">10200 Ivy Hollow Dr </t>
  </si>
  <si>
    <t>Geer</t>
  </si>
  <si>
    <t xml:space="preserve">PO Box 443 </t>
  </si>
  <si>
    <t>Mansfield Center</t>
  </si>
  <si>
    <t xml:space="preserve">3084 S Xanthia St </t>
  </si>
  <si>
    <t>Rolland</t>
  </si>
  <si>
    <t xml:space="preserve">6227 34th Ave NE </t>
  </si>
  <si>
    <t>Horvath</t>
  </si>
  <si>
    <t xml:space="preserve">2902 Perimeter Dr </t>
  </si>
  <si>
    <t>Jeffersonville</t>
  </si>
  <si>
    <t>Tobben</t>
  </si>
  <si>
    <t xml:space="preserve">415 Elm St </t>
  </si>
  <si>
    <t xml:space="preserve">18 Sherbourne St </t>
  </si>
  <si>
    <t>Andover</t>
  </si>
  <si>
    <t xml:space="preserve">251 S 24th St Apt H </t>
  </si>
  <si>
    <t>Enoch</t>
  </si>
  <si>
    <t xml:space="preserve">AUGUSTA Dr </t>
  </si>
  <si>
    <t>Dorchin</t>
  </si>
  <si>
    <t xml:space="preserve">7588 Mansfield Hollow Rd </t>
  </si>
  <si>
    <t xml:space="preserve">24 Lakebridge Dr S </t>
  </si>
  <si>
    <t>Kings Park</t>
  </si>
  <si>
    <t>Landers</t>
  </si>
  <si>
    <t xml:space="preserve">277 N Main St </t>
  </si>
  <si>
    <t>Rochford</t>
  </si>
  <si>
    <t xml:space="preserve">309 5th Ave </t>
  </si>
  <si>
    <t>Charles City</t>
  </si>
  <si>
    <t>Dowdell</t>
  </si>
  <si>
    <t xml:space="preserve">334 Allandale Dr </t>
  </si>
  <si>
    <t>Bethel Park</t>
  </si>
  <si>
    <t xml:space="preserve">5 Lovedale Ln </t>
  </si>
  <si>
    <t>North Aurora</t>
  </si>
  <si>
    <t>McBride</t>
  </si>
  <si>
    <t>Tara Moira</t>
  </si>
  <si>
    <t xml:space="preserve">PO Box 783 </t>
  </si>
  <si>
    <t>Ocean Beach</t>
  </si>
  <si>
    <t>Schroter</t>
  </si>
  <si>
    <t xml:space="preserve">707 W Santa Ana St </t>
  </si>
  <si>
    <t>Rechs</t>
  </si>
  <si>
    <t xml:space="preserve">221 S Maple Ave Apt A </t>
  </si>
  <si>
    <t>Folts</t>
  </si>
  <si>
    <t xml:space="preserve">15 Harlow Clark Rd </t>
  </si>
  <si>
    <t xml:space="preserve">12814 Crestview Cv </t>
  </si>
  <si>
    <t>Prospect</t>
  </si>
  <si>
    <t>Holmes</t>
  </si>
  <si>
    <t xml:space="preserve">2046 Lakeshore Dr </t>
  </si>
  <si>
    <t>Laudeman</t>
  </si>
  <si>
    <t xml:space="preserve">2600 Bridalwood Dr </t>
  </si>
  <si>
    <t>Blacknell</t>
  </si>
  <si>
    <t>Aileen</t>
  </si>
  <si>
    <t xml:space="preserve">2035 Wellcrest Dr NW </t>
  </si>
  <si>
    <t>Kennesaw</t>
  </si>
  <si>
    <t>Liedike</t>
  </si>
  <si>
    <t xml:space="preserve">5379 Balsam St </t>
  </si>
  <si>
    <t xml:space="preserve">2911 N Quarrystone Way </t>
  </si>
  <si>
    <t xml:space="preserve">19161 Auburndale St </t>
  </si>
  <si>
    <t>Livonia</t>
  </si>
  <si>
    <t>Jackman</t>
  </si>
  <si>
    <t>Kendall</t>
  </si>
  <si>
    <t xml:space="preserve">1075 Webster Ave # 9A6 </t>
  </si>
  <si>
    <t xml:space="preserve">4925 Waterfowl Way </t>
  </si>
  <si>
    <t xml:space="preserve">113 Canyon Rim Dr </t>
  </si>
  <si>
    <t>Ferreira</t>
  </si>
  <si>
    <t xml:space="preserve">6491 Smith Rd </t>
  </si>
  <si>
    <t>Berrien Center</t>
  </si>
  <si>
    <t>Duffy</t>
  </si>
  <si>
    <t xml:space="preserve">14 W Old County Rd </t>
  </si>
  <si>
    <t>Newcastle</t>
  </si>
  <si>
    <t xml:space="preserve">9218 Balcones Club Dr </t>
  </si>
  <si>
    <t>Melodie</t>
  </si>
  <si>
    <t xml:space="preserve">26 Highland Meadows Cir Ste 1 </t>
  </si>
  <si>
    <t>Highland Heights</t>
  </si>
  <si>
    <t xml:space="preserve">8810 W 140th St Apt 3B </t>
  </si>
  <si>
    <t>Orland Park</t>
  </si>
  <si>
    <t xml:space="preserve">9112 Gamma Ln </t>
  </si>
  <si>
    <t>Montague</t>
  </si>
  <si>
    <t>Winnard</t>
  </si>
  <si>
    <t>Accokeek</t>
  </si>
  <si>
    <t xml:space="preserve">317 SHERWOOD </t>
  </si>
  <si>
    <t xml:space="preserve">320 Welchs Point Rd # 32 </t>
  </si>
  <si>
    <t>Colaluca</t>
  </si>
  <si>
    <t xml:space="preserve">777 S Federal Hwy </t>
  </si>
  <si>
    <t>Dobrotkova</t>
  </si>
  <si>
    <t xml:space="preserve">3 STREET 4 </t>
  </si>
  <si>
    <t>Dubai</t>
  </si>
  <si>
    <t>Tratolatis</t>
  </si>
  <si>
    <t xml:space="preserve">20 Miranda Lane Stratford Ct </t>
  </si>
  <si>
    <t>Stratford</t>
  </si>
  <si>
    <t xml:space="preserve">4852 N Claremont Ave </t>
  </si>
  <si>
    <t xml:space="preserve">LMJACK18 Hotmailcom </t>
  </si>
  <si>
    <t>Spotsylvania</t>
  </si>
  <si>
    <t>Cunney</t>
  </si>
  <si>
    <t>Georgann</t>
  </si>
  <si>
    <t xml:space="preserve">1230 Haight St </t>
  </si>
  <si>
    <t xml:space="preserve">9 Sweetbay Ct </t>
  </si>
  <si>
    <t>O Fallon</t>
  </si>
  <si>
    <t>Sherpa</t>
  </si>
  <si>
    <t xml:space="preserve">1910 S Michigan Ave Apt 202 </t>
  </si>
  <si>
    <t>Welty</t>
  </si>
  <si>
    <t xml:space="preserve">1850 58th St NE </t>
  </si>
  <si>
    <t xml:space="preserve">3455 S Marion St Apt 302 </t>
  </si>
  <si>
    <t>Hinkle</t>
  </si>
  <si>
    <t xml:space="preserve">2457 S 1100 W </t>
  </si>
  <si>
    <t>Ambia</t>
  </si>
  <si>
    <t xml:space="preserve">1302 Warbler Dr </t>
  </si>
  <si>
    <t>Riedeburg</t>
  </si>
  <si>
    <t xml:space="preserve">206 Falcon Ct </t>
  </si>
  <si>
    <t>Lazarus</t>
  </si>
  <si>
    <t xml:space="preserve">7 Brighton 10th Ln </t>
  </si>
  <si>
    <t>Steeves</t>
  </si>
  <si>
    <t xml:space="preserve">3130 Schweitzer Dr </t>
  </si>
  <si>
    <t>Shanklin</t>
  </si>
  <si>
    <t xml:space="preserve">1313 Capri Dr Apt B </t>
  </si>
  <si>
    <t>Tommasino-Storz</t>
  </si>
  <si>
    <t xml:space="preserve">343 Pond Path </t>
  </si>
  <si>
    <t>Setauket</t>
  </si>
  <si>
    <t>Deveney</t>
  </si>
  <si>
    <t xml:space="preserve">44 Old Waterville Rd </t>
  </si>
  <si>
    <t xml:space="preserve">71 28th St </t>
  </si>
  <si>
    <t>Koldys</t>
  </si>
  <si>
    <t xml:space="preserve">36 Rockledge Loop </t>
  </si>
  <si>
    <t>Torrington</t>
  </si>
  <si>
    <t>Mayhugh</t>
  </si>
  <si>
    <t xml:space="preserve">1579 Mayhugh Rd </t>
  </si>
  <si>
    <t>Deduk</t>
  </si>
  <si>
    <t xml:space="preserve">265 S Main St </t>
  </si>
  <si>
    <t>Seymour</t>
  </si>
  <si>
    <t>Gaebe</t>
  </si>
  <si>
    <t xml:space="preserve">3700 N Lake Shore Dr Apt 302 </t>
  </si>
  <si>
    <t xml:space="preserve">407 Woodland Dr </t>
  </si>
  <si>
    <t>Carthage</t>
  </si>
  <si>
    <t xml:space="preserve">335 Old Fork School Rd </t>
  </si>
  <si>
    <t>Townville</t>
  </si>
  <si>
    <t xml:space="preserve">8616 Resota Beach Rd </t>
  </si>
  <si>
    <t>Fendya</t>
  </si>
  <si>
    <t xml:space="preserve">516 W Ferry St </t>
  </si>
  <si>
    <t>Lifton</t>
  </si>
  <si>
    <t xml:space="preserve">3155 Via De Caballo </t>
  </si>
  <si>
    <t xml:space="preserve">43 Ardmore Rd </t>
  </si>
  <si>
    <t xml:space="preserve">134 Vinada St </t>
  </si>
  <si>
    <t>Penn Run</t>
  </si>
  <si>
    <t>Gricevich</t>
  </si>
  <si>
    <t xml:space="preserve">914 Holyoake Rd </t>
  </si>
  <si>
    <t>Herlihy</t>
  </si>
  <si>
    <t>Peg</t>
  </si>
  <si>
    <t xml:space="preserve">11 Margerie St </t>
  </si>
  <si>
    <t>Burkey</t>
  </si>
  <si>
    <t>Marks-Curatolo</t>
  </si>
  <si>
    <t xml:space="preserve">420 Glen Ave </t>
  </si>
  <si>
    <t>Gambino</t>
  </si>
  <si>
    <t xml:space="preserve">140 Halpin Ave </t>
  </si>
  <si>
    <t>Trabulus</t>
  </si>
  <si>
    <t xml:space="preserve">311 W 24th St </t>
  </si>
  <si>
    <t xml:space="preserve">26 Jane Howland Pl </t>
  </si>
  <si>
    <t>Seekonk</t>
  </si>
  <si>
    <t xml:space="preserve">685 Edison Ave SW </t>
  </si>
  <si>
    <t>Bandon</t>
  </si>
  <si>
    <t>Narizny</t>
  </si>
  <si>
    <t xml:space="preserve">5637 SW Cheltenham Dr </t>
  </si>
  <si>
    <t>Drescher</t>
  </si>
  <si>
    <t xml:space="preserve">9 S Holman Way </t>
  </si>
  <si>
    <t>Katzeff</t>
  </si>
  <si>
    <t>Yahara</t>
  </si>
  <si>
    <t xml:space="preserve">9 Grove St </t>
  </si>
  <si>
    <t>Turners Falls</t>
  </si>
  <si>
    <t xml:space="preserve">101 Fern Ct </t>
  </si>
  <si>
    <t xml:space="preserve">3634 37th St N </t>
  </si>
  <si>
    <t>Greenfeld</t>
  </si>
  <si>
    <t xml:space="preserve">4910 15th Ave Apt 6H </t>
  </si>
  <si>
    <t xml:space="preserve">420 Northridge Rd </t>
  </si>
  <si>
    <t>Trypaluk</t>
  </si>
  <si>
    <t xml:space="preserve">211 Circular St </t>
  </si>
  <si>
    <t>Saratoga Springs</t>
  </si>
  <si>
    <t>Haegele</t>
  </si>
  <si>
    <t xml:space="preserve">13032 Townsend Rd </t>
  </si>
  <si>
    <t>Kirkendoll</t>
  </si>
  <si>
    <t xml:space="preserve">304 Armour Rd </t>
  </si>
  <si>
    <t>Nitro</t>
  </si>
  <si>
    <t>Klider</t>
  </si>
  <si>
    <t xml:space="preserve">16699 Collins Ave </t>
  </si>
  <si>
    <t>Sunny Isles Beach</t>
  </si>
  <si>
    <t xml:space="preserve">PO Box A Pmb 70 </t>
  </si>
  <si>
    <t>Tecate</t>
  </si>
  <si>
    <t>Covelesky</t>
  </si>
  <si>
    <t xml:space="preserve">4609 Irene Ave S </t>
  </si>
  <si>
    <t>Lehigh Acres</t>
  </si>
  <si>
    <t>Beha</t>
  </si>
  <si>
    <t xml:space="preserve">1 Tobey Ct </t>
  </si>
  <si>
    <t xml:space="preserve">410 S East Ave </t>
  </si>
  <si>
    <t>Winborne-Graven</t>
  </si>
  <si>
    <t xml:space="preserve">24211 Ash Ct </t>
  </si>
  <si>
    <t xml:space="preserve">12319 Wildwood Blvd </t>
  </si>
  <si>
    <t xml:space="preserve">82 Forsyth St </t>
  </si>
  <si>
    <t>Wieder</t>
  </si>
  <si>
    <t xml:space="preserve">1407 Cornell Ave </t>
  </si>
  <si>
    <t>Wolfert</t>
  </si>
  <si>
    <t xml:space="preserve">7000 Bangor Ave NW NM87120 </t>
  </si>
  <si>
    <t>Brunelle</t>
  </si>
  <si>
    <t xml:space="preserve">56 Sawmill Hl </t>
  </si>
  <si>
    <t>Hathaway</t>
  </si>
  <si>
    <t xml:space="preserve">5107 Passons Blvd Apt 313 </t>
  </si>
  <si>
    <t>Pico Rivera</t>
  </si>
  <si>
    <t xml:space="preserve">2221 Plum St </t>
  </si>
  <si>
    <t xml:space="preserve">4912 Holt St </t>
  </si>
  <si>
    <t xml:space="preserve">123 Lincoln Rd </t>
  </si>
  <si>
    <t>Covington</t>
  </si>
  <si>
    <t xml:space="preserve">719 S Orchard St </t>
  </si>
  <si>
    <t>Feist</t>
  </si>
  <si>
    <t xml:space="preserve">7912 Lakeview Rd </t>
  </si>
  <si>
    <t xml:space="preserve">65 Lange Rd </t>
  </si>
  <si>
    <t>Albany Twp</t>
  </si>
  <si>
    <t>MacAlvey</t>
  </si>
  <si>
    <t>Owen</t>
  </si>
  <si>
    <t xml:space="preserve">2040 Louis Creek Rd </t>
  </si>
  <si>
    <t>Myrtle Creek</t>
  </si>
  <si>
    <t xml:space="preserve">209 Cedar Creek Ter </t>
  </si>
  <si>
    <t>Vanwingerden</t>
  </si>
  <si>
    <t xml:space="preserve">841 2nd St </t>
  </si>
  <si>
    <t>Pool</t>
  </si>
  <si>
    <t>Trish</t>
  </si>
  <si>
    <t xml:space="preserve">1741 Laurel Ave </t>
  </si>
  <si>
    <t>Hertz</t>
  </si>
  <si>
    <t xml:space="preserve">11649 Charter Oak Ct Apt 101 </t>
  </si>
  <si>
    <t>Handewith</t>
  </si>
  <si>
    <t xml:space="preserve">8515 16th Ave NE </t>
  </si>
  <si>
    <t>Fehrenkamp</t>
  </si>
  <si>
    <t xml:space="preserve">1308 Quincy St </t>
  </si>
  <si>
    <t>Welman</t>
  </si>
  <si>
    <t xml:space="preserve">2401 Sahlman Ave </t>
  </si>
  <si>
    <t>Cloquet</t>
  </si>
  <si>
    <t xml:space="preserve">18231 Barroso St </t>
  </si>
  <si>
    <t>Rowland Heights</t>
  </si>
  <si>
    <t>Brainerd</t>
  </si>
  <si>
    <t xml:space="preserve">64 Harrington Rd </t>
  </si>
  <si>
    <t xml:space="preserve">908 Fillmore St </t>
  </si>
  <si>
    <t>Stockwell</t>
  </si>
  <si>
    <t xml:space="preserve">KALMIA </t>
  </si>
  <si>
    <t xml:space="preserve">40 Powhattan Ct </t>
  </si>
  <si>
    <t xml:space="preserve">645 SW Loafers Ln # 7536 </t>
  </si>
  <si>
    <t>Madras</t>
  </si>
  <si>
    <t>O'Dell</t>
  </si>
  <si>
    <t xml:space="preserve">375 Elm Grove St </t>
  </si>
  <si>
    <t>Loudon</t>
  </si>
  <si>
    <t xml:space="preserve">185 Cedar Ln </t>
  </si>
  <si>
    <t xml:space="preserve">105 Carlsbad Dr </t>
  </si>
  <si>
    <t>Powers Jr</t>
  </si>
  <si>
    <t>Lyle</t>
  </si>
  <si>
    <t xml:space="preserve">4291 W San Jose Ave Apt 106 </t>
  </si>
  <si>
    <t>Capel</t>
  </si>
  <si>
    <t xml:space="preserve">OAK SHADIWS </t>
  </si>
  <si>
    <t xml:space="preserve">37075 Hendersonville </t>
  </si>
  <si>
    <t>Kinnings</t>
  </si>
  <si>
    <t xml:space="preserve">9521 Lambert Cir </t>
  </si>
  <si>
    <t>Adkinson</t>
  </si>
  <si>
    <t xml:space="preserve">3174 S Fox St </t>
  </si>
  <si>
    <t>Cuker</t>
  </si>
  <si>
    <t xml:space="preserve">144 Alleghany Rd </t>
  </si>
  <si>
    <t>Hiatt</t>
  </si>
  <si>
    <t>J.M.</t>
  </si>
  <si>
    <t xml:space="preserve">5415 Connecticut Ave NW Apt 735 </t>
  </si>
  <si>
    <t>Bele</t>
  </si>
  <si>
    <t>Ruxandra</t>
  </si>
  <si>
    <t xml:space="preserve">6155 Mayfair St </t>
  </si>
  <si>
    <t>Morton Grove</t>
  </si>
  <si>
    <t>Glier</t>
  </si>
  <si>
    <t>Ingeborg</t>
  </si>
  <si>
    <t xml:space="preserve">2228 Night Parrot Ave </t>
  </si>
  <si>
    <t>Makhlis</t>
  </si>
  <si>
    <t>Vladimir</t>
  </si>
  <si>
    <t xml:space="preserve">38 Parkville Ave </t>
  </si>
  <si>
    <t>Trentlyon</t>
  </si>
  <si>
    <t xml:space="preserve">409 W 21st St </t>
  </si>
  <si>
    <t xml:space="preserve">2420 NW Marshall St Apt 315 </t>
  </si>
  <si>
    <t xml:space="preserve">532 Georgian Rd </t>
  </si>
  <si>
    <t>Whittaker</t>
  </si>
  <si>
    <t xml:space="preserve">512 N Alexandria Ave Apt 107 </t>
  </si>
  <si>
    <t>Gingras</t>
  </si>
  <si>
    <t xml:space="preserve">52 Bradford Commons Ln </t>
  </si>
  <si>
    <t>Farago</t>
  </si>
  <si>
    <t xml:space="preserve">7630 Glenvista St </t>
  </si>
  <si>
    <t xml:space="preserve">2081 Flint Hill Rd </t>
  </si>
  <si>
    <t>Powhatan</t>
  </si>
  <si>
    <t>De Garmo</t>
  </si>
  <si>
    <t xml:space="preserve">7410 SE Taylor St </t>
  </si>
  <si>
    <t xml:space="preserve">280 N Cragmont Ave </t>
  </si>
  <si>
    <t xml:space="preserve">761 Valley Rd </t>
  </si>
  <si>
    <t>Watchung</t>
  </si>
  <si>
    <t xml:space="preserve">3024 NW 59th St </t>
  </si>
  <si>
    <t>Cronk</t>
  </si>
  <si>
    <t>Nanette</t>
  </si>
  <si>
    <t xml:space="preserve">11499 Glen Rd </t>
  </si>
  <si>
    <t>Keval Kaur</t>
  </si>
  <si>
    <t xml:space="preserve">1215 Carroll St # T </t>
  </si>
  <si>
    <t>Manthey</t>
  </si>
  <si>
    <t xml:space="preserve">7695 County Road Hh </t>
  </si>
  <si>
    <t>Arpin</t>
  </si>
  <si>
    <t>Sholtez</t>
  </si>
  <si>
    <t xml:space="preserve">6705 Wellington Dr </t>
  </si>
  <si>
    <t>Derby</t>
  </si>
  <si>
    <t>Annetta</t>
  </si>
  <si>
    <t xml:space="preserve">2346 Culloden Cv </t>
  </si>
  <si>
    <t xml:space="preserve">1402 Harrison Ave </t>
  </si>
  <si>
    <t>Centralia</t>
  </si>
  <si>
    <t>Ardito</t>
  </si>
  <si>
    <t>Brittany</t>
  </si>
  <si>
    <t xml:space="preserve">6714 Highland Crest Ln </t>
  </si>
  <si>
    <t>Sachse</t>
  </si>
  <si>
    <t xml:space="preserve">1602 Teepee Trl </t>
  </si>
  <si>
    <t>Kingsland</t>
  </si>
  <si>
    <t>Torpey</t>
  </si>
  <si>
    <t xml:space="preserve">1891 Ivanhoe Ct </t>
  </si>
  <si>
    <t xml:space="preserve">3060 N Hackett Ave </t>
  </si>
  <si>
    <t>Paricio</t>
  </si>
  <si>
    <t xml:space="preserve">21 Edmund Ct </t>
  </si>
  <si>
    <t>Bodin</t>
  </si>
  <si>
    <t xml:space="preserve">11811 Menaul Blvd NE # 6 </t>
  </si>
  <si>
    <t>Chance</t>
  </si>
  <si>
    <t xml:space="preserve">7450 NW 11th Pl </t>
  </si>
  <si>
    <t xml:space="preserve">617 S Broadway Apt 5 </t>
  </si>
  <si>
    <t xml:space="preserve">3036 Summit Dr </t>
  </si>
  <si>
    <t>Dietrich</t>
  </si>
  <si>
    <t xml:space="preserve">12 Dietrich Rd </t>
  </si>
  <si>
    <t xml:space="preserve">73 Pine St </t>
  </si>
  <si>
    <t>Vanderbeek</t>
  </si>
  <si>
    <t xml:space="preserve">6075 Buck Ridge Rd </t>
  </si>
  <si>
    <t>Pinilla</t>
  </si>
  <si>
    <t>Renata</t>
  </si>
  <si>
    <t xml:space="preserve">175 Robby Ln </t>
  </si>
  <si>
    <t xml:space="preserve">2312 St James Pl </t>
  </si>
  <si>
    <t>Goynes</t>
  </si>
  <si>
    <t>Beverlee</t>
  </si>
  <si>
    <t xml:space="preserve">466 Branchville Rd </t>
  </si>
  <si>
    <t>Guaraldi</t>
  </si>
  <si>
    <t xml:space="preserve">11002 Braes Forest Dr </t>
  </si>
  <si>
    <t xml:space="preserve">10811 Greenwillow St Apt 20 </t>
  </si>
  <si>
    <t xml:space="preserve">7123 Windaliere Dr </t>
  </si>
  <si>
    <t>Mayberry</t>
  </si>
  <si>
    <t>Bert</t>
  </si>
  <si>
    <t xml:space="preserve">708 Woodland Ave SW </t>
  </si>
  <si>
    <t>Bemidji</t>
  </si>
  <si>
    <t xml:space="preserve">TOOMIN Dr </t>
  </si>
  <si>
    <t>Earl</t>
  </si>
  <si>
    <t xml:space="preserve">300 Five Oaks Dr </t>
  </si>
  <si>
    <t>Whitcomb</t>
  </si>
  <si>
    <t xml:space="preserve">12 Fairwood Rd </t>
  </si>
  <si>
    <t>Hultin</t>
  </si>
  <si>
    <t xml:space="preserve">16430 Park Lake Rd Lot 30 </t>
  </si>
  <si>
    <t>Mary  Ann</t>
  </si>
  <si>
    <t xml:space="preserve">627 Coleman St </t>
  </si>
  <si>
    <t>San Miguel</t>
  </si>
  <si>
    <t xml:space="preserve">PO Box 1174 </t>
  </si>
  <si>
    <t>Ventouris</t>
  </si>
  <si>
    <t>Thalia</t>
  </si>
  <si>
    <t xml:space="preserve">4780 Wolff Dr </t>
  </si>
  <si>
    <t>Cristler</t>
  </si>
  <si>
    <t xml:space="preserve">215 Mill St </t>
  </si>
  <si>
    <t>14221-5146</t>
  </si>
  <si>
    <t>Atallah</t>
  </si>
  <si>
    <t>Laila</t>
  </si>
  <si>
    <t xml:space="preserve">708 Camberley Cir Apt B6 </t>
  </si>
  <si>
    <t>Hedler</t>
  </si>
  <si>
    <t xml:space="preserve">5032 Vincent Ave N </t>
  </si>
  <si>
    <t>Roselli</t>
  </si>
  <si>
    <t xml:space="preserve">63 Grandview Ln </t>
  </si>
  <si>
    <t>Eada</t>
  </si>
  <si>
    <t xml:space="preserve">116 Hazleton Ln </t>
  </si>
  <si>
    <t>Oak Ridge</t>
  </si>
  <si>
    <t>Lepowsky</t>
  </si>
  <si>
    <t xml:space="preserve">602 Avenida Sevilla Unit B </t>
  </si>
  <si>
    <t>Grondin</t>
  </si>
  <si>
    <t xml:space="preserve">8 Fairview Ave </t>
  </si>
  <si>
    <t>Malden</t>
  </si>
  <si>
    <t>Geary</t>
  </si>
  <si>
    <t xml:space="preserve">6 Knotty Oak Dr </t>
  </si>
  <si>
    <t>Eastampton</t>
  </si>
  <si>
    <t>Greenleaf</t>
  </si>
  <si>
    <t xml:space="preserve">1555 Merrill St Spc 75 </t>
  </si>
  <si>
    <t>Sherfey</t>
  </si>
  <si>
    <t xml:space="preserve">129 Camphor Cir Apt G </t>
  </si>
  <si>
    <t>Oldsmar</t>
  </si>
  <si>
    <t>Toffolo</t>
  </si>
  <si>
    <t xml:space="preserve">112 Aspen Ln </t>
  </si>
  <si>
    <t xml:space="preserve">4608 W Paul Ave </t>
  </si>
  <si>
    <t>Roberta E.</t>
  </si>
  <si>
    <t xml:space="preserve">300 Monte Vista Ave </t>
  </si>
  <si>
    <t>Eager</t>
  </si>
  <si>
    <t xml:space="preserve">133 Merritts Pond Rd </t>
  </si>
  <si>
    <t>Riverhead</t>
  </si>
  <si>
    <t>McKirnan</t>
  </si>
  <si>
    <t xml:space="preserve">1404 Law St </t>
  </si>
  <si>
    <t xml:space="preserve">1945 NW 13th St Apt 101 </t>
  </si>
  <si>
    <t>McCabe</t>
  </si>
  <si>
    <t xml:space="preserve">3114 Falk Rd </t>
  </si>
  <si>
    <t>Cowles</t>
  </si>
  <si>
    <t>Traver</t>
  </si>
  <si>
    <t xml:space="preserve">29 Flat Rock Rd </t>
  </si>
  <si>
    <t>Jaszkowiak</t>
  </si>
  <si>
    <t xml:space="preserve">2306 NE Siskiyou St </t>
  </si>
  <si>
    <t>Lippmann</t>
  </si>
  <si>
    <t xml:space="preserve">1807 S Washington St Ste 110 </t>
  </si>
  <si>
    <t>Metoyer</t>
  </si>
  <si>
    <t xml:space="preserve">41528 N Club Pointe Dr </t>
  </si>
  <si>
    <t>Anthem</t>
  </si>
  <si>
    <t>Maryl</t>
  </si>
  <si>
    <t xml:space="preserve">114 Blue Rock Rd </t>
  </si>
  <si>
    <t>Grogan</t>
  </si>
  <si>
    <t xml:space="preserve">1406 Graynold Ave </t>
  </si>
  <si>
    <t>Melton</t>
  </si>
  <si>
    <t xml:space="preserve">903 Briarcliff Ct </t>
  </si>
  <si>
    <t>Cieslikowski</t>
  </si>
  <si>
    <t>Konrad</t>
  </si>
  <si>
    <t xml:space="preserve">5317 N Delphia Ave </t>
  </si>
  <si>
    <t>Georgie</t>
  </si>
  <si>
    <t xml:space="preserve">38239 French Pond </t>
  </si>
  <si>
    <t xml:space="preserve">56965 Gladewood Rd </t>
  </si>
  <si>
    <t>Coquille</t>
  </si>
  <si>
    <t xml:space="preserve">9155 Devonshire Dr </t>
  </si>
  <si>
    <t>Horowitz</t>
  </si>
  <si>
    <t xml:space="preserve">6544 Darlington Rd </t>
  </si>
  <si>
    <t xml:space="preserve">4913 Wilma Way </t>
  </si>
  <si>
    <t>Gliserman</t>
  </si>
  <si>
    <t xml:space="preserve">517 Traditions Ct S </t>
  </si>
  <si>
    <t>Oxford</t>
  </si>
  <si>
    <t>Igl</t>
  </si>
  <si>
    <t xml:space="preserve">220 Thomson Ln </t>
  </si>
  <si>
    <t>McDonald Jr.</t>
  </si>
  <si>
    <t xml:space="preserve">25 Farm Rd </t>
  </si>
  <si>
    <t xml:space="preserve">59929 Lake Shore Rd </t>
  </si>
  <si>
    <t>Santanen</t>
  </si>
  <si>
    <t xml:space="preserve">2897 N Bay Dr </t>
  </si>
  <si>
    <t xml:space="preserve">3225 200th Pl SE </t>
  </si>
  <si>
    <t xml:space="preserve">23010 139th Ave NE </t>
  </si>
  <si>
    <t>Vrba</t>
  </si>
  <si>
    <t xml:space="preserve">2104 Cullen Ave Apt 217 # 217 </t>
  </si>
  <si>
    <t>Covert</t>
  </si>
  <si>
    <t xml:space="preserve">1925 Harwood Cir </t>
  </si>
  <si>
    <t>Victoriae</t>
  </si>
  <si>
    <t xml:space="preserve">4190 NW 11th Ave </t>
  </si>
  <si>
    <t>Oakland Park</t>
  </si>
  <si>
    <t>Hecker</t>
  </si>
  <si>
    <t>Judit</t>
  </si>
  <si>
    <t xml:space="preserve">834 Thayer Ave </t>
  </si>
  <si>
    <t>McLaren</t>
  </si>
  <si>
    <t xml:space="preserve">17560 Daves Ave </t>
  </si>
  <si>
    <t>Monte Sereno</t>
  </si>
  <si>
    <t>Elmo</t>
  </si>
  <si>
    <t xml:space="preserve">208 Harrogate Pl </t>
  </si>
  <si>
    <t>Longwood</t>
  </si>
  <si>
    <t xml:space="preserve">2243 W Chateau Dr </t>
  </si>
  <si>
    <t>Massarella</t>
  </si>
  <si>
    <t xml:space="preserve">85008 Sarvis Berry Ln </t>
  </si>
  <si>
    <t xml:space="preserve">2416 Long Rifle Ridge Rd </t>
  </si>
  <si>
    <t>Nebo</t>
  </si>
  <si>
    <t xml:space="preserve">17 13th St NE </t>
  </si>
  <si>
    <t>Faribault</t>
  </si>
  <si>
    <t>Balthasar</t>
  </si>
  <si>
    <t xml:space="preserve">460 Mitchell Dr </t>
  </si>
  <si>
    <t>Jumonville</t>
  </si>
  <si>
    <t xml:space="preserve">15943 Tampke Pl </t>
  </si>
  <si>
    <t xml:space="preserve">1229 Memorial Dr SE </t>
  </si>
  <si>
    <t>Glaser</t>
  </si>
  <si>
    <t xml:space="preserve">2724 Huntington Ave </t>
  </si>
  <si>
    <t>St Louis Park</t>
  </si>
  <si>
    <t>Edwards-Hewitt</t>
  </si>
  <si>
    <t xml:space="preserve">5606 Asbury Ct </t>
  </si>
  <si>
    <t>Gallien</t>
  </si>
  <si>
    <t xml:space="preserve">22501 E Burns Valley Rd </t>
  </si>
  <si>
    <t>Winona</t>
  </si>
  <si>
    <t>Hollembeak</t>
  </si>
  <si>
    <t>Demaris</t>
  </si>
  <si>
    <t xml:space="preserve">14 Minquil Dr </t>
  </si>
  <si>
    <t>Judyth</t>
  </si>
  <si>
    <t xml:space="preserve">1234 Williamswood Pointe Apt STE </t>
  </si>
  <si>
    <t xml:space="preserve">750 Bradford Loop </t>
  </si>
  <si>
    <t>Frankel</t>
  </si>
  <si>
    <t>Jj</t>
  </si>
  <si>
    <t xml:space="preserve">1441 S Plymouth Ct Unit D </t>
  </si>
  <si>
    <t xml:space="preserve">15 Seward St </t>
  </si>
  <si>
    <t>Putnam</t>
  </si>
  <si>
    <t>Hesser</t>
  </si>
  <si>
    <t>Yola</t>
  </si>
  <si>
    <t xml:space="preserve">90916 Southview Ln </t>
  </si>
  <si>
    <t xml:space="preserve">2435 Glenwood Dr </t>
  </si>
  <si>
    <t>Blazer</t>
  </si>
  <si>
    <t xml:space="preserve">2111 Dewey St </t>
  </si>
  <si>
    <t>Tasker</t>
  </si>
  <si>
    <t xml:space="preserve">2897 Helix St </t>
  </si>
  <si>
    <t>Wolff</t>
  </si>
  <si>
    <t xml:space="preserve">1020 El Sur Ave </t>
  </si>
  <si>
    <t xml:space="preserve">2043 Ponderosa Ct </t>
  </si>
  <si>
    <t>Andrade</t>
  </si>
  <si>
    <t xml:space="preserve">45 -419 Nihina Pl </t>
  </si>
  <si>
    <t>Wormington</t>
  </si>
  <si>
    <t xml:space="preserve">3430 Appleblossom Ln </t>
  </si>
  <si>
    <t xml:space="preserve">1003 Wren Hollow Rd </t>
  </si>
  <si>
    <t>Woolwine</t>
  </si>
  <si>
    <t xml:space="preserve">4529 Starboard Ct </t>
  </si>
  <si>
    <t xml:space="preserve">5008 Freeport Ln Unit A </t>
  </si>
  <si>
    <t>Mukilteo</t>
  </si>
  <si>
    <t>Wurst</t>
  </si>
  <si>
    <t xml:space="preserve">3389 Van Buren Ave </t>
  </si>
  <si>
    <t>Downing</t>
  </si>
  <si>
    <t>Jenette</t>
  </si>
  <si>
    <t xml:space="preserve">PO Box 493 </t>
  </si>
  <si>
    <t>Graver</t>
  </si>
  <si>
    <t xml:space="preserve">32 Cotherstone Dr </t>
  </si>
  <si>
    <t xml:space="preserve">PO Box 1176 </t>
  </si>
  <si>
    <t>New Canaan</t>
  </si>
  <si>
    <t>Sircar</t>
  </si>
  <si>
    <t>Subrata</t>
  </si>
  <si>
    <t xml:space="preserve">732 Harvard Ave </t>
  </si>
  <si>
    <t>Simon</t>
  </si>
  <si>
    <t xml:space="preserve">85 Barstow Rd </t>
  </si>
  <si>
    <t>Randazzo</t>
  </si>
  <si>
    <t xml:space="preserve">14212 Bay Dr </t>
  </si>
  <si>
    <t>Westford</t>
  </si>
  <si>
    <t>Guttman</t>
  </si>
  <si>
    <t xml:space="preserve">25285 Penshurst Dr </t>
  </si>
  <si>
    <t>Schulte</t>
  </si>
  <si>
    <t xml:space="preserve">342 Spring Creek Pkwy </t>
  </si>
  <si>
    <t>Mostov</t>
  </si>
  <si>
    <t xml:space="preserve">1311 Devonshire Way </t>
  </si>
  <si>
    <t xml:space="preserve">45 Maple Ave </t>
  </si>
  <si>
    <t xml:space="preserve">708 Maple Glen Dr </t>
  </si>
  <si>
    <t>Hartmannsgruber</t>
  </si>
  <si>
    <t xml:space="preserve">152 Pine St </t>
  </si>
  <si>
    <t>Mayr</t>
  </si>
  <si>
    <t xml:space="preserve">1398 Elmgrove Dr </t>
  </si>
  <si>
    <t>Glendora</t>
  </si>
  <si>
    <t>Tildes</t>
  </si>
  <si>
    <t xml:space="preserve">6 Wedgemere Rd </t>
  </si>
  <si>
    <t>West Yarmouth</t>
  </si>
  <si>
    <t xml:space="preserve">2143 SE 55th Ave </t>
  </si>
  <si>
    <t>Soames</t>
  </si>
  <si>
    <t xml:space="preserve">21854 SE 271st St </t>
  </si>
  <si>
    <t xml:space="preserve">63 White Falls Trl </t>
  </si>
  <si>
    <t>Opitz</t>
  </si>
  <si>
    <t>Ulrike</t>
  </si>
  <si>
    <t xml:space="preserve">4 Gloria Ln </t>
  </si>
  <si>
    <t xml:space="preserve">503 W Rustic Rd </t>
  </si>
  <si>
    <t xml:space="preserve">3406 Kensington Ct </t>
  </si>
  <si>
    <t xml:space="preserve">15 Kilravock Dr </t>
  </si>
  <si>
    <t>Litchfield</t>
  </si>
  <si>
    <t>Engstrom</t>
  </si>
  <si>
    <t xml:space="preserve">1306 N Belmont Ave </t>
  </si>
  <si>
    <t>Arlington Heights</t>
  </si>
  <si>
    <t>Keel</t>
  </si>
  <si>
    <t xml:space="preserve">6010 Sanders Ct </t>
  </si>
  <si>
    <t xml:space="preserve">5317 Fruitville Rd Ste 57 </t>
  </si>
  <si>
    <t>Sage</t>
  </si>
  <si>
    <t>Samuel H.</t>
  </si>
  <si>
    <t xml:space="preserve">652 W Onondaga St </t>
  </si>
  <si>
    <t>Goyette</t>
  </si>
  <si>
    <t xml:space="preserve">782 E 9990 S </t>
  </si>
  <si>
    <t>White City</t>
  </si>
  <si>
    <t xml:space="preserve">2244 Inwood Rd </t>
  </si>
  <si>
    <t>Steadman</t>
  </si>
  <si>
    <t xml:space="preserve">3557 Wisecarver Ln </t>
  </si>
  <si>
    <t>Jamul</t>
  </si>
  <si>
    <t>Siddiqi</t>
  </si>
  <si>
    <t xml:space="preserve">1713 W Touhy Ave Apt F </t>
  </si>
  <si>
    <t xml:space="preserve">15418 Gault St </t>
  </si>
  <si>
    <t>St. John</t>
  </si>
  <si>
    <t xml:space="preserve">2200 SE 45th Ave Unit 17 </t>
  </si>
  <si>
    <t xml:space="preserve">415 Aragon Ave </t>
  </si>
  <si>
    <t>Marty</t>
  </si>
  <si>
    <t xml:space="preserve">775 Moorland Dr </t>
  </si>
  <si>
    <t>Grosse Pointe Woods</t>
  </si>
  <si>
    <t xml:space="preserve">16 Abenaki Way </t>
  </si>
  <si>
    <t>Winooski</t>
  </si>
  <si>
    <t xml:space="preserve">21 Ring Rd </t>
  </si>
  <si>
    <t>Orozco</t>
  </si>
  <si>
    <t>Gohar</t>
  </si>
  <si>
    <t xml:space="preserve">454 7th Ave </t>
  </si>
  <si>
    <t xml:space="preserve">3001 Henry Hudson Pkwy Apt 1E </t>
  </si>
  <si>
    <t>Candlin</t>
  </si>
  <si>
    <t xml:space="preserve">324 E 85th St Apt 3A </t>
  </si>
  <si>
    <t xml:space="preserve">1511 E Dorothea Ave None </t>
  </si>
  <si>
    <t>Veiby</t>
  </si>
  <si>
    <t xml:space="preserve">16 Nipmuck Dr </t>
  </si>
  <si>
    <t>Giaccardo</t>
  </si>
  <si>
    <t xml:space="preserve">36 S Strawberry St Apt 23 </t>
  </si>
  <si>
    <t>Johnson III</t>
  </si>
  <si>
    <t>Hezikiah</t>
  </si>
  <si>
    <t xml:space="preserve">5603 Old Dawson Rd </t>
  </si>
  <si>
    <t xml:space="preserve">3 Svehlak Ln </t>
  </si>
  <si>
    <t>Wald</t>
  </si>
  <si>
    <t>Aloysius</t>
  </si>
  <si>
    <t xml:space="preserve">523 E Lincoln Ave </t>
  </si>
  <si>
    <t xml:space="preserve">1149 Shattuck Ave </t>
  </si>
  <si>
    <t>Synowiec</t>
  </si>
  <si>
    <t xml:space="preserve">1955 Pioneer Ave </t>
  </si>
  <si>
    <t>Catherine B.</t>
  </si>
  <si>
    <t xml:space="preserve">11 Charles St </t>
  </si>
  <si>
    <t xml:space="preserve">514 Tennessee St </t>
  </si>
  <si>
    <t>Vandemark</t>
  </si>
  <si>
    <t xml:space="preserve">72 Nettlecreek Rd </t>
  </si>
  <si>
    <t>Fairport</t>
  </si>
  <si>
    <t>Patricia M.</t>
  </si>
  <si>
    <t xml:space="preserve">9 Enfield Ln </t>
  </si>
  <si>
    <t>Lewes</t>
  </si>
  <si>
    <t xml:space="preserve">7966 Mill Station Rd </t>
  </si>
  <si>
    <t>Sevy</t>
  </si>
  <si>
    <t xml:space="preserve">77 -6477 Sea View Cir </t>
  </si>
  <si>
    <t xml:space="preserve">9324 Yvonne Marie Dr NW </t>
  </si>
  <si>
    <t>Ackley</t>
  </si>
  <si>
    <t xml:space="preserve">124 Brandon Pl Apt 26 </t>
  </si>
  <si>
    <t>Williamsport</t>
  </si>
  <si>
    <t>Rhoades</t>
  </si>
  <si>
    <t xml:space="preserve">4820 Sanctuary Trl </t>
  </si>
  <si>
    <t>Burstrom</t>
  </si>
  <si>
    <t xml:space="preserve">1538 Eagle Ridge Pl NE </t>
  </si>
  <si>
    <t>Salkin</t>
  </si>
  <si>
    <t xml:space="preserve">68433 San Jacinto Rd </t>
  </si>
  <si>
    <t>Mores</t>
  </si>
  <si>
    <t xml:space="preserve">968 Casa Solana Dr </t>
  </si>
  <si>
    <t xml:space="preserve">33 Linwood Dr </t>
  </si>
  <si>
    <t>Hopkin</t>
  </si>
  <si>
    <t>Maxin</t>
  </si>
  <si>
    <t xml:space="preserve">451 Peregrine St </t>
  </si>
  <si>
    <t>Eckerson</t>
  </si>
  <si>
    <t xml:space="preserve">PO Box 32821 </t>
  </si>
  <si>
    <t xml:space="preserve">10820 Poser Dr </t>
  </si>
  <si>
    <t>Blinn</t>
  </si>
  <si>
    <t xml:space="preserve">502 Circuit Ct </t>
  </si>
  <si>
    <t>Dimarco</t>
  </si>
  <si>
    <t xml:space="preserve">5425 Club Head Rd </t>
  </si>
  <si>
    <t>De Haan</t>
  </si>
  <si>
    <t xml:space="preserve">10937 Goss St </t>
  </si>
  <si>
    <t>Sun Valley</t>
  </si>
  <si>
    <t xml:space="preserve">3262 Jarbidge Way </t>
  </si>
  <si>
    <t>Janz</t>
  </si>
  <si>
    <t xml:space="preserve">155 E 34th Pl </t>
  </si>
  <si>
    <t>Cliff</t>
  </si>
  <si>
    <t xml:space="preserve">801 Arnold Way Apt 308 </t>
  </si>
  <si>
    <t>Divens</t>
  </si>
  <si>
    <t xml:space="preserve">104 NE 134th St </t>
  </si>
  <si>
    <t>Hildebrandt</t>
  </si>
  <si>
    <t xml:space="preserve">5508 Chicago Ave </t>
  </si>
  <si>
    <t xml:space="preserve">5116 St Clare Cir </t>
  </si>
  <si>
    <t>Jerz</t>
  </si>
  <si>
    <t xml:space="preserve">12515 McGregor Blvd Apt 106 </t>
  </si>
  <si>
    <t>Williamsville</t>
  </si>
  <si>
    <t xml:space="preserve">5605 Harbormist Dr </t>
  </si>
  <si>
    <t xml:space="preserve">7648 Water Oak Point Rd </t>
  </si>
  <si>
    <t>Handlin</t>
  </si>
  <si>
    <t xml:space="preserve">12425 N Derringer Rd </t>
  </si>
  <si>
    <t>McIntosh</t>
  </si>
  <si>
    <t xml:space="preserve">181 Bagwell Rd </t>
  </si>
  <si>
    <t>Lasse</t>
  </si>
  <si>
    <t xml:space="preserve">438 W Jefferson St </t>
  </si>
  <si>
    <t>Oconomowoc</t>
  </si>
  <si>
    <t>Kriebel Jr</t>
  </si>
  <si>
    <t>George W</t>
  </si>
  <si>
    <t xml:space="preserve">9 Hayward Rd </t>
  </si>
  <si>
    <t>Mullineaux</t>
  </si>
  <si>
    <t>Dixie</t>
  </si>
  <si>
    <t xml:space="preserve">568 Preston Unger Ct </t>
  </si>
  <si>
    <t>Berkeley Springs</t>
  </si>
  <si>
    <t>Reuhl</t>
  </si>
  <si>
    <t xml:space="preserve">184 Byrd St </t>
  </si>
  <si>
    <t xml:space="preserve">308 Almost Country Rd </t>
  </si>
  <si>
    <t>Cogan Station</t>
  </si>
  <si>
    <t xml:space="preserve">26 Hillcrest Ave </t>
  </si>
  <si>
    <t>McGeehan</t>
  </si>
  <si>
    <t xml:space="preserve">568 W 31st St # 31 </t>
  </si>
  <si>
    <t xml:space="preserve">371 Noland Pike </t>
  </si>
  <si>
    <t>Simpsonville</t>
  </si>
  <si>
    <t>Suhr</t>
  </si>
  <si>
    <t xml:space="preserve">2091 Harvard St </t>
  </si>
  <si>
    <t xml:space="preserve">200 Jackson St Apt 23 </t>
  </si>
  <si>
    <t>Red Bluff</t>
  </si>
  <si>
    <t>Tunioli</t>
  </si>
  <si>
    <t xml:space="preserve">3400 Ben Lomond Pl Apt 119 </t>
  </si>
  <si>
    <t xml:space="preserve">17641 Grizzly Den Rd </t>
  </si>
  <si>
    <t>Survance</t>
  </si>
  <si>
    <t xml:space="preserve">950 Racoa Pl </t>
  </si>
  <si>
    <t>Hennessy</t>
  </si>
  <si>
    <t xml:space="preserve">1 Inspiration Dr </t>
  </si>
  <si>
    <t>Eckroth</t>
  </si>
  <si>
    <t xml:space="preserve">160 Rock Springs Church Rd </t>
  </si>
  <si>
    <t>Gorecki</t>
  </si>
  <si>
    <t xml:space="preserve">36500 N Pointe Dr </t>
  </si>
  <si>
    <t>New Baltimore</t>
  </si>
  <si>
    <t xml:space="preserve">2051 Peninsula Rd </t>
  </si>
  <si>
    <t>Hayley</t>
  </si>
  <si>
    <t xml:space="preserve">16361 Ulysses Rd </t>
  </si>
  <si>
    <t>Magnet</t>
  </si>
  <si>
    <t>Pappano</t>
  </si>
  <si>
    <t>Alexandra D</t>
  </si>
  <si>
    <t xml:space="preserve">330 River Rd </t>
  </si>
  <si>
    <t>Mattawamkeag</t>
  </si>
  <si>
    <t xml:space="preserve">605 Blair Ct </t>
  </si>
  <si>
    <t xml:space="preserve">15741 Sharonhill Dr </t>
  </si>
  <si>
    <t>Strain</t>
  </si>
  <si>
    <t xml:space="preserve">5133 12th Rd S </t>
  </si>
  <si>
    <t>Garab</t>
  </si>
  <si>
    <t>Debra L. D.</t>
  </si>
  <si>
    <t xml:space="preserve">6432 Fall Branch Dr </t>
  </si>
  <si>
    <t>Jeni</t>
  </si>
  <si>
    <t xml:space="preserve">3353 Southbend Pl Apt 102 </t>
  </si>
  <si>
    <t>Orman</t>
  </si>
  <si>
    <t xml:space="preserve">723 W Brompton Ave </t>
  </si>
  <si>
    <t xml:space="preserve">237 Richards Ave </t>
  </si>
  <si>
    <t>Faulhaber</t>
  </si>
  <si>
    <t xml:space="preserve">370 Columbus Ave Apt 4H </t>
  </si>
  <si>
    <t xml:space="preserve">230 Peepeye Cove Rd </t>
  </si>
  <si>
    <t xml:space="preserve">6006 Timbercrest Trl </t>
  </si>
  <si>
    <t>Zwicky</t>
  </si>
  <si>
    <t>Kris</t>
  </si>
  <si>
    <t xml:space="preserve">28 Cedar Rim Trl </t>
  </si>
  <si>
    <t>Galena</t>
  </si>
  <si>
    <t>Watkinson</t>
  </si>
  <si>
    <t>Carson</t>
  </si>
  <si>
    <t xml:space="preserve">2226 N 16th Ave </t>
  </si>
  <si>
    <t>Zurcher</t>
  </si>
  <si>
    <t xml:space="preserve">161 Columbia Hts </t>
  </si>
  <si>
    <t>Tisa</t>
  </si>
  <si>
    <t xml:space="preserve">12187 W New Mexico Pl Null </t>
  </si>
  <si>
    <t xml:space="preserve">2160 Rome Ave </t>
  </si>
  <si>
    <t>Mallory</t>
  </si>
  <si>
    <t xml:space="preserve">4007 S Underwood Pl </t>
  </si>
  <si>
    <t>Kennewick</t>
  </si>
  <si>
    <t>Ligsay</t>
  </si>
  <si>
    <t xml:space="preserve">11872 S Carson Way </t>
  </si>
  <si>
    <t>Ainsley Skye</t>
  </si>
  <si>
    <t xml:space="preserve">1400 Adams St NE </t>
  </si>
  <si>
    <t>Hansel</t>
  </si>
  <si>
    <t xml:space="preserve">307 N Astell Ave </t>
  </si>
  <si>
    <t xml:space="preserve">13034 Shadow Run Blvd </t>
  </si>
  <si>
    <t>Riverview</t>
  </si>
  <si>
    <t>Sileno</t>
  </si>
  <si>
    <t xml:space="preserve">1509 W Cornwallis Dr </t>
  </si>
  <si>
    <t xml:space="preserve">120 N Bethlehem Pike Apt B109 </t>
  </si>
  <si>
    <t>Ft Washington</t>
  </si>
  <si>
    <t>Charles R</t>
  </si>
  <si>
    <t xml:space="preserve">5008 Inspiration Dr SE </t>
  </si>
  <si>
    <t xml:space="preserve">1124 Roberts Mountain Rd </t>
  </si>
  <si>
    <t>Faber</t>
  </si>
  <si>
    <t>Donnelli</t>
  </si>
  <si>
    <t xml:space="preserve">6525 Thomas Pkwy </t>
  </si>
  <si>
    <t>Rockford</t>
  </si>
  <si>
    <t xml:space="preserve">47906 Willis Rd </t>
  </si>
  <si>
    <t>Caniglia</t>
  </si>
  <si>
    <t xml:space="preserve">3306 E Camelback Rd </t>
  </si>
  <si>
    <t>Aebi</t>
  </si>
  <si>
    <t xml:space="preserve">2027 Las Lunas St </t>
  </si>
  <si>
    <t>Wright-Hobart</t>
  </si>
  <si>
    <t xml:space="preserve">14646 E 13th Cir </t>
  </si>
  <si>
    <t>Peditto</t>
  </si>
  <si>
    <t xml:space="preserve">1733 Eagle Trace Blvd </t>
  </si>
  <si>
    <t>Nutt</t>
  </si>
  <si>
    <t xml:space="preserve">6456 Old Church Way </t>
  </si>
  <si>
    <t>Reynoldsburg</t>
  </si>
  <si>
    <t>Luckay</t>
  </si>
  <si>
    <t xml:space="preserve">1320 Kennedy Blvd Apt 106 </t>
  </si>
  <si>
    <t>Cuyahoga Falls</t>
  </si>
  <si>
    <t>Georges</t>
  </si>
  <si>
    <t xml:space="preserve">519 Pinon Creek Rd SE </t>
  </si>
  <si>
    <t>Shubert</t>
  </si>
  <si>
    <t xml:space="preserve">122 South Ave </t>
  </si>
  <si>
    <t>Crivitz</t>
  </si>
  <si>
    <t>Ritz</t>
  </si>
  <si>
    <t xml:space="preserve">217 Redbud Ln NE </t>
  </si>
  <si>
    <t>Gravette</t>
  </si>
  <si>
    <t xml:space="preserve">2339 20th Ave S </t>
  </si>
  <si>
    <t>Nadler</t>
  </si>
  <si>
    <t xml:space="preserve">5145 Via Mindanao </t>
  </si>
  <si>
    <t>Mikulak</t>
  </si>
  <si>
    <t xml:space="preserve">16466 Brick Rd </t>
  </si>
  <si>
    <t xml:space="preserve">32 Gilman St </t>
  </si>
  <si>
    <t>Winslow</t>
  </si>
  <si>
    <t>Ingalls</t>
  </si>
  <si>
    <t xml:space="preserve">10181 Jasmac Ln </t>
  </si>
  <si>
    <t>Brenner</t>
  </si>
  <si>
    <t xml:space="preserve">355 Lexington St </t>
  </si>
  <si>
    <t>Auburndale</t>
  </si>
  <si>
    <t>Hershberger</t>
  </si>
  <si>
    <t>Verna</t>
  </si>
  <si>
    <t xml:space="preserve">40378 S McCully Mountain Rd </t>
  </si>
  <si>
    <t xml:space="preserve">109 Cove Pointe Way </t>
  </si>
  <si>
    <t>Merritt</t>
  </si>
  <si>
    <t xml:space="preserve">3393 Atlantic Hwy </t>
  </si>
  <si>
    <t>Waldoboro</t>
  </si>
  <si>
    <t>Francine</t>
  </si>
  <si>
    <t xml:space="preserve">419 W 48th St </t>
  </si>
  <si>
    <t>Densing</t>
  </si>
  <si>
    <t xml:space="preserve">7806 Jade Falls Ct </t>
  </si>
  <si>
    <t>Peppard</t>
  </si>
  <si>
    <t xml:space="preserve">7742 Botany St </t>
  </si>
  <si>
    <t>Downey</t>
  </si>
  <si>
    <t>Hoeh</t>
  </si>
  <si>
    <t>Dr. Walter R.</t>
  </si>
  <si>
    <t xml:space="preserve">9410 Lost Pond Dr Apt A </t>
  </si>
  <si>
    <t>Twinsburg</t>
  </si>
  <si>
    <t>Newler</t>
  </si>
  <si>
    <t>Merryl</t>
  </si>
  <si>
    <t xml:space="preserve">LINCOLN Rd </t>
  </si>
  <si>
    <t xml:space="preserve">529 W 42nd St Apt 2C </t>
  </si>
  <si>
    <t xml:space="preserve">79 Peaceable Hill Rd </t>
  </si>
  <si>
    <t xml:space="preserve">1209 9th Ave SE </t>
  </si>
  <si>
    <t>Neilsen</t>
  </si>
  <si>
    <t xml:space="preserve">420 E Delaguerra # 210 </t>
  </si>
  <si>
    <t xml:space="preserve">622 S Grand Ave </t>
  </si>
  <si>
    <t>Owens</t>
  </si>
  <si>
    <t xml:space="preserve">11 Lakeside Pl W </t>
  </si>
  <si>
    <t>Harding</t>
  </si>
  <si>
    <t>Nektarios</t>
  </si>
  <si>
    <t xml:space="preserve">PO Box 36 </t>
  </si>
  <si>
    <t>Jordanville</t>
  </si>
  <si>
    <t>Malmquist</t>
  </si>
  <si>
    <t xml:space="preserve">PO Box 390 </t>
  </si>
  <si>
    <t>Danhouser</t>
  </si>
  <si>
    <t xml:space="preserve">405 S Main St </t>
  </si>
  <si>
    <t>Goodman-Dudenas</t>
  </si>
  <si>
    <t xml:space="preserve">405 VILLAGE GREEN Dr </t>
  </si>
  <si>
    <t>Staub</t>
  </si>
  <si>
    <t xml:space="preserve">52403 Wilson Rd </t>
  </si>
  <si>
    <t>Oconnor</t>
  </si>
  <si>
    <t>P. A.</t>
  </si>
  <si>
    <t xml:space="preserve">8264 Lyons Rd </t>
  </si>
  <si>
    <t>Brashares</t>
  </si>
  <si>
    <t>Karon</t>
  </si>
  <si>
    <t xml:space="preserve">4300 W Lake Ave Apt C309 </t>
  </si>
  <si>
    <t>Denninger</t>
  </si>
  <si>
    <t xml:space="preserve">226 April Ln </t>
  </si>
  <si>
    <t>Kranstuber</t>
  </si>
  <si>
    <t xml:space="preserve">907 8th Ave N </t>
  </si>
  <si>
    <t>North Myrtle Beach</t>
  </si>
  <si>
    <t xml:space="preserve">97 Hearn Rd </t>
  </si>
  <si>
    <t>Markley</t>
  </si>
  <si>
    <t xml:space="preserve">19107 15th Ave NW # 31382 </t>
  </si>
  <si>
    <t>Stachura</t>
  </si>
  <si>
    <t>Delores</t>
  </si>
  <si>
    <t xml:space="preserve">405 N 12th St </t>
  </si>
  <si>
    <t>Herrin</t>
  </si>
  <si>
    <t>Alsafi</t>
  </si>
  <si>
    <t xml:space="preserve">6356 S Ironton Ct </t>
  </si>
  <si>
    <t>Shimaoka</t>
  </si>
  <si>
    <t xml:space="preserve">273 Beemer Ave </t>
  </si>
  <si>
    <t>Difeo</t>
  </si>
  <si>
    <t xml:space="preserve">PO Box 3632 </t>
  </si>
  <si>
    <t>Rome</t>
  </si>
  <si>
    <t xml:space="preserve">N170W19842 Willow Ridge Dr </t>
  </si>
  <si>
    <t xml:space="preserve">336 Wyoming Ave </t>
  </si>
  <si>
    <t>Sheridan</t>
  </si>
  <si>
    <t>Ballew</t>
  </si>
  <si>
    <t xml:space="preserve">5806 Mercedes Ave </t>
  </si>
  <si>
    <t>McEvoy</t>
  </si>
  <si>
    <t xml:space="preserve">191 W Pine St </t>
  </si>
  <si>
    <t>Waverly</t>
  </si>
  <si>
    <t xml:space="preserve">2601 Bloomfield Rd </t>
  </si>
  <si>
    <t xml:space="preserve">5809 Cyrilla Dr </t>
  </si>
  <si>
    <t xml:space="preserve">4250 Boulder Ridge Pt </t>
  </si>
  <si>
    <t xml:space="preserve">PO Box 2022 </t>
  </si>
  <si>
    <t>Carlin</t>
  </si>
  <si>
    <t xml:space="preserve">95 Seashore Dr </t>
  </si>
  <si>
    <t xml:space="preserve">10553 E Meadowhill Dr </t>
  </si>
  <si>
    <t xml:space="preserve">11659 Wakefield Dr </t>
  </si>
  <si>
    <t>Pensacola</t>
  </si>
  <si>
    <t xml:space="preserve">3260 Madison Ave </t>
  </si>
  <si>
    <t>Merker</t>
  </si>
  <si>
    <t xml:space="preserve">3235 Emmons Ave </t>
  </si>
  <si>
    <t xml:space="preserve">4650 Stonebridge Ct </t>
  </si>
  <si>
    <t xml:space="preserve">4110 Edison Ave </t>
  </si>
  <si>
    <t>Burki</t>
  </si>
  <si>
    <t xml:space="preserve">8706 49TH Ave SW </t>
  </si>
  <si>
    <t>Stotts</t>
  </si>
  <si>
    <t xml:space="preserve">220 Newnata Cutoff </t>
  </si>
  <si>
    <t>72560-8847</t>
  </si>
  <si>
    <t>Frodsham</t>
  </si>
  <si>
    <t xml:space="preserve">25151 Spring St </t>
  </si>
  <si>
    <t>Perris</t>
  </si>
  <si>
    <t>Hills</t>
  </si>
  <si>
    <t>Rev. Gordon</t>
  </si>
  <si>
    <t xml:space="preserve">95 Manor Dr </t>
  </si>
  <si>
    <t>Palmerton</t>
  </si>
  <si>
    <t>Hunneman</t>
  </si>
  <si>
    <t xml:space="preserve">3 Star Ln </t>
  </si>
  <si>
    <t>Thacker</t>
  </si>
  <si>
    <t xml:space="preserve">1005 Peach Tree </t>
  </si>
  <si>
    <t xml:space="preserve">9240 E Redfield Rd Apt 114 </t>
  </si>
  <si>
    <t xml:space="preserve">282 La Casa Ave </t>
  </si>
  <si>
    <t xml:space="preserve">21 Henderson Rd </t>
  </si>
  <si>
    <t>Pluschke</t>
  </si>
  <si>
    <t xml:space="preserve">2107 E Nashville Church Rd </t>
  </si>
  <si>
    <t>Jachimiak</t>
  </si>
  <si>
    <t xml:space="preserve">835 S Old US Highway 31 Lot 46 </t>
  </si>
  <si>
    <t>Swierszcz</t>
  </si>
  <si>
    <t xml:space="preserve">5716 Kemp Mundy Ln </t>
  </si>
  <si>
    <t>Reisman</t>
  </si>
  <si>
    <t xml:space="preserve">2401 E 6th St </t>
  </si>
  <si>
    <t>Deuro</t>
  </si>
  <si>
    <t xml:space="preserve">4958 Baer Rd </t>
  </si>
  <si>
    <t>Sanborn</t>
  </si>
  <si>
    <t xml:space="preserve">3650 Keswick Rd </t>
  </si>
  <si>
    <t>Bogolub</t>
  </si>
  <si>
    <t xml:space="preserve">1424 Lincoln Ave </t>
  </si>
  <si>
    <t>Galbraith</t>
  </si>
  <si>
    <t xml:space="preserve">5741 13th Ave S </t>
  </si>
  <si>
    <t>Yearwood</t>
  </si>
  <si>
    <t xml:space="preserve">5 Woodstream Ct </t>
  </si>
  <si>
    <t>Eng</t>
  </si>
  <si>
    <t xml:space="preserve">3359 Roods Creek Rd </t>
  </si>
  <si>
    <t>Mercurio</t>
  </si>
  <si>
    <t>Ileana</t>
  </si>
  <si>
    <t xml:space="preserve">529 S Highland Dr </t>
  </si>
  <si>
    <t>Fennessy</t>
  </si>
  <si>
    <t xml:space="preserve">88 Cherry Ln </t>
  </si>
  <si>
    <t>Levittown</t>
  </si>
  <si>
    <t>McCrary</t>
  </si>
  <si>
    <t xml:space="preserve">1759 Yellowstone Ct Apt I </t>
  </si>
  <si>
    <t>Gastonia</t>
  </si>
  <si>
    <t>Carberry</t>
  </si>
  <si>
    <t xml:space="preserve">2029 Friendship St </t>
  </si>
  <si>
    <t>Parrent</t>
  </si>
  <si>
    <t xml:space="preserve">4717 NE Work Ave </t>
  </si>
  <si>
    <t>Pyon</t>
  </si>
  <si>
    <t>Sammy</t>
  </si>
  <si>
    <t xml:space="preserve">634 Meyer Ln Unit D </t>
  </si>
  <si>
    <t>Decker</t>
  </si>
  <si>
    <t xml:space="preserve">3234 Glendon Rd </t>
  </si>
  <si>
    <t>Burnett</t>
  </si>
  <si>
    <t xml:space="preserve">2709 Hermosa Dr NE </t>
  </si>
  <si>
    <t xml:space="preserve">31 Holiday Dr </t>
  </si>
  <si>
    <t>Jamieson</t>
  </si>
  <si>
    <t xml:space="preserve">21900 93rd Pl W </t>
  </si>
  <si>
    <t xml:space="preserve">PO Box 614 </t>
  </si>
  <si>
    <t xml:space="preserve">500 NW 106th Ter </t>
  </si>
  <si>
    <t>Pembroke Pines</t>
  </si>
  <si>
    <t>Mangini</t>
  </si>
  <si>
    <t xml:space="preserve">7359 Old Westover Marion Rd </t>
  </si>
  <si>
    <t>Westover</t>
  </si>
  <si>
    <t>Lucas-Haji</t>
  </si>
  <si>
    <t xml:space="preserve">102 Abbott Dr </t>
  </si>
  <si>
    <t xml:space="preserve">3253 Nowell Ave </t>
  </si>
  <si>
    <t>Olienechak</t>
  </si>
  <si>
    <t xml:space="preserve">22371 Foster Rd </t>
  </si>
  <si>
    <t>Arnett</t>
  </si>
  <si>
    <t xml:space="preserve">310 W Nicholai St </t>
  </si>
  <si>
    <t xml:space="preserve">1300 Edgecumbe Dr </t>
  </si>
  <si>
    <t xml:space="preserve">312 S Main St </t>
  </si>
  <si>
    <t xml:space="preserve">4701 Galewood St Apt A </t>
  </si>
  <si>
    <t>Rosinski</t>
  </si>
  <si>
    <t xml:space="preserve">1 Church Ln Apt J </t>
  </si>
  <si>
    <t>Valley Cottage</t>
  </si>
  <si>
    <t xml:space="preserve">331 Granite St </t>
  </si>
  <si>
    <t xml:space="preserve">1502 Alta Vista Ave </t>
  </si>
  <si>
    <t>Nortness</t>
  </si>
  <si>
    <t xml:space="preserve">5002 Fairway St </t>
  </si>
  <si>
    <t>Sindeband</t>
  </si>
  <si>
    <t xml:space="preserve">751 Canterbury Dr </t>
  </si>
  <si>
    <t>Halifax</t>
  </si>
  <si>
    <t>Chaplin</t>
  </si>
  <si>
    <t xml:space="preserve">20915 Marine View Dr SW </t>
  </si>
  <si>
    <t>Normandy Park</t>
  </si>
  <si>
    <t xml:space="preserve">46 Stratton Rd </t>
  </si>
  <si>
    <t xml:space="preserve">44 Cumberland St </t>
  </si>
  <si>
    <t xml:space="preserve">10021 Tabor St Apt 204 </t>
  </si>
  <si>
    <t>Bobb</t>
  </si>
  <si>
    <t xml:space="preserve">47 NW 100th Ter </t>
  </si>
  <si>
    <t>Miami Shores</t>
  </si>
  <si>
    <t xml:space="preserve">8114 N Calispel Ct </t>
  </si>
  <si>
    <t>Elamma</t>
  </si>
  <si>
    <t>Christy Elamma</t>
  </si>
  <si>
    <t xml:space="preserve">665 S Piatt St </t>
  </si>
  <si>
    <t>Bement</t>
  </si>
  <si>
    <t xml:space="preserve">PO Box 112 </t>
  </si>
  <si>
    <t>Chou</t>
  </si>
  <si>
    <t xml:space="preserve">3256 Ramona St </t>
  </si>
  <si>
    <t xml:space="preserve">212 W James Dr </t>
  </si>
  <si>
    <t>Port Washington</t>
  </si>
  <si>
    <t xml:space="preserve">714 Market St Unit 102 </t>
  </si>
  <si>
    <t xml:space="preserve">2310 Bridlewood Dr </t>
  </si>
  <si>
    <t>Torres</t>
  </si>
  <si>
    <t>Ivy</t>
  </si>
  <si>
    <t xml:space="preserve">4050 W North Ave </t>
  </si>
  <si>
    <t>Insurriaga</t>
  </si>
  <si>
    <t xml:space="preserve">9729 S Avenue H </t>
  </si>
  <si>
    <t>Wyle</t>
  </si>
  <si>
    <t xml:space="preserve">654 Northern Ave </t>
  </si>
  <si>
    <t xml:space="preserve">2612 French Creek Dr </t>
  </si>
  <si>
    <t>Urman</t>
  </si>
  <si>
    <t xml:space="preserve">2330 Donner Way </t>
  </si>
  <si>
    <t xml:space="preserve">20 Esquiline Rd </t>
  </si>
  <si>
    <t>Carmel Valley</t>
  </si>
  <si>
    <t xml:space="preserve">PO Box 1425 </t>
  </si>
  <si>
    <t>Dani</t>
  </si>
  <si>
    <t xml:space="preserve">2142 Woodbridge Rd </t>
  </si>
  <si>
    <t>Bahl-Ajmera</t>
  </si>
  <si>
    <t>Geeta</t>
  </si>
  <si>
    <t xml:space="preserve">2002 Bluebonnet Dr </t>
  </si>
  <si>
    <t>Herlin</t>
  </si>
  <si>
    <t>Melvin</t>
  </si>
  <si>
    <t xml:space="preserve">247 Chandon </t>
  </si>
  <si>
    <t>Mallon</t>
  </si>
  <si>
    <t>Anne-Marie</t>
  </si>
  <si>
    <t xml:space="preserve">360 Huckle Hill Rd </t>
  </si>
  <si>
    <t>Bernardston</t>
  </si>
  <si>
    <t>Trent</t>
  </si>
  <si>
    <t xml:space="preserve">8682 W 150 S </t>
  </si>
  <si>
    <t>Russiaville</t>
  </si>
  <si>
    <t>Vollrath</t>
  </si>
  <si>
    <t xml:space="preserve">21645 Homestead Trl </t>
  </si>
  <si>
    <t>Corcoran</t>
  </si>
  <si>
    <t xml:space="preserve">5026 Deer Trail Ln </t>
  </si>
  <si>
    <t xml:space="preserve">1650 Shasta Ave </t>
  </si>
  <si>
    <t xml:space="preserve">100 SE 52nd Ave </t>
  </si>
  <si>
    <t xml:space="preserve">4802 Glenwood Ave </t>
  </si>
  <si>
    <t xml:space="preserve">336 Meade Dr </t>
  </si>
  <si>
    <t xml:space="preserve">60 Pruitt Rd </t>
  </si>
  <si>
    <t>Hauge</t>
  </si>
  <si>
    <t xml:space="preserve">203 7th Ave W </t>
  </si>
  <si>
    <t>Dickinson</t>
  </si>
  <si>
    <t xml:space="preserve">10241 E Discovery Dr </t>
  </si>
  <si>
    <t>Granucci</t>
  </si>
  <si>
    <t xml:space="preserve">177 Alameda De Las Pulgas </t>
  </si>
  <si>
    <t xml:space="preserve">9692 W 71st Ave </t>
  </si>
  <si>
    <t>Schreck</t>
  </si>
  <si>
    <t xml:space="preserve">17154 Lowenberg Ter </t>
  </si>
  <si>
    <t>Shepard</t>
  </si>
  <si>
    <t xml:space="preserve">4642 W Aire Libre Ave </t>
  </si>
  <si>
    <t>Childers</t>
  </si>
  <si>
    <t xml:space="preserve">610 Vernon Ave </t>
  </si>
  <si>
    <t>Margulies</t>
  </si>
  <si>
    <t xml:space="preserve">32 Glenridge Ave </t>
  </si>
  <si>
    <t>Stony Brook</t>
  </si>
  <si>
    <t>Burgdorf</t>
  </si>
  <si>
    <t xml:space="preserve">7408 Dunaway Dr </t>
  </si>
  <si>
    <t xml:space="preserve">838 N Carmen Ave </t>
  </si>
  <si>
    <t>Denlinden</t>
  </si>
  <si>
    <t>Forrest</t>
  </si>
  <si>
    <t xml:space="preserve">992 Racine St </t>
  </si>
  <si>
    <t>80011-6322</t>
  </si>
  <si>
    <t>Haneberg</t>
  </si>
  <si>
    <t xml:space="preserve">4365 Ulua St </t>
  </si>
  <si>
    <t xml:space="preserve">3172 1st St # Q </t>
  </si>
  <si>
    <t>Mast</t>
  </si>
  <si>
    <t xml:space="preserve">263 Joe Rocky Rd </t>
  </si>
  <si>
    <t>Gaines</t>
  </si>
  <si>
    <t xml:space="preserve">PO Box 627 </t>
  </si>
  <si>
    <t>Lincke</t>
  </si>
  <si>
    <t xml:space="preserve">2526 Davisson St </t>
  </si>
  <si>
    <t>River Grove</t>
  </si>
  <si>
    <t>Sheehy</t>
  </si>
  <si>
    <t xml:space="preserve">4727 Alpine Dr </t>
  </si>
  <si>
    <t>Paxson</t>
  </si>
  <si>
    <t xml:space="preserve">2618 Cypress Ave </t>
  </si>
  <si>
    <t>Micki</t>
  </si>
  <si>
    <t xml:space="preserve">30350 Seaview Rd </t>
  </si>
  <si>
    <t>Cazadero</t>
  </si>
  <si>
    <t>Coreau</t>
  </si>
  <si>
    <t>Lea</t>
  </si>
  <si>
    <t xml:space="preserve">22 Tierney St </t>
  </si>
  <si>
    <t xml:space="preserve">4685 Canterbury Rd </t>
  </si>
  <si>
    <t>Tatiana</t>
  </si>
  <si>
    <t xml:space="preserve">52 Millett Rd </t>
  </si>
  <si>
    <t>Dineen</t>
  </si>
  <si>
    <t xml:space="preserve">326 Prospect Ave Apt 10B </t>
  </si>
  <si>
    <t xml:space="preserve">1740 State Route 22A S </t>
  </si>
  <si>
    <t>Jacks Creek</t>
  </si>
  <si>
    <t>Vila</t>
  </si>
  <si>
    <t xml:space="preserve">8532 Charente Way </t>
  </si>
  <si>
    <t>Elk Grove</t>
  </si>
  <si>
    <t>Futrell</t>
  </si>
  <si>
    <t>Sherrill</t>
  </si>
  <si>
    <t xml:space="preserve">151 Inner Cir </t>
  </si>
  <si>
    <t>Theatrice</t>
  </si>
  <si>
    <t xml:space="preserve">2170 Greencrest Dr NE </t>
  </si>
  <si>
    <t xml:space="preserve">105 Sherwood Rd </t>
  </si>
  <si>
    <t>Porteous</t>
  </si>
  <si>
    <t xml:space="preserve">118 Farm Ln </t>
  </si>
  <si>
    <t xml:space="preserve">7502 W 35th St </t>
  </si>
  <si>
    <t>Tingley</t>
  </si>
  <si>
    <t xml:space="preserve">2 Greenwood Dr </t>
  </si>
  <si>
    <t>Giles</t>
  </si>
  <si>
    <t xml:space="preserve">PO Box 640 </t>
  </si>
  <si>
    <t>Quilcene</t>
  </si>
  <si>
    <t>Calder</t>
  </si>
  <si>
    <t>Erina</t>
  </si>
  <si>
    <t xml:space="preserve">91 W Bel Meadow Ln </t>
  </si>
  <si>
    <t xml:space="preserve">10860 Old US Highway 70 </t>
  </si>
  <si>
    <t>Cove City</t>
  </si>
  <si>
    <t xml:space="preserve">2599 Rabun Way </t>
  </si>
  <si>
    <t>Central Point</t>
  </si>
  <si>
    <t xml:space="preserve">10078 Green Clover Dr </t>
  </si>
  <si>
    <t>21042-1612</t>
  </si>
  <si>
    <t>Sky</t>
  </si>
  <si>
    <t xml:space="preserve">PO Box 698 </t>
  </si>
  <si>
    <t>Gualala</t>
  </si>
  <si>
    <t>95445-0698</t>
  </si>
  <si>
    <t>Hoehn Jr</t>
  </si>
  <si>
    <t xml:space="preserve">159 Chestnut St </t>
  </si>
  <si>
    <t xml:space="preserve">39 Tiffany Cir </t>
  </si>
  <si>
    <t>West Bridgewater</t>
  </si>
  <si>
    <t>Jolynn</t>
  </si>
  <si>
    <t xml:space="preserve">201 Primrose Ln </t>
  </si>
  <si>
    <t>Trout Run</t>
  </si>
  <si>
    <t>Newcome</t>
  </si>
  <si>
    <t xml:space="preserve">8252 Highland St </t>
  </si>
  <si>
    <t>Heneveld</t>
  </si>
  <si>
    <t xml:space="preserve">24 Daigle Dr </t>
  </si>
  <si>
    <t>Enosburg Falls</t>
  </si>
  <si>
    <t>Brinkman</t>
  </si>
  <si>
    <t>Lisabette</t>
  </si>
  <si>
    <t xml:space="preserve">308 E Anapamu St </t>
  </si>
  <si>
    <t xml:space="preserve">1089 W Coy Dr </t>
  </si>
  <si>
    <t>Krokowski</t>
  </si>
  <si>
    <t xml:space="preserve">2980 Sl Henry St Apt 19 </t>
  </si>
  <si>
    <t>West Memphis</t>
  </si>
  <si>
    <t xml:space="preserve">355 Aoloa St </t>
  </si>
  <si>
    <t>Curran</t>
  </si>
  <si>
    <t xml:space="preserve">7 Blueberry Hl </t>
  </si>
  <si>
    <t>Dedham</t>
  </si>
  <si>
    <t xml:space="preserve">5604 Howe St </t>
  </si>
  <si>
    <t>Ida</t>
  </si>
  <si>
    <t xml:space="preserve">1615 Breeze Ln </t>
  </si>
  <si>
    <t xml:space="preserve">PO Box 886 </t>
  </si>
  <si>
    <t xml:space="preserve">2801 Glendower Ave </t>
  </si>
  <si>
    <t xml:space="preserve">1650 Pennsylvania Ave </t>
  </si>
  <si>
    <t>Fairmont</t>
  </si>
  <si>
    <t xml:space="preserve">1011 Cartwright Ln </t>
  </si>
  <si>
    <t>Warthen</t>
  </si>
  <si>
    <t xml:space="preserve">125 Byram Blvd </t>
  </si>
  <si>
    <t>Bognar</t>
  </si>
  <si>
    <t xml:space="preserve">715 SW King Ave Apt 33 </t>
  </si>
  <si>
    <t xml:space="preserve">14301 W Crestview Dr </t>
  </si>
  <si>
    <t xml:space="preserve">13 Tiburon Ct </t>
  </si>
  <si>
    <t>Cates</t>
  </si>
  <si>
    <t xml:space="preserve">340 SE Bingham Dr </t>
  </si>
  <si>
    <t>Oxman</t>
  </si>
  <si>
    <t>Sharen</t>
  </si>
  <si>
    <t xml:space="preserve">639 Escambia Dr </t>
  </si>
  <si>
    <t>Miville</t>
  </si>
  <si>
    <t xml:space="preserve">199 River Rd </t>
  </si>
  <si>
    <t>Willington</t>
  </si>
  <si>
    <t xml:space="preserve">2302 Bryn Mawr Ave </t>
  </si>
  <si>
    <t>Swent</t>
  </si>
  <si>
    <t xml:space="preserve">19201 Firlands Way N </t>
  </si>
  <si>
    <t>Silverman</t>
  </si>
  <si>
    <t xml:space="preserve">452 C Closter Rd </t>
  </si>
  <si>
    <t>Monroe Township</t>
  </si>
  <si>
    <t xml:space="preserve">40 Camino Alto </t>
  </si>
  <si>
    <t>Moissant</t>
  </si>
  <si>
    <t xml:space="preserve">2965 Ross Ln </t>
  </si>
  <si>
    <t>Nerger</t>
  </si>
  <si>
    <t xml:space="preserve">PO Box 17 </t>
  </si>
  <si>
    <t>Naalehu</t>
  </si>
  <si>
    <t>Malmros</t>
  </si>
  <si>
    <t xml:space="preserve">134 Thimbleberry Rd Null </t>
  </si>
  <si>
    <t>Kerchevall</t>
  </si>
  <si>
    <t xml:space="preserve">533 S Nevada St </t>
  </si>
  <si>
    <t xml:space="preserve">4250 Sierra Vis </t>
  </si>
  <si>
    <t xml:space="preserve">911 N Wood St Apt 1 </t>
  </si>
  <si>
    <t xml:space="preserve">1216 Lightwood Dr </t>
  </si>
  <si>
    <t>Feuerhelm</t>
  </si>
  <si>
    <t xml:space="preserve">833 Cooper Point Loop SW </t>
  </si>
  <si>
    <t xml:space="preserve">146 Van Dyke Rd </t>
  </si>
  <si>
    <t>Dolgeville</t>
  </si>
  <si>
    <t>Chianis</t>
  </si>
  <si>
    <t xml:space="preserve">PO Box 836 </t>
  </si>
  <si>
    <t>Blue Jay</t>
  </si>
  <si>
    <t>Herbison</t>
  </si>
  <si>
    <t>B.J.</t>
  </si>
  <si>
    <t xml:space="preserve">203 Long Hill Rd </t>
  </si>
  <si>
    <t>Gettman</t>
  </si>
  <si>
    <t xml:space="preserve">17276 Hillcrest Ave </t>
  </si>
  <si>
    <t xml:space="preserve">1285 S Sherman St </t>
  </si>
  <si>
    <t>Gruchawka</t>
  </si>
  <si>
    <t xml:space="preserve">3605 Hidden Dr Apt E6 </t>
  </si>
  <si>
    <t>Dand</t>
  </si>
  <si>
    <t xml:space="preserve">3631 E 1st St Apt 5 </t>
  </si>
  <si>
    <t>Colgandavis</t>
  </si>
  <si>
    <t xml:space="preserve">101 W Mount Airy Ave </t>
  </si>
  <si>
    <t>Decore</t>
  </si>
  <si>
    <t xml:space="preserve">213 20th St </t>
  </si>
  <si>
    <t>Surf City</t>
  </si>
  <si>
    <t>Smereck</t>
  </si>
  <si>
    <t>Amy Packard</t>
  </si>
  <si>
    <t xml:space="preserve">147 Chestnut St </t>
  </si>
  <si>
    <t>Camden</t>
  </si>
  <si>
    <t>Beeck</t>
  </si>
  <si>
    <t>Natalia</t>
  </si>
  <si>
    <t xml:space="preserve">17 Parkview Ter </t>
  </si>
  <si>
    <t>Darilynn</t>
  </si>
  <si>
    <t xml:space="preserve">1242 S Butler Ave </t>
  </si>
  <si>
    <t>Heckman</t>
  </si>
  <si>
    <t xml:space="preserve">500 N Hendricks Ave </t>
  </si>
  <si>
    <t>Schwarz</t>
  </si>
  <si>
    <t>Sibylle</t>
  </si>
  <si>
    <t xml:space="preserve">PO Box 6099 </t>
  </si>
  <si>
    <t>Eagle River</t>
  </si>
  <si>
    <t>Kionka</t>
  </si>
  <si>
    <t xml:space="preserve">504 E F St </t>
  </si>
  <si>
    <t>Iron Mountain</t>
  </si>
  <si>
    <t>Axle</t>
  </si>
  <si>
    <t xml:space="preserve">2360 Oltesvig Ln </t>
  </si>
  <si>
    <t>Diskin</t>
  </si>
  <si>
    <t xml:space="preserve">607 E 39th Pl </t>
  </si>
  <si>
    <t>Delatte</t>
  </si>
  <si>
    <t>Robyne</t>
  </si>
  <si>
    <t xml:space="preserve">1575 Berkshire Ct </t>
  </si>
  <si>
    <t xml:space="preserve">83 Thicket Ln </t>
  </si>
  <si>
    <t>South Beloit</t>
  </si>
  <si>
    <t xml:space="preserve">88570 Trout Pond Ln </t>
  </si>
  <si>
    <t>Lemes</t>
  </si>
  <si>
    <t xml:space="preserve">PO Box 815 </t>
  </si>
  <si>
    <t xml:space="preserve">233 Pine Blvd </t>
  </si>
  <si>
    <t>Samaras</t>
  </si>
  <si>
    <t xml:space="preserve">30 Main St Apt 4F </t>
  </si>
  <si>
    <t>Augustin</t>
  </si>
  <si>
    <t xml:space="preserve">12230 W Lochland Rd </t>
  </si>
  <si>
    <t>Juniata</t>
  </si>
  <si>
    <t>Hlodnicki</t>
  </si>
  <si>
    <t xml:space="preserve">6235 Lawrence Dr </t>
  </si>
  <si>
    <t xml:space="preserve">92 Mount Vernon Rd </t>
  </si>
  <si>
    <t>Seeger</t>
  </si>
  <si>
    <t xml:space="preserve">204 Southwood Ter </t>
  </si>
  <si>
    <t>Berkey</t>
  </si>
  <si>
    <t xml:space="preserve">S9345 Pleasant Valley Dr </t>
  </si>
  <si>
    <t xml:space="preserve">2435 Marilyn Dr </t>
  </si>
  <si>
    <t>Savige</t>
  </si>
  <si>
    <t xml:space="preserve">5661 Craneybrook Ln </t>
  </si>
  <si>
    <t xml:space="preserve">697 Ryder Rd </t>
  </si>
  <si>
    <t>Sklute</t>
  </si>
  <si>
    <t xml:space="preserve">3107 Midvale Ave </t>
  </si>
  <si>
    <t>Stanhope</t>
  </si>
  <si>
    <t>W.</t>
  </si>
  <si>
    <t xml:space="preserve">15505 Chilcoat Rd </t>
  </si>
  <si>
    <t>Sparks Glencoe</t>
  </si>
  <si>
    <t>Lutman</t>
  </si>
  <si>
    <t xml:space="preserve">4920 Samaria Rd </t>
  </si>
  <si>
    <t>Ottawa Lake</t>
  </si>
  <si>
    <t>Bristow</t>
  </si>
  <si>
    <t xml:space="preserve">8128 Suzanne Dr </t>
  </si>
  <si>
    <t xml:space="preserve">602 E Loomis St </t>
  </si>
  <si>
    <t>Ludington</t>
  </si>
  <si>
    <t>Viadero</t>
  </si>
  <si>
    <t xml:space="preserve">237 Jaycox Rd </t>
  </si>
  <si>
    <t>Cold Spring</t>
  </si>
  <si>
    <t xml:space="preserve">490 Olinda Rd </t>
  </si>
  <si>
    <t>Sweetwater</t>
  </si>
  <si>
    <t>Danda</t>
  </si>
  <si>
    <t xml:space="preserve">337 NW Bailey Ave </t>
  </si>
  <si>
    <t>Ranney</t>
  </si>
  <si>
    <t xml:space="preserve">280 Kamaole Rd </t>
  </si>
  <si>
    <t>Rosenblum</t>
  </si>
  <si>
    <t xml:space="preserve">212 Santa Rita Ave </t>
  </si>
  <si>
    <t xml:space="preserve">49 Austain Ave </t>
  </si>
  <si>
    <t>Syme</t>
  </si>
  <si>
    <t xml:space="preserve">154 Vuelta Maria </t>
  </si>
  <si>
    <t xml:space="preserve">187 Ocean St </t>
  </si>
  <si>
    <t>Stratton</t>
  </si>
  <si>
    <t xml:space="preserve">9484 Monte Cresta Way </t>
  </si>
  <si>
    <t xml:space="preserve">22100 Highway 179 </t>
  </si>
  <si>
    <t>Klopp</t>
  </si>
  <si>
    <t xml:space="preserve">247 Morris Ranch Ct </t>
  </si>
  <si>
    <t xml:space="preserve">1481 Lakehills Dr </t>
  </si>
  <si>
    <t>Schwelm</t>
  </si>
  <si>
    <t xml:space="preserve">9430 SW 64th Ter </t>
  </si>
  <si>
    <t xml:space="preserve">4602 E Desert Cove Ave </t>
  </si>
  <si>
    <t xml:space="preserve">1427 Winsor Dr </t>
  </si>
  <si>
    <t xml:space="preserve">8290 W Ridge Dr </t>
  </si>
  <si>
    <t xml:space="preserve">1565 E Logan Ave </t>
  </si>
  <si>
    <t>Slc</t>
  </si>
  <si>
    <t xml:space="preserve">31654 Baymont Loop </t>
  </si>
  <si>
    <t>Galloway</t>
  </si>
  <si>
    <t xml:space="preserve">PO Box 295 </t>
  </si>
  <si>
    <t>Andring</t>
  </si>
  <si>
    <t xml:space="preserve">4384 Old Mill Rd </t>
  </si>
  <si>
    <t xml:space="preserve">902 Del Paso Blvd Spc 101 </t>
  </si>
  <si>
    <t xml:space="preserve">5136 Beeler St </t>
  </si>
  <si>
    <t xml:space="preserve">PO Box 416 </t>
  </si>
  <si>
    <t>Ashford</t>
  </si>
  <si>
    <t xml:space="preserve">93 Mozart St </t>
  </si>
  <si>
    <t>Enzone</t>
  </si>
  <si>
    <t xml:space="preserve">25 Soundview Dr </t>
  </si>
  <si>
    <t>Ngo</t>
  </si>
  <si>
    <t>Jinn</t>
  </si>
  <si>
    <t xml:space="preserve">1965 Coleman St </t>
  </si>
  <si>
    <t xml:space="preserve">1710 Wychwood St </t>
  </si>
  <si>
    <t xml:space="preserve">13805 Belleshire Ave </t>
  </si>
  <si>
    <t>Murdock</t>
  </si>
  <si>
    <t xml:space="preserve">3940 Via Lucero Apt 16 </t>
  </si>
  <si>
    <t>Sena</t>
  </si>
  <si>
    <t xml:space="preserve">47 Thackeray Rd </t>
  </si>
  <si>
    <t>Robison</t>
  </si>
  <si>
    <t xml:space="preserve">3820 Pershing Ave </t>
  </si>
  <si>
    <t>Ignich</t>
  </si>
  <si>
    <t xml:space="preserve">6080 N Kostner Ave </t>
  </si>
  <si>
    <t>Reineke</t>
  </si>
  <si>
    <t xml:space="preserve">3727 E Tierra Buena Ln </t>
  </si>
  <si>
    <t xml:space="preserve">1290 Fox Run Ln </t>
  </si>
  <si>
    <t>Moya</t>
  </si>
  <si>
    <t xml:space="preserve">91 -1071 Kanela St </t>
  </si>
  <si>
    <t xml:space="preserve">7547 N Matlock Ave </t>
  </si>
  <si>
    <t>Morningstar</t>
  </si>
  <si>
    <t xml:space="preserve">1040 Scrabble Hl </t>
  </si>
  <si>
    <t>Lavers</t>
  </si>
  <si>
    <t xml:space="preserve">630 NW 176th Ct </t>
  </si>
  <si>
    <t>Cremeans</t>
  </si>
  <si>
    <t xml:space="preserve">313 Annis Rd </t>
  </si>
  <si>
    <t>South Amherst</t>
  </si>
  <si>
    <t xml:space="preserve">600 Ives Rd </t>
  </si>
  <si>
    <t>East Greenwich</t>
  </si>
  <si>
    <t xml:space="preserve">441 E Washington Ave </t>
  </si>
  <si>
    <t>Barajas</t>
  </si>
  <si>
    <t xml:space="preserve">1713 Grove St </t>
  </si>
  <si>
    <t>Zollars</t>
  </si>
  <si>
    <t xml:space="preserve">831 E Beverly Way </t>
  </si>
  <si>
    <t>Berliner</t>
  </si>
  <si>
    <t xml:space="preserve">179 Independence Rd </t>
  </si>
  <si>
    <t>Brandl</t>
  </si>
  <si>
    <t xml:space="preserve">1810 Midway Rd </t>
  </si>
  <si>
    <t>De Pere</t>
  </si>
  <si>
    <t>Washil</t>
  </si>
  <si>
    <t xml:space="preserve">598 Mifflin St </t>
  </si>
  <si>
    <t xml:space="preserve">427 W Cleveland Ave </t>
  </si>
  <si>
    <t>Martinson</t>
  </si>
  <si>
    <t xml:space="preserve">15865 Guard St Apt 102 </t>
  </si>
  <si>
    <t>Podowski</t>
  </si>
  <si>
    <t xml:space="preserve">5642 W Gunnison St </t>
  </si>
  <si>
    <t>Wildrick</t>
  </si>
  <si>
    <t xml:space="preserve">8915 S Rice Ave Null </t>
  </si>
  <si>
    <t xml:space="preserve">5605 Kies St NE </t>
  </si>
  <si>
    <t xml:space="preserve">4244 Halford Dr </t>
  </si>
  <si>
    <t>Goslant</t>
  </si>
  <si>
    <t xml:space="preserve">21 Carver St </t>
  </si>
  <si>
    <t>Baglini</t>
  </si>
  <si>
    <t>Sidne</t>
  </si>
  <si>
    <t xml:space="preserve">203 Channing Ave </t>
  </si>
  <si>
    <t>Hoefsloot</t>
  </si>
  <si>
    <t xml:space="preserve">9904 227th Pl SW </t>
  </si>
  <si>
    <t>Hutchins</t>
  </si>
  <si>
    <t xml:space="preserve">150 E Hardy Rd Apt 205 </t>
  </si>
  <si>
    <t>Mulcare</t>
  </si>
  <si>
    <t xml:space="preserve">1110 Benjamin St </t>
  </si>
  <si>
    <t>Aproberts</t>
  </si>
  <si>
    <t xml:space="preserve">251 Twin Ridge Dr </t>
  </si>
  <si>
    <t>Lauzon</t>
  </si>
  <si>
    <t xml:space="preserve">5715 202nd St SW Apt 3 </t>
  </si>
  <si>
    <t xml:space="preserve">9817 Camden St </t>
  </si>
  <si>
    <t xml:space="preserve">PO Box 17394 # 59 </t>
  </si>
  <si>
    <t>Gliva</t>
  </si>
  <si>
    <t xml:space="preserve">313 Emery St Emery </t>
  </si>
  <si>
    <t>Brawley</t>
  </si>
  <si>
    <t xml:space="preserve">195 Long Hollow Cir </t>
  </si>
  <si>
    <t xml:space="preserve">26329 W Plata Ln </t>
  </si>
  <si>
    <t xml:space="preserve">303 Club Dr </t>
  </si>
  <si>
    <t>Wall Township</t>
  </si>
  <si>
    <t>Washa</t>
  </si>
  <si>
    <t xml:space="preserve">2870 Old Creek Rd </t>
  </si>
  <si>
    <t>Moyer</t>
  </si>
  <si>
    <t xml:space="preserve">6800 Wards Ln </t>
  </si>
  <si>
    <t>Crim</t>
  </si>
  <si>
    <t xml:space="preserve">13249 W Keystone Dr </t>
  </si>
  <si>
    <t>Dondi</t>
  </si>
  <si>
    <t xml:space="preserve">1536 High Ave </t>
  </si>
  <si>
    <t>Breanna</t>
  </si>
  <si>
    <t xml:space="preserve">441 Forest St Marion OH43302 </t>
  </si>
  <si>
    <t>Wagoner</t>
  </si>
  <si>
    <t xml:space="preserve">4989 E St Anthonys Ln </t>
  </si>
  <si>
    <t>Post Falls</t>
  </si>
  <si>
    <t>Zoubeck</t>
  </si>
  <si>
    <t xml:space="preserve">88 Folsom Ave </t>
  </si>
  <si>
    <t xml:space="preserve">6015 Chabolyn Ter </t>
  </si>
  <si>
    <t>Pattyn</t>
  </si>
  <si>
    <t xml:space="preserve">35330 Wellston Ave </t>
  </si>
  <si>
    <t>Bousquet</t>
  </si>
  <si>
    <t xml:space="preserve">1301 S Scott St Apt 816 </t>
  </si>
  <si>
    <t xml:space="preserve">214 Belmont Cir </t>
  </si>
  <si>
    <t>Farmville</t>
  </si>
  <si>
    <t>Hammermeister</t>
  </si>
  <si>
    <t xml:space="preserve">16456 Shamhart Dr </t>
  </si>
  <si>
    <t>Granada Hills</t>
  </si>
  <si>
    <t>Pitts</t>
  </si>
  <si>
    <t xml:space="preserve">276 Berkeley Dr </t>
  </si>
  <si>
    <t xml:space="preserve">18200 NE Lewis Rogers Ln </t>
  </si>
  <si>
    <t>Almeida</t>
  </si>
  <si>
    <t xml:space="preserve">84 High St </t>
  </si>
  <si>
    <t>Deep River</t>
  </si>
  <si>
    <t>Attamante</t>
  </si>
  <si>
    <t xml:space="preserve">52 Fairmount Ave </t>
  </si>
  <si>
    <t>Krissy</t>
  </si>
  <si>
    <t xml:space="preserve">20921 Sotra Loop </t>
  </si>
  <si>
    <t>Bott</t>
  </si>
  <si>
    <t xml:space="preserve">7620 Church St </t>
  </si>
  <si>
    <t xml:space="preserve">28880 Via Princesa </t>
  </si>
  <si>
    <t>Murrieta</t>
  </si>
  <si>
    <t>Voeller</t>
  </si>
  <si>
    <t xml:space="preserve">2480 Wayside Ter NE </t>
  </si>
  <si>
    <t>Wellons</t>
  </si>
  <si>
    <t xml:space="preserve">3512 N Lynn Dr </t>
  </si>
  <si>
    <t>Hibbs</t>
  </si>
  <si>
    <t xml:space="preserve">PO Box 892 </t>
  </si>
  <si>
    <t>Noesen</t>
  </si>
  <si>
    <t xml:space="preserve">2572 W Argyle St </t>
  </si>
  <si>
    <t>Palma</t>
  </si>
  <si>
    <t xml:space="preserve">44 Juniper Dr </t>
  </si>
  <si>
    <t>Petty</t>
  </si>
  <si>
    <t xml:space="preserve">4240 E Sioux Way </t>
  </si>
  <si>
    <t>Rimrock</t>
  </si>
  <si>
    <t>Shomer</t>
  </si>
  <si>
    <t xml:space="preserve">PO Box 639 </t>
  </si>
  <si>
    <t>Arlette</t>
  </si>
  <si>
    <t xml:space="preserve">4107 Scarborough Dr </t>
  </si>
  <si>
    <t>Winer</t>
  </si>
  <si>
    <t xml:space="preserve">316 W 51st St </t>
  </si>
  <si>
    <t>Waymire</t>
  </si>
  <si>
    <t xml:space="preserve">12201 Loganberry Dr </t>
  </si>
  <si>
    <t>Goodheart</t>
  </si>
  <si>
    <t>Ava B</t>
  </si>
  <si>
    <t xml:space="preserve">3003 Valmont Rd Lot 102 </t>
  </si>
  <si>
    <t>Podorsky</t>
  </si>
  <si>
    <t xml:space="preserve">202 S Riverside Dr </t>
  </si>
  <si>
    <t>Winamac</t>
  </si>
  <si>
    <t>Van Swearingen</t>
  </si>
  <si>
    <t xml:space="preserve">18229 84th Pl W </t>
  </si>
  <si>
    <t>Janelle</t>
  </si>
  <si>
    <t xml:space="preserve">803 N Main St </t>
  </si>
  <si>
    <t xml:space="preserve">81 Greensboro Rd </t>
  </si>
  <si>
    <t xml:space="preserve">362 Old Mammoth Rd </t>
  </si>
  <si>
    <t>Harter</t>
  </si>
  <si>
    <t xml:space="preserve">1302 Mercury Blvd Apt 34 </t>
  </si>
  <si>
    <t>Lila</t>
  </si>
  <si>
    <t xml:space="preserve">338 Norman Dr </t>
  </si>
  <si>
    <t>Cranberry Twp</t>
  </si>
  <si>
    <t xml:space="preserve">711 Edgewood Dr </t>
  </si>
  <si>
    <t>Ponca City</t>
  </si>
  <si>
    <t xml:space="preserve">1375 Cleome Ln </t>
  </si>
  <si>
    <t>Rheder</t>
  </si>
  <si>
    <t xml:space="preserve">PO Box 931 </t>
  </si>
  <si>
    <t>Jacobson</t>
  </si>
  <si>
    <t>Jake</t>
  </si>
  <si>
    <t xml:space="preserve">PO Box 1423 </t>
  </si>
  <si>
    <t>McAllister</t>
  </si>
  <si>
    <t xml:space="preserve">4508 Sun Ray Ln </t>
  </si>
  <si>
    <t>Kirtley</t>
  </si>
  <si>
    <t xml:space="preserve">12 Carrington Ln </t>
  </si>
  <si>
    <t>Ormond Beach</t>
  </si>
  <si>
    <t xml:space="preserve">7238 SW 54th Ave </t>
  </si>
  <si>
    <t>Helgerson</t>
  </si>
  <si>
    <t xml:space="preserve">10 Turner Rd </t>
  </si>
  <si>
    <t>Persico</t>
  </si>
  <si>
    <t>Sal</t>
  </si>
  <si>
    <t xml:space="preserve">68 Foster St # 2 </t>
  </si>
  <si>
    <t>Grabenhofer</t>
  </si>
  <si>
    <t xml:space="preserve">853 W Heritage Dr </t>
  </si>
  <si>
    <t>Addison</t>
  </si>
  <si>
    <t>Koury</t>
  </si>
  <si>
    <t xml:space="preserve">1029 Rustic Estates Dr </t>
  </si>
  <si>
    <t>Lakeland</t>
  </si>
  <si>
    <t>Steinman</t>
  </si>
  <si>
    <t xml:space="preserve">3533 51st Ave W </t>
  </si>
  <si>
    <t>Byers</t>
  </si>
  <si>
    <t xml:space="preserve">3607 Miller Rd </t>
  </si>
  <si>
    <t>Napoleon</t>
  </si>
  <si>
    <t xml:space="preserve">902 N Pennsylvania Ave </t>
  </si>
  <si>
    <t>Laguardia</t>
  </si>
  <si>
    <t>Anastasia</t>
  </si>
  <si>
    <t xml:space="preserve">260 Lake Meadow Dr </t>
  </si>
  <si>
    <t>Adamson</t>
  </si>
  <si>
    <t xml:space="preserve">2961 N John Wayne Dr </t>
  </si>
  <si>
    <t xml:space="preserve">1229 Thompson Ave </t>
  </si>
  <si>
    <t>Bluefield</t>
  </si>
  <si>
    <t>Pendarvis</t>
  </si>
  <si>
    <t xml:space="preserve">107 Baylor Mountain Cv </t>
  </si>
  <si>
    <t>Haller</t>
  </si>
  <si>
    <t xml:space="preserve">1850 Idlewild Dr Apt K3 </t>
  </si>
  <si>
    <t>McCrosky</t>
  </si>
  <si>
    <t xml:space="preserve">115 Parrish Farm Rd </t>
  </si>
  <si>
    <t>Waynesville</t>
  </si>
  <si>
    <t xml:space="preserve">46 Conifer Cmns </t>
  </si>
  <si>
    <t>Herbstreit</t>
  </si>
  <si>
    <t xml:space="preserve">214 Vine St </t>
  </si>
  <si>
    <t>Moro</t>
  </si>
  <si>
    <t>Taylor Lovendale</t>
  </si>
  <si>
    <t xml:space="preserve">66 Laurel St </t>
  </si>
  <si>
    <t xml:space="preserve">75529 Deer Pass Rd </t>
  </si>
  <si>
    <t xml:space="preserve">4355 Salmon St </t>
  </si>
  <si>
    <t>Varisco</t>
  </si>
  <si>
    <t xml:space="preserve">4212 Glenbrook E </t>
  </si>
  <si>
    <t xml:space="preserve">522 W 157th St </t>
  </si>
  <si>
    <t>Gagliardi</t>
  </si>
  <si>
    <t xml:space="preserve">24 Bobwhite Cir </t>
  </si>
  <si>
    <t>Kellems</t>
  </si>
  <si>
    <t xml:space="preserve">2756 Autumn Lake Dr </t>
  </si>
  <si>
    <t>Canter</t>
  </si>
  <si>
    <t xml:space="preserve">167 Blackfield Dr </t>
  </si>
  <si>
    <t xml:space="preserve">1000 N Camino Cordon </t>
  </si>
  <si>
    <t>Hoch</t>
  </si>
  <si>
    <t xml:space="preserve">196 N Kennebec Ave </t>
  </si>
  <si>
    <t>McConnelsville</t>
  </si>
  <si>
    <t>Kreisman</t>
  </si>
  <si>
    <t xml:space="preserve">2702 Wisconsin Ave NW Apt 301 </t>
  </si>
  <si>
    <t>Bobrow</t>
  </si>
  <si>
    <t>Sydney</t>
  </si>
  <si>
    <t xml:space="preserve">369 W Mountain Rd </t>
  </si>
  <si>
    <t>Oggiono</t>
  </si>
  <si>
    <t xml:space="preserve">3 Sadler Rd </t>
  </si>
  <si>
    <t>McMorris</t>
  </si>
  <si>
    <t>Janene</t>
  </si>
  <si>
    <t xml:space="preserve">7015 W Wanda Lynn Ln </t>
  </si>
  <si>
    <t>Palamara</t>
  </si>
  <si>
    <t xml:space="preserve">17382 Yorkshire Ave </t>
  </si>
  <si>
    <t>Yorba Linda</t>
  </si>
  <si>
    <t>Youngs</t>
  </si>
  <si>
    <t xml:space="preserve">310 Hickory Grove Rd </t>
  </si>
  <si>
    <t xml:space="preserve">3642 Chillingham Ct </t>
  </si>
  <si>
    <t>Champlin</t>
  </si>
  <si>
    <t xml:space="preserve">505 Denslow Hill Road Ext </t>
  </si>
  <si>
    <t>Bordenave</t>
  </si>
  <si>
    <t xml:space="preserve">951 N Adoline Ave </t>
  </si>
  <si>
    <t xml:space="preserve">1922 Prairie Path Ln </t>
  </si>
  <si>
    <t xml:space="preserve">4216 24th St </t>
  </si>
  <si>
    <t xml:space="preserve">5391 W El Camino Del Cerro </t>
  </si>
  <si>
    <t>Rees</t>
  </si>
  <si>
    <t>L. P.</t>
  </si>
  <si>
    <t xml:space="preserve">973 Town Creek Rd </t>
  </si>
  <si>
    <t>Fone</t>
  </si>
  <si>
    <t xml:space="preserve">3582 Route 32 </t>
  </si>
  <si>
    <t>Meuser</t>
  </si>
  <si>
    <t xml:space="preserve">116 Crawford Dr </t>
  </si>
  <si>
    <t>Moog</t>
  </si>
  <si>
    <t xml:space="preserve">27 Stella Dr NJ </t>
  </si>
  <si>
    <t>Parbury</t>
  </si>
  <si>
    <t xml:space="preserve">2055 Sierra Rd Apt 120 </t>
  </si>
  <si>
    <t xml:space="preserve">618 Aspen Meadows Rd </t>
  </si>
  <si>
    <t>Nederland</t>
  </si>
  <si>
    <t>Pizzala</t>
  </si>
  <si>
    <t>Rollin</t>
  </si>
  <si>
    <t xml:space="preserve">5303 43rd Ave </t>
  </si>
  <si>
    <t>Shoemaker-Young</t>
  </si>
  <si>
    <t xml:space="preserve">8800 Homestead Rd </t>
  </si>
  <si>
    <t>Benzonia</t>
  </si>
  <si>
    <t xml:space="preserve">203 Academy St </t>
  </si>
  <si>
    <t>South Orange</t>
  </si>
  <si>
    <t xml:space="preserve">63 McCarty Ave </t>
  </si>
  <si>
    <t>Ripley</t>
  </si>
  <si>
    <t>Carlotta</t>
  </si>
  <si>
    <t xml:space="preserve">1487 Drew Dr </t>
  </si>
  <si>
    <t>Scaltrito</t>
  </si>
  <si>
    <t xml:space="preserve">329 Mosely Ave </t>
  </si>
  <si>
    <t>Camille</t>
  </si>
  <si>
    <t xml:space="preserve">7175 NW Mountain View Dr </t>
  </si>
  <si>
    <t>Quilty</t>
  </si>
  <si>
    <t xml:space="preserve">3601 6th Ave Apt 320 </t>
  </si>
  <si>
    <t>Moline</t>
  </si>
  <si>
    <t xml:space="preserve">1 Nason Dr Apt 616 </t>
  </si>
  <si>
    <t>Korman</t>
  </si>
  <si>
    <t>Radha</t>
  </si>
  <si>
    <t xml:space="preserve">467 Warren St </t>
  </si>
  <si>
    <t xml:space="preserve">1968 Harley Ct </t>
  </si>
  <si>
    <t>Hadden</t>
  </si>
  <si>
    <t xml:space="preserve">700 Charles Rd </t>
  </si>
  <si>
    <t>Yorktown</t>
  </si>
  <si>
    <t>Giese</t>
  </si>
  <si>
    <t>Mark M</t>
  </si>
  <si>
    <t xml:space="preserve">1520 Bryn Mawr Ave </t>
  </si>
  <si>
    <t>Mount Pleasant</t>
  </si>
  <si>
    <t>53403-3606</t>
  </si>
  <si>
    <t>Rehman</t>
  </si>
  <si>
    <t xml:space="preserve">63 Taylor Ave # B </t>
  </si>
  <si>
    <t>05443-1012</t>
  </si>
  <si>
    <t>Barbezat</t>
  </si>
  <si>
    <t xml:space="preserve">789 Rocky Gap Dr </t>
  </si>
  <si>
    <t>60124-3141</t>
  </si>
  <si>
    <t>Ruth W.</t>
  </si>
  <si>
    <t xml:space="preserve">1848 Circle Loop SE </t>
  </si>
  <si>
    <t>98503-2585</t>
  </si>
  <si>
    <t xml:space="preserve">1316 Pasadena Ave S Apt 301 </t>
  </si>
  <si>
    <t>South Pasadena</t>
  </si>
  <si>
    <t>33707-3735</t>
  </si>
  <si>
    <t xml:space="preserve">430 Shannon Dr </t>
  </si>
  <si>
    <t>41017-3354</t>
  </si>
  <si>
    <t>Lensu</t>
  </si>
  <si>
    <t xml:space="preserve">53 Davis Ave </t>
  </si>
  <si>
    <t xml:space="preserve">4652 Park Bend Dr </t>
  </si>
  <si>
    <t>Conley</t>
  </si>
  <si>
    <t xml:space="preserve">4140 S 800 W </t>
  </si>
  <si>
    <t>San Pierre</t>
  </si>
  <si>
    <t xml:space="preserve">2830 5th St </t>
  </si>
  <si>
    <t>Sonette</t>
  </si>
  <si>
    <t xml:space="preserve">N1524 Wildwood Rd </t>
  </si>
  <si>
    <t>Lake Geneva</t>
  </si>
  <si>
    <t>Swift</t>
  </si>
  <si>
    <t xml:space="preserve">304 Edison Glen Ter </t>
  </si>
  <si>
    <t>Koivuniemi</t>
  </si>
  <si>
    <t xml:space="preserve">1304 E 82nd St </t>
  </si>
  <si>
    <t>Boutell</t>
  </si>
  <si>
    <t xml:space="preserve">PO Box 22423 </t>
  </si>
  <si>
    <t xml:space="preserve">2622 Mills Dr </t>
  </si>
  <si>
    <t>Linehan</t>
  </si>
  <si>
    <t xml:space="preserve">421 E Lancaster Ave Apt B7 </t>
  </si>
  <si>
    <t>Loehlein</t>
  </si>
  <si>
    <t xml:space="preserve">8608 NE 13th Pl </t>
  </si>
  <si>
    <t>S. A.</t>
  </si>
  <si>
    <t xml:space="preserve">904 Norris Dr </t>
  </si>
  <si>
    <t xml:space="preserve">49 Mattson Ln </t>
  </si>
  <si>
    <t>Blue Hill</t>
  </si>
  <si>
    <t xml:space="preserve">129 Monticello Ct </t>
  </si>
  <si>
    <t>Speciale</t>
  </si>
  <si>
    <t xml:space="preserve">13401 Annie Oakley Cir </t>
  </si>
  <si>
    <t xml:space="preserve">3874 Roundhill Dr </t>
  </si>
  <si>
    <t xml:space="preserve">3705 Lerch St </t>
  </si>
  <si>
    <t>Caitlin</t>
  </si>
  <si>
    <t xml:space="preserve">351 W 24th St Apt 8H </t>
  </si>
  <si>
    <t>10011-1518</t>
  </si>
  <si>
    <t>Schroer</t>
  </si>
  <si>
    <t xml:space="preserve">1128 Dutch Ln NE </t>
  </si>
  <si>
    <t>43055-8505</t>
  </si>
  <si>
    <t>Brewer</t>
  </si>
  <si>
    <t xml:space="preserve">2035 Timothy Rd Apt H308 </t>
  </si>
  <si>
    <t>Athens</t>
  </si>
  <si>
    <t>30606-7811</t>
  </si>
  <si>
    <t>Waterstraut</t>
  </si>
  <si>
    <t xml:space="preserve">309 W Shawnee St </t>
  </si>
  <si>
    <t>49286-1338</t>
  </si>
  <si>
    <t>Blanca Luz</t>
  </si>
  <si>
    <t xml:space="preserve">2516 Monterey Pl </t>
  </si>
  <si>
    <t>92833-2031</t>
  </si>
  <si>
    <t>Mulligan</t>
  </si>
  <si>
    <t>Margi</t>
  </si>
  <si>
    <t xml:space="preserve">15 Thomas Ave </t>
  </si>
  <si>
    <t>Bryn Mawr</t>
  </si>
  <si>
    <t>19010-2606</t>
  </si>
  <si>
    <t>Jaffee</t>
  </si>
  <si>
    <t xml:space="preserve">4723 NE 14th Ave </t>
  </si>
  <si>
    <t xml:space="preserve">6611 Remington Dr </t>
  </si>
  <si>
    <t>Pelham</t>
  </si>
  <si>
    <t>Beaudry</t>
  </si>
  <si>
    <t xml:space="preserve">41 Harley Dr </t>
  </si>
  <si>
    <t xml:space="preserve">2792 Saint Paul Blvd </t>
  </si>
  <si>
    <t>Dobesh</t>
  </si>
  <si>
    <t xml:space="preserve">34 Springhouse Rd </t>
  </si>
  <si>
    <t>Laquatra</t>
  </si>
  <si>
    <t xml:space="preserve">2926 Eucalyptus Ave </t>
  </si>
  <si>
    <t>Mikelson</t>
  </si>
  <si>
    <t xml:space="preserve">8 Bangor Cir </t>
  </si>
  <si>
    <t xml:space="preserve">167 Del Mar Cira </t>
  </si>
  <si>
    <t>Blask</t>
  </si>
  <si>
    <t xml:space="preserve">2427 Indiana Ave </t>
  </si>
  <si>
    <t>Hocevar</t>
  </si>
  <si>
    <t xml:space="preserve">3277 Sandy Lake Rd </t>
  </si>
  <si>
    <t>Ravenna</t>
  </si>
  <si>
    <t>Nunez</t>
  </si>
  <si>
    <t xml:space="preserve">15100 SE 92nd Ct </t>
  </si>
  <si>
    <t>Summerfield</t>
  </si>
  <si>
    <t>D'Souza</t>
  </si>
  <si>
    <t>Neville</t>
  </si>
  <si>
    <t xml:space="preserve">2972 Rhodes Dr </t>
  </si>
  <si>
    <t>Tanja</t>
  </si>
  <si>
    <t xml:space="preserve">28 Mohala Pl </t>
  </si>
  <si>
    <t>Palazzo</t>
  </si>
  <si>
    <t xml:space="preserve">8204 NW 101st Ave </t>
  </si>
  <si>
    <t>Bretschneider</t>
  </si>
  <si>
    <t xml:space="preserve">9926 Melissa Dr </t>
  </si>
  <si>
    <t xml:space="preserve">HOLLISTER Ave </t>
  </si>
  <si>
    <t xml:space="preserve">31 Defacto Ln </t>
  </si>
  <si>
    <t>Stehekin</t>
  </si>
  <si>
    <t>Durga</t>
  </si>
  <si>
    <t xml:space="preserve">9990 Kingston Farm Rd NE </t>
  </si>
  <si>
    <t>Jarrett</t>
  </si>
  <si>
    <t xml:space="preserve">280 Tucker Rd </t>
  </si>
  <si>
    <t>Limington</t>
  </si>
  <si>
    <t>Didenko</t>
  </si>
  <si>
    <t>Lyudmila</t>
  </si>
  <si>
    <t xml:space="preserve">464 NE 18th St </t>
  </si>
  <si>
    <t>Willette</t>
  </si>
  <si>
    <t xml:space="preserve">PO Box 551 </t>
  </si>
  <si>
    <t xml:space="preserve">300 Madison Ave Apt 313 </t>
  </si>
  <si>
    <t>Childress</t>
  </si>
  <si>
    <t>Breckinridge</t>
  </si>
  <si>
    <t xml:space="preserve">318 Foreside Rd </t>
  </si>
  <si>
    <t xml:space="preserve">44 Hickory Way </t>
  </si>
  <si>
    <t>Luque</t>
  </si>
  <si>
    <t>Mirta</t>
  </si>
  <si>
    <t xml:space="preserve">5274 Apennines Cir </t>
  </si>
  <si>
    <t>Pipke</t>
  </si>
  <si>
    <t xml:space="preserve">41 Fern St </t>
  </si>
  <si>
    <t>Rocky Hill</t>
  </si>
  <si>
    <t>Waak</t>
  </si>
  <si>
    <t xml:space="preserve">Address Withheld </t>
  </si>
  <si>
    <t>Tuomi</t>
  </si>
  <si>
    <t>R.G.</t>
  </si>
  <si>
    <t xml:space="preserve">1642 Orinda Ct </t>
  </si>
  <si>
    <t xml:space="preserve">3804 Bunker Hl </t>
  </si>
  <si>
    <t xml:space="preserve">2463 Dulzura Ave </t>
  </si>
  <si>
    <t xml:space="preserve">5305 Linsey Lakes Dr # 2 </t>
  </si>
  <si>
    <t>Caiazzo</t>
  </si>
  <si>
    <t xml:space="preserve">6941 182nd St </t>
  </si>
  <si>
    <t>Fresh Meadows</t>
  </si>
  <si>
    <t xml:space="preserve">10107 SW Trapper Ter # 24 </t>
  </si>
  <si>
    <t xml:space="preserve">7149 Del Lago Dr </t>
  </si>
  <si>
    <t>Floeck</t>
  </si>
  <si>
    <t xml:space="preserve">127 N Harper Ave </t>
  </si>
  <si>
    <t xml:space="preserve">66 Old Farm Rd </t>
  </si>
  <si>
    <t>Sturbridge</t>
  </si>
  <si>
    <t>Giraud</t>
  </si>
  <si>
    <t xml:space="preserve">22716 Ridgeway St </t>
  </si>
  <si>
    <t xml:space="preserve">PO Box 193 </t>
  </si>
  <si>
    <t>Orcas</t>
  </si>
  <si>
    <t>Spitz</t>
  </si>
  <si>
    <t>Sarah A</t>
  </si>
  <si>
    <t xml:space="preserve">1621 Centinela Ave Apt D </t>
  </si>
  <si>
    <t xml:space="preserve">1766 Ninevah Rd </t>
  </si>
  <si>
    <t>Knox</t>
  </si>
  <si>
    <t>Monaghan</t>
  </si>
  <si>
    <t xml:space="preserve">20 Skyline Dr </t>
  </si>
  <si>
    <t>Dervin</t>
  </si>
  <si>
    <t xml:space="preserve">3638 Craigsher Dr </t>
  </si>
  <si>
    <t>Dyner</t>
  </si>
  <si>
    <t xml:space="preserve">3908 Falcon Dr </t>
  </si>
  <si>
    <t xml:space="preserve">PO Box 553 </t>
  </si>
  <si>
    <t>East Hampton</t>
  </si>
  <si>
    <t>Schalin</t>
  </si>
  <si>
    <t>Amaryntha</t>
  </si>
  <si>
    <t xml:space="preserve">1113 Johnstown Rd </t>
  </si>
  <si>
    <t>23322-8812</t>
  </si>
  <si>
    <t>Keck</t>
  </si>
  <si>
    <t xml:space="preserve">40 Pinedale Rd </t>
  </si>
  <si>
    <t>28805-1542</t>
  </si>
  <si>
    <t>Ritchings</t>
  </si>
  <si>
    <t xml:space="preserve">25 Woodale Rd </t>
  </si>
  <si>
    <t>19118-3429</t>
  </si>
  <si>
    <t>Sattler</t>
  </si>
  <si>
    <t xml:space="preserve">1159 Brighton Beach Ave Apt 4B </t>
  </si>
  <si>
    <t>11235-5914</t>
  </si>
  <si>
    <t>Says</t>
  </si>
  <si>
    <t xml:space="preserve">PO Box 653 </t>
  </si>
  <si>
    <t>Mena</t>
  </si>
  <si>
    <t>71953-0653</t>
  </si>
  <si>
    <t>Leverett</t>
  </si>
  <si>
    <t xml:space="preserve">106 Morningside Dr </t>
  </si>
  <si>
    <t>01062-1049</t>
  </si>
  <si>
    <t>Resh</t>
  </si>
  <si>
    <t xml:space="preserve">1153 Marticville Rd </t>
  </si>
  <si>
    <t>Pequea</t>
  </si>
  <si>
    <t>Munson</t>
  </si>
  <si>
    <t xml:space="preserve">189 Mohawk St </t>
  </si>
  <si>
    <t>Ronkonkoma</t>
  </si>
  <si>
    <t>Emmy</t>
  </si>
  <si>
    <t xml:space="preserve">520 N Kingsbury St </t>
  </si>
  <si>
    <t>Mallini</t>
  </si>
  <si>
    <t xml:space="preserve">348 Kaelepulu Dr Apt H </t>
  </si>
  <si>
    <t xml:space="preserve">131 San Miguel Dr </t>
  </si>
  <si>
    <t>Fordham</t>
  </si>
  <si>
    <t xml:space="preserve">2652 Quiet Water Cv </t>
  </si>
  <si>
    <t>N.</t>
  </si>
  <si>
    <t xml:space="preserve">7914 S Luella Ave </t>
  </si>
  <si>
    <t>Willoby</t>
  </si>
  <si>
    <t xml:space="preserve">250 El Dorado Blvd Apt 212 </t>
  </si>
  <si>
    <t>Hannelore</t>
  </si>
  <si>
    <t xml:space="preserve">8426 Bee Meadow Ln </t>
  </si>
  <si>
    <t>Missouri City</t>
  </si>
  <si>
    <t>Piepgrass</t>
  </si>
  <si>
    <t xml:space="preserve">1720 Ala Moana Blvd Apt 206B </t>
  </si>
  <si>
    <t>Jess</t>
  </si>
  <si>
    <t xml:space="preserve">229 Flag Pond Rd </t>
  </si>
  <si>
    <t>Mundy</t>
  </si>
  <si>
    <t xml:space="preserve">1042 W Marjorie St </t>
  </si>
  <si>
    <t>Kompanek</t>
  </si>
  <si>
    <t xml:space="preserve">20 N Shore Blvd </t>
  </si>
  <si>
    <t>Dietzmann</t>
  </si>
  <si>
    <t xml:space="preserve">PO Box 712 </t>
  </si>
  <si>
    <t>Nealy</t>
  </si>
  <si>
    <t xml:space="preserve">152 Moulton Hill Rd </t>
  </si>
  <si>
    <t>Juarez</t>
  </si>
  <si>
    <t xml:space="preserve">1279 Chesterfield Ln </t>
  </si>
  <si>
    <t>Grayslake</t>
  </si>
  <si>
    <t>Walbridge</t>
  </si>
  <si>
    <t xml:space="preserve">245 NW Clay Ct </t>
  </si>
  <si>
    <t>Pullman</t>
  </si>
  <si>
    <t>Reckling</t>
  </si>
  <si>
    <t xml:space="preserve">1841 Atlanta St </t>
  </si>
  <si>
    <t>Palmonari</t>
  </si>
  <si>
    <t xml:space="preserve">14 Fulmar Dr </t>
  </si>
  <si>
    <t>Voorhees</t>
  </si>
  <si>
    <t>Karol</t>
  </si>
  <si>
    <t xml:space="preserve">4438 Hunting Trl </t>
  </si>
  <si>
    <t>Rametta</t>
  </si>
  <si>
    <t xml:space="preserve">748 Davis St </t>
  </si>
  <si>
    <t>Tinus</t>
  </si>
  <si>
    <t>Jacob</t>
  </si>
  <si>
    <t xml:space="preserve">126 Pond St </t>
  </si>
  <si>
    <t>Dunstable</t>
  </si>
  <si>
    <t xml:space="preserve">8481 Thunderhill Hts </t>
  </si>
  <si>
    <t>Mullennix</t>
  </si>
  <si>
    <t xml:space="preserve">20036 S Great Oaks Cir </t>
  </si>
  <si>
    <t xml:space="preserve">249 A St Apt 43 </t>
  </si>
  <si>
    <t>Wallick</t>
  </si>
  <si>
    <t xml:space="preserve">1134 Main St </t>
  </si>
  <si>
    <t>Huron</t>
  </si>
  <si>
    <t xml:space="preserve">528 Baker St </t>
  </si>
  <si>
    <t>Kipnes</t>
  </si>
  <si>
    <t xml:space="preserve">23 Nathaniel Dr </t>
  </si>
  <si>
    <t>Hague</t>
  </si>
  <si>
    <t xml:space="preserve">2904 True Rd </t>
  </si>
  <si>
    <t xml:space="preserve">264 Montgomery Ave </t>
  </si>
  <si>
    <t>Haverford</t>
  </si>
  <si>
    <t>Sherkow</t>
  </si>
  <si>
    <t xml:space="preserve">2200 W Granville Ave Apt 3 </t>
  </si>
  <si>
    <t>I</t>
  </si>
  <si>
    <t>Hiroko</t>
  </si>
  <si>
    <t xml:space="preserve">WAIPIO Rd </t>
  </si>
  <si>
    <t>Honokaa</t>
  </si>
  <si>
    <t>Walden</t>
  </si>
  <si>
    <t>Walt Waldo</t>
  </si>
  <si>
    <t xml:space="preserve">210 S Olive St </t>
  </si>
  <si>
    <t xml:space="preserve">6010 S Westmoreland Rd </t>
  </si>
  <si>
    <t>Thurairatnam</t>
  </si>
  <si>
    <t xml:space="preserve">6097 Park Ridge Dr </t>
  </si>
  <si>
    <t xml:space="preserve">1836 Loch Shiel Rd </t>
  </si>
  <si>
    <t>Kosinski</t>
  </si>
  <si>
    <t xml:space="preserve">112 N La Patera Ln </t>
  </si>
  <si>
    <t>Ashbrook</t>
  </si>
  <si>
    <t>Doris J</t>
  </si>
  <si>
    <t xml:space="preserve">400 S 15th St </t>
  </si>
  <si>
    <t>Zeis</t>
  </si>
  <si>
    <t xml:space="preserve">8691 Park Dr </t>
  </si>
  <si>
    <t>McCarter</t>
  </si>
  <si>
    <t>Angel</t>
  </si>
  <si>
    <t xml:space="preserve">5213 Candelaria Rd NE </t>
  </si>
  <si>
    <t>Koechner</t>
  </si>
  <si>
    <t xml:space="preserve">1124 Monte Alto Ct NE </t>
  </si>
  <si>
    <t>Langelotti</t>
  </si>
  <si>
    <t>Alexis</t>
  </si>
  <si>
    <t xml:space="preserve">384 Roosevelt St </t>
  </si>
  <si>
    <t>Little</t>
  </si>
  <si>
    <t xml:space="preserve">Onekirkwoodct </t>
  </si>
  <si>
    <t xml:space="preserve">75 Mechanic St </t>
  </si>
  <si>
    <t>Silvestro</t>
  </si>
  <si>
    <t xml:space="preserve">4 Carol Ave </t>
  </si>
  <si>
    <t>Manorville</t>
  </si>
  <si>
    <t>Volk</t>
  </si>
  <si>
    <t xml:space="preserve">5542 S Natchez Ave </t>
  </si>
  <si>
    <t>Renn</t>
  </si>
  <si>
    <t xml:space="preserve">730 Arenas St </t>
  </si>
  <si>
    <t>Vecchiotti</t>
  </si>
  <si>
    <t xml:space="preserve">14066 W Maple Ave </t>
  </si>
  <si>
    <t>Parshall</t>
  </si>
  <si>
    <t xml:space="preserve">723 Decker Ave </t>
  </si>
  <si>
    <t>Chappell</t>
  </si>
  <si>
    <t xml:space="preserve">81 Clove Valley Rd </t>
  </si>
  <si>
    <t>High Falls</t>
  </si>
  <si>
    <t>Chwatt</t>
  </si>
  <si>
    <t xml:space="preserve">115 Woodfield Dr </t>
  </si>
  <si>
    <t>Short Hills</t>
  </si>
  <si>
    <t>Vaulx-Smith</t>
  </si>
  <si>
    <t>Wilford</t>
  </si>
  <si>
    <t xml:space="preserve">31 Hoyt Dr </t>
  </si>
  <si>
    <t>Indiana</t>
  </si>
  <si>
    <t>Sadowsky</t>
  </si>
  <si>
    <t xml:space="preserve">4225 SW 84th Ave </t>
  </si>
  <si>
    <t>Tracie</t>
  </si>
  <si>
    <t xml:space="preserve">795 6th St E Apt 308 </t>
  </si>
  <si>
    <t xml:space="preserve">3418 Hollywood Dr NE </t>
  </si>
  <si>
    <t>Arveson</t>
  </si>
  <si>
    <t xml:space="preserve">16707 46th Street Ct E </t>
  </si>
  <si>
    <t>Lake Tapps</t>
  </si>
  <si>
    <t>Miles</t>
  </si>
  <si>
    <t xml:space="preserve">290 Windrift Ct </t>
  </si>
  <si>
    <t>Mumford</t>
  </si>
  <si>
    <t xml:space="preserve">226 S Bridge Ave Apt 2 </t>
  </si>
  <si>
    <t xml:space="preserve">2310 6th St Apt 3 </t>
  </si>
  <si>
    <t>Keyes</t>
  </si>
  <si>
    <t xml:space="preserve">200 W Russell St </t>
  </si>
  <si>
    <t>Saline</t>
  </si>
  <si>
    <t xml:space="preserve">1720 N Harvard Blvd Apt 28 </t>
  </si>
  <si>
    <t xml:space="preserve">2010 N 3rd Ave E </t>
  </si>
  <si>
    <t>Dinhofer</t>
  </si>
  <si>
    <t>Jacalyn</t>
  </si>
  <si>
    <t xml:space="preserve">16 W 16th St Apt 6PS </t>
  </si>
  <si>
    <t>Oliver</t>
  </si>
  <si>
    <t xml:space="preserve">280 Summer St </t>
  </si>
  <si>
    <t>Deyoung</t>
  </si>
  <si>
    <t xml:space="preserve">75 -5778 Waiola Pl </t>
  </si>
  <si>
    <t xml:space="preserve">211 Roundtree Way </t>
  </si>
  <si>
    <t xml:space="preserve">204 Christenson Way NE </t>
  </si>
  <si>
    <t>London</t>
  </si>
  <si>
    <t xml:space="preserve">PO Box 7071 </t>
  </si>
  <si>
    <t xml:space="preserve">16753 Cache Creek Ln </t>
  </si>
  <si>
    <t>Clearlake</t>
  </si>
  <si>
    <t xml:space="preserve">15639 Agate Creek Dr </t>
  </si>
  <si>
    <t>Monument</t>
  </si>
  <si>
    <t>Frazier</t>
  </si>
  <si>
    <t xml:space="preserve">3582 Pleasant Brook Village Ln Apt E </t>
  </si>
  <si>
    <t>Doraville</t>
  </si>
  <si>
    <t>Dell</t>
  </si>
  <si>
    <t xml:space="preserve">501 Green Acres Dr </t>
  </si>
  <si>
    <t>Wimberley</t>
  </si>
  <si>
    <t xml:space="preserve">3218 N Sheffield Ave </t>
  </si>
  <si>
    <t>Schmieding</t>
  </si>
  <si>
    <t xml:space="preserve">15625 S St Apt 311 </t>
  </si>
  <si>
    <t>Watten</t>
  </si>
  <si>
    <t xml:space="preserve">6851 E Kallin Way </t>
  </si>
  <si>
    <t xml:space="preserve">2021 Bingham Ln </t>
  </si>
  <si>
    <t>Del Castillo</t>
  </si>
  <si>
    <t>Yunuen</t>
  </si>
  <si>
    <t xml:space="preserve">1211 Shafter Ave </t>
  </si>
  <si>
    <t xml:space="preserve">9204 Hendrix Rd NE </t>
  </si>
  <si>
    <t>Coury</t>
  </si>
  <si>
    <t xml:space="preserve">6817 Woodgrain Ct </t>
  </si>
  <si>
    <t>Theis</t>
  </si>
  <si>
    <t xml:space="preserve">4691 S Range Rd </t>
  </si>
  <si>
    <t>New Middletown</t>
  </si>
  <si>
    <t>Ouellette</t>
  </si>
  <si>
    <t xml:space="preserve">14078 MacTaggart Ave </t>
  </si>
  <si>
    <t>Bow</t>
  </si>
  <si>
    <t>Schlafer - Parton</t>
  </si>
  <si>
    <t xml:space="preserve">7741 Dyer Rd </t>
  </si>
  <si>
    <t>Luttrell</t>
  </si>
  <si>
    <t>Chrisos</t>
  </si>
  <si>
    <t xml:space="preserve">1830 N Windsor Dr </t>
  </si>
  <si>
    <t>Greear</t>
  </si>
  <si>
    <t xml:space="preserve">1808 S Indian Trail Dr </t>
  </si>
  <si>
    <t>Harker</t>
  </si>
  <si>
    <t xml:space="preserve">402 S Stanford St </t>
  </si>
  <si>
    <t>Kirksville</t>
  </si>
  <si>
    <t>Szelc</t>
  </si>
  <si>
    <t xml:space="preserve">20565 Tidewater Ct </t>
  </si>
  <si>
    <t>Lemay</t>
  </si>
  <si>
    <t xml:space="preserve">107 Oakbend Dr </t>
  </si>
  <si>
    <t>Coppell</t>
  </si>
  <si>
    <t xml:space="preserve">128 3rd St W </t>
  </si>
  <si>
    <t>East Canton</t>
  </si>
  <si>
    <t>Sternitzke</t>
  </si>
  <si>
    <t xml:space="preserve">806 Mandolin Wind </t>
  </si>
  <si>
    <t xml:space="preserve">39 Lincoln Ave </t>
  </si>
  <si>
    <t xml:space="preserve">1400 Bonnie Burn Cir </t>
  </si>
  <si>
    <t>Winter Park</t>
  </si>
  <si>
    <t xml:space="preserve">2899 Mickelson Pkwy </t>
  </si>
  <si>
    <t>53711-6483</t>
  </si>
  <si>
    <t>Nyikes</t>
  </si>
  <si>
    <t xml:space="preserve">104 Segura St </t>
  </si>
  <si>
    <t>Royal Palm Beach</t>
  </si>
  <si>
    <t>33411-1014</t>
  </si>
  <si>
    <t xml:space="preserve">830 El Llano Rd </t>
  </si>
  <si>
    <t>87532-6757</t>
  </si>
  <si>
    <t>Engh</t>
  </si>
  <si>
    <t>Mary Jane</t>
  </si>
  <si>
    <t xml:space="preserve">PO Box 97 </t>
  </si>
  <si>
    <t>Garfield</t>
  </si>
  <si>
    <t>99130-0097</t>
  </si>
  <si>
    <t xml:space="preserve">917 W Danbury Rd </t>
  </si>
  <si>
    <t>85023-2633</t>
  </si>
  <si>
    <t>Zelenak</t>
  </si>
  <si>
    <t xml:space="preserve">288 Highview Dr </t>
  </si>
  <si>
    <t>27517-7911</t>
  </si>
  <si>
    <t xml:space="preserve">3919 51St Avenue Ct NW </t>
  </si>
  <si>
    <t>98335-8003</t>
  </si>
  <si>
    <t xml:space="preserve">154 Leffingwell Ave </t>
  </si>
  <si>
    <t>06710-1142</t>
  </si>
  <si>
    <t>Michelli</t>
  </si>
  <si>
    <t xml:space="preserve">45 Wenonah Ave </t>
  </si>
  <si>
    <t>07436-3009</t>
  </si>
  <si>
    <t>Alfino</t>
  </si>
  <si>
    <t xml:space="preserve">6977 Navajo Rd # 161 </t>
  </si>
  <si>
    <t>92119-1503</t>
  </si>
  <si>
    <t xml:space="preserve">4 Child St </t>
  </si>
  <si>
    <t xml:space="preserve">3301 Sutcliffe Rdg NW </t>
  </si>
  <si>
    <t xml:space="preserve">132 Gingerwood Ct </t>
  </si>
  <si>
    <t>Ghirardi</t>
  </si>
  <si>
    <t xml:space="preserve">6514 E Palm Ln </t>
  </si>
  <si>
    <t>Barbarah</t>
  </si>
  <si>
    <t xml:space="preserve">1718 Lorraine St </t>
  </si>
  <si>
    <t>Emanuelli</t>
  </si>
  <si>
    <t xml:space="preserve">2550 Astral Dr </t>
  </si>
  <si>
    <t>Mary Anne Mayer</t>
  </si>
  <si>
    <t xml:space="preserve">14608 Hemingway Ct </t>
  </si>
  <si>
    <t xml:space="preserve">8267 Frances Rd </t>
  </si>
  <si>
    <t>Mendelblat</t>
  </si>
  <si>
    <t xml:space="preserve">5757 N Sheridan Rd Apt 13J </t>
  </si>
  <si>
    <t>Litteken C. Pp.S.</t>
  </si>
  <si>
    <t>Sister Clare Ann</t>
  </si>
  <si>
    <t xml:space="preserve">930 Withnell Ave </t>
  </si>
  <si>
    <t>Vanderhoek</t>
  </si>
  <si>
    <t xml:space="preserve">164 Pine Springs Rd </t>
  </si>
  <si>
    <t>Shapleigh</t>
  </si>
  <si>
    <t xml:space="preserve">1646 Lavender Rd </t>
  </si>
  <si>
    <t>Didi</t>
  </si>
  <si>
    <t xml:space="preserve">2651 Tantalus Dr </t>
  </si>
  <si>
    <t xml:space="preserve">2275 Huntington Dr </t>
  </si>
  <si>
    <t>San Marino</t>
  </si>
  <si>
    <t>Blackwell</t>
  </si>
  <si>
    <t xml:space="preserve">5000 SW 25th Blvd Unit 2124 </t>
  </si>
  <si>
    <t>Gerhart</t>
  </si>
  <si>
    <t>Danna</t>
  </si>
  <si>
    <t xml:space="preserve">1412 Avenue B NW </t>
  </si>
  <si>
    <t xml:space="preserve">1212 Nash St </t>
  </si>
  <si>
    <t>75040-5640</t>
  </si>
  <si>
    <t>C. A.</t>
  </si>
  <si>
    <t xml:space="preserve">14000 FOREST </t>
  </si>
  <si>
    <t xml:space="preserve">13423 Telluride Dr </t>
  </si>
  <si>
    <t>Chino Hills</t>
  </si>
  <si>
    <t>91709-3515</t>
  </si>
  <si>
    <t xml:space="preserve">5881 Sanibel Captiva Rd </t>
  </si>
  <si>
    <t>Sanibel</t>
  </si>
  <si>
    <t>33957-2307</t>
  </si>
  <si>
    <t>Swearingen</t>
  </si>
  <si>
    <t xml:space="preserve">59 Hitching Post Rd </t>
  </si>
  <si>
    <t>59715-9241</t>
  </si>
  <si>
    <t>Medrano</t>
  </si>
  <si>
    <t xml:space="preserve">121 W 104th St </t>
  </si>
  <si>
    <t>10025-4270</t>
  </si>
  <si>
    <t xml:space="preserve">47707 Anna Ct </t>
  </si>
  <si>
    <t>48315-4512</t>
  </si>
  <si>
    <t>Triponey</t>
  </si>
  <si>
    <t xml:space="preserve">1876 Laurel St </t>
  </si>
  <si>
    <t>34236-6922</t>
  </si>
  <si>
    <t>Travis</t>
  </si>
  <si>
    <t xml:space="preserve">4925 Ashbrook Rd </t>
  </si>
  <si>
    <t>75227-2914</t>
  </si>
  <si>
    <t>De La O</t>
  </si>
  <si>
    <t xml:space="preserve">1804 N198st </t>
  </si>
  <si>
    <t>Dewhurst</t>
  </si>
  <si>
    <t xml:space="preserve">3841 Casey Key Rd </t>
  </si>
  <si>
    <t>Nokomis</t>
  </si>
  <si>
    <t>34275-3330</t>
  </si>
  <si>
    <t>Defrancia</t>
  </si>
  <si>
    <t xml:space="preserve">4348 Heather St </t>
  </si>
  <si>
    <t>84532-3715</t>
  </si>
  <si>
    <t xml:space="preserve">1155 S Rio Verde Ln </t>
  </si>
  <si>
    <t>86322-7023</t>
  </si>
  <si>
    <t>Massaro</t>
  </si>
  <si>
    <t xml:space="preserve">24 Grosbeak Dr </t>
  </si>
  <si>
    <t>07840-3333</t>
  </si>
  <si>
    <t>Everts</t>
  </si>
  <si>
    <t xml:space="preserve">1135 E 3rd St </t>
  </si>
  <si>
    <t>Mishawaka</t>
  </si>
  <si>
    <t>Tackett</t>
  </si>
  <si>
    <t xml:space="preserve">2258 Maple St </t>
  </si>
  <si>
    <t>Alonzo</t>
  </si>
  <si>
    <t xml:space="preserve">2549 S Fairplay Way </t>
  </si>
  <si>
    <t>Edgar</t>
  </si>
  <si>
    <t xml:space="preserve">31 N Gaston Ave </t>
  </si>
  <si>
    <t>Enzinna</t>
  </si>
  <si>
    <t xml:space="preserve">1516 Daphne St </t>
  </si>
  <si>
    <t>Alberts</t>
  </si>
  <si>
    <t xml:space="preserve">3794 Mount Veeder Rd </t>
  </si>
  <si>
    <t>Stella</t>
  </si>
  <si>
    <t xml:space="preserve">6032 Daven Oaks Dr </t>
  </si>
  <si>
    <t xml:space="preserve">90914 Southview Ln </t>
  </si>
  <si>
    <t xml:space="preserve">10502 Caminito Sopadilla </t>
  </si>
  <si>
    <t>Bellano</t>
  </si>
  <si>
    <t xml:space="preserve">245 Spruce St </t>
  </si>
  <si>
    <t>Habecker</t>
  </si>
  <si>
    <t xml:space="preserve">702 S 4th St </t>
  </si>
  <si>
    <t>Cataldo</t>
  </si>
  <si>
    <t>Rosanne</t>
  </si>
  <si>
    <t xml:space="preserve">1701 N 79th Ave </t>
  </si>
  <si>
    <t>Elmwood Park</t>
  </si>
  <si>
    <t>Hyde</t>
  </si>
  <si>
    <t xml:space="preserve">235 Stein Ln </t>
  </si>
  <si>
    <t xml:space="preserve">2731 Mary Ln </t>
  </si>
  <si>
    <t>Haag</t>
  </si>
  <si>
    <t xml:space="preserve">981 Kupulau Dr </t>
  </si>
  <si>
    <t>Maldonado</t>
  </si>
  <si>
    <t>Ellie</t>
  </si>
  <si>
    <t xml:space="preserve">1779 2nd Ave </t>
  </si>
  <si>
    <t>Karvouna</t>
  </si>
  <si>
    <t xml:space="preserve">Evrysthenous </t>
  </si>
  <si>
    <t>Saint Benedict</t>
  </si>
  <si>
    <t>McKown</t>
  </si>
  <si>
    <t xml:space="preserve">101184 N Hills Rd </t>
  </si>
  <si>
    <t>Inyokern</t>
  </si>
  <si>
    <t>Bergen</t>
  </si>
  <si>
    <t xml:space="preserve">818 N Robin Ave </t>
  </si>
  <si>
    <t xml:space="preserve">12801 Moorpark St Unit 312 </t>
  </si>
  <si>
    <t>Oda</t>
  </si>
  <si>
    <t xml:space="preserve">5619 112th Pl SW </t>
  </si>
  <si>
    <t>Hamoy</t>
  </si>
  <si>
    <t>Liza</t>
  </si>
  <si>
    <t xml:space="preserve">227 Chisholm Pl </t>
  </si>
  <si>
    <t xml:space="preserve">421 S Lexington Dr </t>
  </si>
  <si>
    <t>Wechsler</t>
  </si>
  <si>
    <t xml:space="preserve">6 Cherokee Ct </t>
  </si>
  <si>
    <t>Londonderry</t>
  </si>
  <si>
    <t>Ginos</t>
  </si>
  <si>
    <t>Britney</t>
  </si>
  <si>
    <t xml:space="preserve">7480 Domingos Rd </t>
  </si>
  <si>
    <t>Lompoc</t>
  </si>
  <si>
    <t xml:space="preserve">215 Redwood Cir </t>
  </si>
  <si>
    <t>Hickman</t>
  </si>
  <si>
    <t>Migliuri</t>
  </si>
  <si>
    <t xml:space="preserve">314 Hurst Creek Rd </t>
  </si>
  <si>
    <t>Lakeway</t>
  </si>
  <si>
    <t xml:space="preserve">1401 Alderwood Dr </t>
  </si>
  <si>
    <t>Noenoe</t>
  </si>
  <si>
    <t xml:space="preserve">2445 Pauoa Rd Apt B </t>
  </si>
  <si>
    <t>Elbaor</t>
  </si>
  <si>
    <t xml:space="preserve">5507 Winston Ct </t>
  </si>
  <si>
    <t xml:space="preserve">375 Catalina Blvd Apt 203 </t>
  </si>
  <si>
    <t>Bishandeski</t>
  </si>
  <si>
    <t>North Smithfield</t>
  </si>
  <si>
    <t>Mahoney</t>
  </si>
  <si>
    <t xml:space="preserve">1191 Coleman Rd Apt 315 </t>
  </si>
  <si>
    <t>Yalouris</t>
  </si>
  <si>
    <t xml:space="preserve">41 Granite St </t>
  </si>
  <si>
    <t xml:space="preserve">4509 Saratoga Ave </t>
  </si>
  <si>
    <t>Joscelyn</t>
  </si>
  <si>
    <t xml:space="preserve">1500 Ivywood Way </t>
  </si>
  <si>
    <t xml:space="preserve">215 10th Ave S </t>
  </si>
  <si>
    <t>Rickels</t>
  </si>
  <si>
    <t>Alene</t>
  </si>
  <si>
    <t xml:space="preserve">19775 Highway D20 </t>
  </si>
  <si>
    <t>Iowa Falls</t>
  </si>
  <si>
    <t>Smarr</t>
  </si>
  <si>
    <t xml:space="preserve">1401 Wewatta St Unit 206 </t>
  </si>
  <si>
    <t>Stoll</t>
  </si>
  <si>
    <t xml:space="preserve">422 Waller Rd </t>
  </si>
  <si>
    <t>Gelman</t>
  </si>
  <si>
    <t xml:space="preserve">4907 Shady Oaks Ln </t>
  </si>
  <si>
    <t xml:space="preserve">238 Mayo Ave </t>
  </si>
  <si>
    <t>Wiggins</t>
  </si>
  <si>
    <t xml:space="preserve">26 Fawn Ln </t>
  </si>
  <si>
    <t>Willems</t>
  </si>
  <si>
    <t>Kristian</t>
  </si>
  <si>
    <t xml:space="preserve">3033 Wakecrest Dr </t>
  </si>
  <si>
    <t>Dorotha</t>
  </si>
  <si>
    <t xml:space="preserve">76 Steep Rd </t>
  </si>
  <si>
    <t>Roundup</t>
  </si>
  <si>
    <t>Beedle</t>
  </si>
  <si>
    <t xml:space="preserve">6324 Blueberry St </t>
  </si>
  <si>
    <t xml:space="preserve">13310 Halleluiah Trl </t>
  </si>
  <si>
    <t>Elbert</t>
  </si>
  <si>
    <t xml:space="preserve">3358 County Road A </t>
  </si>
  <si>
    <t>Penelope</t>
  </si>
  <si>
    <t xml:space="preserve">1401 Bonnell Dr </t>
  </si>
  <si>
    <t>Thomson</t>
  </si>
  <si>
    <t xml:space="preserve">PO Box 219 </t>
  </si>
  <si>
    <t>Somers</t>
  </si>
  <si>
    <t>Andrus</t>
  </si>
  <si>
    <t xml:space="preserve">417 S Cedar St Apt 30 </t>
  </si>
  <si>
    <t xml:space="preserve">65 Brooksite Dr </t>
  </si>
  <si>
    <t>Yamamoto</t>
  </si>
  <si>
    <t xml:space="preserve">26522 Whispering Leaves Dr </t>
  </si>
  <si>
    <t>Newhall</t>
  </si>
  <si>
    <t>Schlack</t>
  </si>
  <si>
    <t xml:space="preserve">2236 Edgewood Ave </t>
  </si>
  <si>
    <t>Albanese-Kelly</t>
  </si>
  <si>
    <t>Melody A</t>
  </si>
  <si>
    <t xml:space="preserve">167 Woodland Rd </t>
  </si>
  <si>
    <t>Woonsocket</t>
  </si>
  <si>
    <t>Waller</t>
  </si>
  <si>
    <t xml:space="preserve">6232 Wholbrook </t>
  </si>
  <si>
    <t>Hyman</t>
  </si>
  <si>
    <t>Dorene</t>
  </si>
  <si>
    <t xml:space="preserve">215 W 29th St Fl 7 </t>
  </si>
  <si>
    <t xml:space="preserve">109 Detering St </t>
  </si>
  <si>
    <t>Workman</t>
  </si>
  <si>
    <t xml:space="preserve">1187 E 560th Rd </t>
  </si>
  <si>
    <t>Hearle Ph.D.</t>
  </si>
  <si>
    <t xml:space="preserve">137 14th Ave </t>
  </si>
  <si>
    <t>Nemiec</t>
  </si>
  <si>
    <t xml:space="preserve">455 Horseshoe Dr </t>
  </si>
  <si>
    <t>Basalt</t>
  </si>
  <si>
    <t xml:space="preserve">2315 Harrodsburg Road Lexington Ky # 10 </t>
  </si>
  <si>
    <t>Ciesielski</t>
  </si>
  <si>
    <t>J.B.</t>
  </si>
  <si>
    <t xml:space="preserve">2331 Harrison Dr </t>
  </si>
  <si>
    <t>Rickard</t>
  </si>
  <si>
    <t xml:space="preserve">1713 Elder Hill Rd </t>
  </si>
  <si>
    <t>Jarocki</t>
  </si>
  <si>
    <t xml:space="preserve">6182 Mcbryde Ave </t>
  </si>
  <si>
    <t>Richter</t>
  </si>
  <si>
    <t xml:space="preserve">3 Rohrgasse </t>
  </si>
  <si>
    <t>Kaubris</t>
  </si>
  <si>
    <t xml:space="preserve">5403 SE Miles Grant Rd </t>
  </si>
  <si>
    <t>Leibowitz</t>
  </si>
  <si>
    <t xml:space="preserve">4349 Lake Woodbourne Dr </t>
  </si>
  <si>
    <t>Stedman</t>
  </si>
  <si>
    <t xml:space="preserve">GLOUCESTER Ave </t>
  </si>
  <si>
    <t>Montauk</t>
  </si>
  <si>
    <t xml:space="preserve">14 Dwyer Pl </t>
  </si>
  <si>
    <t xml:space="preserve">2121 Bowersox Rd </t>
  </si>
  <si>
    <t>New Windsor</t>
  </si>
  <si>
    <t>Rao</t>
  </si>
  <si>
    <t>Bantwal</t>
  </si>
  <si>
    <t xml:space="preserve">310 N Country Club Blvd </t>
  </si>
  <si>
    <t>Hemmingsen</t>
  </si>
  <si>
    <t xml:space="preserve">1860 Riverview St </t>
  </si>
  <si>
    <t>Sweetjackson</t>
  </si>
  <si>
    <t xml:space="preserve">1555 ROUTE 28A </t>
  </si>
  <si>
    <t>West Hurley</t>
  </si>
  <si>
    <t>Staten</t>
  </si>
  <si>
    <t xml:space="preserve">560 Sanford Ave Apt 1 </t>
  </si>
  <si>
    <t>McAroy</t>
  </si>
  <si>
    <t xml:space="preserve">5819 Huffine Ridge Dr </t>
  </si>
  <si>
    <t>Gibsonville</t>
  </si>
  <si>
    <t xml:space="preserve">20480 Pacifica Dr </t>
  </si>
  <si>
    <t>English</t>
  </si>
  <si>
    <t xml:space="preserve">1406 SW Antiquity Dr </t>
  </si>
  <si>
    <t>Judd</t>
  </si>
  <si>
    <t xml:space="preserve">69 Hamiltonian Dr </t>
  </si>
  <si>
    <t>Branch</t>
  </si>
  <si>
    <t xml:space="preserve">2309 Trafalgar Dr </t>
  </si>
  <si>
    <t xml:space="preserve">9509 NW 81st Mnr # 116E </t>
  </si>
  <si>
    <t xml:space="preserve">14042 97th Ave NE </t>
  </si>
  <si>
    <t>Ringquist</t>
  </si>
  <si>
    <t xml:space="preserve">402 Valley View Dr </t>
  </si>
  <si>
    <t>Redwood Falls</t>
  </si>
  <si>
    <t xml:space="preserve">34 Pebblehill Park # 2 </t>
  </si>
  <si>
    <t>Greeneville</t>
  </si>
  <si>
    <t>Stoeckel</t>
  </si>
  <si>
    <t xml:space="preserve">6223 Cady Rd </t>
  </si>
  <si>
    <t>Guerci</t>
  </si>
  <si>
    <t xml:space="preserve">7 Orchard Ln </t>
  </si>
  <si>
    <t>Gukelberger</t>
  </si>
  <si>
    <t xml:space="preserve">230 Toll House Ln </t>
  </si>
  <si>
    <t>Pelton</t>
  </si>
  <si>
    <t xml:space="preserve">1225 Claremont Dr </t>
  </si>
  <si>
    <t>Wooley</t>
  </si>
  <si>
    <t xml:space="preserve">1286 Arrowood Trl </t>
  </si>
  <si>
    <t>Sotomayor</t>
  </si>
  <si>
    <t xml:space="preserve">19 Clough Rd </t>
  </si>
  <si>
    <t xml:space="preserve">1855 17th Ave </t>
  </si>
  <si>
    <t xml:space="preserve">126 Court St </t>
  </si>
  <si>
    <t xml:space="preserve">502 N Orange St </t>
  </si>
  <si>
    <t xml:space="preserve">1231 SW Kalama Loop </t>
  </si>
  <si>
    <t>Oak Harbor</t>
  </si>
  <si>
    <t xml:space="preserve">23 N Country Club Dr </t>
  </si>
  <si>
    <t>Paulovic</t>
  </si>
  <si>
    <t>Susanne</t>
  </si>
  <si>
    <t xml:space="preserve">163 Beulah Rd </t>
  </si>
  <si>
    <t xml:space="preserve">5405 Olympic Cir </t>
  </si>
  <si>
    <t>Procter</t>
  </si>
  <si>
    <t xml:space="preserve">2500 Saint Elias Dr </t>
  </si>
  <si>
    <t>Mothershead</t>
  </si>
  <si>
    <t xml:space="preserve">1617 W 6th Dr </t>
  </si>
  <si>
    <t>Alderson</t>
  </si>
  <si>
    <t xml:space="preserve">1104 Pomeroy Ave </t>
  </si>
  <si>
    <t xml:space="preserve">6 Castlebar Ct </t>
  </si>
  <si>
    <t xml:space="preserve">1563 Solano Ave # 248 </t>
  </si>
  <si>
    <t xml:space="preserve">331 Queen St </t>
  </si>
  <si>
    <t xml:space="preserve">999 Old San Jose Rd Spc 17 </t>
  </si>
  <si>
    <t xml:space="preserve">147 Williamsville Rd </t>
  </si>
  <si>
    <t>Hubbardston</t>
  </si>
  <si>
    <t xml:space="preserve">1643 W 5th St </t>
  </si>
  <si>
    <t xml:space="preserve">7155 Svl Box </t>
  </si>
  <si>
    <t>Luna</t>
  </si>
  <si>
    <t xml:space="preserve">747 Ruth Dr </t>
  </si>
  <si>
    <t>Bagger</t>
  </si>
  <si>
    <t xml:space="preserve">15219 Regina Ave </t>
  </si>
  <si>
    <t>Allen Park</t>
  </si>
  <si>
    <t>Emily G</t>
  </si>
  <si>
    <t xml:space="preserve">1225 S 400 E </t>
  </si>
  <si>
    <t>Roma</t>
  </si>
  <si>
    <t xml:space="preserve">22600 78th Ave W </t>
  </si>
  <si>
    <t>Stimson</t>
  </si>
  <si>
    <t xml:space="preserve">393 Timberlane Dr </t>
  </si>
  <si>
    <t>Backus</t>
  </si>
  <si>
    <t xml:space="preserve">3321 Saint Helena Hwy N </t>
  </si>
  <si>
    <t>Roahrig</t>
  </si>
  <si>
    <t xml:space="preserve">1765 Beacon Hill Rd </t>
  </si>
  <si>
    <t>Belanger</t>
  </si>
  <si>
    <t xml:space="preserve">7695 Oakbrook Ct </t>
  </si>
  <si>
    <t>Sauvageau</t>
  </si>
  <si>
    <t xml:space="preserve">61 Fall St </t>
  </si>
  <si>
    <t>Seneca Falls</t>
  </si>
  <si>
    <t>Honeycutt</t>
  </si>
  <si>
    <t xml:space="preserve">404 Olivia Dr </t>
  </si>
  <si>
    <t>Gherardi</t>
  </si>
  <si>
    <t xml:space="preserve">435 Alberto Way </t>
  </si>
  <si>
    <t>Riblett</t>
  </si>
  <si>
    <t xml:space="preserve">11260 Overland Ave Apt 17A </t>
  </si>
  <si>
    <t>Herz</t>
  </si>
  <si>
    <t>Ronalee</t>
  </si>
  <si>
    <t xml:space="preserve">48 Terryville Rd </t>
  </si>
  <si>
    <t>Harwinton</t>
  </si>
  <si>
    <t>Wesley</t>
  </si>
  <si>
    <t xml:space="preserve">52 W High St </t>
  </si>
  <si>
    <t>Painesville</t>
  </si>
  <si>
    <t xml:space="preserve">776 Moccasin Dr </t>
  </si>
  <si>
    <t>Harleysville</t>
  </si>
  <si>
    <t>Grassi</t>
  </si>
  <si>
    <t xml:space="preserve">121 Fairview Ave </t>
  </si>
  <si>
    <t>Marcella</t>
  </si>
  <si>
    <t xml:space="preserve">3836 Hillcrest Dr </t>
  </si>
  <si>
    <t>Marrero</t>
  </si>
  <si>
    <t xml:space="preserve">2561 Nys Route 9N </t>
  </si>
  <si>
    <t>Crown Point</t>
  </si>
  <si>
    <t>Marcial</t>
  </si>
  <si>
    <t xml:space="preserve">PO Box 477 </t>
  </si>
  <si>
    <t>Blairstown</t>
  </si>
  <si>
    <t>Enos Jr</t>
  </si>
  <si>
    <t xml:space="preserve">543 E Walnut Ave Apt 1B </t>
  </si>
  <si>
    <t>Serpico</t>
  </si>
  <si>
    <t xml:space="preserve">4215 E Bay Dr Apt 1507A </t>
  </si>
  <si>
    <t>Bremer</t>
  </si>
  <si>
    <t xml:space="preserve">2604 Kentucky St 2 </t>
  </si>
  <si>
    <t>Spinks</t>
  </si>
  <si>
    <t xml:space="preserve">3480 Reaver Ave </t>
  </si>
  <si>
    <t>MacInnis</t>
  </si>
  <si>
    <t>Elyn</t>
  </si>
  <si>
    <t xml:space="preserve">64 Memorial Rd </t>
  </si>
  <si>
    <t>Rhule</t>
  </si>
  <si>
    <t xml:space="preserve">571 Home Brew Hollow Rd </t>
  </si>
  <si>
    <t>Kahakalau</t>
  </si>
  <si>
    <t>Nalei</t>
  </si>
  <si>
    <t xml:space="preserve">PO Box 1764 </t>
  </si>
  <si>
    <t>Trembulak</t>
  </si>
  <si>
    <t xml:space="preserve">9783 E Catalina Dr </t>
  </si>
  <si>
    <t>Blanco</t>
  </si>
  <si>
    <t>Jose</t>
  </si>
  <si>
    <t xml:space="preserve">4770 SW 1st St </t>
  </si>
  <si>
    <t>Olmstead</t>
  </si>
  <si>
    <t xml:space="preserve">1979 Patterson Rd </t>
  </si>
  <si>
    <t>Kark</t>
  </si>
  <si>
    <t>Pieter</t>
  </si>
  <si>
    <t xml:space="preserve">1651 N County Road 19A Apt 705 </t>
  </si>
  <si>
    <t>Hajicek</t>
  </si>
  <si>
    <t xml:space="preserve">14824 Glendale Rd </t>
  </si>
  <si>
    <t>Kalina</t>
  </si>
  <si>
    <t xml:space="preserve">4480 Commerce Rd </t>
  </si>
  <si>
    <t>Orchard Lake</t>
  </si>
  <si>
    <t xml:space="preserve">1311 S Massachusetts St </t>
  </si>
  <si>
    <t>Showstead</t>
  </si>
  <si>
    <t xml:space="preserve">39 Shetland </t>
  </si>
  <si>
    <t>Stalsworth</t>
  </si>
  <si>
    <t xml:space="preserve">147 Kickapoo Trl </t>
  </si>
  <si>
    <t>Seguin</t>
  </si>
  <si>
    <t>Kong</t>
  </si>
  <si>
    <t xml:space="preserve">2046 N 10th St </t>
  </si>
  <si>
    <t>Washougal</t>
  </si>
  <si>
    <t>Witter</t>
  </si>
  <si>
    <t xml:space="preserve">914 S Mansfield Ave </t>
  </si>
  <si>
    <t>Nickels</t>
  </si>
  <si>
    <t xml:space="preserve">2880 Trigg Tower Rd </t>
  </si>
  <si>
    <t>Mountain</t>
  </si>
  <si>
    <t xml:space="preserve">812 Beirne Ave NE </t>
  </si>
  <si>
    <t xml:space="preserve">3423 Meadow Top Ln </t>
  </si>
  <si>
    <t>Christiansen</t>
  </si>
  <si>
    <t xml:space="preserve">16322 Higgins Ave </t>
  </si>
  <si>
    <t>Fort Lupton</t>
  </si>
  <si>
    <t xml:space="preserve">7520 Planters Loop </t>
  </si>
  <si>
    <t xml:space="preserve">17 Condesa Rd </t>
  </si>
  <si>
    <t>Dalquist</t>
  </si>
  <si>
    <t xml:space="preserve">207 W 6th St </t>
  </si>
  <si>
    <t>Embrey</t>
  </si>
  <si>
    <t xml:space="preserve">PO Box 96 </t>
  </si>
  <si>
    <t>Piney River</t>
  </si>
  <si>
    <t xml:space="preserve">1983 Montana Ave </t>
  </si>
  <si>
    <t>Olean</t>
  </si>
  <si>
    <t xml:space="preserve">14487 Burlington Pkwy </t>
  </si>
  <si>
    <t>Nunn</t>
  </si>
  <si>
    <t xml:space="preserve">1000 Lake Carolyn Pkwy Apt 3106 </t>
  </si>
  <si>
    <t xml:space="preserve">954 Perkins Rd </t>
  </si>
  <si>
    <t>Kents Store</t>
  </si>
  <si>
    <t>Morem</t>
  </si>
  <si>
    <t>Sue And Steve</t>
  </si>
  <si>
    <t xml:space="preserve">4620 Vinewood Ln N </t>
  </si>
  <si>
    <t>Wheeler</t>
  </si>
  <si>
    <t xml:space="preserve">2915 Hunter Mill Rd </t>
  </si>
  <si>
    <t>Oakton</t>
  </si>
  <si>
    <t>Traniello</t>
  </si>
  <si>
    <t xml:space="preserve">3808 Pheasant Ln </t>
  </si>
  <si>
    <t>Middleboro</t>
  </si>
  <si>
    <t>Jonik</t>
  </si>
  <si>
    <t xml:space="preserve">2049 E Dauphin St </t>
  </si>
  <si>
    <t>Hogle</t>
  </si>
  <si>
    <t xml:space="preserve">8031 E Timrod St </t>
  </si>
  <si>
    <t xml:space="preserve">360 Toad Rd </t>
  </si>
  <si>
    <t>Houston-Crisp</t>
  </si>
  <si>
    <t xml:space="preserve">429 Pleasantdale Xing </t>
  </si>
  <si>
    <t>Lizarraga</t>
  </si>
  <si>
    <t xml:space="preserve">865 W Ashiya Rd </t>
  </si>
  <si>
    <t>Matea</t>
  </si>
  <si>
    <t xml:space="preserve">953 Michaux Ct </t>
  </si>
  <si>
    <t>Cup Choy</t>
  </si>
  <si>
    <t xml:space="preserve">45 -396 Kamehameha Hwy </t>
  </si>
  <si>
    <t>Rosenkrantz</t>
  </si>
  <si>
    <t xml:space="preserve">333 W 57th St Apt 209 </t>
  </si>
  <si>
    <t xml:space="preserve">5800 Milona Ct </t>
  </si>
  <si>
    <t>Ireton</t>
  </si>
  <si>
    <t>Kimberlee</t>
  </si>
  <si>
    <t xml:space="preserve">8625 184th St SW </t>
  </si>
  <si>
    <t>Twombly</t>
  </si>
  <si>
    <t>Glen A</t>
  </si>
  <si>
    <t xml:space="preserve">2066 Mustang Ln </t>
  </si>
  <si>
    <t>Edney</t>
  </si>
  <si>
    <t xml:space="preserve">PO Box 716 </t>
  </si>
  <si>
    <t>Sandia Park</t>
  </si>
  <si>
    <t>Blattner</t>
  </si>
  <si>
    <t>Gerrilynne</t>
  </si>
  <si>
    <t xml:space="preserve">2202 Aberdeen Ave </t>
  </si>
  <si>
    <t>Ned</t>
  </si>
  <si>
    <t xml:space="preserve">1544 Valley View Dr </t>
  </si>
  <si>
    <t>Forschner</t>
  </si>
  <si>
    <t xml:space="preserve">34 Forest Ave Unit 1 </t>
  </si>
  <si>
    <t>Jones-Williams</t>
  </si>
  <si>
    <t xml:space="preserve">1743 Gervais Ave Apt 7 </t>
  </si>
  <si>
    <t xml:space="preserve">13353 W Alameda Pkwy Unit 106 </t>
  </si>
  <si>
    <t xml:space="preserve">10 Burton Rd </t>
  </si>
  <si>
    <t>Thornwood</t>
  </si>
  <si>
    <t>Gillaspie</t>
  </si>
  <si>
    <t xml:space="preserve">6376 Ivy St </t>
  </si>
  <si>
    <t xml:space="preserve">326 E Lake Dr </t>
  </si>
  <si>
    <t>Groeger</t>
  </si>
  <si>
    <t xml:space="preserve">155 Arielle Ct Apt A </t>
  </si>
  <si>
    <t>Loomis</t>
  </si>
  <si>
    <t xml:space="preserve">1021 16th St </t>
  </si>
  <si>
    <t xml:space="preserve">810 N Camino Santiago Unit 58 </t>
  </si>
  <si>
    <t>Betz</t>
  </si>
  <si>
    <t xml:space="preserve">401 N Comstock Rd Spc 11 </t>
  </si>
  <si>
    <t>Sutherlin</t>
  </si>
  <si>
    <t>McElroy</t>
  </si>
  <si>
    <t xml:space="preserve">3016 Southwold Ct </t>
  </si>
  <si>
    <t>Wordlaw</t>
  </si>
  <si>
    <t xml:space="preserve">3004 Allister St </t>
  </si>
  <si>
    <t xml:space="preserve">71245 Oulu Rock Rd </t>
  </si>
  <si>
    <t>Brule</t>
  </si>
  <si>
    <t>Tokareff</t>
  </si>
  <si>
    <t xml:space="preserve">944 Pinecrest Ter </t>
  </si>
  <si>
    <t>Fuellgraf</t>
  </si>
  <si>
    <t xml:space="preserve">166 McKay Rd </t>
  </si>
  <si>
    <t>Saxonburg</t>
  </si>
  <si>
    <t xml:space="preserve">155 N 2nd St </t>
  </si>
  <si>
    <t>Womelsdorf</t>
  </si>
  <si>
    <t xml:space="preserve">2243 Howe Rd </t>
  </si>
  <si>
    <t>Millard</t>
  </si>
  <si>
    <t xml:space="preserve">121 SW 11th Ct </t>
  </si>
  <si>
    <t>Sable</t>
  </si>
  <si>
    <t xml:space="preserve">885 Mindy Sue Apt 401 </t>
  </si>
  <si>
    <t>Sonnenberg</t>
  </si>
  <si>
    <t xml:space="preserve">9242 Seaman Rd </t>
  </si>
  <si>
    <t>Middleport</t>
  </si>
  <si>
    <t>Kuzma</t>
  </si>
  <si>
    <t xml:space="preserve">7 Captains Cv </t>
  </si>
  <si>
    <t xml:space="preserve">8673 SW Wakkila Ter </t>
  </si>
  <si>
    <t>Charlier</t>
  </si>
  <si>
    <t xml:space="preserve">11275 Lozier Ave </t>
  </si>
  <si>
    <t xml:space="preserve">11713 Forest Park Cir </t>
  </si>
  <si>
    <t>34211-4988</t>
  </si>
  <si>
    <t xml:space="preserve">2151 Brown Ave </t>
  </si>
  <si>
    <t>19020-3712</t>
  </si>
  <si>
    <t xml:space="preserve">52 Center Rd </t>
  </si>
  <si>
    <t>94952-8114</t>
  </si>
  <si>
    <t xml:space="preserve">183 Edison Dr </t>
  </si>
  <si>
    <t>25705-1327</t>
  </si>
  <si>
    <t>Dudney M.D.</t>
  </si>
  <si>
    <t xml:space="preserve">6490 Front St # 208 </t>
  </si>
  <si>
    <t>95436-9604</t>
  </si>
  <si>
    <t>Luchisnger</t>
  </si>
  <si>
    <t>Johan</t>
  </si>
  <si>
    <t xml:space="preserve">14418 186th Pl NE </t>
  </si>
  <si>
    <t xml:space="preserve">540 San Jose Pl </t>
  </si>
  <si>
    <t>Mattoon</t>
  </si>
  <si>
    <t>C.William</t>
  </si>
  <si>
    <t xml:space="preserve">215 Woodbury Rd </t>
  </si>
  <si>
    <t xml:space="preserve">1927 Harbor Blvd </t>
  </si>
  <si>
    <t xml:space="preserve">2602 W Gilbert Ave </t>
  </si>
  <si>
    <t xml:space="preserve">336 E 7th St </t>
  </si>
  <si>
    <t>Mellor</t>
  </si>
  <si>
    <t>Johnna</t>
  </si>
  <si>
    <t xml:space="preserve">1455 Sorrel Rd </t>
  </si>
  <si>
    <t>Shumaker</t>
  </si>
  <si>
    <t>H. Dennis</t>
  </si>
  <si>
    <t xml:space="preserve">402 W Market St </t>
  </si>
  <si>
    <t xml:space="preserve">1350 NW Reservoir Rd </t>
  </si>
  <si>
    <t>Plattsburg</t>
  </si>
  <si>
    <t>Duesterberg</t>
  </si>
  <si>
    <t xml:space="preserve">225 Pavillion Rd </t>
  </si>
  <si>
    <t>East Thetford</t>
  </si>
  <si>
    <t>Bear</t>
  </si>
  <si>
    <t xml:space="preserve">220 Pocket Ln </t>
  </si>
  <si>
    <t>Mings</t>
  </si>
  <si>
    <t>Sue Mings</t>
  </si>
  <si>
    <t xml:space="preserve">N7759 State Park Rd </t>
  </si>
  <si>
    <t>Bleznick</t>
  </si>
  <si>
    <t xml:space="preserve">1060 S 3rd St Apt 348 </t>
  </si>
  <si>
    <t xml:space="preserve">1520 Koester Ct Apt 56 </t>
  </si>
  <si>
    <t xml:space="preserve">224 Winchester Dr </t>
  </si>
  <si>
    <t xml:space="preserve">825 Calle Mejia Apt 1132 </t>
  </si>
  <si>
    <t>Adan</t>
  </si>
  <si>
    <t xml:space="preserve">4419 Rollingrock Way </t>
  </si>
  <si>
    <t>Rushworth</t>
  </si>
  <si>
    <t xml:space="preserve">1125 Bayforest Rd </t>
  </si>
  <si>
    <t>Gow</t>
  </si>
  <si>
    <t xml:space="preserve">20091 Ridgeway Ct </t>
  </si>
  <si>
    <t>Clinton Twp</t>
  </si>
  <si>
    <t xml:space="preserve">6107 Leagrove Ct </t>
  </si>
  <si>
    <t>Campione</t>
  </si>
  <si>
    <t>Carmella</t>
  </si>
  <si>
    <t xml:space="preserve">137 Mount Saint Joseph Rd </t>
  </si>
  <si>
    <t xml:space="preserve">2900 Floyd Hwy N </t>
  </si>
  <si>
    <t>Floyd</t>
  </si>
  <si>
    <t>Codding</t>
  </si>
  <si>
    <t xml:space="preserve">6301 Amberside Rd NW </t>
  </si>
  <si>
    <t>Fries</t>
  </si>
  <si>
    <t>Jeb</t>
  </si>
  <si>
    <t xml:space="preserve">103 Central Ave </t>
  </si>
  <si>
    <t>Fredonia</t>
  </si>
  <si>
    <t>Fenster</t>
  </si>
  <si>
    <t>Remy</t>
  </si>
  <si>
    <t xml:space="preserve">59 Rowland Pkwy </t>
  </si>
  <si>
    <t>Oppenheimer</t>
  </si>
  <si>
    <t>Mose</t>
  </si>
  <si>
    <t xml:space="preserve">7191 Koolau Rd </t>
  </si>
  <si>
    <t xml:space="preserve">40 John St </t>
  </si>
  <si>
    <t xml:space="preserve">13321 Torch River Rd </t>
  </si>
  <si>
    <t>Taniwaki</t>
  </si>
  <si>
    <t xml:space="preserve">6100 E Severn Pl </t>
  </si>
  <si>
    <t xml:space="preserve">2530 5 Mile Rd </t>
  </si>
  <si>
    <t>Whitmore Lake</t>
  </si>
  <si>
    <t xml:space="preserve">4730 N Edgewood Ave </t>
  </si>
  <si>
    <t>Petrauskas</t>
  </si>
  <si>
    <t xml:space="preserve">2832 Chadbourne Rd </t>
  </si>
  <si>
    <t>Scoville</t>
  </si>
  <si>
    <t xml:space="preserve">PO Box 153 </t>
  </si>
  <si>
    <t>Hewitt</t>
  </si>
  <si>
    <t>Litty</t>
  </si>
  <si>
    <t xml:space="preserve">13 Lower Hilltop Rd </t>
  </si>
  <si>
    <t>Harriett</t>
  </si>
  <si>
    <t xml:space="preserve">10392 Coyote Cub Ave </t>
  </si>
  <si>
    <t>Burlison</t>
  </si>
  <si>
    <t xml:space="preserve">422 Ross Rd </t>
  </si>
  <si>
    <t xml:space="preserve">9732 Kingston Ln </t>
  </si>
  <si>
    <t>Neosho</t>
  </si>
  <si>
    <t>Herk</t>
  </si>
  <si>
    <t xml:space="preserve">7430 W Aster Dr </t>
  </si>
  <si>
    <t>Woolsey</t>
  </si>
  <si>
    <t>David A.</t>
  </si>
  <si>
    <t xml:space="preserve">36 Brimmer Point Way </t>
  </si>
  <si>
    <t>Ellsworth</t>
  </si>
  <si>
    <t xml:space="preserve">3302 McKinley Ave Apt B </t>
  </si>
  <si>
    <t>Anestos</t>
  </si>
  <si>
    <t>Dk</t>
  </si>
  <si>
    <t xml:space="preserve">Nitro </t>
  </si>
  <si>
    <t xml:space="preserve">12704 NE 200th Pl </t>
  </si>
  <si>
    <t>Whalen</t>
  </si>
  <si>
    <t xml:space="preserve">3451 Shroyer Rd </t>
  </si>
  <si>
    <t>Kettering</t>
  </si>
  <si>
    <t>Cardno</t>
  </si>
  <si>
    <t xml:space="preserve">222 Clark Blvd </t>
  </si>
  <si>
    <t>Massapequa Park</t>
  </si>
  <si>
    <t xml:space="preserve">1608 Maple St </t>
  </si>
  <si>
    <t>Motisher</t>
  </si>
  <si>
    <t xml:space="preserve">38 Kay Dr </t>
  </si>
  <si>
    <t>Leone</t>
  </si>
  <si>
    <t>Judi</t>
  </si>
  <si>
    <t xml:space="preserve">143 Cranmoor Dr </t>
  </si>
  <si>
    <t>Rocco</t>
  </si>
  <si>
    <t xml:space="preserve">2298 Clover St </t>
  </si>
  <si>
    <t>Taranenko</t>
  </si>
  <si>
    <t xml:space="preserve">242 Sells Ct </t>
  </si>
  <si>
    <t>Cowgill</t>
  </si>
  <si>
    <t xml:space="preserve">2231 20th St Apt 1 </t>
  </si>
  <si>
    <t>90405-1745</t>
  </si>
  <si>
    <t>Stalter</t>
  </si>
  <si>
    <t xml:space="preserve">6225 157th Pl </t>
  </si>
  <si>
    <t>Oak Forest</t>
  </si>
  <si>
    <t>60452-2711</t>
  </si>
  <si>
    <t>James Michael 'mike'</t>
  </si>
  <si>
    <t xml:space="preserve">55 Broad St Apt 252 </t>
  </si>
  <si>
    <t>93405-1769</t>
  </si>
  <si>
    <t>Gallaway</t>
  </si>
  <si>
    <t xml:space="preserve">4508 Depew Ave </t>
  </si>
  <si>
    <t>78751-4021</t>
  </si>
  <si>
    <t>Morton</t>
  </si>
  <si>
    <t>Robert And Denise</t>
  </si>
  <si>
    <t xml:space="preserve">4170 N Marine Dr Apt 22J </t>
  </si>
  <si>
    <t>60613-2335</t>
  </si>
  <si>
    <t>John L.</t>
  </si>
  <si>
    <t xml:space="preserve">50660 Eisenhower Dr </t>
  </si>
  <si>
    <t>La Quinta</t>
  </si>
  <si>
    <t>92253-2324</t>
  </si>
  <si>
    <t xml:space="preserve">AIR PORT Rd </t>
  </si>
  <si>
    <t>Meriwether</t>
  </si>
  <si>
    <t>Don B.</t>
  </si>
  <si>
    <t xml:space="preserve">1111 Summit North Dr NE </t>
  </si>
  <si>
    <t>30324-3146</t>
  </si>
  <si>
    <t>Daly</t>
  </si>
  <si>
    <t xml:space="preserve">514 Beautyberry Dr </t>
  </si>
  <si>
    <t>30223-7220</t>
  </si>
  <si>
    <t>Wolfe</t>
  </si>
  <si>
    <t xml:space="preserve">16825 N 14th St </t>
  </si>
  <si>
    <t>85022-7733</t>
  </si>
  <si>
    <t>Ramlow</t>
  </si>
  <si>
    <t xml:space="preserve">9784 County Road K </t>
  </si>
  <si>
    <t>54406-9355</t>
  </si>
  <si>
    <t xml:space="preserve">1138 Douglass St </t>
  </si>
  <si>
    <t>Kinninger</t>
  </si>
  <si>
    <t xml:space="preserve">602 Wyona St </t>
  </si>
  <si>
    <t>Truth Or Consequences</t>
  </si>
  <si>
    <t xml:space="preserve">34 Highland Down </t>
  </si>
  <si>
    <t>Shoreham</t>
  </si>
  <si>
    <t xml:space="preserve">3522 Greatbear Ct </t>
  </si>
  <si>
    <t>Cutter</t>
  </si>
  <si>
    <t xml:space="preserve">1988 Hillsboro Dr </t>
  </si>
  <si>
    <t>Herman</t>
  </si>
  <si>
    <t>Abbie</t>
  </si>
  <si>
    <t xml:space="preserve">3002 W Elizabeth St # 16-G </t>
  </si>
  <si>
    <t xml:space="preserve">1061 Hunt St NW </t>
  </si>
  <si>
    <t xml:space="preserve">303 Jennys Cove Rd </t>
  </si>
  <si>
    <t>Kiffmeyer</t>
  </si>
  <si>
    <t xml:space="preserve">1425 Amberwood Ln </t>
  </si>
  <si>
    <t xml:space="preserve">16233 Pebblebrook Dr </t>
  </si>
  <si>
    <t xml:space="preserve">6010 California Ave # A </t>
  </si>
  <si>
    <t>Hovav</t>
  </si>
  <si>
    <t xml:space="preserve">7209 Willowdale Ave </t>
  </si>
  <si>
    <t>Ms. J.</t>
  </si>
  <si>
    <t xml:space="preserve">A St </t>
  </si>
  <si>
    <t>Lichtman</t>
  </si>
  <si>
    <t xml:space="preserve">3419 Irwin Ave Apt 2102 </t>
  </si>
  <si>
    <t>Marquet</t>
  </si>
  <si>
    <t>Barbia</t>
  </si>
  <si>
    <t xml:space="preserve">47 Jean La Fitte Dr </t>
  </si>
  <si>
    <t>Key Largo</t>
  </si>
  <si>
    <t xml:space="preserve">183 Timberview Dr </t>
  </si>
  <si>
    <t>Teresi</t>
  </si>
  <si>
    <t xml:space="preserve">7979 State St </t>
  </si>
  <si>
    <t>Garrettsville</t>
  </si>
  <si>
    <t>Stamp</t>
  </si>
  <si>
    <t xml:space="preserve">16301 Tomki Rd </t>
  </si>
  <si>
    <t>Redwood Valley</t>
  </si>
  <si>
    <t>Twomey</t>
  </si>
  <si>
    <t xml:space="preserve">38 Montell St </t>
  </si>
  <si>
    <t>Gostin</t>
  </si>
  <si>
    <t xml:space="preserve">3536 1st Ave Apt 8 </t>
  </si>
  <si>
    <t xml:space="preserve">236 SE 153rd Ave </t>
  </si>
  <si>
    <t>Gebhard</t>
  </si>
  <si>
    <t xml:space="preserve">2 Oriole Dr </t>
  </si>
  <si>
    <t xml:space="preserve">2706 Poplar St </t>
  </si>
  <si>
    <t>Hardee</t>
  </si>
  <si>
    <t xml:space="preserve">1260 Goodale Ave Apt 1G </t>
  </si>
  <si>
    <t>Lamoreaux</t>
  </si>
  <si>
    <t xml:space="preserve">6 Queen Rd </t>
  </si>
  <si>
    <t>Holger</t>
  </si>
  <si>
    <t xml:space="preserve">3100 Airport Way S Unit 48 </t>
  </si>
  <si>
    <t>Boura</t>
  </si>
  <si>
    <t xml:space="preserve">11 Montfern Ave </t>
  </si>
  <si>
    <t>Estrem</t>
  </si>
  <si>
    <t xml:space="preserve">987 18th Ave SE </t>
  </si>
  <si>
    <t>Broderick</t>
  </si>
  <si>
    <t xml:space="preserve">118 Village Ln </t>
  </si>
  <si>
    <t>Rodack</t>
  </si>
  <si>
    <t>Soretta</t>
  </si>
  <si>
    <t xml:space="preserve">310 E 6th St </t>
  </si>
  <si>
    <t xml:space="preserve">1949 W Wabansia Ave </t>
  </si>
  <si>
    <t>Klueger</t>
  </si>
  <si>
    <t xml:space="preserve">W2274 County Road Y </t>
  </si>
  <si>
    <t>Lomira</t>
  </si>
  <si>
    <t>Flo</t>
  </si>
  <si>
    <t xml:space="preserve">1528 Dixon St Apt A </t>
  </si>
  <si>
    <t xml:space="preserve">192 Falmouth Rd </t>
  </si>
  <si>
    <t>Douglass</t>
  </si>
  <si>
    <t xml:space="preserve">10675 Elizabeth Way </t>
  </si>
  <si>
    <t>Gnemi</t>
  </si>
  <si>
    <t xml:space="preserve">PO Box 440 </t>
  </si>
  <si>
    <t>Newburg</t>
  </si>
  <si>
    <t>Bauerlein</t>
  </si>
  <si>
    <t xml:space="preserve">6645 S 40th Way </t>
  </si>
  <si>
    <t xml:space="preserve">212 Seasons Trl </t>
  </si>
  <si>
    <t>Newport News</t>
  </si>
  <si>
    <t>Balasko</t>
  </si>
  <si>
    <t xml:space="preserve">11345 Long Lake Dr </t>
  </si>
  <si>
    <t xml:space="preserve">2650 Gracie Dr </t>
  </si>
  <si>
    <t>Felice And Mark</t>
  </si>
  <si>
    <t xml:space="preserve">200 Rocky Dr </t>
  </si>
  <si>
    <t xml:space="preserve">1869 Lemont Dr </t>
  </si>
  <si>
    <t xml:space="preserve">2 Lewis St </t>
  </si>
  <si>
    <t>Wharton</t>
  </si>
  <si>
    <t xml:space="preserve">9 Tracie Ave </t>
  </si>
  <si>
    <t>Kinyon</t>
  </si>
  <si>
    <t xml:space="preserve">1911 Puget Dr E </t>
  </si>
  <si>
    <t>Sweitzer</t>
  </si>
  <si>
    <t xml:space="preserve">566 Tomichi Trl </t>
  </si>
  <si>
    <t>Gunnison</t>
  </si>
  <si>
    <t xml:space="preserve">171 Rotonda Blvd N </t>
  </si>
  <si>
    <t>Rotonda West</t>
  </si>
  <si>
    <t>Seater</t>
  </si>
  <si>
    <t xml:space="preserve">4501 SW 100th St </t>
  </si>
  <si>
    <t xml:space="preserve">11 Gray St Apt 12 </t>
  </si>
  <si>
    <t>Sootheran</t>
  </si>
  <si>
    <t xml:space="preserve">714 Ridge Rd </t>
  </si>
  <si>
    <t>Decorah</t>
  </si>
  <si>
    <t>Trela</t>
  </si>
  <si>
    <t xml:space="preserve">414 Taylor Ln </t>
  </si>
  <si>
    <t>Canyon</t>
  </si>
  <si>
    <t xml:space="preserve">3 Fairview Knl NE </t>
  </si>
  <si>
    <t>Arrathoon</t>
  </si>
  <si>
    <t xml:space="preserve">620 Miller Ave </t>
  </si>
  <si>
    <t>Serena</t>
  </si>
  <si>
    <t xml:space="preserve">2509 Indian Mound Trl </t>
  </si>
  <si>
    <t xml:space="preserve">464 Parkview Dr </t>
  </si>
  <si>
    <t>Enix</t>
  </si>
  <si>
    <t xml:space="preserve">4289 Carter Trl </t>
  </si>
  <si>
    <t>Cleary</t>
  </si>
  <si>
    <t xml:space="preserve">305 8th Ave N </t>
  </si>
  <si>
    <t>Toscano</t>
  </si>
  <si>
    <t xml:space="preserve">1 Truman Pl </t>
  </si>
  <si>
    <t>Moonachie</t>
  </si>
  <si>
    <t>Morgenstern</t>
  </si>
  <si>
    <t xml:space="preserve">326 Mitchell St </t>
  </si>
  <si>
    <t xml:space="preserve">3214 Josie Ave </t>
  </si>
  <si>
    <t xml:space="preserve">509 11th St </t>
  </si>
  <si>
    <t>Oakmont</t>
  </si>
  <si>
    <t>Shilko</t>
  </si>
  <si>
    <t xml:space="preserve">7004 NW 77th St </t>
  </si>
  <si>
    <t xml:space="preserve">PO Box 2301 </t>
  </si>
  <si>
    <t>Terrebonne</t>
  </si>
  <si>
    <t>Matweyou</t>
  </si>
  <si>
    <t>Pine Grove</t>
  </si>
  <si>
    <t xml:space="preserve">1004 McPherson St </t>
  </si>
  <si>
    <t xml:space="preserve">13226 42nd Ave NE Null </t>
  </si>
  <si>
    <t xml:space="preserve">487 Paradise Park Rd </t>
  </si>
  <si>
    <t>Bellvue</t>
  </si>
  <si>
    <t>Kimsey</t>
  </si>
  <si>
    <t xml:space="preserve">815 SW 9th St </t>
  </si>
  <si>
    <t>Sublimity</t>
  </si>
  <si>
    <t xml:space="preserve">1998 Broadway Apt 1005 </t>
  </si>
  <si>
    <t xml:space="preserve">2890 Prestonwood St </t>
  </si>
  <si>
    <t xml:space="preserve">505 SW 139th Ave </t>
  </si>
  <si>
    <t>Kiver</t>
  </si>
  <si>
    <t xml:space="preserve">4210 Tyler Way </t>
  </si>
  <si>
    <t>Mazzolini</t>
  </si>
  <si>
    <t xml:space="preserve">4704 N Kenmore Ave Apt 4A </t>
  </si>
  <si>
    <t>Marcoux</t>
  </si>
  <si>
    <t xml:space="preserve">709 Wesley Ave </t>
  </si>
  <si>
    <t xml:space="preserve">7722 Cass Ave Apt 8 </t>
  </si>
  <si>
    <t xml:space="preserve">22580 San Vicente Ave </t>
  </si>
  <si>
    <t>Suzan</t>
  </si>
  <si>
    <t xml:space="preserve">53 Graceland St NE </t>
  </si>
  <si>
    <t xml:space="preserve">7431 2nd Ave N </t>
  </si>
  <si>
    <t>Konicki</t>
  </si>
  <si>
    <t xml:space="preserve">S4349 Crawford St # NA </t>
  </si>
  <si>
    <t>Baraboo</t>
  </si>
  <si>
    <t>Munroe</t>
  </si>
  <si>
    <t>Gretel</t>
  </si>
  <si>
    <t xml:space="preserve">9 Leyden Ave </t>
  </si>
  <si>
    <t>Clyne</t>
  </si>
  <si>
    <t xml:space="preserve">130 1st St </t>
  </si>
  <si>
    <t>Yale</t>
  </si>
  <si>
    <t>Pfitzner</t>
  </si>
  <si>
    <t xml:space="preserve">19 Scott Ln </t>
  </si>
  <si>
    <t>Lagrangeville</t>
  </si>
  <si>
    <t xml:space="preserve">6249 Copper Lake Ct </t>
  </si>
  <si>
    <t>Boynton Beach</t>
  </si>
  <si>
    <t xml:space="preserve">7832 Lister St </t>
  </si>
  <si>
    <t>Miranti</t>
  </si>
  <si>
    <t xml:space="preserve">926 S Elm St </t>
  </si>
  <si>
    <t>Suyematsu</t>
  </si>
  <si>
    <t>Kazuye</t>
  </si>
  <si>
    <t xml:space="preserve">1483 San Pablo Ave </t>
  </si>
  <si>
    <t xml:space="preserve">20409 Arrington Rd </t>
  </si>
  <si>
    <t xml:space="preserve">700 Owl Ct </t>
  </si>
  <si>
    <t>Wolverine Lake</t>
  </si>
  <si>
    <t>Lombardi</t>
  </si>
  <si>
    <t xml:space="preserve">51 Blair Rd </t>
  </si>
  <si>
    <t>Eighty Four</t>
  </si>
  <si>
    <t>Larocca</t>
  </si>
  <si>
    <t xml:space="preserve">PO Box 541 </t>
  </si>
  <si>
    <t>Forest Ranch</t>
  </si>
  <si>
    <t xml:space="preserve">1815 Walnut Dr </t>
  </si>
  <si>
    <t>Dello Buono</t>
  </si>
  <si>
    <t xml:space="preserve">5770 Winfield Blvd Spc 166 </t>
  </si>
  <si>
    <t>Rocks</t>
  </si>
  <si>
    <t xml:space="preserve">1518 SW Upper Hall St Null </t>
  </si>
  <si>
    <t>Vitale</t>
  </si>
  <si>
    <t xml:space="preserve">331 Turrell Ave </t>
  </si>
  <si>
    <t>Horne</t>
  </si>
  <si>
    <t xml:space="preserve">8546 Crown Dr </t>
  </si>
  <si>
    <t>Van Wert</t>
  </si>
  <si>
    <t xml:space="preserve">3820 N Pulaski Rd </t>
  </si>
  <si>
    <t xml:space="preserve">40918 Cantare Pl </t>
  </si>
  <si>
    <t>Susi</t>
  </si>
  <si>
    <t xml:space="preserve">161 West St </t>
  </si>
  <si>
    <t>Cummington</t>
  </si>
  <si>
    <t xml:space="preserve">5633 Golondrina Dr </t>
  </si>
  <si>
    <t>Vandiver</t>
  </si>
  <si>
    <t xml:space="preserve">530 Princeton Dr </t>
  </si>
  <si>
    <t>Slattery</t>
  </si>
  <si>
    <t xml:space="preserve">1250 W Glenlake Ave </t>
  </si>
  <si>
    <t>Rael</t>
  </si>
  <si>
    <t>Robb</t>
  </si>
  <si>
    <t xml:space="preserve">418 Cerrillos Rd </t>
  </si>
  <si>
    <t>Maffessoli</t>
  </si>
  <si>
    <t>Maryjo</t>
  </si>
  <si>
    <t xml:space="preserve">2651 Biddle Ave Apt 702 </t>
  </si>
  <si>
    <t>Wyandotte</t>
  </si>
  <si>
    <t>Van Sickle</t>
  </si>
  <si>
    <t xml:space="preserve">22 N River Dr </t>
  </si>
  <si>
    <t>Caldwell-Clark</t>
  </si>
  <si>
    <t xml:space="preserve">2314 W 39th Ave Apt 401 </t>
  </si>
  <si>
    <t>Delles</t>
  </si>
  <si>
    <t xml:space="preserve">2801 Sykes Creek Rd </t>
  </si>
  <si>
    <t>Rogue River</t>
  </si>
  <si>
    <t>Zitis</t>
  </si>
  <si>
    <t xml:space="preserve">PO Box 4101 </t>
  </si>
  <si>
    <t>Towle</t>
  </si>
  <si>
    <t xml:space="preserve">38 Old Colony Way </t>
  </si>
  <si>
    <t>Scituate</t>
  </si>
  <si>
    <t>Debby</t>
  </si>
  <si>
    <t xml:space="preserve">36 Downs Ave </t>
  </si>
  <si>
    <t>Greenland</t>
  </si>
  <si>
    <t xml:space="preserve">91 Mountainview Dr </t>
  </si>
  <si>
    <t>Dayna</t>
  </si>
  <si>
    <t xml:space="preserve">4750 Ravenna Ave NE </t>
  </si>
  <si>
    <t xml:space="preserve">21 E 3rd St </t>
  </si>
  <si>
    <t>Blankenship</t>
  </si>
  <si>
    <t xml:space="preserve">PO Box 1768 </t>
  </si>
  <si>
    <t>Milt</t>
  </si>
  <si>
    <t xml:space="preserve">3900 Esperanza Dr </t>
  </si>
  <si>
    <t xml:space="preserve">5223 Lonetree Dr </t>
  </si>
  <si>
    <t>Affolter</t>
  </si>
  <si>
    <t xml:space="preserve">1650 Winston Ct </t>
  </si>
  <si>
    <t>Mundelein</t>
  </si>
  <si>
    <t>Burrell</t>
  </si>
  <si>
    <t>Kristopher</t>
  </si>
  <si>
    <t xml:space="preserve">3520 Tryon Ave </t>
  </si>
  <si>
    <t xml:space="preserve">4730 Snyder Ave Apt 5 </t>
  </si>
  <si>
    <t xml:space="preserve">4436 Latimer Ave </t>
  </si>
  <si>
    <t>Dyche</t>
  </si>
  <si>
    <t xml:space="preserve">902 SE Marinette Ave </t>
  </si>
  <si>
    <t>Merriann</t>
  </si>
  <si>
    <t xml:space="preserve">58 Canyon Rd </t>
  </si>
  <si>
    <t>Bon</t>
  </si>
  <si>
    <t xml:space="preserve">5719 Nutwood Cir </t>
  </si>
  <si>
    <t>Kearns</t>
  </si>
  <si>
    <t xml:space="preserve">50 Harwood Dr E </t>
  </si>
  <si>
    <t>Glen Cove</t>
  </si>
  <si>
    <t>Lesia</t>
  </si>
  <si>
    <t xml:space="preserve">PO Box 1183 </t>
  </si>
  <si>
    <t>Drahan</t>
  </si>
  <si>
    <t xml:space="preserve">711 Sackett St </t>
  </si>
  <si>
    <t>Maumee</t>
  </si>
  <si>
    <t>Furnish</t>
  </si>
  <si>
    <t>Shearle</t>
  </si>
  <si>
    <t xml:space="preserve">22324 Dixie Rd </t>
  </si>
  <si>
    <t>Fung</t>
  </si>
  <si>
    <t>Leatrice</t>
  </si>
  <si>
    <t xml:space="preserve">3088 La Pietra Cir </t>
  </si>
  <si>
    <t>Nowak</t>
  </si>
  <si>
    <t xml:space="preserve">637 S Washington St </t>
  </si>
  <si>
    <t>Micco</t>
  </si>
  <si>
    <t xml:space="preserve">32 Bosque Loop </t>
  </si>
  <si>
    <t>Lock</t>
  </si>
  <si>
    <t xml:space="preserve">8353 4 Mile Rd NE </t>
  </si>
  <si>
    <t>Ada</t>
  </si>
  <si>
    <t xml:space="preserve">135 Allengate Ave </t>
  </si>
  <si>
    <t>Czapkowicz</t>
  </si>
  <si>
    <t xml:space="preserve">900 W Fullerton Ave Apt 4J </t>
  </si>
  <si>
    <t>60614-2442</t>
  </si>
  <si>
    <t>Ballweg</t>
  </si>
  <si>
    <t xml:space="preserve">1001 Magnolia St </t>
  </si>
  <si>
    <t>Saint Marys</t>
  </si>
  <si>
    <t>45885-1410</t>
  </si>
  <si>
    <t>Luedke</t>
  </si>
  <si>
    <t xml:space="preserve">20 Garden Rd </t>
  </si>
  <si>
    <t>01760-3753</t>
  </si>
  <si>
    <t xml:space="preserve">9307 Long Branch Pkwy </t>
  </si>
  <si>
    <t>20901-3644</t>
  </si>
  <si>
    <t xml:space="preserve">101 N Kendrick Ave </t>
  </si>
  <si>
    <t>53105-1724</t>
  </si>
  <si>
    <t>Loni</t>
  </si>
  <si>
    <t xml:space="preserve">1108 Grant Ave </t>
  </si>
  <si>
    <t>80027-1710</t>
  </si>
  <si>
    <t xml:space="preserve">38797 Wilson Ave </t>
  </si>
  <si>
    <t>Selbyville</t>
  </si>
  <si>
    <t xml:space="preserve">10826 Hawthorn Trl </t>
  </si>
  <si>
    <t>Smith-Connelly</t>
  </si>
  <si>
    <t xml:space="preserve">748 Gin House Ct </t>
  </si>
  <si>
    <t>Musgrove</t>
  </si>
  <si>
    <t xml:space="preserve">1208 Hastings Ct </t>
  </si>
  <si>
    <t>Joyce M</t>
  </si>
  <si>
    <t xml:space="preserve">4473 Rising Meadows Ct SW </t>
  </si>
  <si>
    <t>Shallotte</t>
  </si>
  <si>
    <t>Kian</t>
  </si>
  <si>
    <t xml:space="preserve">PO Box 13081 </t>
  </si>
  <si>
    <t xml:space="preserve">4661 SW 154th Pl </t>
  </si>
  <si>
    <t>Singleton</t>
  </si>
  <si>
    <t xml:space="preserve">1135 Warrington Rd </t>
  </si>
  <si>
    <t xml:space="preserve">3615 Bercaw Ln </t>
  </si>
  <si>
    <t>Cimino</t>
  </si>
  <si>
    <t xml:space="preserve">10 Mockingbird Hill Rd </t>
  </si>
  <si>
    <t>Iams</t>
  </si>
  <si>
    <t>Vonnie</t>
  </si>
  <si>
    <t xml:space="preserve">13260 Glen Circle Rd </t>
  </si>
  <si>
    <t xml:space="preserve">1547 W Market St </t>
  </si>
  <si>
    <t>Pottsville</t>
  </si>
  <si>
    <t xml:space="preserve">4235 Glenwood Ave </t>
  </si>
  <si>
    <t>Holladay Vernon</t>
  </si>
  <si>
    <t>Barbara C.</t>
  </si>
  <si>
    <t xml:space="preserve">2413 Kayewood Dr </t>
  </si>
  <si>
    <t>Lahm</t>
  </si>
  <si>
    <t xml:space="preserve">1505 Ridgeview Dr </t>
  </si>
  <si>
    <t>Repole</t>
  </si>
  <si>
    <t xml:space="preserve">106 Sport Hill Rd </t>
  </si>
  <si>
    <t xml:space="preserve">2520 Arizona Ave Apt 1 </t>
  </si>
  <si>
    <t xml:space="preserve">6109 N Star Dr </t>
  </si>
  <si>
    <t>Panama City</t>
  </si>
  <si>
    <t xml:space="preserve">13301 Ludlow Ave </t>
  </si>
  <si>
    <t>Huntington Woods</t>
  </si>
  <si>
    <t>Fortunato</t>
  </si>
  <si>
    <t xml:space="preserve">185 Coles Rd </t>
  </si>
  <si>
    <t>Goranson</t>
  </si>
  <si>
    <t xml:space="preserve">50 Scott Hill Blvd </t>
  </si>
  <si>
    <t xml:space="preserve">778 MacSherry Dr </t>
  </si>
  <si>
    <t xml:space="preserve">3222 N Pershing Dr </t>
  </si>
  <si>
    <t xml:space="preserve">5517 E Marilyn Rd </t>
  </si>
  <si>
    <t xml:space="preserve">37 Cherokee Rd </t>
  </si>
  <si>
    <t>Cecere</t>
  </si>
  <si>
    <t xml:space="preserve">105 Lost Lake Ct </t>
  </si>
  <si>
    <t>Setterberg</t>
  </si>
  <si>
    <t xml:space="preserve">7115 Carvel Ln </t>
  </si>
  <si>
    <t xml:space="preserve">5230 Keller Ridge Dr </t>
  </si>
  <si>
    <t xml:space="preserve">100 Waipalani Rd </t>
  </si>
  <si>
    <t>Elkin</t>
  </si>
  <si>
    <t xml:space="preserve">3082 Epstein Cir </t>
  </si>
  <si>
    <t>Ledbetter</t>
  </si>
  <si>
    <t>Ken And Glenda</t>
  </si>
  <si>
    <t xml:space="preserve">8917 N Davis Hwy </t>
  </si>
  <si>
    <t>Lubin</t>
  </si>
  <si>
    <t xml:space="preserve">11 Palm Circle Rd </t>
  </si>
  <si>
    <t xml:space="preserve">1701 Pinehurst Rd </t>
  </si>
  <si>
    <t>Pardee</t>
  </si>
  <si>
    <t xml:space="preserve">3518 Dahlia Ave </t>
  </si>
  <si>
    <t xml:space="preserve">19024 Coltfield Ct </t>
  </si>
  <si>
    <t>Montgomery Village</t>
  </si>
  <si>
    <t xml:space="preserve">1223 Crawford Dr </t>
  </si>
  <si>
    <t>Rekdal</t>
  </si>
  <si>
    <t xml:space="preserve">518 S Overton Ave </t>
  </si>
  <si>
    <t>Maves</t>
  </si>
  <si>
    <t xml:space="preserve">1431 E Racquet Club Rd </t>
  </si>
  <si>
    <t>Rosquist</t>
  </si>
  <si>
    <t xml:space="preserve">1117 Coronada Dr </t>
  </si>
  <si>
    <t>Jaremy</t>
  </si>
  <si>
    <t xml:space="preserve">160 Allen Point Rd </t>
  </si>
  <si>
    <t>Harpswell</t>
  </si>
  <si>
    <t>Thornhill</t>
  </si>
  <si>
    <t xml:space="preserve">1198 Holmes Ct </t>
  </si>
  <si>
    <t xml:space="preserve">12115 Tanglewood Ln </t>
  </si>
  <si>
    <t>Constance M</t>
  </si>
  <si>
    <t xml:space="preserve">19090 SAN VINCENTE Dr </t>
  </si>
  <si>
    <t>Bocchino</t>
  </si>
  <si>
    <t xml:space="preserve">162 Kissel Ave </t>
  </si>
  <si>
    <t xml:space="preserve">465 N Summit Ave </t>
  </si>
  <si>
    <t>Barger</t>
  </si>
  <si>
    <t xml:space="preserve">8540 SW 80th Pl </t>
  </si>
  <si>
    <t>Marx</t>
  </si>
  <si>
    <t xml:space="preserve">47323 County 11 Blvd </t>
  </si>
  <si>
    <t>Mazeppa</t>
  </si>
  <si>
    <t>55956-7529</t>
  </si>
  <si>
    <t>Masar</t>
  </si>
  <si>
    <t>Jacki</t>
  </si>
  <si>
    <t xml:space="preserve">10100 Reeseman Dr </t>
  </si>
  <si>
    <t>Von Eberstein</t>
  </si>
  <si>
    <t xml:space="preserve">613 NW 83rd St </t>
  </si>
  <si>
    <t>Farber</t>
  </si>
  <si>
    <t xml:space="preserve">400 W 23rd St </t>
  </si>
  <si>
    <t>Arre</t>
  </si>
  <si>
    <t xml:space="preserve">8534 NW 41st Ter </t>
  </si>
  <si>
    <t xml:space="preserve">45 1/2 Marshall St </t>
  </si>
  <si>
    <t xml:space="preserve">2 Park Cir Apt 204 </t>
  </si>
  <si>
    <t>Hein</t>
  </si>
  <si>
    <t xml:space="preserve">8219 Homestake Rd </t>
  </si>
  <si>
    <t xml:space="preserve">2407 Mimosa Rd </t>
  </si>
  <si>
    <t xml:space="preserve">391 Sims Spring Rd </t>
  </si>
  <si>
    <t>Shelbyville</t>
  </si>
  <si>
    <t xml:space="preserve">201 N Main St </t>
  </si>
  <si>
    <t>Hardy</t>
  </si>
  <si>
    <t xml:space="preserve">312 E Hubbard Ave </t>
  </si>
  <si>
    <t>Gil</t>
  </si>
  <si>
    <t xml:space="preserve">5239 Calico Ave </t>
  </si>
  <si>
    <t>Crumrine</t>
  </si>
  <si>
    <t xml:space="preserve">14900 Gulf Blvd Apt 311 </t>
  </si>
  <si>
    <t>Madeira Beach</t>
  </si>
  <si>
    <t>Mecke</t>
  </si>
  <si>
    <t>Ernst</t>
  </si>
  <si>
    <t>Helsingfors</t>
  </si>
  <si>
    <t>Fried</t>
  </si>
  <si>
    <t xml:space="preserve">West </t>
  </si>
  <si>
    <t xml:space="preserve">6809 Murray Park Dr </t>
  </si>
  <si>
    <t xml:space="preserve">4205 Baywood Dr SE </t>
  </si>
  <si>
    <t>Corbin</t>
  </si>
  <si>
    <t xml:space="preserve">4814 W Glenn Dr </t>
  </si>
  <si>
    <t>Leitner</t>
  </si>
  <si>
    <t xml:space="preserve">609 Trump Park </t>
  </si>
  <si>
    <t>Shrub Oak</t>
  </si>
  <si>
    <t xml:space="preserve">184 Lakes Rd </t>
  </si>
  <si>
    <t>Ducey</t>
  </si>
  <si>
    <t xml:space="preserve">845 PO </t>
  </si>
  <si>
    <t>Yanniotis</t>
  </si>
  <si>
    <t>Andreas</t>
  </si>
  <si>
    <t xml:space="preserve">210 Claremont Ave </t>
  </si>
  <si>
    <t>Verona</t>
  </si>
  <si>
    <t xml:space="preserve">706 Johnson St </t>
  </si>
  <si>
    <t>Undlin</t>
  </si>
  <si>
    <t xml:space="preserve">6670 133rd St W </t>
  </si>
  <si>
    <t>Hendrick</t>
  </si>
  <si>
    <t xml:space="preserve">692 Arrowhead Canyon Dr Arrowhead Canyon Dr </t>
  </si>
  <si>
    <t>Kearney</t>
  </si>
  <si>
    <t xml:space="preserve">1735 Southgate Dr </t>
  </si>
  <si>
    <t xml:space="preserve">5357 Maricopa Dr </t>
  </si>
  <si>
    <t>Greger</t>
  </si>
  <si>
    <t>Sabine</t>
  </si>
  <si>
    <t xml:space="preserve">7259 Eagle Rd </t>
  </si>
  <si>
    <t>Haley</t>
  </si>
  <si>
    <t xml:space="preserve">14918 Highway 110 </t>
  </si>
  <si>
    <t>Gouge</t>
  </si>
  <si>
    <t xml:space="preserve">217 Heffalump Ln </t>
  </si>
  <si>
    <t>Lopez Island</t>
  </si>
  <si>
    <t>Vetrone</t>
  </si>
  <si>
    <t xml:space="preserve">5798 Faircastle Dr </t>
  </si>
  <si>
    <t>Hedrick</t>
  </si>
  <si>
    <t>Erick</t>
  </si>
  <si>
    <t xml:space="preserve">453 Midland Dr </t>
  </si>
  <si>
    <t xml:space="preserve">1704 Anapuni St </t>
  </si>
  <si>
    <t>Ruisard</t>
  </si>
  <si>
    <t xml:space="preserve">6212 US Highway 6 Ste 180 </t>
  </si>
  <si>
    <t>Gibbons</t>
  </si>
  <si>
    <t xml:space="preserve">19510 Lorain Rd Apt 106 </t>
  </si>
  <si>
    <t>Fairview Park</t>
  </si>
  <si>
    <t>Moran</t>
  </si>
  <si>
    <t xml:space="preserve">167 Ahaaina Way </t>
  </si>
  <si>
    <t>Niija</t>
  </si>
  <si>
    <t xml:space="preserve">870 NW 84th St None </t>
  </si>
  <si>
    <t>Kusuma</t>
  </si>
  <si>
    <t xml:space="preserve">24 NW 180th St </t>
  </si>
  <si>
    <t>Koehler</t>
  </si>
  <si>
    <t xml:space="preserve">8170 Rogue River Hwy </t>
  </si>
  <si>
    <t>Gerard</t>
  </si>
  <si>
    <t xml:space="preserve">1440 Marleigh Ln Null </t>
  </si>
  <si>
    <t>South Elgin</t>
  </si>
  <si>
    <t>Belter</t>
  </si>
  <si>
    <t xml:space="preserve">332 5th St </t>
  </si>
  <si>
    <t>Hayenga</t>
  </si>
  <si>
    <t xml:space="preserve">421 2nd St NW </t>
  </si>
  <si>
    <t>Stewartville</t>
  </si>
  <si>
    <t xml:space="preserve">49 Rockridge Rd Null </t>
  </si>
  <si>
    <t xml:space="preserve">1826 South Blvd </t>
  </si>
  <si>
    <t>Vinciguerra</t>
  </si>
  <si>
    <t xml:space="preserve">152 Sawyer Ave </t>
  </si>
  <si>
    <t xml:space="preserve">4905 N Miller Rd </t>
  </si>
  <si>
    <t xml:space="preserve">21 Ormond Pl </t>
  </si>
  <si>
    <t>Swem</t>
  </si>
  <si>
    <t xml:space="preserve">1637 S Smithville Rd </t>
  </si>
  <si>
    <t>Homel</t>
  </si>
  <si>
    <t xml:space="preserve">406 Markle Rd </t>
  </si>
  <si>
    <t xml:space="preserve">7200 Jester Blvd </t>
  </si>
  <si>
    <t>Hommel</t>
  </si>
  <si>
    <t>Kady</t>
  </si>
  <si>
    <t xml:space="preserve">11 W Jefferson St </t>
  </si>
  <si>
    <t>Vanmeter</t>
  </si>
  <si>
    <t xml:space="preserve">28 Critton Owl Hollow Rd </t>
  </si>
  <si>
    <t>Paw Paw</t>
  </si>
  <si>
    <t xml:space="preserve">12 Sandy Ln </t>
  </si>
  <si>
    <t>Bourne</t>
  </si>
  <si>
    <t>Dearteaga</t>
  </si>
  <si>
    <t xml:space="preserve">2014 31st Pl SE </t>
  </si>
  <si>
    <t>Sexton</t>
  </si>
  <si>
    <t xml:space="preserve">209 N 5th St </t>
  </si>
  <si>
    <t>Sanger</t>
  </si>
  <si>
    <t>Meri-Beth</t>
  </si>
  <si>
    <t xml:space="preserve">775 Talowah Rd </t>
  </si>
  <si>
    <t>Purvis</t>
  </si>
  <si>
    <t>Augustus</t>
  </si>
  <si>
    <t>Saundra</t>
  </si>
  <si>
    <t xml:space="preserve">1240 Norton St </t>
  </si>
  <si>
    <t xml:space="preserve">17000 Chandler Park Dr </t>
  </si>
  <si>
    <t xml:space="preserve">6498 Parkside Way </t>
  </si>
  <si>
    <t>Felcan</t>
  </si>
  <si>
    <t xml:space="preserve">933 E Wickieup Ln </t>
  </si>
  <si>
    <t xml:space="preserve">2000 Fountainwood Dr </t>
  </si>
  <si>
    <t xml:space="preserve">14131 Bishop Bend Ln </t>
  </si>
  <si>
    <t>Cain</t>
  </si>
  <si>
    <t>Micheal</t>
  </si>
  <si>
    <t xml:space="preserve">2234 Waters Edge Blvd </t>
  </si>
  <si>
    <t xml:space="preserve">1976 Fairmount Ave S </t>
  </si>
  <si>
    <t>Serraller</t>
  </si>
  <si>
    <t xml:space="preserve">6 Maple Ln </t>
  </si>
  <si>
    <t>Southwest Harbor</t>
  </si>
  <si>
    <t>Pruitt</t>
  </si>
  <si>
    <t xml:space="preserve">PO Box 40050 </t>
  </si>
  <si>
    <t>South Padre Island</t>
  </si>
  <si>
    <t>Darden</t>
  </si>
  <si>
    <t xml:space="preserve">6524 Park Point Ln NE </t>
  </si>
  <si>
    <t xml:space="preserve">1847 Columbus St </t>
  </si>
  <si>
    <t>Kwakenat</t>
  </si>
  <si>
    <t xml:space="preserve">7301 W 101st St Unit 112 </t>
  </si>
  <si>
    <t>Said</t>
  </si>
  <si>
    <t xml:space="preserve">785 W End Ave Apt 10A </t>
  </si>
  <si>
    <t>Tihanee</t>
  </si>
  <si>
    <t xml:space="preserve">60848 Taralon Pl </t>
  </si>
  <si>
    <t>Wacaser</t>
  </si>
  <si>
    <t xml:space="preserve">3336 S Ammons St Apt 12-102 </t>
  </si>
  <si>
    <t>Kerianne</t>
  </si>
  <si>
    <t xml:space="preserve">195 East Dr </t>
  </si>
  <si>
    <t>Massapequa</t>
  </si>
  <si>
    <t>Asher-Lawson</t>
  </si>
  <si>
    <t xml:space="preserve">411 Tarpley St </t>
  </si>
  <si>
    <t xml:space="preserve">HIGHOVER Dr </t>
  </si>
  <si>
    <t>Chanhassen</t>
  </si>
  <si>
    <t>Cassie</t>
  </si>
  <si>
    <t xml:space="preserve">421 Crystola Canyon Rd </t>
  </si>
  <si>
    <t>Woodland Park</t>
  </si>
  <si>
    <t>King George</t>
  </si>
  <si>
    <t xml:space="preserve">PO Box 2880 </t>
  </si>
  <si>
    <t>Coman</t>
  </si>
  <si>
    <t xml:space="preserve">PO Box 87295 </t>
  </si>
  <si>
    <t xml:space="preserve">1398 Middle Gulf Dr Unit B </t>
  </si>
  <si>
    <t>Feig</t>
  </si>
  <si>
    <t xml:space="preserve">396 Vineyard Point Rd </t>
  </si>
  <si>
    <t>Bruno-Small</t>
  </si>
  <si>
    <t xml:space="preserve">507 Legendre Dr </t>
  </si>
  <si>
    <t>Holden</t>
  </si>
  <si>
    <t xml:space="preserve">1405 El Tejon Way </t>
  </si>
  <si>
    <t>Barreto</t>
  </si>
  <si>
    <t xml:space="preserve">3122 4th St </t>
  </si>
  <si>
    <t xml:space="preserve">VENTURA Blvd </t>
  </si>
  <si>
    <t xml:space="preserve">156 Beacon Rd </t>
  </si>
  <si>
    <t>Bethany</t>
  </si>
  <si>
    <t xml:space="preserve">1725 SE Lullaby Ter </t>
  </si>
  <si>
    <t>Freytes</t>
  </si>
  <si>
    <t xml:space="preserve">1576 E 46th St </t>
  </si>
  <si>
    <t>Frantz-Crafton</t>
  </si>
  <si>
    <t>Candy</t>
  </si>
  <si>
    <t xml:space="preserve">2636 17th Ave # 111 </t>
  </si>
  <si>
    <t>Hylton</t>
  </si>
  <si>
    <t xml:space="preserve">PO Box 264 </t>
  </si>
  <si>
    <t>C. Warren</t>
  </si>
  <si>
    <t xml:space="preserve">12 Mountain Site Ln Ext </t>
  </si>
  <si>
    <t xml:space="preserve">1157 E Hyde Park Blvd </t>
  </si>
  <si>
    <t>Inglewood</t>
  </si>
  <si>
    <t>Eisenberg</t>
  </si>
  <si>
    <t xml:space="preserve">5033 Bartons Enclave Ln </t>
  </si>
  <si>
    <t>Happel</t>
  </si>
  <si>
    <t xml:space="preserve">2034 Allison Ave </t>
  </si>
  <si>
    <t>Dianna</t>
  </si>
  <si>
    <t xml:space="preserve">6761 San Souci Rd </t>
  </si>
  <si>
    <t xml:space="preserve">33 Christine St </t>
  </si>
  <si>
    <t>Roop</t>
  </si>
  <si>
    <t xml:space="preserve">58 Jewett St </t>
  </si>
  <si>
    <t>Banathy</t>
  </si>
  <si>
    <t xml:space="preserve">4318 Allgood Way </t>
  </si>
  <si>
    <t>Stone Mountain</t>
  </si>
  <si>
    <t>Dumas Md</t>
  </si>
  <si>
    <t xml:space="preserve">1166 Skyline Dr </t>
  </si>
  <si>
    <t>Eichelberger</t>
  </si>
  <si>
    <t>Racheal</t>
  </si>
  <si>
    <t xml:space="preserve">1301 W Jackson St </t>
  </si>
  <si>
    <t>Steger</t>
  </si>
  <si>
    <t xml:space="preserve">8326 17th St N </t>
  </si>
  <si>
    <t>Kindlmann</t>
  </si>
  <si>
    <t xml:space="preserve">126 White Birch Dr </t>
  </si>
  <si>
    <t xml:space="preserve">4077 Waterhouse Rd </t>
  </si>
  <si>
    <t xml:space="preserve">3665 Cottage Dr </t>
  </si>
  <si>
    <t>Brockwell</t>
  </si>
  <si>
    <t>Pattie</t>
  </si>
  <si>
    <t xml:space="preserve">45 W Pond Rd </t>
  </si>
  <si>
    <t>Lowther</t>
  </si>
  <si>
    <t xml:space="preserve">143 Central Ave </t>
  </si>
  <si>
    <t>Petzinger</t>
  </si>
  <si>
    <t xml:space="preserve">1400 Hillary Ave </t>
  </si>
  <si>
    <t xml:space="preserve">6 Commodore Dr </t>
  </si>
  <si>
    <t>Beauchamp</t>
  </si>
  <si>
    <t xml:space="preserve">71456 Bates Rd </t>
  </si>
  <si>
    <t>Kimbolton</t>
  </si>
  <si>
    <t>Kosow</t>
  </si>
  <si>
    <t xml:space="preserve">10283 Copper Lake Dr </t>
  </si>
  <si>
    <t>Kennerly</t>
  </si>
  <si>
    <t xml:space="preserve">310 Savannah Ave </t>
  </si>
  <si>
    <t>Statesboro</t>
  </si>
  <si>
    <t>Magliola</t>
  </si>
  <si>
    <t xml:space="preserve">108 Hogans Vis </t>
  </si>
  <si>
    <t xml:space="preserve">48240 Colony Ln </t>
  </si>
  <si>
    <t>Voss</t>
  </si>
  <si>
    <t xml:space="preserve">3431 Arendell St </t>
  </si>
  <si>
    <t>Morehead City</t>
  </si>
  <si>
    <t>Hirning</t>
  </si>
  <si>
    <t xml:space="preserve">3134 Reynoldsburg New Albany Rd </t>
  </si>
  <si>
    <t>Vidales</t>
  </si>
  <si>
    <t xml:space="preserve">4304 E 105th Ave </t>
  </si>
  <si>
    <t>Markillie</t>
  </si>
  <si>
    <t xml:space="preserve">10037 Cobblers Way </t>
  </si>
  <si>
    <t>Munder</t>
  </si>
  <si>
    <t xml:space="preserve">1031 W Ridgecrest Ave </t>
  </si>
  <si>
    <t>Republic</t>
  </si>
  <si>
    <t>Cerna</t>
  </si>
  <si>
    <t xml:space="preserve">6519 Kennedy Blvd </t>
  </si>
  <si>
    <t>Laurie J.</t>
  </si>
  <si>
    <t xml:space="preserve">175 W 12th St Apt 6A </t>
  </si>
  <si>
    <t>Ryel</t>
  </si>
  <si>
    <t xml:space="preserve">4306 Yorkshire Ave </t>
  </si>
  <si>
    <t>Borbo</t>
  </si>
  <si>
    <t>Gilmer</t>
  </si>
  <si>
    <t xml:space="preserve">95 -1042 Kuauli St </t>
  </si>
  <si>
    <t>Mililani</t>
  </si>
  <si>
    <t>Weegar</t>
  </si>
  <si>
    <t xml:space="preserve">132 Nantucket Cir </t>
  </si>
  <si>
    <t>Bywaters</t>
  </si>
  <si>
    <t xml:space="preserve">21 Arrowhead Dr </t>
  </si>
  <si>
    <t>Glastonbury</t>
  </si>
  <si>
    <t xml:space="preserve">300 Tuttle Rd </t>
  </si>
  <si>
    <t>McFeeley</t>
  </si>
  <si>
    <t xml:space="preserve">1063 N 22nd St </t>
  </si>
  <si>
    <t xml:space="preserve">593 Slate Hill Rd </t>
  </si>
  <si>
    <t>Sharon Springs</t>
  </si>
  <si>
    <t xml:space="preserve">138 Cortland Ave </t>
  </si>
  <si>
    <t xml:space="preserve">284 Abbott Rd </t>
  </si>
  <si>
    <t>Acton</t>
  </si>
  <si>
    <t>Judith K</t>
  </si>
  <si>
    <t xml:space="preserve">7961 W Glasgow Pl </t>
  </si>
  <si>
    <t xml:space="preserve">PO Box 214 </t>
  </si>
  <si>
    <t>Pritchard</t>
  </si>
  <si>
    <t xml:space="preserve">2460 Pioneer Pike </t>
  </si>
  <si>
    <t>Soucek</t>
  </si>
  <si>
    <t>P.P.</t>
  </si>
  <si>
    <t xml:space="preserve">14421 Weddington St </t>
  </si>
  <si>
    <t>Van Hook</t>
  </si>
  <si>
    <t xml:space="preserve">337 Via De La Paz </t>
  </si>
  <si>
    <t>Skerlec</t>
  </si>
  <si>
    <t>Ernetta</t>
  </si>
  <si>
    <t xml:space="preserve">6801 77th St W </t>
  </si>
  <si>
    <t>Garbi</t>
  </si>
  <si>
    <t xml:space="preserve">1614 SE 92nd Ct </t>
  </si>
  <si>
    <t>Macys</t>
  </si>
  <si>
    <t xml:space="preserve">232 Evergreen Ct </t>
  </si>
  <si>
    <t>Azusa</t>
  </si>
  <si>
    <t xml:space="preserve">9815 Regent St </t>
  </si>
  <si>
    <t>Susaan</t>
  </si>
  <si>
    <t xml:space="preserve">23 Valley Spring Rd </t>
  </si>
  <si>
    <t xml:space="preserve">240 Rollingwood Rd </t>
  </si>
  <si>
    <t>Swint</t>
  </si>
  <si>
    <t xml:space="preserve">2809 Fresh Spring Rd </t>
  </si>
  <si>
    <t>Cherie</t>
  </si>
  <si>
    <t xml:space="preserve">3643 S Summerset Way </t>
  </si>
  <si>
    <t>Piche'</t>
  </si>
  <si>
    <t xml:space="preserve">8180 S 35th St </t>
  </si>
  <si>
    <t>Reyes</t>
  </si>
  <si>
    <t xml:space="preserve">2100 Northern Blvd NW </t>
  </si>
  <si>
    <t>Harmony</t>
  </si>
  <si>
    <t xml:space="preserve">35789 Rhone Ln </t>
  </si>
  <si>
    <t>Vorhies</t>
  </si>
  <si>
    <t xml:space="preserve">2104 Penrose St </t>
  </si>
  <si>
    <t>Newsom</t>
  </si>
  <si>
    <t xml:space="preserve">3425 Thomas Ave </t>
  </si>
  <si>
    <t>Kronlokken</t>
  </si>
  <si>
    <t>Bindert</t>
  </si>
  <si>
    <t xml:space="preserve">12430 Goldenrod St NW </t>
  </si>
  <si>
    <t>Coon Rapids</t>
  </si>
  <si>
    <t xml:space="preserve">29 Mary Elizabeth Ln </t>
  </si>
  <si>
    <t>Stefania</t>
  </si>
  <si>
    <t xml:space="preserve">1814 N Center St </t>
  </si>
  <si>
    <t xml:space="preserve">6919 Carmel Rd </t>
  </si>
  <si>
    <t>Al-Khateeb</t>
  </si>
  <si>
    <t>Caressa</t>
  </si>
  <si>
    <t xml:space="preserve">4810 Panorama Ave </t>
  </si>
  <si>
    <t xml:space="preserve">8450 Campana Dr 8450 Campana Dr 8450 Campana Dr </t>
  </si>
  <si>
    <t>Duckwall</t>
  </si>
  <si>
    <t xml:space="preserve">3113 Arjay Ln </t>
  </si>
  <si>
    <t>Banta</t>
  </si>
  <si>
    <t xml:space="preserve">1854 Cedar Ave Apt 3E </t>
  </si>
  <si>
    <t>Brisan</t>
  </si>
  <si>
    <t>Marius</t>
  </si>
  <si>
    <t xml:space="preserve">17850 SW 11th Ave </t>
  </si>
  <si>
    <t>Luddecke</t>
  </si>
  <si>
    <t xml:space="preserve">3852 SW Condor Ave </t>
  </si>
  <si>
    <t xml:space="preserve">6514 Washington St </t>
  </si>
  <si>
    <t>Yountville</t>
  </si>
  <si>
    <t>Algiere</t>
  </si>
  <si>
    <t xml:space="preserve">1008 High Ave </t>
  </si>
  <si>
    <t>Bessman</t>
  </si>
  <si>
    <t>Marcelle</t>
  </si>
  <si>
    <t xml:space="preserve">4 417 PORT ARTHUR Rd </t>
  </si>
  <si>
    <t>Geren</t>
  </si>
  <si>
    <t xml:space="preserve">11307 SE Pardee St </t>
  </si>
  <si>
    <t xml:space="preserve">1605 S 14th St </t>
  </si>
  <si>
    <t>Adel</t>
  </si>
  <si>
    <t>Allard</t>
  </si>
  <si>
    <t xml:space="preserve">4632 Sawmill Rd </t>
  </si>
  <si>
    <t xml:space="preserve">1310 Brighton Bend Ln </t>
  </si>
  <si>
    <t>Cedar Park</t>
  </si>
  <si>
    <t>Balk</t>
  </si>
  <si>
    <t xml:space="preserve">178 County Road 2132 </t>
  </si>
  <si>
    <t>Quitman</t>
  </si>
  <si>
    <t>75783-6108</t>
  </si>
  <si>
    <t>Vis</t>
  </si>
  <si>
    <t xml:space="preserve">1754 W Dalehaven Cir </t>
  </si>
  <si>
    <t xml:space="preserve">42 Village Gln </t>
  </si>
  <si>
    <t>Essex Junction</t>
  </si>
  <si>
    <t>Bagwell</t>
  </si>
  <si>
    <t xml:space="preserve">2360 Mcvay Cv </t>
  </si>
  <si>
    <t>Weinberger</t>
  </si>
  <si>
    <t xml:space="preserve">3146 Spahr Rd </t>
  </si>
  <si>
    <t>Kocherhans</t>
  </si>
  <si>
    <t xml:space="preserve">32800 W Peters And Nall Rd </t>
  </si>
  <si>
    <t xml:space="preserve">36 Margaret Ave </t>
  </si>
  <si>
    <t xml:space="preserve">5051 Foothills Dr Unit F </t>
  </si>
  <si>
    <t xml:space="preserve">4303 N Holmes St Apt 313W </t>
  </si>
  <si>
    <t xml:space="preserve">1945 Yellow Fork Trl </t>
  </si>
  <si>
    <t xml:space="preserve">1500 1st Ave N </t>
  </si>
  <si>
    <t>McGee</t>
  </si>
  <si>
    <t xml:space="preserve">720 Redan Dr </t>
  </si>
  <si>
    <t xml:space="preserve">1154 Ten Mile Rd </t>
  </si>
  <si>
    <t>Bonifay</t>
  </si>
  <si>
    <t xml:space="preserve">10 Westview Ave </t>
  </si>
  <si>
    <t>Griebler</t>
  </si>
  <si>
    <t xml:space="preserve">7 Slade Ave </t>
  </si>
  <si>
    <t>Pikesville</t>
  </si>
  <si>
    <t xml:space="preserve">2700 Alcoa Ave Apt 1 </t>
  </si>
  <si>
    <t xml:space="preserve">105 Drexel Avenue 105 Drexel Ave 105 Drexel Ave </t>
  </si>
  <si>
    <t>Lansdowne</t>
  </si>
  <si>
    <t xml:space="preserve">3659 Birch Ave # 2 </t>
  </si>
  <si>
    <t>Cheung</t>
  </si>
  <si>
    <t xml:space="preserve">154 Brewster Rd </t>
  </si>
  <si>
    <t>Coley</t>
  </si>
  <si>
    <t>Ioana</t>
  </si>
  <si>
    <t xml:space="preserve">3081 French Hill Dr </t>
  </si>
  <si>
    <t xml:space="preserve">PO Box 2953 </t>
  </si>
  <si>
    <t xml:space="preserve">WELSON Rd </t>
  </si>
  <si>
    <t xml:space="preserve">14931 Shady Bend Dr </t>
  </si>
  <si>
    <t xml:space="preserve">1991 S Wood Duck Ln </t>
  </si>
  <si>
    <t>Bander</t>
  </si>
  <si>
    <t xml:space="preserve">1055 Walnut Grove Ave </t>
  </si>
  <si>
    <t>Abela Serra</t>
  </si>
  <si>
    <t xml:space="preserve">42 SOLEDAT </t>
  </si>
  <si>
    <t>Felanitx</t>
  </si>
  <si>
    <t xml:space="preserve">27353 Terrytown Rd </t>
  </si>
  <si>
    <t>Menifee</t>
  </si>
  <si>
    <t>Ressler</t>
  </si>
  <si>
    <t xml:space="preserve">14 Southview Dr </t>
  </si>
  <si>
    <t>Oroville</t>
  </si>
  <si>
    <t>Cowdrick</t>
  </si>
  <si>
    <t xml:space="preserve">4455 S Garden Dr # 2 </t>
  </si>
  <si>
    <t>Millcreek</t>
  </si>
  <si>
    <t xml:space="preserve">2001 Martin Luther King Jr Dr SW Ste 314 </t>
  </si>
  <si>
    <t>MacKay</t>
  </si>
  <si>
    <t xml:space="preserve">998 S Wall St </t>
  </si>
  <si>
    <t>Marashinsky</t>
  </si>
  <si>
    <t>Amy Sophia</t>
  </si>
  <si>
    <t xml:space="preserve">89 Pine Grv </t>
  </si>
  <si>
    <t>Studenroth</t>
  </si>
  <si>
    <t xml:space="preserve">8643 Albert Pike Rd </t>
  </si>
  <si>
    <t>Royal</t>
  </si>
  <si>
    <t>Broer-Leroux</t>
  </si>
  <si>
    <t xml:space="preserve">917 1/2 3rd Ave SW </t>
  </si>
  <si>
    <t>Mohseni</t>
  </si>
  <si>
    <t>Leila</t>
  </si>
  <si>
    <t xml:space="preserve">2333 13th St Apt 3 </t>
  </si>
  <si>
    <t xml:space="preserve">7825 SW Maple Dr # D </t>
  </si>
  <si>
    <t xml:space="preserve">590 S Main St </t>
  </si>
  <si>
    <t>Cave Springs</t>
  </si>
  <si>
    <t>Har</t>
  </si>
  <si>
    <t>Kass</t>
  </si>
  <si>
    <t xml:space="preserve">29 Hawthorne St </t>
  </si>
  <si>
    <t>Matzen</t>
  </si>
  <si>
    <t xml:space="preserve">10241 N 189th Ave </t>
  </si>
  <si>
    <t xml:space="preserve">1967 Cricklewood Cv </t>
  </si>
  <si>
    <t>Fogelsville</t>
  </si>
  <si>
    <t>Kardos</t>
  </si>
  <si>
    <t xml:space="preserve">5766 Green Rd </t>
  </si>
  <si>
    <t xml:space="preserve">8211 Hale Rd </t>
  </si>
  <si>
    <t xml:space="preserve">1315 Chemeketa St NE </t>
  </si>
  <si>
    <t>Timm</t>
  </si>
  <si>
    <t xml:space="preserve">10100 Emerald Dr </t>
  </si>
  <si>
    <t xml:space="preserve">17 Old Wood Rd </t>
  </si>
  <si>
    <t xml:space="preserve">6211 Bchwood Dr </t>
  </si>
  <si>
    <t xml:space="preserve">110 WILLIAMS Ave SW </t>
  </si>
  <si>
    <t>Skiles</t>
  </si>
  <si>
    <t xml:space="preserve">587 Newman St </t>
  </si>
  <si>
    <t>Winter Harbor</t>
  </si>
  <si>
    <t>Gierlachowski</t>
  </si>
  <si>
    <t xml:space="preserve">857 Bonnie Brae Ln </t>
  </si>
  <si>
    <t xml:space="preserve">64 Newcomb St </t>
  </si>
  <si>
    <t xml:space="preserve">3875 Ridgewood Way </t>
  </si>
  <si>
    <t>West Linn</t>
  </si>
  <si>
    <t xml:space="preserve">11507 Patriot Ln </t>
  </si>
  <si>
    <t xml:space="preserve">115 W Hortter St </t>
  </si>
  <si>
    <t>Gromoll</t>
  </si>
  <si>
    <t>Norda</t>
  </si>
  <si>
    <t xml:space="preserve">1717 Watersmeet Lake Rd </t>
  </si>
  <si>
    <t>Whiteside</t>
  </si>
  <si>
    <t xml:space="preserve">N2969 W Bluff Rd S </t>
  </si>
  <si>
    <t>Stockholm</t>
  </si>
  <si>
    <t>Irvin</t>
  </si>
  <si>
    <t xml:space="preserve">31 Mattingly Ave </t>
  </si>
  <si>
    <t>Indian Head</t>
  </si>
  <si>
    <t>Misiewicz</t>
  </si>
  <si>
    <t xml:space="preserve">229 Washington Rd </t>
  </si>
  <si>
    <t xml:space="preserve">300 NE 20th Ter </t>
  </si>
  <si>
    <t xml:space="preserve">1427 Old Ford Rd # 1 </t>
  </si>
  <si>
    <t>Retlick</t>
  </si>
  <si>
    <t xml:space="preserve">N100W17441 Whitetail Run </t>
  </si>
  <si>
    <t xml:space="preserve">85 Mount Clare Ave </t>
  </si>
  <si>
    <t>Furlong</t>
  </si>
  <si>
    <t>Elyse</t>
  </si>
  <si>
    <t xml:space="preserve">16184 Villa Vizcaya Pl </t>
  </si>
  <si>
    <t xml:space="preserve">188 Hare St </t>
  </si>
  <si>
    <t xml:space="preserve">1555 Merrill St Spc 157 </t>
  </si>
  <si>
    <t>Easterling</t>
  </si>
  <si>
    <t xml:space="preserve">2904 High Oaks Dr </t>
  </si>
  <si>
    <t>Grapevine</t>
  </si>
  <si>
    <t>Kennelly</t>
  </si>
  <si>
    <t xml:space="preserve">106 Yorkshire Ct </t>
  </si>
  <si>
    <t>Blacksburg</t>
  </si>
  <si>
    <t>Gnat</t>
  </si>
  <si>
    <t xml:space="preserve">295 14th St </t>
  </si>
  <si>
    <t>McCartin</t>
  </si>
  <si>
    <t xml:space="preserve">6735 W Canal Pointe Ln </t>
  </si>
  <si>
    <t>Boerman</t>
  </si>
  <si>
    <t>Hilda</t>
  </si>
  <si>
    <t xml:space="preserve">4397 130th Ave </t>
  </si>
  <si>
    <t>Saenz</t>
  </si>
  <si>
    <t xml:space="preserve">20220 Indiana Ave </t>
  </si>
  <si>
    <t>Brownstown Twp</t>
  </si>
  <si>
    <t>Kondratieff</t>
  </si>
  <si>
    <t xml:space="preserve">20 Milstead Cir </t>
  </si>
  <si>
    <t xml:space="preserve">6537 34th Ave SW Unit A </t>
  </si>
  <si>
    <t>Wiegers</t>
  </si>
  <si>
    <t xml:space="preserve">3050 W 32nd Ave Unit B104 </t>
  </si>
  <si>
    <t xml:space="preserve">28333 Ortega Hwy </t>
  </si>
  <si>
    <t>Kusala</t>
  </si>
  <si>
    <t xml:space="preserve">1921 State Road 595 </t>
  </si>
  <si>
    <t>Lindrith</t>
  </si>
  <si>
    <t>Lataille</t>
  </si>
  <si>
    <t xml:space="preserve">212 Plainfield Pike </t>
  </si>
  <si>
    <t xml:space="preserve">1458 Ridgeley Dr </t>
  </si>
  <si>
    <t>95008-0706</t>
  </si>
  <si>
    <t xml:space="preserve">3110 W Crescent Rim Dr Apt 104 </t>
  </si>
  <si>
    <t xml:space="preserve">3449 Garfield Ave Apt 104 </t>
  </si>
  <si>
    <t>Pereira Phd Fulbright</t>
  </si>
  <si>
    <t>Prof Dr Tony</t>
  </si>
  <si>
    <t xml:space="preserve">1501 E Carson St Apt 15 </t>
  </si>
  <si>
    <t>Haemig</t>
  </si>
  <si>
    <t xml:space="preserve">7161 Riverview Ter NE </t>
  </si>
  <si>
    <t>Fridley</t>
  </si>
  <si>
    <t>Ryberg</t>
  </si>
  <si>
    <t xml:space="preserve">30247 Overdale St Home </t>
  </si>
  <si>
    <t xml:space="preserve">1710 E Deerhill St </t>
  </si>
  <si>
    <t>Dede</t>
  </si>
  <si>
    <t>Barela</t>
  </si>
  <si>
    <t xml:space="preserve">601 Somerset Dr </t>
  </si>
  <si>
    <t>Gillespie</t>
  </si>
  <si>
    <t xml:space="preserve">59 Wildcat Rd </t>
  </si>
  <si>
    <t>Leiden</t>
  </si>
  <si>
    <t xml:space="preserve">306 Coleridge Ave </t>
  </si>
  <si>
    <t>Stover</t>
  </si>
  <si>
    <t xml:space="preserve">PO Box 160 </t>
  </si>
  <si>
    <t xml:space="preserve">116 Rupolo Dr </t>
  </si>
  <si>
    <t>Saint Paris</t>
  </si>
  <si>
    <t xml:space="preserve">3667 Rabbit Run Rd </t>
  </si>
  <si>
    <t xml:space="preserve">515 213th St </t>
  </si>
  <si>
    <t xml:space="preserve">68 Napoleon St </t>
  </si>
  <si>
    <t xml:space="preserve">18780 White Fawn Dr </t>
  </si>
  <si>
    <t xml:space="preserve">1215 S Ogontz St </t>
  </si>
  <si>
    <t>Panter</t>
  </si>
  <si>
    <t xml:space="preserve">8732 Rodeo Dr </t>
  </si>
  <si>
    <t xml:space="preserve">2610 Beach Head Way </t>
  </si>
  <si>
    <t>Peiffer</t>
  </si>
  <si>
    <t xml:space="preserve">1220 Depot St Unit 412 </t>
  </si>
  <si>
    <t xml:space="preserve">8 Country Club Dr </t>
  </si>
  <si>
    <t>Pfister</t>
  </si>
  <si>
    <t xml:space="preserve">12639 SE 169th St </t>
  </si>
  <si>
    <t>Moultrup</t>
  </si>
  <si>
    <t xml:space="preserve">10 Lockwood Rd </t>
  </si>
  <si>
    <t xml:space="preserve">5 E Rolling Meadows Ln </t>
  </si>
  <si>
    <t>Weaverville</t>
  </si>
  <si>
    <t>Wilmering</t>
  </si>
  <si>
    <t xml:space="preserve">1900 N Northlake Way Ste 127 </t>
  </si>
  <si>
    <t>Yohe</t>
  </si>
  <si>
    <t xml:space="preserve">7430 Briarhurst Cir </t>
  </si>
  <si>
    <t>Cassagnol</t>
  </si>
  <si>
    <t>Maud</t>
  </si>
  <si>
    <t xml:space="preserve">3808 Arelia Dr N </t>
  </si>
  <si>
    <t>Marita</t>
  </si>
  <si>
    <t xml:space="preserve">279 Hugh Thomas Dr </t>
  </si>
  <si>
    <t xml:space="preserve">72 Grove St </t>
  </si>
  <si>
    <t xml:space="preserve">5462 Tradewinds Walkway Apt 2 </t>
  </si>
  <si>
    <t>Kantmann</t>
  </si>
  <si>
    <t xml:space="preserve">1033 63rd St </t>
  </si>
  <si>
    <t xml:space="preserve">1659 Laclaff Ave </t>
  </si>
  <si>
    <t>Lapeer</t>
  </si>
  <si>
    <t>Schachne</t>
  </si>
  <si>
    <t xml:space="preserve">409 State St Apt 1 </t>
  </si>
  <si>
    <t xml:space="preserve">1009 Hyland Dr </t>
  </si>
  <si>
    <t>Percy</t>
  </si>
  <si>
    <t xml:space="preserve">13 Miller Rd </t>
  </si>
  <si>
    <t xml:space="preserve">4300 Neyrey Dr </t>
  </si>
  <si>
    <t>Aegina</t>
  </si>
  <si>
    <t xml:space="preserve">10420 68th Dr Apt A31 </t>
  </si>
  <si>
    <t>Prager</t>
  </si>
  <si>
    <t xml:space="preserve">3323 Silkgrass Bnd </t>
  </si>
  <si>
    <t>Dellapenta</t>
  </si>
  <si>
    <t xml:space="preserve">10601 E Marchetti Loop </t>
  </si>
  <si>
    <t xml:space="preserve">5186 New Sweden Rd NE </t>
  </si>
  <si>
    <t>Tullius</t>
  </si>
  <si>
    <t xml:space="preserve">5229 Balboa Blvd Unit 13 </t>
  </si>
  <si>
    <t xml:space="preserve">2802 50th St S </t>
  </si>
  <si>
    <t>Wisconsin Rapids</t>
  </si>
  <si>
    <t>Kiley</t>
  </si>
  <si>
    <t xml:space="preserve">3792 Harrison St Apt 32 </t>
  </si>
  <si>
    <t xml:space="preserve">4020 87th Ter N </t>
  </si>
  <si>
    <t>Hartig</t>
  </si>
  <si>
    <t xml:space="preserve">1220 Thompson Rd </t>
  </si>
  <si>
    <t xml:space="preserve">16 Florence Ave </t>
  </si>
  <si>
    <t>Bolek</t>
  </si>
  <si>
    <t xml:space="preserve">149 Meadow Cir </t>
  </si>
  <si>
    <t>Mohr</t>
  </si>
  <si>
    <t xml:space="preserve">693 Bangor Rd </t>
  </si>
  <si>
    <t>Nazareth</t>
  </si>
  <si>
    <t xml:space="preserve">104 Wagamons Blvd </t>
  </si>
  <si>
    <t>Erdie</t>
  </si>
  <si>
    <t xml:space="preserve">9017 Douglas Cir </t>
  </si>
  <si>
    <t>Koles</t>
  </si>
  <si>
    <t xml:space="preserve">13 Acacia Rd </t>
  </si>
  <si>
    <t>Zemek</t>
  </si>
  <si>
    <t xml:space="preserve">3303 E Clarendon Ave </t>
  </si>
  <si>
    <t>Gump</t>
  </si>
  <si>
    <t xml:space="preserve">7216 Via Verde </t>
  </si>
  <si>
    <t>Aziz</t>
  </si>
  <si>
    <t xml:space="preserve">4931 Flame Ln </t>
  </si>
  <si>
    <t>Bahn</t>
  </si>
  <si>
    <t xml:space="preserve">428 Childers St </t>
  </si>
  <si>
    <t>Olwell</t>
  </si>
  <si>
    <t xml:space="preserve">2117 5th Ave W </t>
  </si>
  <si>
    <t>Gorman</t>
  </si>
  <si>
    <t xml:space="preserve">222 Rock Island Rd </t>
  </si>
  <si>
    <t>Hundven</t>
  </si>
  <si>
    <t xml:space="preserve">PO Box 432 </t>
  </si>
  <si>
    <t xml:space="preserve">PO Box 11526 </t>
  </si>
  <si>
    <t>Malkerson</t>
  </si>
  <si>
    <t xml:space="preserve">808 Harbor Dr S </t>
  </si>
  <si>
    <t>Warkentine</t>
  </si>
  <si>
    <t xml:space="preserve">1109 Arizona St NE </t>
  </si>
  <si>
    <t>Samuelson</t>
  </si>
  <si>
    <t>Georgeanne</t>
  </si>
  <si>
    <t xml:space="preserve">47525 Perkins St </t>
  </si>
  <si>
    <t>Oakridge</t>
  </si>
  <si>
    <t>Avra</t>
  </si>
  <si>
    <t xml:space="preserve">2470 Layman Trestle Rd </t>
  </si>
  <si>
    <t>Zech</t>
  </si>
  <si>
    <t xml:space="preserve">1139 S Church St </t>
  </si>
  <si>
    <t>Cassell</t>
  </si>
  <si>
    <t>Mv</t>
  </si>
  <si>
    <t xml:space="preserve">2960 High St Eugene OR97405 </t>
  </si>
  <si>
    <t>Desilets</t>
  </si>
  <si>
    <t xml:space="preserve">300 Ray Ella Dr </t>
  </si>
  <si>
    <t xml:space="preserve">1455 2nd Ave Apt 1105 </t>
  </si>
  <si>
    <t>Dubman</t>
  </si>
  <si>
    <t xml:space="preserve">2130 S Warson Rd </t>
  </si>
  <si>
    <t>Durante</t>
  </si>
  <si>
    <t xml:space="preserve">828 Cadillac St </t>
  </si>
  <si>
    <t>Wolock</t>
  </si>
  <si>
    <t xml:space="preserve">7900 Huntington Rd </t>
  </si>
  <si>
    <t>Dubansky</t>
  </si>
  <si>
    <t xml:space="preserve">10368 Bexhill Pl </t>
  </si>
  <si>
    <t>Bryson</t>
  </si>
  <si>
    <t>Barney</t>
  </si>
  <si>
    <t xml:space="preserve">2102 Barnes St </t>
  </si>
  <si>
    <t xml:space="preserve">14645 Woodland Pl </t>
  </si>
  <si>
    <t>Raab</t>
  </si>
  <si>
    <t xml:space="preserve">ADAMS </t>
  </si>
  <si>
    <t>Oswego</t>
  </si>
  <si>
    <t xml:space="preserve">PO Box 658 </t>
  </si>
  <si>
    <t>Ninomiya</t>
  </si>
  <si>
    <t xml:space="preserve">31 Park Ln </t>
  </si>
  <si>
    <t>Sammann</t>
  </si>
  <si>
    <t xml:space="preserve">404 E George Huff Dr </t>
  </si>
  <si>
    <t>Vukovich</t>
  </si>
  <si>
    <t>Chelsea</t>
  </si>
  <si>
    <t xml:space="preserve">4800 E 112th Ave </t>
  </si>
  <si>
    <t>Czarnecki</t>
  </si>
  <si>
    <t xml:space="preserve">6745 Towpath Ave NW </t>
  </si>
  <si>
    <t>Canal Fulton</t>
  </si>
  <si>
    <t xml:space="preserve">161 School Rd </t>
  </si>
  <si>
    <t>Gaudette</t>
  </si>
  <si>
    <t xml:space="preserve">26555 Evergreen Rd </t>
  </si>
  <si>
    <t>Kotsaftis</t>
  </si>
  <si>
    <t>Elayna</t>
  </si>
  <si>
    <t xml:space="preserve">13 William St </t>
  </si>
  <si>
    <t>Juslin</t>
  </si>
  <si>
    <t xml:space="preserve">1402 Thorpe Abbotts Ln </t>
  </si>
  <si>
    <t xml:space="preserve">1974 Avon St </t>
  </si>
  <si>
    <t>Hare</t>
  </si>
  <si>
    <t xml:space="preserve">2119 Sunrise Way </t>
  </si>
  <si>
    <t>Jamison</t>
  </si>
  <si>
    <t>Willeman</t>
  </si>
  <si>
    <t xml:space="preserve">10 Barton St </t>
  </si>
  <si>
    <t>Kotchmar</t>
  </si>
  <si>
    <t xml:space="preserve">10 Woodlake Dr </t>
  </si>
  <si>
    <t>Thiells</t>
  </si>
  <si>
    <t xml:space="preserve">2584 Knox Cove Dr </t>
  </si>
  <si>
    <t>Fields</t>
  </si>
  <si>
    <t xml:space="preserve">5611 SW Illinois St </t>
  </si>
  <si>
    <t>Ruymaker</t>
  </si>
  <si>
    <t>Ethel</t>
  </si>
  <si>
    <t xml:space="preserve">6385 Hillegass Ave </t>
  </si>
  <si>
    <t>Pronio</t>
  </si>
  <si>
    <t>Micaela</t>
  </si>
  <si>
    <t xml:space="preserve">770 Alcatraz Ave </t>
  </si>
  <si>
    <t xml:space="preserve">4036 Forrest Dr </t>
  </si>
  <si>
    <t>Sgrillo</t>
  </si>
  <si>
    <t xml:space="preserve">5024 Match Ct </t>
  </si>
  <si>
    <t>Killeen</t>
  </si>
  <si>
    <t xml:space="preserve">44 Quarry Dock Rd </t>
  </si>
  <si>
    <t>Niantic</t>
  </si>
  <si>
    <t>Cosgriff</t>
  </si>
  <si>
    <t xml:space="preserve">1180 Andrews Ave </t>
  </si>
  <si>
    <t>Masto</t>
  </si>
  <si>
    <t xml:space="preserve">1233 Red Tail Hawk Ct Unit 5 </t>
  </si>
  <si>
    <t>Boardman</t>
  </si>
  <si>
    <t>Kross</t>
  </si>
  <si>
    <t xml:space="preserve">32 Imperial Dr </t>
  </si>
  <si>
    <t>Elsamahy</t>
  </si>
  <si>
    <t>Bebe</t>
  </si>
  <si>
    <t xml:space="preserve">5919 Miller Valley Dr </t>
  </si>
  <si>
    <t xml:space="preserve">300 N Edgewater Dr </t>
  </si>
  <si>
    <t>Highland Village</t>
  </si>
  <si>
    <t>McVein</t>
  </si>
  <si>
    <t>Barbara J.</t>
  </si>
  <si>
    <t xml:space="preserve">1091 Vale View Dr </t>
  </si>
  <si>
    <t>Sonia M</t>
  </si>
  <si>
    <t xml:space="preserve">1525 Highland Dr </t>
  </si>
  <si>
    <t>Mount Shasta</t>
  </si>
  <si>
    <t>Glicksman</t>
  </si>
  <si>
    <t>Rusty</t>
  </si>
  <si>
    <t xml:space="preserve">36 Cleveland St </t>
  </si>
  <si>
    <t>Meale</t>
  </si>
  <si>
    <t xml:space="preserve">10 E Albertson Ave </t>
  </si>
  <si>
    <t>Haddon Township</t>
  </si>
  <si>
    <t>Pearl</t>
  </si>
  <si>
    <t xml:space="preserve">67 George Arden Ave </t>
  </si>
  <si>
    <t>Feit</t>
  </si>
  <si>
    <t xml:space="preserve">2906 Jackman St </t>
  </si>
  <si>
    <t xml:space="preserve">19 Rock Hill Rd Apt 5D </t>
  </si>
  <si>
    <t>Bala Cynwyd</t>
  </si>
  <si>
    <t>Flanders-Sundstrom</t>
  </si>
  <si>
    <t xml:space="preserve">2526 Summit Ridge Dr NE </t>
  </si>
  <si>
    <t xml:space="preserve">5930 Crooked Creek Dr </t>
  </si>
  <si>
    <t>Flowers</t>
  </si>
  <si>
    <t xml:space="preserve">418 W 17th St Apt 22A </t>
  </si>
  <si>
    <t>Jefko</t>
  </si>
  <si>
    <t>Beryl</t>
  </si>
  <si>
    <t xml:space="preserve">24 Kings Ct </t>
  </si>
  <si>
    <t>Westchester</t>
  </si>
  <si>
    <t>Birnbach</t>
  </si>
  <si>
    <t xml:space="preserve">4703 SW Caldew St Apt C </t>
  </si>
  <si>
    <t xml:space="preserve">19884 Keenan Cut Off Rd </t>
  </si>
  <si>
    <t xml:space="preserve">13 Spring Ct </t>
  </si>
  <si>
    <t>Janusko</t>
  </si>
  <si>
    <t xml:space="preserve">1329 Eaton Ave </t>
  </si>
  <si>
    <t>Ausfahl</t>
  </si>
  <si>
    <t xml:space="preserve">600 S Watson Ln </t>
  </si>
  <si>
    <t xml:space="preserve">8731 Fauntlee Crst SW </t>
  </si>
  <si>
    <t>Rego</t>
  </si>
  <si>
    <t xml:space="preserve">103 Mt Everest Ct </t>
  </si>
  <si>
    <t>Saran</t>
  </si>
  <si>
    <t>Harvinderjit</t>
  </si>
  <si>
    <t xml:space="preserve">37226 Brentwood Cir </t>
  </si>
  <si>
    <t>Dewire</t>
  </si>
  <si>
    <t xml:space="preserve">38164 Hansville Dr NE </t>
  </si>
  <si>
    <t>Hansville</t>
  </si>
  <si>
    <t xml:space="preserve">928 Hollywood Blvd </t>
  </si>
  <si>
    <t xml:space="preserve">5083 Pee Dee Ln </t>
  </si>
  <si>
    <t xml:space="preserve">3445 Woodhaven Dr </t>
  </si>
  <si>
    <t>Berner</t>
  </si>
  <si>
    <t xml:space="preserve">1145 Washington St Reno NV </t>
  </si>
  <si>
    <t xml:space="preserve">923 County Road 64 </t>
  </si>
  <si>
    <t>Willow Wood</t>
  </si>
  <si>
    <t>Salvner</t>
  </si>
  <si>
    <t xml:space="preserve">119 E Davis Ave </t>
  </si>
  <si>
    <t>Tullipano</t>
  </si>
  <si>
    <t xml:space="preserve">5601 Applewood Cir </t>
  </si>
  <si>
    <t xml:space="preserve">1019 E Temperance St </t>
  </si>
  <si>
    <t>Motsinger</t>
  </si>
  <si>
    <t xml:space="preserve">7022 W San Fernando Cir </t>
  </si>
  <si>
    <t xml:space="preserve">PO Box 156 </t>
  </si>
  <si>
    <t>Rosczyk</t>
  </si>
  <si>
    <t xml:space="preserve">3307 Lakeview Cir </t>
  </si>
  <si>
    <t xml:space="preserve">7015 Hudson Cemetery Rd </t>
  </si>
  <si>
    <t xml:space="preserve">2629 Desert Glen Dr </t>
  </si>
  <si>
    <t>Livia</t>
  </si>
  <si>
    <t xml:space="preserve">1350 Sherry Dr </t>
  </si>
  <si>
    <t xml:space="preserve">2240 Lake St # 68502 </t>
  </si>
  <si>
    <t xml:space="preserve">1027 Camas Dr </t>
  </si>
  <si>
    <t>Prew</t>
  </si>
  <si>
    <t xml:space="preserve">417 8th St </t>
  </si>
  <si>
    <t>Colony</t>
  </si>
  <si>
    <t xml:space="preserve">307 Bush St </t>
  </si>
  <si>
    <t>Cobleskill</t>
  </si>
  <si>
    <t>Olk</t>
  </si>
  <si>
    <t xml:space="preserve">6700 S Glencoe St </t>
  </si>
  <si>
    <t>Cazel</t>
  </si>
  <si>
    <t xml:space="preserve">1009 Alaea St </t>
  </si>
  <si>
    <t xml:space="preserve">109 Ashton Way </t>
  </si>
  <si>
    <t>Breland</t>
  </si>
  <si>
    <t>Jabe</t>
  </si>
  <si>
    <t xml:space="preserve">636 Tung Hill Dr </t>
  </si>
  <si>
    <t>Spanski</t>
  </si>
  <si>
    <t xml:space="preserve">2154 S Coast Hwy </t>
  </si>
  <si>
    <t>Danner</t>
  </si>
  <si>
    <t xml:space="preserve">2958 N Fairfield Ave </t>
  </si>
  <si>
    <t>Vales</t>
  </si>
  <si>
    <t xml:space="preserve">6225 Running Springs Rd </t>
  </si>
  <si>
    <t>Madeleine H.</t>
  </si>
  <si>
    <t xml:space="preserve">1406 N Arbor View Circle North Arbor View Cir </t>
  </si>
  <si>
    <t>Rachelle</t>
  </si>
  <si>
    <t xml:space="preserve">19 Claire Dunne Ln </t>
  </si>
  <si>
    <t>Hollis Center</t>
  </si>
  <si>
    <t>Kettell</t>
  </si>
  <si>
    <t xml:space="preserve">212 Eckford St </t>
  </si>
  <si>
    <t xml:space="preserve">3200 Northline Ave Ste 140 </t>
  </si>
  <si>
    <t xml:space="preserve">55 Federal Ln # L </t>
  </si>
  <si>
    <t>Coram</t>
  </si>
  <si>
    <t>Striegel</t>
  </si>
  <si>
    <t xml:space="preserve">1816 Sigel St </t>
  </si>
  <si>
    <t>Lutzker</t>
  </si>
  <si>
    <t xml:space="preserve">61 W62 St </t>
  </si>
  <si>
    <t xml:space="preserve">1125 Fair Ln </t>
  </si>
  <si>
    <t>Malva</t>
  </si>
  <si>
    <t xml:space="preserve">50109 Thunderbird Ln </t>
  </si>
  <si>
    <t>Whipple</t>
  </si>
  <si>
    <t xml:space="preserve">6738 Madison Ave </t>
  </si>
  <si>
    <t xml:space="preserve">59 Arrow Head Rd </t>
  </si>
  <si>
    <t>Marshfield</t>
  </si>
  <si>
    <t>Helman</t>
  </si>
  <si>
    <t xml:space="preserve">22230 Great Cove Rd </t>
  </si>
  <si>
    <t>Mc Connellsburg</t>
  </si>
  <si>
    <t>Felder</t>
  </si>
  <si>
    <t xml:space="preserve">7022 Skinner Rd </t>
  </si>
  <si>
    <t>Granite Falls</t>
  </si>
  <si>
    <t>Wible</t>
  </si>
  <si>
    <t xml:space="preserve">6271 Jackson Dr </t>
  </si>
  <si>
    <t>East Petersburg</t>
  </si>
  <si>
    <t xml:space="preserve">PO Box 196 </t>
  </si>
  <si>
    <t>Websterville</t>
  </si>
  <si>
    <t xml:space="preserve">1354 E Madison Park </t>
  </si>
  <si>
    <t xml:space="preserve">PO Box VOX 25991 </t>
  </si>
  <si>
    <t xml:space="preserve">7711 NE 175th St </t>
  </si>
  <si>
    <t>Fiske</t>
  </si>
  <si>
    <t xml:space="preserve">PO Box 2532 # AZ85377 </t>
  </si>
  <si>
    <t>Carefree</t>
  </si>
  <si>
    <t xml:space="preserve">919 NW 79th Cir </t>
  </si>
  <si>
    <t>Brandariz</t>
  </si>
  <si>
    <t xml:space="preserve">13 Willow Pl </t>
  </si>
  <si>
    <t xml:space="preserve">142 Dunning St </t>
  </si>
  <si>
    <t xml:space="preserve">1745 SW Spence Ave </t>
  </si>
  <si>
    <t>Troutdale</t>
  </si>
  <si>
    <t>Kadar</t>
  </si>
  <si>
    <t>Zach</t>
  </si>
  <si>
    <t xml:space="preserve">43 Drexmore Rd </t>
  </si>
  <si>
    <t>Gaede</t>
  </si>
  <si>
    <t xml:space="preserve">772 Caldera Curv </t>
  </si>
  <si>
    <t>South Fork</t>
  </si>
  <si>
    <t>Olenjack</t>
  </si>
  <si>
    <t xml:space="preserve">6515 Winona Ave </t>
  </si>
  <si>
    <t xml:space="preserve">87 Hemman St </t>
  </si>
  <si>
    <t>Roslindale</t>
  </si>
  <si>
    <t xml:space="preserve">3361 Parker Rd </t>
  </si>
  <si>
    <t>Avoca</t>
  </si>
  <si>
    <t xml:space="preserve">200 Devorah Dr </t>
  </si>
  <si>
    <t>Crase</t>
  </si>
  <si>
    <t xml:space="preserve">100 Pleasant Pl </t>
  </si>
  <si>
    <t xml:space="preserve">3 Hillcrest Ct </t>
  </si>
  <si>
    <t>Old Tappan</t>
  </si>
  <si>
    <t>07675-7400</t>
  </si>
  <si>
    <t xml:space="preserve">2615 Hornbrook Rd </t>
  </si>
  <si>
    <t>Towanda</t>
  </si>
  <si>
    <t>18848-9567</t>
  </si>
  <si>
    <t>Justus</t>
  </si>
  <si>
    <t>Janet M.</t>
  </si>
  <si>
    <t xml:space="preserve">3296 Shellers Bnd Unit 102 </t>
  </si>
  <si>
    <t>16801-3220</t>
  </si>
  <si>
    <t>Gillis</t>
  </si>
  <si>
    <t>Destinee</t>
  </si>
  <si>
    <t xml:space="preserve">510 N Wilmington St Apt 509 </t>
  </si>
  <si>
    <t>27604-8038</t>
  </si>
  <si>
    <t xml:space="preserve">11 Brook St </t>
  </si>
  <si>
    <t>Winsted</t>
  </si>
  <si>
    <t xml:space="preserve">1170 W Wabash St Lot 32 </t>
  </si>
  <si>
    <t>Olavarria</t>
  </si>
  <si>
    <t xml:space="preserve">534 E 11th St Apt 9 </t>
  </si>
  <si>
    <t>Dederich</t>
  </si>
  <si>
    <t xml:space="preserve">13821 N 40th Ave </t>
  </si>
  <si>
    <t xml:space="preserve">1507 Hunters Creek Way </t>
  </si>
  <si>
    <t xml:space="preserve">1287 Tumbling Run Rd </t>
  </si>
  <si>
    <t>Tamaqua</t>
  </si>
  <si>
    <t>Mooers</t>
  </si>
  <si>
    <t xml:space="preserve">1387 Burr Ridge Rd </t>
  </si>
  <si>
    <t xml:space="preserve">227 W 27th St Rm C139 </t>
  </si>
  <si>
    <t>Gannett</t>
  </si>
  <si>
    <t xml:space="preserve">B2 Stonehedge Dr </t>
  </si>
  <si>
    <t>Jochums</t>
  </si>
  <si>
    <t xml:space="preserve">8712 Shaw Sq SE </t>
  </si>
  <si>
    <t>Aumsville</t>
  </si>
  <si>
    <t>Deer</t>
  </si>
  <si>
    <t xml:space="preserve">168 W 77th St Apt 3B </t>
  </si>
  <si>
    <t>Luisa</t>
  </si>
  <si>
    <t xml:space="preserve">6801 Harding Ave </t>
  </si>
  <si>
    <t>Medeiros</t>
  </si>
  <si>
    <t>Lina</t>
  </si>
  <si>
    <t xml:space="preserve">126 Sao Paulo Ave </t>
  </si>
  <si>
    <t>Taunton</t>
  </si>
  <si>
    <t>McRae</t>
  </si>
  <si>
    <t xml:space="preserve">9 Groton St # 2 </t>
  </si>
  <si>
    <t>Pepperell</t>
  </si>
  <si>
    <t>Belch</t>
  </si>
  <si>
    <t xml:space="preserve">3441 Shadeland Ave </t>
  </si>
  <si>
    <t>Nealon</t>
  </si>
  <si>
    <t xml:space="preserve">PO Box 5371 </t>
  </si>
  <si>
    <t>Swalinkavich</t>
  </si>
  <si>
    <t>Tiffani</t>
  </si>
  <si>
    <t xml:space="preserve">10300 W Charleston Blvd </t>
  </si>
  <si>
    <t xml:space="preserve">38 Strawberry Rd </t>
  </si>
  <si>
    <t>Orland</t>
  </si>
  <si>
    <t>Obrien</t>
  </si>
  <si>
    <t xml:space="preserve">33 E Main St Apt 3 </t>
  </si>
  <si>
    <t>Carnegie</t>
  </si>
  <si>
    <t>Sperle</t>
  </si>
  <si>
    <t>Viraga</t>
  </si>
  <si>
    <t xml:space="preserve">OXBOW Dr </t>
  </si>
  <si>
    <t>MacAlpine</t>
  </si>
  <si>
    <t xml:space="preserve">215 W Riverside Dr Unit 1906 </t>
  </si>
  <si>
    <t>Estes Park</t>
  </si>
  <si>
    <t xml:space="preserve">10589 E Ralph Alvarez Pl </t>
  </si>
  <si>
    <t>Boutwell</t>
  </si>
  <si>
    <t xml:space="preserve">12219 FM 768 N </t>
  </si>
  <si>
    <t>Ricketts</t>
  </si>
  <si>
    <t xml:space="preserve">Delta County </t>
  </si>
  <si>
    <t xml:space="preserve">1014 Shepherd St </t>
  </si>
  <si>
    <t>Ella Rose</t>
  </si>
  <si>
    <t xml:space="preserve">4129 N 57th Dr </t>
  </si>
  <si>
    <t xml:space="preserve">1515 6th St </t>
  </si>
  <si>
    <t>Fair Grove</t>
  </si>
  <si>
    <t>T R</t>
  </si>
  <si>
    <t xml:space="preserve">935 Mckenzie Crest Dr </t>
  </si>
  <si>
    <t>Heller</t>
  </si>
  <si>
    <t xml:space="preserve">1133 Highway M </t>
  </si>
  <si>
    <t>Cook Sta</t>
  </si>
  <si>
    <t>Daane</t>
  </si>
  <si>
    <t>Tere</t>
  </si>
  <si>
    <t xml:space="preserve">3334 L3 Blanc St </t>
  </si>
  <si>
    <t>Alan N.</t>
  </si>
  <si>
    <t xml:space="preserve">1019 Pine Tree Dr </t>
  </si>
  <si>
    <t xml:space="preserve">3530 Gladstone St </t>
  </si>
  <si>
    <t>Hilton</t>
  </si>
  <si>
    <t xml:space="preserve">341 Monticello Rd </t>
  </si>
  <si>
    <t>Rutkaus</t>
  </si>
  <si>
    <t xml:space="preserve">PO Box 818 </t>
  </si>
  <si>
    <t>Arroyo Seco</t>
  </si>
  <si>
    <t xml:space="preserve">502 W Briar Pl Apt 1 </t>
  </si>
  <si>
    <t xml:space="preserve">1 Teresa Rd </t>
  </si>
  <si>
    <t>Hopkinton</t>
  </si>
  <si>
    <t xml:space="preserve">5315 Glenhill Ave NE </t>
  </si>
  <si>
    <t xml:space="preserve">316 N Poplar St </t>
  </si>
  <si>
    <t>Bendure</t>
  </si>
  <si>
    <t xml:space="preserve">960 Tiverton Ln </t>
  </si>
  <si>
    <t>Kittersong</t>
  </si>
  <si>
    <t xml:space="preserve">1074 NE Madrona St </t>
  </si>
  <si>
    <t>Jolly</t>
  </si>
  <si>
    <t xml:space="preserve">15355 Gadsden Dr </t>
  </si>
  <si>
    <t xml:space="preserve">4509 Charlie Ave </t>
  </si>
  <si>
    <t xml:space="preserve">1483 E 950 S </t>
  </si>
  <si>
    <t>Provo</t>
  </si>
  <si>
    <t xml:space="preserve">1335 El Cino Dr </t>
  </si>
  <si>
    <t>Blicharz</t>
  </si>
  <si>
    <t xml:space="preserve">1237 Mark Twain Ave </t>
  </si>
  <si>
    <t>Gnasso</t>
  </si>
  <si>
    <t xml:space="preserve">10961 Desert Lawn Dr Spc 252 </t>
  </si>
  <si>
    <t>Calimesa</t>
  </si>
  <si>
    <t xml:space="preserve">1614 S 116 Rd </t>
  </si>
  <si>
    <t>Krantz</t>
  </si>
  <si>
    <t xml:space="preserve">2526 W Farwell Ave </t>
  </si>
  <si>
    <t xml:space="preserve">18952 County Road 234 </t>
  </si>
  <si>
    <t xml:space="preserve">9 Lorin Dr </t>
  </si>
  <si>
    <t xml:space="preserve">8629 137th Ave NE </t>
  </si>
  <si>
    <t>Kennell</t>
  </si>
  <si>
    <t xml:space="preserve">7820 Birchmont Dr </t>
  </si>
  <si>
    <t>Shilling</t>
  </si>
  <si>
    <t xml:space="preserve">7120 Linden Ave N </t>
  </si>
  <si>
    <t>Barcelo</t>
  </si>
  <si>
    <t xml:space="preserve">2823 W Wellington Ave </t>
  </si>
  <si>
    <t>Littlejohn</t>
  </si>
  <si>
    <t xml:space="preserve">210 S KENTUCKY Ave Box 2010 </t>
  </si>
  <si>
    <t xml:space="preserve">2288 Old Tracy Rd </t>
  </si>
  <si>
    <t>Keri</t>
  </si>
  <si>
    <t xml:space="preserve">530 W Mill St </t>
  </si>
  <si>
    <t>Clews</t>
  </si>
  <si>
    <t xml:space="preserve">785 Saint Judes Dr N </t>
  </si>
  <si>
    <t>Longboat Key</t>
  </si>
  <si>
    <t xml:space="preserve">111 W Patent Rd </t>
  </si>
  <si>
    <t>Mount Kisco</t>
  </si>
  <si>
    <t>Seyfarth</t>
  </si>
  <si>
    <t xml:space="preserve">62982 Birch Rd </t>
  </si>
  <si>
    <t>Vandalia</t>
  </si>
  <si>
    <t>Marci</t>
  </si>
  <si>
    <t xml:space="preserve">5482 S Lake George Rd </t>
  </si>
  <si>
    <t>Metamora</t>
  </si>
  <si>
    <t xml:space="preserve">626 Franklyn Ave </t>
  </si>
  <si>
    <t>Indialantic</t>
  </si>
  <si>
    <t xml:space="preserve">112 Widgeon Dr </t>
  </si>
  <si>
    <t xml:space="preserve">15879 Edmore Dr </t>
  </si>
  <si>
    <t>Fontneau</t>
  </si>
  <si>
    <t xml:space="preserve">401 Jim Grant Rd </t>
  </si>
  <si>
    <t xml:space="preserve">422 N Henry St </t>
  </si>
  <si>
    <t>Farrand-Bernardin</t>
  </si>
  <si>
    <t xml:space="preserve">518 Union St </t>
  </si>
  <si>
    <t xml:space="preserve">4509 97TH </t>
  </si>
  <si>
    <t>Robey</t>
  </si>
  <si>
    <t xml:space="preserve">548 Wildcat Canyon Rd </t>
  </si>
  <si>
    <t xml:space="preserve">420 SE Wyers St </t>
  </si>
  <si>
    <t>Hoelke</t>
  </si>
  <si>
    <t xml:space="preserve">615 Bucknell Ave </t>
  </si>
  <si>
    <t xml:space="preserve">DETROIT Rd </t>
  </si>
  <si>
    <t>Hambrick</t>
  </si>
  <si>
    <t xml:space="preserve">1396 Arbor Brook Dr </t>
  </si>
  <si>
    <t>Fravel</t>
  </si>
  <si>
    <t xml:space="preserve">917 Osceola Rd </t>
  </si>
  <si>
    <t>Maurertown</t>
  </si>
  <si>
    <t xml:space="preserve">26042 166th Pl SE </t>
  </si>
  <si>
    <t xml:space="preserve">1437 Regency Ct </t>
  </si>
  <si>
    <t xml:space="preserve">649 Conger St NE </t>
  </si>
  <si>
    <t>Acking</t>
  </si>
  <si>
    <t>Inger</t>
  </si>
  <si>
    <t xml:space="preserve">851 Jones St </t>
  </si>
  <si>
    <t xml:space="preserve">59 Bull Path </t>
  </si>
  <si>
    <t>Andresen</t>
  </si>
  <si>
    <t xml:space="preserve">1022 Flagmore Dr </t>
  </si>
  <si>
    <t xml:space="preserve">250 Linda Ave </t>
  </si>
  <si>
    <t xml:space="preserve">11 Nevada St </t>
  </si>
  <si>
    <t>Gries</t>
  </si>
  <si>
    <t xml:space="preserve">3 Raudo Pl </t>
  </si>
  <si>
    <t>Tumarkin</t>
  </si>
  <si>
    <t xml:space="preserve">38 Smith Ave </t>
  </si>
  <si>
    <t>Gemmell</t>
  </si>
  <si>
    <t xml:space="preserve">5832 S 2nd Ave </t>
  </si>
  <si>
    <t>Gazik</t>
  </si>
  <si>
    <t xml:space="preserve">6803 Forest Ave </t>
  </si>
  <si>
    <t>Correa</t>
  </si>
  <si>
    <t>Constanza</t>
  </si>
  <si>
    <t xml:space="preserve">1871 Woodland Ter </t>
  </si>
  <si>
    <t>Buffington</t>
  </si>
  <si>
    <t xml:space="preserve">5549 E Emile Zola Ave </t>
  </si>
  <si>
    <t xml:space="preserve">1355 Moore Rd </t>
  </si>
  <si>
    <t>Orangeburg</t>
  </si>
  <si>
    <t xml:space="preserve">PO Box 1954 </t>
  </si>
  <si>
    <t>Morgan Hill</t>
  </si>
  <si>
    <t xml:space="preserve">602 Shoshone St </t>
  </si>
  <si>
    <t>South Lake Tahoe</t>
  </si>
  <si>
    <t>Gunderson</t>
  </si>
  <si>
    <t xml:space="preserve">882 Kellogg St </t>
  </si>
  <si>
    <t>Ging</t>
  </si>
  <si>
    <t xml:space="preserve">PO Box 11245 </t>
  </si>
  <si>
    <t>Lieras</t>
  </si>
  <si>
    <t xml:space="preserve">23928 Nectar Way </t>
  </si>
  <si>
    <t>Docherty</t>
  </si>
  <si>
    <t xml:space="preserve">13961 Falcon Ave </t>
  </si>
  <si>
    <t>Haebig</t>
  </si>
  <si>
    <t xml:space="preserve">613 Broadway Ave </t>
  </si>
  <si>
    <t>Huss</t>
  </si>
  <si>
    <t xml:space="preserve">1211 Red Oak Ct </t>
  </si>
  <si>
    <t xml:space="preserve">PO Box 15 # NY13806 </t>
  </si>
  <si>
    <t>Meridale</t>
  </si>
  <si>
    <t>Otstott</t>
  </si>
  <si>
    <t xml:space="preserve">1215 Caravan Trl </t>
  </si>
  <si>
    <t>Duncanville</t>
  </si>
  <si>
    <t>McWilliams</t>
  </si>
  <si>
    <t xml:space="preserve">100 Old Route 25A </t>
  </si>
  <si>
    <t>Photenhauer</t>
  </si>
  <si>
    <t xml:space="preserve">2656 Barry Ave </t>
  </si>
  <si>
    <t>Degrigoli</t>
  </si>
  <si>
    <t>Vito</t>
  </si>
  <si>
    <t xml:space="preserve">2292 E Belding Dr </t>
  </si>
  <si>
    <t>Yaffe</t>
  </si>
  <si>
    <t xml:space="preserve">689 Huck Finn Trl </t>
  </si>
  <si>
    <t>Dripping Springs</t>
  </si>
  <si>
    <t xml:space="preserve">PO Box 1232 </t>
  </si>
  <si>
    <t>Cripple Creek</t>
  </si>
  <si>
    <t>Jeffry</t>
  </si>
  <si>
    <t xml:space="preserve">5740 Wilkins Ave </t>
  </si>
  <si>
    <t>Leveille</t>
  </si>
  <si>
    <t xml:space="preserve">620 Park Blvd </t>
  </si>
  <si>
    <t xml:space="preserve">119 E 50th Pl </t>
  </si>
  <si>
    <t xml:space="preserve">108 S Douglas St </t>
  </si>
  <si>
    <t>Cashmere</t>
  </si>
  <si>
    <t>Flamm</t>
  </si>
  <si>
    <t xml:space="preserve">3900 City Ave Apt W407 </t>
  </si>
  <si>
    <t>Lent</t>
  </si>
  <si>
    <t xml:space="preserve">461 Glenmoor Rd </t>
  </si>
  <si>
    <t>Bolar-Speights</t>
  </si>
  <si>
    <t>Dynester</t>
  </si>
  <si>
    <t xml:space="preserve">6071 Thunderbird Dr </t>
  </si>
  <si>
    <t>Maple Heights</t>
  </si>
  <si>
    <t xml:space="preserve">1600 Lakeshore Ave </t>
  </si>
  <si>
    <t>Osika</t>
  </si>
  <si>
    <t xml:space="preserve">104 Scarborough Village Dr </t>
  </si>
  <si>
    <t>Corbeil</t>
  </si>
  <si>
    <t xml:space="preserve">66 W Stafford Rd </t>
  </si>
  <si>
    <t>Stafford Springs</t>
  </si>
  <si>
    <t xml:space="preserve">2084 1/2 Willamette St </t>
  </si>
  <si>
    <t>Hershleder</t>
  </si>
  <si>
    <t xml:space="preserve">1520 E Covell Blvd Ste PM5 </t>
  </si>
  <si>
    <t xml:space="preserve">383 Main St </t>
  </si>
  <si>
    <t>Highland Falls</t>
  </si>
  <si>
    <t>Jonothan</t>
  </si>
  <si>
    <t xml:space="preserve">41 W 83rd St Apt 4C </t>
  </si>
  <si>
    <t xml:space="preserve">105 Red Butte Dr </t>
  </si>
  <si>
    <t>Ludwig</t>
  </si>
  <si>
    <t xml:space="preserve">1210 Grandview Rd </t>
  </si>
  <si>
    <t xml:space="preserve">PO Box 19785 </t>
  </si>
  <si>
    <t>Jarboe</t>
  </si>
  <si>
    <t xml:space="preserve">2740 S Colorado Blvd </t>
  </si>
  <si>
    <t xml:space="preserve">1410 113th Ave SE </t>
  </si>
  <si>
    <t>98501-9522</t>
  </si>
  <si>
    <t>Lucernoni</t>
  </si>
  <si>
    <t xml:space="preserve">2005 Philippe Ct </t>
  </si>
  <si>
    <t>Safety Harbor</t>
  </si>
  <si>
    <t>Almada</t>
  </si>
  <si>
    <t xml:space="preserve">633 S Dunsmuir Ave Apt 19 </t>
  </si>
  <si>
    <t>Zubko</t>
  </si>
  <si>
    <t xml:space="preserve">1316 Willow Grove Dr </t>
  </si>
  <si>
    <t xml:space="preserve">853 Breezy Hill Ln </t>
  </si>
  <si>
    <t>Hydu</t>
  </si>
  <si>
    <t xml:space="preserve">5457 Rue Monet </t>
  </si>
  <si>
    <t xml:space="preserve">1710 Avenue H Apt A3 </t>
  </si>
  <si>
    <t>Tompkins</t>
  </si>
  <si>
    <t xml:space="preserve">111 Lakewood Cir S </t>
  </si>
  <si>
    <t>Stawski</t>
  </si>
  <si>
    <t xml:space="preserve">1200 E Broadway </t>
  </si>
  <si>
    <t xml:space="preserve">5476 Kiowa Dr Apt 28 </t>
  </si>
  <si>
    <t>Von Borstel</t>
  </si>
  <si>
    <t xml:space="preserve">2922 W Sequim Bay Rd </t>
  </si>
  <si>
    <t xml:space="preserve">20349 Clark Cir </t>
  </si>
  <si>
    <t>Zuni</t>
  </si>
  <si>
    <t>Nichols</t>
  </si>
  <si>
    <t xml:space="preserve">13107 Zeller Rd SE </t>
  </si>
  <si>
    <t>Telep</t>
  </si>
  <si>
    <t xml:space="preserve">4231 Choteau Cir </t>
  </si>
  <si>
    <t>Wess</t>
  </si>
  <si>
    <t xml:space="preserve">1001 Maple St </t>
  </si>
  <si>
    <t>Chadron</t>
  </si>
  <si>
    <t>Morros</t>
  </si>
  <si>
    <t xml:space="preserve">2367 NW 161st Ave </t>
  </si>
  <si>
    <t>33028-1242</t>
  </si>
  <si>
    <t xml:space="preserve">6727 Keystone Dr </t>
  </si>
  <si>
    <t>34231-8144</t>
  </si>
  <si>
    <t xml:space="preserve">249 S Tulpehocken St Apt B </t>
  </si>
  <si>
    <t xml:space="preserve">9211 Madras Ct </t>
  </si>
  <si>
    <t>Highlands Ranch</t>
  </si>
  <si>
    <t>Gruen</t>
  </si>
  <si>
    <t xml:space="preserve">299 Diamond St </t>
  </si>
  <si>
    <t>Pfersich</t>
  </si>
  <si>
    <t xml:space="preserve">3332 Stacey Lyn Dr </t>
  </si>
  <si>
    <t>89117-1028</t>
  </si>
  <si>
    <t>Dzubak</t>
  </si>
  <si>
    <t xml:space="preserve">69 Elton Ave </t>
  </si>
  <si>
    <t>08620-1531</t>
  </si>
  <si>
    <t>Taliaferro</t>
  </si>
  <si>
    <t xml:space="preserve">958 Raleigh Rd SE </t>
  </si>
  <si>
    <t>32909-5245</t>
  </si>
  <si>
    <t xml:space="preserve">17 Irongate Ct </t>
  </si>
  <si>
    <t>17050-7802</t>
  </si>
  <si>
    <t>Rubio</t>
  </si>
  <si>
    <t xml:space="preserve">288 F St Apt 601 </t>
  </si>
  <si>
    <t>91910-2828</t>
  </si>
  <si>
    <t xml:space="preserve">16100 SW Bridle Hills Dr </t>
  </si>
  <si>
    <t>97007-4930</t>
  </si>
  <si>
    <t>Rossman</t>
  </si>
  <si>
    <t xml:space="preserve">674 Driftwood Ln </t>
  </si>
  <si>
    <t>60062-5502</t>
  </si>
  <si>
    <t xml:space="preserve">11 Pelican Ln </t>
  </si>
  <si>
    <t>Little Egg Harbor Twp</t>
  </si>
  <si>
    <t>08087-1647</t>
  </si>
  <si>
    <t>Radovsky</t>
  </si>
  <si>
    <t>Judith D</t>
  </si>
  <si>
    <t xml:space="preserve">1133 Pine St Apt 116 </t>
  </si>
  <si>
    <t>91030-4346</t>
  </si>
  <si>
    <t>Welsh</t>
  </si>
  <si>
    <t xml:space="preserve">1404 Birchwood Ave </t>
  </si>
  <si>
    <t>19001-2306</t>
  </si>
  <si>
    <t xml:space="preserve">709 Frederick St </t>
  </si>
  <si>
    <t>94117-2755</t>
  </si>
  <si>
    <t>Lupi</t>
  </si>
  <si>
    <t xml:space="preserve">167 Summer Ave </t>
  </si>
  <si>
    <t>01867-2825</t>
  </si>
  <si>
    <t>Hudlow</t>
  </si>
  <si>
    <t>Sister Roberta</t>
  </si>
  <si>
    <t xml:space="preserve">3865 Hartford St </t>
  </si>
  <si>
    <t>63116-4807</t>
  </si>
  <si>
    <t>Pretlow</t>
  </si>
  <si>
    <t xml:space="preserve">2181 Ambleside Dr Apt 303 </t>
  </si>
  <si>
    <t>44106-7601</t>
  </si>
  <si>
    <t>Paye</t>
  </si>
  <si>
    <t>P A</t>
  </si>
  <si>
    <t xml:space="preserve">234 S Main St </t>
  </si>
  <si>
    <t>05033-4450</t>
  </si>
  <si>
    <t>McKibben</t>
  </si>
  <si>
    <t xml:space="preserve">23296 Sonnet Dr </t>
  </si>
  <si>
    <t>92557-5403</t>
  </si>
  <si>
    <t xml:space="preserve">MALCOLM Dr </t>
  </si>
  <si>
    <t>33663-0001</t>
  </si>
  <si>
    <t>Troland</t>
  </si>
  <si>
    <t xml:space="preserve">2553 Rockville Centre Pkwy # PY </t>
  </si>
  <si>
    <t>11572-1626</t>
  </si>
  <si>
    <t>Darin</t>
  </si>
  <si>
    <t xml:space="preserve">1 Boca Ciega Point Blvd Apt 314 </t>
  </si>
  <si>
    <t>33708-2739</t>
  </si>
  <si>
    <t xml:space="preserve">2200 E Colorado Blvd </t>
  </si>
  <si>
    <t>91107-3654</t>
  </si>
  <si>
    <t xml:space="preserve">4739 Treybig Loop </t>
  </si>
  <si>
    <t>78940-5348</t>
  </si>
  <si>
    <t>Leibson</t>
  </si>
  <si>
    <t xml:space="preserve">30485 Woodgate Dr </t>
  </si>
  <si>
    <t>48076-1085</t>
  </si>
  <si>
    <t xml:space="preserve">9947 E Sunridge Dr </t>
  </si>
  <si>
    <t>85248-6176</t>
  </si>
  <si>
    <t xml:space="preserve">10043 Silverton Ave </t>
  </si>
  <si>
    <t>Tujunga</t>
  </si>
  <si>
    <t>91042-2429</t>
  </si>
  <si>
    <t>Herrero</t>
  </si>
  <si>
    <t>Pablo</t>
  </si>
  <si>
    <t xml:space="preserve">27415 Hyatt Ct </t>
  </si>
  <si>
    <t>92677-3701</t>
  </si>
  <si>
    <t>Gabriella</t>
  </si>
  <si>
    <t xml:space="preserve">25 Cherry St </t>
  </si>
  <si>
    <t>06460-3414</t>
  </si>
  <si>
    <t>Streight</t>
  </si>
  <si>
    <t>Collette</t>
  </si>
  <si>
    <t xml:space="preserve">1130 Hope Ln </t>
  </si>
  <si>
    <t>Esparza</t>
  </si>
  <si>
    <t xml:space="preserve">1318 Viewridge Dr </t>
  </si>
  <si>
    <t>78213-3129</t>
  </si>
  <si>
    <t xml:space="preserve">18272 County Road 126 </t>
  </si>
  <si>
    <t>Buffalo Creek</t>
  </si>
  <si>
    <t>Shawnda</t>
  </si>
  <si>
    <t xml:space="preserve">1607 Cherokee Trl </t>
  </si>
  <si>
    <t>Werth</t>
  </si>
  <si>
    <t xml:space="preserve">415 Fantasia St </t>
  </si>
  <si>
    <t>78216-3509</t>
  </si>
  <si>
    <t>Lesan</t>
  </si>
  <si>
    <t xml:space="preserve">11222 NE 67th St </t>
  </si>
  <si>
    <t>Furth</t>
  </si>
  <si>
    <t xml:space="preserve">4017 Vincent Ave S </t>
  </si>
  <si>
    <t>Scibetta</t>
  </si>
  <si>
    <t xml:space="preserve">40 Ravenswood Ter </t>
  </si>
  <si>
    <t xml:space="preserve">6501 N Fork Rd </t>
  </si>
  <si>
    <t xml:space="preserve">6320 US Highway 17 N </t>
  </si>
  <si>
    <t>Vanceboro</t>
  </si>
  <si>
    <t>Klinger</t>
  </si>
  <si>
    <t xml:space="preserve">PARK RIDGE Blvd </t>
  </si>
  <si>
    <t xml:space="preserve">5973 US Highway 24 </t>
  </si>
  <si>
    <t>Leadville</t>
  </si>
  <si>
    <t>Malin</t>
  </si>
  <si>
    <t xml:space="preserve">2028 S 70th St </t>
  </si>
  <si>
    <t>West Allis</t>
  </si>
  <si>
    <t>Quota</t>
  </si>
  <si>
    <t xml:space="preserve">354 Main St Unit 20 </t>
  </si>
  <si>
    <t>Rosendale</t>
  </si>
  <si>
    <t>Carol A</t>
  </si>
  <si>
    <t xml:space="preserve">3020 Griffith Park Blvd </t>
  </si>
  <si>
    <t>Yunker</t>
  </si>
  <si>
    <t xml:space="preserve">422 S Logsdon Pkwy </t>
  </si>
  <si>
    <t>Radcliff</t>
  </si>
  <si>
    <t>Theobald</t>
  </si>
  <si>
    <t xml:space="preserve">1115 Oakmont Ave </t>
  </si>
  <si>
    <t>Sarabi</t>
  </si>
  <si>
    <t>Golsa</t>
  </si>
  <si>
    <t xml:space="preserve">5573 Mason Ave </t>
  </si>
  <si>
    <t>Rollman</t>
  </si>
  <si>
    <t>Reyne</t>
  </si>
  <si>
    <t xml:space="preserve">4835 Vandenboom Rd </t>
  </si>
  <si>
    <t>Kansasville</t>
  </si>
  <si>
    <t xml:space="preserve">7324 Ricewell Rd </t>
  </si>
  <si>
    <t xml:space="preserve">4320 S Davidson Dr </t>
  </si>
  <si>
    <t>Taylor Yokel</t>
  </si>
  <si>
    <t xml:space="preserve">451 Summer Ave </t>
  </si>
  <si>
    <t>Slate</t>
  </si>
  <si>
    <t xml:space="preserve">458 N Larch Ave </t>
  </si>
  <si>
    <t>Bogs</t>
  </si>
  <si>
    <t xml:space="preserve">PO Box 6161 </t>
  </si>
  <si>
    <t>Ocean View</t>
  </si>
  <si>
    <t xml:space="preserve">1791 Getty Ave </t>
  </si>
  <si>
    <t xml:space="preserve">15 Bridle Ln </t>
  </si>
  <si>
    <t>Rubenstein</t>
  </si>
  <si>
    <t>Rina</t>
  </si>
  <si>
    <t xml:space="preserve">2537 13th Ave </t>
  </si>
  <si>
    <t>Holcombe</t>
  </si>
  <si>
    <t>Kretmar</t>
  </si>
  <si>
    <t xml:space="preserve">2025 S Brentwood Blvd Ste 20 </t>
  </si>
  <si>
    <t xml:space="preserve">898 Little Lake Rd </t>
  </si>
  <si>
    <t>Fake</t>
  </si>
  <si>
    <t xml:space="preserve">443 W High St </t>
  </si>
  <si>
    <t>Macy</t>
  </si>
  <si>
    <t xml:space="preserve">1325 Olive St </t>
  </si>
  <si>
    <t>Paso Robles</t>
  </si>
  <si>
    <t xml:space="preserve">4 Whithorn Way </t>
  </si>
  <si>
    <t>Blythewood</t>
  </si>
  <si>
    <t>Hermundson</t>
  </si>
  <si>
    <t xml:space="preserve">4663 Beacon Hill Rd </t>
  </si>
  <si>
    <t>Ballo</t>
  </si>
  <si>
    <t xml:space="preserve">1131 David Dr </t>
  </si>
  <si>
    <t>Bensenville</t>
  </si>
  <si>
    <t xml:space="preserve">2232 Brightmoor Ct </t>
  </si>
  <si>
    <t>Camuso</t>
  </si>
  <si>
    <t xml:space="preserve">12 Staples Ln </t>
  </si>
  <si>
    <t>Blackstone</t>
  </si>
  <si>
    <t>Truhlar</t>
  </si>
  <si>
    <t xml:space="preserve">446 E Lincoln St </t>
  </si>
  <si>
    <t>Lindsborg</t>
  </si>
  <si>
    <t xml:space="preserve">20933 26th Ave </t>
  </si>
  <si>
    <t xml:space="preserve">9623 Muroc St </t>
  </si>
  <si>
    <t>Howe</t>
  </si>
  <si>
    <t xml:space="preserve">1031 Grays Dr </t>
  </si>
  <si>
    <t>Marino</t>
  </si>
  <si>
    <t xml:space="preserve">61 E Ramapo Ave </t>
  </si>
  <si>
    <t>McLain</t>
  </si>
  <si>
    <t xml:space="preserve">50 Lafayette Ave NE </t>
  </si>
  <si>
    <t>Bigelow</t>
  </si>
  <si>
    <t xml:space="preserve">2001 N Agate St </t>
  </si>
  <si>
    <t>Brandon</t>
  </si>
  <si>
    <t xml:space="preserve">174 Brody Ln </t>
  </si>
  <si>
    <t>Lebeck</t>
  </si>
  <si>
    <t xml:space="preserve">10 Short Hill Rd </t>
  </si>
  <si>
    <t>New City</t>
  </si>
  <si>
    <t>Zmitrovis</t>
  </si>
  <si>
    <t xml:space="preserve">56 Scarlet St </t>
  </si>
  <si>
    <t xml:space="preserve">1418 W Miller Rd </t>
  </si>
  <si>
    <t xml:space="preserve">534 W 47th St Apt 3E </t>
  </si>
  <si>
    <t>Valentich</t>
  </si>
  <si>
    <t xml:space="preserve">219 Great Smokey Dr </t>
  </si>
  <si>
    <t>Ghidoni</t>
  </si>
  <si>
    <t xml:space="preserve">4161 N Chelsea Ave </t>
  </si>
  <si>
    <t>Maggie</t>
  </si>
  <si>
    <t xml:space="preserve">524 Larkspur Dr </t>
  </si>
  <si>
    <t xml:space="preserve">123 123RD Ave </t>
  </si>
  <si>
    <t>Pohl</t>
  </si>
  <si>
    <t xml:space="preserve">2159 W Melrose St </t>
  </si>
  <si>
    <t>Vergara</t>
  </si>
  <si>
    <t>Raven</t>
  </si>
  <si>
    <t xml:space="preserve">11233 Lynx Ln </t>
  </si>
  <si>
    <t>Gallatin</t>
  </si>
  <si>
    <t xml:space="preserve">11876 River Rim Rd </t>
  </si>
  <si>
    <t>McGehee</t>
  </si>
  <si>
    <t xml:space="preserve">5511 NE 29th Ave </t>
  </si>
  <si>
    <t>Daskal</t>
  </si>
  <si>
    <t xml:space="preserve">610 Kennebec Ave </t>
  </si>
  <si>
    <t>Takoma Park</t>
  </si>
  <si>
    <t>Gazori</t>
  </si>
  <si>
    <t xml:space="preserve">2128 140th Pl SE </t>
  </si>
  <si>
    <t>Jessen</t>
  </si>
  <si>
    <t>Bridgette</t>
  </si>
  <si>
    <t xml:space="preserve">8545 S Maplebrook Cir </t>
  </si>
  <si>
    <t>Sikorski</t>
  </si>
  <si>
    <t xml:space="preserve">4406 S Lenox St </t>
  </si>
  <si>
    <t>Laurra</t>
  </si>
  <si>
    <t xml:space="preserve">548 School St </t>
  </si>
  <si>
    <t xml:space="preserve">31 Fox Hollow Dr </t>
  </si>
  <si>
    <t xml:space="preserve">120 E 1st St </t>
  </si>
  <si>
    <t>Organ</t>
  </si>
  <si>
    <t xml:space="preserve">110 Lincoln Ave Apt 3F </t>
  </si>
  <si>
    <t>Schaefer</t>
  </si>
  <si>
    <t xml:space="preserve">941 Clinton Ave </t>
  </si>
  <si>
    <t>Maness</t>
  </si>
  <si>
    <t xml:space="preserve">674 Asia Ct </t>
  </si>
  <si>
    <t>Bouscaren</t>
  </si>
  <si>
    <t>Yermo</t>
  </si>
  <si>
    <t xml:space="preserve">5002 Strass Dr </t>
  </si>
  <si>
    <t>Zollinger</t>
  </si>
  <si>
    <t xml:space="preserve">PO Box 12246 </t>
  </si>
  <si>
    <t>Noire</t>
  </si>
  <si>
    <t xml:space="preserve">55 W 100 N </t>
  </si>
  <si>
    <t>Kamas</t>
  </si>
  <si>
    <t>Jahraus</t>
  </si>
  <si>
    <t xml:space="preserve">PO Box 4415 # AZ86340 </t>
  </si>
  <si>
    <t xml:space="preserve">4316 Clemson Cir # B </t>
  </si>
  <si>
    <t xml:space="preserve">EVERGREEN </t>
  </si>
  <si>
    <t xml:space="preserve">6678 J Hwy </t>
  </si>
  <si>
    <t>Puxico</t>
  </si>
  <si>
    <t>Seidlitz</t>
  </si>
  <si>
    <t xml:space="preserve">1302 Pelican Ln </t>
  </si>
  <si>
    <t>Van Loon</t>
  </si>
  <si>
    <t xml:space="preserve">5441 SW Nebraska St </t>
  </si>
  <si>
    <t xml:space="preserve">99 999 LAAULU St </t>
  </si>
  <si>
    <t>Topolska</t>
  </si>
  <si>
    <t xml:space="preserve">6149 Dalecrest Ave </t>
  </si>
  <si>
    <t xml:space="preserve">1002 Aldridge Ct </t>
  </si>
  <si>
    <t>Indian Trail</t>
  </si>
  <si>
    <t xml:space="preserve">1186 Thornhill Dr Unit 1 </t>
  </si>
  <si>
    <t>Sylva</t>
  </si>
  <si>
    <t xml:space="preserve">1200 N Rolfe St Apt 407 </t>
  </si>
  <si>
    <t>Donoso</t>
  </si>
  <si>
    <t xml:space="preserve">BAYSHORE DR TERRA CEIA TERRA CEIA </t>
  </si>
  <si>
    <t>Terra Ceia</t>
  </si>
  <si>
    <t>Czinger</t>
  </si>
  <si>
    <t xml:space="preserve">1108 W Chaucer Ave </t>
  </si>
  <si>
    <t>Germaine</t>
  </si>
  <si>
    <t xml:space="preserve">41617 N 108th St </t>
  </si>
  <si>
    <t xml:space="preserve">3156 Williamsburg Rd </t>
  </si>
  <si>
    <t xml:space="preserve">60 W Stone Loop </t>
  </si>
  <si>
    <t>Grebe</t>
  </si>
  <si>
    <t xml:space="preserve">3288 Pacific Heights Rd </t>
  </si>
  <si>
    <t>Elise</t>
  </si>
  <si>
    <t xml:space="preserve">Unit 308 </t>
  </si>
  <si>
    <t xml:space="preserve">1628 Glorieta St NE </t>
  </si>
  <si>
    <t>Bachelder</t>
  </si>
  <si>
    <t xml:space="preserve">107 Farquhar St </t>
  </si>
  <si>
    <t>Eisenstadt</t>
  </si>
  <si>
    <t xml:space="preserve">2625 Alcatraz Ave # 614 </t>
  </si>
  <si>
    <t>Erinn</t>
  </si>
  <si>
    <t xml:space="preserve">6200 Soundview Dr </t>
  </si>
  <si>
    <t>Pan</t>
  </si>
  <si>
    <t xml:space="preserve">5510 N Morgan St Apt 303 </t>
  </si>
  <si>
    <t>Edholm</t>
  </si>
  <si>
    <t xml:space="preserve">337 Engle St Apt 203 </t>
  </si>
  <si>
    <t>Fray</t>
  </si>
  <si>
    <t xml:space="preserve">3256 Karok Ave </t>
  </si>
  <si>
    <t>Vandervoort</t>
  </si>
  <si>
    <t xml:space="preserve">103 Wainwright Ave </t>
  </si>
  <si>
    <t>Closter</t>
  </si>
  <si>
    <t>Christianne</t>
  </si>
  <si>
    <t xml:space="preserve">11240 Larrylyn Dr </t>
  </si>
  <si>
    <t xml:space="preserve">2731 E Eba Ct </t>
  </si>
  <si>
    <t>Cowen</t>
  </si>
  <si>
    <t xml:space="preserve">4235 SE 99th Ave </t>
  </si>
  <si>
    <t>Finley</t>
  </si>
  <si>
    <t xml:space="preserve">1102 Hunters Creek Dr </t>
  </si>
  <si>
    <t xml:space="preserve">950 Dielman Rd </t>
  </si>
  <si>
    <t>Marler</t>
  </si>
  <si>
    <t>Emory</t>
  </si>
  <si>
    <t xml:space="preserve">1658 10th Ave </t>
  </si>
  <si>
    <t>Olivehurst</t>
  </si>
  <si>
    <t>Schiff</t>
  </si>
  <si>
    <t xml:space="preserve">409 Edgecombe Ave </t>
  </si>
  <si>
    <t>Landon</t>
  </si>
  <si>
    <t xml:space="preserve">3506 222nd St SW </t>
  </si>
  <si>
    <t>Margoles</t>
  </si>
  <si>
    <t xml:space="preserve">194 Central St Apt 116 </t>
  </si>
  <si>
    <t xml:space="preserve">3400 Avenue Of The Arts Apt F205 </t>
  </si>
  <si>
    <t>Crossley</t>
  </si>
  <si>
    <t xml:space="preserve">PO1185 WINTERS CALIFORNIA </t>
  </si>
  <si>
    <t>Karns</t>
  </si>
  <si>
    <t xml:space="preserve">2709 Nw158th St </t>
  </si>
  <si>
    <t xml:space="preserve">1005 Sanlin Dr </t>
  </si>
  <si>
    <t>Moon Township</t>
  </si>
  <si>
    <t>Mastro</t>
  </si>
  <si>
    <t xml:space="preserve">12 Cherokee St </t>
  </si>
  <si>
    <t xml:space="preserve">1137 Anderson St </t>
  </si>
  <si>
    <t xml:space="preserve">618 King St </t>
  </si>
  <si>
    <t>Womboldt</t>
  </si>
  <si>
    <t xml:space="preserve">4343 Sterling Dr </t>
  </si>
  <si>
    <t>Emrich</t>
  </si>
  <si>
    <t xml:space="preserve">820 Wrights Creek Dr </t>
  </si>
  <si>
    <t>Freiman</t>
  </si>
  <si>
    <t xml:space="preserve">888 Shelburne Falls Rd </t>
  </si>
  <si>
    <t xml:space="preserve">2025 Foothills Dr S </t>
  </si>
  <si>
    <t xml:space="preserve">4310 N Amherst St </t>
  </si>
  <si>
    <t>Amalie</t>
  </si>
  <si>
    <t xml:space="preserve">1522 36th St </t>
  </si>
  <si>
    <t>Rock Island</t>
  </si>
  <si>
    <t xml:space="preserve">3525 Pine Ave </t>
  </si>
  <si>
    <t xml:space="preserve">25410 Woodvine Ridge Dr </t>
  </si>
  <si>
    <t>Ott</t>
  </si>
  <si>
    <t xml:space="preserve">19547 Brodbeck Rd </t>
  </si>
  <si>
    <t>Orbisonia</t>
  </si>
  <si>
    <t>17243-9304</t>
  </si>
  <si>
    <t>Eide</t>
  </si>
  <si>
    <t xml:space="preserve">4411 Lyndale Ave S </t>
  </si>
  <si>
    <t>55419-4854</t>
  </si>
  <si>
    <t>Shamblin</t>
  </si>
  <si>
    <t xml:space="preserve">4641 Ashley Hill Cir </t>
  </si>
  <si>
    <t>35405-7822</t>
  </si>
  <si>
    <t xml:space="preserve">1685 Don Ave </t>
  </si>
  <si>
    <t>95124-1903</t>
  </si>
  <si>
    <t>Nedderman-Eaton</t>
  </si>
  <si>
    <t xml:space="preserve">8621 E Bobcat Trl </t>
  </si>
  <si>
    <t>86314-4403</t>
  </si>
  <si>
    <t>Ruppel</t>
  </si>
  <si>
    <t>Christie</t>
  </si>
  <si>
    <t xml:space="preserve">408 Queen Anne Dr </t>
  </si>
  <si>
    <t>70460-8438</t>
  </si>
  <si>
    <t>Baskin</t>
  </si>
  <si>
    <t>Ellin</t>
  </si>
  <si>
    <t xml:space="preserve">2839 Kirkwood Dr </t>
  </si>
  <si>
    <t>29170-3200</t>
  </si>
  <si>
    <t>Grober</t>
  </si>
  <si>
    <t xml:space="preserve">949 Emory St </t>
  </si>
  <si>
    <t>95126-1823</t>
  </si>
  <si>
    <t>Ammarell</t>
  </si>
  <si>
    <t xml:space="preserve">338 E Westminster Ave </t>
  </si>
  <si>
    <t>84115-2228</t>
  </si>
  <si>
    <t>Daisy</t>
  </si>
  <si>
    <t xml:space="preserve">57373 E 350 Rd </t>
  </si>
  <si>
    <t>74346-6938</t>
  </si>
  <si>
    <t xml:space="preserve">10206 Day Ave </t>
  </si>
  <si>
    <t>20910-1042</t>
  </si>
  <si>
    <t>Burge</t>
  </si>
  <si>
    <t xml:space="preserve">5030 Cumberland Ct SE </t>
  </si>
  <si>
    <t xml:space="preserve">2862 Mimika Pl </t>
  </si>
  <si>
    <t xml:space="preserve">2244 Belmont Dr </t>
  </si>
  <si>
    <t xml:space="preserve">8428 Petaluma Dr </t>
  </si>
  <si>
    <t xml:space="preserve">136 N Chestnut St Apt 18A </t>
  </si>
  <si>
    <t xml:space="preserve">6441 Raymond St </t>
  </si>
  <si>
    <t>Favor</t>
  </si>
  <si>
    <t>Sunday</t>
  </si>
  <si>
    <t xml:space="preserve">204 Railroad Ave # 249 </t>
  </si>
  <si>
    <t>Albanesi</t>
  </si>
  <si>
    <t xml:space="preserve">441 Kirk Ave </t>
  </si>
  <si>
    <t xml:space="preserve">2025 Russet Woods Trl </t>
  </si>
  <si>
    <t xml:space="preserve">1037 Earls Rd </t>
  </si>
  <si>
    <t>Goochland</t>
  </si>
  <si>
    <t xml:space="preserve">28 Marshall Ct </t>
  </si>
  <si>
    <t xml:space="preserve">226 Stonhope Dr </t>
  </si>
  <si>
    <t>Delaware</t>
  </si>
  <si>
    <t xml:space="preserve">9428 Rainbows End </t>
  </si>
  <si>
    <t>Amherst Jct</t>
  </si>
  <si>
    <t xml:space="preserve">1173 Cardinal Dr </t>
  </si>
  <si>
    <t>Enon</t>
  </si>
  <si>
    <t>Fontanes</t>
  </si>
  <si>
    <t xml:space="preserve">2 Selden Dr </t>
  </si>
  <si>
    <t>East Northport</t>
  </si>
  <si>
    <t>Pacelli</t>
  </si>
  <si>
    <t xml:space="preserve">15602 N 30th Dr </t>
  </si>
  <si>
    <t xml:space="preserve">1703 Giles Ave NW </t>
  </si>
  <si>
    <t>Yocum</t>
  </si>
  <si>
    <t xml:space="preserve">7977 Sauterne Dr </t>
  </si>
  <si>
    <t>Terrence</t>
  </si>
  <si>
    <t xml:space="preserve">14530 Kildare Ave </t>
  </si>
  <si>
    <t xml:space="preserve">1520 Escalona Dr </t>
  </si>
  <si>
    <t>Dickel</t>
  </si>
  <si>
    <t xml:space="preserve">190 Nicoll St </t>
  </si>
  <si>
    <t>Belden</t>
  </si>
  <si>
    <t xml:space="preserve">345 San Jose Dr </t>
  </si>
  <si>
    <t>Booth</t>
  </si>
  <si>
    <t>Carolie</t>
  </si>
  <si>
    <t xml:space="preserve">1538 Indian Meadows Dr </t>
  </si>
  <si>
    <t>Kelcher</t>
  </si>
  <si>
    <t xml:space="preserve">9012 Westbriar Dr </t>
  </si>
  <si>
    <t>Daniele</t>
  </si>
  <si>
    <t xml:space="preserve">1721 Fallowfield Ave </t>
  </si>
  <si>
    <t xml:space="preserve">217 E 26th St </t>
  </si>
  <si>
    <t xml:space="preserve">2501 28th Ave </t>
  </si>
  <si>
    <t>Cloud</t>
  </si>
  <si>
    <t xml:space="preserve">42 Walnut St </t>
  </si>
  <si>
    <t>Hollingsworth</t>
  </si>
  <si>
    <t xml:space="preserve">520 Pearl St Apt 312 </t>
  </si>
  <si>
    <t>Wueste</t>
  </si>
  <si>
    <t xml:space="preserve">20 Mosshill Pl </t>
  </si>
  <si>
    <t xml:space="preserve">FIDDLERS CANYON Rd </t>
  </si>
  <si>
    <t>Cedar City</t>
  </si>
  <si>
    <t>Fredric</t>
  </si>
  <si>
    <t xml:space="preserve">126 S Pueblo St </t>
  </si>
  <si>
    <t>Katt</t>
  </si>
  <si>
    <t xml:space="preserve">PO Box 50543 </t>
  </si>
  <si>
    <t>Lighthouse Point</t>
  </si>
  <si>
    <t>Loubert</t>
  </si>
  <si>
    <t xml:space="preserve">222 S Fulton Ave </t>
  </si>
  <si>
    <t>Chruszch</t>
  </si>
  <si>
    <t xml:space="preserve">1250 Portchester Cir </t>
  </si>
  <si>
    <t>Carol Stream</t>
  </si>
  <si>
    <t xml:space="preserve">PO Box 315 </t>
  </si>
  <si>
    <t>Carone</t>
  </si>
  <si>
    <t xml:space="preserve">3507 SE 186th Ct </t>
  </si>
  <si>
    <t>Kraslavsky</t>
  </si>
  <si>
    <t xml:space="preserve">25452 Del Cobre </t>
  </si>
  <si>
    <t>Quimby</t>
  </si>
  <si>
    <t xml:space="preserve">221 High Point Dr </t>
  </si>
  <si>
    <t>Hagler</t>
  </si>
  <si>
    <t xml:space="preserve">1276 Redwood Ave </t>
  </si>
  <si>
    <t>Wineman</t>
  </si>
  <si>
    <t xml:space="preserve">26 Mcternan St Apt 4 </t>
  </si>
  <si>
    <t xml:space="preserve">1241 Ray Pl </t>
  </si>
  <si>
    <t>Waldier</t>
  </si>
  <si>
    <t xml:space="preserve">PO Box 217 </t>
  </si>
  <si>
    <t>Ilwaco</t>
  </si>
  <si>
    <t>Fust</t>
  </si>
  <si>
    <t xml:space="preserve">202 E Hillside Rd </t>
  </si>
  <si>
    <t>Ham</t>
  </si>
  <si>
    <t xml:space="preserve">109 SR </t>
  </si>
  <si>
    <t>Ocean Shores</t>
  </si>
  <si>
    <t>Philleo</t>
  </si>
  <si>
    <t xml:space="preserve">552 Bean Creek Rd Spc 71 </t>
  </si>
  <si>
    <t>Manuel</t>
  </si>
  <si>
    <t>Tawny</t>
  </si>
  <si>
    <t>Freitas</t>
  </si>
  <si>
    <t xml:space="preserve">167 Cole Ave </t>
  </si>
  <si>
    <t>Holing</t>
  </si>
  <si>
    <t xml:space="preserve">PO Box 330 </t>
  </si>
  <si>
    <t>Moody-Arndt</t>
  </si>
  <si>
    <t xml:space="preserve">1291 W104th St </t>
  </si>
  <si>
    <t xml:space="preserve">2448 Great Hwy Apt 14 </t>
  </si>
  <si>
    <t xml:space="preserve">4165 Rogers Creek Ct </t>
  </si>
  <si>
    <t xml:space="preserve">3288 Adams Ave </t>
  </si>
  <si>
    <t>Mr.G.</t>
  </si>
  <si>
    <t xml:space="preserve">1515 Young St </t>
  </si>
  <si>
    <t>Yurchuck</t>
  </si>
  <si>
    <t xml:space="preserve">2677 Lawrenceville Hwy Unit 105 </t>
  </si>
  <si>
    <t xml:space="preserve">689 Browning Ter </t>
  </si>
  <si>
    <t>Ballentine</t>
  </si>
  <si>
    <t xml:space="preserve">327 Irwin St </t>
  </si>
  <si>
    <t xml:space="preserve">156 Brookview Ct </t>
  </si>
  <si>
    <t>95409-2715</t>
  </si>
  <si>
    <t xml:space="preserve">811 Cramer Ave </t>
  </si>
  <si>
    <t>40502-1413</t>
  </si>
  <si>
    <t>Tincher</t>
  </si>
  <si>
    <t xml:space="preserve">879 Garland Dr </t>
  </si>
  <si>
    <t>94303-3606</t>
  </si>
  <si>
    <t>Stefanich</t>
  </si>
  <si>
    <t xml:space="preserve">313 2nd Ave S </t>
  </si>
  <si>
    <t>Long Prairie</t>
  </si>
  <si>
    <t>56347-1609</t>
  </si>
  <si>
    <t>Brock</t>
  </si>
  <si>
    <t>Coleen</t>
  </si>
  <si>
    <t xml:space="preserve">3509 Windsor Dr </t>
  </si>
  <si>
    <t>Trent Woods</t>
  </si>
  <si>
    <t>28562-7733</t>
  </si>
  <si>
    <t>Eads</t>
  </si>
  <si>
    <t xml:space="preserve">24 Damon Rd </t>
  </si>
  <si>
    <t>45218-1013</t>
  </si>
  <si>
    <t>Boyne</t>
  </si>
  <si>
    <t xml:space="preserve">2013 Kakela Dr </t>
  </si>
  <si>
    <t>96822-2158</t>
  </si>
  <si>
    <t>Paromova</t>
  </si>
  <si>
    <t>Ksenia</t>
  </si>
  <si>
    <t xml:space="preserve">209 Solitude Cir </t>
  </si>
  <si>
    <t>Goodlettsville</t>
  </si>
  <si>
    <t>37072-4136</t>
  </si>
  <si>
    <t xml:space="preserve">PO Box 1023 </t>
  </si>
  <si>
    <t>46546-1023</t>
  </si>
  <si>
    <t xml:space="preserve">610 S Clinton St Apt 2D </t>
  </si>
  <si>
    <t>80247-1535</t>
  </si>
  <si>
    <t xml:space="preserve">56 Alpine St </t>
  </si>
  <si>
    <t xml:space="preserve">3 Dunsinane Ct </t>
  </si>
  <si>
    <t>Rachael</t>
  </si>
  <si>
    <t xml:space="preserve">157 Rockdale Rd </t>
  </si>
  <si>
    <t>Mount Upton</t>
  </si>
  <si>
    <t xml:space="preserve">2942 Coates Rd Suites &amp;5 </t>
  </si>
  <si>
    <t>Penn Yan</t>
  </si>
  <si>
    <t>Combs</t>
  </si>
  <si>
    <t xml:space="preserve">2432 Harrington Dr </t>
  </si>
  <si>
    <t xml:space="preserve">9614 Baseline Dr </t>
  </si>
  <si>
    <t xml:space="preserve">354 Hastings Rd </t>
  </si>
  <si>
    <t>Waitsfield</t>
  </si>
  <si>
    <t>Kangas</t>
  </si>
  <si>
    <t xml:space="preserve">9765 Ariadne Trl </t>
  </si>
  <si>
    <t xml:space="preserve">3735 E Balch Ave </t>
  </si>
  <si>
    <t>Piraino</t>
  </si>
  <si>
    <t xml:space="preserve">2008 Butler Ct </t>
  </si>
  <si>
    <t>Wheys</t>
  </si>
  <si>
    <t xml:space="preserve">22590 Rocky Ln </t>
  </si>
  <si>
    <t>Pioneer</t>
  </si>
  <si>
    <t>Gelb</t>
  </si>
  <si>
    <t xml:space="preserve">224 Clearwater Dr </t>
  </si>
  <si>
    <t>Thomas S.</t>
  </si>
  <si>
    <t xml:space="preserve">PO Box 252 </t>
  </si>
  <si>
    <t>Palenville</t>
  </si>
  <si>
    <t xml:space="preserve">178 Ashton Highlands Dr </t>
  </si>
  <si>
    <t>Battle Creek</t>
  </si>
  <si>
    <t>Niemiec</t>
  </si>
  <si>
    <t>Katarzyna</t>
  </si>
  <si>
    <t xml:space="preserve">1911 Woodbine St </t>
  </si>
  <si>
    <t>Merlino</t>
  </si>
  <si>
    <t xml:space="preserve">838 Woodlawn St </t>
  </si>
  <si>
    <t>Tezla</t>
  </si>
  <si>
    <t xml:space="preserve">1876 Yorkshire Ave </t>
  </si>
  <si>
    <t>Lippincott</t>
  </si>
  <si>
    <t xml:space="preserve">4090 W Crystal Dr </t>
  </si>
  <si>
    <t>Deehan</t>
  </si>
  <si>
    <t xml:space="preserve">PO Box 3687 </t>
  </si>
  <si>
    <t>Merrifield</t>
  </si>
  <si>
    <t>Saul</t>
  </si>
  <si>
    <t>C P</t>
  </si>
  <si>
    <t xml:space="preserve">711 Amsterdam Ave </t>
  </si>
  <si>
    <t>Longmore</t>
  </si>
  <si>
    <t xml:space="preserve">3 Schoolhouse Xing </t>
  </si>
  <si>
    <t>Wethersfield</t>
  </si>
  <si>
    <t xml:space="preserve">350 Goodnight Farm Rd </t>
  </si>
  <si>
    <t>Salisbury</t>
  </si>
  <si>
    <t>Patel</t>
  </si>
  <si>
    <t>Alpa</t>
  </si>
  <si>
    <t xml:space="preserve">334 Terrace Ave </t>
  </si>
  <si>
    <t>Jersey City</t>
  </si>
  <si>
    <t>Arlen</t>
  </si>
  <si>
    <t xml:space="preserve">12760 Penny Ln </t>
  </si>
  <si>
    <t xml:space="preserve">340 Saddleback Ln </t>
  </si>
  <si>
    <t xml:space="preserve">1109 W 111th Pl </t>
  </si>
  <si>
    <t>Plotkin</t>
  </si>
  <si>
    <t>Rabbi Adele</t>
  </si>
  <si>
    <t xml:space="preserve">2004 Shoshone Dr </t>
  </si>
  <si>
    <t>Chino Valley</t>
  </si>
  <si>
    <t>Peardot</t>
  </si>
  <si>
    <t xml:space="preserve">4500 Southmore Dr </t>
  </si>
  <si>
    <t>Stansen</t>
  </si>
  <si>
    <t xml:space="preserve">3680 E Fox Trotter Rd </t>
  </si>
  <si>
    <t>Ferrante</t>
  </si>
  <si>
    <t xml:space="preserve">1921 Overhill Rd </t>
  </si>
  <si>
    <t xml:space="preserve">1258 Littlefield Dr </t>
  </si>
  <si>
    <t>Harvey S.</t>
  </si>
  <si>
    <t xml:space="preserve">100 Paul Revere Rd </t>
  </si>
  <si>
    <t>Vessicchio</t>
  </si>
  <si>
    <t>Susan P.</t>
  </si>
  <si>
    <t xml:space="preserve">66 Pope St </t>
  </si>
  <si>
    <t>Baumgarten</t>
  </si>
  <si>
    <t xml:space="preserve">60 Short St </t>
  </si>
  <si>
    <t>Rousseau</t>
  </si>
  <si>
    <t xml:space="preserve">15 Constitution Way </t>
  </si>
  <si>
    <t>Beaupre</t>
  </si>
  <si>
    <t xml:space="preserve">40 W699 Norris Rd </t>
  </si>
  <si>
    <t>Sugar Grove</t>
  </si>
  <si>
    <t xml:space="preserve">67 Dogwood Rd </t>
  </si>
  <si>
    <t xml:space="preserve">58 Sagewood Dr </t>
  </si>
  <si>
    <t>Westheimer</t>
  </si>
  <si>
    <t xml:space="preserve">310 Southfield Ln </t>
  </si>
  <si>
    <t>Earp</t>
  </si>
  <si>
    <t xml:space="preserve">4601 Kingman Blvd </t>
  </si>
  <si>
    <t xml:space="preserve">PO Box 225 </t>
  </si>
  <si>
    <t>Nardo</t>
  </si>
  <si>
    <t xml:space="preserve">9072 Woodlawn Dr </t>
  </si>
  <si>
    <t xml:space="preserve">2855 Whitetail Cir </t>
  </si>
  <si>
    <t>Huzenis</t>
  </si>
  <si>
    <t xml:space="preserve">20 W 72nd St </t>
  </si>
  <si>
    <t>Lommel</t>
  </si>
  <si>
    <t xml:space="preserve">2636 Traymore Rd </t>
  </si>
  <si>
    <t>North Chesterfield</t>
  </si>
  <si>
    <t>Faut</t>
  </si>
  <si>
    <t xml:space="preserve">78 -7054 Kamehameha III Rd Apt 101 </t>
  </si>
  <si>
    <t>Keil</t>
  </si>
  <si>
    <t xml:space="preserve">31 Landy Dr </t>
  </si>
  <si>
    <t>Brucker</t>
  </si>
  <si>
    <t xml:space="preserve">4502 8th Ave E </t>
  </si>
  <si>
    <t>Norling</t>
  </si>
  <si>
    <t xml:space="preserve">5450 Ridgewood Cv </t>
  </si>
  <si>
    <t>Mound</t>
  </si>
  <si>
    <t>Fleishman</t>
  </si>
  <si>
    <t xml:space="preserve">255 S Strong Rd </t>
  </si>
  <si>
    <t>Whelan</t>
  </si>
  <si>
    <t xml:space="preserve">415 Central Park W Apt 15B </t>
  </si>
  <si>
    <t xml:space="preserve">14620 Garrett Ave Apt 104 </t>
  </si>
  <si>
    <t>Mader</t>
  </si>
  <si>
    <t>Diane And Tom</t>
  </si>
  <si>
    <t xml:space="preserve">3044 Grey Eagle Dr </t>
  </si>
  <si>
    <t>De Seve</t>
  </si>
  <si>
    <t xml:space="preserve">80 Lakeshore Dr </t>
  </si>
  <si>
    <t>Gilmanton</t>
  </si>
  <si>
    <t>Garro</t>
  </si>
  <si>
    <t xml:space="preserve">1 Madison Cir </t>
  </si>
  <si>
    <t>Ives</t>
  </si>
  <si>
    <t>Harwood</t>
  </si>
  <si>
    <t xml:space="preserve">702 River Plantation Rd </t>
  </si>
  <si>
    <t>Crawfordville</t>
  </si>
  <si>
    <t>Fairman</t>
  </si>
  <si>
    <t xml:space="preserve">147 Century Ln </t>
  </si>
  <si>
    <t>Montross</t>
  </si>
  <si>
    <t>Ricciuti</t>
  </si>
  <si>
    <t>Dom</t>
  </si>
  <si>
    <t xml:space="preserve">520 Greenwich St </t>
  </si>
  <si>
    <t>Baumgartner</t>
  </si>
  <si>
    <t>Helen And Paul</t>
  </si>
  <si>
    <t xml:space="preserve">1214 Pine Pointe Curv </t>
  </si>
  <si>
    <t>Saint Peter</t>
  </si>
  <si>
    <t>Glenna</t>
  </si>
  <si>
    <t xml:space="preserve">1800 E 2nd St </t>
  </si>
  <si>
    <t>Morales</t>
  </si>
  <si>
    <t xml:space="preserve">1808 NE 152nd St </t>
  </si>
  <si>
    <t>Stubbs</t>
  </si>
  <si>
    <t xml:space="preserve">515 E 6th St </t>
  </si>
  <si>
    <t xml:space="preserve">9861 E Caron St </t>
  </si>
  <si>
    <t>Douglas C.</t>
  </si>
  <si>
    <t xml:space="preserve">52 Rose Cir </t>
  </si>
  <si>
    <t>Aurin</t>
  </si>
  <si>
    <t>Trina</t>
  </si>
  <si>
    <t xml:space="preserve">19 Massier Ln </t>
  </si>
  <si>
    <t>Foothill Ranch</t>
  </si>
  <si>
    <t>Brigitte</t>
  </si>
  <si>
    <t xml:space="preserve">3007 N Ballenger Ln </t>
  </si>
  <si>
    <t>Wisniewski</t>
  </si>
  <si>
    <t xml:space="preserve">1261 Teal Ave </t>
  </si>
  <si>
    <t>Butcher</t>
  </si>
  <si>
    <t xml:space="preserve">1331 Saint James Pl </t>
  </si>
  <si>
    <t>Storsved</t>
  </si>
  <si>
    <t xml:space="preserve">2085 Dotte Dr </t>
  </si>
  <si>
    <t xml:space="preserve">6074 Antelope Trl </t>
  </si>
  <si>
    <t>Kanab</t>
  </si>
  <si>
    <t xml:space="preserve">89 Newport St </t>
  </si>
  <si>
    <t>Binz</t>
  </si>
  <si>
    <t>Ella</t>
  </si>
  <si>
    <t xml:space="preserve">2906 Hawkshead Dr </t>
  </si>
  <si>
    <t xml:space="preserve">1128 Amberton Ln </t>
  </si>
  <si>
    <t>Newbury Park</t>
  </si>
  <si>
    <t xml:space="preserve">PO Box 1643 </t>
  </si>
  <si>
    <t>McKeen</t>
  </si>
  <si>
    <t xml:space="preserve">62 Dale St S </t>
  </si>
  <si>
    <t>Ilah</t>
  </si>
  <si>
    <t xml:space="preserve">121 S Academy St </t>
  </si>
  <si>
    <t xml:space="preserve">405 S 9th St </t>
  </si>
  <si>
    <t xml:space="preserve">325 Sylvan Ave </t>
  </si>
  <si>
    <t>Pais</t>
  </si>
  <si>
    <t xml:space="preserve">206 Aspen Meadows Rd </t>
  </si>
  <si>
    <t>Rosina</t>
  </si>
  <si>
    <t xml:space="preserve">110 N 10th St </t>
  </si>
  <si>
    <t>Fleck</t>
  </si>
  <si>
    <t xml:space="preserve">449 E 14th St </t>
  </si>
  <si>
    <t>De Sio</t>
  </si>
  <si>
    <t>Elisse</t>
  </si>
  <si>
    <t xml:space="preserve">1176 Laurel St </t>
  </si>
  <si>
    <t xml:space="preserve">14377 Morelli Ln </t>
  </si>
  <si>
    <t xml:space="preserve">5 Acoma Rd Null </t>
  </si>
  <si>
    <t>Tuxedo Park</t>
  </si>
  <si>
    <t>Minot</t>
  </si>
  <si>
    <t xml:space="preserve">14857 270th St </t>
  </si>
  <si>
    <t>Cadott</t>
  </si>
  <si>
    <t>Parkinson</t>
  </si>
  <si>
    <t xml:space="preserve">3415 Bryce Dr </t>
  </si>
  <si>
    <t>Lake Stevens</t>
  </si>
  <si>
    <t>Susan E</t>
  </si>
  <si>
    <t xml:space="preserve">3141 Manley Rd Apt 117 </t>
  </si>
  <si>
    <t xml:space="preserve">40 Downing St </t>
  </si>
  <si>
    <t xml:space="preserve">1940 Shenandoah Dr </t>
  </si>
  <si>
    <t>Parada</t>
  </si>
  <si>
    <t xml:space="preserve">3509 Shenandoah Ave </t>
  </si>
  <si>
    <t>Gross</t>
  </si>
  <si>
    <t xml:space="preserve">1310 E 2500 N </t>
  </si>
  <si>
    <t>North Ogden</t>
  </si>
  <si>
    <t>Danhaus</t>
  </si>
  <si>
    <t xml:space="preserve">1460 Meadow Run Dr </t>
  </si>
  <si>
    <t xml:space="preserve">5555 N Sheridan Rd </t>
  </si>
  <si>
    <t xml:space="preserve">16637 NE 30th St </t>
  </si>
  <si>
    <t>Tarsia</t>
  </si>
  <si>
    <t>Cassina</t>
  </si>
  <si>
    <t xml:space="preserve">417 S Barnwell St </t>
  </si>
  <si>
    <t xml:space="preserve">3005 Rain Valley Cir </t>
  </si>
  <si>
    <t>Wudarski</t>
  </si>
  <si>
    <t xml:space="preserve">410 Aloha Dr </t>
  </si>
  <si>
    <t xml:space="preserve">476 Forest St </t>
  </si>
  <si>
    <t>Kearny</t>
  </si>
  <si>
    <t>Katya</t>
  </si>
  <si>
    <t xml:space="preserve">31259 Manitoba Dr </t>
  </si>
  <si>
    <t>Getschman</t>
  </si>
  <si>
    <t>Darla</t>
  </si>
  <si>
    <t xml:space="preserve">715 W Sibley St </t>
  </si>
  <si>
    <t>Nancy-Alyce</t>
  </si>
  <si>
    <t xml:space="preserve">21 Old Lamberts Cove Rd </t>
  </si>
  <si>
    <t>Vineyard Haven</t>
  </si>
  <si>
    <t>Bauers</t>
  </si>
  <si>
    <t>Miriam</t>
  </si>
  <si>
    <t xml:space="preserve">404 N Willis Ave </t>
  </si>
  <si>
    <t>Champaign</t>
  </si>
  <si>
    <t>Mencher</t>
  </si>
  <si>
    <t>Joan P</t>
  </si>
  <si>
    <t xml:space="preserve">201 W 72nd St Apt 16E </t>
  </si>
  <si>
    <t>Carivan</t>
  </si>
  <si>
    <t xml:space="preserve">10 Regent St </t>
  </si>
  <si>
    <t xml:space="preserve">54076 30th St </t>
  </si>
  <si>
    <t xml:space="preserve">32 W640 Hecker Dr </t>
  </si>
  <si>
    <t>Dundee</t>
  </si>
  <si>
    <t>Seader</t>
  </si>
  <si>
    <t xml:space="preserve">87 Chestnut St </t>
  </si>
  <si>
    <t>Millburn</t>
  </si>
  <si>
    <t>Kahn</t>
  </si>
  <si>
    <t xml:space="preserve">3925 L Lawrence Trl </t>
  </si>
  <si>
    <t>Salatti</t>
  </si>
  <si>
    <t xml:space="preserve">7490 E 29th Ave </t>
  </si>
  <si>
    <t>Burwell</t>
  </si>
  <si>
    <t xml:space="preserve">159 Hamilton Rd </t>
  </si>
  <si>
    <t>Plumb</t>
  </si>
  <si>
    <t xml:space="preserve">5 Central St </t>
  </si>
  <si>
    <t>Lentchner</t>
  </si>
  <si>
    <t xml:space="preserve">11 3rd Ave </t>
  </si>
  <si>
    <t>Ptak</t>
  </si>
  <si>
    <t xml:space="preserve">PO Box 106 </t>
  </si>
  <si>
    <t>Delevan</t>
  </si>
  <si>
    <t>Naf</t>
  </si>
  <si>
    <t xml:space="preserve">SE ELLIS St </t>
  </si>
  <si>
    <t>Kennedy Esq</t>
  </si>
  <si>
    <t xml:space="preserve">1629 Columbia Rd NW Apt 815 </t>
  </si>
  <si>
    <t>Sapienza</t>
  </si>
  <si>
    <t xml:space="preserve">106 E Ridgewood Ave </t>
  </si>
  <si>
    <t>Paramus</t>
  </si>
  <si>
    <t>Kithcart</t>
  </si>
  <si>
    <t xml:space="preserve">694 Main Ave </t>
  </si>
  <si>
    <t>Bay Head</t>
  </si>
  <si>
    <t>Caredda</t>
  </si>
  <si>
    <t xml:space="preserve">9833 64th Ave </t>
  </si>
  <si>
    <t>Rego Park</t>
  </si>
  <si>
    <t>Darrell</t>
  </si>
  <si>
    <t xml:space="preserve">1360 Clay St </t>
  </si>
  <si>
    <t>Grone</t>
  </si>
  <si>
    <t xml:space="preserve">276 N El Camino Real Spc 11 </t>
  </si>
  <si>
    <t>Fanucchi</t>
  </si>
  <si>
    <t xml:space="preserve">53 Alvarado Ave </t>
  </si>
  <si>
    <t xml:space="preserve">5546 Kirkland Ct </t>
  </si>
  <si>
    <t>Bolster</t>
  </si>
  <si>
    <t xml:space="preserve">21 Oak St </t>
  </si>
  <si>
    <t xml:space="preserve">6887 Jefferson St </t>
  </si>
  <si>
    <t>Perez</t>
  </si>
  <si>
    <t xml:space="preserve">620 W 239th St </t>
  </si>
  <si>
    <t xml:space="preserve">35724 US Highway 231 </t>
  </si>
  <si>
    <t>Ashville</t>
  </si>
  <si>
    <t xml:space="preserve">741 37th Ave </t>
  </si>
  <si>
    <t xml:space="preserve">140 Riverside Dr # 15F </t>
  </si>
  <si>
    <t xml:space="preserve">5893 Newbury Cir </t>
  </si>
  <si>
    <t xml:space="preserve">I Don't Give Out </t>
  </si>
  <si>
    <t xml:space="preserve">4267 Newburg Rd </t>
  </si>
  <si>
    <t xml:space="preserve">1765 Langholm Way </t>
  </si>
  <si>
    <t>Zelman</t>
  </si>
  <si>
    <t xml:space="preserve">6055 Jumilla Ave </t>
  </si>
  <si>
    <t xml:space="preserve">2246 Willow St </t>
  </si>
  <si>
    <t>Wantagh</t>
  </si>
  <si>
    <t xml:space="preserve">1410 Freemont St S </t>
  </si>
  <si>
    <t xml:space="preserve">1435 Santa Cruz Dr </t>
  </si>
  <si>
    <t xml:space="preserve">451 Meadow Way </t>
  </si>
  <si>
    <t>San Geronimo</t>
  </si>
  <si>
    <t>Schreyack</t>
  </si>
  <si>
    <t xml:space="preserve">8396 S Carr St </t>
  </si>
  <si>
    <t xml:space="preserve">14275 Princedale Dr </t>
  </si>
  <si>
    <t>Susan Allen</t>
  </si>
  <si>
    <t xml:space="preserve">6824 Gloucester Rd </t>
  </si>
  <si>
    <t>Lovitt</t>
  </si>
  <si>
    <t xml:space="preserve">2502 Fruitvale Blvd Apt 208 </t>
  </si>
  <si>
    <t xml:space="preserve">32 Hillcreek Dr </t>
  </si>
  <si>
    <t>Garlena</t>
  </si>
  <si>
    <t xml:space="preserve">5238 Earles Ct </t>
  </si>
  <si>
    <t xml:space="preserve">312 Berkeley Ave </t>
  </si>
  <si>
    <t>Bachman</t>
  </si>
  <si>
    <t xml:space="preserve">353 Mountain Rd </t>
  </si>
  <si>
    <t>Lottes</t>
  </si>
  <si>
    <t>Ilsa</t>
  </si>
  <si>
    <t xml:space="preserve">9500 Side Brook Rd </t>
  </si>
  <si>
    <t>Axelrod</t>
  </si>
  <si>
    <t xml:space="preserve">522 E D St </t>
  </si>
  <si>
    <t xml:space="preserve">967 56th St </t>
  </si>
  <si>
    <t xml:space="preserve">909 W Harvard Dr </t>
  </si>
  <si>
    <t>Koerner</t>
  </si>
  <si>
    <t xml:space="preserve">1295 Dover Creek Ln VA </t>
  </si>
  <si>
    <t>Manakin Sabot</t>
  </si>
  <si>
    <t xml:space="preserve">3757 Martina Ct </t>
  </si>
  <si>
    <t>Acocella</t>
  </si>
  <si>
    <t xml:space="preserve">219 Treetop Cres </t>
  </si>
  <si>
    <t>Rye Brook</t>
  </si>
  <si>
    <t>Brownlee</t>
  </si>
  <si>
    <t xml:space="preserve">611 N 7th St </t>
  </si>
  <si>
    <t>Paragould</t>
  </si>
  <si>
    <t>Villei</t>
  </si>
  <si>
    <t>Deana</t>
  </si>
  <si>
    <t xml:space="preserve">7367 Laramie Ave </t>
  </si>
  <si>
    <t>Gotfrid</t>
  </si>
  <si>
    <t xml:space="preserve">346 Iowa St </t>
  </si>
  <si>
    <t xml:space="preserve">73 Willowbrook Ln </t>
  </si>
  <si>
    <t xml:space="preserve">5213 Redrac St </t>
  </si>
  <si>
    <t>Dacosta</t>
  </si>
  <si>
    <t>Francisco</t>
  </si>
  <si>
    <t xml:space="preserve">9 Hinsdale Ln </t>
  </si>
  <si>
    <t>Willingboro</t>
  </si>
  <si>
    <t xml:space="preserve">86 Island Rd </t>
  </si>
  <si>
    <t>Kaye</t>
  </si>
  <si>
    <t>Autumn</t>
  </si>
  <si>
    <t xml:space="preserve">685 Virginia Shores Cir </t>
  </si>
  <si>
    <t>Cretella</t>
  </si>
  <si>
    <t xml:space="preserve">3521 Ambassador Ave </t>
  </si>
  <si>
    <t>Kristel</t>
  </si>
  <si>
    <t xml:space="preserve">2007 Schulenberg Aly </t>
  </si>
  <si>
    <t xml:space="preserve">30 Lucille Pl </t>
  </si>
  <si>
    <t xml:space="preserve">3230 52nd St </t>
  </si>
  <si>
    <t>Jim And Nina</t>
  </si>
  <si>
    <t xml:space="preserve">154 Coleman Rd </t>
  </si>
  <si>
    <t>Woltman</t>
  </si>
  <si>
    <t xml:space="preserve">N8294 County Road Qq </t>
  </si>
  <si>
    <t>53049-1660</t>
  </si>
  <si>
    <t>Salgat</t>
  </si>
  <si>
    <t xml:space="preserve">12944 Leblanc </t>
  </si>
  <si>
    <t xml:space="preserve">805 Brazos St </t>
  </si>
  <si>
    <t xml:space="preserve">2578 152nd Ave NE Apt A319 </t>
  </si>
  <si>
    <t>Hertle</t>
  </si>
  <si>
    <t>Margaretha</t>
  </si>
  <si>
    <t xml:space="preserve">1320 Route # 217 </t>
  </si>
  <si>
    <t xml:space="preserve">PO Box 100 </t>
  </si>
  <si>
    <t>Oldenburg</t>
  </si>
  <si>
    <t xml:space="preserve">918 Deerberry Ct </t>
  </si>
  <si>
    <t>Odenton</t>
  </si>
  <si>
    <t xml:space="preserve">1602 Airport Rd </t>
  </si>
  <si>
    <t>Mitchel</t>
  </si>
  <si>
    <t xml:space="preserve">6029 Ridgemoor Dr Null </t>
  </si>
  <si>
    <t>Kroeger</t>
  </si>
  <si>
    <t xml:space="preserve">6707 Crossways Pl </t>
  </si>
  <si>
    <t>Walton Sr</t>
  </si>
  <si>
    <t xml:space="preserve">8428 Guadalupe Trl NW </t>
  </si>
  <si>
    <t>Los Ranchos</t>
  </si>
  <si>
    <t>Espamer</t>
  </si>
  <si>
    <t xml:space="preserve">321 N 30th St </t>
  </si>
  <si>
    <t>Camp Hill</t>
  </si>
  <si>
    <t xml:space="preserve">25 Hein Ave </t>
  </si>
  <si>
    <t>Gangwisch</t>
  </si>
  <si>
    <t xml:space="preserve">710 Thorpe Dr </t>
  </si>
  <si>
    <t>Suter</t>
  </si>
  <si>
    <t xml:space="preserve">700 Serpentine Trl </t>
  </si>
  <si>
    <t>Marble</t>
  </si>
  <si>
    <t>Bortnick</t>
  </si>
  <si>
    <t xml:space="preserve">1251 Pelican Ln </t>
  </si>
  <si>
    <t>Dinnen</t>
  </si>
  <si>
    <t xml:space="preserve">2912 Grandview Dr </t>
  </si>
  <si>
    <t xml:space="preserve">7483 Rapid Lightning Rd </t>
  </si>
  <si>
    <t xml:space="preserve">1045 Haiku Rd </t>
  </si>
  <si>
    <t>Gordon-Watson</t>
  </si>
  <si>
    <t xml:space="preserve">427 E 83rd St Apt 1B </t>
  </si>
  <si>
    <t>Malenky</t>
  </si>
  <si>
    <t>Alexi</t>
  </si>
  <si>
    <t xml:space="preserve">1200 Curtis St </t>
  </si>
  <si>
    <t xml:space="preserve">174 Benner Rd </t>
  </si>
  <si>
    <t>Red Hook</t>
  </si>
  <si>
    <t>66212-3942</t>
  </si>
  <si>
    <t xml:space="preserve">30 Rose Rd </t>
  </si>
  <si>
    <t>10994-2116</t>
  </si>
  <si>
    <t xml:space="preserve">11 Cottingham Dr </t>
  </si>
  <si>
    <t>08831-4741</t>
  </si>
  <si>
    <t xml:space="preserve">305 Oak Ln </t>
  </si>
  <si>
    <t>81611-2184</t>
  </si>
  <si>
    <t>Rosenstern</t>
  </si>
  <si>
    <t xml:space="preserve">46 -1169 Kumupele Rd </t>
  </si>
  <si>
    <t>96727-7047</t>
  </si>
  <si>
    <t>Enzmann</t>
  </si>
  <si>
    <t>Narcissa</t>
  </si>
  <si>
    <t xml:space="preserve">5136 Tierra Granada Dr </t>
  </si>
  <si>
    <t>90601-2248</t>
  </si>
  <si>
    <t xml:space="preserve">334 College Ave Apt E </t>
  </si>
  <si>
    <t>94306-1518</t>
  </si>
  <si>
    <t>Cua</t>
  </si>
  <si>
    <t xml:space="preserve">521 Doremus Ave </t>
  </si>
  <si>
    <t>Glen Rock</t>
  </si>
  <si>
    <t xml:space="preserve">9186 104th Ave </t>
  </si>
  <si>
    <t>32967-3105</t>
  </si>
  <si>
    <t>Gelhard</t>
  </si>
  <si>
    <t xml:space="preserve">3901 Buffalo Rd </t>
  </si>
  <si>
    <t>21776-8226</t>
  </si>
  <si>
    <t>Valentine</t>
  </si>
  <si>
    <t xml:space="preserve">720 Olson Rd # A </t>
  </si>
  <si>
    <t>95073-9689</t>
  </si>
  <si>
    <t xml:space="preserve">PO Box 415 </t>
  </si>
  <si>
    <t>Tillson</t>
  </si>
  <si>
    <t>12486-0415</t>
  </si>
  <si>
    <t>Rowinski</t>
  </si>
  <si>
    <t>Wojciech</t>
  </si>
  <si>
    <t xml:space="preserve">26 Mckinley Ave </t>
  </si>
  <si>
    <t>01027-2040</t>
  </si>
  <si>
    <t>Almiriam</t>
  </si>
  <si>
    <t xml:space="preserve">3316 Diana Lee Ct </t>
  </si>
  <si>
    <t>23452-4829</t>
  </si>
  <si>
    <t xml:space="preserve">13704 NE Shaver St </t>
  </si>
  <si>
    <t>97230-2632</t>
  </si>
  <si>
    <t xml:space="preserve">2204 Rocking Horse Ct </t>
  </si>
  <si>
    <t>80921-6401</t>
  </si>
  <si>
    <t xml:space="preserve">490 Washburn Ave </t>
  </si>
  <si>
    <t>07882-2416</t>
  </si>
  <si>
    <t>Vargo</t>
  </si>
  <si>
    <t>15627-2671</t>
  </si>
  <si>
    <t xml:space="preserve">PO Box 732 </t>
  </si>
  <si>
    <t>Mont Alto</t>
  </si>
  <si>
    <t>17237-0732</t>
  </si>
  <si>
    <t xml:space="preserve">245 Cedar Wood Dr </t>
  </si>
  <si>
    <t>Big Sandy</t>
  </si>
  <si>
    <t>Ilse</t>
  </si>
  <si>
    <t xml:space="preserve">21601 SE 24th St </t>
  </si>
  <si>
    <t>Herndobler</t>
  </si>
  <si>
    <t xml:space="preserve">572 Sinaloa Ave </t>
  </si>
  <si>
    <t>Cresic</t>
  </si>
  <si>
    <t xml:space="preserve">203 Kauffman Rd </t>
  </si>
  <si>
    <t>Parkton</t>
  </si>
  <si>
    <t>Wendee</t>
  </si>
  <si>
    <t xml:space="preserve">6894 Parsons Trl </t>
  </si>
  <si>
    <t>Domb</t>
  </si>
  <si>
    <t xml:space="preserve">PO Box 3501 </t>
  </si>
  <si>
    <t xml:space="preserve">1634 Tyler Pkwy </t>
  </si>
  <si>
    <t xml:space="preserve">9445 SW 40th St </t>
  </si>
  <si>
    <t>Horn</t>
  </si>
  <si>
    <t xml:space="preserve">197 E 4th St </t>
  </si>
  <si>
    <t>D'Alessandro</t>
  </si>
  <si>
    <t xml:space="preserve">42486 Saratoga Rd </t>
  </si>
  <si>
    <t>Jacobsen</t>
  </si>
  <si>
    <t xml:space="preserve">3121 21st St N </t>
  </si>
  <si>
    <t xml:space="preserve">963 Shiloh Unity Rd </t>
  </si>
  <si>
    <t>Stolle</t>
  </si>
  <si>
    <t xml:space="preserve">326 Sunset Dr </t>
  </si>
  <si>
    <t xml:space="preserve">4232 Williamsport Dr </t>
  </si>
  <si>
    <t xml:space="preserve">16 Brevoort Rd </t>
  </si>
  <si>
    <t>Chappaqua</t>
  </si>
  <si>
    <t xml:space="preserve">438 Michigan Hill Rd </t>
  </si>
  <si>
    <t xml:space="preserve">47 Tanglewylde Ave </t>
  </si>
  <si>
    <t>Labarthe</t>
  </si>
  <si>
    <t xml:space="preserve">78 Tidewind </t>
  </si>
  <si>
    <t xml:space="preserve">3624 Merrick Rd </t>
  </si>
  <si>
    <t>Seaford</t>
  </si>
  <si>
    <t>Lemieux</t>
  </si>
  <si>
    <t xml:space="preserve">PO Box 934 </t>
  </si>
  <si>
    <t>Newfields</t>
  </si>
  <si>
    <t>Tyburski</t>
  </si>
  <si>
    <t xml:space="preserve">9112 Providence Ave </t>
  </si>
  <si>
    <t>Cicchi</t>
  </si>
  <si>
    <t xml:space="preserve">PO Box 907 </t>
  </si>
  <si>
    <t>Kalfa</t>
  </si>
  <si>
    <t xml:space="preserve">842 65th St </t>
  </si>
  <si>
    <t xml:space="preserve">N7718 Kettle Moraine Dr </t>
  </si>
  <si>
    <t>Bengtson</t>
  </si>
  <si>
    <t xml:space="preserve">1656 VERDE VALLEY SCHOOL ROSD </t>
  </si>
  <si>
    <t>Auld</t>
  </si>
  <si>
    <t xml:space="preserve">6003 Sawmill Woods Ct </t>
  </si>
  <si>
    <t>Afton</t>
  </si>
  <si>
    <t>Krebs</t>
  </si>
  <si>
    <t xml:space="preserve">23 Bates Rd </t>
  </si>
  <si>
    <t>Harpursville</t>
  </si>
  <si>
    <t>Schraeder</t>
  </si>
  <si>
    <t>Racheloriana</t>
  </si>
  <si>
    <t xml:space="preserve">1 Organic Way </t>
  </si>
  <si>
    <t>La Farge</t>
  </si>
  <si>
    <t>Clemens</t>
  </si>
  <si>
    <t xml:space="preserve">73 Arbor St </t>
  </si>
  <si>
    <t>Dibble</t>
  </si>
  <si>
    <t>Doris K.</t>
  </si>
  <si>
    <t xml:space="preserve">2432 Charlestown Rd </t>
  </si>
  <si>
    <t>Parillo</t>
  </si>
  <si>
    <t xml:space="preserve">375 Clifton Blvd </t>
  </si>
  <si>
    <t>Schettine</t>
  </si>
  <si>
    <t xml:space="preserve">9809 Blue Palm Way </t>
  </si>
  <si>
    <t>Kocian</t>
  </si>
  <si>
    <t xml:space="preserve">53 Belmont Dr </t>
  </si>
  <si>
    <t>Bodek</t>
  </si>
  <si>
    <t xml:space="preserve">60750 Pennington Way </t>
  </si>
  <si>
    <t>Russotto</t>
  </si>
  <si>
    <t>Margy</t>
  </si>
  <si>
    <t xml:space="preserve">816 E Wilmington Ave </t>
  </si>
  <si>
    <t xml:space="preserve">609 Appomatox Dr </t>
  </si>
  <si>
    <t>Marvin</t>
  </si>
  <si>
    <t>Ohm-Fisher</t>
  </si>
  <si>
    <t xml:space="preserve">206 Elisha Dr </t>
  </si>
  <si>
    <t>Lauenstein</t>
  </si>
  <si>
    <t xml:space="preserve">4 Gavins Pond Rd </t>
  </si>
  <si>
    <t>Tapp</t>
  </si>
  <si>
    <t xml:space="preserve">9 Hingham Cir </t>
  </si>
  <si>
    <t>Mendota Heights</t>
  </si>
  <si>
    <t>Espeseth</t>
  </si>
  <si>
    <t>Marla</t>
  </si>
  <si>
    <t xml:space="preserve">3815 N Oakley Ave Oakley </t>
  </si>
  <si>
    <t xml:space="preserve">40 Sauter Rd </t>
  </si>
  <si>
    <t>Central Square</t>
  </si>
  <si>
    <t>Cooperrider</t>
  </si>
  <si>
    <t xml:space="preserve">1915 Lakeview Rd SW </t>
  </si>
  <si>
    <t>Beckner</t>
  </si>
  <si>
    <t xml:space="preserve">15268 Kingsman Cir </t>
  </si>
  <si>
    <t xml:space="preserve">944 Albany Ave </t>
  </si>
  <si>
    <t>Huang</t>
  </si>
  <si>
    <t>Edwqrd</t>
  </si>
  <si>
    <t xml:space="preserve">PO Box 1132 </t>
  </si>
  <si>
    <t>Press</t>
  </si>
  <si>
    <t>Ansula</t>
  </si>
  <si>
    <t xml:space="preserve">5533 NE 30th Ave </t>
  </si>
  <si>
    <t xml:space="preserve">326 Old Bethel Church Rd </t>
  </si>
  <si>
    <t>Fass</t>
  </si>
  <si>
    <t>Arline</t>
  </si>
  <si>
    <t xml:space="preserve">960 W Rio Zuni </t>
  </si>
  <si>
    <t>Frailey</t>
  </si>
  <si>
    <t>Mike R.</t>
  </si>
  <si>
    <t xml:space="preserve">7355 Park Lane Rd </t>
  </si>
  <si>
    <t xml:space="preserve">7135 Noland Rd </t>
  </si>
  <si>
    <t>Cotton</t>
  </si>
  <si>
    <t xml:space="preserve">75 Willard St </t>
  </si>
  <si>
    <t>Emerson</t>
  </si>
  <si>
    <t xml:space="preserve">250 Fort Washington Ave Apt 5B </t>
  </si>
  <si>
    <t>Tift</t>
  </si>
  <si>
    <t xml:space="preserve">4080 Caney Creek Ln </t>
  </si>
  <si>
    <t>Wilkes</t>
  </si>
  <si>
    <t xml:space="preserve">2888 E 89th St </t>
  </si>
  <si>
    <t xml:space="preserve">2324 Cardinal Way </t>
  </si>
  <si>
    <t>Chesapeake Beach</t>
  </si>
  <si>
    <t>Spillane</t>
  </si>
  <si>
    <t xml:space="preserve">61 Pine St </t>
  </si>
  <si>
    <t>Deposit</t>
  </si>
  <si>
    <t>Munn</t>
  </si>
  <si>
    <t xml:space="preserve">19 Somers Ave </t>
  </si>
  <si>
    <t>Tedesco Zammarano</t>
  </si>
  <si>
    <t>Vittorio</t>
  </si>
  <si>
    <t xml:space="preserve">1624 E Montoya Ln AZ85024 </t>
  </si>
  <si>
    <t>Charity</t>
  </si>
  <si>
    <t>Jettie</t>
  </si>
  <si>
    <t xml:space="preserve">1791 Southpointe Dr </t>
  </si>
  <si>
    <t xml:space="preserve">1051 Homestead Ave </t>
  </si>
  <si>
    <t>Novick</t>
  </si>
  <si>
    <t xml:space="preserve">532 Scenic Dr </t>
  </si>
  <si>
    <t xml:space="preserve">13409 Classic Oaks Ct </t>
  </si>
  <si>
    <t>Rotondi</t>
  </si>
  <si>
    <t>Briigt</t>
  </si>
  <si>
    <t xml:space="preserve">65 Nelson Ave </t>
  </si>
  <si>
    <t>Wormsley</t>
  </si>
  <si>
    <t xml:space="preserve">156 Spalding Rd </t>
  </si>
  <si>
    <t>Holts Summit</t>
  </si>
  <si>
    <t>Rapoport</t>
  </si>
  <si>
    <t xml:space="preserve">12490 W Fielding Cir Apt 538 </t>
  </si>
  <si>
    <t>Playa Vista</t>
  </si>
  <si>
    <t xml:space="preserve">101 Highland Ave </t>
  </si>
  <si>
    <t>Allakpezoun</t>
  </si>
  <si>
    <t xml:space="preserve">1357 NE Miami Gardens Dr </t>
  </si>
  <si>
    <t xml:space="preserve">54 Oldwolcottrdbristolct </t>
  </si>
  <si>
    <t>Helmer</t>
  </si>
  <si>
    <t xml:space="preserve">371 Birchwood Rd </t>
  </si>
  <si>
    <t>Hunnicut</t>
  </si>
  <si>
    <t xml:space="preserve">8 Edwards St SW </t>
  </si>
  <si>
    <t>Josie</t>
  </si>
  <si>
    <t xml:space="preserve">1709 Milvia St </t>
  </si>
  <si>
    <t xml:space="preserve">5865 Algoma St </t>
  </si>
  <si>
    <t>Siegel</t>
  </si>
  <si>
    <t xml:space="preserve">2525 160th St </t>
  </si>
  <si>
    <t xml:space="preserve">889 S Rainbow Blvd </t>
  </si>
  <si>
    <t>Barron</t>
  </si>
  <si>
    <t xml:space="preserve">SAN ANSELMO </t>
  </si>
  <si>
    <t>Burk Jr</t>
  </si>
  <si>
    <t xml:space="preserve">31 Thornhill Rd </t>
  </si>
  <si>
    <t>McNeill</t>
  </si>
  <si>
    <t xml:space="preserve">639 Park Dr NE </t>
  </si>
  <si>
    <t xml:space="preserve">2016 Township Road 21 </t>
  </si>
  <si>
    <t>Gac</t>
  </si>
  <si>
    <t>Ce</t>
  </si>
  <si>
    <t xml:space="preserve">424 Brookview Dr </t>
  </si>
  <si>
    <t xml:space="preserve">38 Stockton Dr </t>
  </si>
  <si>
    <t xml:space="preserve">800 Swadley Rd </t>
  </si>
  <si>
    <t>Wall</t>
  </si>
  <si>
    <t xml:space="preserve">1439 S Val Vista Dr Apt 320 </t>
  </si>
  <si>
    <t>Corbett</t>
  </si>
  <si>
    <t>Cecly</t>
  </si>
  <si>
    <t xml:space="preserve">18307 Burbank Blvd Unit 123 </t>
  </si>
  <si>
    <t xml:space="preserve">PO Box 91 </t>
  </si>
  <si>
    <t>Heron</t>
  </si>
  <si>
    <t>Toews</t>
  </si>
  <si>
    <t xml:space="preserve">7209 Winterwood Ln </t>
  </si>
  <si>
    <t>Keip</t>
  </si>
  <si>
    <t xml:space="preserve">1205 SE Harvey Dr </t>
  </si>
  <si>
    <t xml:space="preserve">1520 Gulf Blvd Unit 1004 </t>
  </si>
  <si>
    <t>Zetler</t>
  </si>
  <si>
    <t xml:space="preserve">250 A N Colorado St </t>
  </si>
  <si>
    <t>Blessing</t>
  </si>
  <si>
    <t xml:space="preserve">1727 45th Ave SW </t>
  </si>
  <si>
    <t>Beckett</t>
  </si>
  <si>
    <t>Louisa</t>
  </si>
  <si>
    <t xml:space="preserve">7 Brenton St </t>
  </si>
  <si>
    <t>Nigrini</t>
  </si>
  <si>
    <t xml:space="preserve">508 Marshall Dr </t>
  </si>
  <si>
    <t>Finkelstein</t>
  </si>
  <si>
    <t xml:space="preserve">2401 18th St </t>
  </si>
  <si>
    <t xml:space="preserve">10802 W 96th Pl </t>
  </si>
  <si>
    <t>Cochilla</t>
  </si>
  <si>
    <t xml:space="preserve">10 Pheasant Brook Ct </t>
  </si>
  <si>
    <t xml:space="preserve">1440 G St </t>
  </si>
  <si>
    <t>Straka</t>
  </si>
  <si>
    <t xml:space="preserve">26 Honey Ln </t>
  </si>
  <si>
    <t xml:space="preserve">6694 Granite Crest Ct </t>
  </si>
  <si>
    <t>Rodgers</t>
  </si>
  <si>
    <t xml:space="preserve">8121 NE 141st St </t>
  </si>
  <si>
    <t xml:space="preserve">14 Cove Rd </t>
  </si>
  <si>
    <t>Guyon</t>
  </si>
  <si>
    <t xml:space="preserve">600 Island Cottage Rd Apt 220 </t>
  </si>
  <si>
    <t>14612-2354</t>
  </si>
  <si>
    <t>Manzella</t>
  </si>
  <si>
    <t xml:space="preserve">16978 Robins Nest Way Apt 1 </t>
  </si>
  <si>
    <t>92127-3356</t>
  </si>
  <si>
    <t>Farris</t>
  </si>
  <si>
    <t xml:space="preserve">426 SE Jetty Ave Apt 118 </t>
  </si>
  <si>
    <t>Lincoln City</t>
  </si>
  <si>
    <t xml:space="preserve">1614 Edwin Dr </t>
  </si>
  <si>
    <t xml:space="preserve">5484 Floyd Rd SW Unit 278 </t>
  </si>
  <si>
    <t>Mableton</t>
  </si>
  <si>
    <t>Le Mieux</t>
  </si>
  <si>
    <t xml:space="preserve">2506 S Madison St # 54915 </t>
  </si>
  <si>
    <t xml:space="preserve">1829 San Lorenzo Ave </t>
  </si>
  <si>
    <t xml:space="preserve">333 W 85th St </t>
  </si>
  <si>
    <t>Boate</t>
  </si>
  <si>
    <t xml:space="preserve">5950 Lawton Ave </t>
  </si>
  <si>
    <t>Finocchiaro</t>
  </si>
  <si>
    <t xml:space="preserve">116 Harmony Pl </t>
  </si>
  <si>
    <t>Melbourne Beach</t>
  </si>
  <si>
    <t>House</t>
  </si>
  <si>
    <t xml:space="preserve">750 W South Temple Apt 314 </t>
  </si>
  <si>
    <t>Nieves</t>
  </si>
  <si>
    <t>Yanyra</t>
  </si>
  <si>
    <t xml:space="preserve">MIDDLESBORO Ct </t>
  </si>
  <si>
    <t>Tona</t>
  </si>
  <si>
    <t xml:space="preserve">7022 Colina Ln </t>
  </si>
  <si>
    <t>Rancho Murieta</t>
  </si>
  <si>
    <t>Brodmerkel</t>
  </si>
  <si>
    <t xml:space="preserve">411 Walnut St # 15032 </t>
  </si>
  <si>
    <t>Green Cove Springs</t>
  </si>
  <si>
    <t>Simmons</t>
  </si>
  <si>
    <t xml:space="preserve">811 Labore Rd </t>
  </si>
  <si>
    <t xml:space="preserve">805 Jefferson St </t>
  </si>
  <si>
    <t xml:space="preserve">18 Sandy Brook Dr </t>
  </si>
  <si>
    <t>Stow</t>
  </si>
  <si>
    <t xml:space="preserve">300 Green Park S </t>
  </si>
  <si>
    <t>Ker</t>
  </si>
  <si>
    <t xml:space="preserve">106 White St </t>
  </si>
  <si>
    <t>Alexander-Brown</t>
  </si>
  <si>
    <t xml:space="preserve">5142 SW Multnomah Blvd Apt I </t>
  </si>
  <si>
    <t>Allarde</t>
  </si>
  <si>
    <t xml:space="preserve">128 Bernies Dr </t>
  </si>
  <si>
    <t>Harvest</t>
  </si>
  <si>
    <t xml:space="preserve">PO Box 679 </t>
  </si>
  <si>
    <t>Deloff</t>
  </si>
  <si>
    <t xml:space="preserve">4440 SW 202nd Ave </t>
  </si>
  <si>
    <t>Atwood</t>
  </si>
  <si>
    <t xml:space="preserve">6306 SE 21st Ave </t>
  </si>
  <si>
    <t>Lemonik</t>
  </si>
  <si>
    <t>B. R.</t>
  </si>
  <si>
    <t xml:space="preserve">240 Route 6N </t>
  </si>
  <si>
    <t>Duck</t>
  </si>
  <si>
    <t>Stephen C.</t>
  </si>
  <si>
    <t xml:space="preserve">456 Highcrest Dr # 2358 </t>
  </si>
  <si>
    <t xml:space="preserve">32675 Gracie Ln Unit D </t>
  </si>
  <si>
    <t>Plaquemine</t>
  </si>
  <si>
    <t xml:space="preserve">HI HI </t>
  </si>
  <si>
    <t>Rook</t>
  </si>
  <si>
    <t xml:space="preserve">5469 Marquette Ave </t>
  </si>
  <si>
    <t>Dr. William</t>
  </si>
  <si>
    <t xml:space="preserve">713 University Ave </t>
  </si>
  <si>
    <t>Elvira</t>
  </si>
  <si>
    <t>Chapdelaine</t>
  </si>
  <si>
    <t xml:space="preserve">4198 Bull Run Rd </t>
  </si>
  <si>
    <t xml:space="preserve">4020 W 5th St </t>
  </si>
  <si>
    <t>Johansson</t>
  </si>
  <si>
    <t>Bernt</t>
  </si>
  <si>
    <t xml:space="preserve">14 Monadnock St </t>
  </si>
  <si>
    <t>Grasso</t>
  </si>
  <si>
    <t xml:space="preserve">4550 Heafey Rd </t>
  </si>
  <si>
    <t>Dillmann</t>
  </si>
  <si>
    <t xml:space="preserve">1309 N Cayuga St </t>
  </si>
  <si>
    <t>McCarty</t>
  </si>
  <si>
    <t xml:space="preserve">2006 Helena Rd </t>
  </si>
  <si>
    <t>Sellers</t>
  </si>
  <si>
    <t>Brealyn</t>
  </si>
  <si>
    <t xml:space="preserve">1280 5th Ave Apt 15D </t>
  </si>
  <si>
    <t xml:space="preserve">609 Bel Air Dr </t>
  </si>
  <si>
    <t>Mansukhani</t>
  </si>
  <si>
    <t xml:space="preserve">26311 Mitchell Pl </t>
  </si>
  <si>
    <t>Spangler</t>
  </si>
  <si>
    <t xml:space="preserve">2687 Country Woods Ln </t>
  </si>
  <si>
    <t xml:space="preserve">10093 B Andrea Lane Boynton Bch Fl 33437 </t>
  </si>
  <si>
    <t>Belcheva</t>
  </si>
  <si>
    <t xml:space="preserve">3175 Stark St </t>
  </si>
  <si>
    <t>Ursula</t>
  </si>
  <si>
    <t xml:space="preserve">400 Maynard Ave S Apt 207 </t>
  </si>
  <si>
    <t>Leaf</t>
  </si>
  <si>
    <t>Nydia</t>
  </si>
  <si>
    <t xml:space="preserve">46 W 95th St Apt 3B </t>
  </si>
  <si>
    <t>Teich</t>
  </si>
  <si>
    <t xml:space="preserve">40 W 24th St </t>
  </si>
  <si>
    <t xml:space="preserve">372 PO </t>
  </si>
  <si>
    <t>Sultan</t>
  </si>
  <si>
    <t>Weant-Leavitt</t>
  </si>
  <si>
    <t xml:space="preserve">10655 E Qualin Run Rd </t>
  </si>
  <si>
    <t>Cornville</t>
  </si>
  <si>
    <t>Crume</t>
  </si>
  <si>
    <t xml:space="preserve">10308 Meadowview Dr </t>
  </si>
  <si>
    <t>Huberty</t>
  </si>
  <si>
    <t>Ogrady</t>
  </si>
  <si>
    <t xml:space="preserve">8036 N Oketo Ave </t>
  </si>
  <si>
    <t xml:space="preserve">8584 Boulder Hills Dr </t>
  </si>
  <si>
    <t>Repke</t>
  </si>
  <si>
    <t xml:space="preserve">4140 Norton Ave </t>
  </si>
  <si>
    <t>Kjersti</t>
  </si>
  <si>
    <t xml:space="preserve">4698 Larkspur Ln N </t>
  </si>
  <si>
    <t xml:space="preserve">161 N Lansdowne Ave </t>
  </si>
  <si>
    <t xml:space="preserve">3309 Kempton Ave </t>
  </si>
  <si>
    <t xml:space="preserve">PO Box 2696 </t>
  </si>
  <si>
    <t xml:space="preserve">MAIN Rd </t>
  </si>
  <si>
    <t>Morello</t>
  </si>
  <si>
    <t>Dai</t>
  </si>
  <si>
    <t>Santana</t>
  </si>
  <si>
    <t>Rafael</t>
  </si>
  <si>
    <t>Stiff</t>
  </si>
  <si>
    <t>Saint-Rémy-De-Provence</t>
  </si>
  <si>
    <t>Provence-Alpes-Côte d'Azur</t>
  </si>
  <si>
    <t xml:space="preserve">3959 Round Top Dr </t>
  </si>
  <si>
    <t>Clason</t>
  </si>
  <si>
    <t xml:space="preserve">7650 S Mcclintock Dr Ste 103 </t>
  </si>
  <si>
    <t xml:space="preserve">12733 SE Hobe Hills Dr </t>
  </si>
  <si>
    <t>Hobe Sound</t>
  </si>
  <si>
    <t>Dashiell</t>
  </si>
  <si>
    <t xml:space="preserve">128 Davis Love Dr </t>
  </si>
  <si>
    <t>Saint Helena Island</t>
  </si>
  <si>
    <t>Inglima</t>
  </si>
  <si>
    <t xml:space="preserve">6109 2nd St </t>
  </si>
  <si>
    <t>Flowery Branch</t>
  </si>
  <si>
    <t>Hakes Jr</t>
  </si>
  <si>
    <t xml:space="preserve">201 J Nolan Wells Rd Apt E203 </t>
  </si>
  <si>
    <t>Busi</t>
  </si>
  <si>
    <t xml:space="preserve">111 Abby Ln </t>
  </si>
  <si>
    <t xml:space="preserve">6333 Eapache Dr </t>
  </si>
  <si>
    <t>Pearce</t>
  </si>
  <si>
    <t xml:space="preserve">1240 Delphi Dr </t>
  </si>
  <si>
    <t xml:space="preserve">2663 Irving St </t>
  </si>
  <si>
    <t>Keihm</t>
  </si>
  <si>
    <t xml:space="preserve">4042 Bernice Rd </t>
  </si>
  <si>
    <t>Fontaine</t>
  </si>
  <si>
    <t xml:space="preserve">832 George St </t>
  </si>
  <si>
    <t>Houseman</t>
  </si>
  <si>
    <t xml:space="preserve">2 Reid Rd </t>
  </si>
  <si>
    <t>Chelmsford</t>
  </si>
  <si>
    <t>Moravec</t>
  </si>
  <si>
    <t>Ani</t>
  </si>
  <si>
    <t xml:space="preserve">PO Box 5523 </t>
  </si>
  <si>
    <t>Woodridge</t>
  </si>
  <si>
    <t>Ausherman</t>
  </si>
  <si>
    <t xml:space="preserve">16006 Malcolm Dr </t>
  </si>
  <si>
    <t xml:space="preserve">631 Pirates Rd </t>
  </si>
  <si>
    <t>Summerland Key</t>
  </si>
  <si>
    <t>Infante</t>
  </si>
  <si>
    <t xml:space="preserve">3095 Yancy Dr </t>
  </si>
  <si>
    <t>Doll</t>
  </si>
  <si>
    <t xml:space="preserve">7386 Clover Hill Dr </t>
  </si>
  <si>
    <t>Waunakee</t>
  </si>
  <si>
    <t>Iwami</t>
  </si>
  <si>
    <t>Yoshiko</t>
  </si>
  <si>
    <t xml:space="preserve">DOLORES St </t>
  </si>
  <si>
    <t>Grumblat</t>
  </si>
  <si>
    <t xml:space="preserve">E 5TH St </t>
  </si>
  <si>
    <t>Buhler</t>
  </si>
  <si>
    <t xml:space="preserve">790 Wheeler Hill Wapingers Falls NY </t>
  </si>
  <si>
    <t xml:space="preserve">226 Hartford Dr </t>
  </si>
  <si>
    <t>Conroe</t>
  </si>
  <si>
    <t>Serafin</t>
  </si>
  <si>
    <t xml:space="preserve">23 GORDON St </t>
  </si>
  <si>
    <t xml:space="preserve">3656 Aikenside Ave </t>
  </si>
  <si>
    <t>Altergott</t>
  </si>
  <si>
    <t>Dorothyjoy</t>
  </si>
  <si>
    <t xml:space="preserve">1960 Lynn Ave </t>
  </si>
  <si>
    <t xml:space="preserve">4865 Northcliff Dr Apt 7 </t>
  </si>
  <si>
    <t>Laielen</t>
  </si>
  <si>
    <t>Alezz</t>
  </si>
  <si>
    <t xml:space="preserve">196 Southern Heights Blvd </t>
  </si>
  <si>
    <t>Brunt</t>
  </si>
  <si>
    <t xml:space="preserve">2495 Wigwam Park Rd </t>
  </si>
  <si>
    <t xml:space="preserve">2928 Pinehurst </t>
  </si>
  <si>
    <t>Raphel</t>
  </si>
  <si>
    <t xml:space="preserve">175 W 76th St Apt 4F </t>
  </si>
  <si>
    <t>Walter B.</t>
  </si>
  <si>
    <t xml:space="preserve">4145 N Durango Dr # NV89129-4854 </t>
  </si>
  <si>
    <t>Dywan</t>
  </si>
  <si>
    <t xml:space="preserve">24 W725 Argyle Ave </t>
  </si>
  <si>
    <t>Roselle</t>
  </si>
  <si>
    <t>Troche</t>
  </si>
  <si>
    <t xml:space="preserve">3771 Milton Ter </t>
  </si>
  <si>
    <t xml:space="preserve">550 25th St Ste 201 </t>
  </si>
  <si>
    <t xml:space="preserve">23 Beacon View Dr </t>
  </si>
  <si>
    <t xml:space="preserve">1056 NW Cascade Way </t>
  </si>
  <si>
    <t>McMinnville</t>
  </si>
  <si>
    <t>Guinther</t>
  </si>
  <si>
    <t xml:space="preserve">865 SW 48th St Apt B </t>
  </si>
  <si>
    <t xml:space="preserve">4227 Summit Point Rd 2 </t>
  </si>
  <si>
    <t>Charles Town</t>
  </si>
  <si>
    <t xml:space="preserve">8784 Mohawk Way </t>
  </si>
  <si>
    <t>Drosnock</t>
  </si>
  <si>
    <t xml:space="preserve">251 Belfast Rd </t>
  </si>
  <si>
    <t>Wind Gap</t>
  </si>
  <si>
    <t>Wahr</t>
  </si>
  <si>
    <t>Bernhard</t>
  </si>
  <si>
    <t xml:space="preserve">29 Turmstr </t>
  </si>
  <si>
    <t>O Brien</t>
  </si>
  <si>
    <t xml:space="preserve">MAXINE St </t>
  </si>
  <si>
    <t>Najm</t>
  </si>
  <si>
    <t xml:space="preserve">4708 Cardinal Grove Blvd </t>
  </si>
  <si>
    <t xml:space="preserve">6240 Bakman Ave </t>
  </si>
  <si>
    <t>Downs-Miers</t>
  </si>
  <si>
    <t>Rangel</t>
  </si>
  <si>
    <t xml:space="preserve">1400 Say Rd </t>
  </si>
  <si>
    <t>Santa Paula</t>
  </si>
  <si>
    <t xml:space="preserve">1326 Snell Isle Blvd NE </t>
  </si>
  <si>
    <t xml:space="preserve">4871 Harder Hill Rd </t>
  </si>
  <si>
    <t>Sturgeon Bay</t>
  </si>
  <si>
    <t xml:space="preserve">5324 E Village Rd </t>
  </si>
  <si>
    <t>Beth Jane</t>
  </si>
  <si>
    <t xml:space="preserve">1265 Hawthorne Dr E # F </t>
  </si>
  <si>
    <t>Frazer</t>
  </si>
  <si>
    <t xml:space="preserve">27 Piscataqua Rd </t>
  </si>
  <si>
    <t>Branson</t>
  </si>
  <si>
    <t>Tilton</t>
  </si>
  <si>
    <t xml:space="preserve">8 Winchester Dr </t>
  </si>
  <si>
    <t>Califon</t>
  </si>
  <si>
    <t>Costigan</t>
  </si>
  <si>
    <t xml:space="preserve">Andrewcost Gmailcom </t>
  </si>
  <si>
    <t>Hayner</t>
  </si>
  <si>
    <t xml:space="preserve">PO Box 841 </t>
  </si>
  <si>
    <t>Yachats</t>
  </si>
  <si>
    <t>Pruner</t>
  </si>
  <si>
    <t xml:space="preserve">1839 Maiden Ln SW </t>
  </si>
  <si>
    <t>Piotrowski</t>
  </si>
  <si>
    <t xml:space="preserve">71 Alpine Village Dr </t>
  </si>
  <si>
    <t>Alpine</t>
  </si>
  <si>
    <t xml:space="preserve">3813 Bonnacreek Dr </t>
  </si>
  <si>
    <t>Hermitage</t>
  </si>
  <si>
    <t>Pavey</t>
  </si>
  <si>
    <t>Brenna</t>
  </si>
  <si>
    <t xml:space="preserve">2030 Morgan Hill Dr </t>
  </si>
  <si>
    <t>Warner-Huggins</t>
  </si>
  <si>
    <t xml:space="preserve">156 Blue Spruce Ln </t>
  </si>
  <si>
    <t>Castellanos</t>
  </si>
  <si>
    <t xml:space="preserve">PO Box 3193 </t>
  </si>
  <si>
    <t>Chisholm</t>
  </si>
  <si>
    <t xml:space="preserve">23RD St </t>
  </si>
  <si>
    <t xml:space="preserve">1418 Cherry Dr </t>
  </si>
  <si>
    <t>Benton</t>
  </si>
  <si>
    <t xml:space="preserve">1350 Hog Back Rd </t>
  </si>
  <si>
    <t xml:space="preserve">2440 Date St Apt 402 </t>
  </si>
  <si>
    <t xml:space="preserve">419 Zaicek Rd </t>
  </si>
  <si>
    <t>Dres</t>
  </si>
  <si>
    <t xml:space="preserve">6987 7 Mile Rd </t>
  </si>
  <si>
    <t>South Lyon</t>
  </si>
  <si>
    <t xml:space="preserve">9 Jeffrey Ln </t>
  </si>
  <si>
    <t>Princeton Jct</t>
  </si>
  <si>
    <t>Bruster</t>
  </si>
  <si>
    <t xml:space="preserve">525 Saint Paul Cir </t>
  </si>
  <si>
    <t>Bellefonte</t>
  </si>
  <si>
    <t>Brouillet</t>
  </si>
  <si>
    <t xml:space="preserve">34 Little River Rd </t>
  </si>
  <si>
    <t>Seffinga</t>
  </si>
  <si>
    <t>Scot</t>
  </si>
  <si>
    <t xml:space="preserve">16127 W Anderson Rd </t>
  </si>
  <si>
    <t>Mooremoore</t>
  </si>
  <si>
    <t xml:space="preserve">454 Reynolds Dr </t>
  </si>
  <si>
    <t>Ruidoso Downs</t>
  </si>
  <si>
    <t>Witten</t>
  </si>
  <si>
    <t xml:space="preserve">40 EASTLAND Blvd </t>
  </si>
  <si>
    <t xml:space="preserve">787 Promontory Dr W </t>
  </si>
  <si>
    <t>Schorer</t>
  </si>
  <si>
    <t xml:space="preserve">124 Ritch Ave W </t>
  </si>
  <si>
    <t>Danehy</t>
  </si>
  <si>
    <t xml:space="preserve">39438 Zacate Ave </t>
  </si>
  <si>
    <t>Sutherland</t>
  </si>
  <si>
    <t xml:space="preserve">4166 Georgia Ave </t>
  </si>
  <si>
    <t>Carmody</t>
  </si>
  <si>
    <t xml:space="preserve">1423 Sanderling Dr </t>
  </si>
  <si>
    <t xml:space="preserve">2460 W Whitley Rd </t>
  </si>
  <si>
    <t>Clemente</t>
  </si>
  <si>
    <t>Josefa</t>
  </si>
  <si>
    <t xml:space="preserve">416 Lake Knoll Dr NW </t>
  </si>
  <si>
    <t>Lilburn</t>
  </si>
  <si>
    <t>Mandie</t>
  </si>
  <si>
    <t xml:space="preserve">105 Nutley St </t>
  </si>
  <si>
    <t>Garrett</t>
  </si>
  <si>
    <t xml:space="preserve">503 E Micheltorena St </t>
  </si>
  <si>
    <t xml:space="preserve">1561 N Lu </t>
  </si>
  <si>
    <t>Centerton</t>
  </si>
  <si>
    <t>McVicar</t>
  </si>
  <si>
    <t xml:space="preserve">3962 60th St Unit 67 </t>
  </si>
  <si>
    <t>Rudin</t>
  </si>
  <si>
    <t xml:space="preserve">294 Private Road 436 </t>
  </si>
  <si>
    <t>Whitewright</t>
  </si>
  <si>
    <t>Holley-Wilcox</t>
  </si>
  <si>
    <t xml:space="preserve">4013 Galapagos Way </t>
  </si>
  <si>
    <t>Sydnor</t>
  </si>
  <si>
    <t xml:space="preserve">5355 28th Ave NW </t>
  </si>
  <si>
    <t>Savla</t>
  </si>
  <si>
    <t>Nayan</t>
  </si>
  <si>
    <t xml:space="preserve">74 Muthithi Road Westlands </t>
  </si>
  <si>
    <t>Springfield Gardens</t>
  </si>
  <si>
    <t>Egnor</t>
  </si>
  <si>
    <t xml:space="preserve">319 Whispering Breeze Ln </t>
  </si>
  <si>
    <t>Derksen</t>
  </si>
  <si>
    <t xml:space="preserve">3719 S Danube Cir </t>
  </si>
  <si>
    <t xml:space="preserve">121 Dry Yard Rd </t>
  </si>
  <si>
    <t>North</t>
  </si>
  <si>
    <t xml:space="preserve">901 Old River Rd </t>
  </si>
  <si>
    <t>Piedmont</t>
  </si>
  <si>
    <t>Brainard</t>
  </si>
  <si>
    <t xml:space="preserve">259 Cashmere Ct </t>
  </si>
  <si>
    <t xml:space="preserve">1530 4th Ave Apt 2 </t>
  </si>
  <si>
    <t xml:space="preserve">1101 N Leland Ave </t>
  </si>
  <si>
    <t xml:space="preserve">132 W Commercial Ave </t>
  </si>
  <si>
    <t>Boni</t>
  </si>
  <si>
    <t xml:space="preserve">326 Ridge Ave </t>
  </si>
  <si>
    <t>Ephrata</t>
  </si>
  <si>
    <t>Pooley</t>
  </si>
  <si>
    <t xml:space="preserve">2167 Lewis Dr </t>
  </si>
  <si>
    <t>Weisensell</t>
  </si>
  <si>
    <t xml:space="preserve">8378 Thistle Ln </t>
  </si>
  <si>
    <t>Tanzini</t>
  </si>
  <si>
    <t xml:space="preserve">17 River St </t>
  </si>
  <si>
    <t xml:space="preserve">134 Graham Rd </t>
  </si>
  <si>
    <t>Orszulak</t>
  </si>
  <si>
    <t xml:space="preserve">354 Ocean Ave Apt 66 </t>
  </si>
  <si>
    <t>Gabriele</t>
  </si>
  <si>
    <t xml:space="preserve">171 Continental Rd </t>
  </si>
  <si>
    <t>Napanoch</t>
  </si>
  <si>
    <t xml:space="preserve">PO Box 147 </t>
  </si>
  <si>
    <t>Alexandrowicz</t>
  </si>
  <si>
    <t xml:space="preserve">21 Atrayente Way </t>
  </si>
  <si>
    <t>Hot Springs Village</t>
  </si>
  <si>
    <t>Nickolas</t>
  </si>
  <si>
    <t xml:space="preserve">20061 Bearclaw Rd </t>
  </si>
  <si>
    <t>Eunice</t>
  </si>
  <si>
    <t>Landrum</t>
  </si>
  <si>
    <t xml:space="preserve">307 Pine Ridge Rd </t>
  </si>
  <si>
    <t xml:space="preserve">1740 W 104th Pl </t>
  </si>
  <si>
    <t>Spear</t>
  </si>
  <si>
    <t xml:space="preserve">16971 330th Pl </t>
  </si>
  <si>
    <t>Isle</t>
  </si>
  <si>
    <t xml:space="preserve">9945 Riley St # 66212 </t>
  </si>
  <si>
    <t>W</t>
  </si>
  <si>
    <t xml:space="preserve">17412 Humber Ln </t>
  </si>
  <si>
    <t xml:space="preserve">425 NE Daisy Ct # 81413 </t>
  </si>
  <si>
    <t>Meeder</t>
  </si>
  <si>
    <t xml:space="preserve">140 Cypress Run </t>
  </si>
  <si>
    <t>Bluffton</t>
  </si>
  <si>
    <t xml:space="preserve">21000 Redwood Ridge Rd </t>
  </si>
  <si>
    <t>Nigh</t>
  </si>
  <si>
    <t xml:space="preserve">452 Hazelwood Ave </t>
  </si>
  <si>
    <t>McClain</t>
  </si>
  <si>
    <t>R. S.</t>
  </si>
  <si>
    <t xml:space="preserve">3756 SW Sullivan St </t>
  </si>
  <si>
    <t>Denniston Phd Cps</t>
  </si>
  <si>
    <t xml:space="preserve">333 Stanford Rd </t>
  </si>
  <si>
    <t>Bruenak</t>
  </si>
  <si>
    <t xml:space="preserve">3003 W Broadway Blvd Unit 124 </t>
  </si>
  <si>
    <t>Meadows</t>
  </si>
  <si>
    <t xml:space="preserve">10307 W Broad St Apt 105 </t>
  </si>
  <si>
    <t>Dasgupta</t>
  </si>
  <si>
    <t>Bhaskar</t>
  </si>
  <si>
    <t xml:space="preserve">843 W Adams St Apt 504 </t>
  </si>
  <si>
    <t xml:space="preserve">200 Metairie Rd </t>
  </si>
  <si>
    <t xml:space="preserve">191 W Adams St </t>
  </si>
  <si>
    <t>Manteno</t>
  </si>
  <si>
    <t>Rojas</t>
  </si>
  <si>
    <t xml:space="preserve">219 N Clifford Ave </t>
  </si>
  <si>
    <t>Rialto</t>
  </si>
  <si>
    <t>Suscavage</t>
  </si>
  <si>
    <t xml:space="preserve">5609 Colfax Ave </t>
  </si>
  <si>
    <t>Wyrick</t>
  </si>
  <si>
    <t xml:space="preserve">7870 Tatum Dr </t>
  </si>
  <si>
    <t>Friesen</t>
  </si>
  <si>
    <t xml:space="preserve">420 Stonefield Pl </t>
  </si>
  <si>
    <t>Sévilla</t>
  </si>
  <si>
    <t>Champs</t>
  </si>
  <si>
    <t xml:space="preserve">3418 N Central Park Ave </t>
  </si>
  <si>
    <t>Tahiri</t>
  </si>
  <si>
    <t>Ali</t>
  </si>
  <si>
    <t xml:space="preserve">8388 S Tahiri Trl # 90 </t>
  </si>
  <si>
    <t>Alvarado</t>
  </si>
  <si>
    <t>Fitz</t>
  </si>
  <si>
    <t xml:space="preserve">7840 Roswell Rd </t>
  </si>
  <si>
    <t>Sandy Springs</t>
  </si>
  <si>
    <t xml:space="preserve">2330 Nick A Jack Rd </t>
  </si>
  <si>
    <t>Flintstone</t>
  </si>
  <si>
    <t>Fitzwater</t>
  </si>
  <si>
    <t>Brandon Lee</t>
  </si>
  <si>
    <t xml:space="preserve">420 Spiers Rd </t>
  </si>
  <si>
    <t>Como</t>
  </si>
  <si>
    <t>Wiese</t>
  </si>
  <si>
    <t xml:space="preserve">172 Deaver St </t>
  </si>
  <si>
    <t>Rechnitzer</t>
  </si>
  <si>
    <t xml:space="preserve">9822 Rand Dr </t>
  </si>
  <si>
    <t xml:space="preserve">68 Weavertown Ln </t>
  </si>
  <si>
    <t>Bhandari</t>
  </si>
  <si>
    <t>Prem</t>
  </si>
  <si>
    <t xml:space="preserve">5225 Pooks Hill Rd </t>
  </si>
  <si>
    <t xml:space="preserve">414 Fellowship Cir </t>
  </si>
  <si>
    <t>Dimick</t>
  </si>
  <si>
    <t xml:space="preserve">35732 270th St </t>
  </si>
  <si>
    <t>Platte</t>
  </si>
  <si>
    <t>Piver</t>
  </si>
  <si>
    <t xml:space="preserve">518 Kenilworth Ave </t>
  </si>
  <si>
    <t>Eugenia</t>
  </si>
  <si>
    <t xml:space="preserve">126 Carson Valley Way </t>
  </si>
  <si>
    <t>Barabi</t>
  </si>
  <si>
    <t xml:space="preserve">1240 Brockton Ave </t>
  </si>
  <si>
    <t>Apple</t>
  </si>
  <si>
    <t xml:space="preserve">3532 Jasmine Ave </t>
  </si>
  <si>
    <t>Belcher</t>
  </si>
  <si>
    <t xml:space="preserve">512 10th St </t>
  </si>
  <si>
    <t>Magnell</t>
  </si>
  <si>
    <t xml:space="preserve">1915 1st Ave S Apt 10 </t>
  </si>
  <si>
    <t xml:space="preserve">3289 E Cane Dr </t>
  </si>
  <si>
    <t>Klonglan</t>
  </si>
  <si>
    <t xml:space="preserve">1622 Maxwell Ave </t>
  </si>
  <si>
    <t>Badus</t>
  </si>
  <si>
    <t xml:space="preserve">681 Bode Rd </t>
  </si>
  <si>
    <t xml:space="preserve">10 W 15th St Apt 410 </t>
  </si>
  <si>
    <t>Fackert</t>
  </si>
  <si>
    <t xml:space="preserve">10555 Mccabe Rd </t>
  </si>
  <si>
    <t xml:space="preserve">HENRY St </t>
  </si>
  <si>
    <t>Alloway</t>
  </si>
  <si>
    <t xml:space="preserve">1487 Sinkler Rd </t>
  </si>
  <si>
    <t xml:space="preserve">204 S Jefferson St </t>
  </si>
  <si>
    <t xml:space="preserve">203 7Th St 203 7Th St </t>
  </si>
  <si>
    <t xml:space="preserve">165 Bennett Ave </t>
  </si>
  <si>
    <t>Morteo</t>
  </si>
  <si>
    <t>Angelita</t>
  </si>
  <si>
    <t xml:space="preserve">2528 Loma Vista Dr </t>
  </si>
  <si>
    <t xml:space="preserve">725 Elmhurst Dr Unit 211 </t>
  </si>
  <si>
    <t>Chamallas</t>
  </si>
  <si>
    <t xml:space="preserve">25 Honeycomb Way </t>
  </si>
  <si>
    <t>Posch</t>
  </si>
  <si>
    <t xml:space="preserve">2509 Queen St S </t>
  </si>
  <si>
    <t>Navarra</t>
  </si>
  <si>
    <t>Luanne</t>
  </si>
  <si>
    <t xml:space="preserve">LINCOLNWAY RTE 30 </t>
  </si>
  <si>
    <t xml:space="preserve">2 Auburndale Ave </t>
  </si>
  <si>
    <t>West Newton</t>
  </si>
  <si>
    <t>Mador</t>
  </si>
  <si>
    <t xml:space="preserve">130 High St Avew </t>
  </si>
  <si>
    <t>Honn</t>
  </si>
  <si>
    <t xml:space="preserve">PO Box 8673 </t>
  </si>
  <si>
    <t>Catalina</t>
  </si>
  <si>
    <t xml:space="preserve">17841 N Laurel Park Dr </t>
  </si>
  <si>
    <t xml:space="preserve">347 A High St # MA </t>
  </si>
  <si>
    <t>Longo</t>
  </si>
  <si>
    <t>Donl</t>
  </si>
  <si>
    <t xml:space="preserve">1450 E Taylor St </t>
  </si>
  <si>
    <t>Vermeer</t>
  </si>
  <si>
    <t xml:space="preserve">SVERMEER1 Attnet </t>
  </si>
  <si>
    <t>Wolak</t>
  </si>
  <si>
    <t xml:space="preserve">9165 Snortin Ridge Rd SW </t>
  </si>
  <si>
    <t>Fetsko</t>
  </si>
  <si>
    <t xml:space="preserve">20967 Morewood Pkwy </t>
  </si>
  <si>
    <t>Rocky River</t>
  </si>
  <si>
    <t>Makal</t>
  </si>
  <si>
    <t xml:space="preserve">9354 Aldenford Dr </t>
  </si>
  <si>
    <t>Stracquadanio</t>
  </si>
  <si>
    <t xml:space="preserve">1901 W 8th St </t>
  </si>
  <si>
    <t>Jambor</t>
  </si>
  <si>
    <t xml:space="preserve">54 5th Ave Apt 1 </t>
  </si>
  <si>
    <t>Westbury</t>
  </si>
  <si>
    <t>Fitzgerald</t>
  </si>
  <si>
    <t>Marquita</t>
  </si>
  <si>
    <t xml:space="preserve">1470 John King Blvd Apt 1213 </t>
  </si>
  <si>
    <t>Buescher</t>
  </si>
  <si>
    <t xml:space="preserve">1329 Pelham Ln </t>
  </si>
  <si>
    <t>Krone</t>
  </si>
  <si>
    <t xml:space="preserve">PO Box 8932 </t>
  </si>
  <si>
    <t xml:space="preserve">PO Box 186 </t>
  </si>
  <si>
    <t>Lukeville</t>
  </si>
  <si>
    <t xml:space="preserve">334 NW 47TH Ter </t>
  </si>
  <si>
    <t xml:space="preserve">351 Main St </t>
  </si>
  <si>
    <t>Boxford</t>
  </si>
  <si>
    <t>Shaaban</t>
  </si>
  <si>
    <t xml:space="preserve">1588 S Andrew Cir </t>
  </si>
  <si>
    <t xml:space="preserve">6609 81st St SW </t>
  </si>
  <si>
    <t xml:space="preserve">524 Sandy </t>
  </si>
  <si>
    <t>Sparrow</t>
  </si>
  <si>
    <t xml:space="preserve">5915 85th Ave </t>
  </si>
  <si>
    <t>New Carrollton</t>
  </si>
  <si>
    <t xml:space="preserve">PO Box 122 </t>
  </si>
  <si>
    <t>Canadensis</t>
  </si>
  <si>
    <t>Falk</t>
  </si>
  <si>
    <t xml:space="preserve">6876 Booth St </t>
  </si>
  <si>
    <t>Lianne</t>
  </si>
  <si>
    <t xml:space="preserve">179 Proctor Rd </t>
  </si>
  <si>
    <t>Jaffrey</t>
  </si>
  <si>
    <t xml:space="preserve">14172 Holcomb Blvd </t>
  </si>
  <si>
    <t>Oregon City</t>
  </si>
  <si>
    <t xml:space="preserve">1034 S Shore Dr </t>
  </si>
  <si>
    <t>Sisson</t>
  </si>
  <si>
    <t xml:space="preserve">SILVER MAPLE </t>
  </si>
  <si>
    <t>Jurkowski</t>
  </si>
  <si>
    <t>Upper Darby</t>
  </si>
  <si>
    <t>Shimer</t>
  </si>
  <si>
    <t xml:space="preserve">2651 Amy Dr </t>
  </si>
  <si>
    <t>Norristown</t>
  </si>
  <si>
    <t xml:space="preserve">306 Daniwood Grv </t>
  </si>
  <si>
    <t>Florissant</t>
  </si>
  <si>
    <t>Staff</t>
  </si>
  <si>
    <t xml:space="preserve">806 S Walnut St </t>
  </si>
  <si>
    <t xml:space="preserve">1700 N Prairie St </t>
  </si>
  <si>
    <t>Galesburg</t>
  </si>
  <si>
    <t xml:space="preserve">1110 N Henness Rd Lot 1757 </t>
  </si>
  <si>
    <t>Casa Grande</t>
  </si>
  <si>
    <t>Ryland</t>
  </si>
  <si>
    <t xml:space="preserve">1130 Ivy Lane Ivy Ln </t>
  </si>
  <si>
    <t xml:space="preserve">114 S Croft Ave # 0 </t>
  </si>
  <si>
    <t xml:space="preserve">1806 Martin Luther King Jr Way </t>
  </si>
  <si>
    <t xml:space="preserve">4957 Lkmt Blvd SE Ste C </t>
  </si>
  <si>
    <t>Brine</t>
  </si>
  <si>
    <t xml:space="preserve">FORGE VILLAGE Rd </t>
  </si>
  <si>
    <t>Groton</t>
  </si>
  <si>
    <t xml:space="preserve">139 Apple St </t>
  </si>
  <si>
    <t>S B</t>
  </si>
  <si>
    <t xml:space="preserve">36 Michele Dr </t>
  </si>
  <si>
    <t>Genovese</t>
  </si>
  <si>
    <t xml:space="preserve">6829 Canterbury Ct </t>
  </si>
  <si>
    <t>Meixner</t>
  </si>
  <si>
    <t xml:space="preserve">PO Box 3294 </t>
  </si>
  <si>
    <t>Everett  E</t>
  </si>
  <si>
    <t xml:space="preserve">63755 230th St </t>
  </si>
  <si>
    <t>Ruby C</t>
  </si>
  <si>
    <t xml:space="preserve">4023 W 64th St </t>
  </si>
  <si>
    <t>Hopler</t>
  </si>
  <si>
    <t xml:space="preserve">13112 Pelfrey Ln </t>
  </si>
  <si>
    <t xml:space="preserve">10129 Bell Inn Ln </t>
  </si>
  <si>
    <t xml:space="preserve">921 Bradshaw Ter </t>
  </si>
  <si>
    <t xml:space="preserve">1312 STONECREST DR1312 STONECREST Dr </t>
  </si>
  <si>
    <t>Carrillo</t>
  </si>
  <si>
    <t xml:space="preserve">PO Box 263 </t>
  </si>
  <si>
    <t>Hawi</t>
  </si>
  <si>
    <t>Quenell</t>
  </si>
  <si>
    <t xml:space="preserve">277 Pepperidge Dr </t>
  </si>
  <si>
    <t xml:space="preserve">25923 Streisand St </t>
  </si>
  <si>
    <t xml:space="preserve">3605 Pine Dr </t>
  </si>
  <si>
    <t>Kelseyville</t>
  </si>
  <si>
    <t>Bohn</t>
  </si>
  <si>
    <t xml:space="preserve">7000 149Th On NW </t>
  </si>
  <si>
    <t>Anoka</t>
  </si>
  <si>
    <t>Hogervorst</t>
  </si>
  <si>
    <t>Janneke</t>
  </si>
  <si>
    <t xml:space="preserve">7 Keelstraat </t>
  </si>
  <si>
    <t>Alcoa</t>
  </si>
  <si>
    <t>Naymick</t>
  </si>
  <si>
    <t xml:space="preserve">1358 Briarshore Way </t>
  </si>
  <si>
    <t>Osweiler</t>
  </si>
  <si>
    <t xml:space="preserve">3644 W Laredo St # 0 </t>
  </si>
  <si>
    <t>Cannata Nowell</t>
  </si>
  <si>
    <t xml:space="preserve">203 S Bridge St </t>
  </si>
  <si>
    <t>Emelyanova</t>
  </si>
  <si>
    <t>Ekaterina</t>
  </si>
  <si>
    <t xml:space="preserve">808 Hawthorne Ln Unit 324 </t>
  </si>
  <si>
    <t>Vertullo</t>
  </si>
  <si>
    <t xml:space="preserve">1347 King James Ct </t>
  </si>
  <si>
    <t>Hively</t>
  </si>
  <si>
    <t xml:space="preserve">3326 Boulder Ridge Dr </t>
  </si>
  <si>
    <t>Garratt</t>
  </si>
  <si>
    <t xml:space="preserve">140 Tamarisk Rd Apt 8 </t>
  </si>
  <si>
    <t>92262-5773</t>
  </si>
  <si>
    <t>Yamuni</t>
  </si>
  <si>
    <t xml:space="preserve">8501 SW 86th Ct </t>
  </si>
  <si>
    <t>Sarcinello</t>
  </si>
  <si>
    <t xml:space="preserve">1120 Arnold Rd Apt D5 </t>
  </si>
  <si>
    <t xml:space="preserve">PO Box 331 </t>
  </si>
  <si>
    <t xml:space="preserve">900 Forest Glade Cir </t>
  </si>
  <si>
    <t>Schublin</t>
  </si>
  <si>
    <t xml:space="preserve">5775 Mcewan Rd </t>
  </si>
  <si>
    <t>Vanduyse</t>
  </si>
  <si>
    <t xml:space="preserve">2004 Explorers Trl </t>
  </si>
  <si>
    <t xml:space="preserve">32 Greylock Rd </t>
  </si>
  <si>
    <t>Cheshire</t>
  </si>
  <si>
    <t>Morgenstein</t>
  </si>
  <si>
    <t xml:space="preserve">1905 S Lakeline Blvd </t>
  </si>
  <si>
    <t>Kilduff</t>
  </si>
  <si>
    <t>Juliana</t>
  </si>
  <si>
    <t xml:space="preserve">499 Boston Rd </t>
  </si>
  <si>
    <t>Billerica</t>
  </si>
  <si>
    <t>Silkroski</t>
  </si>
  <si>
    <t xml:space="preserve">11262 Idyllic Dr Unit 103 </t>
  </si>
  <si>
    <t>Chambers</t>
  </si>
  <si>
    <t>Fredricka</t>
  </si>
  <si>
    <t xml:space="preserve">1970 Deer Park Ave Apt 2 </t>
  </si>
  <si>
    <t>Hettinger</t>
  </si>
  <si>
    <t xml:space="preserve">191 Marden Rd </t>
  </si>
  <si>
    <t>Aldredge</t>
  </si>
  <si>
    <t xml:space="preserve">3351 Primera Ave </t>
  </si>
  <si>
    <t>Repnyek</t>
  </si>
  <si>
    <t xml:space="preserve">155 Square St </t>
  </si>
  <si>
    <t>Mount Airy</t>
  </si>
  <si>
    <t>Garruzzo</t>
  </si>
  <si>
    <t xml:space="preserve">35 Park Ave </t>
  </si>
  <si>
    <t>Bonner</t>
  </si>
  <si>
    <t xml:space="preserve">3416 Chelsea Park Ln Lane-B </t>
  </si>
  <si>
    <t>Josling</t>
  </si>
  <si>
    <t>Anthea</t>
  </si>
  <si>
    <t>Dubarr</t>
  </si>
  <si>
    <t xml:space="preserve">5402 Blackhawk Rd </t>
  </si>
  <si>
    <t>McComiskey</t>
  </si>
  <si>
    <t xml:space="preserve">396 Bergen St </t>
  </si>
  <si>
    <t>Lamantia</t>
  </si>
  <si>
    <t>Mindy</t>
  </si>
  <si>
    <t xml:space="preserve">79 Norwood Ave </t>
  </si>
  <si>
    <t>Ramos</t>
  </si>
  <si>
    <t xml:space="preserve">16421 Framingham Cir </t>
  </si>
  <si>
    <t>Kautz</t>
  </si>
  <si>
    <t xml:space="preserve">RR 38 </t>
  </si>
  <si>
    <t>Boblyn</t>
  </si>
  <si>
    <t xml:space="preserve">55 Park Ave # 3W </t>
  </si>
  <si>
    <t xml:space="preserve">620 Michigan St </t>
  </si>
  <si>
    <t xml:space="preserve">LONGWOOD </t>
  </si>
  <si>
    <t>Schuyler</t>
  </si>
  <si>
    <t xml:space="preserve">918 N Caledonia Pl </t>
  </si>
  <si>
    <t>Carell</t>
  </si>
  <si>
    <t xml:space="preserve">3791 Center Ave </t>
  </si>
  <si>
    <t>Edelle</t>
  </si>
  <si>
    <t xml:space="preserve">3800 Kamehameha Rd Apt 6 </t>
  </si>
  <si>
    <t>Gribble</t>
  </si>
  <si>
    <t xml:space="preserve">559 Rotunda Ave </t>
  </si>
  <si>
    <t xml:space="preserve">8258 Broadmoor Ave SE </t>
  </si>
  <si>
    <t>Franzen</t>
  </si>
  <si>
    <t xml:space="preserve">3610 W 115 The St </t>
  </si>
  <si>
    <t>Surkamp</t>
  </si>
  <si>
    <t xml:space="preserve">19333 Lancer Cir </t>
  </si>
  <si>
    <t>Prior Lake</t>
  </si>
  <si>
    <t>Harada</t>
  </si>
  <si>
    <t xml:space="preserve">190 E2nd St # 12 </t>
  </si>
  <si>
    <t>Barbarow</t>
  </si>
  <si>
    <t xml:space="preserve">4526 Tulip Ave </t>
  </si>
  <si>
    <t>Brayton</t>
  </si>
  <si>
    <t xml:space="preserve">N6291 State Highway 55 Hollister Gdns </t>
  </si>
  <si>
    <t>Seifert</t>
  </si>
  <si>
    <t xml:space="preserve">2036 Regent Park Ln </t>
  </si>
  <si>
    <t xml:space="preserve">2325 W 111th Pl </t>
  </si>
  <si>
    <t xml:space="preserve">818 E Kerr Ave Apt 204 </t>
  </si>
  <si>
    <t>Stauffer</t>
  </si>
  <si>
    <t xml:space="preserve">4143 Dayton Springfield Rd </t>
  </si>
  <si>
    <t>Mika</t>
  </si>
  <si>
    <t xml:space="preserve">2265 Portofino Pl Unit 2118 </t>
  </si>
  <si>
    <t>Gorbaty</t>
  </si>
  <si>
    <t xml:space="preserve">187 Jefferson Ave # I </t>
  </si>
  <si>
    <t>Mendillo</t>
  </si>
  <si>
    <t xml:space="preserve">2969 Rte 34B Apt Suite Bldg OPTIONAL </t>
  </si>
  <si>
    <t>Tanzillo</t>
  </si>
  <si>
    <t xml:space="preserve">20 James St </t>
  </si>
  <si>
    <t xml:space="preserve">50 Mission Ave </t>
  </si>
  <si>
    <t>Gaither</t>
  </si>
  <si>
    <t>T.J.</t>
  </si>
  <si>
    <t xml:space="preserve">1329 Ogden Rd </t>
  </si>
  <si>
    <t>Wysser - Martin</t>
  </si>
  <si>
    <t xml:space="preserve">Week Street Norman Park </t>
  </si>
  <si>
    <t>Norman Park</t>
  </si>
  <si>
    <t xml:space="preserve">PO Box 3236 </t>
  </si>
  <si>
    <t>Brynn</t>
  </si>
  <si>
    <t xml:space="preserve">3891 Carnegie Ln </t>
  </si>
  <si>
    <t>Reiner</t>
  </si>
  <si>
    <t>Jordana</t>
  </si>
  <si>
    <t xml:space="preserve">1127 HI Point St </t>
  </si>
  <si>
    <t>Serrao</t>
  </si>
  <si>
    <t xml:space="preserve">615 Skyline Ave </t>
  </si>
  <si>
    <t xml:space="preserve">195 PARKWAY Dr </t>
  </si>
  <si>
    <t>Works</t>
  </si>
  <si>
    <t>Gail Beth</t>
  </si>
  <si>
    <t xml:space="preserve">110 Pinellas St </t>
  </si>
  <si>
    <t xml:space="preserve">32431 Back Nine Way </t>
  </si>
  <si>
    <t>Millsboro</t>
  </si>
  <si>
    <t>McKew</t>
  </si>
  <si>
    <t xml:space="preserve">1370 Reymond Rd </t>
  </si>
  <si>
    <t>Gwinn</t>
  </si>
  <si>
    <t xml:space="preserve">116 Wolf Run Rd # 336 </t>
  </si>
  <si>
    <t>Hambleton</t>
  </si>
  <si>
    <t>Nuckolls</t>
  </si>
  <si>
    <t xml:space="preserve">110 Maryland Ave NE </t>
  </si>
  <si>
    <t>Welte</t>
  </si>
  <si>
    <t xml:space="preserve">18880 SW Hart Rd </t>
  </si>
  <si>
    <t>Talia</t>
  </si>
  <si>
    <t>Covell</t>
  </si>
  <si>
    <t>Adriana</t>
  </si>
  <si>
    <t xml:space="preserve">1138 Apache Ave </t>
  </si>
  <si>
    <t xml:space="preserve">931 Forest Lake Ct </t>
  </si>
  <si>
    <t xml:space="preserve">2901 Sherrill Ave </t>
  </si>
  <si>
    <t>High Point</t>
  </si>
  <si>
    <t>Kalenich-Pace</t>
  </si>
  <si>
    <t>Arleen</t>
  </si>
  <si>
    <t xml:space="preserve">600 Warburton Ave </t>
  </si>
  <si>
    <t>Hastings On Hudson</t>
  </si>
  <si>
    <t>Tomasik</t>
  </si>
  <si>
    <t xml:space="preserve">235 Casterton Ave </t>
  </si>
  <si>
    <t xml:space="preserve">905 Florida St </t>
  </si>
  <si>
    <t>Pascoe</t>
  </si>
  <si>
    <t>Jerry And Louise</t>
  </si>
  <si>
    <t xml:space="preserve">22099 Nelson Rd </t>
  </si>
  <si>
    <t xml:space="preserve">1204 Blakeley Rd </t>
  </si>
  <si>
    <t>East Aurora</t>
  </si>
  <si>
    <t>Malec</t>
  </si>
  <si>
    <t xml:space="preserve">6256 S Range Rd </t>
  </si>
  <si>
    <t>Baugh</t>
  </si>
  <si>
    <t xml:space="preserve">1023 Scenic Rd E </t>
  </si>
  <si>
    <t xml:space="preserve">41268 Trenouth St </t>
  </si>
  <si>
    <t>Thompson Jr</t>
  </si>
  <si>
    <t xml:space="preserve">7980 LT Pkwy </t>
  </si>
  <si>
    <t>Lithonia</t>
  </si>
  <si>
    <t>D'Angelo</t>
  </si>
  <si>
    <t xml:space="preserve">316 Hoover Ave </t>
  </si>
  <si>
    <t xml:space="preserve">625 Sonata Way </t>
  </si>
  <si>
    <t>Jacque</t>
  </si>
  <si>
    <t xml:space="preserve">201 Old Mill Rd </t>
  </si>
  <si>
    <t>Royersford</t>
  </si>
  <si>
    <t>Whelehan</t>
  </si>
  <si>
    <t>Coker</t>
  </si>
  <si>
    <t xml:space="preserve">3116 Curts Ave </t>
  </si>
  <si>
    <t xml:space="preserve">17120 Queen Victoria Ct Apt 302 </t>
  </si>
  <si>
    <t xml:space="preserve">1252 Filbert Ave </t>
  </si>
  <si>
    <t>Starr</t>
  </si>
  <si>
    <t xml:space="preserve">941 Calle Mejia Apt 301 </t>
  </si>
  <si>
    <t xml:space="preserve">7189 S M-221 </t>
  </si>
  <si>
    <t xml:space="preserve">612 Castle Ridge Ct </t>
  </si>
  <si>
    <t>Wierzbowski</t>
  </si>
  <si>
    <t xml:space="preserve">7 Forest Rd </t>
  </si>
  <si>
    <t>Costantino</t>
  </si>
  <si>
    <t>Binnie</t>
  </si>
  <si>
    <t xml:space="preserve">1461 S FM 113 </t>
  </si>
  <si>
    <t>Millsap</t>
  </si>
  <si>
    <t xml:space="preserve">2552 Mount Vernon St SE </t>
  </si>
  <si>
    <t xml:space="preserve">RR 2 Box 1D </t>
  </si>
  <si>
    <t xml:space="preserve">1153 Country Shadows Way </t>
  </si>
  <si>
    <t>Moos</t>
  </si>
  <si>
    <t xml:space="preserve">3232 Wood River Rd </t>
  </si>
  <si>
    <t>Dillingham</t>
  </si>
  <si>
    <t>Ingelse</t>
  </si>
  <si>
    <t xml:space="preserve">811 Northfield Ave </t>
  </si>
  <si>
    <t xml:space="preserve">2450 County Road 75 </t>
  </si>
  <si>
    <t>Alturas</t>
  </si>
  <si>
    <t>Friedwald</t>
  </si>
  <si>
    <t>Nancy And Frank</t>
  </si>
  <si>
    <t>Parrone</t>
  </si>
  <si>
    <t xml:space="preserve">815 N 22nd St </t>
  </si>
  <si>
    <t xml:space="preserve">4537 N Moody Ave </t>
  </si>
  <si>
    <t>60630-3008</t>
  </si>
  <si>
    <t>Teuscher</t>
  </si>
  <si>
    <t xml:space="preserve">MARSH Rdg </t>
  </si>
  <si>
    <t>Santerre</t>
  </si>
  <si>
    <t>David And Gay</t>
  </si>
  <si>
    <t xml:space="preserve">13118 288Th Avenue Ct E </t>
  </si>
  <si>
    <t>Perlman</t>
  </si>
  <si>
    <t xml:space="preserve">10515 Valparaiso St </t>
  </si>
  <si>
    <t>Novicki</t>
  </si>
  <si>
    <t xml:space="preserve">PO Box 709 </t>
  </si>
  <si>
    <t>82513-0709</t>
  </si>
  <si>
    <t xml:space="preserve">72 Edgefield Dr </t>
  </si>
  <si>
    <t>07950-1969</t>
  </si>
  <si>
    <t>Kali</t>
  </si>
  <si>
    <t>Earll</t>
  </si>
  <si>
    <t xml:space="preserve">6200 Oregon Ave NW </t>
  </si>
  <si>
    <t>Manion</t>
  </si>
  <si>
    <t xml:space="preserve">5428 Bold Venture Rd </t>
  </si>
  <si>
    <t>Calve</t>
  </si>
  <si>
    <t xml:space="preserve">272 1st Ave </t>
  </si>
  <si>
    <t>Musser</t>
  </si>
  <si>
    <t xml:space="preserve">1100 Emerald Tint Ct </t>
  </si>
  <si>
    <t>Keys</t>
  </si>
  <si>
    <t xml:space="preserve">9647 SW 147th Ct </t>
  </si>
  <si>
    <t>Bode</t>
  </si>
  <si>
    <t xml:space="preserve">7950 CASCADE Rd SE </t>
  </si>
  <si>
    <t>Habib</t>
  </si>
  <si>
    <t xml:space="preserve">5557 W 6th St Apt 1116 </t>
  </si>
  <si>
    <t>Zorn</t>
  </si>
  <si>
    <t xml:space="preserve">4017 Folkston Dr </t>
  </si>
  <si>
    <t xml:space="preserve">5901 4th Ave </t>
  </si>
  <si>
    <t xml:space="preserve">4300 Waialae Ave Apt A1106 </t>
  </si>
  <si>
    <t>Desrosiers</t>
  </si>
  <si>
    <t xml:space="preserve">13 Cromwell Ln </t>
  </si>
  <si>
    <t>Kierce</t>
  </si>
  <si>
    <t xml:space="preserve">4269 Bridge St </t>
  </si>
  <si>
    <t>Cambria</t>
  </si>
  <si>
    <t>Laszlo</t>
  </si>
  <si>
    <t>Janos</t>
  </si>
  <si>
    <t xml:space="preserve">1191 Leavensworth Rd </t>
  </si>
  <si>
    <t>Hinesburg</t>
  </si>
  <si>
    <t xml:space="preserve">40 RUE DURANTIN </t>
  </si>
  <si>
    <t xml:space="preserve">283 Camelot Ln </t>
  </si>
  <si>
    <t xml:space="preserve">11801 Tracy Ct NE </t>
  </si>
  <si>
    <t>Ragan</t>
  </si>
  <si>
    <t xml:space="preserve">1453 W Warner Ave </t>
  </si>
  <si>
    <t>Kurtz</t>
  </si>
  <si>
    <t xml:space="preserve">408 Ascot Ct </t>
  </si>
  <si>
    <t xml:space="preserve">1807 Millridge Ct </t>
  </si>
  <si>
    <t xml:space="preserve">657 Blandford Rd </t>
  </si>
  <si>
    <t>Granville</t>
  </si>
  <si>
    <t>Zahner</t>
  </si>
  <si>
    <t xml:space="preserve">3362 E Hawthorne St </t>
  </si>
  <si>
    <t>Hertzog</t>
  </si>
  <si>
    <t xml:space="preserve">1031 27th St </t>
  </si>
  <si>
    <t xml:space="preserve">148 E Spring St </t>
  </si>
  <si>
    <t>Dynako</t>
  </si>
  <si>
    <t xml:space="preserve">504 Franklin St </t>
  </si>
  <si>
    <t>Valparaiso</t>
  </si>
  <si>
    <t>Poor</t>
  </si>
  <si>
    <t xml:space="preserve">55 Forest Ln </t>
  </si>
  <si>
    <t xml:space="preserve">865 1 Ave </t>
  </si>
  <si>
    <t>Nyc</t>
  </si>
  <si>
    <t>Rivera</t>
  </si>
  <si>
    <t xml:space="preserve">2321 Westport Ln </t>
  </si>
  <si>
    <t>Cohn</t>
  </si>
  <si>
    <t xml:space="preserve">915 Irving St </t>
  </si>
  <si>
    <t>Holli</t>
  </si>
  <si>
    <t xml:space="preserve">1300 Reece Rd Apt 515 </t>
  </si>
  <si>
    <t>Salter</t>
  </si>
  <si>
    <t xml:space="preserve">12856 Limberlost Dr </t>
  </si>
  <si>
    <t xml:space="preserve">2497 Merrit Dr </t>
  </si>
  <si>
    <t>Girard</t>
  </si>
  <si>
    <t>Jean-Marc</t>
  </si>
  <si>
    <t xml:space="preserve">836 Padgett Ave </t>
  </si>
  <si>
    <t>Meech</t>
  </si>
  <si>
    <t xml:space="preserve">44 W Main St </t>
  </si>
  <si>
    <t>Annville</t>
  </si>
  <si>
    <t xml:space="preserve">107 Oak St S </t>
  </si>
  <si>
    <t>Rockland</t>
  </si>
  <si>
    <t xml:space="preserve">27 Rochelle Ave </t>
  </si>
  <si>
    <t xml:space="preserve">PO Box 10658 </t>
  </si>
  <si>
    <t>Hilo</t>
  </si>
  <si>
    <t>Kelly  Family</t>
  </si>
  <si>
    <t>Lisa Ann</t>
  </si>
  <si>
    <t xml:space="preserve">1724 Olive Avevue </t>
  </si>
  <si>
    <t xml:space="preserve">PO Box 247 </t>
  </si>
  <si>
    <t>Blakely</t>
  </si>
  <si>
    <t xml:space="preserve">107 Pine Tree Dr </t>
  </si>
  <si>
    <t xml:space="preserve">4925 River Rd </t>
  </si>
  <si>
    <t>Kathi</t>
  </si>
  <si>
    <t xml:space="preserve">101 Livermore Ave </t>
  </si>
  <si>
    <t xml:space="preserve">103 E Foster Ave Apt 6 </t>
  </si>
  <si>
    <t xml:space="preserve">110 Magnolia Ln </t>
  </si>
  <si>
    <t xml:space="preserve">6634 TORRINGTON Dr </t>
  </si>
  <si>
    <t>Werle</t>
  </si>
  <si>
    <t xml:space="preserve">1615 44th Ave </t>
  </si>
  <si>
    <t>Yazdi</t>
  </si>
  <si>
    <t xml:space="preserve">51 Winding Way </t>
  </si>
  <si>
    <t>Sheresh</t>
  </si>
  <si>
    <t xml:space="preserve">395 Lemire Ct </t>
  </si>
  <si>
    <t>McMurrer</t>
  </si>
  <si>
    <t xml:space="preserve">16 Cliff Trl </t>
  </si>
  <si>
    <t>Kinnelon</t>
  </si>
  <si>
    <t xml:space="preserve">17 Old River Rd </t>
  </si>
  <si>
    <t>Lambertville</t>
  </si>
  <si>
    <t xml:space="preserve">1000 Linden Ave Apt 106 </t>
  </si>
  <si>
    <t xml:space="preserve">OVERLOOK Rd </t>
  </si>
  <si>
    <t xml:space="preserve">39919 Thomas Mill Rd </t>
  </si>
  <si>
    <t>20175-6935</t>
  </si>
  <si>
    <t xml:space="preserve">9361 W Indore Dr </t>
  </si>
  <si>
    <t>Orbaker</t>
  </si>
  <si>
    <t xml:space="preserve">49 Wildwood Rd </t>
  </si>
  <si>
    <t>Mifflinburg</t>
  </si>
  <si>
    <t>Liana</t>
  </si>
  <si>
    <t xml:space="preserve">247 State Route 437 </t>
  </si>
  <si>
    <t>White Haven</t>
  </si>
  <si>
    <t>Goode-Deblanc</t>
  </si>
  <si>
    <t xml:space="preserve">9100 Forest Xing Ste D </t>
  </si>
  <si>
    <t xml:space="preserve">4100 SW Condor Ave </t>
  </si>
  <si>
    <t xml:space="preserve">8051 Sunrise East Way </t>
  </si>
  <si>
    <t>Vernon And M J</t>
  </si>
  <si>
    <t>Gilbrouh</t>
  </si>
  <si>
    <t xml:space="preserve">4103 N Cook St Apt B16 </t>
  </si>
  <si>
    <t xml:space="preserve">3063 Lucinda Ln </t>
  </si>
  <si>
    <t>Kotvas</t>
  </si>
  <si>
    <t xml:space="preserve">131 East St </t>
  </si>
  <si>
    <t xml:space="preserve">14 Littlebrook Rd # A </t>
  </si>
  <si>
    <t>Westerly</t>
  </si>
  <si>
    <t>Umbreit</t>
  </si>
  <si>
    <t xml:space="preserve">LINDA Ln </t>
  </si>
  <si>
    <t>Colgate</t>
  </si>
  <si>
    <t>Wickart</t>
  </si>
  <si>
    <t xml:space="preserve">218 Keiser Ave </t>
  </si>
  <si>
    <t xml:space="preserve">5310 Las Verdes Cir </t>
  </si>
  <si>
    <t xml:space="preserve">5255 Welsh Rd </t>
  </si>
  <si>
    <t>Lukensmeyer</t>
  </si>
  <si>
    <t xml:space="preserve">429 S La Jolla Ave </t>
  </si>
  <si>
    <t>Winther</t>
  </si>
  <si>
    <t xml:space="preserve">911 Nolanby Bay NW </t>
  </si>
  <si>
    <t xml:space="preserve">10855 Casetta Dr </t>
  </si>
  <si>
    <t xml:space="preserve">6002 Jason Ct </t>
  </si>
  <si>
    <t>Geimer</t>
  </si>
  <si>
    <t xml:space="preserve">1806 Chestnut St </t>
  </si>
  <si>
    <t>Stack</t>
  </si>
  <si>
    <t xml:space="preserve">8104 Gale St </t>
  </si>
  <si>
    <t xml:space="preserve">2306 E Marshall St </t>
  </si>
  <si>
    <t>Jobe</t>
  </si>
  <si>
    <t>Wistie</t>
  </si>
  <si>
    <t xml:space="preserve">696 Mccurdy Ln </t>
  </si>
  <si>
    <t>Rockbridge Baths</t>
  </si>
  <si>
    <t xml:space="preserve">17480 W Woodland Dr </t>
  </si>
  <si>
    <t>Crumley</t>
  </si>
  <si>
    <t xml:space="preserve">1 Glades Dr </t>
  </si>
  <si>
    <t>Hedge</t>
  </si>
  <si>
    <t xml:space="preserve">1900 Edith Ln </t>
  </si>
  <si>
    <t>Kupsis</t>
  </si>
  <si>
    <t xml:space="preserve">17057 Dolphin Dr </t>
  </si>
  <si>
    <t>North Redington Beach</t>
  </si>
  <si>
    <t xml:space="preserve">MAHONIA </t>
  </si>
  <si>
    <t>Valkenswaard</t>
  </si>
  <si>
    <t>Filtz</t>
  </si>
  <si>
    <t xml:space="preserve">5742 5th Ave </t>
  </si>
  <si>
    <t>Cash</t>
  </si>
  <si>
    <t xml:space="preserve">15406 Oak Grove Ct </t>
  </si>
  <si>
    <t>Givey</t>
  </si>
  <si>
    <t xml:space="preserve">55 Park Ave </t>
  </si>
  <si>
    <t>Hackney</t>
  </si>
  <si>
    <t xml:space="preserve">259 CONFEDERATE Dr </t>
  </si>
  <si>
    <t>Green Mountain</t>
  </si>
  <si>
    <t>Papadakis</t>
  </si>
  <si>
    <t xml:space="preserve">6912 Cloudy Way </t>
  </si>
  <si>
    <t>Obelcz</t>
  </si>
  <si>
    <t>Mara</t>
  </si>
  <si>
    <t xml:space="preserve">3283 Roxbury Rd </t>
  </si>
  <si>
    <t xml:space="preserve">4334 Pinehurst Ct </t>
  </si>
  <si>
    <t xml:space="preserve">6214 Johnson St </t>
  </si>
  <si>
    <t>Shorner-Johnson</t>
  </si>
  <si>
    <t xml:space="preserve">948 Spring Garden St </t>
  </si>
  <si>
    <t xml:space="preserve">8052 2nd St </t>
  </si>
  <si>
    <t xml:space="preserve">PO Box 309 </t>
  </si>
  <si>
    <t>Samuels</t>
  </si>
  <si>
    <t xml:space="preserve">2140 Knapp St </t>
  </si>
  <si>
    <t>Pia</t>
  </si>
  <si>
    <t xml:space="preserve">27 Payson Rd </t>
  </si>
  <si>
    <t>Cornwall On Hudson</t>
  </si>
  <si>
    <t xml:space="preserve">2250 N Spring Glade Cir Bldg 4 </t>
  </si>
  <si>
    <t xml:space="preserve">509 Nathan Ln </t>
  </si>
  <si>
    <t xml:space="preserve">1013 Mcmillain St </t>
  </si>
  <si>
    <t xml:space="preserve">314 Parkview Dr </t>
  </si>
  <si>
    <t>Trophy Club</t>
  </si>
  <si>
    <t xml:space="preserve">500 Branard St </t>
  </si>
  <si>
    <t>Menard</t>
  </si>
  <si>
    <t xml:space="preserve">6927 Wright Plz </t>
  </si>
  <si>
    <t>Pollet</t>
  </si>
  <si>
    <t>Tristin</t>
  </si>
  <si>
    <t xml:space="preserve">301 Lorraine St </t>
  </si>
  <si>
    <t>Destrehan</t>
  </si>
  <si>
    <t>Stoveken</t>
  </si>
  <si>
    <t xml:space="preserve">1901 E Bermuda St </t>
  </si>
  <si>
    <t>Panagos</t>
  </si>
  <si>
    <t xml:space="preserve">465 S Los Robles Ave Apt 19 </t>
  </si>
  <si>
    <t>Maliha</t>
  </si>
  <si>
    <t xml:space="preserve">3950 W Glenlake Ave </t>
  </si>
  <si>
    <t>Ivonen</t>
  </si>
  <si>
    <t xml:space="preserve">102 E 1st St Apt 304 </t>
  </si>
  <si>
    <t>Demoss</t>
  </si>
  <si>
    <t xml:space="preserve">DUNSTABLE Grn </t>
  </si>
  <si>
    <t>Earley</t>
  </si>
  <si>
    <t xml:space="preserve">962 Salisbury Ct </t>
  </si>
  <si>
    <t>Marcellus</t>
  </si>
  <si>
    <t xml:space="preserve">3065 Christine St </t>
  </si>
  <si>
    <t>Zemel</t>
  </si>
  <si>
    <t xml:space="preserve">18210 Snyder Rd </t>
  </si>
  <si>
    <t>Dentan</t>
  </si>
  <si>
    <t xml:space="preserve">318 Beard Ave </t>
  </si>
  <si>
    <t>Tunstall</t>
  </si>
  <si>
    <t xml:space="preserve">2675 Supreme Ave </t>
  </si>
  <si>
    <t>Shipley</t>
  </si>
  <si>
    <t xml:space="preserve">6809 Stone Valley Dr </t>
  </si>
  <si>
    <t>Antje</t>
  </si>
  <si>
    <t xml:space="preserve">1887 Clearbrooke Dr </t>
  </si>
  <si>
    <t>Flocco-McMaster</t>
  </si>
  <si>
    <t xml:space="preserve">2717 Seville Blvd Apt 5204 </t>
  </si>
  <si>
    <t>Gura</t>
  </si>
  <si>
    <t>Jovette</t>
  </si>
  <si>
    <t xml:space="preserve">4201 NW Highway 70 </t>
  </si>
  <si>
    <t xml:space="preserve">5025 Bridgeport Dr </t>
  </si>
  <si>
    <t>Bedgood</t>
  </si>
  <si>
    <t xml:space="preserve">564 NW County Road 2100 </t>
  </si>
  <si>
    <t>Corsicana</t>
  </si>
  <si>
    <t xml:space="preserve">1805 W 18th St N </t>
  </si>
  <si>
    <t xml:space="preserve">2102 W Balmoral Ave </t>
  </si>
  <si>
    <t>Weber-White</t>
  </si>
  <si>
    <t>Nedra</t>
  </si>
  <si>
    <t xml:space="preserve">2666 E 73rd St </t>
  </si>
  <si>
    <t>Fooks</t>
  </si>
  <si>
    <t xml:space="preserve">450 Park Dr </t>
  </si>
  <si>
    <t>Kitchen</t>
  </si>
  <si>
    <t xml:space="preserve">545 S Oak Park Ave </t>
  </si>
  <si>
    <t>Neel</t>
  </si>
  <si>
    <t xml:space="preserve">19164 Juniper Ln </t>
  </si>
  <si>
    <t>Lurtz</t>
  </si>
  <si>
    <t xml:space="preserve">4775 Mountain Valley Rd </t>
  </si>
  <si>
    <t>Sutton</t>
  </si>
  <si>
    <t xml:space="preserve">700 Beldon Way </t>
  </si>
  <si>
    <t>McCaw</t>
  </si>
  <si>
    <t xml:space="preserve">4526 Mount Vernon Dr </t>
  </si>
  <si>
    <t>Powers Sr</t>
  </si>
  <si>
    <t xml:space="preserve">325 Rosendale St </t>
  </si>
  <si>
    <t>Beaver Dam</t>
  </si>
  <si>
    <t>Bunnell</t>
  </si>
  <si>
    <t xml:space="preserve">5221 Silver Maple Cir </t>
  </si>
  <si>
    <t>Stoppel</t>
  </si>
  <si>
    <t xml:space="preserve">8689 Murray Rd </t>
  </si>
  <si>
    <t>Charlevoix</t>
  </si>
  <si>
    <t xml:space="preserve">4699 S Fields Cir </t>
  </si>
  <si>
    <t>Aronowitz</t>
  </si>
  <si>
    <t xml:space="preserve">292 E 4695 N </t>
  </si>
  <si>
    <t>Schempf</t>
  </si>
  <si>
    <t xml:space="preserve">5681 E Mckellips Blvd </t>
  </si>
  <si>
    <t>Apache Junction</t>
  </si>
  <si>
    <t>Hackett</t>
  </si>
  <si>
    <t xml:space="preserve">21420 E Puesta Del Sol </t>
  </si>
  <si>
    <t>Queen Creek</t>
  </si>
  <si>
    <t xml:space="preserve">900 Hope St </t>
  </si>
  <si>
    <t>Aloise</t>
  </si>
  <si>
    <t xml:space="preserve">1104 S Montana Ave Apt E3 </t>
  </si>
  <si>
    <t xml:space="preserve">4673 Cleland Ave </t>
  </si>
  <si>
    <t>Pingel</t>
  </si>
  <si>
    <t xml:space="preserve">13894 Birchwood Ave </t>
  </si>
  <si>
    <t>Rosemount</t>
  </si>
  <si>
    <t>Bellini</t>
  </si>
  <si>
    <t xml:space="preserve">2910 Hemingway Dr Apt 207 </t>
  </si>
  <si>
    <t>Chaska</t>
  </si>
  <si>
    <t xml:space="preserve">548 Auburn Pl NW # B </t>
  </si>
  <si>
    <t>Elk River</t>
  </si>
  <si>
    <t>Bayley</t>
  </si>
  <si>
    <t xml:space="preserve">4109 E 44th St </t>
  </si>
  <si>
    <t>Spivey</t>
  </si>
  <si>
    <t>Geralene</t>
  </si>
  <si>
    <t xml:space="preserve">4127 Marla Dr NE # 87109 </t>
  </si>
  <si>
    <t xml:space="preserve">PO Box 14463 </t>
  </si>
  <si>
    <t>Blatchford</t>
  </si>
  <si>
    <t>Brandyn</t>
  </si>
  <si>
    <t xml:space="preserve">76 Cove Rd </t>
  </si>
  <si>
    <t>Sister Janet</t>
  </si>
  <si>
    <t xml:space="preserve">2000 Outer Dr N </t>
  </si>
  <si>
    <t>Miriah Marx</t>
  </si>
  <si>
    <t xml:space="preserve">3918 Northwestern Ave </t>
  </si>
  <si>
    <t>Trevor</t>
  </si>
  <si>
    <t xml:space="preserve">3032 N 15th St Apt 403 </t>
  </si>
  <si>
    <t xml:space="preserve">1915 E Hartford Ave </t>
  </si>
  <si>
    <t>T.L.</t>
  </si>
  <si>
    <t xml:space="preserve">28730 GR RIVER Ave # 4 </t>
  </si>
  <si>
    <t>Berent</t>
  </si>
  <si>
    <t xml:space="preserve">5050 Sioux Ct </t>
  </si>
  <si>
    <t>Bacher</t>
  </si>
  <si>
    <t xml:space="preserve">9220 W 104th Pl </t>
  </si>
  <si>
    <t xml:space="preserve">9000 Independence Cir </t>
  </si>
  <si>
    <t xml:space="preserve">580 S Clinton St Apt 12B </t>
  </si>
  <si>
    <t>Hotaling</t>
  </si>
  <si>
    <t xml:space="preserve">222 E Beechtree Ln </t>
  </si>
  <si>
    <t>Ballesteros</t>
  </si>
  <si>
    <t>Kelsy</t>
  </si>
  <si>
    <t xml:space="preserve">2406 Flintridge Dr </t>
  </si>
  <si>
    <t>Hensley</t>
  </si>
  <si>
    <t xml:space="preserve">228 Unaka St </t>
  </si>
  <si>
    <t>Given</t>
  </si>
  <si>
    <t>Alida</t>
  </si>
  <si>
    <t xml:space="preserve">225 River Route 14346 Oak St </t>
  </si>
  <si>
    <t>Magnolia Springs</t>
  </si>
  <si>
    <t>Hein Frank</t>
  </si>
  <si>
    <t xml:space="preserve">615 Voiles St </t>
  </si>
  <si>
    <t xml:space="preserve">4512 Destinys Gate Dr </t>
  </si>
  <si>
    <t>Petre-Miller</t>
  </si>
  <si>
    <t xml:space="preserve">1382 Mandarin St NE </t>
  </si>
  <si>
    <t xml:space="preserve">7018 21st Ave NE </t>
  </si>
  <si>
    <t xml:space="preserve">521 7th St Apt 7 </t>
  </si>
  <si>
    <t>Loch</t>
  </si>
  <si>
    <t xml:space="preserve">2410 Garfield Ave </t>
  </si>
  <si>
    <t xml:space="preserve">1348 Crutchfield St </t>
  </si>
  <si>
    <t>Ghiglieri</t>
  </si>
  <si>
    <t xml:space="preserve">10862 Bloomfield St Apt 103 </t>
  </si>
  <si>
    <t>Cochrane</t>
  </si>
  <si>
    <t xml:space="preserve">11361 S Champlain Ave </t>
  </si>
  <si>
    <t>Geldert</t>
  </si>
  <si>
    <t xml:space="preserve">5151 Boardwalk Dr Unit S1 </t>
  </si>
  <si>
    <t>Santoro</t>
  </si>
  <si>
    <t xml:space="preserve">3 Kennedy Dr </t>
  </si>
  <si>
    <t>Denville</t>
  </si>
  <si>
    <t>Potyrala</t>
  </si>
  <si>
    <t xml:space="preserve">2113 Indiana Ave </t>
  </si>
  <si>
    <t>Reichert</t>
  </si>
  <si>
    <t xml:space="preserve">1728 Iris Ave </t>
  </si>
  <si>
    <t xml:space="preserve">1650 Interlachen Rd </t>
  </si>
  <si>
    <t>Baum</t>
  </si>
  <si>
    <t xml:space="preserve">5741 W Grace St </t>
  </si>
  <si>
    <t xml:space="preserve">1225 Lake Elmo Dr Apt 104C </t>
  </si>
  <si>
    <t>Otto</t>
  </si>
  <si>
    <t xml:space="preserve">4319 Calle Amarilla </t>
  </si>
  <si>
    <t>Roth-Johnson</t>
  </si>
  <si>
    <t xml:space="preserve">6721 Montezuma Castle Ln </t>
  </si>
  <si>
    <t>Mirell</t>
  </si>
  <si>
    <t xml:space="preserve">3037 Mcconnell Dr </t>
  </si>
  <si>
    <t xml:space="preserve">1781 Latigo Canyon Rd </t>
  </si>
  <si>
    <t>Malibu</t>
  </si>
  <si>
    <t>Juracka</t>
  </si>
  <si>
    <t xml:space="preserve">10590 County Road D </t>
  </si>
  <si>
    <t xml:space="preserve">715 Mcdonough St </t>
  </si>
  <si>
    <t>Nicholls</t>
  </si>
  <si>
    <t>Maryjean</t>
  </si>
  <si>
    <t xml:space="preserve">1103 River Heights Rd </t>
  </si>
  <si>
    <t>Menomonie</t>
  </si>
  <si>
    <t>Hoffmann</t>
  </si>
  <si>
    <t xml:space="preserve">W10857 Oak St </t>
  </si>
  <si>
    <t>New London</t>
  </si>
  <si>
    <t>Saueressig</t>
  </si>
  <si>
    <t xml:space="preserve">2200 Nevada Ave S Apt 219 </t>
  </si>
  <si>
    <t xml:space="preserve">3677 E Kingler Spring Pl </t>
  </si>
  <si>
    <t xml:space="preserve">3205 W Cortaro Farms Rd Unit 36 </t>
  </si>
  <si>
    <t xml:space="preserve">1901 Shirlane Pl NE </t>
  </si>
  <si>
    <t xml:space="preserve">5170 Harding St </t>
  </si>
  <si>
    <t>Prole</t>
  </si>
  <si>
    <t>Underberg</t>
  </si>
  <si>
    <t xml:space="preserve">1357 Meadow Ln </t>
  </si>
  <si>
    <t>Fort Dodge</t>
  </si>
  <si>
    <t xml:space="preserve">2025 Creek Ridge Dr </t>
  </si>
  <si>
    <t>Riffe</t>
  </si>
  <si>
    <t xml:space="preserve">22927 Highway 140 </t>
  </si>
  <si>
    <t xml:space="preserve">77 Apache Trl </t>
  </si>
  <si>
    <t xml:space="preserve">PO Box 514 </t>
  </si>
  <si>
    <t>Monticello</t>
  </si>
  <si>
    <t>Bastedo</t>
  </si>
  <si>
    <t xml:space="preserve">727 W Rose City Rd </t>
  </si>
  <si>
    <t>Rose City</t>
  </si>
  <si>
    <t xml:space="preserve">14495 Crestridge Dr </t>
  </si>
  <si>
    <t>Cement City</t>
  </si>
  <si>
    <t>Piche</t>
  </si>
  <si>
    <t xml:space="preserve">5413 S Dunkirk Way </t>
  </si>
  <si>
    <t xml:space="preserve">1388 Lambert Cir </t>
  </si>
  <si>
    <t>Vasicek</t>
  </si>
  <si>
    <t xml:space="preserve">11990 E South Boulder Rd Lot 73 </t>
  </si>
  <si>
    <t xml:space="preserve">8402 E Lehigh Dr </t>
  </si>
  <si>
    <t xml:space="preserve">1413 Kwis Ave </t>
  </si>
  <si>
    <t>Cresswell</t>
  </si>
  <si>
    <t xml:space="preserve">1910 S Ocean Blvd </t>
  </si>
  <si>
    <t>Kulcsárová</t>
  </si>
  <si>
    <t>Klára</t>
  </si>
  <si>
    <t xml:space="preserve">18 HLAVNÁ 1/4 </t>
  </si>
  <si>
    <t>Svätu?E</t>
  </si>
  <si>
    <t>Feher</t>
  </si>
  <si>
    <t xml:space="preserve">110 Whitney Ave </t>
  </si>
  <si>
    <t xml:space="preserve">81 College Ave </t>
  </si>
  <si>
    <t xml:space="preserve">814 College St </t>
  </si>
  <si>
    <t>Sugarman</t>
  </si>
  <si>
    <t>Stevie</t>
  </si>
  <si>
    <t xml:space="preserve">PO Box 923 </t>
  </si>
  <si>
    <t>Alvera</t>
  </si>
  <si>
    <t xml:space="preserve">120 W San Marino Dr </t>
  </si>
  <si>
    <t>Deangelo</t>
  </si>
  <si>
    <t xml:space="preserve">1731 Balboa St </t>
  </si>
  <si>
    <t xml:space="preserve">5304 NW 234th St </t>
  </si>
  <si>
    <t>Jacky</t>
  </si>
  <si>
    <t xml:space="preserve">33600 County Road 17/21 </t>
  </si>
  <si>
    <t>Lupien</t>
  </si>
  <si>
    <t>Sue Ellen</t>
  </si>
  <si>
    <t xml:space="preserve">106 Misty Valley Ln </t>
  </si>
  <si>
    <t>Maumelle</t>
  </si>
  <si>
    <t>Niemeyer</t>
  </si>
  <si>
    <t xml:space="preserve">1156 Lorraine Ave </t>
  </si>
  <si>
    <t>Regusis</t>
  </si>
  <si>
    <t>Anthony J.</t>
  </si>
  <si>
    <t xml:space="preserve">2805 33rd St Apt 6B </t>
  </si>
  <si>
    <t>Trzcinski</t>
  </si>
  <si>
    <t xml:space="preserve">697 Freemans Way </t>
  </si>
  <si>
    <t>Cremin</t>
  </si>
  <si>
    <t xml:space="preserve">400123 W 3974 Way </t>
  </si>
  <si>
    <t>Collinsville</t>
  </si>
  <si>
    <t>Hirschman</t>
  </si>
  <si>
    <t xml:space="preserve">9 Hendricks Pl </t>
  </si>
  <si>
    <t xml:space="preserve">1904 S Weimer Rd </t>
  </si>
  <si>
    <t>Corwin</t>
  </si>
  <si>
    <t>Valarie</t>
  </si>
  <si>
    <t xml:space="preserve">484 Batavia Rd </t>
  </si>
  <si>
    <t xml:space="preserve">PO Box 62 </t>
  </si>
  <si>
    <t>Marmarth</t>
  </si>
  <si>
    <t xml:space="preserve">PO Box 4005 </t>
  </si>
  <si>
    <t>Dossy</t>
  </si>
  <si>
    <t xml:space="preserve">1141 Canvasback Cir </t>
  </si>
  <si>
    <t>Eason</t>
  </si>
  <si>
    <t xml:space="preserve">2705 Deer Park Rd </t>
  </si>
  <si>
    <t>Finksburg</t>
  </si>
  <si>
    <t>Boberick</t>
  </si>
  <si>
    <t xml:space="preserve">138 Baranof Ave </t>
  </si>
  <si>
    <t>Rothschild</t>
  </si>
  <si>
    <t xml:space="preserve">1051 Vista Del Monte St </t>
  </si>
  <si>
    <t xml:space="preserve">18 Cinder Ct </t>
  </si>
  <si>
    <t>Dryer</t>
  </si>
  <si>
    <t xml:space="preserve">337 Fieldcrest Ln </t>
  </si>
  <si>
    <t>Chrislock</t>
  </si>
  <si>
    <t xml:space="preserve">26235 Atherton Pl </t>
  </si>
  <si>
    <t>St.Pierre</t>
  </si>
  <si>
    <t>Angelique</t>
  </si>
  <si>
    <t xml:space="preserve">1456 Arnold Dr </t>
  </si>
  <si>
    <t>Kemp</t>
  </si>
  <si>
    <t xml:space="preserve">152 Cherryville Rd </t>
  </si>
  <si>
    <t>Pittari</t>
  </si>
  <si>
    <t xml:space="preserve">134 Main St N </t>
  </si>
  <si>
    <t xml:space="preserve">432 Darrow Ave </t>
  </si>
  <si>
    <t>Nedeau</t>
  </si>
  <si>
    <t>E. James</t>
  </si>
  <si>
    <t xml:space="preserve">2278 Harding Ave </t>
  </si>
  <si>
    <t>Reimel</t>
  </si>
  <si>
    <t xml:space="preserve">2065 Woodshire Pl SE </t>
  </si>
  <si>
    <t>Vibert</t>
  </si>
  <si>
    <t xml:space="preserve">1981 Indiana Rd </t>
  </si>
  <si>
    <t>Leeds</t>
  </si>
  <si>
    <t xml:space="preserve">PO Box 398 </t>
  </si>
  <si>
    <t>Point Reyes Station</t>
  </si>
  <si>
    <t>Astrid</t>
  </si>
  <si>
    <t xml:space="preserve">920 Centinela Ave </t>
  </si>
  <si>
    <t>Hanle</t>
  </si>
  <si>
    <t xml:space="preserve">1666 Coffman St Apt 319 </t>
  </si>
  <si>
    <t>Marconi</t>
  </si>
  <si>
    <t xml:space="preserve">214 Eugene Ave </t>
  </si>
  <si>
    <t>Knudtsen</t>
  </si>
  <si>
    <t xml:space="preserve">3571 N Rock Creek Ln </t>
  </si>
  <si>
    <t xml:space="preserve">11 Buttonwood Dr </t>
  </si>
  <si>
    <t>Exton</t>
  </si>
  <si>
    <t xml:space="preserve">4143 39th Pl Apt 3E </t>
  </si>
  <si>
    <t>Sunnyside</t>
  </si>
  <si>
    <t>Kaylene</t>
  </si>
  <si>
    <t xml:space="preserve">308 Rock Springs Dr </t>
  </si>
  <si>
    <t>Spartanburg</t>
  </si>
  <si>
    <t xml:space="preserve">46 E Broad St </t>
  </si>
  <si>
    <t>Chasteen</t>
  </si>
  <si>
    <t xml:space="preserve">1662 Ishnala Dr Apt 204 </t>
  </si>
  <si>
    <t>Kornfeld</t>
  </si>
  <si>
    <t>Mr</t>
  </si>
  <si>
    <t xml:space="preserve">3 W Colorado Blvd </t>
  </si>
  <si>
    <t>Forray</t>
  </si>
  <si>
    <t xml:space="preserve">7355 Santa Fe Dr </t>
  </si>
  <si>
    <t xml:space="preserve">706 Erie Ave </t>
  </si>
  <si>
    <t>Mosier</t>
  </si>
  <si>
    <t xml:space="preserve">622 Hemlock Trl </t>
  </si>
  <si>
    <t xml:space="preserve">5011 N 30th St </t>
  </si>
  <si>
    <t>Beaulieu</t>
  </si>
  <si>
    <t xml:space="preserve">679 Old Bedford Rd </t>
  </si>
  <si>
    <t xml:space="preserve">3640 E Gleneagle Pl </t>
  </si>
  <si>
    <t>Lavallee</t>
  </si>
  <si>
    <t xml:space="preserve">233 Main St </t>
  </si>
  <si>
    <t xml:space="preserve">14616 142nd Ave SE </t>
  </si>
  <si>
    <t xml:space="preserve">4882 Flagstar Cir </t>
  </si>
  <si>
    <t xml:space="preserve">3301 Monroe St NE Unit J110 </t>
  </si>
  <si>
    <t xml:space="preserve">785 E Sheridan St </t>
  </si>
  <si>
    <t>West Point</t>
  </si>
  <si>
    <t>Rademaker</t>
  </si>
  <si>
    <t xml:space="preserve">153 AZEVEDO DR APT </t>
  </si>
  <si>
    <t>Hanas</t>
  </si>
  <si>
    <t xml:space="preserve">234 Reig Ave </t>
  </si>
  <si>
    <t>Conneaut</t>
  </si>
  <si>
    <t>Lise</t>
  </si>
  <si>
    <t xml:space="preserve">PO Box 70 </t>
  </si>
  <si>
    <t>Hanes</t>
  </si>
  <si>
    <t xml:space="preserve">258 W Highland Dr </t>
  </si>
  <si>
    <t>Bostick</t>
  </si>
  <si>
    <t xml:space="preserve">400 S Palm Dr Apt 309 </t>
  </si>
  <si>
    <t xml:space="preserve">86 Park St </t>
  </si>
  <si>
    <t>Erman</t>
  </si>
  <si>
    <t xml:space="preserve">3137 Pinecrest Way </t>
  </si>
  <si>
    <t>Auburn Hills</t>
  </si>
  <si>
    <t>Gergat</t>
  </si>
  <si>
    <t xml:space="preserve">1689 S Main St </t>
  </si>
  <si>
    <t>Bechtelsville</t>
  </si>
  <si>
    <t>19505-9449</t>
  </si>
  <si>
    <t xml:space="preserve">636 W 172nd St </t>
  </si>
  <si>
    <t>Barb</t>
  </si>
  <si>
    <t xml:space="preserve">1081 Felty Ave SE Apt 303 </t>
  </si>
  <si>
    <t>Kralik</t>
  </si>
  <si>
    <t xml:space="preserve">16084 S Forsythe Rd </t>
  </si>
  <si>
    <t>Bragg</t>
  </si>
  <si>
    <t xml:space="preserve">3343 Country Brook St </t>
  </si>
  <si>
    <t>Sablich</t>
  </si>
  <si>
    <t xml:space="preserve">1413 Transcontinental Dr </t>
  </si>
  <si>
    <t>Mazariegos</t>
  </si>
  <si>
    <t xml:space="preserve">112 N Granite Cir </t>
  </si>
  <si>
    <t xml:space="preserve">12059 Rose Dr </t>
  </si>
  <si>
    <t>Hagos</t>
  </si>
  <si>
    <t xml:space="preserve">4 Whipple Rd </t>
  </si>
  <si>
    <t>South Hero</t>
  </si>
  <si>
    <t xml:space="preserve">51 Cormorant Bay Rd </t>
  </si>
  <si>
    <t>Sourelis</t>
  </si>
  <si>
    <t xml:space="preserve">PO Box 1681 </t>
  </si>
  <si>
    <t>Batterson</t>
  </si>
  <si>
    <t>Wendie</t>
  </si>
  <si>
    <t xml:space="preserve">4265 Cape Haze Dr </t>
  </si>
  <si>
    <t>Placida</t>
  </si>
  <si>
    <t>Berdy</t>
  </si>
  <si>
    <t xml:space="preserve">350 W 56th St Apt 1B </t>
  </si>
  <si>
    <t xml:space="preserve">7511 E Lee Pl </t>
  </si>
  <si>
    <t>Woerner</t>
  </si>
  <si>
    <t xml:space="preserve">18 Hastings St </t>
  </si>
  <si>
    <t>Looney</t>
  </si>
  <si>
    <t>Jes</t>
  </si>
  <si>
    <t xml:space="preserve">1600 NW Santorini Ln </t>
  </si>
  <si>
    <t>Parkhurst</t>
  </si>
  <si>
    <t xml:space="preserve">1210 S Collinswood Dr </t>
  </si>
  <si>
    <t>Griffy</t>
  </si>
  <si>
    <t xml:space="preserve">3529 W San Juan Ave </t>
  </si>
  <si>
    <t>Micheline</t>
  </si>
  <si>
    <t xml:space="preserve">1630 Camulos Ave </t>
  </si>
  <si>
    <t>Digiovanni</t>
  </si>
  <si>
    <t xml:space="preserve">1313 Henry St </t>
  </si>
  <si>
    <t xml:space="preserve">11 Wiley St </t>
  </si>
  <si>
    <t>Rogalski</t>
  </si>
  <si>
    <t>Joseph And Judy</t>
  </si>
  <si>
    <t xml:space="preserve">18861 Ravenna Rd </t>
  </si>
  <si>
    <t>Kasper</t>
  </si>
  <si>
    <t xml:space="preserve">2390 Lewiston Rd </t>
  </si>
  <si>
    <t>Lewiston</t>
  </si>
  <si>
    <t>Laurio</t>
  </si>
  <si>
    <t>A.J.</t>
  </si>
  <si>
    <t xml:space="preserve">4444 Strasburg Rd </t>
  </si>
  <si>
    <t>Strasburg</t>
  </si>
  <si>
    <t xml:space="preserve">1707 Latigo Canyon Rd </t>
  </si>
  <si>
    <t xml:space="preserve">179 HAW Crk </t>
  </si>
  <si>
    <t xml:space="preserve">1460 Twinridge Rd </t>
  </si>
  <si>
    <t xml:space="preserve">3159 County Road 30 </t>
  </si>
  <si>
    <t xml:space="preserve">5480 S 2300 W </t>
  </si>
  <si>
    <t>P.J.</t>
  </si>
  <si>
    <t xml:space="preserve">20 Overlook Dr </t>
  </si>
  <si>
    <t>Beach Lake</t>
  </si>
  <si>
    <t>Herzog</t>
  </si>
  <si>
    <t xml:space="preserve">4406 W Trilby Ave </t>
  </si>
  <si>
    <t>Variola</t>
  </si>
  <si>
    <t xml:space="preserve">19260 W Raymond Dr </t>
  </si>
  <si>
    <t xml:space="preserve">260 Boyd Ave </t>
  </si>
  <si>
    <t xml:space="preserve">22 Highland Dr NW </t>
  </si>
  <si>
    <t>Fort Walton Beach</t>
  </si>
  <si>
    <t>Courtice</t>
  </si>
  <si>
    <t xml:space="preserve">PO Box 1484 </t>
  </si>
  <si>
    <t>Lacourse</t>
  </si>
  <si>
    <t xml:space="preserve">1030 NE 102nd Ave Apt 31 </t>
  </si>
  <si>
    <t xml:space="preserve">2202 W Lake Dr </t>
  </si>
  <si>
    <t>Welp</t>
  </si>
  <si>
    <t xml:space="preserve">321 Declaration Ave </t>
  </si>
  <si>
    <t>Amell</t>
  </si>
  <si>
    <t xml:space="preserve">6806 Goldflower Ave </t>
  </si>
  <si>
    <t xml:space="preserve">1077 Vista Madera Ln </t>
  </si>
  <si>
    <t xml:space="preserve">724 Nesumner </t>
  </si>
  <si>
    <t>Stetler</t>
  </si>
  <si>
    <t xml:space="preserve">9916 NE 134th Ct # WA98034 </t>
  </si>
  <si>
    <t>Crapuche</t>
  </si>
  <si>
    <t xml:space="preserve">Andrý Chýnier </t>
  </si>
  <si>
    <t>Warda</t>
  </si>
  <si>
    <t xml:space="preserve">5958 Manchester Pike </t>
  </si>
  <si>
    <t xml:space="preserve">4163 Sunrise Dr </t>
  </si>
  <si>
    <t>Park City</t>
  </si>
  <si>
    <t>McMurtrey</t>
  </si>
  <si>
    <t xml:space="preserve">241 S Belmont Rd </t>
  </si>
  <si>
    <t>Exeter</t>
  </si>
  <si>
    <t>Sturdavant</t>
  </si>
  <si>
    <t xml:space="preserve">2120 W 24th Ave </t>
  </si>
  <si>
    <t>Sha</t>
  </si>
  <si>
    <t xml:space="preserve">CERRO Ln </t>
  </si>
  <si>
    <t xml:space="preserve">4622 W 26th Ave </t>
  </si>
  <si>
    <t>Kelch</t>
  </si>
  <si>
    <t xml:space="preserve">619 NE Stanton St </t>
  </si>
  <si>
    <t xml:space="preserve">132 Murdock Ave </t>
  </si>
  <si>
    <t>Azar</t>
  </si>
  <si>
    <t xml:space="preserve">7422 Richland Manor Dr </t>
  </si>
  <si>
    <t xml:space="preserve">401 N 11th St Apt 1 </t>
  </si>
  <si>
    <t>Saint Helens</t>
  </si>
  <si>
    <t xml:space="preserve">PO Box 1 </t>
  </si>
  <si>
    <t xml:space="preserve">1722 Barlow Ln </t>
  </si>
  <si>
    <t xml:space="preserve">3308 Ash Vw </t>
  </si>
  <si>
    <t>Kaczorowski</t>
  </si>
  <si>
    <t xml:space="preserve">180 11 69 Ave </t>
  </si>
  <si>
    <t xml:space="preserve">1818 Carrillo </t>
  </si>
  <si>
    <t>Questa</t>
  </si>
  <si>
    <t>Stowasser</t>
  </si>
  <si>
    <t>Nancy Lee</t>
  </si>
  <si>
    <t xml:space="preserve">16 Village West Trl </t>
  </si>
  <si>
    <t>Mullan</t>
  </si>
  <si>
    <t xml:space="preserve">6415 Lakeshore Dr </t>
  </si>
  <si>
    <t xml:space="preserve">6118 Reed Way </t>
  </si>
  <si>
    <t>Nafziger</t>
  </si>
  <si>
    <t xml:space="preserve">1101 Porter St </t>
  </si>
  <si>
    <t xml:space="preserve">511 Whisperwood Dr </t>
  </si>
  <si>
    <t>McKeighen</t>
  </si>
  <si>
    <t xml:space="preserve">711 University Ave Apt 2214 </t>
  </si>
  <si>
    <t xml:space="preserve">144 Riverwatch Dr </t>
  </si>
  <si>
    <t>Blawnox</t>
  </si>
  <si>
    <t xml:space="preserve">3492 S Oakdale Ter </t>
  </si>
  <si>
    <t>Reigelman</t>
  </si>
  <si>
    <t xml:space="preserve">400 Linwood Ave Apt 5 </t>
  </si>
  <si>
    <t xml:space="preserve">4326 Todd Rd </t>
  </si>
  <si>
    <t>Yopp</t>
  </si>
  <si>
    <t xml:space="preserve">1600 N 20th St </t>
  </si>
  <si>
    <t xml:space="preserve">9 Chadwick Ct </t>
  </si>
  <si>
    <t>Gomoll</t>
  </si>
  <si>
    <t xml:space="preserve">15725 Columbine St </t>
  </si>
  <si>
    <t>Madsen</t>
  </si>
  <si>
    <t>Patricia Madsen</t>
  </si>
  <si>
    <t xml:space="preserve">1445 Birch St </t>
  </si>
  <si>
    <t xml:space="preserve">2740 Pontiac Dr </t>
  </si>
  <si>
    <t>Zwergel</t>
  </si>
  <si>
    <t xml:space="preserve">48 Round Bottom Rd </t>
  </si>
  <si>
    <t>Treuter</t>
  </si>
  <si>
    <t xml:space="preserve">115 Westcliff Ter </t>
  </si>
  <si>
    <t xml:space="preserve">3451 Texas Avenue Simi Vly </t>
  </si>
  <si>
    <t>Broome</t>
  </si>
  <si>
    <t xml:space="preserve">10 Otter River Rd </t>
  </si>
  <si>
    <t>Winchendon</t>
  </si>
  <si>
    <t>Engelhardt</t>
  </si>
  <si>
    <t xml:space="preserve">OLD COLONY Way </t>
  </si>
  <si>
    <t xml:space="preserve">259 S Rock River Rd </t>
  </si>
  <si>
    <t>Raceles</t>
  </si>
  <si>
    <t xml:space="preserve">1138 S Henry Ruff Rd </t>
  </si>
  <si>
    <t>Westland</t>
  </si>
  <si>
    <t xml:space="preserve">5546 Bartlett St </t>
  </si>
  <si>
    <t>Stallard</t>
  </si>
  <si>
    <t xml:space="preserve">14629 Charter Oak Blvd </t>
  </si>
  <si>
    <t>Colby</t>
  </si>
  <si>
    <t>Stephani</t>
  </si>
  <si>
    <t xml:space="preserve">27 Silva Ct # B </t>
  </si>
  <si>
    <t xml:space="preserve">31 Wildwood Rd </t>
  </si>
  <si>
    <t>West Simsbury</t>
  </si>
  <si>
    <t>Dykhne</t>
  </si>
  <si>
    <t>Egle</t>
  </si>
  <si>
    <t xml:space="preserve">388 Avenue S Apt 2F </t>
  </si>
  <si>
    <t xml:space="preserve">39616 N 26th St </t>
  </si>
  <si>
    <t xml:space="preserve">725 Route 340 </t>
  </si>
  <si>
    <t>Palisades</t>
  </si>
  <si>
    <t xml:space="preserve">50 DUNLAP St </t>
  </si>
  <si>
    <t xml:space="preserve">10153 Gloria Ave </t>
  </si>
  <si>
    <t xml:space="preserve">10755 Winthrop </t>
  </si>
  <si>
    <t xml:space="preserve">133 Hillsdale Rd </t>
  </si>
  <si>
    <t>Silverstein</t>
  </si>
  <si>
    <t xml:space="preserve">235 Lincoln Pl </t>
  </si>
  <si>
    <t>Kalavity</t>
  </si>
  <si>
    <t xml:space="preserve">9940 Westcliff Pkwy </t>
  </si>
  <si>
    <t xml:space="preserve">5111 E Valencia Dr </t>
  </si>
  <si>
    <t>Zien</t>
  </si>
  <si>
    <t>Morawski</t>
  </si>
  <si>
    <t xml:space="preserve">PO Box 2306 </t>
  </si>
  <si>
    <t>Cochran</t>
  </si>
  <si>
    <t xml:space="preserve">2031 Fairview Ave E Apt N </t>
  </si>
  <si>
    <t>Poinier</t>
  </si>
  <si>
    <t xml:space="preserve">8521 5th Ave NE </t>
  </si>
  <si>
    <t>Keawe</t>
  </si>
  <si>
    <t xml:space="preserve">15 -2797 Popaa St </t>
  </si>
  <si>
    <t xml:space="preserve">415 English Ct </t>
  </si>
  <si>
    <t xml:space="preserve">136 Sloop St # 2 </t>
  </si>
  <si>
    <t xml:space="preserve">144 Brook Steeet Hudson Hudson </t>
  </si>
  <si>
    <t xml:space="preserve">CENTRAL Blvd </t>
  </si>
  <si>
    <t>Prostko</t>
  </si>
  <si>
    <t xml:space="preserve">PO Box 54 </t>
  </si>
  <si>
    <t>Rainho</t>
  </si>
  <si>
    <t xml:space="preserve">47 Eliot St </t>
  </si>
  <si>
    <t>Tria</t>
  </si>
  <si>
    <t xml:space="preserve">15247 Faubion Trl </t>
  </si>
  <si>
    <t>Leander</t>
  </si>
  <si>
    <t>Hollings</t>
  </si>
  <si>
    <t xml:space="preserve">125 Savage St </t>
  </si>
  <si>
    <t>Walterboro</t>
  </si>
  <si>
    <t>Sallie Franz</t>
  </si>
  <si>
    <t xml:space="preserve">22 Vaill Rd </t>
  </si>
  <si>
    <t xml:space="preserve">5502 Houghton St </t>
  </si>
  <si>
    <t>Winograd</t>
  </si>
  <si>
    <t xml:space="preserve">26 Surrey Ln </t>
  </si>
  <si>
    <t>Brusin</t>
  </si>
  <si>
    <t xml:space="preserve">73 Edison St </t>
  </si>
  <si>
    <t xml:space="preserve">292 Hunting Hill Rd </t>
  </si>
  <si>
    <t xml:space="preserve">15105 Toepfer Dr </t>
  </si>
  <si>
    <t>Eastpointe</t>
  </si>
  <si>
    <t>Adam Elliott</t>
  </si>
  <si>
    <t xml:space="preserve">675 MEADOW Ln </t>
  </si>
  <si>
    <t>Crested Butte</t>
  </si>
  <si>
    <t>Jaszmene</t>
  </si>
  <si>
    <t xml:space="preserve">67 Lee Ave </t>
  </si>
  <si>
    <t>Wojocockowicz</t>
  </si>
  <si>
    <t xml:space="preserve">HARDING Ave </t>
  </si>
  <si>
    <t>Pennsville</t>
  </si>
  <si>
    <t>Nicodemus</t>
  </si>
  <si>
    <t xml:space="preserve">2710 Danube Dr </t>
  </si>
  <si>
    <t xml:space="preserve">86589 Bailey Hill Rd Eugene OR86589 </t>
  </si>
  <si>
    <t>Restrepo</t>
  </si>
  <si>
    <t xml:space="preserve">128 Ringtail Ct </t>
  </si>
  <si>
    <t>Jenkinson</t>
  </si>
  <si>
    <t xml:space="preserve">28001 Langside Ave </t>
  </si>
  <si>
    <t>Canyon Country</t>
  </si>
  <si>
    <t>Delgarbino</t>
  </si>
  <si>
    <t xml:space="preserve">183 Neck Rd </t>
  </si>
  <si>
    <t>Shiloh</t>
  </si>
  <si>
    <t xml:space="preserve">164 Park St </t>
  </si>
  <si>
    <t>Maura</t>
  </si>
  <si>
    <t xml:space="preserve">570 School St MA2478 </t>
  </si>
  <si>
    <t>Strecker</t>
  </si>
  <si>
    <t xml:space="preserve">190 Canterbury Dr </t>
  </si>
  <si>
    <t>Ridge</t>
  </si>
  <si>
    <t>Stan</t>
  </si>
  <si>
    <t xml:space="preserve">9071 Meadow Way </t>
  </si>
  <si>
    <t>Wyeth</t>
  </si>
  <si>
    <t xml:space="preserve">121 Locust St </t>
  </si>
  <si>
    <t>Lodi</t>
  </si>
  <si>
    <t xml:space="preserve">55785 Lost Rider Loop </t>
  </si>
  <si>
    <t>Aroneau</t>
  </si>
  <si>
    <t>Katharyn</t>
  </si>
  <si>
    <t xml:space="preserve">246 Howe Hill Rd </t>
  </si>
  <si>
    <t xml:space="preserve">605 Camino Contento </t>
  </si>
  <si>
    <t>Arroyo Grande</t>
  </si>
  <si>
    <t>Umana</t>
  </si>
  <si>
    <t xml:space="preserve">804 30th Ave W Avew </t>
  </si>
  <si>
    <t>Palmetto</t>
  </si>
  <si>
    <t xml:space="preserve">1733 W 130th St </t>
  </si>
  <si>
    <t>Hinckley</t>
  </si>
  <si>
    <t>Bartusik</t>
  </si>
  <si>
    <t xml:space="preserve">7556 Lathers St </t>
  </si>
  <si>
    <t xml:space="preserve">2411 C Delancey St </t>
  </si>
  <si>
    <t>Helfer</t>
  </si>
  <si>
    <t xml:space="preserve">3669 Victoria Dr </t>
  </si>
  <si>
    <t>Stone Mtn</t>
  </si>
  <si>
    <t>Menechella</t>
  </si>
  <si>
    <t xml:space="preserve">1431 Stage Coach Rd </t>
  </si>
  <si>
    <t>McQuaid</t>
  </si>
  <si>
    <t xml:space="preserve">3030 Saint Johns Ave </t>
  </si>
  <si>
    <t>Shear</t>
  </si>
  <si>
    <t xml:space="preserve">21 Montclair Dr </t>
  </si>
  <si>
    <t>Glenville</t>
  </si>
  <si>
    <t xml:space="preserve">122 S Michigan Ave Ste 1406 </t>
  </si>
  <si>
    <t>Agnetti</t>
  </si>
  <si>
    <t xml:space="preserve">4500 Lake Ashley Dr </t>
  </si>
  <si>
    <t xml:space="preserve">11018 Lobelia Ave NW </t>
  </si>
  <si>
    <t>Silverdale</t>
  </si>
  <si>
    <t>Kidd</t>
  </si>
  <si>
    <t xml:space="preserve">30 RAVENCROFT Dr </t>
  </si>
  <si>
    <t>Janssen</t>
  </si>
  <si>
    <t xml:space="preserve">3353 Bradford Rd </t>
  </si>
  <si>
    <t>Lefevers</t>
  </si>
  <si>
    <t xml:space="preserve">10901 W SANTA FE Dr </t>
  </si>
  <si>
    <t>Virtuoso</t>
  </si>
  <si>
    <t xml:space="preserve">83 Woodbury Dr </t>
  </si>
  <si>
    <t>Broyhill</t>
  </si>
  <si>
    <t xml:space="preserve">6752 18th Ave NW </t>
  </si>
  <si>
    <t>Heasley</t>
  </si>
  <si>
    <t xml:space="preserve">96 Colonial Dr </t>
  </si>
  <si>
    <t>Craig And Melissa</t>
  </si>
  <si>
    <t xml:space="preserve">1096 Guild Dr </t>
  </si>
  <si>
    <t>Faegre</t>
  </si>
  <si>
    <t>Dirk</t>
  </si>
  <si>
    <t xml:space="preserve">46 Herrick Rd </t>
  </si>
  <si>
    <t>Radford</t>
  </si>
  <si>
    <t>Lemoine</t>
  </si>
  <si>
    <t xml:space="preserve">3603 E Lk Samm Shore Ln SE </t>
  </si>
  <si>
    <t>Mikels</t>
  </si>
  <si>
    <t xml:space="preserve">35094 N Sheridan Dr </t>
  </si>
  <si>
    <t>Ingleside</t>
  </si>
  <si>
    <t xml:space="preserve">1620 Loma Ave </t>
  </si>
  <si>
    <t xml:space="preserve">115 Delaware St </t>
  </si>
  <si>
    <t xml:space="preserve">18700 Gulf Boulevard Indian Shrs Unit 8 </t>
  </si>
  <si>
    <t>Indian Rocks Beach</t>
  </si>
  <si>
    <t>Vollmer</t>
  </si>
  <si>
    <t xml:space="preserve">26 Narragansett Cv </t>
  </si>
  <si>
    <t>Cheng</t>
  </si>
  <si>
    <t xml:space="preserve">115 Clovelly Rd </t>
  </si>
  <si>
    <t>Amarillas</t>
  </si>
  <si>
    <t>Cristina</t>
  </si>
  <si>
    <t xml:space="preserve">3109 Rocklin Dr </t>
  </si>
  <si>
    <t xml:space="preserve">4672 Mahogany View Trl </t>
  </si>
  <si>
    <t xml:space="preserve">1109 Church St NE </t>
  </si>
  <si>
    <t>Kabir-Clark</t>
  </si>
  <si>
    <t xml:space="preserve">44 Long Hill Rd </t>
  </si>
  <si>
    <t>Nellie</t>
  </si>
  <si>
    <t xml:space="preserve">135 Fifth Ave </t>
  </si>
  <si>
    <t>Sagerman</t>
  </si>
  <si>
    <t xml:space="preserve">5107 E Quartermaster Ct </t>
  </si>
  <si>
    <t>Benveniste</t>
  </si>
  <si>
    <t xml:space="preserve">7774 W Zayante Rd </t>
  </si>
  <si>
    <t>Strimbu</t>
  </si>
  <si>
    <t xml:space="preserve">2450 Hawthorne Rd </t>
  </si>
  <si>
    <t>Homewood</t>
  </si>
  <si>
    <t xml:space="preserve">135 Arch St </t>
  </si>
  <si>
    <t>Trikilis</t>
  </si>
  <si>
    <t xml:space="preserve">493 Loring Ave </t>
  </si>
  <si>
    <t xml:space="preserve">3043 NE 51st Ave </t>
  </si>
  <si>
    <t>Quint</t>
  </si>
  <si>
    <t xml:space="preserve">380 Mountain Rd Union City </t>
  </si>
  <si>
    <t xml:space="preserve">1156 Noche Buena St Apt G </t>
  </si>
  <si>
    <t>Ruesch</t>
  </si>
  <si>
    <t xml:space="preserve">215 Strangeway Ave </t>
  </si>
  <si>
    <t xml:space="preserve">127 N Ardmore Ave </t>
  </si>
  <si>
    <t>Delozier</t>
  </si>
  <si>
    <t xml:space="preserve">2070 Cambridge D </t>
  </si>
  <si>
    <t>Siptroth</t>
  </si>
  <si>
    <t xml:space="preserve">2160 E Trails End Dr # WA98528 </t>
  </si>
  <si>
    <t>Belfair</t>
  </si>
  <si>
    <t>Matsakis</t>
  </si>
  <si>
    <t xml:space="preserve">234 Santiago Ave </t>
  </si>
  <si>
    <t>Sullivan-Greiner</t>
  </si>
  <si>
    <t>Sadie</t>
  </si>
  <si>
    <t xml:space="preserve">556 Willet St </t>
  </si>
  <si>
    <t xml:space="preserve">9825 Lancewood St </t>
  </si>
  <si>
    <t>Armijo</t>
  </si>
  <si>
    <t>Salme</t>
  </si>
  <si>
    <t xml:space="preserve">240 N Adams St Apt 1 </t>
  </si>
  <si>
    <t>Sizemore</t>
  </si>
  <si>
    <t xml:space="preserve">111 2nd St </t>
  </si>
  <si>
    <t>Muscle Shoals</t>
  </si>
  <si>
    <t>Nordquist</t>
  </si>
  <si>
    <t xml:space="preserve">18014 Forest Retreat Ln </t>
  </si>
  <si>
    <t xml:space="preserve">PO Box 696 </t>
  </si>
  <si>
    <t>Waterworth</t>
  </si>
  <si>
    <t>Mrs. P.D.</t>
  </si>
  <si>
    <t xml:space="preserve">A FRANKLIN </t>
  </si>
  <si>
    <t>Knutsen</t>
  </si>
  <si>
    <t xml:space="preserve">Alaska Peninsula Hwy </t>
  </si>
  <si>
    <t>Naknek</t>
  </si>
  <si>
    <t xml:space="preserve">16 Northend St Apt 3 </t>
  </si>
  <si>
    <t>Schudda</t>
  </si>
  <si>
    <t>Schulte-Hillen</t>
  </si>
  <si>
    <t>Aachen</t>
  </si>
  <si>
    <t>North Rhine-Westphalia</t>
  </si>
  <si>
    <t>Tublin</t>
  </si>
  <si>
    <t>Dian</t>
  </si>
  <si>
    <t xml:space="preserve">WILLOW SPRING Ct </t>
  </si>
  <si>
    <t>Tomaschik</t>
  </si>
  <si>
    <t xml:space="preserve">2645 Fleur De Lis Pl </t>
  </si>
  <si>
    <t xml:space="preserve">619 0AK Hill Alpine Rd </t>
  </si>
  <si>
    <t>Teel</t>
  </si>
  <si>
    <t xml:space="preserve">3715 Hidden Meadow Ln </t>
  </si>
  <si>
    <t>Keezletown</t>
  </si>
  <si>
    <t xml:space="preserve">2169 Maryland Line Rd </t>
  </si>
  <si>
    <t>Bruceton Mills</t>
  </si>
  <si>
    <t>Diaz-Reyes</t>
  </si>
  <si>
    <t>Taina</t>
  </si>
  <si>
    <t xml:space="preserve">2700 Reynolda Rd Apt 610 </t>
  </si>
  <si>
    <t>Walz</t>
  </si>
  <si>
    <t xml:space="preserve">100 Parkrise Ct </t>
  </si>
  <si>
    <t xml:space="preserve">919 Krumsville Rd </t>
  </si>
  <si>
    <t xml:space="preserve">35123 Helmsman Way </t>
  </si>
  <si>
    <t xml:space="preserve">908 Scarff Rd </t>
  </si>
  <si>
    <t xml:space="preserve">4433 Andrea Dr </t>
  </si>
  <si>
    <t xml:space="preserve">730 S Lynhurst Dr </t>
  </si>
  <si>
    <t xml:space="preserve">1106 Lighthouse Dr </t>
  </si>
  <si>
    <t>Heingartner</t>
  </si>
  <si>
    <t xml:space="preserve">100 Willow Brook Way S Apt 3019 </t>
  </si>
  <si>
    <t>Predmore</t>
  </si>
  <si>
    <t>Gaynelle</t>
  </si>
  <si>
    <t xml:space="preserve">434 S Summit St </t>
  </si>
  <si>
    <t>Kille</t>
  </si>
  <si>
    <t xml:space="preserve">372 Coskery Pike </t>
  </si>
  <si>
    <t>Flemingsburg</t>
  </si>
  <si>
    <t>Winkler</t>
  </si>
  <si>
    <t xml:space="preserve">101 Lafayette Ave Apt 16E </t>
  </si>
  <si>
    <t>Geraghty</t>
  </si>
  <si>
    <t xml:space="preserve">651 Vanderbilt St Apt 1E </t>
  </si>
  <si>
    <t xml:space="preserve">6720 Juno St </t>
  </si>
  <si>
    <t>Modica</t>
  </si>
  <si>
    <t xml:space="preserve">138 E 4th St </t>
  </si>
  <si>
    <t>Deer Park</t>
  </si>
  <si>
    <t xml:space="preserve">84 Willett St Apt 2B </t>
  </si>
  <si>
    <t xml:space="preserve">11480 SW 38th St </t>
  </si>
  <si>
    <t xml:space="preserve">3320 Gardenia Dr </t>
  </si>
  <si>
    <t>Hernando Beach</t>
  </si>
  <si>
    <t>Kaylynn</t>
  </si>
  <si>
    <t xml:space="preserve">3720 Wooded Creek Dr </t>
  </si>
  <si>
    <t>Farmers Branch</t>
  </si>
  <si>
    <t>Denio</t>
  </si>
  <si>
    <t xml:space="preserve">41223 Apple Ln </t>
  </si>
  <si>
    <t>Monroe City</t>
  </si>
  <si>
    <t>Chapin</t>
  </si>
  <si>
    <t xml:space="preserve">728 W Central Ave </t>
  </si>
  <si>
    <t>Mori</t>
  </si>
  <si>
    <t xml:space="preserve">2 Dogwood Ln </t>
  </si>
  <si>
    <t>Rolla</t>
  </si>
  <si>
    <t>Mauer</t>
  </si>
  <si>
    <t xml:space="preserve">1616 NW Lower Silver Lake Rd </t>
  </si>
  <si>
    <t>Nicholas</t>
  </si>
  <si>
    <t xml:space="preserve">7501 SW Mallard Cir </t>
  </si>
  <si>
    <t xml:space="preserve">615 S Glendale Ave </t>
  </si>
  <si>
    <t>Frieda</t>
  </si>
  <si>
    <t xml:space="preserve">6552 Swansdown Rd </t>
  </si>
  <si>
    <t>Sakiyama</t>
  </si>
  <si>
    <t>Cathryn</t>
  </si>
  <si>
    <t xml:space="preserve">216 San Angelo Dr </t>
  </si>
  <si>
    <t xml:space="preserve">103 N Gjere Ave Apt 5 </t>
  </si>
  <si>
    <t xml:space="preserve">14205 Portnell Rd </t>
  </si>
  <si>
    <t xml:space="preserve">947 Derringer Ln </t>
  </si>
  <si>
    <t xml:space="preserve">644 General Goodwin Rd </t>
  </si>
  <si>
    <t>Cerrillos</t>
  </si>
  <si>
    <t>Doleshal</t>
  </si>
  <si>
    <t xml:space="preserve">S36W35127 County Road D </t>
  </si>
  <si>
    <t>Dousman</t>
  </si>
  <si>
    <t>Unertl</t>
  </si>
  <si>
    <t xml:space="preserve">1527 Mole Ave </t>
  </si>
  <si>
    <t>Aitken</t>
  </si>
  <si>
    <t xml:space="preserve">813 N 20th St </t>
  </si>
  <si>
    <t xml:space="preserve">275 W Juniper Ave Apt 1026 </t>
  </si>
  <si>
    <t>Kitch</t>
  </si>
  <si>
    <t xml:space="preserve">410 N Park Ridge Rd </t>
  </si>
  <si>
    <t xml:space="preserve">9345 Big Hand Rd </t>
  </si>
  <si>
    <t>Niemann</t>
  </si>
  <si>
    <t xml:space="preserve">24118 M 78 </t>
  </si>
  <si>
    <t xml:space="preserve">17426 Bothell Way NE Unit A202 </t>
  </si>
  <si>
    <t>Chu</t>
  </si>
  <si>
    <t xml:space="preserve">4110 E 15th St </t>
  </si>
  <si>
    <t xml:space="preserve">925 Green Way # 101 </t>
  </si>
  <si>
    <t>Knutson</t>
  </si>
  <si>
    <t xml:space="preserve">10844 10Th Ave 10844 10Th Ave </t>
  </si>
  <si>
    <t>Hesperia</t>
  </si>
  <si>
    <t>Hofer</t>
  </si>
  <si>
    <t xml:space="preserve">5130HWY89 </t>
  </si>
  <si>
    <t>Choteau</t>
  </si>
  <si>
    <t>Schwarzlander</t>
  </si>
  <si>
    <t>Patricia C</t>
  </si>
  <si>
    <t xml:space="preserve">270 Fenway Dr </t>
  </si>
  <si>
    <t xml:space="preserve">113 23rd Ave S Apt S314 </t>
  </si>
  <si>
    <t>Bertucci</t>
  </si>
  <si>
    <t>Enzo</t>
  </si>
  <si>
    <t xml:space="preserve">19620 S Buckhill Rd </t>
  </si>
  <si>
    <t>Tavares</t>
  </si>
  <si>
    <t xml:space="preserve">8 LITTLEWORTH Ln </t>
  </si>
  <si>
    <t>Oakham</t>
  </si>
  <si>
    <t xml:space="preserve">19000 Caves Hwy </t>
  </si>
  <si>
    <t>K E</t>
  </si>
  <si>
    <t xml:space="preserve">SHORE Dr </t>
  </si>
  <si>
    <t>Hatlestad</t>
  </si>
  <si>
    <t xml:space="preserve">Woodland Hls </t>
  </si>
  <si>
    <t>Ridenour</t>
  </si>
  <si>
    <t xml:space="preserve">PO Box 91998 </t>
  </si>
  <si>
    <t xml:space="preserve">1952 Castle Rock Rd </t>
  </si>
  <si>
    <t>Hoyler</t>
  </si>
  <si>
    <t xml:space="preserve">8 Sawyer Rd </t>
  </si>
  <si>
    <t>03861-6433</t>
  </si>
  <si>
    <t>Patrice</t>
  </si>
  <si>
    <t xml:space="preserve">5498 Coast Rd Apt 3 </t>
  </si>
  <si>
    <t>95060-5631</t>
  </si>
  <si>
    <t>Bendio</t>
  </si>
  <si>
    <t xml:space="preserve">6972 Bavarian St </t>
  </si>
  <si>
    <t>Oakley</t>
  </si>
  <si>
    <t xml:space="preserve">3156 Mount Holyoke Rd </t>
  </si>
  <si>
    <t>Gunn</t>
  </si>
  <si>
    <t xml:space="preserve">8162 Rie Bob Ln </t>
  </si>
  <si>
    <t>Hauser</t>
  </si>
  <si>
    <t>Merry</t>
  </si>
  <si>
    <t xml:space="preserve">11758 E Atlantic Pl </t>
  </si>
  <si>
    <t>Suokass</t>
  </si>
  <si>
    <t xml:space="preserve">476 IN-145 Eckerty In 47116 </t>
  </si>
  <si>
    <t>Eckerty</t>
  </si>
  <si>
    <t xml:space="preserve">4715 Settlers Ct </t>
  </si>
  <si>
    <t>55340-4612</t>
  </si>
  <si>
    <t>Comerford</t>
  </si>
  <si>
    <t xml:space="preserve">4521 Avenue H </t>
  </si>
  <si>
    <t>Yarrobino</t>
  </si>
  <si>
    <t xml:space="preserve">8423 109th Ave </t>
  </si>
  <si>
    <t>Ozone Park</t>
  </si>
  <si>
    <t>Nazon</t>
  </si>
  <si>
    <t xml:space="preserve">1030 Edgewater Dr </t>
  </si>
  <si>
    <t xml:space="preserve">1000 Parkview Dr Apt 922 </t>
  </si>
  <si>
    <t>Hallandale Beach</t>
  </si>
  <si>
    <t xml:space="preserve">420 E 64th St </t>
  </si>
  <si>
    <t xml:space="preserve">4115 SE Vineyard Rd </t>
  </si>
  <si>
    <t xml:space="preserve">170 Spring Ln </t>
  </si>
  <si>
    <t xml:space="preserve">1 Milledge Ln </t>
  </si>
  <si>
    <t xml:space="preserve">PO Box 765 </t>
  </si>
  <si>
    <t>Chattaroy</t>
  </si>
  <si>
    <t xml:space="preserve">330 W 72nd St Apt 10A </t>
  </si>
  <si>
    <t>Robertson-Dworet</t>
  </si>
  <si>
    <t xml:space="preserve">475 Toro Canyon Rd </t>
  </si>
  <si>
    <t xml:space="preserve">28669 Parkside Dr </t>
  </si>
  <si>
    <t>Jarek</t>
  </si>
  <si>
    <t>Paulina</t>
  </si>
  <si>
    <t xml:space="preserve">Wróblewskiego </t>
  </si>
  <si>
    <t>Bald Knob</t>
  </si>
  <si>
    <t xml:space="preserve">78 Ables Ln </t>
  </si>
  <si>
    <t>Raiber</t>
  </si>
  <si>
    <t xml:space="preserve">448 Jordan Stuart Cir Apt 110 </t>
  </si>
  <si>
    <t>Bridge</t>
  </si>
  <si>
    <t xml:space="preserve">706 N Michigan St </t>
  </si>
  <si>
    <t xml:space="preserve">2 Fenwick Rd </t>
  </si>
  <si>
    <t>Fort Monroe</t>
  </si>
  <si>
    <t>Bouchard</t>
  </si>
  <si>
    <t xml:space="preserve">4207 SE Saddlebrook Cir </t>
  </si>
  <si>
    <t>Grewal</t>
  </si>
  <si>
    <t xml:space="preserve">5323 NE 29th Ave </t>
  </si>
  <si>
    <t>Hulbert</t>
  </si>
  <si>
    <t xml:space="preserve">1550 Live Oak Rd </t>
  </si>
  <si>
    <t>Popiel</t>
  </si>
  <si>
    <t xml:space="preserve">34601 Elmwood St Apt 224 </t>
  </si>
  <si>
    <t>Fajardo</t>
  </si>
  <si>
    <t>Lisa Koch</t>
  </si>
  <si>
    <t xml:space="preserve">1224 Wildwood Ln </t>
  </si>
  <si>
    <t>Vestal</t>
  </si>
  <si>
    <t>Tera</t>
  </si>
  <si>
    <t xml:space="preserve">564 Cedarberry Ln </t>
  </si>
  <si>
    <t>Kashi</t>
  </si>
  <si>
    <t xml:space="preserve">151 N Nob Hill Rd </t>
  </si>
  <si>
    <t xml:space="preserve">2832 Rio Claro Dr N </t>
  </si>
  <si>
    <t>Beville</t>
  </si>
  <si>
    <t xml:space="preserve">496 Buffalo Bend Rd </t>
  </si>
  <si>
    <t>Glasgow</t>
  </si>
  <si>
    <t xml:space="preserve">83 -5594 ROCK BOTTOM Rd </t>
  </si>
  <si>
    <t>Captain Cook</t>
  </si>
  <si>
    <t>Bialecki</t>
  </si>
  <si>
    <t xml:space="preserve">PO Box 275 </t>
  </si>
  <si>
    <t xml:space="preserve">203 Veeley Rd </t>
  </si>
  <si>
    <t>Sheffield</t>
  </si>
  <si>
    <t xml:space="preserve">79 Healy Rd </t>
  </si>
  <si>
    <t>Minassian-Kiefel</t>
  </si>
  <si>
    <t xml:space="preserve">9825 McMillan Ave </t>
  </si>
  <si>
    <t>Keener</t>
  </si>
  <si>
    <t xml:space="preserve">8834 Noland Rd </t>
  </si>
  <si>
    <t>Lenexa</t>
  </si>
  <si>
    <t xml:space="preserve">6 Hopewell Farm Rd </t>
  </si>
  <si>
    <t xml:space="preserve">2072 N Elder Ave </t>
  </si>
  <si>
    <t>Huachuca City</t>
  </si>
  <si>
    <t xml:space="preserve">129 Sequoia Cir </t>
  </si>
  <si>
    <t>Barbara J</t>
  </si>
  <si>
    <t xml:space="preserve">1426 NW 60th St </t>
  </si>
  <si>
    <t>Dini</t>
  </si>
  <si>
    <t xml:space="preserve">1781 W Altgeld St Apt G </t>
  </si>
  <si>
    <t>Brandt</t>
  </si>
  <si>
    <t xml:space="preserve">9506 Mitchell Glen Dr </t>
  </si>
  <si>
    <t>Jandourek</t>
  </si>
  <si>
    <t>Alexia</t>
  </si>
  <si>
    <t xml:space="preserve">340 N Olk St </t>
  </si>
  <si>
    <t>Hortonville</t>
  </si>
  <si>
    <t>Bersani</t>
  </si>
  <si>
    <t xml:space="preserve">20 Maxwell Ave </t>
  </si>
  <si>
    <t>Vander Poel</t>
  </si>
  <si>
    <t xml:space="preserve">20 Potter Cir </t>
  </si>
  <si>
    <t>Northborough</t>
  </si>
  <si>
    <t>Goff</t>
  </si>
  <si>
    <t xml:space="preserve">143 Oak Ridge Dr </t>
  </si>
  <si>
    <t xml:space="preserve">88 Kingston St Unit 7B </t>
  </si>
  <si>
    <t>Duda</t>
  </si>
  <si>
    <t xml:space="preserve">13511 4th Plz E </t>
  </si>
  <si>
    <t>Durant</t>
  </si>
  <si>
    <t xml:space="preserve">622 E Bloomfield Ave </t>
  </si>
  <si>
    <t xml:space="preserve">636 Cedar Ln </t>
  </si>
  <si>
    <t>Deborah L.</t>
  </si>
  <si>
    <t xml:space="preserve">4405 Karrol SW </t>
  </si>
  <si>
    <t xml:space="preserve">12 Davis St </t>
  </si>
  <si>
    <t>Stosz</t>
  </si>
  <si>
    <t xml:space="preserve">379 Linden St Fl 2 </t>
  </si>
  <si>
    <t>Maziarek</t>
  </si>
  <si>
    <t xml:space="preserve">6 S185 Lakewood Dr </t>
  </si>
  <si>
    <t>Badesch</t>
  </si>
  <si>
    <t xml:space="preserve">9013 Colesville Rd # 1653 </t>
  </si>
  <si>
    <t>Latewesh</t>
  </si>
  <si>
    <t>Prof. Mahdi M.</t>
  </si>
  <si>
    <t xml:space="preserve">TRINITY Rd </t>
  </si>
  <si>
    <t>Trinity</t>
  </si>
  <si>
    <t>Levey</t>
  </si>
  <si>
    <t xml:space="preserve">PO Box 1298 </t>
  </si>
  <si>
    <t xml:space="preserve">3738 W Berteau Ave </t>
  </si>
  <si>
    <t xml:space="preserve">VISPASTRASSE </t>
  </si>
  <si>
    <t>Zermatt</t>
  </si>
  <si>
    <t>Hanley</t>
  </si>
  <si>
    <t xml:space="preserve">1812 E 37th St </t>
  </si>
  <si>
    <t>Mantle-Douglas</t>
  </si>
  <si>
    <t xml:space="preserve">3188 O Brien Rd SW </t>
  </si>
  <si>
    <t>Bhagat</t>
  </si>
  <si>
    <t>Sonal</t>
  </si>
  <si>
    <t xml:space="preserve">1112 Timberwood </t>
  </si>
  <si>
    <t>Aja</t>
  </si>
  <si>
    <t xml:space="preserve">127 Tavistock </t>
  </si>
  <si>
    <t>Hulleman</t>
  </si>
  <si>
    <t xml:space="preserve">1040 Bradford Pl </t>
  </si>
  <si>
    <t>West Des Moines</t>
  </si>
  <si>
    <t>Hardwick</t>
  </si>
  <si>
    <t xml:space="preserve">98 Forsyth St Apt 5R </t>
  </si>
  <si>
    <t xml:space="preserve">928 Sir Francis Drake Blvd # CC </t>
  </si>
  <si>
    <t>Tramposh</t>
  </si>
  <si>
    <t xml:space="preserve">4240 Galt Ocean Dr Apt 2503 </t>
  </si>
  <si>
    <t>Carpentier</t>
  </si>
  <si>
    <t>J William</t>
  </si>
  <si>
    <t xml:space="preserve">66 Mud Pond Rd </t>
  </si>
  <si>
    <t>East Nassau</t>
  </si>
  <si>
    <t xml:space="preserve">16957 SE 74 Soulliere Ave </t>
  </si>
  <si>
    <t>Bias</t>
  </si>
  <si>
    <t xml:space="preserve">1479 Saint James Pkwy </t>
  </si>
  <si>
    <t xml:space="preserve">3028 W Francis Ave </t>
  </si>
  <si>
    <t>Laissle</t>
  </si>
  <si>
    <t xml:space="preserve">10 Woodcreek Ct </t>
  </si>
  <si>
    <t>Rosa A.</t>
  </si>
  <si>
    <t xml:space="preserve">179 Atlantic Ave </t>
  </si>
  <si>
    <t xml:space="preserve">417 E Shore Dr </t>
  </si>
  <si>
    <t>Giargiari</t>
  </si>
  <si>
    <t xml:space="preserve">WOODRIDGE Rd </t>
  </si>
  <si>
    <t xml:space="preserve">3514 Highland Dr </t>
  </si>
  <si>
    <t>Huberman</t>
  </si>
  <si>
    <t xml:space="preserve">1561 E 13th St Apt F3 </t>
  </si>
  <si>
    <t>Pennio</t>
  </si>
  <si>
    <t xml:space="preserve">100 Lester Ln </t>
  </si>
  <si>
    <t>Clair-Howard</t>
  </si>
  <si>
    <t xml:space="preserve">3 Beecher Ln Apt 4B </t>
  </si>
  <si>
    <t>Hesabi</t>
  </si>
  <si>
    <t>Bahar</t>
  </si>
  <si>
    <t xml:space="preserve">936 Anne Rd </t>
  </si>
  <si>
    <t>60540-5502</t>
  </si>
  <si>
    <t>Bergh</t>
  </si>
  <si>
    <t xml:space="preserve">1121 Hallam Ave N </t>
  </si>
  <si>
    <t>55115-1569</t>
  </si>
  <si>
    <t xml:space="preserve">2540 N Willow Ranch Rd </t>
  </si>
  <si>
    <t>Stromberg</t>
  </si>
  <si>
    <t xml:space="preserve">4639 N Conestoga Way </t>
  </si>
  <si>
    <t xml:space="preserve">1128 Cloister Ct </t>
  </si>
  <si>
    <t>13090-1403</t>
  </si>
  <si>
    <t>Leech</t>
  </si>
  <si>
    <t xml:space="preserve">3862 Leonardsburg Rd </t>
  </si>
  <si>
    <t>43015-9030</t>
  </si>
  <si>
    <t>Elmore</t>
  </si>
  <si>
    <t xml:space="preserve">3567 Lookout Pt </t>
  </si>
  <si>
    <t>49686-3917</t>
  </si>
  <si>
    <t xml:space="preserve">315 S 1st St </t>
  </si>
  <si>
    <t>97540-7005</t>
  </si>
  <si>
    <t>Kourtis</t>
  </si>
  <si>
    <t xml:space="preserve">5252 Balboa Arms Dr </t>
  </si>
  <si>
    <t>92117-4987</t>
  </si>
  <si>
    <t>Chaput</t>
  </si>
  <si>
    <t xml:space="preserve">54 Walling Rd </t>
  </si>
  <si>
    <t>10990-2300</t>
  </si>
  <si>
    <t>Pitcher</t>
  </si>
  <si>
    <t xml:space="preserve">11 Greenfield Rd </t>
  </si>
  <si>
    <t>01376-2528</t>
  </si>
  <si>
    <t>Ellette</t>
  </si>
  <si>
    <t xml:space="preserve">1091 NE Orenco Station Pkwy Apt E204 </t>
  </si>
  <si>
    <t>97124-4434</t>
  </si>
  <si>
    <t>Barros</t>
  </si>
  <si>
    <t xml:space="preserve">9305 SW 44th St </t>
  </si>
  <si>
    <t>33165-5825</t>
  </si>
  <si>
    <t>Pedroza</t>
  </si>
  <si>
    <t>Maria Carmen</t>
  </si>
  <si>
    <t xml:space="preserve">9526 S 53rd Ave Apt 2S </t>
  </si>
  <si>
    <t>Oak Lawn</t>
  </si>
  <si>
    <t>60453-2982</t>
  </si>
  <si>
    <t>Zamos</t>
  </si>
  <si>
    <t xml:space="preserve">8228 Keating Ave </t>
  </si>
  <si>
    <t>60076-2502</t>
  </si>
  <si>
    <t>James J.</t>
  </si>
  <si>
    <t xml:space="preserve">8514 W Buckhorn Trl </t>
  </si>
  <si>
    <t>85383-4819</t>
  </si>
  <si>
    <t xml:space="preserve">1631 Hidden Valley Rd </t>
  </si>
  <si>
    <t>Shaftsbury</t>
  </si>
  <si>
    <t>05262-9489</t>
  </si>
  <si>
    <t>Maxwell</t>
  </si>
  <si>
    <t xml:space="preserve">186 Granite St </t>
  </si>
  <si>
    <t>01966-1232</t>
  </si>
  <si>
    <t>Povill</t>
  </si>
  <si>
    <t xml:space="preserve">21342 Entrada Rd </t>
  </si>
  <si>
    <t>90290-3538</t>
  </si>
  <si>
    <t>Zeiger-May</t>
  </si>
  <si>
    <t xml:space="preserve">4791 Yellowood Dr </t>
  </si>
  <si>
    <t>28470-3406</t>
  </si>
  <si>
    <t>Brandi</t>
  </si>
  <si>
    <t xml:space="preserve">615 Long Stream Ct </t>
  </si>
  <si>
    <t>29170-3425</t>
  </si>
  <si>
    <t xml:space="preserve">7712 39th Ave SW </t>
  </si>
  <si>
    <t>98136-2133</t>
  </si>
  <si>
    <t>Sperling</t>
  </si>
  <si>
    <t xml:space="preserve">1140 Francisco St </t>
  </si>
  <si>
    <t>94702-1333</t>
  </si>
  <si>
    <t>Kantola</t>
  </si>
  <si>
    <t xml:space="preserve">8819 S Murphy Gulch Rd </t>
  </si>
  <si>
    <t>80127-9434</t>
  </si>
  <si>
    <t>Drache</t>
  </si>
  <si>
    <t xml:space="preserve">3067 Zarthan Ave S </t>
  </si>
  <si>
    <t>55416-2025</t>
  </si>
  <si>
    <t xml:space="preserve">2114 Lockhaven Dr </t>
  </si>
  <si>
    <t>80909-2038</t>
  </si>
  <si>
    <t>Zanelli</t>
  </si>
  <si>
    <t xml:space="preserve">44 Indian Hill Rd </t>
  </si>
  <si>
    <t>Higganum</t>
  </si>
  <si>
    <t>06441-4356</t>
  </si>
  <si>
    <t xml:space="preserve">607 N 11th St </t>
  </si>
  <si>
    <t>19123-3309</t>
  </si>
  <si>
    <t xml:space="preserve">1111 Kodi Cir </t>
  </si>
  <si>
    <t>52556-3756</t>
  </si>
  <si>
    <t>Sivertson</t>
  </si>
  <si>
    <t xml:space="preserve">4907 S Glenview Rd </t>
  </si>
  <si>
    <t>Sioux Falls</t>
  </si>
  <si>
    <t>57108-4708</t>
  </si>
  <si>
    <t>Joutras</t>
  </si>
  <si>
    <t xml:space="preserve">27 Christian Hill Rd Apt 8 </t>
  </si>
  <si>
    <t>01230-1134</t>
  </si>
  <si>
    <t>Hulsey</t>
  </si>
  <si>
    <t xml:space="preserve">1520 Petree St Apt 674 </t>
  </si>
  <si>
    <t xml:space="preserve">2331 Ashurst Rd </t>
  </si>
  <si>
    <t>University Heights</t>
  </si>
  <si>
    <t>Fournier</t>
  </si>
  <si>
    <t xml:space="preserve">49 Parker St # 3 </t>
  </si>
  <si>
    <t>Bohan</t>
  </si>
  <si>
    <t xml:space="preserve">900 Teague Rd </t>
  </si>
  <si>
    <t xml:space="preserve">754 NW Quarry Rd </t>
  </si>
  <si>
    <t>Sivak</t>
  </si>
  <si>
    <t xml:space="preserve">31 W Central Ave Unit B </t>
  </si>
  <si>
    <t>Paoli</t>
  </si>
  <si>
    <t>Bowden</t>
  </si>
  <si>
    <t>Annika</t>
  </si>
  <si>
    <t xml:space="preserve">2601 59th Ave SW Apt 6B </t>
  </si>
  <si>
    <t>Osterud</t>
  </si>
  <si>
    <t xml:space="preserve">267 Northgate Dr </t>
  </si>
  <si>
    <t>Lindorff</t>
  </si>
  <si>
    <t xml:space="preserve">216 Station Rd </t>
  </si>
  <si>
    <t>Le Sieur</t>
  </si>
  <si>
    <t xml:space="preserve">26 Lakewood Dr </t>
  </si>
  <si>
    <t xml:space="preserve">470 W Guertin St </t>
  </si>
  <si>
    <t>Saint Anne</t>
  </si>
  <si>
    <t xml:space="preserve">5705 208th Street Ct E </t>
  </si>
  <si>
    <t>Spanaway</t>
  </si>
  <si>
    <t xml:space="preserve">122 Queen Lake Rd </t>
  </si>
  <si>
    <t>Lehnherr</t>
  </si>
  <si>
    <t xml:space="preserve">PO Box 2469 </t>
  </si>
  <si>
    <t>Wakiji</t>
  </si>
  <si>
    <t xml:space="preserve">21825 Woodbridge St </t>
  </si>
  <si>
    <t xml:space="preserve">1791 W Howard St Unit 204 </t>
  </si>
  <si>
    <t>Norkus</t>
  </si>
  <si>
    <t xml:space="preserve">263 Boyer Ave </t>
  </si>
  <si>
    <t>West Berlin</t>
  </si>
  <si>
    <t xml:space="preserve">47 Candia Rd </t>
  </si>
  <si>
    <t>Woodworth</t>
  </si>
  <si>
    <t xml:space="preserve">27011 E Eastland Dr </t>
  </si>
  <si>
    <t>Newman Lake</t>
  </si>
  <si>
    <t>Lamothe</t>
  </si>
  <si>
    <t>Paul Gregg</t>
  </si>
  <si>
    <t xml:space="preserve">2034 NE 40th Ave Apt 305 </t>
  </si>
  <si>
    <t>Sholtz</t>
  </si>
  <si>
    <t xml:space="preserve">384 Fogler Rd </t>
  </si>
  <si>
    <t>Oriano</t>
  </si>
  <si>
    <t xml:space="preserve">112 1st Ave </t>
  </si>
  <si>
    <t xml:space="preserve">10061 E Bryonwood Ln </t>
  </si>
  <si>
    <t xml:space="preserve">954 Edwards Dr </t>
  </si>
  <si>
    <t>Perini</t>
  </si>
  <si>
    <t xml:space="preserve">11 Spring Oak Dr </t>
  </si>
  <si>
    <t>Newtown</t>
  </si>
  <si>
    <t xml:space="preserve">135 Dandelion Dr </t>
  </si>
  <si>
    <t>Varga</t>
  </si>
  <si>
    <t xml:space="preserve">717 17th St </t>
  </si>
  <si>
    <t xml:space="preserve">175 Market St Apt 701 </t>
  </si>
  <si>
    <t>Crosson</t>
  </si>
  <si>
    <t xml:space="preserve">PO Box 41 </t>
  </si>
  <si>
    <t>Eddyville</t>
  </si>
  <si>
    <t>52553-0041</t>
  </si>
  <si>
    <t xml:space="preserve">9270 SW 3rd Ave </t>
  </si>
  <si>
    <t>97219-4812</t>
  </si>
  <si>
    <t>Ghenoiu</t>
  </si>
  <si>
    <t xml:space="preserve">33 W Hill Rd </t>
  </si>
  <si>
    <t>12901-5179</t>
  </si>
  <si>
    <t>Eppolite</t>
  </si>
  <si>
    <t xml:space="preserve">132 Colwick Rd </t>
  </si>
  <si>
    <t>08002-1210</t>
  </si>
  <si>
    <t>Santos</t>
  </si>
  <si>
    <t>Eloy</t>
  </si>
  <si>
    <t xml:space="preserve">27 Baja De La Iglesia Calle </t>
  </si>
  <si>
    <t xml:space="preserve">920 Countryside Ln </t>
  </si>
  <si>
    <t>36117-4428</t>
  </si>
  <si>
    <t>Besancon</t>
  </si>
  <si>
    <t xml:space="preserve">11731 Stillwater Creek Rd </t>
  </si>
  <si>
    <t>95959-9602</t>
  </si>
  <si>
    <t>Engelhard</t>
  </si>
  <si>
    <t xml:space="preserve">116 Mckinney Ave </t>
  </si>
  <si>
    <t xml:space="preserve">11664 Promontory Trl </t>
  </si>
  <si>
    <t>Zionsville</t>
  </si>
  <si>
    <t>Katey</t>
  </si>
  <si>
    <t xml:space="preserve">20 Echo Valley Ln Apt 2 </t>
  </si>
  <si>
    <t>Millersburg</t>
  </si>
  <si>
    <t xml:space="preserve">19426 N 36th Pl </t>
  </si>
  <si>
    <t>85050-3903</t>
  </si>
  <si>
    <t xml:space="preserve">3366 W 111th Loop Unit A </t>
  </si>
  <si>
    <t>80031-8076</t>
  </si>
  <si>
    <t>Ivey</t>
  </si>
  <si>
    <t xml:space="preserve">1350 SE Minam Ave </t>
  </si>
  <si>
    <t xml:space="preserve">12300 McCracken Rd </t>
  </si>
  <si>
    <t>Garfield Heights</t>
  </si>
  <si>
    <t>Embree</t>
  </si>
  <si>
    <t xml:space="preserve">1241 Noonan Dr </t>
  </si>
  <si>
    <t xml:space="preserve">PO Box 372 </t>
  </si>
  <si>
    <t>Nevis</t>
  </si>
  <si>
    <t xml:space="preserve">772 Whitfield Rd </t>
  </si>
  <si>
    <t>Pearcy</t>
  </si>
  <si>
    <t>Leofanti</t>
  </si>
  <si>
    <t xml:space="preserve">217 Westwood Dr </t>
  </si>
  <si>
    <t>Park Forest</t>
  </si>
  <si>
    <t>Bevsek</t>
  </si>
  <si>
    <t xml:space="preserve">3312 Queen Anne Way </t>
  </si>
  <si>
    <t xml:space="preserve">641 Highland Dr </t>
  </si>
  <si>
    <t xml:space="preserve">21455 Highway 196 </t>
  </si>
  <si>
    <t>Tripp</t>
  </si>
  <si>
    <t xml:space="preserve">3839 Bonneymoore Dr </t>
  </si>
  <si>
    <t xml:space="preserve">664 Long Hill Rd </t>
  </si>
  <si>
    <t xml:space="preserve">325 N 5th Ave </t>
  </si>
  <si>
    <t xml:space="preserve">3633 Phillips Pl </t>
  </si>
  <si>
    <t xml:space="preserve">12659 Attrill Rd </t>
  </si>
  <si>
    <t>Alperin</t>
  </si>
  <si>
    <t xml:space="preserve">None </t>
  </si>
  <si>
    <t>Nocerino</t>
  </si>
  <si>
    <t xml:space="preserve">139 W 19th St Apt 2B </t>
  </si>
  <si>
    <t>Garmon</t>
  </si>
  <si>
    <t xml:space="preserve">103 Honeysuckle Trl SW </t>
  </si>
  <si>
    <t>Demorest</t>
  </si>
  <si>
    <t>Brizendine</t>
  </si>
  <si>
    <t>Keanen</t>
  </si>
  <si>
    <t xml:space="preserve">1048 Coronado Ave </t>
  </si>
  <si>
    <t>Vespermann</t>
  </si>
  <si>
    <t xml:space="preserve">515 Dowboro Rd </t>
  </si>
  <si>
    <t xml:space="preserve">2034 Elm Tree Ct </t>
  </si>
  <si>
    <t>Leonhard</t>
  </si>
  <si>
    <t xml:space="preserve">3125 Via Grande </t>
  </si>
  <si>
    <t>Crockett</t>
  </si>
  <si>
    <t>Landis</t>
  </si>
  <si>
    <t xml:space="preserve">2964 Lakeview Point Rd </t>
  </si>
  <si>
    <t xml:space="preserve">3300 Pebblebrook Dr Apt 10 </t>
  </si>
  <si>
    <t>O'Connell</t>
  </si>
  <si>
    <t xml:space="preserve">2841 Friendly Grove Rd NE </t>
  </si>
  <si>
    <t>Hipszky</t>
  </si>
  <si>
    <t xml:space="preserve">5805 Bourke Dr </t>
  </si>
  <si>
    <t>Devries</t>
  </si>
  <si>
    <t xml:space="preserve">20706 135th St </t>
  </si>
  <si>
    <t>Del Prato</t>
  </si>
  <si>
    <t xml:space="preserve">11 Park Place Ct </t>
  </si>
  <si>
    <t xml:space="preserve">7 Shore Rd </t>
  </si>
  <si>
    <t>Hopatcong</t>
  </si>
  <si>
    <t>Chan</t>
  </si>
  <si>
    <t xml:space="preserve">1959 NE Pacific St </t>
  </si>
  <si>
    <t xml:space="preserve">1020 Kehoe Dr </t>
  </si>
  <si>
    <t>Tanguay</t>
  </si>
  <si>
    <t xml:space="preserve">68 the Fairways </t>
  </si>
  <si>
    <t>Ipswich</t>
  </si>
  <si>
    <t>Pulawski</t>
  </si>
  <si>
    <t xml:space="preserve">106 Montclair Ave </t>
  </si>
  <si>
    <t>Gasner</t>
  </si>
  <si>
    <t xml:space="preserve">14 Stone Ridge Rd </t>
  </si>
  <si>
    <t>Oestreich</t>
  </si>
  <si>
    <t xml:space="preserve">1368 Celtic Dr </t>
  </si>
  <si>
    <t>Pataskala</t>
  </si>
  <si>
    <t xml:space="preserve">14 Belmont Rd </t>
  </si>
  <si>
    <t xml:space="preserve">2011 Wicklow Woods Dr </t>
  </si>
  <si>
    <t>Yreka</t>
  </si>
  <si>
    <t xml:space="preserve">1519 3rd St </t>
  </si>
  <si>
    <t>Susanville</t>
  </si>
  <si>
    <t>Haudebourg</t>
  </si>
  <si>
    <t xml:space="preserve">6 Rue De Belfort </t>
  </si>
  <si>
    <t>Lorincz</t>
  </si>
  <si>
    <t>Andras</t>
  </si>
  <si>
    <t xml:space="preserve">1805 Shoshone Dr </t>
  </si>
  <si>
    <t xml:space="preserve">44 S Elm St Apt B </t>
  </si>
  <si>
    <t>Ela</t>
  </si>
  <si>
    <t xml:space="preserve">SHEPHERD Ave </t>
  </si>
  <si>
    <t>Ceglowski</t>
  </si>
  <si>
    <t xml:space="preserve">PO Box 38 </t>
  </si>
  <si>
    <t>Rupert</t>
  </si>
  <si>
    <t xml:space="preserve">1153 Melrose Ave Apt 7 </t>
  </si>
  <si>
    <t>Correia</t>
  </si>
  <si>
    <t xml:space="preserve">139 Morris Rd </t>
  </si>
  <si>
    <t>Randle</t>
  </si>
  <si>
    <t>Lechner</t>
  </si>
  <si>
    <t xml:space="preserve">2400 12th Ave </t>
  </si>
  <si>
    <t>Fievet</t>
  </si>
  <si>
    <t>Emmaline</t>
  </si>
  <si>
    <t xml:space="preserve">19558 Mammoth Dr </t>
  </si>
  <si>
    <t>Langela</t>
  </si>
  <si>
    <t xml:space="preserve">1200 N Olive Dr </t>
  </si>
  <si>
    <t>Wynroth</t>
  </si>
  <si>
    <t xml:space="preserve">262 S Prospect St Apt 13 </t>
  </si>
  <si>
    <t>Valente</t>
  </si>
  <si>
    <t xml:space="preserve">4180 Park Ave Apt 23 </t>
  </si>
  <si>
    <t xml:space="preserve">1804 Charmuth Garth </t>
  </si>
  <si>
    <t xml:space="preserve">37 Bentley Ave </t>
  </si>
  <si>
    <t>Killingsworth</t>
  </si>
  <si>
    <t xml:space="preserve">8340 Solana Dr </t>
  </si>
  <si>
    <t xml:space="preserve">2579 S Commerce Rd </t>
  </si>
  <si>
    <t>Hurwitz</t>
  </si>
  <si>
    <t xml:space="preserve">89 Elm St </t>
  </si>
  <si>
    <t>Arcuni</t>
  </si>
  <si>
    <t xml:space="preserve">PORT WASHINGTON Ct </t>
  </si>
  <si>
    <t>Dumfries</t>
  </si>
  <si>
    <t>Springer</t>
  </si>
  <si>
    <t xml:space="preserve">3611 22nd Ave NE </t>
  </si>
  <si>
    <t>Youts</t>
  </si>
  <si>
    <t>Dewayne</t>
  </si>
  <si>
    <t xml:space="preserve">1219 Adams St </t>
  </si>
  <si>
    <t>Vicksburg</t>
  </si>
  <si>
    <t xml:space="preserve">621 N Nebergall Loop NE # N </t>
  </si>
  <si>
    <t>Gueffroy</t>
  </si>
  <si>
    <t xml:space="preserve">336 Boardwalk Ct </t>
  </si>
  <si>
    <t>Freimuth Jr</t>
  </si>
  <si>
    <t xml:space="preserve">266 Iven Ave Apt 1A </t>
  </si>
  <si>
    <t>Woodman</t>
  </si>
  <si>
    <t xml:space="preserve">119 Underhill Loop Dr </t>
  </si>
  <si>
    <t xml:space="preserve">25515 W Brooks Farm Rd </t>
  </si>
  <si>
    <t>Round Lake</t>
  </si>
  <si>
    <t>Char Tara</t>
  </si>
  <si>
    <t xml:space="preserve">1037 River Wind Cir </t>
  </si>
  <si>
    <t xml:space="preserve">15010 La Donna Way </t>
  </si>
  <si>
    <t>Easter</t>
  </si>
  <si>
    <t>Darrel</t>
  </si>
  <si>
    <t xml:space="preserve">3165 Woodsman Ln </t>
  </si>
  <si>
    <t xml:space="preserve">124 W Alvin Dr Apt G </t>
  </si>
  <si>
    <t xml:space="preserve">803 Shurts St </t>
  </si>
  <si>
    <t>61801-6858</t>
  </si>
  <si>
    <t xml:space="preserve">15 Texas Ln </t>
  </si>
  <si>
    <t>80501-6923</t>
  </si>
  <si>
    <t>G D</t>
  </si>
  <si>
    <t xml:space="preserve">549 Pattison St NE </t>
  </si>
  <si>
    <t>98506-4960</t>
  </si>
  <si>
    <t xml:space="preserve">4348 336th Pl SE </t>
  </si>
  <si>
    <t>Fall City</t>
  </si>
  <si>
    <t>98024-5106</t>
  </si>
  <si>
    <t>Dr.Tammy</t>
  </si>
  <si>
    <t xml:space="preserve">29 Acadia Rd </t>
  </si>
  <si>
    <t>01440-1505</t>
  </si>
  <si>
    <t xml:space="preserve">1010 N Emerson St Apt 103 </t>
  </si>
  <si>
    <t>80218-2741</t>
  </si>
  <si>
    <t>Klingel</t>
  </si>
  <si>
    <t xml:space="preserve">11815 Oakridge Ct </t>
  </si>
  <si>
    <t>48169-9016</t>
  </si>
  <si>
    <t xml:space="preserve">851 Stanton Ct </t>
  </si>
  <si>
    <t>46033-9494</t>
  </si>
  <si>
    <t>Hebert</t>
  </si>
  <si>
    <t xml:space="preserve">EIGHTH Ave </t>
  </si>
  <si>
    <t>Reillo</t>
  </si>
  <si>
    <t xml:space="preserve">215 Oak Grove St Apt 902 </t>
  </si>
  <si>
    <t>Penninger</t>
  </si>
  <si>
    <t xml:space="preserve">711 Kimbrough St </t>
  </si>
  <si>
    <t xml:space="preserve">7848 Taylor St NE </t>
  </si>
  <si>
    <t>Spring Lake Park</t>
  </si>
  <si>
    <t xml:space="preserve">PO Box 2934 </t>
  </si>
  <si>
    <t xml:space="preserve">Xxxx XX </t>
  </si>
  <si>
    <t>Styka</t>
  </si>
  <si>
    <t xml:space="preserve">4 N165 Wood Dale ROADN165 Wood Dale Rd </t>
  </si>
  <si>
    <t>Ugelstad</t>
  </si>
  <si>
    <t xml:space="preserve">3236 SE Harvey St Apt 26 </t>
  </si>
  <si>
    <t>Doebbert</t>
  </si>
  <si>
    <t xml:space="preserve">2957 Govan Way </t>
  </si>
  <si>
    <t>Sarmento</t>
  </si>
  <si>
    <t xml:space="preserve">84 Helm St </t>
  </si>
  <si>
    <t>Teders</t>
  </si>
  <si>
    <t xml:space="preserve">180 Waring Way </t>
  </si>
  <si>
    <t>Bobek</t>
  </si>
  <si>
    <t xml:space="preserve">224 Sullivan St Apt B44 </t>
  </si>
  <si>
    <t>Babcock</t>
  </si>
  <si>
    <t xml:space="preserve">758 Chaucer Dr </t>
  </si>
  <si>
    <t>Abilene</t>
  </si>
  <si>
    <t>Yost</t>
  </si>
  <si>
    <t xml:space="preserve">11 Cecil St </t>
  </si>
  <si>
    <t xml:space="preserve">382 Fir Knoll Ln NE </t>
  </si>
  <si>
    <t>Kaltsas</t>
  </si>
  <si>
    <t xml:space="preserve">55 Fruit St # 2 </t>
  </si>
  <si>
    <t>Cindi</t>
  </si>
  <si>
    <t xml:space="preserve">339 Forrest Avenue 339 Forrest Ave 339 Forre Ave </t>
  </si>
  <si>
    <t>Lipman</t>
  </si>
  <si>
    <t xml:space="preserve">301 Oriental Blvd Apt 5A </t>
  </si>
  <si>
    <t>Rietz</t>
  </si>
  <si>
    <t xml:space="preserve">5671 Salish Rd </t>
  </si>
  <si>
    <t>Hyder</t>
  </si>
  <si>
    <t xml:space="preserve">6553 China Grove Ct </t>
  </si>
  <si>
    <t>Diedrich</t>
  </si>
  <si>
    <t xml:space="preserve">281 Magnolia St </t>
  </si>
  <si>
    <t xml:space="preserve">29 Anderson Dr </t>
  </si>
  <si>
    <t>Sager</t>
  </si>
  <si>
    <t xml:space="preserve">1202 S M St Apt 205 </t>
  </si>
  <si>
    <t xml:space="preserve">5508 Cheyenne Loop Rd </t>
  </si>
  <si>
    <t>Bisanz</t>
  </si>
  <si>
    <t>Jaclyn</t>
  </si>
  <si>
    <t xml:space="preserve">61 S Winston Dr </t>
  </si>
  <si>
    <t>Crittenden-McGraw</t>
  </si>
  <si>
    <t xml:space="preserve">7715 Shamrock Rd </t>
  </si>
  <si>
    <t>Millington</t>
  </si>
  <si>
    <t>Stocklin</t>
  </si>
  <si>
    <t xml:space="preserve">22056 SW Grahams Ferry Rd Apt C </t>
  </si>
  <si>
    <t xml:space="preserve">2109 Illinois St </t>
  </si>
  <si>
    <t>94590-4731</t>
  </si>
  <si>
    <t>Deardorff</t>
  </si>
  <si>
    <t xml:space="preserve">18250 Crest Ave </t>
  </si>
  <si>
    <t>94546-2722</t>
  </si>
  <si>
    <t>Baus</t>
  </si>
  <si>
    <t>Dolly</t>
  </si>
  <si>
    <t xml:space="preserve">1120 River Rd </t>
  </si>
  <si>
    <t>44233-9758</t>
  </si>
  <si>
    <t>Vaill</t>
  </si>
  <si>
    <t>Gragg</t>
  </si>
  <si>
    <t xml:space="preserve">905 NE Barnes Dr </t>
  </si>
  <si>
    <t>64086-6816</t>
  </si>
  <si>
    <t xml:space="preserve">7234 Eaton Ct </t>
  </si>
  <si>
    <t>48130-9818</t>
  </si>
  <si>
    <t xml:space="preserve">8761 Wagner Creek Rd </t>
  </si>
  <si>
    <t>97540-7793</t>
  </si>
  <si>
    <t>Gerosa</t>
  </si>
  <si>
    <t xml:space="preserve">14 Crestway </t>
  </si>
  <si>
    <t>New Fairfield</t>
  </si>
  <si>
    <t>06812-2907</t>
  </si>
  <si>
    <t>Kinamon</t>
  </si>
  <si>
    <t xml:space="preserve">44 Crosswinds Dr </t>
  </si>
  <si>
    <t>30725-2760</t>
  </si>
  <si>
    <t xml:space="preserve">420 N Canon Dr </t>
  </si>
  <si>
    <t>90210-4820</t>
  </si>
  <si>
    <t>Bastian</t>
  </si>
  <si>
    <t xml:space="preserve">2337 Artley Hill Rd </t>
  </si>
  <si>
    <t>16930-9663</t>
  </si>
  <si>
    <t>Janas</t>
  </si>
  <si>
    <t xml:space="preserve">1658 S Ammons St </t>
  </si>
  <si>
    <t>80232-6712</t>
  </si>
  <si>
    <t>Dedra</t>
  </si>
  <si>
    <t xml:space="preserve">410 Stanford Ave </t>
  </si>
  <si>
    <t>94306-1148</t>
  </si>
  <si>
    <t>Colgrove</t>
  </si>
  <si>
    <t xml:space="preserve">997 Circle Dr </t>
  </si>
  <si>
    <t>80816-9361</t>
  </si>
  <si>
    <t>Patten</t>
  </si>
  <si>
    <t xml:space="preserve">4699 N Jetty Rd </t>
  </si>
  <si>
    <t>97439-9036</t>
  </si>
  <si>
    <t xml:space="preserve">PO Box 1906 </t>
  </si>
  <si>
    <t>80517-1906</t>
  </si>
  <si>
    <t>Brenum</t>
  </si>
  <si>
    <t xml:space="preserve">4007 Whittle Ave </t>
  </si>
  <si>
    <t>94602-2435</t>
  </si>
  <si>
    <t xml:space="preserve">7 Owen Ct </t>
  </si>
  <si>
    <t>92617-4040</t>
  </si>
  <si>
    <t xml:space="preserve">117 Deerwood Dr </t>
  </si>
  <si>
    <t>North Augusta</t>
  </si>
  <si>
    <t>29841-4716</t>
  </si>
  <si>
    <t>Behl</t>
  </si>
  <si>
    <t>Heike</t>
  </si>
  <si>
    <t xml:space="preserve">4730 Noyes St </t>
  </si>
  <si>
    <t>92109-3637</t>
  </si>
  <si>
    <t>Macina</t>
  </si>
  <si>
    <t xml:space="preserve">510 Shelby St </t>
  </si>
  <si>
    <t>44870-2258</t>
  </si>
  <si>
    <t xml:space="preserve">1306 Jean Rae Dr </t>
  </si>
  <si>
    <t>65203-2080</t>
  </si>
  <si>
    <t>Betourne</t>
  </si>
  <si>
    <t xml:space="preserve">5713 88th St SW </t>
  </si>
  <si>
    <t>98275-3315</t>
  </si>
  <si>
    <t xml:space="preserve">621 Cowles Rd </t>
  </si>
  <si>
    <t>93108-1801</t>
  </si>
  <si>
    <t xml:space="preserve">1772 S Lehigh Gorge Dr </t>
  </si>
  <si>
    <t>18255-4612</t>
  </si>
  <si>
    <t xml:space="preserve">3640 NW 18th Ter </t>
  </si>
  <si>
    <t>33125-1012</t>
  </si>
  <si>
    <t>Slaughter</t>
  </si>
  <si>
    <t xml:space="preserve">16890 Winchester Dr </t>
  </si>
  <si>
    <t>97707-2259</t>
  </si>
  <si>
    <t>Nespoli</t>
  </si>
  <si>
    <t>Edmund And Judith</t>
  </si>
  <si>
    <t xml:space="preserve">5574 Colt Dr </t>
  </si>
  <si>
    <t>80503-8604</t>
  </si>
  <si>
    <t xml:space="preserve">1915 Arch St </t>
  </si>
  <si>
    <t>19103-1403</t>
  </si>
  <si>
    <t>Orvin</t>
  </si>
  <si>
    <t xml:space="preserve">3136 Grace Hill Rd </t>
  </si>
  <si>
    <t>29204-3317</t>
  </si>
  <si>
    <t>Blasche</t>
  </si>
  <si>
    <t xml:space="preserve">7215 E Main St </t>
  </si>
  <si>
    <t>Sanguinetti</t>
  </si>
  <si>
    <t xml:space="preserve">1 Domingo Pl </t>
  </si>
  <si>
    <t>Russert</t>
  </si>
  <si>
    <t xml:space="preserve">2889 Thunder Trl </t>
  </si>
  <si>
    <t>Johns Island</t>
  </si>
  <si>
    <t>Rozlyn</t>
  </si>
  <si>
    <t xml:space="preserve">1620 S Chick Rd </t>
  </si>
  <si>
    <t xml:space="preserve">1899 Hawk Haven Rd </t>
  </si>
  <si>
    <t>Auyang</t>
  </si>
  <si>
    <t>Czerny</t>
  </si>
  <si>
    <t xml:space="preserve">8TH Ave </t>
  </si>
  <si>
    <t>Coombs</t>
  </si>
  <si>
    <t xml:space="preserve">401 WELLESLEY St </t>
  </si>
  <si>
    <t xml:space="preserve">2711 N Winstead Cir </t>
  </si>
  <si>
    <t>Martinek</t>
  </si>
  <si>
    <t xml:space="preserve">2602 Saint Andrews Dr </t>
  </si>
  <si>
    <t>Ennis</t>
  </si>
  <si>
    <t>Nicki</t>
  </si>
  <si>
    <t xml:space="preserve">2333 Chandawood Dr </t>
  </si>
  <si>
    <t>Arsene</t>
  </si>
  <si>
    <t xml:space="preserve">1538 US Hwy 1 </t>
  </si>
  <si>
    <t>Deitch</t>
  </si>
  <si>
    <t>Mitzi</t>
  </si>
  <si>
    <t xml:space="preserve">13 Bellwood Dr </t>
  </si>
  <si>
    <t>Feasterville Trevose</t>
  </si>
  <si>
    <t>Rinaldi</t>
  </si>
  <si>
    <t xml:space="preserve">4632 Robinhood Cir </t>
  </si>
  <si>
    <t>Straw Plains</t>
  </si>
  <si>
    <t xml:space="preserve">17090 Road 504 </t>
  </si>
  <si>
    <t>Kiln</t>
  </si>
  <si>
    <t>Hayman</t>
  </si>
  <si>
    <t xml:space="preserve">14480 59Th St South 14480 59Th St South 14480 St S </t>
  </si>
  <si>
    <t xml:space="preserve">223 Baltimore Blvd </t>
  </si>
  <si>
    <t>Sea Girt</t>
  </si>
  <si>
    <t>08750-2708</t>
  </si>
  <si>
    <t>Slaven</t>
  </si>
  <si>
    <t xml:space="preserve">2309 Ticonderoga St 2309 Ticonderoga St 2309 St </t>
  </si>
  <si>
    <t>Mallard</t>
  </si>
  <si>
    <t xml:space="preserve">10987 Thrush Ridge Rd </t>
  </si>
  <si>
    <t xml:space="preserve">Veags Dr </t>
  </si>
  <si>
    <t>Ellingboe</t>
  </si>
  <si>
    <t xml:space="preserve">1384 Turnpike Rd </t>
  </si>
  <si>
    <t>Albertville</t>
  </si>
  <si>
    <t>Boern</t>
  </si>
  <si>
    <t>Mixi</t>
  </si>
  <si>
    <t xml:space="preserve">6103 Worth St </t>
  </si>
  <si>
    <t>Sheppard</t>
  </si>
  <si>
    <t xml:space="preserve">510 Acme Rd </t>
  </si>
  <si>
    <t>Lugo</t>
  </si>
  <si>
    <t>Fernanda</t>
  </si>
  <si>
    <t xml:space="preserve">4963 Vista Grande Cir </t>
  </si>
  <si>
    <t xml:space="preserve">3996 Little Applegate Rd </t>
  </si>
  <si>
    <t xml:space="preserve">15411 SE Meadowlark Ln </t>
  </si>
  <si>
    <t>Van Os</t>
  </si>
  <si>
    <t>Colette</t>
  </si>
  <si>
    <t xml:space="preserve">Albertlaan </t>
  </si>
  <si>
    <t>Gdula</t>
  </si>
  <si>
    <t xml:space="preserve">15 Windsor Way </t>
  </si>
  <si>
    <t>Basking Ridge</t>
  </si>
  <si>
    <t>Caleb</t>
  </si>
  <si>
    <t xml:space="preserve">6020 Ryder Ave </t>
  </si>
  <si>
    <t xml:space="preserve">4059 Braeswood Dr SW Apt 4 </t>
  </si>
  <si>
    <t>Tish</t>
  </si>
  <si>
    <t xml:space="preserve">2505 Anthem Village Dr Ste PM </t>
  </si>
  <si>
    <t>Picard</t>
  </si>
  <si>
    <t xml:space="preserve">98 Wildcat Springs Dr </t>
  </si>
  <si>
    <t>Crytzer</t>
  </si>
  <si>
    <t xml:space="preserve">ROUTE 96 </t>
  </si>
  <si>
    <t>Interlaken</t>
  </si>
  <si>
    <t>Carmona</t>
  </si>
  <si>
    <t>Sahna</t>
  </si>
  <si>
    <t xml:space="preserve">1122 15th Ave </t>
  </si>
  <si>
    <t xml:space="preserve">551 E Capistrano Way </t>
  </si>
  <si>
    <t>Fanning</t>
  </si>
  <si>
    <t xml:space="preserve">17 Tamar Ct </t>
  </si>
  <si>
    <t xml:space="preserve">2 Brass Horse Rd </t>
  </si>
  <si>
    <t xml:space="preserve">821 Mcgrew Loop </t>
  </si>
  <si>
    <t>Aiea</t>
  </si>
  <si>
    <t>Berge</t>
  </si>
  <si>
    <t xml:space="preserve">5211 Heartland Dr </t>
  </si>
  <si>
    <t>Bryant</t>
  </si>
  <si>
    <t xml:space="preserve">2915 Hopeton Rd </t>
  </si>
  <si>
    <t xml:space="preserve">30 Westervelt Avenue Staten Is </t>
  </si>
  <si>
    <t xml:space="preserve">12520 SW Gem Ln Apt 202 </t>
  </si>
  <si>
    <t>McKenna</t>
  </si>
  <si>
    <t xml:space="preserve">221 W ELM </t>
  </si>
  <si>
    <t xml:space="preserve">212 Cypress Dr </t>
  </si>
  <si>
    <t xml:space="preserve">260 Oak Dr </t>
  </si>
  <si>
    <t>Otis</t>
  </si>
  <si>
    <t xml:space="preserve">24 Silver Lane Burnt Hls </t>
  </si>
  <si>
    <t>Burnt Hills</t>
  </si>
  <si>
    <t>Herron-Huff</t>
  </si>
  <si>
    <t xml:space="preserve">TINA Ave </t>
  </si>
  <si>
    <t>Dornfeld</t>
  </si>
  <si>
    <t xml:space="preserve">606 County Road 100 </t>
  </si>
  <si>
    <t>Spurr</t>
  </si>
  <si>
    <t xml:space="preserve">1444 Ski Lodge Rd </t>
  </si>
  <si>
    <t>Seidman</t>
  </si>
  <si>
    <t xml:space="preserve">29498 Arlington Way </t>
  </si>
  <si>
    <t>More</t>
  </si>
  <si>
    <t xml:space="preserve">52 Estrada Calabasa </t>
  </si>
  <si>
    <t>Colberg</t>
  </si>
  <si>
    <t xml:space="preserve">160 Calle Los Mirtos </t>
  </si>
  <si>
    <t xml:space="preserve">CASCADE </t>
  </si>
  <si>
    <t>Cascade</t>
  </si>
  <si>
    <t>Niconovich</t>
  </si>
  <si>
    <t xml:space="preserve">2514 Jackson Pkwy </t>
  </si>
  <si>
    <t>Vienna</t>
  </si>
  <si>
    <t>Mon</t>
  </si>
  <si>
    <t xml:space="preserve">300 Stony Point Rd Spc 436 </t>
  </si>
  <si>
    <t xml:space="preserve">320 W Miners St # 1 </t>
  </si>
  <si>
    <t>Wataga</t>
  </si>
  <si>
    <t>Rienstra</t>
  </si>
  <si>
    <t xml:space="preserve">135 Black Hawk Ct </t>
  </si>
  <si>
    <t>McMillan</t>
  </si>
  <si>
    <t xml:space="preserve">5016 SW 104TG Loop </t>
  </si>
  <si>
    <t xml:space="preserve">800 Gentleman Rd Apt 129 </t>
  </si>
  <si>
    <t xml:space="preserve">1525 22nd St </t>
  </si>
  <si>
    <t>Geoff</t>
  </si>
  <si>
    <t xml:space="preserve">2300 E 18th St </t>
  </si>
  <si>
    <t>Rawls</t>
  </si>
  <si>
    <t>Davian</t>
  </si>
  <si>
    <t xml:space="preserve">27 Maggie Ln </t>
  </si>
  <si>
    <t xml:space="preserve">8246 Lefferts Boulevard 6A Kew Gdns </t>
  </si>
  <si>
    <t>Kew Gardens</t>
  </si>
  <si>
    <t>Fairless</t>
  </si>
  <si>
    <t xml:space="preserve">I Urge The Department Of Commerce To Rem </t>
  </si>
  <si>
    <t xml:space="preserve">16181 Fairview Ave </t>
  </si>
  <si>
    <t>Fontana</t>
  </si>
  <si>
    <t>Sunshine</t>
  </si>
  <si>
    <t xml:space="preserve">4618 Hidden Forest Ln </t>
  </si>
  <si>
    <t>Dailey</t>
  </si>
  <si>
    <t xml:space="preserve">564 N Clifton Ave </t>
  </si>
  <si>
    <t>Jessnik</t>
  </si>
  <si>
    <t xml:space="preserve">605 Convent Rd </t>
  </si>
  <si>
    <t>Syosset</t>
  </si>
  <si>
    <t xml:space="preserve">400 SW 1st Ave Unit 984 </t>
  </si>
  <si>
    <t>Kuchno</t>
  </si>
  <si>
    <t xml:space="preserve">109 E Wilson St </t>
  </si>
  <si>
    <t>Chieffe</t>
  </si>
  <si>
    <t xml:space="preserve">616 N Ardmore Avenue Manhattan Bch </t>
  </si>
  <si>
    <t>Sari</t>
  </si>
  <si>
    <t xml:space="preserve">980 E 18th St </t>
  </si>
  <si>
    <t>Newstadt</t>
  </si>
  <si>
    <t xml:space="preserve">4632 Glenalbyn Dr </t>
  </si>
  <si>
    <t>Guillory</t>
  </si>
  <si>
    <t xml:space="preserve">420 S Laurel St Apt 5 </t>
  </si>
  <si>
    <t xml:space="preserve">27 Centre St </t>
  </si>
  <si>
    <t>Claycomb</t>
  </si>
  <si>
    <t xml:space="preserve">3115 Byrd Dr </t>
  </si>
  <si>
    <t xml:space="preserve">6816 Leh Ct </t>
  </si>
  <si>
    <t>New Tripoli</t>
  </si>
  <si>
    <t>Bargiel</t>
  </si>
  <si>
    <t xml:space="preserve">PO Box 1418 </t>
  </si>
  <si>
    <t>McKay</t>
  </si>
  <si>
    <t xml:space="preserve">12 Monmouth St </t>
  </si>
  <si>
    <t xml:space="preserve">4528 Cottage Pl </t>
  </si>
  <si>
    <t xml:space="preserve">5 Barberry Ln </t>
  </si>
  <si>
    <t>Middle Island</t>
  </si>
  <si>
    <t>Ratledge</t>
  </si>
  <si>
    <t xml:space="preserve">LAUREL St </t>
  </si>
  <si>
    <t xml:space="preserve">1485 5th Ave </t>
  </si>
  <si>
    <t xml:space="preserve">1506 Notre Dame Dr </t>
  </si>
  <si>
    <t xml:space="preserve">PO Box 728 </t>
  </si>
  <si>
    <t>Tricia</t>
  </si>
  <si>
    <t xml:space="preserve">766 Highway 308 </t>
  </si>
  <si>
    <t>Thibodaux</t>
  </si>
  <si>
    <t>Deur</t>
  </si>
  <si>
    <t xml:space="preserve">4739 River St </t>
  </si>
  <si>
    <t>Newaygo</t>
  </si>
  <si>
    <t>Bul</t>
  </si>
  <si>
    <t>Gadlage</t>
  </si>
  <si>
    <t xml:space="preserve">2200 Satellite Blvd </t>
  </si>
  <si>
    <t>Ady</t>
  </si>
  <si>
    <t xml:space="preserve">PO BT </t>
  </si>
  <si>
    <t>Crouch</t>
  </si>
  <si>
    <t>Deanca</t>
  </si>
  <si>
    <t xml:space="preserve">2008 Double Oaks Rd </t>
  </si>
  <si>
    <t>Kossoff</t>
  </si>
  <si>
    <t>Mirinda</t>
  </si>
  <si>
    <t xml:space="preserve">1394 Fearrington Post </t>
  </si>
  <si>
    <t>Michaud</t>
  </si>
  <si>
    <t xml:space="preserve">343 Orchard Dr </t>
  </si>
  <si>
    <t>Oakwood</t>
  </si>
  <si>
    <t>Von Poppe</t>
  </si>
  <si>
    <t>Eugenie</t>
  </si>
  <si>
    <t xml:space="preserve">21 Elizabeth Ave </t>
  </si>
  <si>
    <t>Honesdale</t>
  </si>
  <si>
    <t>Diehl- Berman</t>
  </si>
  <si>
    <t xml:space="preserve">334 Manton St </t>
  </si>
  <si>
    <t>Rist</t>
  </si>
  <si>
    <t xml:space="preserve">285 Bryant Ave </t>
  </si>
  <si>
    <t>Burkett</t>
  </si>
  <si>
    <t xml:space="preserve">934 Convers Ave </t>
  </si>
  <si>
    <t>Zanesville</t>
  </si>
  <si>
    <t xml:space="preserve">7750 Windy Hill Dr </t>
  </si>
  <si>
    <t xml:space="preserve">10 Orton Pl </t>
  </si>
  <si>
    <t xml:space="preserve">330 Long Rd </t>
  </si>
  <si>
    <t>Durgin</t>
  </si>
  <si>
    <t>Patrease</t>
  </si>
  <si>
    <t xml:space="preserve">364 E Lawson Ave # 364 </t>
  </si>
  <si>
    <t>Manges</t>
  </si>
  <si>
    <t xml:space="preserve">99 Neeley St </t>
  </si>
  <si>
    <t xml:space="preserve">24120 Northern Blvd Apt 4K </t>
  </si>
  <si>
    <t>Little Neck</t>
  </si>
  <si>
    <t>Prekurat</t>
  </si>
  <si>
    <t>Button</t>
  </si>
  <si>
    <t xml:space="preserve">125 Sincavich Rd </t>
  </si>
  <si>
    <t>Old Chatham</t>
  </si>
  <si>
    <t>Jafek</t>
  </si>
  <si>
    <t xml:space="preserve">2 Forrestal Hts Apt 502 </t>
  </si>
  <si>
    <t>Beacon</t>
  </si>
  <si>
    <t>Borzillo</t>
  </si>
  <si>
    <t xml:space="preserve">2521 Wdiana St </t>
  </si>
  <si>
    <t xml:space="preserve">15279 Stone House Dr </t>
  </si>
  <si>
    <t>Brooksville</t>
  </si>
  <si>
    <t xml:space="preserve">1489 Fresh Dr Apt B </t>
  </si>
  <si>
    <t xml:space="preserve">529 S Sherman Ave </t>
  </si>
  <si>
    <t xml:space="preserve">336 W Harwood Rd </t>
  </si>
  <si>
    <t>Le Blanc</t>
  </si>
  <si>
    <t xml:space="preserve">4915 NE 79th St </t>
  </si>
  <si>
    <t xml:space="preserve">1445 E 123rd St </t>
  </si>
  <si>
    <t>Freshney</t>
  </si>
  <si>
    <t xml:space="preserve">14137 La Highway 10 </t>
  </si>
  <si>
    <t>Saint Francisville</t>
  </si>
  <si>
    <t>Figueroa</t>
  </si>
  <si>
    <t xml:space="preserve">920 Venice Blvd Apt 110 </t>
  </si>
  <si>
    <t>Kibbey</t>
  </si>
  <si>
    <t xml:space="preserve">243 Euclid Ave </t>
  </si>
  <si>
    <t>Lacayo</t>
  </si>
  <si>
    <t xml:space="preserve">7211 Cozycroft Ave </t>
  </si>
  <si>
    <t xml:space="preserve">6871 Valley Circle Blvd Unit 2 </t>
  </si>
  <si>
    <t xml:space="preserve">136 W View Dr </t>
  </si>
  <si>
    <t>Kalispell</t>
  </si>
  <si>
    <t>Tomlinson</t>
  </si>
  <si>
    <t xml:space="preserve">1332 N Peachtree Ln </t>
  </si>
  <si>
    <t>Mount Prospect</t>
  </si>
  <si>
    <t xml:space="preserve">26219 W Tallgrass Trl </t>
  </si>
  <si>
    <t>Leung</t>
  </si>
  <si>
    <t>Peony</t>
  </si>
  <si>
    <t xml:space="preserve">1 Haight St </t>
  </si>
  <si>
    <t>Clapp</t>
  </si>
  <si>
    <t xml:space="preserve">335 Oak St </t>
  </si>
  <si>
    <t>Harwich</t>
  </si>
  <si>
    <t>Gutierrez</t>
  </si>
  <si>
    <t xml:space="preserve">PO Box 5049 </t>
  </si>
  <si>
    <t>East Orange</t>
  </si>
  <si>
    <t>Villet</t>
  </si>
  <si>
    <t>Wanda Villet</t>
  </si>
  <si>
    <t xml:space="preserve">2511 Monroe Blanchard </t>
  </si>
  <si>
    <t xml:space="preserve">4642 E Via Azufre </t>
  </si>
  <si>
    <t>Blount</t>
  </si>
  <si>
    <t xml:space="preserve">90 Blount Rd </t>
  </si>
  <si>
    <t>Arapahoe</t>
  </si>
  <si>
    <t>Lanfranchi</t>
  </si>
  <si>
    <t>Lj</t>
  </si>
  <si>
    <t xml:space="preserve">311 Hardwick Rd </t>
  </si>
  <si>
    <t>New Braintree</t>
  </si>
  <si>
    <t>Wilke</t>
  </si>
  <si>
    <t xml:space="preserve">1634 11th St </t>
  </si>
  <si>
    <t>Keleti</t>
  </si>
  <si>
    <t xml:space="preserve">18 Clarendon St </t>
  </si>
  <si>
    <t>Shelburn-Zarins</t>
  </si>
  <si>
    <t xml:space="preserve">2423 S Virginia Ave </t>
  </si>
  <si>
    <t>Manjarres</t>
  </si>
  <si>
    <t xml:space="preserve">7443 Culver Ln </t>
  </si>
  <si>
    <t>New Port Richey</t>
  </si>
  <si>
    <t>Gilchrist</t>
  </si>
  <si>
    <t xml:space="preserve">5701 Walsh St </t>
  </si>
  <si>
    <t xml:space="preserve">1264 Lexington Ave Apt 3S </t>
  </si>
  <si>
    <t>Hargas</t>
  </si>
  <si>
    <t xml:space="preserve">508 Three Rivers Ct </t>
  </si>
  <si>
    <t>Rio Vista</t>
  </si>
  <si>
    <t>Dunlap</t>
  </si>
  <si>
    <t xml:space="preserve">3515BEECHWOODBLVDAPT2 </t>
  </si>
  <si>
    <t xml:space="preserve">4625 Braeburn Dr </t>
  </si>
  <si>
    <t xml:space="preserve">15665 Beechtree Ln </t>
  </si>
  <si>
    <t>Centerburg</t>
  </si>
  <si>
    <t>Fahey</t>
  </si>
  <si>
    <t xml:space="preserve">29 Sussex Rd </t>
  </si>
  <si>
    <t>Township Of Washington</t>
  </si>
  <si>
    <t xml:space="preserve">1301 S 45th Ave </t>
  </si>
  <si>
    <t>Geese</t>
  </si>
  <si>
    <t xml:space="preserve">206 Kingsbury Dr </t>
  </si>
  <si>
    <t>Iuso</t>
  </si>
  <si>
    <t xml:space="preserve">3175 Parsifal Pl </t>
  </si>
  <si>
    <t>10465-1362</t>
  </si>
  <si>
    <t>Paolini</t>
  </si>
  <si>
    <t>Viviane</t>
  </si>
  <si>
    <t xml:space="preserve">260 W North St </t>
  </si>
  <si>
    <t>Jonina</t>
  </si>
  <si>
    <t xml:space="preserve">8351 SW Monica Ct </t>
  </si>
  <si>
    <t xml:space="preserve">1301 Fulton St Apt 401 </t>
  </si>
  <si>
    <t>Stumpf</t>
  </si>
  <si>
    <t>Becca</t>
  </si>
  <si>
    <t xml:space="preserve">322 7th Ave Apt 4 </t>
  </si>
  <si>
    <t>Buu</t>
  </si>
  <si>
    <t>Hieu</t>
  </si>
  <si>
    <t xml:space="preserve">3407 Charleston Ct </t>
  </si>
  <si>
    <t xml:space="preserve">32 Bix </t>
  </si>
  <si>
    <t>Fort Hunter</t>
  </si>
  <si>
    <t>Shevis</t>
  </si>
  <si>
    <t>Aron</t>
  </si>
  <si>
    <t xml:space="preserve">36 Seabring St </t>
  </si>
  <si>
    <t>Aisenberg</t>
  </si>
  <si>
    <t xml:space="preserve">36 Bradford Rd </t>
  </si>
  <si>
    <t>Westoby</t>
  </si>
  <si>
    <t xml:space="preserve">71 BLACKBURN AVENUE BROUGH E </t>
  </si>
  <si>
    <t>Bartels</t>
  </si>
  <si>
    <t>John R.</t>
  </si>
  <si>
    <t xml:space="preserve">12129 SE Knapp Ln </t>
  </si>
  <si>
    <t>Schlegel</t>
  </si>
  <si>
    <t xml:space="preserve">50 Bayard St Ph 4 </t>
  </si>
  <si>
    <t xml:space="preserve">2435 N Junipero Ave </t>
  </si>
  <si>
    <t>92262-2829</t>
  </si>
  <si>
    <t>Mayrand</t>
  </si>
  <si>
    <t xml:space="preserve">5929 Pine Trace Ct </t>
  </si>
  <si>
    <t>48843-7177</t>
  </si>
  <si>
    <t xml:space="preserve">348 111 Ave </t>
  </si>
  <si>
    <t>Carie</t>
  </si>
  <si>
    <t xml:space="preserve">623 Arlington St </t>
  </si>
  <si>
    <t>Sprague</t>
  </si>
  <si>
    <t xml:space="preserve">340 City View Dr </t>
  </si>
  <si>
    <t xml:space="preserve">94 Weybridge St </t>
  </si>
  <si>
    <t>Stournaras</t>
  </si>
  <si>
    <t xml:space="preserve">16Th Klm Athinon Loutsas Ave </t>
  </si>
  <si>
    <t>Nemacolin</t>
  </si>
  <si>
    <t xml:space="preserve">1620 Indian School Rd NE </t>
  </si>
  <si>
    <t>Kolitz</t>
  </si>
  <si>
    <t xml:space="preserve">9350 S Dixie Hwy </t>
  </si>
  <si>
    <t xml:space="preserve">1301 W Lambert Ln Apt 2305 </t>
  </si>
  <si>
    <t>Luz</t>
  </si>
  <si>
    <t xml:space="preserve">637 Hillsborough St Apt 2 </t>
  </si>
  <si>
    <t>Skatoff</t>
  </si>
  <si>
    <t xml:space="preserve">2320 Saint Bedes Ct </t>
  </si>
  <si>
    <t>Toste</t>
  </si>
  <si>
    <t xml:space="preserve">90 Rosedale St Apt 3 </t>
  </si>
  <si>
    <t xml:space="preserve">8600 SW 67th Ave </t>
  </si>
  <si>
    <t>Pinecrest</t>
  </si>
  <si>
    <t>Kellam</t>
  </si>
  <si>
    <t xml:space="preserve">7 Cedar St </t>
  </si>
  <si>
    <t xml:space="preserve">3260 Creek Trce E </t>
  </si>
  <si>
    <t xml:space="preserve">6788 PINE St </t>
  </si>
  <si>
    <t xml:space="preserve">9204 Four Mile Creek Rd </t>
  </si>
  <si>
    <t xml:space="preserve">3505 Central St SE Apt 2 </t>
  </si>
  <si>
    <t xml:space="preserve">719 Island View Cir </t>
  </si>
  <si>
    <t>Port Hueneme</t>
  </si>
  <si>
    <t xml:space="preserve">3655 Garfield Ave </t>
  </si>
  <si>
    <t xml:space="preserve">3635 Hollister Dr </t>
  </si>
  <si>
    <t>Lake Havasu City</t>
  </si>
  <si>
    <t xml:space="preserve">1001 Brickell Bay Dr </t>
  </si>
  <si>
    <t>Sato</t>
  </si>
  <si>
    <t>Yosuke</t>
  </si>
  <si>
    <t xml:space="preserve">5325 W Lucky Way </t>
  </si>
  <si>
    <t xml:space="preserve">5720 Frisco Square Blvd Apt 1053 </t>
  </si>
  <si>
    <t>Mazurek</t>
  </si>
  <si>
    <t>Shaun</t>
  </si>
  <si>
    <t xml:space="preserve">2642 Sagebrush Dr </t>
  </si>
  <si>
    <t xml:space="preserve">C/O Non-Domestic </t>
  </si>
  <si>
    <t>Knee</t>
  </si>
  <si>
    <t xml:space="preserve">PO Box 33 </t>
  </si>
  <si>
    <t>Darshan</t>
  </si>
  <si>
    <t xml:space="preserve">PO Box 9989 </t>
  </si>
  <si>
    <t>Ogura</t>
  </si>
  <si>
    <t>Akiyo</t>
  </si>
  <si>
    <t xml:space="preserve">12060 Lincolnshire Dr </t>
  </si>
  <si>
    <t>Lapointe</t>
  </si>
  <si>
    <t xml:space="preserve">96 Old Goshen Rd # R </t>
  </si>
  <si>
    <t>Bardin</t>
  </si>
  <si>
    <t xml:space="preserve">6425 S Sunbury Rd </t>
  </si>
  <si>
    <t>Westerville</t>
  </si>
  <si>
    <t>Danzker</t>
  </si>
  <si>
    <t xml:space="preserve">21 Ida Ln </t>
  </si>
  <si>
    <t>11703-1403</t>
  </si>
  <si>
    <t xml:space="preserve">25 Hudson Ave </t>
  </si>
  <si>
    <t xml:space="preserve">14633 Timberlake Manor Ct </t>
  </si>
  <si>
    <t xml:space="preserve">25 Meadow St </t>
  </si>
  <si>
    <t xml:space="preserve">3 Wentworth Ct </t>
  </si>
  <si>
    <t>Ballinger</t>
  </si>
  <si>
    <t>Keilty</t>
  </si>
  <si>
    <t xml:space="preserve">147 W 86th St Apt 3C </t>
  </si>
  <si>
    <t xml:space="preserve">4387 Btl </t>
  </si>
  <si>
    <t>Bak</t>
  </si>
  <si>
    <t xml:space="preserve">630 S Fir St </t>
  </si>
  <si>
    <t>Shimkin</t>
  </si>
  <si>
    <t xml:space="preserve">105 Simons Rd </t>
  </si>
  <si>
    <t>Kaspar</t>
  </si>
  <si>
    <t xml:space="preserve">2900 Glascock St Apt C </t>
  </si>
  <si>
    <t>Alcosser</t>
  </si>
  <si>
    <t xml:space="preserve">579 W County Line Rd </t>
  </si>
  <si>
    <t>Breeze</t>
  </si>
  <si>
    <t xml:space="preserve">7729 Elton St </t>
  </si>
  <si>
    <t xml:space="preserve">651 NW 177th St Apt 125 </t>
  </si>
  <si>
    <t>Miami Gardens</t>
  </si>
  <si>
    <t>Josselson</t>
  </si>
  <si>
    <t xml:space="preserve">50 E Riding Dr </t>
  </si>
  <si>
    <t>Marin</t>
  </si>
  <si>
    <t>Seth</t>
  </si>
  <si>
    <t xml:space="preserve">5 Tulip Ct </t>
  </si>
  <si>
    <t xml:space="preserve">1141 NW 13th St Apt 4 </t>
  </si>
  <si>
    <t xml:space="preserve">1606 Columbia St </t>
  </si>
  <si>
    <t xml:space="preserve">1300 Powderhorn Ter Apt 21 </t>
  </si>
  <si>
    <t xml:space="preserve">449 Hampton Ct </t>
  </si>
  <si>
    <t>Nicolosi</t>
  </si>
  <si>
    <t xml:space="preserve">10 Grace St </t>
  </si>
  <si>
    <t xml:space="preserve">363 Bullard Rd </t>
  </si>
  <si>
    <t>Hari</t>
  </si>
  <si>
    <t xml:space="preserve">ARCADIA Rd </t>
  </si>
  <si>
    <t>Ruckwied</t>
  </si>
  <si>
    <t xml:space="preserve">6100 SE 85th St </t>
  </si>
  <si>
    <t xml:space="preserve">3155 2nd Ave </t>
  </si>
  <si>
    <t>Sawyer</t>
  </si>
  <si>
    <t>Caryl</t>
  </si>
  <si>
    <t xml:space="preserve">13 Raines Ave </t>
  </si>
  <si>
    <t>Sandston</t>
  </si>
  <si>
    <t xml:space="preserve">2543 Anvil Tree Ln </t>
  </si>
  <si>
    <t>Mullarkey</t>
  </si>
  <si>
    <t xml:space="preserve">13 Cullera Ln </t>
  </si>
  <si>
    <t>Reuel</t>
  </si>
  <si>
    <t xml:space="preserve">4515 NW 45th Ct </t>
  </si>
  <si>
    <t xml:space="preserve">11717 Starwood Ln </t>
  </si>
  <si>
    <t>Hassinger</t>
  </si>
  <si>
    <t xml:space="preserve">10 Church St </t>
  </si>
  <si>
    <t>Capobianco</t>
  </si>
  <si>
    <t xml:space="preserve">17 Wakefield Ave </t>
  </si>
  <si>
    <t>Saugus</t>
  </si>
  <si>
    <t xml:space="preserve">2361 Unity Ave N </t>
  </si>
  <si>
    <t>Chiotti</t>
  </si>
  <si>
    <t>Lynnette</t>
  </si>
  <si>
    <t xml:space="preserve">244 Shore Dr </t>
  </si>
  <si>
    <t>Bendich</t>
  </si>
  <si>
    <t xml:space="preserve">4 Silicon Dr </t>
  </si>
  <si>
    <t>Bogle</t>
  </si>
  <si>
    <t xml:space="preserve">618 4th Ave </t>
  </si>
  <si>
    <t>Eversole</t>
  </si>
  <si>
    <t xml:space="preserve">33790 State Route 518 </t>
  </si>
  <si>
    <t>Hanoverton</t>
  </si>
  <si>
    <t>Boll</t>
  </si>
  <si>
    <t xml:space="preserve">W2869 County Road H </t>
  </si>
  <si>
    <t>Punneo</t>
  </si>
  <si>
    <t>Sheryll</t>
  </si>
  <si>
    <t xml:space="preserve">1401 Telford Dr </t>
  </si>
  <si>
    <t>Durnell</t>
  </si>
  <si>
    <t xml:space="preserve">3087 Daisy Mine Rd </t>
  </si>
  <si>
    <t>Michael And Maureen</t>
  </si>
  <si>
    <t xml:space="preserve">564 Santa Marguarita Dr </t>
  </si>
  <si>
    <t xml:space="preserve">123 Happy </t>
  </si>
  <si>
    <t>Lakeville</t>
  </si>
  <si>
    <t>Tait</t>
  </si>
  <si>
    <t xml:space="preserve">7134 Brayton Ave </t>
  </si>
  <si>
    <t>Chavira</t>
  </si>
  <si>
    <t xml:space="preserve">2350 Valley Sage St </t>
  </si>
  <si>
    <t>Olinger</t>
  </si>
  <si>
    <t xml:space="preserve">345 Rogers Ln </t>
  </si>
  <si>
    <t>81303-6680</t>
  </si>
  <si>
    <t xml:space="preserve">429 Mills Dr </t>
  </si>
  <si>
    <t>Romesburg</t>
  </si>
  <si>
    <t xml:space="preserve">4936 NE K Ave Strret </t>
  </si>
  <si>
    <t>Neotsu</t>
  </si>
  <si>
    <t xml:space="preserve">16300 Van Aken Blvd Apt 307D </t>
  </si>
  <si>
    <t>Marrali</t>
  </si>
  <si>
    <t xml:space="preserve">6443 Gale Dr </t>
  </si>
  <si>
    <t xml:space="preserve">52 Upland Rd </t>
  </si>
  <si>
    <t>Sappelli</t>
  </si>
  <si>
    <t>Caryn</t>
  </si>
  <si>
    <t xml:space="preserve">2845 Gateway Park Lane Lexington KY 40511 </t>
  </si>
  <si>
    <t>Kari</t>
  </si>
  <si>
    <t xml:space="preserve">4910 E 88PL </t>
  </si>
  <si>
    <t xml:space="preserve">720 Monroe St </t>
  </si>
  <si>
    <t>Von Bartheld</t>
  </si>
  <si>
    <t xml:space="preserve">2887 W Plumb Ln </t>
  </si>
  <si>
    <t>Kimberlyi</t>
  </si>
  <si>
    <t xml:space="preserve">10421 Southwest Hwy Trlr 50X </t>
  </si>
  <si>
    <t>Taber</t>
  </si>
  <si>
    <t xml:space="preserve">1403 N Jones Blvd </t>
  </si>
  <si>
    <t xml:space="preserve">PO Box 922 </t>
  </si>
  <si>
    <t xml:space="preserve">286 Neuman St </t>
  </si>
  <si>
    <t>Boomershine</t>
  </si>
  <si>
    <t>C.Jean</t>
  </si>
  <si>
    <t xml:space="preserve">4210 Hickman Rd </t>
  </si>
  <si>
    <t>Dugan</t>
  </si>
  <si>
    <t xml:space="preserve">3707 75th St </t>
  </si>
  <si>
    <t xml:space="preserve">1800 Main St Apt C37 </t>
  </si>
  <si>
    <t xml:space="preserve">411 N Washington St </t>
  </si>
  <si>
    <t>Ladoga</t>
  </si>
  <si>
    <t>Rink</t>
  </si>
  <si>
    <t xml:space="preserve">801 W Middle St </t>
  </si>
  <si>
    <t>Kellen</t>
  </si>
  <si>
    <t xml:space="preserve">1812 Hunters Run Dr </t>
  </si>
  <si>
    <t>Schnipper</t>
  </si>
  <si>
    <t xml:space="preserve">800 N Ogden St </t>
  </si>
  <si>
    <t xml:space="preserve">145 E Regent Dr </t>
  </si>
  <si>
    <t>Shrek</t>
  </si>
  <si>
    <t>Ai</t>
  </si>
  <si>
    <t>Simi Valleysimi</t>
  </si>
  <si>
    <t xml:space="preserve">25 OAK St </t>
  </si>
  <si>
    <t>Fairuz</t>
  </si>
  <si>
    <t xml:space="preserve">6795 Fairchild St </t>
  </si>
  <si>
    <t>Pip</t>
  </si>
  <si>
    <t xml:space="preserve">403 Spruce Cir </t>
  </si>
  <si>
    <t>Markene</t>
  </si>
  <si>
    <t xml:space="preserve">112 Anderson Rd </t>
  </si>
  <si>
    <t xml:space="preserve">44443 County Road 33 </t>
  </si>
  <si>
    <t>Alvarez</t>
  </si>
  <si>
    <t>Choky</t>
  </si>
  <si>
    <t xml:space="preserve">7920 San Felipe Blvd </t>
  </si>
  <si>
    <t>Alaina</t>
  </si>
  <si>
    <t xml:space="preserve">5888 Applause Ash Ave </t>
  </si>
  <si>
    <t>Kolb</t>
  </si>
  <si>
    <t xml:space="preserve">7207 Calamus Ave </t>
  </si>
  <si>
    <t>Palacio</t>
  </si>
  <si>
    <t xml:space="preserve">409 N Avenida Caballeros </t>
  </si>
  <si>
    <t>Maes</t>
  </si>
  <si>
    <t xml:space="preserve">9625 E Center Ave </t>
  </si>
  <si>
    <t xml:space="preserve">609 E 1st St </t>
  </si>
  <si>
    <t>Redfield</t>
  </si>
  <si>
    <t xml:space="preserve">295 Woodbine Rd </t>
  </si>
  <si>
    <t>Ciuffo</t>
  </si>
  <si>
    <t xml:space="preserve">311 Cedarwood Ct </t>
  </si>
  <si>
    <t>Parham</t>
  </si>
  <si>
    <t xml:space="preserve">1073 Lake Pelham Dr </t>
  </si>
  <si>
    <t>Culpeper</t>
  </si>
  <si>
    <t>Imler Jr</t>
  </si>
  <si>
    <t xml:space="preserve">227 Liberty Ln </t>
  </si>
  <si>
    <t>Duncansville</t>
  </si>
  <si>
    <t>Pederson</t>
  </si>
  <si>
    <t xml:space="preserve">SUTRO Ave </t>
  </si>
  <si>
    <t xml:space="preserve">38 N Church Rd </t>
  </si>
  <si>
    <t>Wernersville</t>
  </si>
  <si>
    <t>Agnew</t>
  </si>
  <si>
    <t xml:space="preserve">802 Hilldale Ave Apt 8 </t>
  </si>
  <si>
    <t>Burzykowski</t>
  </si>
  <si>
    <t xml:space="preserve">3656 N Overhill Ave </t>
  </si>
  <si>
    <t>Mangus</t>
  </si>
  <si>
    <t xml:space="preserve">1420 4th Ave </t>
  </si>
  <si>
    <t>Ford City</t>
  </si>
  <si>
    <t xml:space="preserve">13 Mountain Church Rd </t>
  </si>
  <si>
    <t>Wrona</t>
  </si>
  <si>
    <t>Darryl</t>
  </si>
  <si>
    <t xml:space="preserve">3160 Marguerite Blvd </t>
  </si>
  <si>
    <t>Hidalgo</t>
  </si>
  <si>
    <t xml:space="preserve">3850 S Atchison Way Unit H </t>
  </si>
  <si>
    <t>Randers-Pehrson</t>
  </si>
  <si>
    <t>L. Hale</t>
  </si>
  <si>
    <t xml:space="preserve">113 Hawkes Ave </t>
  </si>
  <si>
    <t>Stern-Olshan</t>
  </si>
  <si>
    <t xml:space="preserve">1430 Sheridan St Apt 24G </t>
  </si>
  <si>
    <t xml:space="preserve">689 A County Rd 700N </t>
  </si>
  <si>
    <t>Kamradt</t>
  </si>
  <si>
    <t xml:space="preserve">1466 Nardeer St </t>
  </si>
  <si>
    <t>Novi</t>
  </si>
  <si>
    <t>Cooke Jr.</t>
  </si>
  <si>
    <t xml:space="preserve">1139 E Main St </t>
  </si>
  <si>
    <t>Niccolson</t>
  </si>
  <si>
    <t xml:space="preserve">6546 Flanders Dr </t>
  </si>
  <si>
    <t>Lawford</t>
  </si>
  <si>
    <t xml:space="preserve">580 Lake St </t>
  </si>
  <si>
    <t>South Wilmington</t>
  </si>
  <si>
    <t>Hinson</t>
  </si>
  <si>
    <t xml:space="preserve">9 Fircrest Ct </t>
  </si>
  <si>
    <t>Darr</t>
  </si>
  <si>
    <t xml:space="preserve">5378 Rosalind Ave </t>
  </si>
  <si>
    <t>Spini</t>
  </si>
  <si>
    <t xml:space="preserve">570 Hilton Ln </t>
  </si>
  <si>
    <t>Barthel</t>
  </si>
  <si>
    <t xml:space="preserve">FAIRFIELD BEACH Rd </t>
  </si>
  <si>
    <t xml:space="preserve">4160 Hertel Dr S </t>
  </si>
  <si>
    <t xml:space="preserve">2534 NW Rogue Valley Ter </t>
  </si>
  <si>
    <t>Dille</t>
  </si>
  <si>
    <t xml:space="preserve">105 SE 192nd Ave </t>
  </si>
  <si>
    <t>Armario</t>
  </si>
  <si>
    <t xml:space="preserve">100 Bonnie Way </t>
  </si>
  <si>
    <t>Glen Ellen</t>
  </si>
  <si>
    <t>Rhinehart</t>
  </si>
  <si>
    <t xml:space="preserve">418 Los Padres Blvd </t>
  </si>
  <si>
    <t>Robby</t>
  </si>
  <si>
    <t>Copalis Beach</t>
  </si>
  <si>
    <t xml:space="preserve">160 Valley Dr </t>
  </si>
  <si>
    <t>Beneduce</t>
  </si>
  <si>
    <t xml:space="preserve">625 W Allenton Rd </t>
  </si>
  <si>
    <t>North Kingstown</t>
  </si>
  <si>
    <t>Splan</t>
  </si>
  <si>
    <t xml:space="preserve">4255 N Ash Rd </t>
  </si>
  <si>
    <t>Hodes</t>
  </si>
  <si>
    <t xml:space="preserve">1655 Chestnut St Apt 203 </t>
  </si>
  <si>
    <t>Travers-Davin</t>
  </si>
  <si>
    <t xml:space="preserve">7427 Timothys Way # 11 </t>
  </si>
  <si>
    <t>Mickelson</t>
  </si>
  <si>
    <t xml:space="preserve">1231 State Route 28A </t>
  </si>
  <si>
    <t>Obr</t>
  </si>
  <si>
    <t xml:space="preserve">1083 Mulberry Ct </t>
  </si>
  <si>
    <t>Vyatchanin</t>
  </si>
  <si>
    <t>Evgenia</t>
  </si>
  <si>
    <t xml:space="preserve">470 Luna Bella Ln </t>
  </si>
  <si>
    <t>New Smyrna Beach</t>
  </si>
  <si>
    <t>Monahan</t>
  </si>
  <si>
    <t xml:space="preserve">5008 Boylston Dr </t>
  </si>
  <si>
    <t>Tornabene</t>
  </si>
  <si>
    <t xml:space="preserve">PO Box 1483 </t>
  </si>
  <si>
    <t xml:space="preserve">16616 Pasquale Rd </t>
  </si>
  <si>
    <t xml:space="preserve">108 Arvin Dr </t>
  </si>
  <si>
    <t>Jurus</t>
  </si>
  <si>
    <t xml:space="preserve">17218 97th Pl SW Apt 202 </t>
  </si>
  <si>
    <t>Vashon</t>
  </si>
  <si>
    <t xml:space="preserve">11700 Route 98 </t>
  </si>
  <si>
    <t xml:space="preserve">315 W 90th St Apt 4 </t>
  </si>
  <si>
    <t xml:space="preserve">105 Tyser Pl </t>
  </si>
  <si>
    <t>Voigt</t>
  </si>
  <si>
    <t xml:space="preserve">CONTY RD J </t>
  </si>
  <si>
    <t>Valders</t>
  </si>
  <si>
    <t>Brendel</t>
  </si>
  <si>
    <t xml:space="preserve">7720 Pineland Rd </t>
  </si>
  <si>
    <t>Bokeelia</t>
  </si>
  <si>
    <t>Calme</t>
  </si>
  <si>
    <t>Virginie</t>
  </si>
  <si>
    <t xml:space="preserve">63149 Iner Loop </t>
  </si>
  <si>
    <t>97701-7764</t>
  </si>
  <si>
    <t>Zachwieja</t>
  </si>
  <si>
    <t xml:space="preserve">505 Burr Oak Dr </t>
  </si>
  <si>
    <t>Lake Zurich</t>
  </si>
  <si>
    <t>60047-2513</t>
  </si>
  <si>
    <t>Carmi</t>
  </si>
  <si>
    <t xml:space="preserve">4516 Mattis Rd </t>
  </si>
  <si>
    <t>63128-3072</t>
  </si>
  <si>
    <t>Letson</t>
  </si>
  <si>
    <t xml:space="preserve">78 S Carr St </t>
  </si>
  <si>
    <t>80226-1364</t>
  </si>
  <si>
    <t>Tubbs</t>
  </si>
  <si>
    <t xml:space="preserve">975 Jonas Ave </t>
  </si>
  <si>
    <t>Nakamura</t>
  </si>
  <si>
    <t xml:space="preserve">2423 T St Apt 14 </t>
  </si>
  <si>
    <t xml:space="preserve">PO Box 11687 </t>
  </si>
  <si>
    <t xml:space="preserve">362 Hillcrest Dr </t>
  </si>
  <si>
    <t>Guay</t>
  </si>
  <si>
    <t xml:space="preserve">2666 Northland Rd </t>
  </si>
  <si>
    <t>Nasser</t>
  </si>
  <si>
    <t xml:space="preserve">1505 Fountaingrove Pkwy Unit 205 </t>
  </si>
  <si>
    <t xml:space="preserve">67 Case St </t>
  </si>
  <si>
    <t>Tod</t>
  </si>
  <si>
    <t xml:space="preserve">20240 Robin Ln NE </t>
  </si>
  <si>
    <t>Suquamish</t>
  </si>
  <si>
    <t xml:space="preserve">3219 Regatta Pointe Ct </t>
  </si>
  <si>
    <t>Elihu</t>
  </si>
  <si>
    <t xml:space="preserve">6 Bevell Ln </t>
  </si>
  <si>
    <t xml:space="preserve">188 David Ave </t>
  </si>
  <si>
    <t>Dustin</t>
  </si>
  <si>
    <t xml:space="preserve">2805 Park Ave </t>
  </si>
  <si>
    <t>Dao</t>
  </si>
  <si>
    <t>Oanh</t>
  </si>
  <si>
    <t xml:space="preserve">2161 Jonesport Ave </t>
  </si>
  <si>
    <t>Anny</t>
  </si>
  <si>
    <t xml:space="preserve">17219 Quaker Ln </t>
  </si>
  <si>
    <t>Sandy Spring</t>
  </si>
  <si>
    <t>Pahre</t>
  </si>
  <si>
    <t xml:space="preserve">2805 93rd Ave E </t>
  </si>
  <si>
    <t>Marquart</t>
  </si>
  <si>
    <t xml:space="preserve">8610 Nixon Ave SW </t>
  </si>
  <si>
    <t xml:space="preserve">6262 N Parsley Rd </t>
  </si>
  <si>
    <t>Erb</t>
  </si>
  <si>
    <t>Rifkind</t>
  </si>
  <si>
    <t xml:space="preserve">110 W Uncas Rd </t>
  </si>
  <si>
    <t xml:space="preserve">2017 Maxson St </t>
  </si>
  <si>
    <t>Symington</t>
  </si>
  <si>
    <t>Cs</t>
  </si>
  <si>
    <t xml:space="preserve">809 E Avea </t>
  </si>
  <si>
    <t>Durda</t>
  </si>
  <si>
    <t xml:space="preserve">3415 W Needmore Hwy </t>
  </si>
  <si>
    <t xml:space="preserve">5810 Old Fox Tel </t>
  </si>
  <si>
    <t>Pipitone</t>
  </si>
  <si>
    <t xml:space="preserve">145 Windover Ct </t>
  </si>
  <si>
    <t xml:space="preserve">81755 Severson Rd </t>
  </si>
  <si>
    <t>Port Wing</t>
  </si>
  <si>
    <t>54865-4824</t>
  </si>
  <si>
    <t>Kivi</t>
  </si>
  <si>
    <t xml:space="preserve">1015 Cedar Ln </t>
  </si>
  <si>
    <t>Miszlay</t>
  </si>
  <si>
    <t xml:space="preserve">10600 San Vercelli Ct </t>
  </si>
  <si>
    <t>Uyeda</t>
  </si>
  <si>
    <t xml:space="preserve">6012 Carol Ave </t>
  </si>
  <si>
    <t>Oehler</t>
  </si>
  <si>
    <t>Thomasville</t>
  </si>
  <si>
    <t xml:space="preserve">6030 Graciosa Dr </t>
  </si>
  <si>
    <t>90068-3071</t>
  </si>
  <si>
    <t>Minicucci</t>
  </si>
  <si>
    <t>Lake Ann</t>
  </si>
  <si>
    <t>49650-0252</t>
  </si>
  <si>
    <t xml:space="preserve">9 Deepwood Dr </t>
  </si>
  <si>
    <t>06040-3805</t>
  </si>
  <si>
    <t xml:space="preserve">PO Box 241 </t>
  </si>
  <si>
    <t>01262-0241</t>
  </si>
  <si>
    <t>Swenning</t>
  </si>
  <si>
    <t xml:space="preserve">PO Box 5329 </t>
  </si>
  <si>
    <t>94805-0329</t>
  </si>
  <si>
    <t>Meuer</t>
  </si>
  <si>
    <t xml:space="preserve">1422 Wheeler Rd Unit E </t>
  </si>
  <si>
    <t>53704-1477</t>
  </si>
  <si>
    <t>Gnarra</t>
  </si>
  <si>
    <t xml:space="preserve">26 Country Club Ln </t>
  </si>
  <si>
    <t>07208-2607</t>
  </si>
  <si>
    <t>Kurowski</t>
  </si>
  <si>
    <t xml:space="preserve">1525 Bledsoe Ln </t>
  </si>
  <si>
    <t>37067-1795</t>
  </si>
  <si>
    <t>Downs</t>
  </si>
  <si>
    <t>Carletta</t>
  </si>
  <si>
    <t xml:space="preserve">1264 Lexington Ave Apt 7E </t>
  </si>
  <si>
    <t>10028-2066</t>
  </si>
  <si>
    <t>Baldi</t>
  </si>
  <si>
    <t xml:space="preserve">911 Elliott Dr </t>
  </si>
  <si>
    <t>75104-6837</t>
  </si>
  <si>
    <t xml:space="preserve">758 N Chickasaw Trl </t>
  </si>
  <si>
    <t>73030-6604</t>
  </si>
  <si>
    <t>Giorgio</t>
  </si>
  <si>
    <t xml:space="preserve">14 Jeff Rd </t>
  </si>
  <si>
    <t>33774-2036</t>
  </si>
  <si>
    <t xml:space="preserve">1710 W White St </t>
  </si>
  <si>
    <t>61821-3016</t>
  </si>
  <si>
    <t>Duley</t>
  </si>
  <si>
    <t xml:space="preserve">900 Waldkirch Ave </t>
  </si>
  <si>
    <t>37204-2427</t>
  </si>
  <si>
    <t xml:space="preserve">202 Hoegh Ave SW </t>
  </si>
  <si>
    <t>Spring Grove</t>
  </si>
  <si>
    <t>55974-1114</t>
  </si>
  <si>
    <t>Hurd</t>
  </si>
  <si>
    <t xml:space="preserve">168 Mar Lin Trl </t>
  </si>
  <si>
    <t>Morganton</t>
  </si>
  <si>
    <t>30560-1569</t>
  </si>
  <si>
    <t>Schipman</t>
  </si>
  <si>
    <t xml:space="preserve">10307 Stornoway Ct </t>
  </si>
  <si>
    <t>28227-4341</t>
  </si>
  <si>
    <t>Cherry</t>
  </si>
  <si>
    <t xml:space="preserve">430 Walton Ferry Rd </t>
  </si>
  <si>
    <t>37075-4175</t>
  </si>
  <si>
    <t>07069-6120</t>
  </si>
  <si>
    <t xml:space="preserve">5534 Mount Pleasant Rd </t>
  </si>
  <si>
    <t>98362-8350</t>
  </si>
  <si>
    <t xml:space="preserve">1903 Thalia Ct </t>
  </si>
  <si>
    <t>46383-1145</t>
  </si>
  <si>
    <t>Jablon</t>
  </si>
  <si>
    <t xml:space="preserve">2373 Ballard Way </t>
  </si>
  <si>
    <t>21042-1781</t>
  </si>
  <si>
    <t>85739-1792</t>
  </si>
  <si>
    <t>Dr Harry And P Carey</t>
  </si>
  <si>
    <t>13224-1537</t>
  </si>
  <si>
    <t>South Pomfret</t>
  </si>
  <si>
    <t>05067-0063</t>
  </si>
  <si>
    <t>Gargiulo</t>
  </si>
  <si>
    <t xml:space="preserve">330 E 54th St </t>
  </si>
  <si>
    <t>10022-5008</t>
  </si>
  <si>
    <t>McDonagh</t>
  </si>
  <si>
    <t xml:space="preserve">145 Winding Way Ln </t>
  </si>
  <si>
    <t>North Tazewell</t>
  </si>
  <si>
    <t>24630-9360</t>
  </si>
  <si>
    <t>Lillywhite</t>
  </si>
  <si>
    <t xml:space="preserve">1041 W Roller Coaster Rd </t>
  </si>
  <si>
    <t>85704-2630</t>
  </si>
  <si>
    <t>Tsevis</t>
  </si>
  <si>
    <t xml:space="preserve">1764 E Cree Ln </t>
  </si>
  <si>
    <t xml:space="preserve">1705 Woodward Ave </t>
  </si>
  <si>
    <t>Kingsford</t>
  </si>
  <si>
    <t>Kalil</t>
  </si>
  <si>
    <t xml:space="preserve">59 Glenwood Rd </t>
  </si>
  <si>
    <t xml:space="preserve">4536 Seneca St </t>
  </si>
  <si>
    <t>West Seneca</t>
  </si>
  <si>
    <t>Hermanns</t>
  </si>
  <si>
    <t xml:space="preserve">9442 N Tioga Ave </t>
  </si>
  <si>
    <t xml:space="preserve">12009 W Highway 290 Ste 5 </t>
  </si>
  <si>
    <t xml:space="preserve">313 Custis Rd </t>
  </si>
  <si>
    <t xml:space="preserve">345 W 58th St Apt 11U </t>
  </si>
  <si>
    <t>Gaudin</t>
  </si>
  <si>
    <t>Gerard F.</t>
  </si>
  <si>
    <t xml:space="preserve">PO Box 191 </t>
  </si>
  <si>
    <t>Berkowitz-Berliner</t>
  </si>
  <si>
    <t xml:space="preserve">80 Grove St </t>
  </si>
  <si>
    <t xml:space="preserve">3857 N Freeman Rd </t>
  </si>
  <si>
    <t xml:space="preserve">3344 SW 48th Ave </t>
  </si>
  <si>
    <t>Bemis</t>
  </si>
  <si>
    <t>Evalyn</t>
  </si>
  <si>
    <t xml:space="preserve">21 Leaping Powder Rd </t>
  </si>
  <si>
    <t>Sahouria</t>
  </si>
  <si>
    <t xml:space="preserve">305 Sacramento St Apt A </t>
  </si>
  <si>
    <t>Goldsberry</t>
  </si>
  <si>
    <t xml:space="preserve">PO Box 213 </t>
  </si>
  <si>
    <t>Lowry City</t>
  </si>
  <si>
    <t>Jannicelli</t>
  </si>
  <si>
    <t xml:space="preserve">6305 Alderwood St </t>
  </si>
  <si>
    <t xml:space="preserve">6220 Davis Rd </t>
  </si>
  <si>
    <t xml:space="preserve">14830 Fossil Rock Rd </t>
  </si>
  <si>
    <t xml:space="preserve">721 E Butler Pike </t>
  </si>
  <si>
    <t>Ambler</t>
  </si>
  <si>
    <t>Doering</t>
  </si>
  <si>
    <t xml:space="preserve">1544 Polk St </t>
  </si>
  <si>
    <t>94109-3607</t>
  </si>
  <si>
    <t>Nicola</t>
  </si>
  <si>
    <t>Hahn</t>
  </si>
  <si>
    <t xml:space="preserve">57 Nagel Rd </t>
  </si>
  <si>
    <t>Oldtown</t>
  </si>
  <si>
    <t xml:space="preserve">135 Four Seasons Dr </t>
  </si>
  <si>
    <t>Lake Orion</t>
  </si>
  <si>
    <t>48360-2646</t>
  </si>
  <si>
    <t xml:space="preserve">626 The Alameda </t>
  </si>
  <si>
    <t>94707-1602</t>
  </si>
  <si>
    <t xml:space="preserve">812 Belgrade St </t>
  </si>
  <si>
    <t>19125-3513</t>
  </si>
  <si>
    <t>Landuyt</t>
  </si>
  <si>
    <t xml:space="preserve">27947 Jefferson Ave </t>
  </si>
  <si>
    <t>48081-1375</t>
  </si>
  <si>
    <t>Rensch</t>
  </si>
  <si>
    <t xml:space="preserve">RODEO Dr </t>
  </si>
  <si>
    <t>Schrock</t>
  </si>
  <si>
    <t xml:space="preserve">952 Ranch Ln </t>
  </si>
  <si>
    <t xml:space="preserve">5920 Widmer Rd 5920 Widmer Rd 5920 Widmer Rd </t>
  </si>
  <si>
    <t xml:space="preserve">6017 Pioneers Blvd </t>
  </si>
  <si>
    <t>68506-5139</t>
  </si>
  <si>
    <t xml:space="preserve">7400 SW Lakeside Loop </t>
  </si>
  <si>
    <t>Wilsonville</t>
  </si>
  <si>
    <t xml:space="preserve">4722 SUNSTONE Dr </t>
  </si>
  <si>
    <t xml:space="preserve">61 Wig Hill Rd </t>
  </si>
  <si>
    <t>Edla</t>
  </si>
  <si>
    <t xml:space="preserve">433 E 1st St Apt 2 </t>
  </si>
  <si>
    <t xml:space="preserve">2529 State Route 131 </t>
  </si>
  <si>
    <t>Ayala</t>
  </si>
  <si>
    <t xml:space="preserve">1229 W Farwell Ave # 2 </t>
  </si>
  <si>
    <t>Napier</t>
  </si>
  <si>
    <t xml:space="preserve">PO Box 11655 </t>
  </si>
  <si>
    <t xml:space="preserve">106 Reedy Cove Pl </t>
  </si>
  <si>
    <t>Baehr</t>
  </si>
  <si>
    <t xml:space="preserve">5555 S Everett Ave Apt E-3 </t>
  </si>
  <si>
    <t xml:space="preserve">1106 Antioch Rd </t>
  </si>
  <si>
    <t xml:space="preserve">2515 Winter Ln </t>
  </si>
  <si>
    <t>Godfrey</t>
  </si>
  <si>
    <t xml:space="preserve">93 Commerce St </t>
  </si>
  <si>
    <t>Hanly</t>
  </si>
  <si>
    <t>Cardona</t>
  </si>
  <si>
    <t xml:space="preserve">11617 Brougham Dr </t>
  </si>
  <si>
    <t>Kohlhagen</t>
  </si>
  <si>
    <t xml:space="preserve">27 Forsythia Ln </t>
  </si>
  <si>
    <t>Stuhlmann</t>
  </si>
  <si>
    <t xml:space="preserve">765 Oxborough Dr </t>
  </si>
  <si>
    <t xml:space="preserve">1100 Chestnut St </t>
  </si>
  <si>
    <t>Sain</t>
  </si>
  <si>
    <t xml:space="preserve">8301 Mission Gorge Gd # 118 </t>
  </si>
  <si>
    <t xml:space="preserve">104 Arbor Way </t>
  </si>
  <si>
    <t>Schuld</t>
  </si>
  <si>
    <t xml:space="preserve">351 W 44th St </t>
  </si>
  <si>
    <t>Z</t>
  </si>
  <si>
    <t xml:space="preserve">275 Fox Run </t>
  </si>
  <si>
    <t xml:space="preserve">11807 13th Pl W </t>
  </si>
  <si>
    <t xml:space="preserve">337 Park St # 1192 </t>
  </si>
  <si>
    <t>Olivares</t>
  </si>
  <si>
    <t xml:space="preserve">8200 Haven Ave Apt 7302 </t>
  </si>
  <si>
    <t>Smyth</t>
  </si>
  <si>
    <t xml:space="preserve">29 Josephine Ave </t>
  </si>
  <si>
    <t>Dallal</t>
  </si>
  <si>
    <t xml:space="preserve">3747 Midvale Ave </t>
  </si>
  <si>
    <t>Slavid</t>
  </si>
  <si>
    <t xml:space="preserve">841 Montecillo Rd </t>
  </si>
  <si>
    <t xml:space="preserve">2400 Mary Ann De </t>
  </si>
  <si>
    <t xml:space="preserve">1515 Alpine Pass </t>
  </si>
  <si>
    <t>55416-3558</t>
  </si>
  <si>
    <t>Alena</t>
  </si>
  <si>
    <t xml:space="preserve">9557 Garibaldi Ave </t>
  </si>
  <si>
    <t>91780-1651</t>
  </si>
  <si>
    <t>Dejarlais</t>
  </si>
  <si>
    <t xml:space="preserve">No Mail, Thanks </t>
  </si>
  <si>
    <t>Dilling</t>
  </si>
  <si>
    <t xml:space="preserve">Porter Township </t>
  </si>
  <si>
    <t xml:space="preserve">1505 Valle Alto Ct NW </t>
  </si>
  <si>
    <t>87107-2737</t>
  </si>
  <si>
    <t>You</t>
  </si>
  <si>
    <t xml:space="preserve">14630 HIGHLAND RIDG </t>
  </si>
  <si>
    <t>B C</t>
  </si>
  <si>
    <t xml:space="preserve">461 Loxley Ct </t>
  </si>
  <si>
    <t>Titusville</t>
  </si>
  <si>
    <t>32780-3213</t>
  </si>
  <si>
    <t>Call</t>
  </si>
  <si>
    <t xml:space="preserve">3470 Woodside Ln </t>
  </si>
  <si>
    <t>95121-1248</t>
  </si>
  <si>
    <t xml:space="preserve">1032 Randolph St </t>
  </si>
  <si>
    <t>60302-3406</t>
  </si>
  <si>
    <t xml:space="preserve">5636 N Spaulding Ave Apt 1B </t>
  </si>
  <si>
    <t>60659-3676</t>
  </si>
  <si>
    <t xml:space="preserve">2720 N Sheffield Ave Apt 617 </t>
  </si>
  <si>
    <t>60614-1337</t>
  </si>
  <si>
    <t>William R</t>
  </si>
  <si>
    <t xml:space="preserve">111 W Crystal Lake Ave </t>
  </si>
  <si>
    <t>08108-3401</t>
  </si>
  <si>
    <t>Watts-Hettinger</t>
  </si>
  <si>
    <t>03086-5318</t>
  </si>
  <si>
    <t>Domian</t>
  </si>
  <si>
    <t xml:space="preserve">10 Waltz Ln </t>
  </si>
  <si>
    <t>Catskill</t>
  </si>
  <si>
    <t>12414-6013</t>
  </si>
  <si>
    <t xml:space="preserve">2942 Mcleod Rd </t>
  </si>
  <si>
    <t>98225-1057</t>
  </si>
  <si>
    <t>Johnsin</t>
  </si>
  <si>
    <t xml:space="preserve">340 N Minnesota St Apt 108 </t>
  </si>
  <si>
    <t>Muscoda</t>
  </si>
  <si>
    <t>53573-9496</t>
  </si>
  <si>
    <t>Sorensen</t>
  </si>
  <si>
    <t xml:space="preserve">6804 138th St </t>
  </si>
  <si>
    <t>11367-1630</t>
  </si>
  <si>
    <t>Zipse</t>
  </si>
  <si>
    <t xml:space="preserve">5823 W 148th Pl </t>
  </si>
  <si>
    <t>66223-2648</t>
  </si>
  <si>
    <t>Tessari</t>
  </si>
  <si>
    <t xml:space="preserve">5375 Eureka Rd </t>
  </si>
  <si>
    <t>55331-7963</t>
  </si>
  <si>
    <t>Dodson</t>
  </si>
  <si>
    <t xml:space="preserve">175 Hess Blvd </t>
  </si>
  <si>
    <t>17601-4045</t>
  </si>
  <si>
    <t>Lercara</t>
  </si>
  <si>
    <t>Sharinne</t>
  </si>
  <si>
    <t xml:space="preserve">15307 60th Ave </t>
  </si>
  <si>
    <t>11355-5540</t>
  </si>
  <si>
    <t>Leddy</t>
  </si>
  <si>
    <t xml:space="preserve">13464 Victory Blvd Apt 102 </t>
  </si>
  <si>
    <t>Buerkett</t>
  </si>
  <si>
    <t xml:space="preserve">6138 Main St </t>
  </si>
  <si>
    <t>Pleasant Plains</t>
  </si>
  <si>
    <t xml:space="preserve">315 Crestridge Ave </t>
  </si>
  <si>
    <t xml:space="preserve">320 E 72nd St Apt 5C </t>
  </si>
  <si>
    <t>McCullum-Gomez</t>
  </si>
  <si>
    <t xml:space="preserve">8612 Kendall Dr </t>
  </si>
  <si>
    <t>Hejl</t>
  </si>
  <si>
    <t xml:space="preserve">5423 S Springfield Ave </t>
  </si>
  <si>
    <t>60632-3730</t>
  </si>
  <si>
    <t xml:space="preserve">4211 Iowa St </t>
  </si>
  <si>
    <t xml:space="preserve">1426 Pine St </t>
  </si>
  <si>
    <t>Stapes</t>
  </si>
  <si>
    <t>Lynn And Roger</t>
  </si>
  <si>
    <t xml:space="preserve">81607 Lost Creek Rd </t>
  </si>
  <si>
    <t>Dindia</t>
  </si>
  <si>
    <t xml:space="preserve">1944 SE 28th Ave </t>
  </si>
  <si>
    <t xml:space="preserve">1023 W Alder St </t>
  </si>
  <si>
    <t>Dornheim</t>
  </si>
  <si>
    <t xml:space="preserve">215 Harrison Ave </t>
  </si>
  <si>
    <t xml:space="preserve">4811 59th St </t>
  </si>
  <si>
    <t>Hargan</t>
  </si>
  <si>
    <t xml:space="preserve">10604 220th Ave E </t>
  </si>
  <si>
    <t>Sharee</t>
  </si>
  <si>
    <t xml:space="preserve">459 Naples St </t>
  </si>
  <si>
    <t xml:space="preserve">332 N Green Bay Rd Apt 1603 </t>
  </si>
  <si>
    <t>Waukegan</t>
  </si>
  <si>
    <t>Hyllmon</t>
  </si>
  <si>
    <t>Anilise</t>
  </si>
  <si>
    <t xml:space="preserve">399 Menlo Oaks Dr </t>
  </si>
  <si>
    <t>Kain</t>
  </si>
  <si>
    <t xml:space="preserve">1602 S Carle Ave None </t>
  </si>
  <si>
    <t xml:space="preserve">720 Cole St </t>
  </si>
  <si>
    <t>Carlisle</t>
  </si>
  <si>
    <t>Ehrhardt</t>
  </si>
  <si>
    <t xml:space="preserve">5020 SW 22nd Ave </t>
  </si>
  <si>
    <t xml:space="preserve">294 Chiquita St </t>
  </si>
  <si>
    <t>Merzyn</t>
  </si>
  <si>
    <t>Agnes</t>
  </si>
  <si>
    <t xml:space="preserve">20844 N Country Ln </t>
  </si>
  <si>
    <t xml:space="preserve">108 River Trl </t>
  </si>
  <si>
    <t>Herten</t>
  </si>
  <si>
    <t xml:space="preserve">16002 Woodbury Ave </t>
  </si>
  <si>
    <t xml:space="preserve">2945 Lowell St </t>
  </si>
  <si>
    <t>Tenenbaum</t>
  </si>
  <si>
    <t xml:space="preserve">2584 Plainview St </t>
  </si>
  <si>
    <t>Stiles</t>
  </si>
  <si>
    <t>South Acworth</t>
  </si>
  <si>
    <t>Kagan</t>
  </si>
  <si>
    <t xml:space="preserve">311 Rochambeau Ave </t>
  </si>
  <si>
    <t xml:space="preserve">2090 E Falcon St </t>
  </si>
  <si>
    <t>Caster</t>
  </si>
  <si>
    <t xml:space="preserve">212 W 3rd St </t>
  </si>
  <si>
    <t xml:space="preserve">1813 Redwood Ct </t>
  </si>
  <si>
    <t>Kulla-Abbott</t>
  </si>
  <si>
    <t>Dr. Thomas</t>
  </si>
  <si>
    <t xml:space="preserve">4258 Horseshoe Creek Dr </t>
  </si>
  <si>
    <t>Koke</t>
  </si>
  <si>
    <t xml:space="preserve">323 Gainsborough Sq </t>
  </si>
  <si>
    <t>Folkmann</t>
  </si>
  <si>
    <t>Lionel</t>
  </si>
  <si>
    <t xml:space="preserve">1400 Ross Ln </t>
  </si>
  <si>
    <t>Seagoville</t>
  </si>
  <si>
    <t>Davelaar</t>
  </si>
  <si>
    <t xml:space="preserve">628 Blackbass Ave </t>
  </si>
  <si>
    <t>Velasquez</t>
  </si>
  <si>
    <t xml:space="preserve">2873 Dandelion Cir </t>
  </si>
  <si>
    <t>Mertens</t>
  </si>
  <si>
    <t xml:space="preserve">9 Osprey Ln </t>
  </si>
  <si>
    <t>Vinton</t>
  </si>
  <si>
    <t xml:space="preserve">823 Wmain St </t>
  </si>
  <si>
    <t xml:space="preserve">735 E Edna St </t>
  </si>
  <si>
    <t>Rockwell</t>
  </si>
  <si>
    <t xml:space="preserve">PO Box 543 </t>
  </si>
  <si>
    <t xml:space="preserve">320 W 76th St </t>
  </si>
  <si>
    <t>Inabinet</t>
  </si>
  <si>
    <t xml:space="preserve">601 Cardamon Dr </t>
  </si>
  <si>
    <t>Just</t>
  </si>
  <si>
    <t xml:space="preserve">PO Box 162 </t>
  </si>
  <si>
    <t>Colora</t>
  </si>
  <si>
    <t>Kan</t>
  </si>
  <si>
    <t xml:space="preserve">PO Box 291398A </t>
  </si>
  <si>
    <t xml:space="preserve">1263 HWY917EAST </t>
  </si>
  <si>
    <t>Latta</t>
  </si>
  <si>
    <t xml:space="preserve">523 E Harrison St </t>
  </si>
  <si>
    <t>Oblander</t>
  </si>
  <si>
    <t xml:space="preserve">3706 Reid Pryor Rd </t>
  </si>
  <si>
    <t xml:space="preserve">1873 Adobe Creek Dr </t>
  </si>
  <si>
    <t>Capurro</t>
  </si>
  <si>
    <t xml:space="preserve">8 Valley </t>
  </si>
  <si>
    <t xml:space="preserve">197 Cedar St </t>
  </si>
  <si>
    <t xml:space="preserve">398 N Laurel St </t>
  </si>
  <si>
    <t>Lansin</t>
  </si>
  <si>
    <t xml:space="preserve">139 Oak St </t>
  </si>
  <si>
    <t>Amery</t>
  </si>
  <si>
    <t>Bressler</t>
  </si>
  <si>
    <t xml:space="preserve">2627 S Rustin St Apt H24 </t>
  </si>
  <si>
    <t xml:space="preserve">501 Lighthouse Ave # 44 </t>
  </si>
  <si>
    <t xml:space="preserve">23 Victoria Ln </t>
  </si>
  <si>
    <t>East Falmouth</t>
  </si>
  <si>
    <t xml:space="preserve">11 Egerton Rd </t>
  </si>
  <si>
    <t>Batterman</t>
  </si>
  <si>
    <t xml:space="preserve">845 S Placita Topa </t>
  </si>
  <si>
    <t>Cigna</t>
  </si>
  <si>
    <t xml:space="preserve">11390 Thompson Corners Florence Rd </t>
  </si>
  <si>
    <t>Vincd</t>
  </si>
  <si>
    <t xml:space="preserve">35 Highland Rd Apt 5213 </t>
  </si>
  <si>
    <t>Artigas</t>
  </si>
  <si>
    <t>Alejandro</t>
  </si>
  <si>
    <t xml:space="preserve">2830 Glenoaks Canyon Dr </t>
  </si>
  <si>
    <t xml:space="preserve">144 Lincoln Ave </t>
  </si>
  <si>
    <t xml:space="preserve">126 Saco St </t>
  </si>
  <si>
    <t>Lovato</t>
  </si>
  <si>
    <t xml:space="preserve">4812 SE Meldrum Ave </t>
  </si>
  <si>
    <t xml:space="preserve">3327 65th Ave </t>
  </si>
  <si>
    <t xml:space="preserve">1447 Washburn St </t>
  </si>
  <si>
    <t>Jakubanis</t>
  </si>
  <si>
    <t xml:space="preserve">13904 Encantado Rd NE </t>
  </si>
  <si>
    <t xml:space="preserve">777 Simpson Dr </t>
  </si>
  <si>
    <t xml:space="preserve">69 High St </t>
  </si>
  <si>
    <t>Slintak</t>
  </si>
  <si>
    <t xml:space="preserve">4642 Mallards Lndg </t>
  </si>
  <si>
    <t>Laub</t>
  </si>
  <si>
    <t xml:space="preserve">4645 Jerome Ave </t>
  </si>
  <si>
    <t>Prost</t>
  </si>
  <si>
    <t xml:space="preserve">22 Elmwood St </t>
  </si>
  <si>
    <t>Maleski</t>
  </si>
  <si>
    <t xml:space="preserve">9821 64th St S </t>
  </si>
  <si>
    <t>Radtke</t>
  </si>
  <si>
    <t xml:space="preserve">7210 Biglerville Cir </t>
  </si>
  <si>
    <t>Couch</t>
  </si>
  <si>
    <t xml:space="preserve">3809 County Road 1116 </t>
  </si>
  <si>
    <t xml:space="preserve">SANTA CLARA </t>
  </si>
  <si>
    <t xml:space="preserve">482 Duane Ter Apt B </t>
  </si>
  <si>
    <t xml:space="preserve">79 Whitin Ave </t>
  </si>
  <si>
    <t>Chicopee</t>
  </si>
  <si>
    <t>Gimbert</t>
  </si>
  <si>
    <t>Dawne</t>
  </si>
  <si>
    <t xml:space="preserve">315 Veterans Blvd </t>
  </si>
  <si>
    <t>Lll</t>
  </si>
  <si>
    <t xml:space="preserve">923 Jackson St </t>
  </si>
  <si>
    <t>Laskey</t>
  </si>
  <si>
    <t>Deni</t>
  </si>
  <si>
    <t xml:space="preserve">1530 Jenkins Dr </t>
  </si>
  <si>
    <t>Vinayak</t>
  </si>
  <si>
    <t xml:space="preserve">143 Pauloa Pl # A </t>
  </si>
  <si>
    <t>Glasser</t>
  </si>
  <si>
    <t xml:space="preserve">4061 Eleuthera Ct </t>
  </si>
  <si>
    <t>Valley</t>
  </si>
  <si>
    <t xml:space="preserve">84 W Wharf Rd </t>
  </si>
  <si>
    <t>Quentin</t>
  </si>
  <si>
    <t xml:space="preserve">1002 Haney Ave </t>
  </si>
  <si>
    <t>El Dorado</t>
  </si>
  <si>
    <t>Demoski</t>
  </si>
  <si>
    <t xml:space="preserve">1560 Barn Swallow Way </t>
  </si>
  <si>
    <t>Weage</t>
  </si>
  <si>
    <t xml:space="preserve">17934 NW Andria Ave </t>
  </si>
  <si>
    <t xml:space="preserve">11789 Fraser St </t>
  </si>
  <si>
    <t>Commerce City</t>
  </si>
  <si>
    <t>Runfola</t>
  </si>
  <si>
    <t xml:space="preserve">47 Lincoln Ave </t>
  </si>
  <si>
    <t>Aubree</t>
  </si>
  <si>
    <t xml:space="preserve">2337 Summerhill Dr </t>
  </si>
  <si>
    <t>McQueen-Martinez</t>
  </si>
  <si>
    <t>M'chel</t>
  </si>
  <si>
    <t xml:space="preserve">12548 211TH St </t>
  </si>
  <si>
    <t>Cannon</t>
  </si>
  <si>
    <t>Sondra</t>
  </si>
  <si>
    <t xml:space="preserve">5020 Julia Ln </t>
  </si>
  <si>
    <t xml:space="preserve">25 Larry Ln </t>
  </si>
  <si>
    <t>Sofer</t>
  </si>
  <si>
    <t>Tzeira</t>
  </si>
  <si>
    <t xml:space="preserve">58 Indian Rock Rd </t>
  </si>
  <si>
    <t xml:space="preserve">2115 Hawkins Ln </t>
  </si>
  <si>
    <t>Torruella</t>
  </si>
  <si>
    <t xml:space="preserve">FERALGIRL2 Gmailcom </t>
  </si>
  <si>
    <t>Voorhies</t>
  </si>
  <si>
    <t xml:space="preserve">3216 Sharer Rd </t>
  </si>
  <si>
    <t>Cinthia</t>
  </si>
  <si>
    <t xml:space="preserve">2473 Franklin St </t>
  </si>
  <si>
    <t xml:space="preserve">1607 W Concord Dr </t>
  </si>
  <si>
    <t xml:space="preserve">5716 Kennyhill Dr </t>
  </si>
  <si>
    <t xml:space="preserve">110 Evergreen Ave </t>
  </si>
  <si>
    <t>Hh</t>
  </si>
  <si>
    <t xml:space="preserve">4323 Wishkah Rd </t>
  </si>
  <si>
    <t>Daugherty</t>
  </si>
  <si>
    <t xml:space="preserve">1941 W Tanager Rd </t>
  </si>
  <si>
    <t>Avon Park</t>
  </si>
  <si>
    <t xml:space="preserve">1501 W Dewey St </t>
  </si>
  <si>
    <t>Mindlin</t>
  </si>
  <si>
    <t xml:space="preserve">7361 SW 117th Ter </t>
  </si>
  <si>
    <t>Petersman</t>
  </si>
  <si>
    <t xml:space="preserve">1366 Columbus Ave </t>
  </si>
  <si>
    <t>Djordjevic</t>
  </si>
  <si>
    <t>Verica</t>
  </si>
  <si>
    <t xml:space="preserve">55900 Lochmoor Dr </t>
  </si>
  <si>
    <t xml:space="preserve">132 E 35th St </t>
  </si>
  <si>
    <t xml:space="preserve">1363 Fox Chase Dr </t>
  </si>
  <si>
    <t>Southaven</t>
  </si>
  <si>
    <t>Nickoson</t>
  </si>
  <si>
    <t xml:space="preserve">342 Trotters Rdg </t>
  </si>
  <si>
    <t>Lawrenceville</t>
  </si>
  <si>
    <t>Ollom</t>
  </si>
  <si>
    <t xml:space="preserve">2284 Elliott Hwy </t>
  </si>
  <si>
    <t>Burnham</t>
  </si>
  <si>
    <t xml:space="preserve">20 Atkins Ln </t>
  </si>
  <si>
    <t xml:space="preserve">344 Sofia Blvd </t>
  </si>
  <si>
    <t>Blandon</t>
  </si>
  <si>
    <t>Busler</t>
  </si>
  <si>
    <t>Niles And Michele</t>
  </si>
  <si>
    <t xml:space="preserve">30 Main St </t>
  </si>
  <si>
    <t>Sharkus</t>
  </si>
  <si>
    <t xml:space="preserve">1761 N Placita De Laroca </t>
  </si>
  <si>
    <t>Dugar</t>
  </si>
  <si>
    <t xml:space="preserve">10980 Pine Grove Trl Apt 316 </t>
  </si>
  <si>
    <t>Chardon</t>
  </si>
  <si>
    <t>Dinescu</t>
  </si>
  <si>
    <t xml:space="preserve">68 Sassafras Ct </t>
  </si>
  <si>
    <t>North Brunswick</t>
  </si>
  <si>
    <t>Dunaway</t>
  </si>
  <si>
    <t>Michaela</t>
  </si>
  <si>
    <t xml:space="preserve">PO Box 32551 </t>
  </si>
  <si>
    <t>Waco</t>
  </si>
  <si>
    <t>Bermeo</t>
  </si>
  <si>
    <t xml:space="preserve">2625 W Magnolia Ln </t>
  </si>
  <si>
    <t xml:space="preserve">245 N Main St </t>
  </si>
  <si>
    <t>Mercersburg</t>
  </si>
  <si>
    <t xml:space="preserve">5309 Pheasant Run Ln </t>
  </si>
  <si>
    <t>Loewy</t>
  </si>
  <si>
    <t xml:space="preserve">4721 41st St Apt G5 </t>
  </si>
  <si>
    <t>De Provence</t>
  </si>
  <si>
    <t>Caroline-Morgane</t>
  </si>
  <si>
    <t xml:space="preserve">7 Loose Strife Dr </t>
  </si>
  <si>
    <t>Hopewell Junction</t>
  </si>
  <si>
    <t>Wanner</t>
  </si>
  <si>
    <t xml:space="preserve">237 W Fulton St </t>
  </si>
  <si>
    <t>11561-1922</t>
  </si>
  <si>
    <t xml:space="preserve">2109 Oakdale Ct </t>
  </si>
  <si>
    <t>52241-3232</t>
  </si>
  <si>
    <t>Dickert</t>
  </si>
  <si>
    <t xml:space="preserve">193 NW Hamilton Ave </t>
  </si>
  <si>
    <t>32340-1606</t>
  </si>
  <si>
    <t>Rafaniello</t>
  </si>
  <si>
    <t xml:space="preserve">456 12th St # 3 </t>
  </si>
  <si>
    <t>11215-5102</t>
  </si>
  <si>
    <t xml:space="preserve">143 Daniels Hill Rd </t>
  </si>
  <si>
    <t>03431-5704</t>
  </si>
  <si>
    <t xml:space="preserve">3315 Bryant Ave </t>
  </si>
  <si>
    <t>55303-1454</t>
  </si>
  <si>
    <t>Fogg</t>
  </si>
  <si>
    <t xml:space="preserve">86 Oakhurst Rd Cape Elizabeth </t>
  </si>
  <si>
    <t>Cape Elizabeth</t>
  </si>
  <si>
    <t xml:space="preserve">31032 Carriage Hill Rd </t>
  </si>
  <si>
    <t>48331-1504</t>
  </si>
  <si>
    <t>Zinner</t>
  </si>
  <si>
    <t xml:space="preserve">1630 Arlington St </t>
  </si>
  <si>
    <t>Kanter</t>
  </si>
  <si>
    <t xml:space="preserve">1133 Oak Ave Apt 2W </t>
  </si>
  <si>
    <t xml:space="preserve">536 9th St </t>
  </si>
  <si>
    <t>Berthoud</t>
  </si>
  <si>
    <t>Rendoni</t>
  </si>
  <si>
    <t>Piero</t>
  </si>
  <si>
    <t xml:space="preserve">5903 Green Falls Dr </t>
  </si>
  <si>
    <t>Mulato</t>
  </si>
  <si>
    <t xml:space="preserve">25091 Via Elevado </t>
  </si>
  <si>
    <t>Krebs-Barley</t>
  </si>
  <si>
    <t xml:space="preserve">6 Concord Ln </t>
  </si>
  <si>
    <t xml:space="preserve">PO Box 178 </t>
  </si>
  <si>
    <t>Snowe Rn</t>
  </si>
  <si>
    <t>Sandra H</t>
  </si>
  <si>
    <t xml:space="preserve">555 Barrett Dr </t>
  </si>
  <si>
    <t>Sarmiento</t>
  </si>
  <si>
    <t>Francisco R</t>
  </si>
  <si>
    <t xml:space="preserve">502 Lacy Ave </t>
  </si>
  <si>
    <t>Streamwood</t>
  </si>
  <si>
    <t xml:space="preserve">6 Pearl St </t>
  </si>
  <si>
    <t>North Weymouth</t>
  </si>
  <si>
    <t xml:space="preserve">1821 5th Ave </t>
  </si>
  <si>
    <t>Kurland</t>
  </si>
  <si>
    <t xml:space="preserve">1725 Tyson Rd </t>
  </si>
  <si>
    <t xml:space="preserve">20 E 9th St </t>
  </si>
  <si>
    <t>Metzler</t>
  </si>
  <si>
    <t xml:space="preserve">1400 Plymouth Ave S </t>
  </si>
  <si>
    <t>Sauro</t>
  </si>
  <si>
    <t xml:space="preserve">29412 Fawn Way </t>
  </si>
  <si>
    <t>Tehachapi</t>
  </si>
  <si>
    <t>Major</t>
  </si>
  <si>
    <t xml:space="preserve">2134 New Berne Rd </t>
  </si>
  <si>
    <t xml:space="preserve">238 E 30th St Apt 3W </t>
  </si>
  <si>
    <t>Hugh S</t>
  </si>
  <si>
    <t xml:space="preserve">471 Lowell St Apt 1W </t>
  </si>
  <si>
    <t>Garfinkel</t>
  </si>
  <si>
    <t xml:space="preserve">PENINSULA </t>
  </si>
  <si>
    <t>Goldstone</t>
  </si>
  <si>
    <t xml:space="preserve">309 W 97th St </t>
  </si>
  <si>
    <t xml:space="preserve">2 Park Edge </t>
  </si>
  <si>
    <t>Berkeley Hts</t>
  </si>
  <si>
    <t>Grzegorzewski</t>
  </si>
  <si>
    <t xml:space="preserve">6845 22nd St N </t>
  </si>
  <si>
    <t xml:space="preserve">15857 Moorpark St </t>
  </si>
  <si>
    <t>Villalaz</t>
  </si>
  <si>
    <t xml:space="preserve">12902 W 159th St Apt 1B </t>
  </si>
  <si>
    <t>Giblin</t>
  </si>
  <si>
    <t xml:space="preserve">130 Ahern Rd </t>
  </si>
  <si>
    <t xml:space="preserve">1662 Lake Dr </t>
  </si>
  <si>
    <t>Haslett</t>
  </si>
  <si>
    <t>Shreve</t>
  </si>
  <si>
    <t>Weott</t>
  </si>
  <si>
    <t>Ewald</t>
  </si>
  <si>
    <t xml:space="preserve">37 Corrina Ln </t>
  </si>
  <si>
    <t xml:space="preserve">PO Box 1148 </t>
  </si>
  <si>
    <t>Thuestad</t>
  </si>
  <si>
    <t xml:space="preserve">2733 Field Dr </t>
  </si>
  <si>
    <t>Link</t>
  </si>
  <si>
    <t xml:space="preserve">1022 Augusta Dr </t>
  </si>
  <si>
    <t>Sun City Center</t>
  </si>
  <si>
    <t xml:space="preserve">713 Scenic Dr </t>
  </si>
  <si>
    <t>Sadler</t>
  </si>
  <si>
    <t xml:space="preserve">2574 Monroe St Apt 4 </t>
  </si>
  <si>
    <t>Bougsty</t>
  </si>
  <si>
    <t xml:space="preserve">714 Hyde Merritt Rd </t>
  </si>
  <si>
    <t>Lietz</t>
  </si>
  <si>
    <t xml:space="preserve">703 Vine St </t>
  </si>
  <si>
    <t>Grayling</t>
  </si>
  <si>
    <t>Abercrombie</t>
  </si>
  <si>
    <t xml:space="preserve">12128 Kite Hill Ln </t>
  </si>
  <si>
    <t>Seekford</t>
  </si>
  <si>
    <t xml:space="preserve">4104 Nottaway Pl </t>
  </si>
  <si>
    <t>Sands</t>
  </si>
  <si>
    <t xml:space="preserve">61 Jane St Apt 3J </t>
  </si>
  <si>
    <t xml:space="preserve">12 Canterbury Ct </t>
  </si>
  <si>
    <t>Upper Saddle River</t>
  </si>
  <si>
    <t>Garland  Phd Dd</t>
  </si>
  <si>
    <t>K R</t>
  </si>
  <si>
    <t xml:space="preserve">411 S Arizona St </t>
  </si>
  <si>
    <t xml:space="preserve">3618 Landau Ave NE </t>
  </si>
  <si>
    <t xml:space="preserve">254 E High St </t>
  </si>
  <si>
    <t xml:space="preserve">900 Vanessa Ct </t>
  </si>
  <si>
    <t>Dominick</t>
  </si>
  <si>
    <t xml:space="preserve">1021 Black Rock Tpke </t>
  </si>
  <si>
    <t>Roche</t>
  </si>
  <si>
    <t xml:space="preserve">4811 Saint George St </t>
  </si>
  <si>
    <t xml:space="preserve">150 E 7th St Apt C7 </t>
  </si>
  <si>
    <t>Denunzio</t>
  </si>
  <si>
    <t xml:space="preserve">45 Terrace Ave </t>
  </si>
  <si>
    <t xml:space="preserve">25 Bedminster Rd </t>
  </si>
  <si>
    <t xml:space="preserve">420 Buttonwood Ln </t>
  </si>
  <si>
    <t>33770-4046</t>
  </si>
  <si>
    <t>Lieber</t>
  </si>
  <si>
    <t>Leofaht</t>
  </si>
  <si>
    <t xml:space="preserve">2385 Hemlock Ave </t>
  </si>
  <si>
    <t>94520-1721</t>
  </si>
  <si>
    <t xml:space="preserve">4482 Twin Creek Dr NE </t>
  </si>
  <si>
    <t>30144-1550</t>
  </si>
  <si>
    <t>Stables</t>
  </si>
  <si>
    <t xml:space="preserve">115 Ronald Rd </t>
  </si>
  <si>
    <t>32095-8264</t>
  </si>
  <si>
    <t xml:space="preserve">25 Harvard St </t>
  </si>
  <si>
    <t>02176-4814</t>
  </si>
  <si>
    <t xml:space="preserve">45 Rockefeller Plz </t>
  </si>
  <si>
    <t>10111-0100</t>
  </si>
  <si>
    <t xml:space="preserve">8811 E Palisade Ter </t>
  </si>
  <si>
    <t>85749-9654</t>
  </si>
  <si>
    <t>Zale</t>
  </si>
  <si>
    <t xml:space="preserve">1025 SE BOULDER Rd </t>
  </si>
  <si>
    <t xml:space="preserve">4045 Bowser Ave </t>
  </si>
  <si>
    <t>75219-3710</t>
  </si>
  <si>
    <t xml:space="preserve">25 New York Ave Unit 253 </t>
  </si>
  <si>
    <t>11789-4012</t>
  </si>
  <si>
    <t xml:space="preserve">638 Sheri Ln </t>
  </si>
  <si>
    <t>94526-3934</t>
  </si>
  <si>
    <t>Kolecki</t>
  </si>
  <si>
    <t xml:space="preserve">305 N 4th St </t>
  </si>
  <si>
    <t>Perkasie</t>
  </si>
  <si>
    <t>18944-1873</t>
  </si>
  <si>
    <t xml:space="preserve">14300 E Marina Dr Apt 210 </t>
  </si>
  <si>
    <t>80014-3770</t>
  </si>
  <si>
    <t xml:space="preserve">915 El Capitan Way </t>
  </si>
  <si>
    <t>93401-7978</t>
  </si>
  <si>
    <t>Fradenburgh</t>
  </si>
  <si>
    <t xml:space="preserve">15731 Pride Ln </t>
  </si>
  <si>
    <t>83607-9341</t>
  </si>
  <si>
    <t>Faillace</t>
  </si>
  <si>
    <t xml:space="preserve">3333 NW 25th Ter </t>
  </si>
  <si>
    <t>33434-3403</t>
  </si>
  <si>
    <t>Swoiskin</t>
  </si>
  <si>
    <t xml:space="preserve">21 La Cuesta Dr </t>
  </si>
  <si>
    <t>Sewell</t>
  </si>
  <si>
    <t xml:space="preserve">1169 Forest Brook Ct </t>
  </si>
  <si>
    <t xml:space="preserve">PO Box 87 </t>
  </si>
  <si>
    <t>Roxbury</t>
  </si>
  <si>
    <t>05669-0087</t>
  </si>
  <si>
    <t>Shumate</t>
  </si>
  <si>
    <t xml:space="preserve">40 Primrose </t>
  </si>
  <si>
    <t>Signer</t>
  </si>
  <si>
    <t xml:space="preserve">15 W 72nd St </t>
  </si>
  <si>
    <t>O'Donald</t>
  </si>
  <si>
    <t>Juliee</t>
  </si>
  <si>
    <t xml:space="preserve">3404 Russet Rd </t>
  </si>
  <si>
    <t>Brier</t>
  </si>
  <si>
    <t>Kanoff</t>
  </si>
  <si>
    <t xml:space="preserve">407 Meister Way </t>
  </si>
  <si>
    <t xml:space="preserve">7408 Maximillian Pl </t>
  </si>
  <si>
    <t>Hubbell</t>
  </si>
  <si>
    <t xml:space="preserve">183 Morning Sun Ave </t>
  </si>
  <si>
    <t xml:space="preserve">220 Hubbard St </t>
  </si>
  <si>
    <t>Suy</t>
  </si>
  <si>
    <t>Jewnary</t>
  </si>
  <si>
    <t xml:space="preserve">2654 Glen Ferguson Cir </t>
  </si>
  <si>
    <t>Brownell</t>
  </si>
  <si>
    <t xml:space="preserve">2311 E Electra Ln </t>
  </si>
  <si>
    <t>Krasin</t>
  </si>
  <si>
    <t xml:space="preserve">18 Massa Ln Apt D2 </t>
  </si>
  <si>
    <t>Neering</t>
  </si>
  <si>
    <t xml:space="preserve">72 Sperling Rd </t>
  </si>
  <si>
    <t xml:space="preserve">7055 Richlynn Ter </t>
  </si>
  <si>
    <t>Richland Hills</t>
  </si>
  <si>
    <t>Nazario</t>
  </si>
  <si>
    <t>Lisandra</t>
  </si>
  <si>
    <t xml:space="preserve">51 White Birch Dr </t>
  </si>
  <si>
    <t>Pj</t>
  </si>
  <si>
    <t xml:space="preserve">6409 Katson NE 6409 Katson NE 6409 Katson NE </t>
  </si>
  <si>
    <t xml:space="preserve">32269 120th St </t>
  </si>
  <si>
    <t>Le Mars</t>
  </si>
  <si>
    <t>51031-8427</t>
  </si>
  <si>
    <t>Robbie</t>
  </si>
  <si>
    <t xml:space="preserve">Arkansas City </t>
  </si>
  <si>
    <t>Arkansas City</t>
  </si>
  <si>
    <t>Nolle</t>
  </si>
  <si>
    <t xml:space="preserve">2860 Sunline Dr </t>
  </si>
  <si>
    <t>Swartz</t>
  </si>
  <si>
    <t xml:space="preserve">9203 German Church Rd </t>
  </si>
  <si>
    <t>North Benton</t>
  </si>
  <si>
    <t>Sramek</t>
  </si>
  <si>
    <t>Archan</t>
  </si>
  <si>
    <t xml:space="preserve">N8461 Sunset Blvd </t>
  </si>
  <si>
    <t>Dominguez</t>
  </si>
  <si>
    <t xml:space="preserve">159 Littleworth Rd </t>
  </si>
  <si>
    <t xml:space="preserve">3875 Canute Rd </t>
  </si>
  <si>
    <t>Commerce Twp</t>
  </si>
  <si>
    <t xml:space="preserve">99 John St Apt 2403 </t>
  </si>
  <si>
    <t>Newick</t>
  </si>
  <si>
    <t>Cyndee</t>
  </si>
  <si>
    <t xml:space="preserve">649 Weston Dr </t>
  </si>
  <si>
    <t>Molinero</t>
  </si>
  <si>
    <t xml:space="preserve">PO Box 16835 </t>
  </si>
  <si>
    <t>Leroux</t>
  </si>
  <si>
    <t>José</t>
  </si>
  <si>
    <t xml:space="preserve">225 E 64th St # 64 </t>
  </si>
  <si>
    <t xml:space="preserve">610 S Clinton St Apt 1D </t>
  </si>
  <si>
    <t>Van Sant</t>
  </si>
  <si>
    <t xml:space="preserve">27 Tocci Ave </t>
  </si>
  <si>
    <t>Monmouth Beach</t>
  </si>
  <si>
    <t>Matelsky</t>
  </si>
  <si>
    <t xml:space="preserve">616 N Pierce Ave # WI54017 </t>
  </si>
  <si>
    <t>New Richmond</t>
  </si>
  <si>
    <t>Le Beau</t>
  </si>
  <si>
    <t>Josette</t>
  </si>
  <si>
    <t xml:space="preserve">140 Oxonia Ave NJ </t>
  </si>
  <si>
    <t>Stout</t>
  </si>
  <si>
    <t xml:space="preserve">1616 SW Harbor Way Unit 410 </t>
  </si>
  <si>
    <t xml:space="preserve">1024 Breezewick Rd # 21286 </t>
  </si>
  <si>
    <t>Landua</t>
  </si>
  <si>
    <t xml:space="preserve">119 N Gabriel St </t>
  </si>
  <si>
    <t>Starr Martinez</t>
  </si>
  <si>
    <t xml:space="preserve">7740 Iroquois El Paso El Paso </t>
  </si>
  <si>
    <t xml:space="preserve">1028 E Robert Ave </t>
  </si>
  <si>
    <t>Hazel Park</t>
  </si>
  <si>
    <t>48030-1873</t>
  </si>
  <si>
    <t xml:space="preserve">457 E Washington Ave </t>
  </si>
  <si>
    <t>Hallberg</t>
  </si>
  <si>
    <t xml:space="preserve">4556 Wildcat Ln </t>
  </si>
  <si>
    <t>Fanelly</t>
  </si>
  <si>
    <t xml:space="preserve">9928 Blackbird Hill Ln </t>
  </si>
  <si>
    <t>28227-5582</t>
  </si>
  <si>
    <t>Cafarelli</t>
  </si>
  <si>
    <t>Cenie</t>
  </si>
  <si>
    <t xml:space="preserve">56 Rand Pl </t>
  </si>
  <si>
    <t>14534-2235</t>
  </si>
  <si>
    <t xml:space="preserve">11912 S 53rd St </t>
  </si>
  <si>
    <t>68133-4754</t>
  </si>
  <si>
    <t>Hilf</t>
  </si>
  <si>
    <t xml:space="preserve">85 Willowcrest Dr </t>
  </si>
  <si>
    <t>14618-4337</t>
  </si>
  <si>
    <t>Bahr</t>
  </si>
  <si>
    <t xml:space="preserve">7425 152nd St SE </t>
  </si>
  <si>
    <t>98296-8436</t>
  </si>
  <si>
    <t xml:space="preserve">924 W Wolfensberger Rd </t>
  </si>
  <si>
    <t>Dutka</t>
  </si>
  <si>
    <t>Cindy M.</t>
  </si>
  <si>
    <t xml:space="preserve">6547 Haverford Ave Apt 4 </t>
  </si>
  <si>
    <t>19151-3740</t>
  </si>
  <si>
    <t>Weidner</t>
  </si>
  <si>
    <t xml:space="preserve">3527 NW Sparks Ave </t>
  </si>
  <si>
    <t xml:space="preserve">2461 Fairway Village Dr </t>
  </si>
  <si>
    <t>Mullis</t>
  </si>
  <si>
    <t xml:space="preserve">7908 Byrchmont Pl </t>
  </si>
  <si>
    <t>28210-6763</t>
  </si>
  <si>
    <t xml:space="preserve">20202 Black Rd </t>
  </si>
  <si>
    <t>95033-9537</t>
  </si>
  <si>
    <t xml:space="preserve">19 Morning Glory Ln </t>
  </si>
  <si>
    <t>19054-2023</t>
  </si>
  <si>
    <t xml:space="preserve">344 Maple St </t>
  </si>
  <si>
    <t>44266-2523</t>
  </si>
  <si>
    <t xml:space="preserve">106 Parkwest Dr Bldg 3-C </t>
  </si>
  <si>
    <t>West Monroe</t>
  </si>
  <si>
    <t>71291-5372</t>
  </si>
  <si>
    <t>Martini</t>
  </si>
  <si>
    <t xml:space="preserve">32950 Brookside Cir </t>
  </si>
  <si>
    <t xml:space="preserve">2570 E Cache La Poudre St Apt 105 </t>
  </si>
  <si>
    <t>Willing</t>
  </si>
  <si>
    <t xml:space="preserve">2 WILLIAMS Rd </t>
  </si>
  <si>
    <t>Terlingua</t>
  </si>
  <si>
    <t>Teplitz</t>
  </si>
  <si>
    <t xml:space="preserve">1612 Meadow View Dr </t>
  </si>
  <si>
    <t>Fabris</t>
  </si>
  <si>
    <t>Madeleine</t>
  </si>
  <si>
    <t xml:space="preserve">247 Hill Top Dr </t>
  </si>
  <si>
    <t>Hook</t>
  </si>
  <si>
    <t xml:space="preserve">4315 164th St SW Apt 306 </t>
  </si>
  <si>
    <t>Schuler</t>
  </si>
  <si>
    <t xml:space="preserve">12023 Gabes Rock Rd </t>
  </si>
  <si>
    <t>Caudillo</t>
  </si>
  <si>
    <t xml:space="preserve">1522 Chester Ave </t>
  </si>
  <si>
    <t>Wasilla</t>
  </si>
  <si>
    <t>Risso</t>
  </si>
  <si>
    <t xml:space="preserve">PO Box 652 </t>
  </si>
  <si>
    <t>Overmyer</t>
  </si>
  <si>
    <t xml:space="preserve">750 Appleberry Dr </t>
  </si>
  <si>
    <t xml:space="preserve">4300 Suncatcher Ct </t>
  </si>
  <si>
    <t>Slavin</t>
  </si>
  <si>
    <t xml:space="preserve">13532 Addison St </t>
  </si>
  <si>
    <t>Knablin</t>
  </si>
  <si>
    <t xml:space="preserve">2110 Park Arroyo Pl </t>
  </si>
  <si>
    <t>Wessel</t>
  </si>
  <si>
    <t xml:space="preserve">11122 S Sacramento Ave </t>
  </si>
  <si>
    <t xml:space="preserve">981 Ruth Ave </t>
  </si>
  <si>
    <t>Jacksonville Beach</t>
  </si>
  <si>
    <t xml:space="preserve">106 Brown Bark Rd </t>
  </si>
  <si>
    <t>Seven Lakes</t>
  </si>
  <si>
    <t>Guzlas</t>
  </si>
  <si>
    <t xml:space="preserve">1619 S California Ave </t>
  </si>
  <si>
    <t xml:space="preserve">2337 Parker St </t>
  </si>
  <si>
    <t xml:space="preserve">56 Shore Dr </t>
  </si>
  <si>
    <t>Kyler</t>
  </si>
  <si>
    <t xml:space="preserve">1502 Hillcrest Rd </t>
  </si>
  <si>
    <t>Mincieli</t>
  </si>
  <si>
    <t xml:space="preserve">271 Bog Pond Rd </t>
  </si>
  <si>
    <t xml:space="preserve">1053 W District St </t>
  </si>
  <si>
    <t>Ekeberg</t>
  </si>
  <si>
    <t xml:space="preserve">ALTONWOODS Dr </t>
  </si>
  <si>
    <t>Berg</t>
  </si>
  <si>
    <t xml:space="preserve">3927 Deer River Dr </t>
  </si>
  <si>
    <t>Idaho Falls</t>
  </si>
  <si>
    <t>Gobar</t>
  </si>
  <si>
    <t xml:space="preserve">792065 PO </t>
  </si>
  <si>
    <t>Normile</t>
  </si>
  <si>
    <t xml:space="preserve">1800 Watrous Ave Apt 327 </t>
  </si>
  <si>
    <t>Heljula</t>
  </si>
  <si>
    <t xml:space="preserve">1241 Crestwood Dr </t>
  </si>
  <si>
    <t>Kasapyr</t>
  </si>
  <si>
    <t xml:space="preserve">1813 17th St SW </t>
  </si>
  <si>
    <t>Hal</t>
  </si>
  <si>
    <t xml:space="preserve">3995 Russell Rd </t>
  </si>
  <si>
    <t xml:space="preserve">2517 18th St </t>
  </si>
  <si>
    <t>Catalanotto</t>
  </si>
  <si>
    <t xml:space="preserve">3945 Grilletta Ct </t>
  </si>
  <si>
    <t xml:space="preserve">89 Old Highway 28 </t>
  </si>
  <si>
    <t>Whitehouse Station</t>
  </si>
  <si>
    <t>Footman</t>
  </si>
  <si>
    <t>Farel</t>
  </si>
  <si>
    <t xml:space="preserve">391 Canyon Vista Dr </t>
  </si>
  <si>
    <t>MacNeill</t>
  </si>
  <si>
    <t xml:space="preserve">5623 14th Ave NW </t>
  </si>
  <si>
    <t>Bitsa</t>
  </si>
  <si>
    <t xml:space="preserve">620 13th St # A </t>
  </si>
  <si>
    <t xml:space="preserve">10800 SW Barbur Blvd </t>
  </si>
  <si>
    <t>Heide</t>
  </si>
  <si>
    <t>Andra</t>
  </si>
  <si>
    <t xml:space="preserve">2653 Tulip Hill Rd 2653 Tulip Hill Rd 2653 Tu Rd </t>
  </si>
  <si>
    <t xml:space="preserve">984 Quincy Rd Rumney NH3266 </t>
  </si>
  <si>
    <t>Rumney</t>
  </si>
  <si>
    <t>Bob And Genie</t>
  </si>
  <si>
    <t xml:space="preserve">1809 Roark Rd </t>
  </si>
  <si>
    <t>Alicesun</t>
  </si>
  <si>
    <t xml:space="preserve">18900 Delaware St Unit 337 </t>
  </si>
  <si>
    <t>Robyn And Tom</t>
  </si>
  <si>
    <t>Wayzata</t>
  </si>
  <si>
    <t>Grandaw</t>
  </si>
  <si>
    <t xml:space="preserve">2995 Holmgren Way Apt 3 </t>
  </si>
  <si>
    <t>Londa</t>
  </si>
  <si>
    <t xml:space="preserve">3709 Eubank Blvd NE </t>
  </si>
  <si>
    <t xml:space="preserve">11503 Notchcliff Rd </t>
  </si>
  <si>
    <t>Glen Arm</t>
  </si>
  <si>
    <t>Almond</t>
  </si>
  <si>
    <t xml:space="preserve">2721 Pheasant Ridge Trl Apt 1 </t>
  </si>
  <si>
    <t xml:space="preserve">280 Bridgewater Rd Apt A7 </t>
  </si>
  <si>
    <t xml:space="preserve">1553 W 7th St </t>
  </si>
  <si>
    <t xml:space="preserve">1138 Reese Dr </t>
  </si>
  <si>
    <t>Carolita</t>
  </si>
  <si>
    <t xml:space="preserve">565 VILLAGE Dr </t>
  </si>
  <si>
    <t>McCalister</t>
  </si>
  <si>
    <t xml:space="preserve">110 Snead Rd </t>
  </si>
  <si>
    <t>Orton</t>
  </si>
  <si>
    <t xml:space="preserve">2344 Lambert Dr </t>
  </si>
  <si>
    <t>Asheboro</t>
  </si>
  <si>
    <t xml:space="preserve">1270 Kenwood Rd </t>
  </si>
  <si>
    <t>Waltman</t>
  </si>
  <si>
    <t xml:space="preserve">PO Box 643 </t>
  </si>
  <si>
    <t xml:space="preserve">1346 E San Antonio St Apt 220 </t>
  </si>
  <si>
    <t>Dalal</t>
  </si>
  <si>
    <t>Namita</t>
  </si>
  <si>
    <t xml:space="preserve">2 X </t>
  </si>
  <si>
    <t>Willox</t>
  </si>
  <si>
    <t xml:space="preserve">4055 22nd St </t>
  </si>
  <si>
    <t>Foote</t>
  </si>
  <si>
    <t xml:space="preserve">104 Lindura St </t>
  </si>
  <si>
    <t>Rancho Mission Viejo</t>
  </si>
  <si>
    <t xml:space="preserve">4235 Southridge Ct </t>
  </si>
  <si>
    <t>Piotter</t>
  </si>
  <si>
    <t xml:space="preserve">7112 Big Rock Cir </t>
  </si>
  <si>
    <t xml:space="preserve">2490 Jackson St Apt 211 </t>
  </si>
  <si>
    <t>Boyer</t>
  </si>
  <si>
    <t>Puyallup</t>
  </si>
  <si>
    <t>Ev</t>
  </si>
  <si>
    <t xml:space="preserve">9540 Rosewood Dr Apt 211 </t>
  </si>
  <si>
    <t xml:space="preserve">158 Martin St </t>
  </si>
  <si>
    <t>Luckenbach</t>
  </si>
  <si>
    <t xml:space="preserve">PO Box 6 </t>
  </si>
  <si>
    <t xml:space="preserve">1532 Honey Grove Dr </t>
  </si>
  <si>
    <t>Matheny</t>
  </si>
  <si>
    <t>Albert R.</t>
  </si>
  <si>
    <t xml:space="preserve">2613 NW 24th Ter </t>
  </si>
  <si>
    <t>Mikulski</t>
  </si>
  <si>
    <t xml:space="preserve">9361 NW 19th Pl </t>
  </si>
  <si>
    <t xml:space="preserve">2142 Century Park Ln Apt 208 </t>
  </si>
  <si>
    <t xml:space="preserve">1541 NE 177th St # W </t>
  </si>
  <si>
    <t xml:space="preserve">PO Box 10442 </t>
  </si>
  <si>
    <t xml:space="preserve">200 Duncan St </t>
  </si>
  <si>
    <t xml:space="preserve">12905 Mapleview St </t>
  </si>
  <si>
    <t xml:space="preserve">6768 Sueno Rd Unit 2B </t>
  </si>
  <si>
    <t>Isla Vista</t>
  </si>
  <si>
    <t xml:space="preserve">1621 SW Goucher St Apt 1 </t>
  </si>
  <si>
    <t>M.S.</t>
  </si>
  <si>
    <t xml:space="preserve">218 S Martel Ave </t>
  </si>
  <si>
    <t xml:space="preserve">5068 Village Gardens Dr </t>
  </si>
  <si>
    <t>Jacques</t>
  </si>
  <si>
    <t xml:space="preserve">1209 T St # 3 </t>
  </si>
  <si>
    <t>Goltz</t>
  </si>
  <si>
    <t>Portia</t>
  </si>
  <si>
    <t xml:space="preserve">350 Isthmus Way Unit 57 </t>
  </si>
  <si>
    <t xml:space="preserve">3420 Corley Home Dr </t>
  </si>
  <si>
    <t>Platzer</t>
  </si>
  <si>
    <t xml:space="preserve">1843 W Navajo Way </t>
  </si>
  <si>
    <t>Goecke</t>
  </si>
  <si>
    <t xml:space="preserve">4401 Oakridge Dr </t>
  </si>
  <si>
    <t>Midland</t>
  </si>
  <si>
    <t xml:space="preserve">62 Salem Rd </t>
  </si>
  <si>
    <t>Trover</t>
  </si>
  <si>
    <t xml:space="preserve">735 Oak Knoll Dr </t>
  </si>
  <si>
    <t>Roane</t>
  </si>
  <si>
    <t xml:space="preserve">123 Bronson Ter </t>
  </si>
  <si>
    <t xml:space="preserve">8018 Whitney Ct </t>
  </si>
  <si>
    <t>30115-8328</t>
  </si>
  <si>
    <t xml:space="preserve">4123 Big Sky Rd </t>
  </si>
  <si>
    <t>87507-4887</t>
  </si>
  <si>
    <t xml:space="preserve">120 Grand Ave </t>
  </si>
  <si>
    <t>54403-7204</t>
  </si>
  <si>
    <t xml:space="preserve">E2209 Spencer Lake Rd </t>
  </si>
  <si>
    <t>Waupaca</t>
  </si>
  <si>
    <t>54981-9485</t>
  </si>
  <si>
    <t xml:space="preserve">6810 Kempster Ln </t>
  </si>
  <si>
    <t>92336-1538</t>
  </si>
  <si>
    <t>MacGregor</t>
  </si>
  <si>
    <t xml:space="preserve">16911 NE 95th St </t>
  </si>
  <si>
    <t>98052-3748</t>
  </si>
  <si>
    <t xml:space="preserve">4 Locust Hill Rd </t>
  </si>
  <si>
    <t>06820-4806</t>
  </si>
  <si>
    <t xml:space="preserve">25162 Charlinda Dr Unit 65E </t>
  </si>
  <si>
    <t>92691-3757</t>
  </si>
  <si>
    <t xml:space="preserve">3808 S Elati St </t>
  </si>
  <si>
    <t>80110-3568</t>
  </si>
  <si>
    <t>Steere</t>
  </si>
  <si>
    <t xml:space="preserve">8195 Park Ave </t>
  </si>
  <si>
    <t>95436-9374</t>
  </si>
  <si>
    <t xml:space="preserve">4003 Justine Dr </t>
  </si>
  <si>
    <t>Ronny</t>
  </si>
  <si>
    <t xml:space="preserve">94 -1009 Haalau St </t>
  </si>
  <si>
    <t>Waipahu</t>
  </si>
  <si>
    <t>96797-4539</t>
  </si>
  <si>
    <t>Mary Lu</t>
  </si>
  <si>
    <t xml:space="preserve">3644 Lawaiuka Rd </t>
  </si>
  <si>
    <t>Lawai</t>
  </si>
  <si>
    <t xml:space="preserve">101 Lafayette St </t>
  </si>
  <si>
    <t>Milltown</t>
  </si>
  <si>
    <t>Krystina</t>
  </si>
  <si>
    <t xml:space="preserve">8721 Mize Rd </t>
  </si>
  <si>
    <t>Lanoue</t>
  </si>
  <si>
    <t>Allyn Lanoue</t>
  </si>
  <si>
    <t xml:space="preserve">5 Hickory Ln </t>
  </si>
  <si>
    <t xml:space="preserve">135 Irene Ct </t>
  </si>
  <si>
    <t>McCullough</t>
  </si>
  <si>
    <t xml:space="preserve">625 E 18th St Apt 103 </t>
  </si>
  <si>
    <t>Hydro</t>
  </si>
  <si>
    <t xml:space="preserve">17701 SW 77th Ave </t>
  </si>
  <si>
    <t>Palmetto Bay</t>
  </si>
  <si>
    <t>Bugg</t>
  </si>
  <si>
    <t xml:space="preserve">328 Brown Rd </t>
  </si>
  <si>
    <t xml:space="preserve">2343 W Old Ajo Way </t>
  </si>
  <si>
    <t>Bax</t>
  </si>
  <si>
    <t xml:space="preserve">10940 Pinocchio Dr </t>
  </si>
  <si>
    <t xml:space="preserve">925 Mcentire Rd </t>
  </si>
  <si>
    <t>Tryon</t>
  </si>
  <si>
    <t>Johnstone</t>
  </si>
  <si>
    <t>Haidee</t>
  </si>
  <si>
    <t xml:space="preserve">806 Mount Curve Ave </t>
  </si>
  <si>
    <t xml:space="preserve">12216 N Park Ave N </t>
  </si>
  <si>
    <t xml:space="preserve">701 E Lowe Ave </t>
  </si>
  <si>
    <t>Counterman</t>
  </si>
  <si>
    <t xml:space="preserve">1801 33rd St </t>
  </si>
  <si>
    <t xml:space="preserve">10344 E 5th St </t>
  </si>
  <si>
    <t xml:space="preserve">2910 Breckenridge </t>
  </si>
  <si>
    <t xml:space="preserve">13520 Fuller Rd </t>
  </si>
  <si>
    <t>Adams Center</t>
  </si>
  <si>
    <t xml:space="preserve">3230 186th Pl NE </t>
  </si>
  <si>
    <t xml:space="preserve">10 Tudor Dr </t>
  </si>
  <si>
    <t>Noyes</t>
  </si>
  <si>
    <t xml:space="preserve">101 Wall St </t>
  </si>
  <si>
    <t>Arquilla</t>
  </si>
  <si>
    <t>Vance</t>
  </si>
  <si>
    <t xml:space="preserve">4121 Mildred Ave </t>
  </si>
  <si>
    <t xml:space="preserve">114 Samoset Ave </t>
  </si>
  <si>
    <t>Hartsfield</t>
  </si>
  <si>
    <t xml:space="preserve">2712 Braemore Rd </t>
  </si>
  <si>
    <t xml:space="preserve">2026 Back Ranch Rd </t>
  </si>
  <si>
    <t>Lamere</t>
  </si>
  <si>
    <t xml:space="preserve">3265 Northwest Trce </t>
  </si>
  <si>
    <t>Elon</t>
  </si>
  <si>
    <t>Cherubin</t>
  </si>
  <si>
    <t xml:space="preserve">122 N Stetson Ln </t>
  </si>
  <si>
    <t>Sepanlou</t>
  </si>
  <si>
    <t>Mehry</t>
  </si>
  <si>
    <t xml:space="preserve">432 N Palm Dr </t>
  </si>
  <si>
    <t>Sandra L.</t>
  </si>
  <si>
    <t xml:space="preserve">308 Marwood Ln SW Apt 9C </t>
  </si>
  <si>
    <t>Deluca</t>
  </si>
  <si>
    <t xml:space="preserve">17 Enmore Rd </t>
  </si>
  <si>
    <t>02176-3303</t>
  </si>
  <si>
    <t xml:space="preserve">8 Da Vinci Way </t>
  </si>
  <si>
    <t>12561-2738</t>
  </si>
  <si>
    <t xml:space="preserve">234 Rachel Carson Way </t>
  </si>
  <si>
    <t>14850-8401</t>
  </si>
  <si>
    <t>Melgar</t>
  </si>
  <si>
    <t>Miguel</t>
  </si>
  <si>
    <t xml:space="preserve">235 SW 105th Pl </t>
  </si>
  <si>
    <t>33174-1626</t>
  </si>
  <si>
    <t>Bromelmeier</t>
  </si>
  <si>
    <t>John And Gale</t>
  </si>
  <si>
    <t xml:space="preserve">2250 Par Ln Ph 7 </t>
  </si>
  <si>
    <t>Willoughby Hills</t>
  </si>
  <si>
    <t>44094-2972</t>
  </si>
  <si>
    <t xml:space="preserve">650 4th St W Apt 43 </t>
  </si>
  <si>
    <t>95476-6840</t>
  </si>
  <si>
    <t xml:space="preserve">941647 Kaulua St </t>
  </si>
  <si>
    <t xml:space="preserve">103 Quiet Cv </t>
  </si>
  <si>
    <t>Fritzinger</t>
  </si>
  <si>
    <t xml:space="preserve">2412 Atherton St # 5 </t>
  </si>
  <si>
    <t>94704-2113</t>
  </si>
  <si>
    <t>Mattei</t>
  </si>
  <si>
    <t xml:space="preserve">22807 Stagg St </t>
  </si>
  <si>
    <t>91304-3643</t>
  </si>
  <si>
    <t>Larro</t>
  </si>
  <si>
    <t xml:space="preserve">5230 Weller Dr </t>
  </si>
  <si>
    <t>91367-6048</t>
  </si>
  <si>
    <t>Connell</t>
  </si>
  <si>
    <t xml:space="preserve">39780 Curlew Dr </t>
  </si>
  <si>
    <t>Charlo</t>
  </si>
  <si>
    <t>59824-9663</t>
  </si>
  <si>
    <t>Zinkowski</t>
  </si>
  <si>
    <t xml:space="preserve">5809 La France Rd </t>
  </si>
  <si>
    <t>32305-9109</t>
  </si>
  <si>
    <t>Leinbaugh</t>
  </si>
  <si>
    <t xml:space="preserve">10855 Peach Ridge Rd </t>
  </si>
  <si>
    <t>45701-8849</t>
  </si>
  <si>
    <t xml:space="preserve">2703 Corabel Ln Apt 243 </t>
  </si>
  <si>
    <t>95821-5277</t>
  </si>
  <si>
    <t>Snapp</t>
  </si>
  <si>
    <t xml:space="preserve">1008 Williams Blvd </t>
  </si>
  <si>
    <t>Richland</t>
  </si>
  <si>
    <t>99354-3252</t>
  </si>
  <si>
    <t>Dubinsky</t>
  </si>
  <si>
    <t xml:space="preserve">162 Rolling Way </t>
  </si>
  <si>
    <t>10566-2470</t>
  </si>
  <si>
    <t>Magana</t>
  </si>
  <si>
    <t xml:space="preserve">1290 Hillcrest Dr </t>
  </si>
  <si>
    <t>98233-1469</t>
  </si>
  <si>
    <t>Hailer</t>
  </si>
  <si>
    <t xml:space="preserve">1810 Old Franklin Tpke </t>
  </si>
  <si>
    <t>Rocky Mount</t>
  </si>
  <si>
    <t>Tharp</t>
  </si>
  <si>
    <t xml:space="preserve">9456 S Springtail Dr </t>
  </si>
  <si>
    <t>Hereford</t>
  </si>
  <si>
    <t>Oconnell</t>
  </si>
  <si>
    <t xml:space="preserve">18446 W Streamwood Ct </t>
  </si>
  <si>
    <t>60031-1364</t>
  </si>
  <si>
    <t>Pensiero</t>
  </si>
  <si>
    <t xml:space="preserve">128 Exeter Ct </t>
  </si>
  <si>
    <t xml:space="preserve">6008 Yucca Dr </t>
  </si>
  <si>
    <t>Favorite</t>
  </si>
  <si>
    <t xml:space="preserve">587 US Highway 30 </t>
  </si>
  <si>
    <t>Maher</t>
  </si>
  <si>
    <t xml:space="preserve">522 S Indian Hill Blvd Apt 101 </t>
  </si>
  <si>
    <t>F.</t>
  </si>
  <si>
    <t xml:space="preserve">E 14TH St Apt 8D </t>
  </si>
  <si>
    <t>Jeffcoat</t>
  </si>
  <si>
    <t xml:space="preserve">133 Lake Kathryn Dr </t>
  </si>
  <si>
    <t>Sterrett</t>
  </si>
  <si>
    <t>Tarr</t>
  </si>
  <si>
    <t>Darby</t>
  </si>
  <si>
    <t xml:space="preserve">14623 Hermitage Rd </t>
  </si>
  <si>
    <t>Harrisville</t>
  </si>
  <si>
    <t xml:space="preserve">36127 Carnation Way </t>
  </si>
  <si>
    <t>Borghi</t>
  </si>
  <si>
    <t xml:space="preserve">800 S Santa Fe Ave Lot A34 </t>
  </si>
  <si>
    <t>Fountain</t>
  </si>
  <si>
    <t>Punter</t>
  </si>
  <si>
    <t xml:space="preserve">959 Stewart Dr </t>
  </si>
  <si>
    <t xml:space="preserve">6280 Crestwood Way </t>
  </si>
  <si>
    <t xml:space="preserve">6137 Georgia Ave </t>
  </si>
  <si>
    <t xml:space="preserve">5322 Calle De La Siesta </t>
  </si>
  <si>
    <t>Wertheim</t>
  </si>
  <si>
    <t xml:space="preserve">1 Beach 105Th St </t>
  </si>
  <si>
    <t>Rockaway Park</t>
  </si>
  <si>
    <t>Lipchak</t>
  </si>
  <si>
    <t>Oscarv</t>
  </si>
  <si>
    <t xml:space="preserve">2511 Del Curto Rd </t>
  </si>
  <si>
    <t>Cafcules</t>
  </si>
  <si>
    <t xml:space="preserve">1004 Rockport Dr </t>
  </si>
  <si>
    <t>Yurkanin</t>
  </si>
  <si>
    <t xml:space="preserve">44 Peachtree Pl NW </t>
  </si>
  <si>
    <t>Jule</t>
  </si>
  <si>
    <t xml:space="preserve">1083 Southbury Ct </t>
  </si>
  <si>
    <t>Lilleberg</t>
  </si>
  <si>
    <t>Carik</t>
  </si>
  <si>
    <t xml:space="preserve">5252 PUEBLO Ave </t>
  </si>
  <si>
    <t xml:space="preserve">1045 W 22nd St </t>
  </si>
  <si>
    <t xml:space="preserve">1436 Whna </t>
  </si>
  <si>
    <t xml:space="preserve">950 Pine St </t>
  </si>
  <si>
    <t>Santiago</t>
  </si>
  <si>
    <t>Celena</t>
  </si>
  <si>
    <t xml:space="preserve">7223 W Dickens Ave </t>
  </si>
  <si>
    <t xml:space="preserve">2750 Orchard St </t>
  </si>
  <si>
    <t>Acord</t>
  </si>
  <si>
    <t xml:space="preserve">8241 Pelican Landing Rd </t>
  </si>
  <si>
    <t>Guichonnet</t>
  </si>
  <si>
    <t>Alain</t>
  </si>
  <si>
    <t xml:space="preserve">5290 E Whisper Rdg </t>
  </si>
  <si>
    <t>Potter</t>
  </si>
  <si>
    <t xml:space="preserve">383 Mcgrew Dr </t>
  </si>
  <si>
    <t xml:space="preserve">112 North Rd </t>
  </si>
  <si>
    <t>Allyson</t>
  </si>
  <si>
    <t xml:space="preserve">1916 Stuart Ave </t>
  </si>
  <si>
    <t>Brookstone</t>
  </si>
  <si>
    <t xml:space="preserve">5711 W Kentucky Ave </t>
  </si>
  <si>
    <t xml:space="preserve">705 S Baridon St </t>
  </si>
  <si>
    <t>Randino</t>
  </si>
  <si>
    <t xml:space="preserve">9000 NW 6th Ct </t>
  </si>
  <si>
    <t xml:space="preserve">1933 Sheridan Rd </t>
  </si>
  <si>
    <t>Guilbert</t>
  </si>
  <si>
    <t xml:space="preserve">PO Box 1029 </t>
  </si>
  <si>
    <t>Nell</t>
  </si>
  <si>
    <t xml:space="preserve">546 Byrnes Dr </t>
  </si>
  <si>
    <t>Spike</t>
  </si>
  <si>
    <t xml:space="preserve">27 Morgan Dr Unit 35 </t>
  </si>
  <si>
    <t>Lindner</t>
  </si>
  <si>
    <t>Margit</t>
  </si>
  <si>
    <t xml:space="preserve">Im Mainfeld 40 </t>
  </si>
  <si>
    <t>Frankford</t>
  </si>
  <si>
    <t xml:space="preserve">64 Main St </t>
  </si>
  <si>
    <t>South Egremont</t>
  </si>
  <si>
    <t>Getty</t>
  </si>
  <si>
    <t xml:space="preserve">3773 Stoneway Pt </t>
  </si>
  <si>
    <t>Bray</t>
  </si>
  <si>
    <t xml:space="preserve">2800 Kissimmee Ave </t>
  </si>
  <si>
    <t>Fernandina Beach</t>
  </si>
  <si>
    <t xml:space="preserve">507 S Park St </t>
  </si>
  <si>
    <t>Marissa</t>
  </si>
  <si>
    <t>Dalinda</t>
  </si>
  <si>
    <t xml:space="preserve">424 Little Lake Dr Apt 33 </t>
  </si>
  <si>
    <t>Decesare</t>
  </si>
  <si>
    <t>Dr. Stephen</t>
  </si>
  <si>
    <t xml:space="preserve">66 N Williams St </t>
  </si>
  <si>
    <t xml:space="preserve">2501 Campbell Dr </t>
  </si>
  <si>
    <t>Kazlauskas</t>
  </si>
  <si>
    <t xml:space="preserve">99 Bow St # 1 </t>
  </si>
  <si>
    <t>Dorcas-Werner</t>
  </si>
  <si>
    <t>Dawna</t>
  </si>
  <si>
    <t xml:space="preserve">36913 Chagall Rd </t>
  </si>
  <si>
    <t xml:space="preserve">10941 Walnut Dr </t>
  </si>
  <si>
    <t>Messer</t>
  </si>
  <si>
    <t xml:space="preserve">7 Charro Ct </t>
  </si>
  <si>
    <t>Lucile</t>
  </si>
  <si>
    <t>Passariello</t>
  </si>
  <si>
    <t xml:space="preserve">2 Friends Ln </t>
  </si>
  <si>
    <t>Lin</t>
  </si>
  <si>
    <t xml:space="preserve">847 Park St Park St </t>
  </si>
  <si>
    <t>Patni</t>
  </si>
  <si>
    <t>Narendra</t>
  </si>
  <si>
    <t xml:space="preserve">640 Ashton Ave </t>
  </si>
  <si>
    <t xml:space="preserve">155 Cherry Ln </t>
  </si>
  <si>
    <t>Anzinger</t>
  </si>
  <si>
    <t>Renita</t>
  </si>
  <si>
    <t xml:space="preserve">19792 E Stanford Dr </t>
  </si>
  <si>
    <t>Chariw</t>
  </si>
  <si>
    <t xml:space="preserve">1165 Creekside Dr </t>
  </si>
  <si>
    <t>Weakland</t>
  </si>
  <si>
    <t xml:space="preserve">8216 SW Woods Creek Ct </t>
  </si>
  <si>
    <t>Boutenko</t>
  </si>
  <si>
    <t>Tasia</t>
  </si>
  <si>
    <t xml:space="preserve">24146 SE 45th Pl </t>
  </si>
  <si>
    <t>Wittenborn</t>
  </si>
  <si>
    <t>Andrew And Kathleen</t>
  </si>
  <si>
    <t xml:space="preserve">152 Mountain Rd </t>
  </si>
  <si>
    <t>Pleasantville</t>
  </si>
  <si>
    <t>Cliatt</t>
  </si>
  <si>
    <t xml:space="preserve">1269 E Siena Heights Dr </t>
  </si>
  <si>
    <t>Landman</t>
  </si>
  <si>
    <t>Stefanie</t>
  </si>
  <si>
    <t xml:space="preserve">520 Washington Blvd </t>
  </si>
  <si>
    <t xml:space="preserve">MEADOWBROOK ROAD Ext </t>
  </si>
  <si>
    <t xml:space="preserve">330 Willingham Dr </t>
  </si>
  <si>
    <t>Rade</t>
  </si>
  <si>
    <t xml:space="preserve">159 N Pershing Dr </t>
  </si>
  <si>
    <t>Hugg</t>
  </si>
  <si>
    <t xml:space="preserve">85 Akea Pl </t>
  </si>
  <si>
    <t>Militello</t>
  </si>
  <si>
    <t xml:space="preserve">20 Conway Dr </t>
  </si>
  <si>
    <t>Kahrs</t>
  </si>
  <si>
    <t xml:space="preserve">671 Lakeside Cir Apt 1006 </t>
  </si>
  <si>
    <t xml:space="preserve">PO Box 222 </t>
  </si>
  <si>
    <t xml:space="preserve">4608 Ferguson Valley Rd </t>
  </si>
  <si>
    <t>24014-5962</t>
  </si>
  <si>
    <t>Knowles</t>
  </si>
  <si>
    <t xml:space="preserve">28 Indiana Ter </t>
  </si>
  <si>
    <t>Newton Upper Falls</t>
  </si>
  <si>
    <t>02464-1315</t>
  </si>
  <si>
    <t xml:space="preserve">250 Furnace Brook Pkwy </t>
  </si>
  <si>
    <t>02169-2274</t>
  </si>
  <si>
    <t xml:space="preserve">131 Church Rd Apt 14D </t>
  </si>
  <si>
    <t>19454-4129</t>
  </si>
  <si>
    <t>Rosenfeld</t>
  </si>
  <si>
    <t xml:space="preserve">15374 SE 183rd Dr </t>
  </si>
  <si>
    <t>98058-9642</t>
  </si>
  <si>
    <t>Vigliotta</t>
  </si>
  <si>
    <t xml:space="preserve">99 Lincoln Rd </t>
  </si>
  <si>
    <t>01590-3715</t>
  </si>
  <si>
    <t xml:space="preserve">2477 Stallion St </t>
  </si>
  <si>
    <t>75010-4981</t>
  </si>
  <si>
    <t>Gough</t>
  </si>
  <si>
    <t>Sharron</t>
  </si>
  <si>
    <t xml:space="preserve">14820 S 1901 Rd </t>
  </si>
  <si>
    <t>65785-7384</t>
  </si>
  <si>
    <t xml:space="preserve">13313 121st St </t>
  </si>
  <si>
    <t>South Ozone Park</t>
  </si>
  <si>
    <t>11420-3241</t>
  </si>
  <si>
    <t>Resnick</t>
  </si>
  <si>
    <t xml:space="preserve">111 W Beaver Creek Blvd Unit 6657 </t>
  </si>
  <si>
    <t>81620-5182</t>
  </si>
  <si>
    <t xml:space="preserve">16100 N Highway 101 Spc 24 </t>
  </si>
  <si>
    <t>95490-9712</t>
  </si>
  <si>
    <t xml:space="preserve">7561 Huron Pl </t>
  </si>
  <si>
    <t>55344-1840</t>
  </si>
  <si>
    <t>Breazeale</t>
  </si>
  <si>
    <t xml:space="preserve">863 Wrights Creek Dr </t>
  </si>
  <si>
    <t>97520-1662</t>
  </si>
  <si>
    <t>Uttermohlen</t>
  </si>
  <si>
    <t xml:space="preserve">PO Box 278 </t>
  </si>
  <si>
    <t>47960-0278</t>
  </si>
  <si>
    <t>Baron</t>
  </si>
  <si>
    <t xml:space="preserve">5314 Kings Row Northeast 5314 Kings Row NE </t>
  </si>
  <si>
    <t>Tatman</t>
  </si>
  <si>
    <t xml:space="preserve">6267 Pebble Beach Dr </t>
  </si>
  <si>
    <t>94591-6301</t>
  </si>
  <si>
    <t>Brooke</t>
  </si>
  <si>
    <t xml:space="preserve">4 Rainier Ln </t>
  </si>
  <si>
    <t>22408-2530</t>
  </si>
  <si>
    <t xml:space="preserve">2504 Pegasus Ln </t>
  </si>
  <si>
    <t>Lafrance</t>
  </si>
  <si>
    <t xml:space="preserve">14603 Masonic Blvd </t>
  </si>
  <si>
    <t>48088-2966</t>
  </si>
  <si>
    <t>Finkbeiner</t>
  </si>
  <si>
    <t>Wesley G.</t>
  </si>
  <si>
    <t xml:space="preserve">132 Copper Beech Ln </t>
  </si>
  <si>
    <t>19567-7027</t>
  </si>
  <si>
    <t>Telfair II</t>
  </si>
  <si>
    <t>Ray C.</t>
  </si>
  <si>
    <t xml:space="preserve">11780 S Hillcreek Rd </t>
  </si>
  <si>
    <t>75791-8212</t>
  </si>
  <si>
    <t>Gallinger</t>
  </si>
  <si>
    <t xml:space="preserve">5053 Montezuma St </t>
  </si>
  <si>
    <t>90042-3228</t>
  </si>
  <si>
    <t xml:space="preserve">5007 Oak Springs Dr </t>
  </si>
  <si>
    <t>76016-6255</t>
  </si>
  <si>
    <t xml:space="preserve">11908 NW Mcnamee Rd </t>
  </si>
  <si>
    <t xml:space="preserve">839 Post St </t>
  </si>
  <si>
    <t>Ananda</t>
  </si>
  <si>
    <t xml:space="preserve">1964 Savanna Cir </t>
  </si>
  <si>
    <t>Krebill</t>
  </si>
  <si>
    <t xml:space="preserve">8 Park Pl </t>
  </si>
  <si>
    <t>Clancy</t>
  </si>
  <si>
    <t>59634-9759</t>
  </si>
  <si>
    <t xml:space="preserve">530 N Lake Shore Dr </t>
  </si>
  <si>
    <t>60611-7424</t>
  </si>
  <si>
    <t>Gehrs</t>
  </si>
  <si>
    <t xml:space="preserve">135 Stone Canyon Dr </t>
  </si>
  <si>
    <t>80540-4203</t>
  </si>
  <si>
    <t>Kroeker</t>
  </si>
  <si>
    <t xml:space="preserve">35 Hillcrest Dr </t>
  </si>
  <si>
    <t>62901-2444</t>
  </si>
  <si>
    <t xml:space="preserve">16 Mill Rd </t>
  </si>
  <si>
    <t>North Branford</t>
  </si>
  <si>
    <t>06471-1060</t>
  </si>
  <si>
    <t>Bhavani Lorraine</t>
  </si>
  <si>
    <t xml:space="preserve">109 Housatonic St Apt 204 </t>
  </si>
  <si>
    <t>01240-2585</t>
  </si>
  <si>
    <t xml:space="preserve">40 Kunihi Ln Apt 226 </t>
  </si>
  <si>
    <t>Kahului</t>
  </si>
  <si>
    <t>96732-1389</t>
  </si>
  <si>
    <t xml:space="preserve">PO Box 11098 </t>
  </si>
  <si>
    <t>96721-6098</t>
  </si>
  <si>
    <t>Dunmire</t>
  </si>
  <si>
    <t xml:space="preserve">450 Oak Ridge Blvd </t>
  </si>
  <si>
    <t>Miamisburg</t>
  </si>
  <si>
    <t>45342-3673</t>
  </si>
  <si>
    <t>Breakfield</t>
  </si>
  <si>
    <t xml:space="preserve">5610 Cliff Haven Dr </t>
  </si>
  <si>
    <t>75236-2248</t>
  </si>
  <si>
    <t>Henley</t>
  </si>
  <si>
    <t xml:space="preserve">33 Buck Snort Knob </t>
  </si>
  <si>
    <t>Rosman</t>
  </si>
  <si>
    <t>28772-9811</t>
  </si>
  <si>
    <t xml:space="preserve">131 E Winchester Rd Apt E </t>
  </si>
  <si>
    <t>Libertyville</t>
  </si>
  <si>
    <t>60048-3903</t>
  </si>
  <si>
    <t>Xavier</t>
  </si>
  <si>
    <t xml:space="preserve">3252 Guillermo Pl </t>
  </si>
  <si>
    <t>94542-2152</t>
  </si>
  <si>
    <t>Hoy-Bianchi</t>
  </si>
  <si>
    <t>C. Brent</t>
  </si>
  <si>
    <t xml:space="preserve">4480 Alder Dr </t>
  </si>
  <si>
    <t>89502-6204</t>
  </si>
  <si>
    <t xml:space="preserve">1823 Treelane Dr </t>
  </si>
  <si>
    <t>47720-5465</t>
  </si>
  <si>
    <t xml:space="preserve">6624 High Ridge Pl NE </t>
  </si>
  <si>
    <t>87111-8174</t>
  </si>
  <si>
    <t xml:space="preserve">PO Box 22 </t>
  </si>
  <si>
    <t>Brookside</t>
  </si>
  <si>
    <t>07926-0022</t>
  </si>
  <si>
    <t>Ricklefs</t>
  </si>
  <si>
    <t xml:space="preserve">100 1st Ave NE </t>
  </si>
  <si>
    <t>52401-1128</t>
  </si>
  <si>
    <t xml:space="preserve">PO Box 1729 </t>
  </si>
  <si>
    <t>Sahuarita</t>
  </si>
  <si>
    <t>85629-1013</t>
  </si>
  <si>
    <t xml:space="preserve">2803 Coral Way </t>
  </si>
  <si>
    <t>33950-5032</t>
  </si>
  <si>
    <t xml:space="preserve">1516 Delaware Ave Unit 3 </t>
  </si>
  <si>
    <t>50014-3059</t>
  </si>
  <si>
    <t>Traub</t>
  </si>
  <si>
    <t xml:space="preserve">20973 W 226th Ct </t>
  </si>
  <si>
    <t>66083-3149</t>
  </si>
  <si>
    <t xml:space="preserve">2817 W End Ave </t>
  </si>
  <si>
    <t>37203-1453</t>
  </si>
  <si>
    <t xml:space="preserve">2515 S Rainbow Ranch Rd </t>
  </si>
  <si>
    <t>78676-5945</t>
  </si>
  <si>
    <t>Lavaughn</t>
  </si>
  <si>
    <t xml:space="preserve">11973 E Oregon Cir </t>
  </si>
  <si>
    <t>80012-5252</t>
  </si>
  <si>
    <t xml:space="preserve">3561 E Geronimo Ct </t>
  </si>
  <si>
    <t>85295-7644</t>
  </si>
  <si>
    <t>Mock</t>
  </si>
  <si>
    <t xml:space="preserve">287 Hirsch Ter </t>
  </si>
  <si>
    <t>94536-1601</t>
  </si>
  <si>
    <t>Vedovi</t>
  </si>
  <si>
    <t xml:space="preserve">1 Nosay Rd </t>
  </si>
  <si>
    <t>Hidden Valley Lake</t>
  </si>
  <si>
    <t xml:space="preserve">500 Darby Glen Ln </t>
  </si>
  <si>
    <t>27713-9427</t>
  </si>
  <si>
    <t xml:space="preserve">1420 S Twin Lake Rd </t>
  </si>
  <si>
    <t>23454-1706</t>
  </si>
  <si>
    <t>Zwick</t>
  </si>
  <si>
    <t xml:space="preserve">PO Box 117 </t>
  </si>
  <si>
    <t>Pomeroy</t>
  </si>
  <si>
    <t>Leidholdt</t>
  </si>
  <si>
    <t xml:space="preserve">781 Lost Creek Dr </t>
  </si>
  <si>
    <t>49855-8605</t>
  </si>
  <si>
    <t xml:space="preserve">3401 Terra Granada Dr Apt 2B </t>
  </si>
  <si>
    <t>94595-3553</t>
  </si>
  <si>
    <t>Wulf-Marvin</t>
  </si>
  <si>
    <t xml:space="preserve">4952 W Hillis Rd </t>
  </si>
  <si>
    <t>Burr-Lonnon</t>
  </si>
  <si>
    <t xml:space="preserve">9090 Crockett Dr </t>
  </si>
  <si>
    <t>Argyle</t>
  </si>
  <si>
    <t>Decarla</t>
  </si>
  <si>
    <t xml:space="preserve">184 Reliance Pl </t>
  </si>
  <si>
    <t>Zurita</t>
  </si>
  <si>
    <t>Mayra</t>
  </si>
  <si>
    <t xml:space="preserve">305 N 13th St </t>
  </si>
  <si>
    <t>Dahlin</t>
  </si>
  <si>
    <t xml:space="preserve">14535 Hatteras St </t>
  </si>
  <si>
    <t xml:space="preserve">255 E Bradley Ave Spc 5 </t>
  </si>
  <si>
    <t>Nietsch</t>
  </si>
  <si>
    <t xml:space="preserve">245 Second Hill Rd </t>
  </si>
  <si>
    <t>New Milford</t>
  </si>
  <si>
    <t>Moyers</t>
  </si>
  <si>
    <t xml:space="preserve">2441 Tuxedo Dr NW </t>
  </si>
  <si>
    <t>Drelellis</t>
  </si>
  <si>
    <t xml:space="preserve">6412 Ashton Park Dr </t>
  </si>
  <si>
    <t xml:space="preserve">490 Morningstar Rd </t>
  </si>
  <si>
    <t xml:space="preserve">1169 Crosby Ave </t>
  </si>
  <si>
    <t>Luken</t>
  </si>
  <si>
    <t xml:space="preserve">2924 Farm Walk Rd </t>
  </si>
  <si>
    <t>Bongiovanni</t>
  </si>
  <si>
    <t xml:space="preserve">14120 E Springfield Ave </t>
  </si>
  <si>
    <t xml:space="preserve">3303 Racine St Apt 202 </t>
  </si>
  <si>
    <t>Regan</t>
  </si>
  <si>
    <t xml:space="preserve">25 Richard Ln </t>
  </si>
  <si>
    <t>Eastham</t>
  </si>
  <si>
    <t>Blyth</t>
  </si>
  <si>
    <t xml:space="preserve">213 W 136th St </t>
  </si>
  <si>
    <t>Wein</t>
  </si>
  <si>
    <t>Dangelo</t>
  </si>
  <si>
    <t xml:space="preserve">2555 Overlook Pl # 11510 </t>
  </si>
  <si>
    <t xml:space="preserve">913 Clouet St </t>
  </si>
  <si>
    <t>Kempthorne</t>
  </si>
  <si>
    <t xml:space="preserve">4427 Boston Harbor Rd NE </t>
  </si>
  <si>
    <t>98506-2442</t>
  </si>
  <si>
    <t>Paley</t>
  </si>
  <si>
    <t xml:space="preserve">32 Jensen St </t>
  </si>
  <si>
    <t>08816-2843</t>
  </si>
  <si>
    <t>Shoaf</t>
  </si>
  <si>
    <t xml:space="preserve">PLAYGROUND Ln </t>
  </si>
  <si>
    <t>Langran</t>
  </si>
  <si>
    <t xml:space="preserve">12909 W Pontebella Dr </t>
  </si>
  <si>
    <t>85383-7823</t>
  </si>
  <si>
    <t xml:space="preserve">548 E Glencove St </t>
  </si>
  <si>
    <t>85203-3644</t>
  </si>
  <si>
    <t>Padalino</t>
  </si>
  <si>
    <t xml:space="preserve">3999 NY 150 </t>
  </si>
  <si>
    <t>West Sand Lake</t>
  </si>
  <si>
    <t xml:space="preserve">505 Northstar Ct </t>
  </si>
  <si>
    <t>80304-1087</t>
  </si>
  <si>
    <t>Calhoun</t>
  </si>
  <si>
    <t xml:space="preserve">197 White Oak Rd </t>
  </si>
  <si>
    <t>28785-6435</t>
  </si>
  <si>
    <t xml:space="preserve">516 Berea Rd </t>
  </si>
  <si>
    <t>12549-2224</t>
  </si>
  <si>
    <t>Avery</t>
  </si>
  <si>
    <t xml:space="preserve">231 Broad St </t>
  </si>
  <si>
    <t>02188-2933</t>
  </si>
  <si>
    <t>Meehling</t>
  </si>
  <si>
    <t xml:space="preserve">5277 Old Alexandria Tpke </t>
  </si>
  <si>
    <t>Broad Run</t>
  </si>
  <si>
    <t>20137-2124</t>
  </si>
  <si>
    <t xml:space="preserve">114 S 5th St </t>
  </si>
  <si>
    <t>62561-8109</t>
  </si>
  <si>
    <t>Desjardins</t>
  </si>
  <si>
    <t xml:space="preserve">31 Bristol Rd </t>
  </si>
  <si>
    <t>Windsor Locks</t>
  </si>
  <si>
    <t>06096-2046</t>
  </si>
  <si>
    <t xml:space="preserve">113 Streamview Dr </t>
  </si>
  <si>
    <t>27519-5141</t>
  </si>
  <si>
    <t>McCann</t>
  </si>
  <si>
    <t xml:space="preserve">571 Bellaire Dr </t>
  </si>
  <si>
    <t>Schlenk</t>
  </si>
  <si>
    <t xml:space="preserve">7503 Macks Canyon Rd </t>
  </si>
  <si>
    <t>Volente</t>
  </si>
  <si>
    <t>McRoberts</t>
  </si>
  <si>
    <t xml:space="preserve">3204 Yellowpine Ter </t>
  </si>
  <si>
    <t>Milam</t>
  </si>
  <si>
    <t xml:space="preserve">2811 NW 90th Pl </t>
  </si>
  <si>
    <t xml:space="preserve">5900 37th Ave S </t>
  </si>
  <si>
    <t xml:space="preserve">1383 Tucker Rd </t>
  </si>
  <si>
    <t>Hortsch</t>
  </si>
  <si>
    <t xml:space="preserve">17400 Holy Names Dr Unit 466 </t>
  </si>
  <si>
    <t>Snipes</t>
  </si>
  <si>
    <t xml:space="preserve">6934 SE 45th Ave </t>
  </si>
  <si>
    <t>Goddard</t>
  </si>
  <si>
    <t xml:space="preserve">21325 Shainsky Rd </t>
  </si>
  <si>
    <t xml:space="preserve">9101 Shady Hollow Way </t>
  </si>
  <si>
    <t xml:space="preserve">3504 E Island Ct </t>
  </si>
  <si>
    <t>Keenan</t>
  </si>
  <si>
    <t xml:space="preserve">1816 Vine St </t>
  </si>
  <si>
    <t xml:space="preserve">620 Arthur St </t>
  </si>
  <si>
    <t xml:space="preserve">11830 Dorothy St </t>
  </si>
  <si>
    <t>Lester</t>
  </si>
  <si>
    <t xml:space="preserve">317 Phillips St </t>
  </si>
  <si>
    <t>Johnstown</t>
  </si>
  <si>
    <t>15904-1225</t>
  </si>
  <si>
    <t xml:space="preserve">329 Stamper St </t>
  </si>
  <si>
    <t xml:space="preserve">2545 Tuscany Dr </t>
  </si>
  <si>
    <t>32754-5422</t>
  </si>
  <si>
    <t xml:space="preserve">8524 Greenway St </t>
  </si>
  <si>
    <t>Onekama</t>
  </si>
  <si>
    <t xml:space="preserve">212 Loudville Rd </t>
  </si>
  <si>
    <t>Grounds</t>
  </si>
  <si>
    <t xml:space="preserve">PO Box 1265 </t>
  </si>
  <si>
    <t xml:space="preserve">16300 Heron St </t>
  </si>
  <si>
    <t>Du Mont</t>
  </si>
  <si>
    <t xml:space="preserve">13990 Crabapple Rd </t>
  </si>
  <si>
    <t xml:space="preserve">8431 Cargill St </t>
  </si>
  <si>
    <t>77029-3937</t>
  </si>
  <si>
    <t>Makrinos</t>
  </si>
  <si>
    <t>Stamatia</t>
  </si>
  <si>
    <t xml:space="preserve">220 Norwood Ave </t>
  </si>
  <si>
    <t>West Long Branch</t>
  </si>
  <si>
    <t xml:space="preserve">121 Raup Rd </t>
  </si>
  <si>
    <t>Biase</t>
  </si>
  <si>
    <t xml:space="preserve">13 Victory Ct </t>
  </si>
  <si>
    <t>Nathaniel</t>
  </si>
  <si>
    <t xml:space="preserve">14605 Cambridge Ct </t>
  </si>
  <si>
    <t xml:space="preserve">11 Kensington Ave </t>
  </si>
  <si>
    <t xml:space="preserve">167 Whitehaven Cir </t>
  </si>
  <si>
    <t xml:space="preserve">1440 Mountain View Dr </t>
  </si>
  <si>
    <t>Crocker</t>
  </si>
  <si>
    <t xml:space="preserve">806 Balsam Ridge Rd NW </t>
  </si>
  <si>
    <t xml:space="preserve">9506 Chalford Dr </t>
  </si>
  <si>
    <t xml:space="preserve">2535 Raincreek Rd </t>
  </si>
  <si>
    <t xml:space="preserve">124 Randolph Rd </t>
  </si>
  <si>
    <t xml:space="preserve">3077 Clairemont Dr </t>
  </si>
  <si>
    <t xml:space="preserve">11801 NE Finn Hill Loop </t>
  </si>
  <si>
    <t>Rausher</t>
  </si>
  <si>
    <t xml:space="preserve">186 Joralemon St Ste 701 </t>
  </si>
  <si>
    <t xml:space="preserve">305 RUGBY Rd </t>
  </si>
  <si>
    <t>Beliveau</t>
  </si>
  <si>
    <t xml:space="preserve">19 Rosewood Ln Apt B </t>
  </si>
  <si>
    <t>Blitzstein</t>
  </si>
  <si>
    <t xml:space="preserve">1516 S Beverly Dr Apt 105 </t>
  </si>
  <si>
    <t>R. Lei Lani</t>
  </si>
  <si>
    <t xml:space="preserve">2632 S Encina St </t>
  </si>
  <si>
    <t>Barbara  A</t>
  </si>
  <si>
    <t xml:space="preserve">249 E Oneida Ave </t>
  </si>
  <si>
    <t>Bacon</t>
  </si>
  <si>
    <t>Janeen</t>
  </si>
  <si>
    <t xml:space="preserve">1110 SE 104th Ave </t>
  </si>
  <si>
    <t>Todnem</t>
  </si>
  <si>
    <t xml:space="preserve">6509 S Mount Angeles Rd </t>
  </si>
  <si>
    <t>Judge</t>
  </si>
  <si>
    <t xml:space="preserve">708 Franklin Ave </t>
  </si>
  <si>
    <t>Wileman</t>
  </si>
  <si>
    <t xml:space="preserve">12740 Rivulet Cir </t>
  </si>
  <si>
    <t>Blume</t>
  </si>
  <si>
    <t>Shera</t>
  </si>
  <si>
    <t xml:space="preserve">15320 Chisum Trl </t>
  </si>
  <si>
    <t>Bunch</t>
  </si>
  <si>
    <t xml:space="preserve">1006 Hanover St </t>
  </si>
  <si>
    <t xml:space="preserve">9087 Chillicothe Rd </t>
  </si>
  <si>
    <t>Kirtland</t>
  </si>
  <si>
    <t>Burdis</t>
  </si>
  <si>
    <t xml:space="preserve">2240 Kirby Ct </t>
  </si>
  <si>
    <t>Weida</t>
  </si>
  <si>
    <t xml:space="preserve">1565 Thieriot Ave </t>
  </si>
  <si>
    <t>Levitt</t>
  </si>
  <si>
    <t xml:space="preserve">1688 Brookgreen Vw NW </t>
  </si>
  <si>
    <t>Acworth</t>
  </si>
  <si>
    <t xml:space="preserve">8227 SW 82nd Pl </t>
  </si>
  <si>
    <t>Kachmar</t>
  </si>
  <si>
    <t xml:space="preserve">1021 Casilada Way </t>
  </si>
  <si>
    <t>Volkmar</t>
  </si>
  <si>
    <t xml:space="preserve">6222 Carriagehouse Ln </t>
  </si>
  <si>
    <t>Kett</t>
  </si>
  <si>
    <t xml:space="preserve">220 Brook St </t>
  </si>
  <si>
    <t>Willow Grove</t>
  </si>
  <si>
    <t>Lobo</t>
  </si>
  <si>
    <t xml:space="preserve">14232 Snickersville Dr </t>
  </si>
  <si>
    <t xml:space="preserve">PO Box 692115 </t>
  </si>
  <si>
    <t>Odendahl</t>
  </si>
  <si>
    <t xml:space="preserve">105 Osborne St </t>
  </si>
  <si>
    <t xml:space="preserve">9TH St NW </t>
  </si>
  <si>
    <t xml:space="preserve">20000 NE Niederberger Rd </t>
  </si>
  <si>
    <t>Shuler</t>
  </si>
  <si>
    <t xml:space="preserve">555 Vista Grande </t>
  </si>
  <si>
    <t xml:space="preserve">8211 Via Hermosa St </t>
  </si>
  <si>
    <t>McCain</t>
  </si>
  <si>
    <t xml:space="preserve">2436 Kenvil Cir </t>
  </si>
  <si>
    <t>Vestavia</t>
  </si>
  <si>
    <t xml:space="preserve">11144 Tammy Cir </t>
  </si>
  <si>
    <t>Plantersville</t>
  </si>
  <si>
    <t xml:space="preserve">191 Peach Tree Pl </t>
  </si>
  <si>
    <t xml:space="preserve">2286 Cumberland Cir Apt 1106 </t>
  </si>
  <si>
    <t>Newkirk</t>
  </si>
  <si>
    <t xml:space="preserve">27116 W 271st St </t>
  </si>
  <si>
    <t>Gehres</t>
  </si>
  <si>
    <t xml:space="preserve">97 Ontario St </t>
  </si>
  <si>
    <t xml:space="preserve">670 Rainier Ln </t>
  </si>
  <si>
    <t>Port Ludlow</t>
  </si>
  <si>
    <t>Lally</t>
  </si>
  <si>
    <t xml:space="preserve">7 Cedar Ln # NY10520 </t>
  </si>
  <si>
    <t>Mizak</t>
  </si>
  <si>
    <t xml:space="preserve">151 Rose Hill Trl </t>
  </si>
  <si>
    <t>Lehtinen</t>
  </si>
  <si>
    <t>Jean Marie</t>
  </si>
  <si>
    <t xml:space="preserve">49221 E SIENA HEIGHTS Dr </t>
  </si>
  <si>
    <t>Foth</t>
  </si>
  <si>
    <t xml:space="preserve">7211 N 7th St Apt B13 </t>
  </si>
  <si>
    <t>McCollum</t>
  </si>
  <si>
    <t>Sudi</t>
  </si>
  <si>
    <t xml:space="preserve">3244 Cornwall Dr </t>
  </si>
  <si>
    <t>Stutman</t>
  </si>
  <si>
    <t>Elsa</t>
  </si>
  <si>
    <t xml:space="preserve">978 Wesley Ave </t>
  </si>
  <si>
    <t>Wren</t>
  </si>
  <si>
    <t xml:space="preserve">2016 20TH St </t>
  </si>
  <si>
    <t>Saifer</t>
  </si>
  <si>
    <t xml:space="preserve">33 Eastwind St Apt 7A </t>
  </si>
  <si>
    <t xml:space="preserve">Dewdropsonroses Hotmailcom </t>
  </si>
  <si>
    <t>Hoops</t>
  </si>
  <si>
    <t xml:space="preserve">1033 S 42nd St Apt 194 </t>
  </si>
  <si>
    <t>Paulson And Mayer</t>
  </si>
  <si>
    <t>Elizabeth And  Wayne</t>
  </si>
  <si>
    <t xml:space="preserve">16205 36th Ave N Apt 219 </t>
  </si>
  <si>
    <t>Schenck</t>
  </si>
  <si>
    <t xml:space="preserve">1412 Fair St </t>
  </si>
  <si>
    <t>29020-2921</t>
  </si>
  <si>
    <t>Decorsey</t>
  </si>
  <si>
    <t xml:space="preserve">10702 SE 15th St </t>
  </si>
  <si>
    <t>Gurley</t>
  </si>
  <si>
    <t xml:space="preserve">509 Stratford Ave </t>
  </si>
  <si>
    <t>Kindy</t>
  </si>
  <si>
    <t xml:space="preserve">565 Blue Sky Dr </t>
  </si>
  <si>
    <t>Vandaveer</t>
  </si>
  <si>
    <t>Vonda</t>
  </si>
  <si>
    <t xml:space="preserve">129TH St </t>
  </si>
  <si>
    <t xml:space="preserve">4824 330th Ave </t>
  </si>
  <si>
    <t>Mr. Donald</t>
  </si>
  <si>
    <t xml:space="preserve">4803 NW 36th St </t>
  </si>
  <si>
    <t>Mulkerin</t>
  </si>
  <si>
    <t>Zenith</t>
  </si>
  <si>
    <t xml:space="preserve">2371 Nash St </t>
  </si>
  <si>
    <t>Peña</t>
  </si>
  <si>
    <t>María</t>
  </si>
  <si>
    <t xml:space="preserve">1102 Mayapple Dr </t>
  </si>
  <si>
    <t>Ogawa</t>
  </si>
  <si>
    <t xml:space="preserve">245 W Fir St </t>
  </si>
  <si>
    <t>Burchell</t>
  </si>
  <si>
    <t xml:space="preserve">4401 Lakeside Dr Unit 304 </t>
  </si>
  <si>
    <t>Kawasjee</t>
  </si>
  <si>
    <t xml:space="preserve">2537 D Pacific Coast Hwy # 278 </t>
  </si>
  <si>
    <t>Zelniker</t>
  </si>
  <si>
    <t xml:space="preserve">2010 NW Pettygrove St Apt 303 </t>
  </si>
  <si>
    <t>Mancuso</t>
  </si>
  <si>
    <t>Corbina</t>
  </si>
  <si>
    <t xml:space="preserve">226 Shoreline Ct </t>
  </si>
  <si>
    <t>Astorga</t>
  </si>
  <si>
    <t xml:space="preserve">102 N Hope Ave Apt 24 </t>
  </si>
  <si>
    <t>Pulcini</t>
  </si>
  <si>
    <t xml:space="preserve">5129 N Whitehurst Pl </t>
  </si>
  <si>
    <t>Herrera</t>
  </si>
  <si>
    <t xml:space="preserve">221 S Monroe St </t>
  </si>
  <si>
    <t>Streator</t>
  </si>
  <si>
    <t>Dietrick</t>
  </si>
  <si>
    <t xml:space="preserve">33 Magazine St </t>
  </si>
  <si>
    <t xml:space="preserve">406 Fulton St </t>
  </si>
  <si>
    <t xml:space="preserve">23 Gatehouse Rd </t>
  </si>
  <si>
    <t>Sea Ranch Lakes</t>
  </si>
  <si>
    <t>Paulk</t>
  </si>
  <si>
    <t xml:space="preserve">21 Rocket Cir </t>
  </si>
  <si>
    <t>Babs</t>
  </si>
  <si>
    <t xml:space="preserve">PO Box 78 </t>
  </si>
  <si>
    <t>Mountain City</t>
  </si>
  <si>
    <t>Conforti</t>
  </si>
  <si>
    <t xml:space="preserve">233 Birchwood Ave </t>
  </si>
  <si>
    <t>Nyack</t>
  </si>
  <si>
    <t>Syverson</t>
  </si>
  <si>
    <t xml:space="preserve">4707 35th Ave NE </t>
  </si>
  <si>
    <t>Erlander</t>
  </si>
  <si>
    <t xml:space="preserve">6850 Woodlawn Ave NE Apt 302 </t>
  </si>
  <si>
    <t>J E</t>
  </si>
  <si>
    <t xml:space="preserve">921 Walnut St </t>
  </si>
  <si>
    <t xml:space="preserve">19000 Lake Rd Apt 209 </t>
  </si>
  <si>
    <t>Farney</t>
  </si>
  <si>
    <t xml:space="preserve">89 Bowdoin Pines Rd </t>
  </si>
  <si>
    <t>Bowdoin</t>
  </si>
  <si>
    <t>Montalbano</t>
  </si>
  <si>
    <t xml:space="preserve">22 Sherman Dr </t>
  </si>
  <si>
    <t xml:space="preserve">140 Cadman Plz W </t>
  </si>
  <si>
    <t xml:space="preserve">10504 Country Flower </t>
  </si>
  <si>
    <t xml:space="preserve">710 Geneva National Ave N </t>
  </si>
  <si>
    <t>Crispin</t>
  </si>
  <si>
    <t>Pitock</t>
  </si>
  <si>
    <t xml:space="preserve">6505 W Illinois St </t>
  </si>
  <si>
    <t>Protano</t>
  </si>
  <si>
    <t xml:space="preserve">2916 TYRONE Pike </t>
  </si>
  <si>
    <t>Philipsburg</t>
  </si>
  <si>
    <t>Twill</t>
  </si>
  <si>
    <t xml:space="preserve">500 Frontenac Pl </t>
  </si>
  <si>
    <t xml:space="preserve">95113 Snapdragon Dr </t>
  </si>
  <si>
    <t>McCune</t>
  </si>
  <si>
    <t xml:space="preserve">COLLEGE Hts </t>
  </si>
  <si>
    <t xml:space="preserve">3904 SE 16th Ave </t>
  </si>
  <si>
    <t>Taccogna</t>
  </si>
  <si>
    <t xml:space="preserve">16799 SE Kingsridge Ct </t>
  </si>
  <si>
    <t xml:space="preserve">1121 Moreland Pl SE </t>
  </si>
  <si>
    <t xml:space="preserve">677 W End Ave Apt 15B </t>
  </si>
  <si>
    <t xml:space="preserve">10 Hill </t>
  </si>
  <si>
    <t>Tuman</t>
  </si>
  <si>
    <t xml:space="preserve">33944 RIVER Rd </t>
  </si>
  <si>
    <t>Sneads Ferry</t>
  </si>
  <si>
    <t xml:space="preserve">225 Henderson Ave </t>
  </si>
  <si>
    <t>Bnejamin</t>
  </si>
  <si>
    <t>Rowh</t>
  </si>
  <si>
    <t xml:space="preserve">5435 Parker St </t>
  </si>
  <si>
    <t>Solowiej</t>
  </si>
  <si>
    <t xml:space="preserve">1750 Stanford Ave </t>
  </si>
  <si>
    <t xml:space="preserve">32 Tree Farm Rd </t>
  </si>
  <si>
    <t xml:space="preserve">1771 W 53rd Pl Unit 7 </t>
  </si>
  <si>
    <t xml:space="preserve">220 Clarion Ave </t>
  </si>
  <si>
    <t>Maryville</t>
  </si>
  <si>
    <t>Contarino</t>
  </si>
  <si>
    <t xml:space="preserve">PO Box 380 </t>
  </si>
  <si>
    <t xml:space="preserve">702 S 68th Ave </t>
  </si>
  <si>
    <t xml:space="preserve">310 Elan Village Ln </t>
  </si>
  <si>
    <t>95134-2557</t>
  </si>
  <si>
    <t>Andaloro</t>
  </si>
  <si>
    <t xml:space="preserve">143 Watertree Dr </t>
  </si>
  <si>
    <t>East Syracuse</t>
  </si>
  <si>
    <t>13057-1919</t>
  </si>
  <si>
    <t xml:space="preserve">168 Whayden Park </t>
  </si>
  <si>
    <t>Strangstad</t>
  </si>
  <si>
    <t xml:space="preserve">327 Doty St </t>
  </si>
  <si>
    <t>Mineral Point</t>
  </si>
  <si>
    <t>53565-1241</t>
  </si>
  <si>
    <t>Sheilagh</t>
  </si>
  <si>
    <t xml:space="preserve">229 Bay Hill Rd </t>
  </si>
  <si>
    <t>03276-4629</t>
  </si>
  <si>
    <t>Boyens</t>
  </si>
  <si>
    <t xml:space="preserve">1800 Clairmont Lk Unit 327 </t>
  </si>
  <si>
    <t>30033-4038</t>
  </si>
  <si>
    <t>A G</t>
  </si>
  <si>
    <t xml:space="preserve">4949 141st St </t>
  </si>
  <si>
    <t>60418-2103</t>
  </si>
  <si>
    <t xml:space="preserve">220 N Zapata Hwy Ste 11 </t>
  </si>
  <si>
    <t>Laredo</t>
  </si>
  <si>
    <t>78043-4464</t>
  </si>
  <si>
    <t>Wettersten</t>
  </si>
  <si>
    <t xml:space="preserve">88 Kendal Dr </t>
  </si>
  <si>
    <t>44074-1904</t>
  </si>
  <si>
    <t xml:space="preserve">1036 Pike Run Dr </t>
  </si>
  <si>
    <t>Coal Center</t>
  </si>
  <si>
    <t>15423-1037</t>
  </si>
  <si>
    <t>Vaj</t>
  </si>
  <si>
    <t xml:space="preserve">1045 Palms Blvd </t>
  </si>
  <si>
    <t>90291-3522</t>
  </si>
  <si>
    <t>Jl</t>
  </si>
  <si>
    <t xml:space="preserve">36770 Osawatomie Rd </t>
  </si>
  <si>
    <t>Osawatomie</t>
  </si>
  <si>
    <t>66064-4142</t>
  </si>
  <si>
    <t>Bakker</t>
  </si>
  <si>
    <t xml:space="preserve">BERTSCH </t>
  </si>
  <si>
    <t>Kukucka</t>
  </si>
  <si>
    <t xml:space="preserve">5821 Hoover Blvd </t>
  </si>
  <si>
    <t>Lorain</t>
  </si>
  <si>
    <t>44053-3744</t>
  </si>
  <si>
    <t>Chapides</t>
  </si>
  <si>
    <t>Suzanna</t>
  </si>
  <si>
    <t>Mariolis</t>
  </si>
  <si>
    <t xml:space="preserve">PO Box 3252 </t>
  </si>
  <si>
    <t>11103-0252</t>
  </si>
  <si>
    <t>Tryggeseth</t>
  </si>
  <si>
    <t xml:space="preserve">S7559 US Highway 12 Apt C-5 </t>
  </si>
  <si>
    <t>North Freedom</t>
  </si>
  <si>
    <t>53951-9799</t>
  </si>
  <si>
    <t xml:space="preserve">1316 Richmond Dr </t>
  </si>
  <si>
    <t>Olney</t>
  </si>
  <si>
    <t>76374-1024</t>
  </si>
  <si>
    <t>Burdette</t>
  </si>
  <si>
    <t xml:space="preserve">998 Castle Hill Rd </t>
  </si>
  <si>
    <t>94061-1106</t>
  </si>
  <si>
    <t>Curry</t>
  </si>
  <si>
    <t xml:space="preserve">621 Union St </t>
  </si>
  <si>
    <t>99004-1437</t>
  </si>
  <si>
    <t xml:space="preserve">1331 Tesuque Dr </t>
  </si>
  <si>
    <t>87532-3295</t>
  </si>
  <si>
    <t>Reischl</t>
  </si>
  <si>
    <t xml:space="preserve">1958 Florence St </t>
  </si>
  <si>
    <t>55110-3469</t>
  </si>
  <si>
    <t>Wai'olena</t>
  </si>
  <si>
    <t xml:space="preserve">PO Box 6416 </t>
  </si>
  <si>
    <t>Kamuela</t>
  </si>
  <si>
    <t>Yribar</t>
  </si>
  <si>
    <t xml:space="preserve">1004 Commercial Ave # 1081 </t>
  </si>
  <si>
    <t>Giordano</t>
  </si>
  <si>
    <t>Chrissy</t>
  </si>
  <si>
    <t xml:space="preserve">633 Fairfield Ave </t>
  </si>
  <si>
    <t>Gretna</t>
  </si>
  <si>
    <t>Barajas Jr</t>
  </si>
  <si>
    <t xml:space="preserve">12367 4th St Spc 17 </t>
  </si>
  <si>
    <t>Wyoral</t>
  </si>
  <si>
    <t xml:space="preserve">66 Heritage Ln </t>
  </si>
  <si>
    <t>Duxbury</t>
  </si>
  <si>
    <t xml:space="preserve">330 Aldeberan Dr </t>
  </si>
  <si>
    <t xml:space="preserve">7051 Toscana Ct </t>
  </si>
  <si>
    <t>Dyck</t>
  </si>
  <si>
    <t>J.Isabelle</t>
  </si>
  <si>
    <t xml:space="preserve">933 11th St SW </t>
  </si>
  <si>
    <t>Moses</t>
  </si>
  <si>
    <t xml:space="preserve">321 Warren St </t>
  </si>
  <si>
    <t xml:space="preserve">4159 Wanda Dr </t>
  </si>
  <si>
    <t xml:space="preserve">1 Pheasant Ln </t>
  </si>
  <si>
    <t xml:space="preserve">140 E 26th St </t>
  </si>
  <si>
    <t xml:space="preserve">100 Commons Rd Ste PM7 </t>
  </si>
  <si>
    <t xml:space="preserve">112 Kiwi Ct </t>
  </si>
  <si>
    <t xml:space="preserve">118 Tom Neal Rd </t>
  </si>
  <si>
    <t>Pine Knot</t>
  </si>
  <si>
    <t>Phalen</t>
  </si>
  <si>
    <t xml:space="preserve">4224 Brookside Ave </t>
  </si>
  <si>
    <t xml:space="preserve">59 Harvey Ct </t>
  </si>
  <si>
    <t>Loula</t>
  </si>
  <si>
    <t xml:space="preserve">7225 S Dexter St </t>
  </si>
  <si>
    <t xml:space="preserve">1210 Whiskey Rd </t>
  </si>
  <si>
    <t xml:space="preserve">1617 NW 35th Pl </t>
  </si>
  <si>
    <t>Eastman</t>
  </si>
  <si>
    <t xml:space="preserve">7048 Sevilleen St SW </t>
  </si>
  <si>
    <t>Ocean Isle Beach</t>
  </si>
  <si>
    <t xml:space="preserve">7648 Crooked Run Rd </t>
  </si>
  <si>
    <t xml:space="preserve">3713 Vega Rd </t>
  </si>
  <si>
    <t>Mamangakis</t>
  </si>
  <si>
    <t xml:space="preserve">3201 Westerwald Ave </t>
  </si>
  <si>
    <t>Ivers</t>
  </si>
  <si>
    <t xml:space="preserve">15 Rose St </t>
  </si>
  <si>
    <t>Forty Fort</t>
  </si>
  <si>
    <t>Baybutt</t>
  </si>
  <si>
    <t xml:space="preserve">1570 Jarrettown Rd </t>
  </si>
  <si>
    <t>Dresher</t>
  </si>
  <si>
    <t>Rastetter</t>
  </si>
  <si>
    <t xml:space="preserve">606 Benson St </t>
  </si>
  <si>
    <t xml:space="preserve">5918 Grainfield Dr </t>
  </si>
  <si>
    <t>Sylvania</t>
  </si>
  <si>
    <t>McCleery</t>
  </si>
  <si>
    <t xml:space="preserve">365 Bar Harbor Dr </t>
  </si>
  <si>
    <t>Bay Village</t>
  </si>
  <si>
    <t>Pate</t>
  </si>
  <si>
    <t xml:space="preserve">465 Taylor Ave </t>
  </si>
  <si>
    <t>Hugi</t>
  </si>
  <si>
    <t xml:space="preserve">563 Logan Rd </t>
  </si>
  <si>
    <t>Palmgren</t>
  </si>
  <si>
    <t xml:space="preserve">1142 Dora Whitley Rd </t>
  </si>
  <si>
    <t>Lara</t>
  </si>
  <si>
    <t xml:space="preserve">9504 Mobile Dr </t>
  </si>
  <si>
    <t>Renwick</t>
  </si>
  <si>
    <t xml:space="preserve">306 Forest Hill Dr Apt 306 </t>
  </si>
  <si>
    <t>Datr</t>
  </si>
  <si>
    <t xml:space="preserve">2403 W Chicago Ave </t>
  </si>
  <si>
    <t xml:space="preserve">5500 Longwood Run Blvd Apt 202 </t>
  </si>
  <si>
    <t>Lenzi</t>
  </si>
  <si>
    <t xml:space="preserve">6 Crestview Cir </t>
  </si>
  <si>
    <t>Broussard</t>
  </si>
  <si>
    <t xml:space="preserve">2313 N Raguet St # 14 </t>
  </si>
  <si>
    <t xml:space="preserve">230 NW Foxtail Ct </t>
  </si>
  <si>
    <t xml:space="preserve">973 Rifle Range Rd Lot 16 </t>
  </si>
  <si>
    <t>Kowalsky</t>
  </si>
  <si>
    <t xml:space="preserve">18432 111th Rd </t>
  </si>
  <si>
    <t xml:space="preserve">1207 Oak St </t>
  </si>
  <si>
    <t xml:space="preserve">1940 Maiden Ln </t>
  </si>
  <si>
    <t xml:space="preserve">416 E Emerson St Apt A </t>
  </si>
  <si>
    <t>Deville</t>
  </si>
  <si>
    <t xml:space="preserve">GENERAL DELIVERY </t>
  </si>
  <si>
    <t>Mandaree</t>
  </si>
  <si>
    <t>Eguren</t>
  </si>
  <si>
    <t>F. R.</t>
  </si>
  <si>
    <t xml:space="preserve">944 Monterey Blvd </t>
  </si>
  <si>
    <t xml:space="preserve">1243 Cherokee Ave </t>
  </si>
  <si>
    <t>W St Paul</t>
  </si>
  <si>
    <t>Corcacas</t>
  </si>
  <si>
    <t xml:space="preserve">900 W 190th St </t>
  </si>
  <si>
    <t xml:space="preserve">2019 Coweeta Church Rd </t>
  </si>
  <si>
    <t>Poulsbo</t>
  </si>
  <si>
    <t>Kroosz</t>
  </si>
  <si>
    <t xml:space="preserve">1 Patrick Way </t>
  </si>
  <si>
    <t>Gooch</t>
  </si>
  <si>
    <t xml:space="preserve">596 Henrietta Ave </t>
  </si>
  <si>
    <t>Krisch</t>
  </si>
  <si>
    <t xml:space="preserve">CINDER Rd </t>
  </si>
  <si>
    <t xml:space="preserve">707 Bellevue Ave Apt A </t>
  </si>
  <si>
    <t xml:space="preserve">148 Atlantic Ave Apt 4 </t>
  </si>
  <si>
    <t>Nason</t>
  </si>
  <si>
    <t xml:space="preserve">W5717RIDGE Rd </t>
  </si>
  <si>
    <t>Elkhorn</t>
  </si>
  <si>
    <t>Gillen</t>
  </si>
  <si>
    <t xml:space="preserve">6 Emerald Ct </t>
  </si>
  <si>
    <t>Marriner</t>
  </si>
  <si>
    <t xml:space="preserve">9105 S Urbana Ave Unit E </t>
  </si>
  <si>
    <t>Jonell</t>
  </si>
  <si>
    <t xml:space="preserve">669 N Armour St </t>
  </si>
  <si>
    <t>67206-1515</t>
  </si>
  <si>
    <t>Elizabeth Karen</t>
  </si>
  <si>
    <t xml:space="preserve">108 Crestridge Dr </t>
  </si>
  <si>
    <t>29073-7372</t>
  </si>
  <si>
    <t>Bova</t>
  </si>
  <si>
    <t xml:space="preserve">1414 W State St </t>
  </si>
  <si>
    <t>14760-2038</t>
  </si>
  <si>
    <t xml:space="preserve">3692 Frederica Rd </t>
  </si>
  <si>
    <t>Berkeley Lake</t>
  </si>
  <si>
    <t>30096-3106</t>
  </si>
  <si>
    <t>Derosia</t>
  </si>
  <si>
    <t xml:space="preserve">3057 Iverson Ln </t>
  </si>
  <si>
    <t>Custer</t>
  </si>
  <si>
    <t>98240-9417</t>
  </si>
  <si>
    <t xml:space="preserve">5845 Cinnamon Tree Ln </t>
  </si>
  <si>
    <t>63129-2228</t>
  </si>
  <si>
    <t>Miera</t>
  </si>
  <si>
    <t xml:space="preserve">9900 Fostoria Rd NE </t>
  </si>
  <si>
    <t>87111-1243</t>
  </si>
  <si>
    <t>Siler</t>
  </si>
  <si>
    <t xml:space="preserve">1235 Long Rd </t>
  </si>
  <si>
    <t>13077-9713</t>
  </si>
  <si>
    <t>Camera</t>
  </si>
  <si>
    <t xml:space="preserve">1940 Mintwood Dr </t>
  </si>
  <si>
    <t>43229-8245</t>
  </si>
  <si>
    <t xml:space="preserve">62 -2482 Anekona Pl </t>
  </si>
  <si>
    <t>96743-7792</t>
  </si>
  <si>
    <t xml:space="preserve">4141 Queen Emmas Dr </t>
  </si>
  <si>
    <t>96722-5541</t>
  </si>
  <si>
    <t xml:space="preserve">631 Tract Rd </t>
  </si>
  <si>
    <t>17320-9152</t>
  </si>
  <si>
    <t>Sachs</t>
  </si>
  <si>
    <t xml:space="preserve">1916 San Pedro Dr NE </t>
  </si>
  <si>
    <t>87110-5958</t>
  </si>
  <si>
    <t xml:space="preserve">259 Thorngrove Pike </t>
  </si>
  <si>
    <t>Kodak</t>
  </si>
  <si>
    <t>37764-1201</t>
  </si>
  <si>
    <t>97703-2113</t>
  </si>
  <si>
    <t>Lozow Cleary</t>
  </si>
  <si>
    <t>Karen And Will</t>
  </si>
  <si>
    <t xml:space="preserve">4145 W Gifford Rd </t>
  </si>
  <si>
    <t>47403-2600</t>
  </si>
  <si>
    <t xml:space="preserve">509 10th Ave S </t>
  </si>
  <si>
    <t>52732-5818</t>
  </si>
  <si>
    <t xml:space="preserve">375 Beckley Pl </t>
  </si>
  <si>
    <t>63304-1030</t>
  </si>
  <si>
    <t>Dinger</t>
  </si>
  <si>
    <t xml:space="preserve">No Mail Pls </t>
  </si>
  <si>
    <t>Stuner</t>
  </si>
  <si>
    <t xml:space="preserve">6764 County Rd W </t>
  </si>
  <si>
    <t>54557-9007</t>
  </si>
  <si>
    <t xml:space="preserve">PO Box 5088 </t>
  </si>
  <si>
    <t>89041-5088</t>
  </si>
  <si>
    <t xml:space="preserve">13 Hollyhock Way </t>
  </si>
  <si>
    <t>07860-5370</t>
  </si>
  <si>
    <t xml:space="preserve">8110 King St </t>
  </si>
  <si>
    <t>80031-4119</t>
  </si>
  <si>
    <t>Lax</t>
  </si>
  <si>
    <t>Don V.</t>
  </si>
  <si>
    <t xml:space="preserve">1215 S Kihei Rd Ste O </t>
  </si>
  <si>
    <t>96753-5225</t>
  </si>
  <si>
    <t>Wight</t>
  </si>
  <si>
    <t xml:space="preserve">23013 88th Ave W # 3B </t>
  </si>
  <si>
    <t>Traynor</t>
  </si>
  <si>
    <t xml:space="preserve">4227 W Los Altos Ave </t>
  </si>
  <si>
    <t>Nichandros</t>
  </si>
  <si>
    <t xml:space="preserve">17426 Columbia Dr </t>
  </si>
  <si>
    <t>Berlinghof</t>
  </si>
  <si>
    <t xml:space="preserve">227 E 50th St Apt 21/22 </t>
  </si>
  <si>
    <t>Dien</t>
  </si>
  <si>
    <t xml:space="preserve">CENTRAL AVENUE APT </t>
  </si>
  <si>
    <t xml:space="preserve">290 S Main St Unit 2024 </t>
  </si>
  <si>
    <t>Capron</t>
  </si>
  <si>
    <t xml:space="preserve">5 M St # H </t>
  </si>
  <si>
    <t>Zborek</t>
  </si>
  <si>
    <t xml:space="preserve">7125 Congress St </t>
  </si>
  <si>
    <t>Roach</t>
  </si>
  <si>
    <t xml:space="preserve">6412 Aylesboro Ave </t>
  </si>
  <si>
    <t>Stratten</t>
  </si>
  <si>
    <t xml:space="preserve">2751 PICANTE VIA </t>
  </si>
  <si>
    <t xml:space="preserve">5150 Diamond Heights Blvd Apt 102B </t>
  </si>
  <si>
    <t xml:space="preserve">596 Stangle Rd </t>
  </si>
  <si>
    <t xml:space="preserve">548 Belleview Ave </t>
  </si>
  <si>
    <t>West Chicago</t>
  </si>
  <si>
    <t>Benglen</t>
  </si>
  <si>
    <t xml:space="preserve">11909 Bell Cross Cir </t>
  </si>
  <si>
    <t xml:space="preserve">520 California Ave NE </t>
  </si>
  <si>
    <t>Mooradian</t>
  </si>
  <si>
    <t xml:space="preserve">12 Lane Ten Acres Rd </t>
  </si>
  <si>
    <t>Merrimac</t>
  </si>
  <si>
    <t xml:space="preserve">PO Box 181 </t>
  </si>
  <si>
    <t>Lone Pine</t>
  </si>
  <si>
    <t>Dwyer</t>
  </si>
  <si>
    <t>Tony Cho</t>
  </si>
  <si>
    <t xml:space="preserve">840 Oella Ave </t>
  </si>
  <si>
    <t>Elliott-Cattell</t>
  </si>
  <si>
    <t xml:space="preserve">200 Pineview Rd </t>
  </si>
  <si>
    <t>Machrowicz</t>
  </si>
  <si>
    <t xml:space="preserve">2090 Carter Lake Dr </t>
  </si>
  <si>
    <t>77845-7803</t>
  </si>
  <si>
    <t>Krupey</t>
  </si>
  <si>
    <t xml:space="preserve">1879 BEACH Rd </t>
  </si>
  <si>
    <t>Eedy</t>
  </si>
  <si>
    <t xml:space="preserve">4600 Peek Trl Apt 219 </t>
  </si>
  <si>
    <t xml:space="preserve">916 Catalonia Ave </t>
  </si>
  <si>
    <t>Felix</t>
  </si>
  <si>
    <t xml:space="preserve">6622 Gun Club Rd </t>
  </si>
  <si>
    <t>Coopersburg</t>
  </si>
  <si>
    <t>Angi</t>
  </si>
  <si>
    <t xml:space="preserve">14 Willow Rd </t>
  </si>
  <si>
    <t>Kevin     Shula</t>
  </si>
  <si>
    <t xml:space="preserve">384 208th Ave </t>
  </si>
  <si>
    <t xml:space="preserve">1319 Chicago Ave Apt 301 </t>
  </si>
  <si>
    <t>Ashbaugh</t>
  </si>
  <si>
    <t xml:space="preserve">554 N Main St # 175 </t>
  </si>
  <si>
    <t>Convoy</t>
  </si>
  <si>
    <t>Stefani</t>
  </si>
  <si>
    <t xml:space="preserve">8141 Kilwinning Ln </t>
  </si>
  <si>
    <t>Winsberg</t>
  </si>
  <si>
    <t xml:space="preserve">1901 Grant St Rear COACHHOUSE </t>
  </si>
  <si>
    <t xml:space="preserve">663 Brentwood Dr </t>
  </si>
  <si>
    <t>Lake Arrowhead</t>
  </si>
  <si>
    <t xml:space="preserve">21300 Via Del Parque </t>
  </si>
  <si>
    <t>Morr</t>
  </si>
  <si>
    <t xml:space="preserve">1220 Lake Superior Rd Apt 101 </t>
  </si>
  <si>
    <t xml:space="preserve">58 Belden Rd </t>
  </si>
  <si>
    <t>10512-1017</t>
  </si>
  <si>
    <t>Bobby</t>
  </si>
  <si>
    <t xml:space="preserve">4413 Hammersley Way NW </t>
  </si>
  <si>
    <t>Donaghue</t>
  </si>
  <si>
    <t xml:space="preserve">5109 SE 104th Ave </t>
  </si>
  <si>
    <t>Kendrick</t>
  </si>
  <si>
    <t xml:space="preserve">1426 Blaine Ave </t>
  </si>
  <si>
    <t>Toner</t>
  </si>
  <si>
    <t xml:space="preserve">701 SW 142nd Ave Apt S210 </t>
  </si>
  <si>
    <t>Tillotson</t>
  </si>
  <si>
    <t xml:space="preserve">1454 Ashland Ave Apt 403 </t>
  </si>
  <si>
    <t>Des Plaines</t>
  </si>
  <si>
    <t>Shields</t>
  </si>
  <si>
    <t xml:space="preserve">10924 Live Oak Ct </t>
  </si>
  <si>
    <t>Burnside</t>
  </si>
  <si>
    <t>Elinor</t>
  </si>
  <si>
    <t xml:space="preserve">3506 Ridgeview Dr </t>
  </si>
  <si>
    <t>Spry</t>
  </si>
  <si>
    <t xml:space="preserve">199 Broken Fence Rd </t>
  </si>
  <si>
    <t>Schunk</t>
  </si>
  <si>
    <t xml:space="preserve">460 Charles St Apt 311 </t>
  </si>
  <si>
    <t xml:space="preserve">2512 Riverside Dr E </t>
  </si>
  <si>
    <t xml:space="preserve">101 Stonewall Jackson Dr Unit 4 </t>
  </si>
  <si>
    <t>Elizabethton</t>
  </si>
  <si>
    <t xml:space="preserve">10897 Retreat Ln </t>
  </si>
  <si>
    <t>Dr. Sally</t>
  </si>
  <si>
    <t xml:space="preserve">2210 Stuart St </t>
  </si>
  <si>
    <t>Lindberg</t>
  </si>
  <si>
    <t xml:space="preserve">10903 NE 102nd St </t>
  </si>
  <si>
    <t xml:space="preserve">145 S College Ave </t>
  </si>
  <si>
    <t>91711-5003</t>
  </si>
  <si>
    <t>Becker-Lewin</t>
  </si>
  <si>
    <t xml:space="preserve">25 W 81st St # 6A </t>
  </si>
  <si>
    <t xml:space="preserve">RIVERSIDE Dr </t>
  </si>
  <si>
    <t>Wilce</t>
  </si>
  <si>
    <t xml:space="preserve">54 Fairfield Rd </t>
  </si>
  <si>
    <t>Gasparovic</t>
  </si>
  <si>
    <t xml:space="preserve">3151 Brookwood St </t>
  </si>
  <si>
    <t>Maule</t>
  </si>
  <si>
    <t xml:space="preserve">417 Stones Crossing Rd </t>
  </si>
  <si>
    <t>Mace</t>
  </si>
  <si>
    <t xml:space="preserve">1108 NW 200th St </t>
  </si>
  <si>
    <t>Ab</t>
  </si>
  <si>
    <t>Nando</t>
  </si>
  <si>
    <t xml:space="preserve">1625 S Kent Des Moines Rd </t>
  </si>
  <si>
    <t>Castle</t>
  </si>
  <si>
    <t xml:space="preserve">PO Box 816 </t>
  </si>
  <si>
    <t xml:space="preserve">500 Geneva St </t>
  </si>
  <si>
    <t xml:space="preserve">709 S Ross St </t>
  </si>
  <si>
    <t xml:space="preserve">340 E 52nd St Apt 9B </t>
  </si>
  <si>
    <t xml:space="preserve">1115 Clover Ct </t>
  </si>
  <si>
    <t>Vadnais</t>
  </si>
  <si>
    <t xml:space="preserve">398 Old Stage Coach Rd </t>
  </si>
  <si>
    <t>Clarkesville</t>
  </si>
  <si>
    <t xml:space="preserve">16084 Oakwood Heights Rd </t>
  </si>
  <si>
    <t>New Ulm</t>
  </si>
  <si>
    <t>Marczak</t>
  </si>
  <si>
    <t xml:space="preserve">10846 N 300 W-90 # 90 </t>
  </si>
  <si>
    <t>Markle</t>
  </si>
  <si>
    <t>Aroneo</t>
  </si>
  <si>
    <t xml:space="preserve">3336 W Monona Dr </t>
  </si>
  <si>
    <t>Petri</t>
  </si>
  <si>
    <t>Natsumi</t>
  </si>
  <si>
    <t xml:space="preserve">148 Blue Stem Rd </t>
  </si>
  <si>
    <t>Phillpotts</t>
  </si>
  <si>
    <t xml:space="preserve">971 Main St </t>
  </si>
  <si>
    <t>Chase</t>
  </si>
  <si>
    <t xml:space="preserve">3744 Lilly Rd S </t>
  </si>
  <si>
    <t>Tabian</t>
  </si>
  <si>
    <t xml:space="preserve">10056 N Jennings Rd </t>
  </si>
  <si>
    <t>Ranes</t>
  </si>
  <si>
    <t xml:space="preserve">1831 Snyder Rd </t>
  </si>
  <si>
    <t xml:space="preserve">3924 Laredo Ave </t>
  </si>
  <si>
    <t>Karyl</t>
  </si>
  <si>
    <t xml:space="preserve">2787 Whitetail Cir </t>
  </si>
  <si>
    <t>Vollman</t>
  </si>
  <si>
    <t xml:space="preserve">8011 W Byers Ave </t>
  </si>
  <si>
    <t>Churches</t>
  </si>
  <si>
    <t xml:space="preserve">351 W Spring St </t>
  </si>
  <si>
    <t>Skye</t>
  </si>
  <si>
    <t xml:space="preserve">616 E Main St </t>
  </si>
  <si>
    <t>Lavorata.Phd</t>
  </si>
  <si>
    <t>Dr Réagan Lorraine</t>
  </si>
  <si>
    <t xml:space="preserve">Dr Reagan Edith Lorraine Lavorata Phd </t>
  </si>
  <si>
    <t>Bohemia</t>
  </si>
  <si>
    <t>Gorak</t>
  </si>
  <si>
    <t xml:space="preserve">22502 Downdale Cir </t>
  </si>
  <si>
    <t>Dodge</t>
  </si>
  <si>
    <t xml:space="preserve">543 Mountain View Rd </t>
  </si>
  <si>
    <t>Jayne</t>
  </si>
  <si>
    <t xml:space="preserve">1938 SE Nehalem St </t>
  </si>
  <si>
    <t>Radosta</t>
  </si>
  <si>
    <t xml:space="preserve">11334 SW 51st Ave </t>
  </si>
  <si>
    <t xml:space="preserve">3445 Covello Cir </t>
  </si>
  <si>
    <t xml:space="preserve">2240 Zoria Cir </t>
  </si>
  <si>
    <t>Metress</t>
  </si>
  <si>
    <t>Dr. Eileen</t>
  </si>
  <si>
    <t xml:space="preserve">4625 Paisley Rd </t>
  </si>
  <si>
    <t>Cirillo</t>
  </si>
  <si>
    <t xml:space="preserve">20 Wildwood Rd Apt B1 </t>
  </si>
  <si>
    <t xml:space="preserve">2122 Cherry St </t>
  </si>
  <si>
    <t>Armillas</t>
  </si>
  <si>
    <t>Mercedes</t>
  </si>
  <si>
    <t xml:space="preserve">659 Saint Marks Ave </t>
  </si>
  <si>
    <t>11216-3624</t>
  </si>
  <si>
    <t>Soddano</t>
  </si>
  <si>
    <t xml:space="preserve">350 Washington Avenue Ext </t>
  </si>
  <si>
    <t xml:space="preserve">6216 E 136TH Ave </t>
  </si>
  <si>
    <t>Arredondo</t>
  </si>
  <si>
    <t xml:space="preserve">5001 Golden Triangle Blvd Apt 210 </t>
  </si>
  <si>
    <t xml:space="preserve">4024 43rd Ave N </t>
  </si>
  <si>
    <t>Teresa Logan</t>
  </si>
  <si>
    <t xml:space="preserve">3103 Brandywine Ct </t>
  </si>
  <si>
    <t xml:space="preserve">N MELVINA Ave </t>
  </si>
  <si>
    <t>Henriot</t>
  </si>
  <si>
    <t>Frederique</t>
  </si>
  <si>
    <t xml:space="preserve">155 W 21st St Apt 10C </t>
  </si>
  <si>
    <t xml:space="preserve">4252 Witherby St </t>
  </si>
  <si>
    <t xml:space="preserve">110 Roseville St </t>
  </si>
  <si>
    <t>Sim</t>
  </si>
  <si>
    <t xml:space="preserve">167 WHIMBREL Rd </t>
  </si>
  <si>
    <t xml:space="preserve">824 W Pershing Ave </t>
  </si>
  <si>
    <t xml:space="preserve">18 Damon Rd 18 Damon Road 18 Damon Rd 18 Da Rd </t>
  </si>
  <si>
    <t>Snow</t>
  </si>
  <si>
    <t xml:space="preserve">40641 Corte Albara </t>
  </si>
  <si>
    <t>Paulus</t>
  </si>
  <si>
    <t xml:space="preserve">1806 Marion Ct </t>
  </si>
  <si>
    <t xml:space="preserve">15594 30th Ave # 1927 </t>
  </si>
  <si>
    <t xml:space="preserve">138 Oceanview Rd # LP </t>
  </si>
  <si>
    <t>East Rockaway</t>
  </si>
  <si>
    <t>Benvenuti</t>
  </si>
  <si>
    <t xml:space="preserve">1197 52Nd Street Gulf </t>
  </si>
  <si>
    <t>Marathon</t>
  </si>
  <si>
    <t>Schmelzer</t>
  </si>
  <si>
    <t xml:space="preserve">10760 Webb Summit Rd SE </t>
  </si>
  <si>
    <t>Escobar</t>
  </si>
  <si>
    <t>Marco</t>
  </si>
  <si>
    <t xml:space="preserve">13611 La Pat Pl Ste OR </t>
  </si>
  <si>
    <t xml:space="preserve">2335 Grove St </t>
  </si>
  <si>
    <t>Locke</t>
  </si>
  <si>
    <t xml:space="preserve">915 Douglass St </t>
  </si>
  <si>
    <t>Kaczmarczyk</t>
  </si>
  <si>
    <t xml:space="preserve">120 Walnut St </t>
  </si>
  <si>
    <t>David Lucas</t>
  </si>
  <si>
    <t xml:space="preserve">1917 Fruitwood Ave </t>
  </si>
  <si>
    <t xml:space="preserve">721 Mindy Ct </t>
  </si>
  <si>
    <t>Miner</t>
  </si>
  <si>
    <t xml:space="preserve">21 Powers Ave </t>
  </si>
  <si>
    <t>Fiebig</t>
  </si>
  <si>
    <t xml:space="preserve">12406 Denley Rd </t>
  </si>
  <si>
    <t>Bosley</t>
  </si>
  <si>
    <t xml:space="preserve">6010 Monteverde Dr </t>
  </si>
  <si>
    <t xml:space="preserve">191 S 20th St </t>
  </si>
  <si>
    <t>Fan</t>
  </si>
  <si>
    <t>Tse-En</t>
  </si>
  <si>
    <t xml:space="preserve">14 Whitewood Rd </t>
  </si>
  <si>
    <t xml:space="preserve">8409 35th Ave </t>
  </si>
  <si>
    <t>MacHan</t>
  </si>
  <si>
    <t xml:space="preserve">718 Ticonderoga Ave </t>
  </si>
  <si>
    <t>Deller</t>
  </si>
  <si>
    <t>Jk</t>
  </si>
  <si>
    <t xml:space="preserve">4235 164th Ave SE </t>
  </si>
  <si>
    <t>Miltner</t>
  </si>
  <si>
    <t xml:space="preserve">1604 Mccoy Rd </t>
  </si>
  <si>
    <t>Nimz</t>
  </si>
  <si>
    <t xml:space="preserve">97 Colonial Ridge Dr </t>
  </si>
  <si>
    <t>Boxborough</t>
  </si>
  <si>
    <t xml:space="preserve">1805 NW 67th Ave </t>
  </si>
  <si>
    <t>Margate</t>
  </si>
  <si>
    <t>Zaremba</t>
  </si>
  <si>
    <t xml:space="preserve">PO Box 1034 </t>
  </si>
  <si>
    <t>Speakman</t>
  </si>
  <si>
    <t xml:space="preserve">3099 Lowe Rd </t>
  </si>
  <si>
    <t>Conroy</t>
  </si>
  <si>
    <t xml:space="preserve">30 Conroy Rd </t>
  </si>
  <si>
    <t>West Chazy</t>
  </si>
  <si>
    <t>Mero</t>
  </si>
  <si>
    <t xml:space="preserve">250 Acton St </t>
  </si>
  <si>
    <t xml:space="preserve">355 W 85th St </t>
  </si>
  <si>
    <t>Zilch</t>
  </si>
  <si>
    <t xml:space="preserve">1335 Massachusetts Ave </t>
  </si>
  <si>
    <t>D'Andrea</t>
  </si>
  <si>
    <t>Leanne</t>
  </si>
  <si>
    <t xml:space="preserve">4278 S Monarch Way </t>
  </si>
  <si>
    <t>Holladay</t>
  </si>
  <si>
    <t xml:space="preserve">PO Box 13001 </t>
  </si>
  <si>
    <t>Battin</t>
  </si>
  <si>
    <t>Meldon</t>
  </si>
  <si>
    <t xml:space="preserve">702 S Agate St </t>
  </si>
  <si>
    <t xml:space="preserve">1235 Green Valley Dr </t>
  </si>
  <si>
    <t>Fallon</t>
  </si>
  <si>
    <t>MacMillen</t>
  </si>
  <si>
    <t xml:space="preserve">FOSS Rd </t>
  </si>
  <si>
    <t xml:space="preserve">1612 Woodglen Ln </t>
  </si>
  <si>
    <t xml:space="preserve">620 E Rockaway Dr </t>
  </si>
  <si>
    <t>Moore IV</t>
  </si>
  <si>
    <t>Edwin W</t>
  </si>
  <si>
    <t xml:space="preserve">6550 B St </t>
  </si>
  <si>
    <t xml:space="preserve">2444 Mayberry Rd </t>
  </si>
  <si>
    <t>Calvi</t>
  </si>
  <si>
    <t xml:space="preserve">23 Chestnut Ln </t>
  </si>
  <si>
    <t xml:space="preserve">1014 Alabama St </t>
  </si>
  <si>
    <t>Caldeira</t>
  </si>
  <si>
    <t xml:space="preserve">1355 Lubeck St </t>
  </si>
  <si>
    <t>Lajuett</t>
  </si>
  <si>
    <t xml:space="preserve">6350 Walker Ln </t>
  </si>
  <si>
    <t xml:space="preserve">92 Spring Rd </t>
  </si>
  <si>
    <t>Kelly-Smirthwaite</t>
  </si>
  <si>
    <t xml:space="preserve">49442 IMVERARAY </t>
  </si>
  <si>
    <t>Spearman</t>
  </si>
  <si>
    <t xml:space="preserve">4300 W River Pkwy Apt 210 </t>
  </si>
  <si>
    <t>Des</t>
  </si>
  <si>
    <t xml:space="preserve">3 Templerainey Hts </t>
  </si>
  <si>
    <t xml:space="preserve">4305 Calle Andrew </t>
  </si>
  <si>
    <t xml:space="preserve">2663 Irving St 27Th Ave 27Th Ave </t>
  </si>
  <si>
    <t xml:space="preserve">PO Box 989 </t>
  </si>
  <si>
    <t>Olsen</t>
  </si>
  <si>
    <t>Spilman</t>
  </si>
  <si>
    <t xml:space="preserve">73 Norwood Ave </t>
  </si>
  <si>
    <t xml:space="preserve">6 Spring Valley Rd </t>
  </si>
  <si>
    <t>Brenza</t>
  </si>
  <si>
    <t xml:space="preserve">6012 Paseo Palmilla </t>
  </si>
  <si>
    <t xml:space="preserve">732 Mulford St </t>
  </si>
  <si>
    <t xml:space="preserve">4 Robin Rd </t>
  </si>
  <si>
    <t>Colchester</t>
  </si>
  <si>
    <t>Leichter</t>
  </si>
  <si>
    <t xml:space="preserve">184 Dickie Ave </t>
  </si>
  <si>
    <t>Sherrri</t>
  </si>
  <si>
    <t xml:space="preserve">3916 W Solar Dr </t>
  </si>
  <si>
    <t xml:space="preserve">444 Athens Way </t>
  </si>
  <si>
    <t>Askins</t>
  </si>
  <si>
    <t xml:space="preserve">6335 Solether Rd </t>
  </si>
  <si>
    <t>Cygnet</t>
  </si>
  <si>
    <t>Kimbro</t>
  </si>
  <si>
    <t xml:space="preserve">1405 Chickasaw Rd </t>
  </si>
  <si>
    <t>Ickler</t>
  </si>
  <si>
    <t xml:space="preserve">PRESTON Rd </t>
  </si>
  <si>
    <t xml:space="preserve">45 Inlets Boulevard 45 Inlets Blvd 45 Inlet Blvd </t>
  </si>
  <si>
    <t>Ounsworth</t>
  </si>
  <si>
    <t xml:space="preserve">3 Grant Ct </t>
  </si>
  <si>
    <t>Taylors</t>
  </si>
  <si>
    <t>Cosme</t>
  </si>
  <si>
    <t>Anamarie</t>
  </si>
  <si>
    <t xml:space="preserve">5869 Ave Isla Verde </t>
  </si>
  <si>
    <t>Riordan</t>
  </si>
  <si>
    <t xml:space="preserve">633 E Allens Ln </t>
  </si>
  <si>
    <t>19119-1108</t>
  </si>
  <si>
    <t>Bostaph</t>
  </si>
  <si>
    <t xml:space="preserve">240 Albert Ct </t>
  </si>
  <si>
    <t>Reiners</t>
  </si>
  <si>
    <t xml:space="preserve">3615 Aspen Village Way Apt F </t>
  </si>
  <si>
    <t>Doyle</t>
  </si>
  <si>
    <t xml:space="preserve">PO Box 7608 </t>
  </si>
  <si>
    <t>Tahoe City</t>
  </si>
  <si>
    <t>Katzer</t>
  </si>
  <si>
    <t xml:space="preserve">2700 Reynolda Rd </t>
  </si>
  <si>
    <t>Nasman</t>
  </si>
  <si>
    <t>Kerrie</t>
  </si>
  <si>
    <t xml:space="preserve">3315 SE 16th Ave # 2858 </t>
  </si>
  <si>
    <t>Bast</t>
  </si>
  <si>
    <t>N. J.</t>
  </si>
  <si>
    <t xml:space="preserve">450 Fairview Ave </t>
  </si>
  <si>
    <t>Morro Bay</t>
  </si>
  <si>
    <t>93442-2611</t>
  </si>
  <si>
    <t>Feck</t>
  </si>
  <si>
    <t xml:space="preserve">PO Box 19 </t>
  </si>
  <si>
    <t>Schwitz</t>
  </si>
  <si>
    <t xml:space="preserve">4411 Taylor Ave </t>
  </si>
  <si>
    <t xml:space="preserve">1478 S Prairie Ave Unit F </t>
  </si>
  <si>
    <t xml:space="preserve">11247 SE 286th Pl </t>
  </si>
  <si>
    <t>Surton</t>
  </si>
  <si>
    <t xml:space="preserve">16435 SW Wright St </t>
  </si>
  <si>
    <t>Lam</t>
  </si>
  <si>
    <t>O</t>
  </si>
  <si>
    <t xml:space="preserve">123 MAE St </t>
  </si>
  <si>
    <t>Duke</t>
  </si>
  <si>
    <t xml:space="preserve">4202 Nitschke St </t>
  </si>
  <si>
    <t>Trimble</t>
  </si>
  <si>
    <t xml:space="preserve">6120 Rickey Dr </t>
  </si>
  <si>
    <t>Knoth</t>
  </si>
  <si>
    <t xml:space="preserve">541 Blue Moon Dr </t>
  </si>
  <si>
    <t xml:space="preserve">PO Box 9585 </t>
  </si>
  <si>
    <t>Albright</t>
  </si>
  <si>
    <t xml:space="preserve">4802 N Commercial Ave </t>
  </si>
  <si>
    <t>Garverick</t>
  </si>
  <si>
    <t xml:space="preserve">7547 Covey Rd </t>
  </si>
  <si>
    <t xml:space="preserve">425 Locust St </t>
  </si>
  <si>
    <t>Isley</t>
  </si>
  <si>
    <t xml:space="preserve">806 S 18th Ave </t>
  </si>
  <si>
    <t>Arias</t>
  </si>
  <si>
    <t xml:space="preserve">829 SW 28th St </t>
  </si>
  <si>
    <t>Susy</t>
  </si>
  <si>
    <t xml:space="preserve">1550 Chippewa Trl </t>
  </si>
  <si>
    <t xml:space="preserve">5239 N Main St Apt 5 </t>
  </si>
  <si>
    <t>02720-7932</t>
  </si>
  <si>
    <t>Mink</t>
  </si>
  <si>
    <t xml:space="preserve">1526 Clearview Ave </t>
  </si>
  <si>
    <t xml:space="preserve">602 W190th St </t>
  </si>
  <si>
    <t>Niper</t>
  </si>
  <si>
    <t xml:space="preserve">1709 Fletcher St </t>
  </si>
  <si>
    <t xml:space="preserve">23512 Arminta St </t>
  </si>
  <si>
    <t xml:space="preserve">11018 Fiore Dr Fiore Dr </t>
  </si>
  <si>
    <t>Wrubel</t>
  </si>
  <si>
    <t xml:space="preserve">8512 Pineview Lake Dr </t>
  </si>
  <si>
    <t>Daley</t>
  </si>
  <si>
    <t xml:space="preserve">662 S Youngfield Ct </t>
  </si>
  <si>
    <t>80228-2811</t>
  </si>
  <si>
    <t>Whitehurst</t>
  </si>
  <si>
    <t xml:space="preserve">823 N Washington St # B </t>
  </si>
  <si>
    <t xml:space="preserve">24120 Northern Blvd </t>
  </si>
  <si>
    <t xml:space="preserve">12114 Comanche Trl SE </t>
  </si>
  <si>
    <t>Olson Schmidt</t>
  </si>
  <si>
    <t xml:space="preserve">6087 N Denmark St </t>
  </si>
  <si>
    <t>Wakerley</t>
  </si>
  <si>
    <t>William Norman</t>
  </si>
  <si>
    <t xml:space="preserve">5355 Roundup Dr </t>
  </si>
  <si>
    <t>Scholar</t>
  </si>
  <si>
    <t xml:space="preserve">2124 Greenwich St </t>
  </si>
  <si>
    <t xml:space="preserve">4114 W Mossy Oaks Rd </t>
  </si>
  <si>
    <t>Sunblade</t>
  </si>
  <si>
    <t xml:space="preserve">59544 Mesa Dr </t>
  </si>
  <si>
    <t>Yucca Valley</t>
  </si>
  <si>
    <t>Abate</t>
  </si>
  <si>
    <t xml:space="preserve">1650 California St Apt 9 </t>
  </si>
  <si>
    <t>94109-4633</t>
  </si>
  <si>
    <t>Berreth</t>
  </si>
  <si>
    <t xml:space="preserve">406 Parker Reef Rd </t>
  </si>
  <si>
    <t>Mikos</t>
  </si>
  <si>
    <t xml:space="preserve">BURNHAM Rd </t>
  </si>
  <si>
    <t>Wenham</t>
  </si>
  <si>
    <t>Twitmyer</t>
  </si>
  <si>
    <t xml:space="preserve">2004 Stone Ridge Woods </t>
  </si>
  <si>
    <t>Wintergreen</t>
  </si>
  <si>
    <t>Wenzer</t>
  </si>
  <si>
    <t>Minivere</t>
  </si>
  <si>
    <t xml:space="preserve">605 Hudson Ave </t>
  </si>
  <si>
    <t>Monaco</t>
  </si>
  <si>
    <t xml:space="preserve">944 Brookdale Dr </t>
  </si>
  <si>
    <t>Good</t>
  </si>
  <si>
    <t xml:space="preserve">1635 Bayside Dr </t>
  </si>
  <si>
    <t xml:space="preserve">123 The Willows </t>
  </si>
  <si>
    <t>Leider</t>
  </si>
  <si>
    <t xml:space="preserve">240 E Caley Ave </t>
  </si>
  <si>
    <t>Anderegg</t>
  </si>
  <si>
    <t xml:space="preserve">7046 Rachel Dr </t>
  </si>
  <si>
    <t>Cassandra</t>
  </si>
  <si>
    <t xml:space="preserve">21255 Burbank Blvd Ste 320 </t>
  </si>
  <si>
    <t>Fails</t>
  </si>
  <si>
    <t>Middour</t>
  </si>
  <si>
    <t xml:space="preserve">35486 Poor House Ln </t>
  </si>
  <si>
    <t>Round Hill</t>
  </si>
  <si>
    <t>Dotzauer</t>
  </si>
  <si>
    <t>Uwe</t>
  </si>
  <si>
    <t xml:space="preserve">4627 Seminary Rd Apt 201 </t>
  </si>
  <si>
    <t>Lieban</t>
  </si>
  <si>
    <t xml:space="preserve">2224 Valentia St </t>
  </si>
  <si>
    <t>Curia</t>
  </si>
  <si>
    <t xml:space="preserve">2048 N68th Pl </t>
  </si>
  <si>
    <t xml:space="preserve">20112 Bayview Avenue Newport Bch </t>
  </si>
  <si>
    <t>Marylouise</t>
  </si>
  <si>
    <t xml:space="preserve">984 N Village Ave </t>
  </si>
  <si>
    <t>Sutor</t>
  </si>
  <si>
    <t xml:space="preserve">9316 S Cheney Spokane Rd </t>
  </si>
  <si>
    <t>Gerst</t>
  </si>
  <si>
    <t>Quando</t>
  </si>
  <si>
    <t xml:space="preserve">2317 Shepherd Valley St </t>
  </si>
  <si>
    <t>Zeier</t>
  </si>
  <si>
    <t xml:space="preserve">881 Smith Lake Rd </t>
  </si>
  <si>
    <t>Slocum</t>
  </si>
  <si>
    <t>Joel And Deborah</t>
  </si>
  <si>
    <t xml:space="preserve">29 Denton Rd </t>
  </si>
  <si>
    <t xml:space="preserve">10660 Greenbough Ct </t>
  </si>
  <si>
    <t>Bolleber</t>
  </si>
  <si>
    <t>Luise</t>
  </si>
  <si>
    <t xml:space="preserve">260 E 10th St </t>
  </si>
  <si>
    <t>Makowski</t>
  </si>
  <si>
    <t>Seana</t>
  </si>
  <si>
    <t xml:space="preserve">956 Fulton St W </t>
  </si>
  <si>
    <t>Sidney</t>
  </si>
  <si>
    <t xml:space="preserve">38 Lincoln St </t>
  </si>
  <si>
    <t>Dover Foxcroft</t>
  </si>
  <si>
    <t>Bannon</t>
  </si>
  <si>
    <t xml:space="preserve">3 Lakeville Rd </t>
  </si>
  <si>
    <t xml:space="preserve">45 Goodale St </t>
  </si>
  <si>
    <t xml:space="preserve">121 Argus Pl </t>
  </si>
  <si>
    <t>Tamaran</t>
  </si>
  <si>
    <t>Raja</t>
  </si>
  <si>
    <t xml:space="preserve">PO Box 360 </t>
  </si>
  <si>
    <t>Kermit</t>
  </si>
  <si>
    <t xml:space="preserve">7124 Carroll Ave Apt 4 </t>
  </si>
  <si>
    <t>Kuschel</t>
  </si>
  <si>
    <t xml:space="preserve">11451 Heather St NW </t>
  </si>
  <si>
    <t xml:space="preserve">5 Virginia St </t>
  </si>
  <si>
    <t xml:space="preserve">24 Essla Dr </t>
  </si>
  <si>
    <t>Arinder</t>
  </si>
  <si>
    <t xml:space="preserve">822 Shabbona Dr </t>
  </si>
  <si>
    <t>Wilhelm</t>
  </si>
  <si>
    <t xml:space="preserve">168 Shoreham Village Dr </t>
  </si>
  <si>
    <t>Ladd</t>
  </si>
  <si>
    <t xml:space="preserve">188 Locust Ln </t>
  </si>
  <si>
    <t>Antahades</t>
  </si>
  <si>
    <t xml:space="preserve">1100 Pamlico Dr </t>
  </si>
  <si>
    <t>Ariel</t>
  </si>
  <si>
    <t xml:space="preserve">513 Peery Pkwy </t>
  </si>
  <si>
    <t xml:space="preserve">815 Main St </t>
  </si>
  <si>
    <t>San Luis</t>
  </si>
  <si>
    <t xml:space="preserve">18489 Oak Flat Ln </t>
  </si>
  <si>
    <t xml:space="preserve">700 Mountain Gap Rd SE </t>
  </si>
  <si>
    <t>Paschel</t>
  </si>
  <si>
    <t>Richard A</t>
  </si>
  <si>
    <t xml:space="preserve">14901 Hollywood Ave </t>
  </si>
  <si>
    <t xml:space="preserve">1213 Park Way </t>
  </si>
  <si>
    <t>Dabish</t>
  </si>
  <si>
    <t xml:space="preserve">46 Riverside Dr Apt 4S </t>
  </si>
  <si>
    <t xml:space="preserve">1525 Marlowe Ave </t>
  </si>
  <si>
    <t xml:space="preserve">711 W Camellia St </t>
  </si>
  <si>
    <t xml:space="preserve">1601 El Camino Real St </t>
  </si>
  <si>
    <t>Socorro</t>
  </si>
  <si>
    <t>Anh</t>
  </si>
  <si>
    <t xml:space="preserve">1586 Guadalajara Dr </t>
  </si>
  <si>
    <t>Kage</t>
  </si>
  <si>
    <t xml:space="preserve">4116 N Kilbourn Ave # 2 </t>
  </si>
  <si>
    <t>Blyznyuk</t>
  </si>
  <si>
    <t xml:space="preserve">2510 Winton Rd </t>
  </si>
  <si>
    <t xml:space="preserve">1310 Ridgeview Dr </t>
  </si>
  <si>
    <t>Natvig</t>
  </si>
  <si>
    <t xml:space="preserve">305 Princeton Ave </t>
  </si>
  <si>
    <t>Alpena</t>
  </si>
  <si>
    <t>Geiger</t>
  </si>
  <si>
    <t xml:space="preserve">834 Van Buren Blvd </t>
  </si>
  <si>
    <t>15042-2878</t>
  </si>
  <si>
    <t>Colingsworth</t>
  </si>
  <si>
    <t xml:space="preserve">439 Hayes St </t>
  </si>
  <si>
    <t>49424-6627</t>
  </si>
  <si>
    <t>Indyke</t>
  </si>
  <si>
    <t xml:space="preserve">311 Lord Byron Ln Apt T2 </t>
  </si>
  <si>
    <t>21030-5847</t>
  </si>
  <si>
    <t>Kancir</t>
  </si>
  <si>
    <t xml:space="preserve">8908 W Plymouth Ave </t>
  </si>
  <si>
    <t>80128-4072</t>
  </si>
  <si>
    <t xml:space="preserve">611 Davidson Dr </t>
  </si>
  <si>
    <t>15074-1205</t>
  </si>
  <si>
    <t>Bilson</t>
  </si>
  <si>
    <t xml:space="preserve">2619 Pearl St </t>
  </si>
  <si>
    <t>90405-2835</t>
  </si>
  <si>
    <t xml:space="preserve">126 Main St </t>
  </si>
  <si>
    <t>Luckey</t>
  </si>
  <si>
    <t>Soderquist</t>
  </si>
  <si>
    <t>Elin</t>
  </si>
  <si>
    <t xml:space="preserve">4 N945 PRAIRIE LAKES Blvd </t>
  </si>
  <si>
    <t>60175-7938</t>
  </si>
  <si>
    <t>Katsarou</t>
  </si>
  <si>
    <t>Litsa</t>
  </si>
  <si>
    <t xml:space="preserve">65 KERASOUNTOS </t>
  </si>
  <si>
    <t>12242-0001</t>
  </si>
  <si>
    <t>McIlhenny</t>
  </si>
  <si>
    <t xml:space="preserve">6 W 77th St </t>
  </si>
  <si>
    <t>10024-5125</t>
  </si>
  <si>
    <t xml:space="preserve">2010 Parkview Blvd </t>
  </si>
  <si>
    <t>80905-7632</t>
  </si>
  <si>
    <t>Stroup</t>
  </si>
  <si>
    <t>Marylyn</t>
  </si>
  <si>
    <t xml:space="preserve">2276 Branson Rd </t>
  </si>
  <si>
    <t>53575-1938</t>
  </si>
  <si>
    <t>Hodgkiss</t>
  </si>
  <si>
    <t xml:space="preserve">3635 Eagle Dr </t>
  </si>
  <si>
    <t>32963-1650</t>
  </si>
  <si>
    <t>Czapski</t>
  </si>
  <si>
    <t xml:space="preserve">6900 San Vicente Ave NE Apt 108 </t>
  </si>
  <si>
    <t>87109-2766</t>
  </si>
  <si>
    <t>Wiesner</t>
  </si>
  <si>
    <t xml:space="preserve">2161 N Riverboat Rd </t>
  </si>
  <si>
    <t>53212-3500</t>
  </si>
  <si>
    <t>Nicoletti</t>
  </si>
  <si>
    <t xml:space="preserve">8378 S Allison St </t>
  </si>
  <si>
    <t>80128-6102</t>
  </si>
  <si>
    <t xml:space="preserve">223 Cobblers Cv </t>
  </si>
  <si>
    <t xml:space="preserve">290 Anderson St Apt 3J </t>
  </si>
  <si>
    <t>07601-3654</t>
  </si>
  <si>
    <t>McDade</t>
  </si>
  <si>
    <t xml:space="preserve">26 W Oak Dr </t>
  </si>
  <si>
    <t>Sutherin</t>
  </si>
  <si>
    <t xml:space="preserve">2942 NE Glacier Way </t>
  </si>
  <si>
    <t>97330-6825</t>
  </si>
  <si>
    <t xml:space="preserve">21 Copper Mine Rd </t>
  </si>
  <si>
    <t>06032-2167</t>
  </si>
  <si>
    <t>Ellenbogen</t>
  </si>
  <si>
    <t xml:space="preserve">55 Coralyn Ave </t>
  </si>
  <si>
    <t>10605-3823</t>
  </si>
  <si>
    <t>Hesseling</t>
  </si>
  <si>
    <t xml:space="preserve">3353 S Quincy Ave </t>
  </si>
  <si>
    <t>53207-2721</t>
  </si>
  <si>
    <t xml:space="preserve">238 Mitchell Webb Rd </t>
  </si>
  <si>
    <t>Greensburg</t>
  </si>
  <si>
    <t>42743-9143</t>
  </si>
  <si>
    <t xml:space="preserve">23103 LAUREL TERRACE Ct </t>
  </si>
  <si>
    <t>Belove</t>
  </si>
  <si>
    <t xml:space="preserve">422 Broadway St </t>
  </si>
  <si>
    <t>94952-2409</t>
  </si>
  <si>
    <t>Balish</t>
  </si>
  <si>
    <t xml:space="preserve">707 E 19th St </t>
  </si>
  <si>
    <t>11230-1805</t>
  </si>
  <si>
    <t>Machado</t>
  </si>
  <si>
    <t>Y.</t>
  </si>
  <si>
    <t xml:space="preserve">13431 SW 98th Pl </t>
  </si>
  <si>
    <t>33176-6110</t>
  </si>
  <si>
    <t>Dendy</t>
  </si>
  <si>
    <t xml:space="preserve">3331 Old Chapel Hill Rd </t>
  </si>
  <si>
    <t>27707-3611</t>
  </si>
  <si>
    <t xml:space="preserve">80 Oneil Rd Apt 13 </t>
  </si>
  <si>
    <t>12992-2580</t>
  </si>
  <si>
    <t xml:space="preserve">212 Lauriston St </t>
  </si>
  <si>
    <t>19128-3719</t>
  </si>
  <si>
    <t>Zorc</t>
  </si>
  <si>
    <t xml:space="preserve">1823 Ridgewick Dr </t>
  </si>
  <si>
    <t>Wickliffe</t>
  </si>
  <si>
    <t>44092-1632</t>
  </si>
  <si>
    <t>Sado</t>
  </si>
  <si>
    <t>Walt</t>
  </si>
  <si>
    <t xml:space="preserve">50 S Rocky River Dr </t>
  </si>
  <si>
    <t>44017-2556</t>
  </si>
  <si>
    <t>Grobman</t>
  </si>
  <si>
    <t xml:space="preserve">3745 Roland Dr </t>
  </si>
  <si>
    <t>95062-4301</t>
  </si>
  <si>
    <t>Tergesen</t>
  </si>
  <si>
    <t xml:space="preserve">9 Simmons Dr </t>
  </si>
  <si>
    <t>East Islip</t>
  </si>
  <si>
    <t>11730-2814</t>
  </si>
  <si>
    <t>Brandes</t>
  </si>
  <si>
    <t xml:space="preserve">746 Camberley Cir # APTA2 </t>
  </si>
  <si>
    <t>21204-3863</t>
  </si>
  <si>
    <t>Squires</t>
  </si>
  <si>
    <t xml:space="preserve">1412 Keeler Dr </t>
  </si>
  <si>
    <t>Grubbs</t>
  </si>
  <si>
    <t xml:space="preserve">713 W 14th St </t>
  </si>
  <si>
    <t>The Dalles</t>
  </si>
  <si>
    <t>97058-1522</t>
  </si>
  <si>
    <t>Chaney</t>
  </si>
  <si>
    <t xml:space="preserve">1461 Alice St Apt 308 </t>
  </si>
  <si>
    <t>94612-4040</t>
  </si>
  <si>
    <t>Fraley</t>
  </si>
  <si>
    <t xml:space="preserve">2459 47th Ave </t>
  </si>
  <si>
    <t xml:space="preserve">18258 Gaffey Ln </t>
  </si>
  <si>
    <t>Lake Elsinore</t>
  </si>
  <si>
    <t>Urata</t>
  </si>
  <si>
    <t xml:space="preserve">5232 Christal Ave </t>
  </si>
  <si>
    <t>Rascon</t>
  </si>
  <si>
    <t xml:space="preserve">15390 SW 155th Ter </t>
  </si>
  <si>
    <t xml:space="preserve">27119 Liberty Heights Ln </t>
  </si>
  <si>
    <t>Fulshear</t>
  </si>
  <si>
    <t xml:space="preserve">573 E 12th Ave </t>
  </si>
  <si>
    <t xml:space="preserve">125 Eagle View Dr </t>
  </si>
  <si>
    <t>Brevard</t>
  </si>
  <si>
    <t>Ciotti</t>
  </si>
  <si>
    <t xml:space="preserve">253 Arden Rd </t>
  </si>
  <si>
    <t>Spence</t>
  </si>
  <si>
    <t>Deette</t>
  </si>
  <si>
    <t xml:space="preserve">4582 Elm St </t>
  </si>
  <si>
    <t>Caliva</t>
  </si>
  <si>
    <t xml:space="preserve">20339 Noble Ln </t>
  </si>
  <si>
    <t xml:space="preserve">3 Beverly Dr </t>
  </si>
  <si>
    <t>Dinovi</t>
  </si>
  <si>
    <t xml:space="preserve">390 Lakeside Rd </t>
  </si>
  <si>
    <t xml:space="preserve">2270 Hudson Dr SW </t>
  </si>
  <si>
    <t xml:space="preserve">148 Piedmont Ave </t>
  </si>
  <si>
    <t xml:space="preserve">6217 RIVERS </t>
  </si>
  <si>
    <t xml:space="preserve">159 Xenia Ct </t>
  </si>
  <si>
    <t xml:space="preserve">6321 Marty St </t>
  </si>
  <si>
    <t>Mission</t>
  </si>
  <si>
    <t xml:space="preserve">7109 51st Pl E </t>
  </si>
  <si>
    <t>Aceto</t>
  </si>
  <si>
    <t xml:space="preserve">336 Forest Home Dr </t>
  </si>
  <si>
    <t xml:space="preserve">17 Rockwell Rd </t>
  </si>
  <si>
    <t>Jonesport</t>
  </si>
  <si>
    <t>Marro</t>
  </si>
  <si>
    <t xml:space="preserve">6437 W 64th Pl </t>
  </si>
  <si>
    <t>Paolucci</t>
  </si>
  <si>
    <t xml:space="preserve">171 Lexington Ave Apt 111 </t>
  </si>
  <si>
    <t xml:space="preserve">10TH St </t>
  </si>
  <si>
    <t>Anna Marie</t>
  </si>
  <si>
    <t xml:space="preserve">92 Perry St Apt 12 </t>
  </si>
  <si>
    <t>10014-5513</t>
  </si>
  <si>
    <t>Tomlin</t>
  </si>
  <si>
    <t xml:space="preserve">6626 Gary Ln </t>
  </si>
  <si>
    <t>37421-2412</t>
  </si>
  <si>
    <t xml:space="preserve">5873 Wild Olive Ter </t>
  </si>
  <si>
    <t>33919-3444</t>
  </si>
  <si>
    <t>Kiesling</t>
  </si>
  <si>
    <t xml:space="preserve">819 Greeley Ave </t>
  </si>
  <si>
    <t>63119-2034</t>
  </si>
  <si>
    <t>Meade</t>
  </si>
  <si>
    <t xml:space="preserve">115 N Pennsylvania Ave </t>
  </si>
  <si>
    <t>15613-1353</t>
  </si>
  <si>
    <t>Braunstein</t>
  </si>
  <si>
    <t xml:space="preserve">827 Union St Apt 3 </t>
  </si>
  <si>
    <t>11215-1335</t>
  </si>
  <si>
    <t>Crescione</t>
  </si>
  <si>
    <t xml:space="preserve">1873 Chapel St </t>
  </si>
  <si>
    <t>06515-2209</t>
  </si>
  <si>
    <t xml:space="preserve">1480 SW Dyer Point Rd </t>
  </si>
  <si>
    <t>Palm City</t>
  </si>
  <si>
    <t>34990-1718</t>
  </si>
  <si>
    <t xml:space="preserve">3804 Cedar Lake Pl </t>
  </si>
  <si>
    <t>55416-3567</t>
  </si>
  <si>
    <t xml:space="preserve">6 Pinebrook Dr </t>
  </si>
  <si>
    <t>01027-9723</t>
  </si>
  <si>
    <t>Semon</t>
  </si>
  <si>
    <t>N David</t>
  </si>
  <si>
    <t xml:space="preserve">87 Baker Rd </t>
  </si>
  <si>
    <t>04032-6627</t>
  </si>
  <si>
    <t>Discepola</t>
  </si>
  <si>
    <t xml:space="preserve">314 3rd St # B </t>
  </si>
  <si>
    <t>07601-2718</t>
  </si>
  <si>
    <t xml:space="preserve">20206 Rodeo Ct </t>
  </si>
  <si>
    <t>48075-1285</t>
  </si>
  <si>
    <t>Burkert</t>
  </si>
  <si>
    <t>Nancy Ekholm</t>
  </si>
  <si>
    <t xml:space="preserve">PO Box 858 </t>
  </si>
  <si>
    <t>East Orleans</t>
  </si>
  <si>
    <t>02643-0858</t>
  </si>
  <si>
    <t>Carvel</t>
  </si>
  <si>
    <t xml:space="preserve">7075 Poplar Pike </t>
  </si>
  <si>
    <t>38138-3734</t>
  </si>
  <si>
    <t>Ioerger</t>
  </si>
  <si>
    <t xml:space="preserve">917 Terry St </t>
  </si>
  <si>
    <t>80501-4548</t>
  </si>
  <si>
    <t xml:space="preserve">89 Ashfield Rd </t>
  </si>
  <si>
    <t>01370-9414</t>
  </si>
  <si>
    <t>Kegler</t>
  </si>
  <si>
    <t xml:space="preserve">810 W 27th St </t>
  </si>
  <si>
    <t>90731-6213</t>
  </si>
  <si>
    <t xml:space="preserve">12711 NE 129th Ct Apt G104 </t>
  </si>
  <si>
    <t>98034-3217</t>
  </si>
  <si>
    <t xml:space="preserve">6160 Dell Dr </t>
  </si>
  <si>
    <t>53718-7800</t>
  </si>
  <si>
    <t xml:space="preserve">2610 E 42nd Ave Apt 1 </t>
  </si>
  <si>
    <t>99508-5396</t>
  </si>
  <si>
    <t>Saldaña</t>
  </si>
  <si>
    <t>Alfonso</t>
  </si>
  <si>
    <t xml:space="preserve">361 Ciruela Ln </t>
  </si>
  <si>
    <t xml:space="preserve">6601 Yale St Apt 111 </t>
  </si>
  <si>
    <t>Duvall</t>
  </si>
  <si>
    <t xml:space="preserve">520 S Walnut St Unit 3507 </t>
  </si>
  <si>
    <t>Kelvin</t>
  </si>
  <si>
    <t xml:space="preserve">163 E 178th St Apt 5D </t>
  </si>
  <si>
    <t>Desecki</t>
  </si>
  <si>
    <t xml:space="preserve">8904 Beacon Hill Ave </t>
  </si>
  <si>
    <t>Rubar</t>
  </si>
  <si>
    <t xml:space="preserve">4125 Juanita St </t>
  </si>
  <si>
    <t>Meili</t>
  </si>
  <si>
    <t xml:space="preserve">1519 Forest Trace Dr </t>
  </si>
  <si>
    <t>Dr A</t>
  </si>
  <si>
    <t xml:space="preserve">4707 Park Blvd </t>
  </si>
  <si>
    <t>Kuebler</t>
  </si>
  <si>
    <t xml:space="preserve">490 SE Oakbriar Ave # 0 </t>
  </si>
  <si>
    <t>Furness</t>
  </si>
  <si>
    <t xml:space="preserve">26616 NE Valley St # 456 </t>
  </si>
  <si>
    <t>Lecates</t>
  </si>
  <si>
    <t xml:space="preserve">15 43rd Ct </t>
  </si>
  <si>
    <t xml:space="preserve">320 Blackthorn # 95 </t>
  </si>
  <si>
    <t xml:space="preserve">13902 El Moro Ave </t>
  </si>
  <si>
    <t>La Mirada</t>
  </si>
  <si>
    <t xml:space="preserve">7118 Longvine Dr </t>
  </si>
  <si>
    <t>MacMenamie</t>
  </si>
  <si>
    <t xml:space="preserve">708 5th Ave </t>
  </si>
  <si>
    <t>Angelo</t>
  </si>
  <si>
    <t xml:space="preserve">1003 E MOODY Blvd </t>
  </si>
  <si>
    <t>Villinger</t>
  </si>
  <si>
    <t xml:space="preserve">113 Sourdough Ridge Rd </t>
  </si>
  <si>
    <t>Ochis</t>
  </si>
  <si>
    <t xml:space="preserve">4800 Boardwalk Apt 2110 </t>
  </si>
  <si>
    <t>Ventnor City</t>
  </si>
  <si>
    <t>A Clark Jr</t>
  </si>
  <si>
    <t xml:space="preserve">510 Quebec Pl </t>
  </si>
  <si>
    <t>Sonnenfeld</t>
  </si>
  <si>
    <t xml:space="preserve">3025 Racine St </t>
  </si>
  <si>
    <t xml:space="preserve">16267 15th Ave NE </t>
  </si>
  <si>
    <t>Null</t>
  </si>
  <si>
    <t>Elisabeth H.</t>
  </si>
  <si>
    <t xml:space="preserve">706 Bonifant St </t>
  </si>
  <si>
    <t>Petersen</t>
  </si>
  <si>
    <t>Bente</t>
  </si>
  <si>
    <t xml:space="preserve">49 HOVEDGADEN </t>
  </si>
  <si>
    <t>Ugerløse</t>
  </si>
  <si>
    <t>Asperti</t>
  </si>
  <si>
    <t>Sissi</t>
  </si>
  <si>
    <t xml:space="preserve">1150 Euclid Ave Apt 308 </t>
  </si>
  <si>
    <t>Faerber</t>
  </si>
  <si>
    <t>Mignon</t>
  </si>
  <si>
    <t xml:space="preserve">10 Fliederweg </t>
  </si>
  <si>
    <t>Humphreys</t>
  </si>
  <si>
    <t xml:space="preserve">541 Palisades Ave </t>
  </si>
  <si>
    <t xml:space="preserve">6699 2nd St </t>
  </si>
  <si>
    <t>Trees</t>
  </si>
  <si>
    <t xml:space="preserve">139 Harper Rd </t>
  </si>
  <si>
    <t>Aliquippa</t>
  </si>
  <si>
    <t xml:space="preserve">422 E 18th St </t>
  </si>
  <si>
    <t xml:space="preserve">204 Eastgate Ave N </t>
  </si>
  <si>
    <t>Pacific</t>
  </si>
  <si>
    <t xml:space="preserve">4310 NE 38th St </t>
  </si>
  <si>
    <t>Daren</t>
  </si>
  <si>
    <t xml:space="preserve">12240 Venice Blvd Ste 21 </t>
  </si>
  <si>
    <t>Masco</t>
  </si>
  <si>
    <t xml:space="preserve">2720 40th Ave S </t>
  </si>
  <si>
    <t xml:space="preserve">215 Sherman St Apt 208 </t>
  </si>
  <si>
    <t>Frizzell</t>
  </si>
  <si>
    <t xml:space="preserve">5 Glynn Garth </t>
  </si>
  <si>
    <t>Reisterstown</t>
  </si>
  <si>
    <t xml:space="preserve">197 Lakeview Ave </t>
  </si>
  <si>
    <t>Grosse Pointe Farms</t>
  </si>
  <si>
    <t>Foss</t>
  </si>
  <si>
    <t xml:space="preserve">115 Market St </t>
  </si>
  <si>
    <t xml:space="preserve">3114 S Proctor St </t>
  </si>
  <si>
    <t>Ekstrom</t>
  </si>
  <si>
    <t xml:space="preserve">2696 Clay Creek Way </t>
  </si>
  <si>
    <t>Albers</t>
  </si>
  <si>
    <t xml:space="preserve">8110 Cordova Center Dr </t>
  </si>
  <si>
    <t>Cordova</t>
  </si>
  <si>
    <t>Holzman</t>
  </si>
  <si>
    <t xml:space="preserve">28 Birch Meadow Rd ME </t>
  </si>
  <si>
    <t>Lopes</t>
  </si>
  <si>
    <t xml:space="preserve">4101 Meadowlark Ln SE Apt 138 </t>
  </si>
  <si>
    <t>Tatum</t>
  </si>
  <si>
    <t xml:space="preserve">3916 N Potsdam Ave </t>
  </si>
  <si>
    <t>Doe</t>
  </si>
  <si>
    <t xml:space="preserve">10211 Cedar Lake Rd </t>
  </si>
  <si>
    <t>Grisoglio</t>
  </si>
  <si>
    <t xml:space="preserve">5 Bacon St </t>
  </si>
  <si>
    <t>Khoury</t>
  </si>
  <si>
    <t xml:space="preserve">128 Blackberry Inn Rd </t>
  </si>
  <si>
    <t>Coyne</t>
  </si>
  <si>
    <t xml:space="preserve">530 E Central Blvd Apt 306 </t>
  </si>
  <si>
    <t>Gumm</t>
  </si>
  <si>
    <t xml:space="preserve">PO Box 93811 </t>
  </si>
  <si>
    <t xml:space="preserve">MEADOWBROOK </t>
  </si>
  <si>
    <t xml:space="preserve">1722 State Route 32 </t>
  </si>
  <si>
    <t>Modena</t>
  </si>
  <si>
    <t>Leibman</t>
  </si>
  <si>
    <t xml:space="preserve">100 Diplomat Dr Apt 6F </t>
  </si>
  <si>
    <t xml:space="preserve">12 Lombard St </t>
  </si>
  <si>
    <t xml:space="preserve">428 Utica Ave </t>
  </si>
  <si>
    <t>Melone</t>
  </si>
  <si>
    <t xml:space="preserve">75 Purple Heart Hwy </t>
  </si>
  <si>
    <t>Handeland</t>
  </si>
  <si>
    <t xml:space="preserve">2410 Thornsberry Rd </t>
  </si>
  <si>
    <t>Bally</t>
  </si>
  <si>
    <t xml:space="preserve">3120 Marshall Ln </t>
  </si>
  <si>
    <t xml:space="preserve">2342 Worthington Rd </t>
  </si>
  <si>
    <t>Heim</t>
  </si>
  <si>
    <t xml:space="preserve">PO Box 313 </t>
  </si>
  <si>
    <t>Kenney</t>
  </si>
  <si>
    <t xml:space="preserve">2317 Cedar St </t>
  </si>
  <si>
    <t>94530-1610</t>
  </si>
  <si>
    <t xml:space="preserve">507 Adams St </t>
  </si>
  <si>
    <t>78210-1201</t>
  </si>
  <si>
    <t>Milas</t>
  </si>
  <si>
    <t xml:space="preserve">710 15th St N </t>
  </si>
  <si>
    <t>56560-2162</t>
  </si>
  <si>
    <t>Pecci</t>
  </si>
  <si>
    <t xml:space="preserve">3704 Swift Dr </t>
  </si>
  <si>
    <t>27606-2572</t>
  </si>
  <si>
    <t>De Angelis</t>
  </si>
  <si>
    <t xml:space="preserve">PO Box 802142 </t>
  </si>
  <si>
    <t>77280-2142</t>
  </si>
  <si>
    <t>Boggs</t>
  </si>
  <si>
    <t xml:space="preserve">851 Georgia Ave </t>
  </si>
  <si>
    <t>44306-2719</t>
  </si>
  <si>
    <t xml:space="preserve">5650 Aspenleaf Dr </t>
  </si>
  <si>
    <t>84098-6331</t>
  </si>
  <si>
    <t xml:space="preserve">7127 Hollister Ave </t>
  </si>
  <si>
    <t>93117-2859</t>
  </si>
  <si>
    <t xml:space="preserve">116 Stewart Cir </t>
  </si>
  <si>
    <t>10901-4435</t>
  </si>
  <si>
    <t>Yashar</t>
  </si>
  <si>
    <t>Azita</t>
  </si>
  <si>
    <t xml:space="preserve">2121 Blue Iris Pl </t>
  </si>
  <si>
    <t>32779-3014</t>
  </si>
  <si>
    <t xml:space="preserve">140 Shrewsbury Ct </t>
  </si>
  <si>
    <t>08534-1910</t>
  </si>
  <si>
    <t>Brockway</t>
  </si>
  <si>
    <t xml:space="preserve">233 Nichols Ct </t>
  </si>
  <si>
    <t>55126-2338</t>
  </si>
  <si>
    <t>Marvosh</t>
  </si>
  <si>
    <t xml:space="preserve">2402 Rodman St Unit B </t>
  </si>
  <si>
    <t>33020-5846</t>
  </si>
  <si>
    <t>Pepera</t>
  </si>
  <si>
    <t xml:space="preserve">11832 Old Oaks Dr </t>
  </si>
  <si>
    <t>Davisburg</t>
  </si>
  <si>
    <t>Tuttle</t>
  </si>
  <si>
    <t xml:space="preserve">1083 Vine St </t>
  </si>
  <si>
    <t xml:space="preserve">2033 E Ramon Rd Apt 9A </t>
  </si>
  <si>
    <t>92264-7989</t>
  </si>
  <si>
    <t>Yudell</t>
  </si>
  <si>
    <t xml:space="preserve">PO Box 5114 </t>
  </si>
  <si>
    <t>Keelean</t>
  </si>
  <si>
    <t>Justina</t>
  </si>
  <si>
    <t xml:space="preserve">693 Kickapoo Dr </t>
  </si>
  <si>
    <t xml:space="preserve">201 E 10th St </t>
  </si>
  <si>
    <t>Ohare</t>
  </si>
  <si>
    <t>Donal</t>
  </si>
  <si>
    <t xml:space="preserve">648 Pickford St </t>
  </si>
  <si>
    <t>Cavara</t>
  </si>
  <si>
    <t xml:space="preserve">2718 Cedric Ave </t>
  </si>
  <si>
    <t>Cassinelli</t>
  </si>
  <si>
    <t xml:space="preserve">9907 NE Heron Cir </t>
  </si>
  <si>
    <t xml:space="preserve">501 Hanks Hollow Trl </t>
  </si>
  <si>
    <t>Dimitra</t>
  </si>
  <si>
    <t xml:space="preserve">1211 Morrow Rd Apt 29 </t>
  </si>
  <si>
    <t xml:space="preserve">2521 W Diana St </t>
  </si>
  <si>
    <t xml:space="preserve">2078 Seven Oaks Dr </t>
  </si>
  <si>
    <t xml:space="preserve">601 Hcr 2102 </t>
  </si>
  <si>
    <t>Milano</t>
  </si>
  <si>
    <t xml:space="preserve">13847 Moonlight Ln </t>
  </si>
  <si>
    <t xml:space="preserve">ABC JACKSON </t>
  </si>
  <si>
    <t xml:space="preserve">PO Box 572 </t>
  </si>
  <si>
    <t xml:space="preserve">19010 Hickory St </t>
  </si>
  <si>
    <t xml:space="preserve">2909 E Newport Ave </t>
  </si>
  <si>
    <t>McGavick</t>
  </si>
  <si>
    <t xml:space="preserve">855 Trosper Rd SW Ste PM </t>
  </si>
  <si>
    <t xml:space="preserve">1417 Innsdale Dr </t>
  </si>
  <si>
    <t xml:space="preserve">624 3rd St NW </t>
  </si>
  <si>
    <t xml:space="preserve">507 NW 40th St </t>
  </si>
  <si>
    <t>Struble</t>
  </si>
  <si>
    <t xml:space="preserve">703 Pleiades Pl </t>
  </si>
  <si>
    <t xml:space="preserve">GRIMONE66 Yahoocom </t>
  </si>
  <si>
    <t>Carteret</t>
  </si>
  <si>
    <t>Dys</t>
  </si>
  <si>
    <t>Forestdale</t>
  </si>
  <si>
    <t>Matsen</t>
  </si>
  <si>
    <t xml:space="preserve">10441 Greenbrier Rd Apt 221 </t>
  </si>
  <si>
    <t xml:space="preserve">50 Salt Marsh Ln </t>
  </si>
  <si>
    <t>Pocasset</t>
  </si>
  <si>
    <t xml:space="preserve">1100 Castle Rock Rd </t>
  </si>
  <si>
    <t>Bernhardt</t>
  </si>
  <si>
    <t xml:space="preserve">5229 Revere Rd </t>
  </si>
  <si>
    <t>Ciampitti</t>
  </si>
  <si>
    <t xml:space="preserve">429 Sagamore Rd </t>
  </si>
  <si>
    <t>Morphis</t>
  </si>
  <si>
    <t xml:space="preserve">207 E 14th St </t>
  </si>
  <si>
    <t>Jech</t>
  </si>
  <si>
    <t>Stormy</t>
  </si>
  <si>
    <t xml:space="preserve">298 S Pippin Ln </t>
  </si>
  <si>
    <t xml:space="preserve">906 Forest St </t>
  </si>
  <si>
    <t>Stieren</t>
  </si>
  <si>
    <t xml:space="preserve">13476 Big Kandi Dr </t>
  </si>
  <si>
    <t>Lake Lillian</t>
  </si>
  <si>
    <t>Re'</t>
  </si>
  <si>
    <t xml:space="preserve">661 Blandford Rd </t>
  </si>
  <si>
    <t xml:space="preserve">2655 Brommer St </t>
  </si>
  <si>
    <t xml:space="preserve">225 Sulphur Spring Rd </t>
  </si>
  <si>
    <t>Kristania</t>
  </si>
  <si>
    <t xml:space="preserve">8301 San Gabriel Rd </t>
  </si>
  <si>
    <t xml:space="preserve">I Don?T Want To </t>
  </si>
  <si>
    <t>Farrow</t>
  </si>
  <si>
    <t>Marja</t>
  </si>
  <si>
    <t xml:space="preserve">7053 Hawk Woods Dr </t>
  </si>
  <si>
    <t>West Bloomfield</t>
  </si>
  <si>
    <t>Justice</t>
  </si>
  <si>
    <t xml:space="preserve">8852 SW Waverly Dr </t>
  </si>
  <si>
    <t>Bruyn</t>
  </si>
  <si>
    <t>Nelleke</t>
  </si>
  <si>
    <t xml:space="preserve">551 S Fairfax St </t>
  </si>
  <si>
    <t>Sereni</t>
  </si>
  <si>
    <t xml:space="preserve">540 Talbot Ave </t>
  </si>
  <si>
    <t>Haskell</t>
  </si>
  <si>
    <t xml:space="preserve">PO Box 277 </t>
  </si>
  <si>
    <t>Monte</t>
  </si>
  <si>
    <t>Suezette</t>
  </si>
  <si>
    <t>K.M.</t>
  </si>
  <si>
    <t xml:space="preserve">8818 Powderhorn Ln # 881 </t>
  </si>
  <si>
    <t>Vaniman</t>
  </si>
  <si>
    <t xml:space="preserve">1423 N Ivanhoe St </t>
  </si>
  <si>
    <t xml:space="preserve">784 N Finsbury Way </t>
  </si>
  <si>
    <t xml:space="preserve">10903 Autumn Oak Pl </t>
  </si>
  <si>
    <t>Melody</t>
  </si>
  <si>
    <t xml:space="preserve">1709 White Oak Ave </t>
  </si>
  <si>
    <t xml:space="preserve">24515 California Ave Spc 33 </t>
  </si>
  <si>
    <t>Palenski</t>
  </si>
  <si>
    <t xml:space="preserve">12 Golf View Dr </t>
  </si>
  <si>
    <t>Nantucket</t>
  </si>
  <si>
    <t>Sordyl</t>
  </si>
  <si>
    <t xml:space="preserve">3112 PO </t>
  </si>
  <si>
    <t xml:space="preserve">1234 N Main St </t>
  </si>
  <si>
    <t>Araiza</t>
  </si>
  <si>
    <t>Beatrix</t>
  </si>
  <si>
    <t xml:space="preserve">155 Royal Palm Dr </t>
  </si>
  <si>
    <t>Dunne</t>
  </si>
  <si>
    <t xml:space="preserve">41 Cayuga St </t>
  </si>
  <si>
    <t>Trumansburg</t>
  </si>
  <si>
    <t>O'Riley</t>
  </si>
  <si>
    <t>Katrinak</t>
  </si>
  <si>
    <t xml:space="preserve">LAYFIELD Rd </t>
  </si>
  <si>
    <t xml:space="preserve">345 PARK </t>
  </si>
  <si>
    <t xml:space="preserve">4581 Village Dr </t>
  </si>
  <si>
    <t>30338-5741</t>
  </si>
  <si>
    <t>Elam</t>
  </si>
  <si>
    <t xml:space="preserve">107 Prospect St </t>
  </si>
  <si>
    <t>Orwan</t>
  </si>
  <si>
    <t xml:space="preserve">4500 Birchman Ave </t>
  </si>
  <si>
    <t>Ft Worth</t>
  </si>
  <si>
    <t>Youatt</t>
  </si>
  <si>
    <t xml:space="preserve">958 Mercedes Ave </t>
  </si>
  <si>
    <t xml:space="preserve">44900 Viejo Dr </t>
  </si>
  <si>
    <t>Lashaway</t>
  </si>
  <si>
    <t xml:space="preserve">4130 Rincon Ave </t>
  </si>
  <si>
    <t>Bice</t>
  </si>
  <si>
    <t xml:space="preserve">674 Cypress St </t>
  </si>
  <si>
    <t>Dorrell</t>
  </si>
  <si>
    <t xml:space="preserve">11105 Elbeck Dr </t>
  </si>
  <si>
    <t>Martina</t>
  </si>
  <si>
    <t xml:space="preserve">1250 Buzzard Lagoon Rd </t>
  </si>
  <si>
    <t>Ilsen</t>
  </si>
  <si>
    <t xml:space="preserve">1720 Lehigh St </t>
  </si>
  <si>
    <t xml:space="preserve">9201 Drake Ave Apt 302 </t>
  </si>
  <si>
    <t xml:space="preserve">2029 Tulip St </t>
  </si>
  <si>
    <t xml:space="preserve">9727 Sweetwater Ln </t>
  </si>
  <si>
    <t>Garneski</t>
  </si>
  <si>
    <t xml:space="preserve">261 Salt Creek Dr </t>
  </si>
  <si>
    <t>Zall</t>
  </si>
  <si>
    <t xml:space="preserve">20 Nahant Pl Unit 310 </t>
  </si>
  <si>
    <t xml:space="preserve">105 Morris St </t>
  </si>
  <si>
    <t xml:space="preserve">24285 Summerhill Ave </t>
  </si>
  <si>
    <t>Melski</t>
  </si>
  <si>
    <t xml:space="preserve">1136 W Ives St </t>
  </si>
  <si>
    <t xml:space="preserve">3202 Primrose Ln </t>
  </si>
  <si>
    <t xml:space="preserve">3 State Park Rd </t>
  </si>
  <si>
    <t xml:space="preserve">700 E St SE </t>
  </si>
  <si>
    <t>Krajewski</t>
  </si>
  <si>
    <t xml:space="preserve">201 Challedon Dr </t>
  </si>
  <si>
    <t>Walkersville</t>
  </si>
  <si>
    <t>Sabol</t>
  </si>
  <si>
    <t xml:space="preserve">168 Allen Paul Dr </t>
  </si>
  <si>
    <t>Urdank</t>
  </si>
  <si>
    <t xml:space="preserve">14533 3/4 Dickens St </t>
  </si>
  <si>
    <t>Vonsederholm</t>
  </si>
  <si>
    <t xml:space="preserve">1353 Caminito Capistrano Unit 3 </t>
  </si>
  <si>
    <t>Vanhapelto</t>
  </si>
  <si>
    <t>Hilkka</t>
  </si>
  <si>
    <t xml:space="preserve">11 AS 4 </t>
  </si>
  <si>
    <t>Kotka</t>
  </si>
  <si>
    <t>Erovich</t>
  </si>
  <si>
    <t xml:space="preserve">11532 Flints </t>
  </si>
  <si>
    <t>Navarrete</t>
  </si>
  <si>
    <t>Gaby</t>
  </si>
  <si>
    <t>Veracruz</t>
  </si>
  <si>
    <t>MX</t>
  </si>
  <si>
    <t>Goasdoue</t>
  </si>
  <si>
    <t xml:space="preserve">5550 Fieldston Rd </t>
  </si>
  <si>
    <t>Marczyk</t>
  </si>
  <si>
    <t xml:space="preserve">15 Tiros Ave </t>
  </si>
  <si>
    <t>Marckus</t>
  </si>
  <si>
    <t xml:space="preserve">2416 NE 11th St </t>
  </si>
  <si>
    <t>Rutter</t>
  </si>
  <si>
    <t xml:space="preserve">1210 New World Cir Apt 201 </t>
  </si>
  <si>
    <t xml:space="preserve">828 W George St </t>
  </si>
  <si>
    <t xml:space="preserve">V SCH Rd </t>
  </si>
  <si>
    <t xml:space="preserve">25843 Narbonne Ave </t>
  </si>
  <si>
    <t>Lau</t>
  </si>
  <si>
    <t xml:space="preserve">773 Laurel St </t>
  </si>
  <si>
    <t>Evask</t>
  </si>
  <si>
    <t xml:space="preserve">138 2nd St </t>
  </si>
  <si>
    <t xml:space="preserve">3860 Center Ave </t>
  </si>
  <si>
    <t>McQueen</t>
  </si>
  <si>
    <t xml:space="preserve">602 Childsberg Way </t>
  </si>
  <si>
    <t>Helling</t>
  </si>
  <si>
    <t xml:space="preserve">1610 W 15th St </t>
  </si>
  <si>
    <t xml:space="preserve">100 Edmonson Ln </t>
  </si>
  <si>
    <t>Cedar Creek</t>
  </si>
  <si>
    <t xml:space="preserve">2210 SW 98th Ter </t>
  </si>
  <si>
    <t>Plagge</t>
  </si>
  <si>
    <t xml:space="preserve">102047 S WESTNEDGE Ave </t>
  </si>
  <si>
    <t>Ivory</t>
  </si>
  <si>
    <t>Godwin</t>
  </si>
  <si>
    <t xml:space="preserve">PO Box 194 </t>
  </si>
  <si>
    <t>Ms. Maria Celia</t>
  </si>
  <si>
    <t xml:space="preserve">54 Orleans St Apt 317 </t>
  </si>
  <si>
    <t xml:space="preserve">2242 Marianna St </t>
  </si>
  <si>
    <t>26070-1046</t>
  </si>
  <si>
    <t>Mousaw</t>
  </si>
  <si>
    <t xml:space="preserve">1451 Treat Blvd Apt 228 </t>
  </si>
  <si>
    <t>Hilbert</t>
  </si>
  <si>
    <t xml:space="preserve">758 Red Mill Rd </t>
  </si>
  <si>
    <t xml:space="preserve">14400 W Viking St Unit 1 </t>
  </si>
  <si>
    <t>Vanstrien</t>
  </si>
  <si>
    <t>Ro</t>
  </si>
  <si>
    <t xml:space="preserve">25 Independence Blvd </t>
  </si>
  <si>
    <t>Susanna H</t>
  </si>
  <si>
    <t xml:space="preserve">628 Fort Raleigh Dr </t>
  </si>
  <si>
    <t>23451-4870</t>
  </si>
  <si>
    <t>Fairview Heights</t>
  </si>
  <si>
    <t>Immerfall</t>
  </si>
  <si>
    <t xml:space="preserve">901 N Bennett St </t>
  </si>
  <si>
    <t>Tauger</t>
  </si>
  <si>
    <t xml:space="preserve">4582 47th St </t>
  </si>
  <si>
    <t xml:space="preserve">1324 Boatright Dr NE # 63 </t>
  </si>
  <si>
    <t>Eco</t>
  </si>
  <si>
    <t xml:space="preserve">36 Phillips Ave </t>
  </si>
  <si>
    <t>Shrewsbury</t>
  </si>
  <si>
    <t xml:space="preserve">35 Studley Ct </t>
  </si>
  <si>
    <t>Epp</t>
  </si>
  <si>
    <t xml:space="preserve">51892 County Road 11 </t>
  </si>
  <si>
    <t>Elkhart</t>
  </si>
  <si>
    <t xml:space="preserve">1 Constitution Ave NE </t>
  </si>
  <si>
    <t>Simona</t>
  </si>
  <si>
    <t xml:space="preserve">13444 Carriage Hill Dr </t>
  </si>
  <si>
    <t>20112-3837</t>
  </si>
  <si>
    <t>Christenson</t>
  </si>
  <si>
    <t xml:space="preserve">486 Tulipan Way </t>
  </si>
  <si>
    <t xml:space="preserve">4561 47th St </t>
  </si>
  <si>
    <t xml:space="preserve">11 Gregory Ct </t>
  </si>
  <si>
    <t>Parriott</t>
  </si>
  <si>
    <t xml:space="preserve">PO Box 2267 </t>
  </si>
  <si>
    <t xml:space="preserve">447 Carpenteria Rd </t>
  </si>
  <si>
    <t xml:space="preserve">1664 Fort St </t>
  </si>
  <si>
    <t xml:space="preserve">7902 NE 140th St </t>
  </si>
  <si>
    <t>Zapf</t>
  </si>
  <si>
    <t xml:space="preserve">12476 County Route 155 </t>
  </si>
  <si>
    <t>Saikevych</t>
  </si>
  <si>
    <t xml:space="preserve">655 Valley Oak Blvd </t>
  </si>
  <si>
    <t xml:space="preserve">705 Abbey Cir </t>
  </si>
  <si>
    <t>Waldera</t>
  </si>
  <si>
    <t xml:space="preserve">736 N 17th St </t>
  </si>
  <si>
    <t xml:space="preserve">887 28th Ave </t>
  </si>
  <si>
    <t xml:space="preserve">616 S Sweetzer Ave </t>
  </si>
  <si>
    <t xml:space="preserve">80 Beaver Lake Cir </t>
  </si>
  <si>
    <t>32174-8140</t>
  </si>
  <si>
    <t xml:space="preserve">2515 143rd Ln SW </t>
  </si>
  <si>
    <t>98087-5912</t>
  </si>
  <si>
    <t>Uribe</t>
  </si>
  <si>
    <t xml:space="preserve">75 Laguna Rd </t>
  </si>
  <si>
    <t>Palmyra</t>
  </si>
  <si>
    <t>22963-2419</t>
  </si>
  <si>
    <t xml:space="preserve">5 N280 Eagle Ter </t>
  </si>
  <si>
    <t>60143-2433</t>
  </si>
  <si>
    <t>Kunishima</t>
  </si>
  <si>
    <t>Lodiza</t>
  </si>
  <si>
    <t xml:space="preserve">334 Dewey St </t>
  </si>
  <si>
    <t>05201-2225</t>
  </si>
  <si>
    <t xml:space="preserve">603 E Dalton Dr </t>
  </si>
  <si>
    <t>Fujioka</t>
  </si>
  <si>
    <t xml:space="preserve">99 -826 Halawa Dr </t>
  </si>
  <si>
    <t>96701-3144</t>
  </si>
  <si>
    <t xml:space="preserve">100 Bayo Vista Way Apt 58 </t>
  </si>
  <si>
    <t>Prezkuta</t>
  </si>
  <si>
    <t xml:space="preserve">2 Wasson Dr </t>
  </si>
  <si>
    <t>12603-6016</t>
  </si>
  <si>
    <t>Donahue</t>
  </si>
  <si>
    <t xml:space="preserve">310 N Larkin Ave Apt A8 </t>
  </si>
  <si>
    <t>Halsey</t>
  </si>
  <si>
    <t xml:space="preserve">140 Rainbow Ridge Rd </t>
  </si>
  <si>
    <t>Rutigliano</t>
  </si>
  <si>
    <t xml:space="preserve">PO Box 3097 </t>
  </si>
  <si>
    <t xml:space="preserve">6903 Superior Street Cir </t>
  </si>
  <si>
    <t>34243-5308</t>
  </si>
  <si>
    <t xml:space="preserve">3966 Louise Ct </t>
  </si>
  <si>
    <t>75709-5440</t>
  </si>
  <si>
    <t>Sakaguchi</t>
  </si>
  <si>
    <t>Genie</t>
  </si>
  <si>
    <t xml:space="preserve">2727 Parker St </t>
  </si>
  <si>
    <t>94704-3126</t>
  </si>
  <si>
    <t>Milkowski</t>
  </si>
  <si>
    <t xml:space="preserve">3026 W Chase Ave </t>
  </si>
  <si>
    <t>60645-1124</t>
  </si>
  <si>
    <t xml:space="preserve">2685 Ravine Way </t>
  </si>
  <si>
    <t>54301-1824</t>
  </si>
  <si>
    <t>Kolesar</t>
  </si>
  <si>
    <t xml:space="preserve">1022 Harvard Rd </t>
  </si>
  <si>
    <t>15146-4305</t>
  </si>
  <si>
    <t>Khotoveli</t>
  </si>
  <si>
    <t xml:space="preserve">17600 N Bay Rd Apt 802 </t>
  </si>
  <si>
    <t>33160-2866</t>
  </si>
  <si>
    <t xml:space="preserve">418 Fitzwater St # C </t>
  </si>
  <si>
    <t>19147-3109</t>
  </si>
  <si>
    <t>Moffitt</t>
  </si>
  <si>
    <t xml:space="preserve">3111 Groton Way Unit 4 </t>
  </si>
  <si>
    <t>92110-5422</t>
  </si>
  <si>
    <t xml:space="preserve">4979 N Chesney Dr </t>
  </si>
  <si>
    <t>72764-8252</t>
  </si>
  <si>
    <t>Conard</t>
  </si>
  <si>
    <t>Linc</t>
  </si>
  <si>
    <t xml:space="preserve">418 Eikenwal </t>
  </si>
  <si>
    <t>Kyes</t>
  </si>
  <si>
    <t xml:space="preserve">87830 COUNTRY CROSSINGS St </t>
  </si>
  <si>
    <t xml:space="preserve">1819 N 51st Ave </t>
  </si>
  <si>
    <t xml:space="preserve">3170 NE 10th Ter </t>
  </si>
  <si>
    <t>Halter</t>
  </si>
  <si>
    <t xml:space="preserve">300 S Elliott Ave </t>
  </si>
  <si>
    <t>Wenatchee</t>
  </si>
  <si>
    <t xml:space="preserve">9020 N Country Homes Blvd Apt 1 </t>
  </si>
  <si>
    <t xml:space="preserve">1905 Orchard Way </t>
  </si>
  <si>
    <t>Strell</t>
  </si>
  <si>
    <t>Ronni</t>
  </si>
  <si>
    <t xml:space="preserve">654 Prospect Ave </t>
  </si>
  <si>
    <t>Scheck</t>
  </si>
  <si>
    <t xml:space="preserve">180 Garth Rd Apt 4E </t>
  </si>
  <si>
    <t xml:space="preserve">3409 S Lane St </t>
  </si>
  <si>
    <t>McCluskey</t>
  </si>
  <si>
    <t xml:space="preserve">PO Box 419 </t>
  </si>
  <si>
    <t>Concepcion Elvira</t>
  </si>
  <si>
    <t xml:space="preserve">512 S 3rd Ave Apt 5 </t>
  </si>
  <si>
    <t>Whittle</t>
  </si>
  <si>
    <t xml:space="preserve">236 Nesbitt Ln </t>
  </si>
  <si>
    <t xml:space="preserve">5856 Old Oak Ridge Rd Apt 917 </t>
  </si>
  <si>
    <t>Janes</t>
  </si>
  <si>
    <t xml:space="preserve">4331 Knollbluff </t>
  </si>
  <si>
    <t xml:space="preserve">435 Twin Lakes Dr </t>
  </si>
  <si>
    <t>Mous</t>
  </si>
  <si>
    <t>Anony</t>
  </si>
  <si>
    <t xml:space="preserve">Abc </t>
  </si>
  <si>
    <t xml:space="preserve">7251 Bingham St </t>
  </si>
  <si>
    <t xml:space="preserve">3740 Collis Ave </t>
  </si>
  <si>
    <t xml:space="preserve">30600 N Pima Rd </t>
  </si>
  <si>
    <t>Riter Wilson</t>
  </si>
  <si>
    <t>Rev. Maria</t>
  </si>
  <si>
    <t xml:space="preserve">1022 Calle Frondosa </t>
  </si>
  <si>
    <t>San Dimas</t>
  </si>
  <si>
    <t xml:space="preserve">750 Weaver Dairy Rd Apt 1212 </t>
  </si>
  <si>
    <t xml:space="preserve">202 Gonzales Rd </t>
  </si>
  <si>
    <t>Cohen-Glinick</t>
  </si>
  <si>
    <t xml:space="preserve">29 11th St </t>
  </si>
  <si>
    <t>Radziak</t>
  </si>
  <si>
    <t xml:space="preserve">501 Julian Dr W </t>
  </si>
  <si>
    <t xml:space="preserve">6755 Musgrove Hwy </t>
  </si>
  <si>
    <t>Sunfield</t>
  </si>
  <si>
    <t>Quintana Pascal</t>
  </si>
  <si>
    <t xml:space="preserve">11 Miller Ave </t>
  </si>
  <si>
    <t>Floral Park</t>
  </si>
  <si>
    <t xml:space="preserve">1408 Sherron Rd </t>
  </si>
  <si>
    <t>Edythe</t>
  </si>
  <si>
    <t xml:space="preserve">35 Roosevelt St Apt 6 </t>
  </si>
  <si>
    <t>Lorentson</t>
  </si>
  <si>
    <t xml:space="preserve">12364 Pinafore Ct </t>
  </si>
  <si>
    <t xml:space="preserve">3308 N Seeley Ave </t>
  </si>
  <si>
    <t>60618-6222</t>
  </si>
  <si>
    <t xml:space="preserve">190 Pembrook Dr </t>
  </si>
  <si>
    <t xml:space="preserve">130 Pembrook Dr </t>
  </si>
  <si>
    <t>Abelman</t>
  </si>
  <si>
    <t xml:space="preserve">3 Jeanette Ave </t>
  </si>
  <si>
    <t xml:space="preserve">4330 Chestnut Rd </t>
  </si>
  <si>
    <t>Neighbor</t>
  </si>
  <si>
    <t>John B.</t>
  </si>
  <si>
    <t xml:space="preserve">2320 I St Apt 6 </t>
  </si>
  <si>
    <t xml:space="preserve">14113 Kimber Pl SE </t>
  </si>
  <si>
    <t>Olalla</t>
  </si>
  <si>
    <t xml:space="preserve">1016 Academy St </t>
  </si>
  <si>
    <t>Sumner</t>
  </si>
  <si>
    <t xml:space="preserve">1119 E Elm St </t>
  </si>
  <si>
    <t xml:space="preserve">3807 93rd Ln N </t>
  </si>
  <si>
    <t xml:space="preserve">38 Belvedere Dr </t>
  </si>
  <si>
    <t xml:space="preserve">864 WALNUT </t>
  </si>
  <si>
    <t>Diciaccio</t>
  </si>
  <si>
    <t>Meghann</t>
  </si>
  <si>
    <t xml:space="preserve">9456 Creemore Dr </t>
  </si>
  <si>
    <t>E. Blake</t>
  </si>
  <si>
    <t xml:space="preserve">53 Circle Rd </t>
  </si>
  <si>
    <t xml:space="preserve">164 Wheatland Dr </t>
  </si>
  <si>
    <t xml:space="preserve">31 Diana Hills Rd Apt STEBLDGOPTIONAL </t>
  </si>
  <si>
    <t>Anniston</t>
  </si>
  <si>
    <t>Marquina</t>
  </si>
  <si>
    <t xml:space="preserve">7439 ANY St </t>
  </si>
  <si>
    <t>Baillie</t>
  </si>
  <si>
    <t xml:space="preserve">814 Morningside Dr </t>
  </si>
  <si>
    <t>Telese</t>
  </si>
  <si>
    <t xml:space="preserve">PO Box 291 </t>
  </si>
  <si>
    <t xml:space="preserve">13 S Main St Apt 2 </t>
  </si>
  <si>
    <t>Uxbridge</t>
  </si>
  <si>
    <t>Donn</t>
  </si>
  <si>
    <t xml:space="preserve">7300 W Mcnab Rd </t>
  </si>
  <si>
    <t>Ovina</t>
  </si>
  <si>
    <t xml:space="preserve">13021 127th Dr NE Apt G101 </t>
  </si>
  <si>
    <t>St.Martine</t>
  </si>
  <si>
    <t xml:space="preserve">6291 Hope St </t>
  </si>
  <si>
    <t>Carissa</t>
  </si>
  <si>
    <t xml:space="preserve">8238 Kidd Pl </t>
  </si>
  <si>
    <t xml:space="preserve">7265 Orlee St SE </t>
  </si>
  <si>
    <t>Morrow</t>
  </si>
  <si>
    <t xml:space="preserve">3421 River Rd </t>
  </si>
  <si>
    <t>Sangdahl</t>
  </si>
  <si>
    <t>Roseanne</t>
  </si>
  <si>
    <t xml:space="preserve">8302 Essen Ave </t>
  </si>
  <si>
    <t>Normand</t>
  </si>
  <si>
    <t>Merlin</t>
  </si>
  <si>
    <t xml:space="preserve">33206 N 12th St </t>
  </si>
  <si>
    <t>Hitztaler</t>
  </si>
  <si>
    <t xml:space="preserve">1400 Ivy Ridge Rd Apt 20 </t>
  </si>
  <si>
    <t>Faulkner</t>
  </si>
  <si>
    <t>Steinert-Bresilge</t>
  </si>
  <si>
    <t xml:space="preserve">703 Esta Dr </t>
  </si>
  <si>
    <t xml:space="preserve">2239 SW 331st St </t>
  </si>
  <si>
    <t>Federal Way</t>
  </si>
  <si>
    <t>Kohlmeyer</t>
  </si>
  <si>
    <t xml:space="preserve">1018 S Tremaine Ave </t>
  </si>
  <si>
    <t xml:space="preserve">607 Collier Rd NW </t>
  </si>
  <si>
    <t>Beddoe</t>
  </si>
  <si>
    <t xml:space="preserve">25839 State Route 12 </t>
  </si>
  <si>
    <t>Goodger-Hill</t>
  </si>
  <si>
    <t xml:space="preserve">No Civic Number </t>
  </si>
  <si>
    <t xml:space="preserve">4627 Elgar Ln </t>
  </si>
  <si>
    <t xml:space="preserve">15149 Sunny Hl </t>
  </si>
  <si>
    <t xml:space="preserve">18715 W 59th Pl </t>
  </si>
  <si>
    <t xml:space="preserve">84 N Sabra Ave </t>
  </si>
  <si>
    <t>Bexton</t>
  </si>
  <si>
    <t xml:space="preserve">1534 Buena Vista Ave </t>
  </si>
  <si>
    <t xml:space="preserve">418 Tallow Dr </t>
  </si>
  <si>
    <t>D'Aries</t>
  </si>
  <si>
    <t xml:space="preserve">7 Reginas Way </t>
  </si>
  <si>
    <t>Shandaken</t>
  </si>
  <si>
    <t>Leistritz</t>
  </si>
  <si>
    <t xml:space="preserve">507 Wirt Ave </t>
  </si>
  <si>
    <t xml:space="preserve">631 Sweet Pond Rd </t>
  </si>
  <si>
    <t>William And Nancy</t>
  </si>
  <si>
    <t xml:space="preserve">31951 Lodgepole Dr </t>
  </si>
  <si>
    <t>Zumba</t>
  </si>
  <si>
    <t xml:space="preserve">34 Cayuga Rd </t>
  </si>
  <si>
    <t xml:space="preserve">27 Hovey Ln </t>
  </si>
  <si>
    <t>04011-7840</t>
  </si>
  <si>
    <t>Phillippi</t>
  </si>
  <si>
    <t xml:space="preserve">1800 Lakewood Ct Spc 19 </t>
  </si>
  <si>
    <t>Whitehall</t>
  </si>
  <si>
    <t xml:space="preserve">79 Freemans Way </t>
  </si>
  <si>
    <t>Bagdad</t>
  </si>
  <si>
    <t>Maraziti</t>
  </si>
  <si>
    <t xml:space="preserve">PO Box 3485 </t>
  </si>
  <si>
    <t>Sommers</t>
  </si>
  <si>
    <t xml:space="preserve">9359 E Purdue Ave Unit 181 </t>
  </si>
  <si>
    <t>Collard</t>
  </si>
  <si>
    <t>Junilla</t>
  </si>
  <si>
    <t xml:space="preserve">5503 Kara Ln </t>
  </si>
  <si>
    <t xml:space="preserve">44832 Rock Island Dr </t>
  </si>
  <si>
    <t xml:space="preserve">463 22nd Ave </t>
  </si>
  <si>
    <t xml:space="preserve">1205 4th Ave Apt D </t>
  </si>
  <si>
    <t xml:space="preserve">320 Rolling Hills Ave </t>
  </si>
  <si>
    <t xml:space="preserve">78970 Dry Creek Rd </t>
  </si>
  <si>
    <t>Neeley</t>
  </si>
  <si>
    <t xml:space="preserve">2039 N Orange Olive Rd </t>
  </si>
  <si>
    <t>Cheli</t>
  </si>
  <si>
    <t xml:space="preserve">487 Buena Vista Dr </t>
  </si>
  <si>
    <t>Bacall</t>
  </si>
  <si>
    <t>Julea</t>
  </si>
  <si>
    <t xml:space="preserve">1320 Elam Ave </t>
  </si>
  <si>
    <t xml:space="preserve">3530 Clarington Ave Apt 101 </t>
  </si>
  <si>
    <t>Kayla</t>
  </si>
  <si>
    <t xml:space="preserve">31 Mccormick Rd </t>
  </si>
  <si>
    <t xml:space="preserve">56 Potter Dr </t>
  </si>
  <si>
    <t xml:space="preserve">364 Conestoga Rd # 0 </t>
  </si>
  <si>
    <t>Nicol</t>
  </si>
  <si>
    <t xml:space="preserve">1002 36th St SE </t>
  </si>
  <si>
    <t>Smith Jr</t>
  </si>
  <si>
    <t>Ex-Gop Dr William M</t>
  </si>
  <si>
    <t xml:space="preserve">113 Pine Tree Dr </t>
  </si>
  <si>
    <t>Lake Placid</t>
  </si>
  <si>
    <t>Dahlgren</t>
  </si>
  <si>
    <t xml:space="preserve">96 Silver Ln Apt C2 </t>
  </si>
  <si>
    <t>East Hartford</t>
  </si>
  <si>
    <t xml:space="preserve">74 Derby Ave </t>
  </si>
  <si>
    <t>Greenlawn</t>
  </si>
  <si>
    <t>Raubolt</t>
  </si>
  <si>
    <t xml:space="preserve">1418 Myerlee Country Club Blvd </t>
  </si>
  <si>
    <t xml:space="preserve">494 S 9th St </t>
  </si>
  <si>
    <t>Sketo</t>
  </si>
  <si>
    <t xml:space="preserve">11522 Bay Meadows Ln </t>
  </si>
  <si>
    <t xml:space="preserve">26488 608th St </t>
  </si>
  <si>
    <t>Mantorville</t>
  </si>
  <si>
    <t>Gibboney</t>
  </si>
  <si>
    <t xml:space="preserve">16715 Vanowen St Apt A </t>
  </si>
  <si>
    <t>Edd</t>
  </si>
  <si>
    <t xml:space="preserve">3091 Oakview Ln </t>
  </si>
  <si>
    <t>McIntyre</t>
  </si>
  <si>
    <t xml:space="preserve">337 Greenfield St </t>
  </si>
  <si>
    <t xml:space="preserve">100 Timber Ridge Way NW Unit 3310 </t>
  </si>
  <si>
    <t>Taub</t>
  </si>
  <si>
    <t xml:space="preserve">21 Washington Ave </t>
  </si>
  <si>
    <t>Arriaga</t>
  </si>
  <si>
    <t>Hipolito</t>
  </si>
  <si>
    <t xml:space="preserve">7330 NW 36th St </t>
  </si>
  <si>
    <t xml:space="preserve">3546 Kite St </t>
  </si>
  <si>
    <t>Wilkins</t>
  </si>
  <si>
    <t xml:space="preserve">315 W 50th Ave </t>
  </si>
  <si>
    <t xml:space="preserve">5920 Mountain View Ln </t>
  </si>
  <si>
    <t>Selene</t>
  </si>
  <si>
    <t xml:space="preserve">2139 42nd Ave SW Apt 2 </t>
  </si>
  <si>
    <t xml:space="preserve">5410 Guarino Rd </t>
  </si>
  <si>
    <t>Bingaman</t>
  </si>
  <si>
    <t xml:space="preserve">5261 Frienzie Ct </t>
  </si>
  <si>
    <t xml:space="preserve">2979 Valentine Ave </t>
  </si>
  <si>
    <t xml:space="preserve">850 Turquoise Pt </t>
  </si>
  <si>
    <t xml:space="preserve">2906 13th Rd S Apt 101 </t>
  </si>
  <si>
    <t>Veliskakis</t>
  </si>
  <si>
    <t xml:space="preserve">6205 Morrison Blvd Apt 813 </t>
  </si>
  <si>
    <t>Molino</t>
  </si>
  <si>
    <t xml:space="preserve">2517 Holly Springs Ct </t>
  </si>
  <si>
    <t xml:space="preserve">7 Birch Ln </t>
  </si>
  <si>
    <t>Lengel</t>
  </si>
  <si>
    <t xml:space="preserve">12901 S Wildwood Ln </t>
  </si>
  <si>
    <t>Triggs</t>
  </si>
  <si>
    <t xml:space="preserve">8445 SW 104th Pl # 34481 </t>
  </si>
  <si>
    <t>Crichton</t>
  </si>
  <si>
    <t>Tonette</t>
  </si>
  <si>
    <t xml:space="preserve">3901 W Barnes Ln 3901 West Barnes Ln 3901 West Ln </t>
  </si>
  <si>
    <t>Healingline</t>
  </si>
  <si>
    <t>Helgaleena</t>
  </si>
  <si>
    <t xml:space="preserve">119 Goodyear Ave </t>
  </si>
  <si>
    <t xml:space="preserve">400 Madison St Apt 407 </t>
  </si>
  <si>
    <t>22314-1741</t>
  </si>
  <si>
    <t xml:space="preserve">2330 Erin Pl </t>
  </si>
  <si>
    <t>94080-5332</t>
  </si>
  <si>
    <t>Gundersen</t>
  </si>
  <si>
    <t xml:space="preserve">27655 Beham Ave NW </t>
  </si>
  <si>
    <t>98370-9210</t>
  </si>
  <si>
    <t>Baltusis</t>
  </si>
  <si>
    <t xml:space="preserve">54734 Burlington Dr </t>
  </si>
  <si>
    <t>48315-1603</t>
  </si>
  <si>
    <t>Racoosin</t>
  </si>
  <si>
    <t xml:space="preserve">112 Roat St </t>
  </si>
  <si>
    <t>14850-2755</t>
  </si>
  <si>
    <t>McAdoo</t>
  </si>
  <si>
    <t xml:space="preserve">28 Kohlepp Ave </t>
  </si>
  <si>
    <t>89509-3388</t>
  </si>
  <si>
    <t>Lobdell</t>
  </si>
  <si>
    <t xml:space="preserve">940 Temple Ave # B </t>
  </si>
  <si>
    <t>95404-5512</t>
  </si>
  <si>
    <t xml:space="preserve">245 Vista Dr </t>
  </si>
  <si>
    <t>Glenwood Springs</t>
  </si>
  <si>
    <t>81601-2737</t>
  </si>
  <si>
    <t xml:space="preserve">64590 E Drifter Dr </t>
  </si>
  <si>
    <t>McCorkle</t>
  </si>
  <si>
    <t xml:space="preserve">PO Box 730 </t>
  </si>
  <si>
    <t>Mars</t>
  </si>
  <si>
    <t>Sandel</t>
  </si>
  <si>
    <t xml:space="preserve">135 Beacon Valley Rd </t>
  </si>
  <si>
    <t>Beacon Falls</t>
  </si>
  <si>
    <t>06403-4910</t>
  </si>
  <si>
    <t>Lemaire</t>
  </si>
  <si>
    <t xml:space="preserve">430 E Court St </t>
  </si>
  <si>
    <t>54665-1715</t>
  </si>
  <si>
    <t xml:space="preserve">2723 E Valencia Dr </t>
  </si>
  <si>
    <t>85042-7082</t>
  </si>
  <si>
    <t>Balchunas</t>
  </si>
  <si>
    <t xml:space="preserve">1105 Barlina Rd </t>
  </si>
  <si>
    <t>60014-8322</t>
  </si>
  <si>
    <t xml:space="preserve">100 W 89th St Apt 6E </t>
  </si>
  <si>
    <t>10024-1935</t>
  </si>
  <si>
    <t xml:space="preserve">1020 Oakleaf Ave </t>
  </si>
  <si>
    <t>91016-3050</t>
  </si>
  <si>
    <t>Gramzay</t>
  </si>
  <si>
    <t xml:space="preserve">8702 E Windsor Ave </t>
  </si>
  <si>
    <t>85257-1835</t>
  </si>
  <si>
    <t>Zettel</t>
  </si>
  <si>
    <t xml:space="preserve">25 Katt Ct </t>
  </si>
  <si>
    <t>98382-7391</t>
  </si>
  <si>
    <t>Loosen</t>
  </si>
  <si>
    <t xml:space="preserve">802 Tam Oshanter Dr </t>
  </si>
  <si>
    <t>64145-1244</t>
  </si>
  <si>
    <t xml:space="preserve">10943 Obsidian Ct </t>
  </si>
  <si>
    <t>92708-1145</t>
  </si>
  <si>
    <t>Klausing</t>
  </si>
  <si>
    <t xml:space="preserve">624 Cross Lanes Dr Apt 11 </t>
  </si>
  <si>
    <t>25143-1156</t>
  </si>
  <si>
    <t>Ardner</t>
  </si>
  <si>
    <t xml:space="preserve">2636 SW Eastwood Ave </t>
  </si>
  <si>
    <t>97080-9477</t>
  </si>
  <si>
    <t xml:space="preserve">56 Alexandra Way </t>
  </si>
  <si>
    <t>08210-1153</t>
  </si>
  <si>
    <t>Franke</t>
  </si>
  <si>
    <t xml:space="preserve">9309 County Road 46 </t>
  </si>
  <si>
    <t>Galion</t>
  </si>
  <si>
    <t>Matlock</t>
  </si>
  <si>
    <t xml:space="preserve">1413 N Branciforte 1413 N Branciforte Ave </t>
  </si>
  <si>
    <t xml:space="preserve">PO Box 362 </t>
  </si>
  <si>
    <t>North Bennington</t>
  </si>
  <si>
    <t xml:space="preserve">7512 Westwood Dr </t>
  </si>
  <si>
    <t xml:space="preserve">8718 Morrow Mill Rd </t>
  </si>
  <si>
    <t>Mebane</t>
  </si>
  <si>
    <t xml:space="preserve">19760 12th Ave NE </t>
  </si>
  <si>
    <t>Dr. Jim</t>
  </si>
  <si>
    <t xml:space="preserve">1271 Via Capri </t>
  </si>
  <si>
    <t xml:space="preserve">5978 Guide Meridian # A </t>
  </si>
  <si>
    <t xml:space="preserve">SULLIVAN St </t>
  </si>
  <si>
    <t>Heyden</t>
  </si>
  <si>
    <t xml:space="preserve">8613 Creede Trl </t>
  </si>
  <si>
    <t xml:space="preserve">5 Andrew Dr </t>
  </si>
  <si>
    <t>Chips</t>
  </si>
  <si>
    <t xml:space="preserve">67 Magnolia Ave # B </t>
  </si>
  <si>
    <t>Fosbery</t>
  </si>
  <si>
    <t xml:space="preserve">305 E 24th St </t>
  </si>
  <si>
    <t xml:space="preserve">SOMERSET CROSSING Ln </t>
  </si>
  <si>
    <t>Kernersville</t>
  </si>
  <si>
    <t>Dalleck</t>
  </si>
  <si>
    <t xml:space="preserve">2217 NE 179th St Unit 70 </t>
  </si>
  <si>
    <t>Varma</t>
  </si>
  <si>
    <t>Prabha</t>
  </si>
  <si>
    <t xml:space="preserve">48 Folsom Aly </t>
  </si>
  <si>
    <t>Neubeck</t>
  </si>
  <si>
    <t xml:space="preserve">55 Ralston Ave Apt 501 </t>
  </si>
  <si>
    <t>Arbogast</t>
  </si>
  <si>
    <t xml:space="preserve">14 RUE JEAN RACINE </t>
  </si>
  <si>
    <t>Hoenheim</t>
  </si>
  <si>
    <t>Ingrassia</t>
  </si>
  <si>
    <t xml:space="preserve">88051 Maybourne Rd </t>
  </si>
  <si>
    <t>Yulee</t>
  </si>
  <si>
    <t>Antonelli</t>
  </si>
  <si>
    <t xml:space="preserve">68 Valley Dr </t>
  </si>
  <si>
    <t xml:space="preserve">10921 N 115th St Apt 3005 </t>
  </si>
  <si>
    <t>Gamber</t>
  </si>
  <si>
    <t>Christy Lyn</t>
  </si>
  <si>
    <t xml:space="preserve">770 W Lone Mountain Rd Apt 1016 </t>
  </si>
  <si>
    <t>O'Leary</t>
  </si>
  <si>
    <t>Kylie</t>
  </si>
  <si>
    <t xml:space="preserve">61 S Paget St </t>
  </si>
  <si>
    <t>Lonnee</t>
  </si>
  <si>
    <t xml:space="preserve">456 Lake Ave </t>
  </si>
  <si>
    <t>Szabo</t>
  </si>
  <si>
    <t xml:space="preserve">8511 Reading Ave </t>
  </si>
  <si>
    <t>Noel-Labieniec</t>
  </si>
  <si>
    <t xml:space="preserve">PO Box 806 </t>
  </si>
  <si>
    <t>Jill Marie</t>
  </si>
  <si>
    <t xml:space="preserve">27 Eggers Ct </t>
  </si>
  <si>
    <t>Summit</t>
  </si>
  <si>
    <t>Mariorenzi</t>
  </si>
  <si>
    <t xml:space="preserve">173 Bretton Woods Dr </t>
  </si>
  <si>
    <t xml:space="preserve">2899 S LINDBERGH Blvd </t>
  </si>
  <si>
    <t>Maryland Heights</t>
  </si>
  <si>
    <t>Jimenez N.C.S.</t>
  </si>
  <si>
    <t>Reverend Nathan</t>
  </si>
  <si>
    <t xml:space="preserve">2438 SE 41st Ave Apt 209 </t>
  </si>
  <si>
    <t>Pasillas</t>
  </si>
  <si>
    <t>Fernando</t>
  </si>
  <si>
    <t xml:space="preserve">11211 Larrylyn Dr </t>
  </si>
  <si>
    <t>Daggett</t>
  </si>
  <si>
    <t xml:space="preserve">620 16th Ave </t>
  </si>
  <si>
    <t xml:space="preserve">14535 H </t>
  </si>
  <si>
    <t xml:space="preserve">272 Donlea Rd </t>
  </si>
  <si>
    <t>Bartee</t>
  </si>
  <si>
    <t xml:space="preserve">12516 Kirkham Rd </t>
  </si>
  <si>
    <t xml:space="preserve">5258 Marigot Pl </t>
  </si>
  <si>
    <t>Sharf</t>
  </si>
  <si>
    <t xml:space="preserve">9465 Unity Ct </t>
  </si>
  <si>
    <t>Kuss</t>
  </si>
  <si>
    <t xml:space="preserve">16020 Lundstead Rd </t>
  </si>
  <si>
    <t>Carver</t>
  </si>
  <si>
    <t>Malyon</t>
  </si>
  <si>
    <t xml:space="preserve">4 Seminole Ave </t>
  </si>
  <si>
    <t xml:space="preserve">4229 Southern Valley Loop </t>
  </si>
  <si>
    <t xml:space="preserve">14968 Shenandoah Dr </t>
  </si>
  <si>
    <t>Faigen</t>
  </si>
  <si>
    <t>Anne Faigen</t>
  </si>
  <si>
    <t xml:space="preserve">128 N Craig St Apt 503 </t>
  </si>
  <si>
    <t>Meta</t>
  </si>
  <si>
    <t xml:space="preserve">2904 Lindbergh Dr </t>
  </si>
  <si>
    <t>Thurstlic</t>
  </si>
  <si>
    <t xml:space="preserve">20402 N 135th Ave </t>
  </si>
  <si>
    <t xml:space="preserve">587 Avenida Majorca Unit C </t>
  </si>
  <si>
    <t xml:space="preserve">458 Champlain Dr </t>
  </si>
  <si>
    <t>Oneal</t>
  </si>
  <si>
    <t>Jimmie</t>
  </si>
  <si>
    <t xml:space="preserve">197 Chinkapin Ln </t>
  </si>
  <si>
    <t>Meadow Valley</t>
  </si>
  <si>
    <t xml:space="preserve">1018 13th St Apt 81 </t>
  </si>
  <si>
    <t>Waldinger</t>
  </si>
  <si>
    <t xml:space="preserve">12629 E Silver Spur St </t>
  </si>
  <si>
    <t>Ferruccio</t>
  </si>
  <si>
    <t xml:space="preserve">297 Davis Hyman Rd </t>
  </si>
  <si>
    <t>Norlina</t>
  </si>
  <si>
    <t xml:space="preserve">3005 Santa Buena Way </t>
  </si>
  <si>
    <t>Weisgram</t>
  </si>
  <si>
    <t xml:space="preserve">104 Chapel Ln </t>
  </si>
  <si>
    <t>Saint Joseph</t>
  </si>
  <si>
    <t>Stoneburner</t>
  </si>
  <si>
    <t xml:space="preserve">4410 Beaver Ave </t>
  </si>
  <si>
    <t>Schwartzman</t>
  </si>
  <si>
    <t>Liya</t>
  </si>
  <si>
    <t xml:space="preserve">4500 61st St </t>
  </si>
  <si>
    <t>Dumford</t>
  </si>
  <si>
    <t xml:space="preserve">1343 Wood Park Dr NW </t>
  </si>
  <si>
    <t xml:space="preserve">5 Mountain View Ct </t>
  </si>
  <si>
    <t xml:space="preserve">2724 Merrimac Blvd </t>
  </si>
  <si>
    <t>Bamberger</t>
  </si>
  <si>
    <t xml:space="preserve">215 100th St SW # B-201 </t>
  </si>
  <si>
    <t>Giordani</t>
  </si>
  <si>
    <t xml:space="preserve">21200 Kittridge St Apt 3200 </t>
  </si>
  <si>
    <t xml:space="preserve">462 Arlington St </t>
  </si>
  <si>
    <t xml:space="preserve">52 Balls Hill Rd </t>
  </si>
  <si>
    <t>Bacci</t>
  </si>
  <si>
    <t>Buchanan</t>
  </si>
  <si>
    <t xml:space="preserve">350 W 4650 S </t>
  </si>
  <si>
    <t>Washington Terrace</t>
  </si>
  <si>
    <t>Hasted</t>
  </si>
  <si>
    <t xml:space="preserve">5 Deforest Rd </t>
  </si>
  <si>
    <t>Sears</t>
  </si>
  <si>
    <t xml:space="preserve">PO Box 22250 </t>
  </si>
  <si>
    <t>Boroush</t>
  </si>
  <si>
    <t>G. E.</t>
  </si>
  <si>
    <t xml:space="preserve">GRANT St </t>
  </si>
  <si>
    <t xml:space="preserve">339 N Jefferson Ave </t>
  </si>
  <si>
    <t xml:space="preserve">1903 Lucina Ct </t>
  </si>
  <si>
    <t>33908-1608</t>
  </si>
  <si>
    <t>Abdullah</t>
  </si>
  <si>
    <t xml:space="preserve">7078 Red House Rd </t>
  </si>
  <si>
    <t>Rustburg</t>
  </si>
  <si>
    <t>24588-3086</t>
  </si>
  <si>
    <t>Nikisha</t>
  </si>
  <si>
    <t xml:space="preserve">702 Cedar Hurst Road 702 Cedar Hurst Rd 702 Rd </t>
  </si>
  <si>
    <t xml:space="preserve">1205 Pacific Ave </t>
  </si>
  <si>
    <t>Mull</t>
  </si>
  <si>
    <t xml:space="preserve">150 Gina Ln Unit 1A </t>
  </si>
  <si>
    <t xml:space="preserve">42106 N CROOKED STICK Rd </t>
  </si>
  <si>
    <t>Troxler</t>
  </si>
  <si>
    <t xml:space="preserve">700 Bank St </t>
  </si>
  <si>
    <t xml:space="preserve">11095 Cassidy Trl </t>
  </si>
  <si>
    <t xml:space="preserve">208 57th St Apt A </t>
  </si>
  <si>
    <t xml:space="preserve">6415 Lakeshore Dr 6415 Lakeshore Dr 6415 Lake Dr </t>
  </si>
  <si>
    <t xml:space="preserve">1005 Villagio Cir Unit 101 </t>
  </si>
  <si>
    <t xml:space="preserve">24 Hawthorn Ave # 1A </t>
  </si>
  <si>
    <t>Werthman</t>
  </si>
  <si>
    <t xml:space="preserve">4501 S Land Park Dr </t>
  </si>
  <si>
    <t xml:space="preserve">277 Sheffield St </t>
  </si>
  <si>
    <t>Semprebon</t>
  </si>
  <si>
    <t xml:space="preserve">35 Cobblestone Rd </t>
  </si>
  <si>
    <t>Walderdorff</t>
  </si>
  <si>
    <t xml:space="preserve">6 Randall Rd </t>
  </si>
  <si>
    <t>Spector</t>
  </si>
  <si>
    <t xml:space="preserve">28 Spring St </t>
  </si>
  <si>
    <t>Bekkers</t>
  </si>
  <si>
    <t>Deurne</t>
  </si>
  <si>
    <t>NL</t>
  </si>
  <si>
    <t xml:space="preserve">291 Water St Ste B </t>
  </si>
  <si>
    <t xml:space="preserve">610 NW 34th Ave </t>
  </si>
  <si>
    <t xml:space="preserve">118 Linwood Dr </t>
  </si>
  <si>
    <t>Albemarle</t>
  </si>
  <si>
    <t>Handy</t>
  </si>
  <si>
    <t>Rollo</t>
  </si>
  <si>
    <t xml:space="preserve">750 Weaver Dairy Rd Apt 2213 </t>
  </si>
  <si>
    <t xml:space="preserve">2508 Cinder Rd </t>
  </si>
  <si>
    <t>Gilchriest</t>
  </si>
  <si>
    <t xml:space="preserve">1422 Varnum St NW </t>
  </si>
  <si>
    <t xml:space="preserve">9101 Eton Rd </t>
  </si>
  <si>
    <t xml:space="preserve">3359 N Chatham Rd </t>
  </si>
  <si>
    <t xml:space="preserve">574 Beechwood St </t>
  </si>
  <si>
    <t xml:space="preserve">233 Front St </t>
  </si>
  <si>
    <t>Schneck</t>
  </si>
  <si>
    <t xml:space="preserve">8074 Holbens Valley Rd </t>
  </si>
  <si>
    <t>Gallen</t>
  </si>
  <si>
    <t xml:space="preserve">228 Arborlea Ave </t>
  </si>
  <si>
    <t>Wishnosky</t>
  </si>
  <si>
    <t xml:space="preserve">11210 Falmouth Cir </t>
  </si>
  <si>
    <t>North Royalton</t>
  </si>
  <si>
    <t xml:space="preserve">574 E 4th St </t>
  </si>
  <si>
    <t>Swarts</t>
  </si>
  <si>
    <t xml:space="preserve">6801 Woodland Dr </t>
  </si>
  <si>
    <t xml:space="preserve">120 Pleasantview Dr </t>
  </si>
  <si>
    <t>Canonsburg</t>
  </si>
  <si>
    <t xml:space="preserve">278 Raintree Dr </t>
  </si>
  <si>
    <t xml:space="preserve">1905 Diana Rd </t>
  </si>
  <si>
    <t>Kingsport</t>
  </si>
  <si>
    <t>Inman</t>
  </si>
  <si>
    <t>Nita J</t>
  </si>
  <si>
    <t xml:space="preserve">1000 Harlan Dr </t>
  </si>
  <si>
    <t>Lavazzi</t>
  </si>
  <si>
    <t xml:space="preserve">10 Spruce St </t>
  </si>
  <si>
    <t xml:space="preserve">46690 Farabee Rd </t>
  </si>
  <si>
    <t xml:space="preserve">863 N Forest Ave </t>
  </si>
  <si>
    <t xml:space="preserve">MADISON Ave </t>
  </si>
  <si>
    <t>Banner</t>
  </si>
  <si>
    <t xml:space="preserve">1316 22nd St NE </t>
  </si>
  <si>
    <t>Hruska</t>
  </si>
  <si>
    <t xml:space="preserve">PO Box 81461 </t>
  </si>
  <si>
    <t xml:space="preserve">269 Bias Dr E # B </t>
  </si>
  <si>
    <t xml:space="preserve">22 Frazer Rd </t>
  </si>
  <si>
    <t>Rosel</t>
  </si>
  <si>
    <t xml:space="preserve">315 11th Ave Apt 1 </t>
  </si>
  <si>
    <t xml:space="preserve">65565 Acoma Ave Spc 12 </t>
  </si>
  <si>
    <t xml:space="preserve">755 Village Cir Apt 104 </t>
  </si>
  <si>
    <t>Thorensen</t>
  </si>
  <si>
    <t xml:space="preserve">240 Plateau Ave </t>
  </si>
  <si>
    <t xml:space="preserve">718 NH Route 10 </t>
  </si>
  <si>
    <t>Marlow</t>
  </si>
  <si>
    <t xml:space="preserve">4307 Minette Ct </t>
  </si>
  <si>
    <t>Mount Juliet</t>
  </si>
  <si>
    <t xml:space="preserve">21 W 21st St </t>
  </si>
  <si>
    <t xml:space="preserve">44401 E Hst Col Rvr Hwy </t>
  </si>
  <si>
    <t xml:space="preserve">6007 SW 27th Ter </t>
  </si>
  <si>
    <t>Gunay</t>
  </si>
  <si>
    <t>Zeki</t>
  </si>
  <si>
    <t xml:space="preserve">13619 Legacy Cir Apt N </t>
  </si>
  <si>
    <t xml:space="preserve">24320 Michigan Ave </t>
  </si>
  <si>
    <t xml:space="preserve">320 E Morningside Ave </t>
  </si>
  <si>
    <t>Lombard</t>
  </si>
  <si>
    <t>Vysotskiy</t>
  </si>
  <si>
    <t>Anton</t>
  </si>
  <si>
    <t xml:space="preserve">96 4 57 Ave Apt 8B </t>
  </si>
  <si>
    <t>Lockwood</t>
  </si>
  <si>
    <t xml:space="preserve">PO Box 55 </t>
  </si>
  <si>
    <t>New Palestine</t>
  </si>
  <si>
    <t>Michales</t>
  </si>
  <si>
    <t xml:space="preserve">4411 Vinegar Hill Rd </t>
  </si>
  <si>
    <t>Vulte</t>
  </si>
  <si>
    <t xml:space="preserve">27 Williston St </t>
  </si>
  <si>
    <t>Hirschenhofer</t>
  </si>
  <si>
    <t xml:space="preserve">12 Tuckerdale Way </t>
  </si>
  <si>
    <t>Millis</t>
  </si>
  <si>
    <t>Shepard Salzer</t>
  </si>
  <si>
    <t xml:space="preserve">104 Otis St # 2 </t>
  </si>
  <si>
    <t xml:space="preserve">349 Adams St </t>
  </si>
  <si>
    <t>Lohser</t>
  </si>
  <si>
    <t>Beate</t>
  </si>
  <si>
    <t xml:space="preserve">3616 Monterey Blvd </t>
  </si>
  <si>
    <t>Heigl</t>
  </si>
  <si>
    <t xml:space="preserve">601 Greenfield Ave </t>
  </si>
  <si>
    <t xml:space="preserve">2788 E Verde Ave </t>
  </si>
  <si>
    <t>Vane</t>
  </si>
  <si>
    <t>Marle</t>
  </si>
  <si>
    <t xml:space="preserve">HAVENSIDE Dr </t>
  </si>
  <si>
    <t>Faia</t>
  </si>
  <si>
    <t xml:space="preserve">130 Camino Pacifico </t>
  </si>
  <si>
    <t>Joncus</t>
  </si>
  <si>
    <t xml:space="preserve">25 Dongan Pl </t>
  </si>
  <si>
    <t>Hammett</t>
  </si>
  <si>
    <t xml:space="preserve">851 Persimmon Hill Dr </t>
  </si>
  <si>
    <t>Czuczak</t>
  </si>
  <si>
    <t xml:space="preserve">13921 SE 274th St </t>
  </si>
  <si>
    <t>Mottet</t>
  </si>
  <si>
    <t xml:space="preserve">916 Skyline View Dr </t>
  </si>
  <si>
    <t>Lasko</t>
  </si>
  <si>
    <t xml:space="preserve">175 W 93rd St # ST16F </t>
  </si>
  <si>
    <t>Henze</t>
  </si>
  <si>
    <t xml:space="preserve">722 Mathews St </t>
  </si>
  <si>
    <t>Wilks</t>
  </si>
  <si>
    <t xml:space="preserve">1312 E Denny Way </t>
  </si>
  <si>
    <t>Reynoso</t>
  </si>
  <si>
    <t xml:space="preserve">2237 Dalis Dr </t>
  </si>
  <si>
    <t xml:space="preserve">324 Tern Ct </t>
  </si>
  <si>
    <t>Kill Devil Hills</t>
  </si>
  <si>
    <t>Donna Rae</t>
  </si>
  <si>
    <t xml:space="preserve">2250 Monroe St Apt 148 </t>
  </si>
  <si>
    <t xml:space="preserve">19 Channel Vw Unit 1 </t>
  </si>
  <si>
    <t xml:space="preserve">3801 Chilberg Pl SW </t>
  </si>
  <si>
    <t>K B</t>
  </si>
  <si>
    <t>Rinehart</t>
  </si>
  <si>
    <t xml:space="preserve">2037 Mcmullen Ave </t>
  </si>
  <si>
    <t xml:space="preserve">3301 Cranehill Dr </t>
  </si>
  <si>
    <t>Lynchburg</t>
  </si>
  <si>
    <t>Drody</t>
  </si>
  <si>
    <t xml:space="preserve">200 S 5th Ave </t>
  </si>
  <si>
    <t xml:space="preserve">PO Box 280 </t>
  </si>
  <si>
    <t>Hummer</t>
  </si>
  <si>
    <t xml:space="preserve">4501 Elmer Derr Rd </t>
  </si>
  <si>
    <t>Multer</t>
  </si>
  <si>
    <t xml:space="preserve">243 E High St </t>
  </si>
  <si>
    <t>Waynesburg</t>
  </si>
  <si>
    <t xml:space="preserve">PO Box 110 </t>
  </si>
  <si>
    <t>Tannersville</t>
  </si>
  <si>
    <t>Rotem</t>
  </si>
  <si>
    <t>Oded</t>
  </si>
  <si>
    <t>Sundberg</t>
  </si>
  <si>
    <t xml:space="preserve">6019 30Th Avenue Dr </t>
  </si>
  <si>
    <t xml:space="preserve">165 E 400 S Trlr 1 </t>
  </si>
  <si>
    <t>Revesz</t>
  </si>
  <si>
    <t>Cedar Grove</t>
  </si>
  <si>
    <t>Thiensville</t>
  </si>
  <si>
    <t xml:space="preserve">6231 Eaglebrook Ave </t>
  </si>
  <si>
    <t xml:space="preserve">15TH Ave </t>
  </si>
  <si>
    <t xml:space="preserve">1068 E12 St </t>
  </si>
  <si>
    <t xml:space="preserve">3614 N Bosworth Ave Frnt 3 </t>
  </si>
  <si>
    <t xml:space="preserve">146 Vernon St </t>
  </si>
  <si>
    <t>Northway</t>
  </si>
  <si>
    <t xml:space="preserve">575 Shorewood Dr </t>
  </si>
  <si>
    <t xml:space="preserve">PO Box 502 </t>
  </si>
  <si>
    <t xml:space="preserve">3824 N OAKLAND ARLINGTON </t>
  </si>
  <si>
    <t>Cosino</t>
  </si>
  <si>
    <t xml:space="preserve">303 Quail Run Cir </t>
  </si>
  <si>
    <t>Fountain Inn</t>
  </si>
  <si>
    <t>Shabazian</t>
  </si>
  <si>
    <t xml:space="preserve">16816 Simonds Street Granada Hls </t>
  </si>
  <si>
    <t>Li</t>
  </si>
  <si>
    <t xml:space="preserve">29 Bay 46Th St </t>
  </si>
  <si>
    <t xml:space="preserve">8015 Oconnor Dr </t>
  </si>
  <si>
    <t xml:space="preserve">9225 N State Highway 3 </t>
  </si>
  <si>
    <t>Fort Jones</t>
  </si>
  <si>
    <t xml:space="preserve">150 Woodway Dr </t>
  </si>
  <si>
    <t>Chuplis</t>
  </si>
  <si>
    <t xml:space="preserve">PO Box 167MI </t>
  </si>
  <si>
    <t xml:space="preserve">42 Sunset Ct </t>
  </si>
  <si>
    <t>Duran</t>
  </si>
  <si>
    <t xml:space="preserve">4747 Markham Woods Ct </t>
  </si>
  <si>
    <t>Eisentrager</t>
  </si>
  <si>
    <t xml:space="preserve">7501 Whitestone Dr </t>
  </si>
  <si>
    <t xml:space="preserve">116 Sea Anchor Dr </t>
  </si>
  <si>
    <t>Osprey</t>
  </si>
  <si>
    <t>A. L.</t>
  </si>
  <si>
    <t xml:space="preserve">1712 Winmar Dr </t>
  </si>
  <si>
    <t>Spires</t>
  </si>
  <si>
    <t xml:space="preserve">4325 NE 125th Pl </t>
  </si>
  <si>
    <t xml:space="preserve">6703 NW 7th St </t>
  </si>
  <si>
    <t xml:space="preserve">90160 NELSON MOUNTAIN Rd </t>
  </si>
  <si>
    <t>Deadwood</t>
  </si>
  <si>
    <t>Kleinpeter</t>
  </si>
  <si>
    <t xml:space="preserve">1109 E 16th St S </t>
  </si>
  <si>
    <t>Crowgey</t>
  </si>
  <si>
    <t xml:space="preserve">1233 Copper Stone Cir </t>
  </si>
  <si>
    <t>Panock</t>
  </si>
  <si>
    <t xml:space="preserve">2357 Sunshine Ln </t>
  </si>
  <si>
    <t>Coffey</t>
  </si>
  <si>
    <t xml:space="preserve">10 N747 PRAIRIE Xing </t>
  </si>
  <si>
    <t>Clarson</t>
  </si>
  <si>
    <t xml:space="preserve">320 W 25th St </t>
  </si>
  <si>
    <t xml:space="preserve">506 Broadway Pl </t>
  </si>
  <si>
    <t>Salmon</t>
  </si>
  <si>
    <t xml:space="preserve">210 Gunsmoke Dr </t>
  </si>
  <si>
    <t xml:space="preserve">5551 W 63rd St Apt STE </t>
  </si>
  <si>
    <t xml:space="preserve">720 Happy Hollow Ct </t>
  </si>
  <si>
    <t>Y</t>
  </si>
  <si>
    <t xml:space="preserve">KENRICK St </t>
  </si>
  <si>
    <t>Deveto</t>
  </si>
  <si>
    <t xml:space="preserve">316 E 93rd St Apt 17 </t>
  </si>
  <si>
    <t>Child</t>
  </si>
  <si>
    <t xml:space="preserve">2332 Scottwood Ave </t>
  </si>
  <si>
    <t xml:space="preserve">2643 W Virginia St </t>
  </si>
  <si>
    <t>Nydam</t>
  </si>
  <si>
    <t xml:space="preserve">44 Briarwood Cir </t>
  </si>
  <si>
    <t>Needham Heights</t>
  </si>
  <si>
    <t>Gowan</t>
  </si>
  <si>
    <t xml:space="preserve">1925 Sparrows Point Dr </t>
  </si>
  <si>
    <t>Donegan</t>
  </si>
  <si>
    <t xml:space="preserve">231 N Evergreen Dr </t>
  </si>
  <si>
    <t>Selden</t>
  </si>
  <si>
    <t xml:space="preserve">WOODBRIDGE Trl </t>
  </si>
  <si>
    <t xml:space="preserve">3661 Partridge Path Apt 1 </t>
  </si>
  <si>
    <t xml:space="preserve">21400 Dushane Pkwy Apt 111 </t>
  </si>
  <si>
    <t>Rose Marie</t>
  </si>
  <si>
    <t xml:space="preserve">612 S Dunsmuir Ave Apt 7 </t>
  </si>
  <si>
    <t xml:space="preserve">831 University St # A </t>
  </si>
  <si>
    <t>Powers</t>
  </si>
  <si>
    <t xml:space="preserve">18 7th St </t>
  </si>
  <si>
    <t xml:space="preserve">12264 Caminita Pl </t>
  </si>
  <si>
    <t>Shifrin</t>
  </si>
  <si>
    <t xml:space="preserve">600 W 239th St Apt 2H </t>
  </si>
  <si>
    <t>Jaskowitz</t>
  </si>
  <si>
    <t xml:space="preserve">121 7th Ave # NY11215 </t>
  </si>
  <si>
    <t xml:space="preserve">11651 W Biscayne Canal Rd </t>
  </si>
  <si>
    <t>Rodehaver</t>
  </si>
  <si>
    <t xml:space="preserve">2021 N Atlantic Ave # 79 </t>
  </si>
  <si>
    <t>Akina</t>
  </si>
  <si>
    <t>Daya</t>
  </si>
  <si>
    <t xml:space="preserve">45 -170 Lehuuila Pl </t>
  </si>
  <si>
    <t>Pernick</t>
  </si>
  <si>
    <t xml:space="preserve">2803 Janet Ave </t>
  </si>
  <si>
    <t>North Bellmore</t>
  </si>
  <si>
    <t>Braico</t>
  </si>
  <si>
    <t xml:space="preserve">10 Ashley Pl </t>
  </si>
  <si>
    <t>Queensbury</t>
  </si>
  <si>
    <t xml:space="preserve">1920 S Laflin St </t>
  </si>
  <si>
    <t>Drysdale</t>
  </si>
  <si>
    <t>Mil</t>
  </si>
  <si>
    <t xml:space="preserve">88 Lexington Ave </t>
  </si>
  <si>
    <t xml:space="preserve">25 Rawson St </t>
  </si>
  <si>
    <t>Lippiello</t>
  </si>
  <si>
    <t xml:space="preserve">2467 State Route 10 Bldg 45-1B </t>
  </si>
  <si>
    <t xml:space="preserve">6438 S Warner St </t>
  </si>
  <si>
    <t xml:space="preserve">20882 Isherwood Ter Apt 300 </t>
  </si>
  <si>
    <t xml:space="preserve">486 Forest St </t>
  </si>
  <si>
    <t>Santa Rosa Beach</t>
  </si>
  <si>
    <t>32459-0815</t>
  </si>
  <si>
    <t>Boye</t>
  </si>
  <si>
    <t xml:space="preserve">560 Watervliet Shaker Rd </t>
  </si>
  <si>
    <t>Latham</t>
  </si>
  <si>
    <t>Marocchino</t>
  </si>
  <si>
    <t xml:space="preserve">California State University Maritime </t>
  </si>
  <si>
    <t xml:space="preserve">PO Box 980 </t>
  </si>
  <si>
    <t>J Robert</t>
  </si>
  <si>
    <t xml:space="preserve">15498 W Ellsworth Dr </t>
  </si>
  <si>
    <t>Goodson</t>
  </si>
  <si>
    <t xml:space="preserve">849 E Gulf Beach Dr </t>
  </si>
  <si>
    <t>Saint George Island</t>
  </si>
  <si>
    <t>Lacy Jr</t>
  </si>
  <si>
    <t>William C</t>
  </si>
  <si>
    <t xml:space="preserve">13 Lakeview Cir </t>
  </si>
  <si>
    <t xml:space="preserve">9530 Crosspointe Dr </t>
  </si>
  <si>
    <t>Fairfax Station</t>
  </si>
  <si>
    <t xml:space="preserve">3112 Harwich Ct </t>
  </si>
  <si>
    <t>Zywan</t>
  </si>
  <si>
    <t>Katherine Barrett</t>
  </si>
  <si>
    <t xml:space="preserve">3914 Beech Ave </t>
  </si>
  <si>
    <t xml:space="preserve">12761 Bucklund Rd </t>
  </si>
  <si>
    <t>Grantsburg</t>
  </si>
  <si>
    <t>Rifka</t>
  </si>
  <si>
    <t xml:space="preserve">221 Indianapolis Ave # B </t>
  </si>
  <si>
    <t xml:space="preserve">1070 N Milwaukee Ave </t>
  </si>
  <si>
    <t>Hereda</t>
  </si>
  <si>
    <t xml:space="preserve">1348 Glen Moore Cir </t>
  </si>
  <si>
    <t>Millar</t>
  </si>
  <si>
    <t xml:space="preserve">10450 Paseo De Linda </t>
  </si>
  <si>
    <t>Fredette</t>
  </si>
  <si>
    <t xml:space="preserve">7 Peachtree Ln </t>
  </si>
  <si>
    <t xml:space="preserve">1002 NE 105th St </t>
  </si>
  <si>
    <t xml:space="preserve">818 Covert Ave </t>
  </si>
  <si>
    <t xml:space="preserve">12633 Sabal Park Dr Apt 304 </t>
  </si>
  <si>
    <t>Pineville</t>
  </si>
  <si>
    <t>Easson</t>
  </si>
  <si>
    <t xml:space="preserve">1373 Snow Hill Ln </t>
  </si>
  <si>
    <t>St George</t>
  </si>
  <si>
    <t>Derbyshire</t>
  </si>
  <si>
    <t xml:space="preserve">PO Box 144 </t>
  </si>
  <si>
    <t>Leskiw</t>
  </si>
  <si>
    <t xml:space="preserve">155 Kara Ln </t>
  </si>
  <si>
    <t xml:space="preserve">290 E Anderson Rd </t>
  </si>
  <si>
    <t xml:space="preserve">4456 F St </t>
  </si>
  <si>
    <t>Tomsky</t>
  </si>
  <si>
    <t xml:space="preserve">1515 33rd St </t>
  </si>
  <si>
    <t xml:space="preserve">93 E Genesee St </t>
  </si>
  <si>
    <t>Arnone</t>
  </si>
  <si>
    <t xml:space="preserve">1504 Avenue H # 2F </t>
  </si>
  <si>
    <t xml:space="preserve">1050 Etherton Dr </t>
  </si>
  <si>
    <t xml:space="preserve">3850 Johnson Young Rd </t>
  </si>
  <si>
    <t>Congo</t>
  </si>
  <si>
    <t xml:space="preserve">409 San Bernabe Dr </t>
  </si>
  <si>
    <t xml:space="preserve">202 N 58th St </t>
  </si>
  <si>
    <t>Sichterman</t>
  </si>
  <si>
    <t xml:space="preserve">23984 Waterview Dr </t>
  </si>
  <si>
    <t>New Boston</t>
  </si>
  <si>
    <t xml:space="preserve">4021 Cranbrook Dr </t>
  </si>
  <si>
    <t xml:space="preserve">5 5460 Neal Rd 5460 Neal Rd </t>
  </si>
  <si>
    <t>Ramos-Copenhaver</t>
  </si>
  <si>
    <t xml:space="preserve">710 Union St </t>
  </si>
  <si>
    <t>Majors</t>
  </si>
  <si>
    <t xml:space="preserve">75 Dore St Apt 407 </t>
  </si>
  <si>
    <t>Trowbridge</t>
  </si>
  <si>
    <t xml:space="preserve">1231 Autumn Run Dr </t>
  </si>
  <si>
    <t xml:space="preserve">138 Lyman St Apt 9 </t>
  </si>
  <si>
    <t>Kadlec</t>
  </si>
  <si>
    <t xml:space="preserve">143 Pine Cone Dr </t>
  </si>
  <si>
    <t xml:space="preserve">20 Farmers Mills Rd # B </t>
  </si>
  <si>
    <t>Bazylewski</t>
  </si>
  <si>
    <t xml:space="preserve">1812 Washington St Apt 1 </t>
  </si>
  <si>
    <t>Sayle</t>
  </si>
  <si>
    <t>Suzy</t>
  </si>
  <si>
    <t xml:space="preserve">3495 WHISTLER Rd </t>
  </si>
  <si>
    <t>Steamboat Springs</t>
  </si>
  <si>
    <t xml:space="preserve">2575 Mcmillan St </t>
  </si>
  <si>
    <t xml:space="preserve">10605 44th Ave N Apt A </t>
  </si>
  <si>
    <t>Maxson</t>
  </si>
  <si>
    <t xml:space="preserve">ADA </t>
  </si>
  <si>
    <t xml:space="preserve">323 S Heathwood Dr </t>
  </si>
  <si>
    <t>Marco Island</t>
  </si>
  <si>
    <t>Kamman</t>
  </si>
  <si>
    <t xml:space="preserve">123 Sawyer St Unit 5 </t>
  </si>
  <si>
    <t>Ezero</t>
  </si>
  <si>
    <t xml:space="preserve">MAIN St </t>
  </si>
  <si>
    <t>Peru</t>
  </si>
  <si>
    <t>Beal</t>
  </si>
  <si>
    <t xml:space="preserve">1643 Willowdale Rd </t>
  </si>
  <si>
    <t xml:space="preserve">223 Fieldcrest Dr </t>
  </si>
  <si>
    <t>Sheena</t>
  </si>
  <si>
    <t xml:space="preserve">985 Albion St </t>
  </si>
  <si>
    <t xml:space="preserve">PO Box 305 </t>
  </si>
  <si>
    <t xml:space="preserve">306 Miggins Rd </t>
  </si>
  <si>
    <t xml:space="preserve">510 Sibley St Apt 205 </t>
  </si>
  <si>
    <t xml:space="preserve">705 E Union Ave </t>
  </si>
  <si>
    <t xml:space="preserve">59344 Lacombe Harbor Rd </t>
  </si>
  <si>
    <t>Lacombe</t>
  </si>
  <si>
    <t>McClue</t>
  </si>
  <si>
    <t xml:space="preserve">3223 Abbey Way </t>
  </si>
  <si>
    <t xml:space="preserve">13310 Paloma Dr </t>
  </si>
  <si>
    <t>Alger</t>
  </si>
  <si>
    <t xml:space="preserve">1843 Kennedy Rd </t>
  </si>
  <si>
    <t xml:space="preserve">9357 Lake Murray Blvd </t>
  </si>
  <si>
    <t>Bane</t>
  </si>
  <si>
    <t xml:space="preserve">19846 Grace Haven Way </t>
  </si>
  <si>
    <t>Alderman</t>
  </si>
  <si>
    <t xml:space="preserve">92168 Lewis And Clark Rd </t>
  </si>
  <si>
    <t>Shea</t>
  </si>
  <si>
    <t xml:space="preserve">200 S Olive St Apt 205 </t>
  </si>
  <si>
    <t>Waconia</t>
  </si>
  <si>
    <t xml:space="preserve">4215 Spring St Ste 212 </t>
  </si>
  <si>
    <t xml:space="preserve">981 Silvercrest Dr </t>
  </si>
  <si>
    <t>Canning</t>
  </si>
  <si>
    <t xml:space="preserve">706 W End Cres S Fl 33803 </t>
  </si>
  <si>
    <t>J. David</t>
  </si>
  <si>
    <t xml:space="preserve">24 S 12th St </t>
  </si>
  <si>
    <t>Linn</t>
  </si>
  <si>
    <t xml:space="preserve">B12 Las Gaviotas </t>
  </si>
  <si>
    <t xml:space="preserve">1050 3rd St Apt E603 </t>
  </si>
  <si>
    <t xml:space="preserve">56 Shirley Ave </t>
  </si>
  <si>
    <t>Fishkill</t>
  </si>
  <si>
    <t xml:space="preserve">1214 N Mascher St </t>
  </si>
  <si>
    <t>Buckner</t>
  </si>
  <si>
    <t xml:space="preserve">2242 Robin Dr 2242 Robin Dr 2242 Robin Dr </t>
  </si>
  <si>
    <t xml:space="preserve">1449 Lakeview Ave S </t>
  </si>
  <si>
    <t xml:space="preserve">GARDEN PARK Dr </t>
  </si>
  <si>
    <t xml:space="preserve">10 Quail Holw </t>
  </si>
  <si>
    <t>Stratham</t>
  </si>
  <si>
    <t xml:space="preserve">1380 Serenity </t>
  </si>
  <si>
    <t>Girolami</t>
  </si>
  <si>
    <t xml:space="preserve">5516 105th Ave NE </t>
  </si>
  <si>
    <t>David And Linda</t>
  </si>
  <si>
    <t xml:space="preserve">117 N Fargo St </t>
  </si>
  <si>
    <t>Elliana</t>
  </si>
  <si>
    <t xml:space="preserve">13415 Bladon Rd </t>
  </si>
  <si>
    <t xml:space="preserve">511 E 8th St Apt 3 </t>
  </si>
  <si>
    <t xml:space="preserve">16202 Buccaneer Ln </t>
  </si>
  <si>
    <t xml:space="preserve">902 S Corona St </t>
  </si>
  <si>
    <t>Koeppe</t>
  </si>
  <si>
    <t xml:space="preserve">306 4th St </t>
  </si>
  <si>
    <t>Rolfe</t>
  </si>
  <si>
    <t>Fort Edward</t>
  </si>
  <si>
    <t xml:space="preserve">1103 Hearts Content Rd </t>
  </si>
  <si>
    <t>Round Top</t>
  </si>
  <si>
    <t>Reuter</t>
  </si>
  <si>
    <t xml:space="preserve">5261 S Civano Blvd </t>
  </si>
  <si>
    <t>Fogel</t>
  </si>
  <si>
    <t xml:space="preserve">8210 Wisner Ave </t>
  </si>
  <si>
    <t>Panorama City</t>
  </si>
  <si>
    <t>91402-4518</t>
  </si>
  <si>
    <t>Chalfin</t>
  </si>
  <si>
    <t xml:space="preserve">FRAMINGHAM </t>
  </si>
  <si>
    <t>Economides</t>
  </si>
  <si>
    <t>Cristina Economides</t>
  </si>
  <si>
    <t xml:space="preserve">PATISSION 59 ATHENS GREECE </t>
  </si>
  <si>
    <t>Axel</t>
  </si>
  <si>
    <t xml:space="preserve">R Schneider </t>
  </si>
  <si>
    <t xml:space="preserve">133 Sylvan Way </t>
  </si>
  <si>
    <t>Bolz</t>
  </si>
  <si>
    <t xml:space="preserve">310 E Monte Vista Ave Ste B </t>
  </si>
  <si>
    <t xml:space="preserve">3061 Vera Vista Path </t>
  </si>
  <si>
    <t>Gracie</t>
  </si>
  <si>
    <t xml:space="preserve">5622 Raleigh Rd </t>
  </si>
  <si>
    <t xml:space="preserve">1204 Dorothy Ave </t>
  </si>
  <si>
    <t>Robeson</t>
  </si>
  <si>
    <t xml:space="preserve">15504 N Fircrest Cir # WA99208 </t>
  </si>
  <si>
    <t xml:space="preserve">41323 Waukeenah Dr </t>
  </si>
  <si>
    <t xml:space="preserve">4945 Mark Dabling Blvd Lot 117 </t>
  </si>
  <si>
    <t>Meeks</t>
  </si>
  <si>
    <t>Helene Carol</t>
  </si>
  <si>
    <t xml:space="preserve">908 Pope Way </t>
  </si>
  <si>
    <t>Gothold</t>
  </si>
  <si>
    <t xml:space="preserve">10121 Pounds Ave </t>
  </si>
  <si>
    <t>Karine</t>
  </si>
  <si>
    <t xml:space="preserve">PO34 </t>
  </si>
  <si>
    <t>Koerper</t>
  </si>
  <si>
    <t>Dr. Mj</t>
  </si>
  <si>
    <t xml:space="preserve">PO Box 132 </t>
  </si>
  <si>
    <t>Wrightwood</t>
  </si>
  <si>
    <t xml:space="preserve">3501 Lunar Dr </t>
  </si>
  <si>
    <t xml:space="preserve">13901 Shell Point Plz </t>
  </si>
  <si>
    <t>Morillo</t>
  </si>
  <si>
    <t>Alba</t>
  </si>
  <si>
    <t xml:space="preserve">160 Greenwood St Unit 2 </t>
  </si>
  <si>
    <t xml:space="preserve">218 1st Ave SE </t>
  </si>
  <si>
    <t>Ronan</t>
  </si>
  <si>
    <t xml:space="preserve">15 E Putnam Ave </t>
  </si>
  <si>
    <t>Butkiewicz</t>
  </si>
  <si>
    <t xml:space="preserve">14560 Lakeside Cir Apt 132 </t>
  </si>
  <si>
    <t>Sullo</t>
  </si>
  <si>
    <t xml:space="preserve">6406 Old Sauk Rd </t>
  </si>
  <si>
    <t>Leon And Marlene</t>
  </si>
  <si>
    <t xml:space="preserve">2811 Henry Ct NW </t>
  </si>
  <si>
    <t>Lonnie</t>
  </si>
  <si>
    <t xml:space="preserve">1109 Augustin Dr </t>
  </si>
  <si>
    <t>Munhall</t>
  </si>
  <si>
    <t xml:space="preserve">KICK HILL Rd </t>
  </si>
  <si>
    <t>Gottschalk</t>
  </si>
  <si>
    <t xml:space="preserve">523 Spinnaker Ln Apt G </t>
  </si>
  <si>
    <t>Van Alstyne</t>
  </si>
  <si>
    <t xml:space="preserve">254 E Thornberry Dr </t>
  </si>
  <si>
    <t xml:space="preserve">522 E Claremont St </t>
  </si>
  <si>
    <t>Buzz</t>
  </si>
  <si>
    <t xml:space="preserve">441 Ohio Ave </t>
  </si>
  <si>
    <t>Erwin</t>
  </si>
  <si>
    <t xml:space="preserve">199 Spring Rd </t>
  </si>
  <si>
    <t>Schupmann Khatibi</t>
  </si>
  <si>
    <t xml:space="preserve">1122 Gilbert Ave Apt 219 </t>
  </si>
  <si>
    <t xml:space="preserve">4110 118TH Ave NE </t>
  </si>
  <si>
    <t>Tiffany Von</t>
  </si>
  <si>
    <t xml:space="preserve">36 N 3rd St Apt 1 </t>
  </si>
  <si>
    <t>Mandel</t>
  </si>
  <si>
    <t xml:space="preserve">4661 Da Vinci St </t>
  </si>
  <si>
    <t xml:space="preserve">145 Calvert Ct </t>
  </si>
  <si>
    <t>Pozas</t>
  </si>
  <si>
    <t xml:space="preserve">13822 NW 16th St </t>
  </si>
  <si>
    <t>Armand</t>
  </si>
  <si>
    <t xml:space="preserve">863 Woodville Rd </t>
  </si>
  <si>
    <t>Holliday</t>
  </si>
  <si>
    <t xml:space="preserve">5604 Old Willow Ct </t>
  </si>
  <si>
    <t xml:space="preserve">508 Nimitz Ave </t>
  </si>
  <si>
    <t>Makala</t>
  </si>
  <si>
    <t xml:space="preserve">371 Delaware Rd </t>
  </si>
  <si>
    <t>Maizel</t>
  </si>
  <si>
    <t>Yefim</t>
  </si>
  <si>
    <t xml:space="preserve">5025 Diamond Heights Blvd </t>
  </si>
  <si>
    <t xml:space="preserve">4817 Mount Elbrus Dr </t>
  </si>
  <si>
    <t>Bagwell-Stephens</t>
  </si>
  <si>
    <t xml:space="preserve">812 3rd Ave </t>
  </si>
  <si>
    <t>Thorne</t>
  </si>
  <si>
    <t xml:space="preserve">29 Creekside Cir </t>
  </si>
  <si>
    <t>Caffrey</t>
  </si>
  <si>
    <t xml:space="preserve">103 E 6th St </t>
  </si>
  <si>
    <t>Windman</t>
  </si>
  <si>
    <t xml:space="preserve">7850 Walker Dr Ste 110 </t>
  </si>
  <si>
    <t>Marullo</t>
  </si>
  <si>
    <t>E. C.</t>
  </si>
  <si>
    <t xml:space="preserve">3038 Willing Ave </t>
  </si>
  <si>
    <t>Rev Susan</t>
  </si>
  <si>
    <t xml:space="preserve">656 Sand Hill Rd </t>
  </si>
  <si>
    <t xml:space="preserve">5323 Lenora Ave </t>
  </si>
  <si>
    <t xml:space="preserve">15518 Royal Ridge Rd </t>
  </si>
  <si>
    <t>Lowrance</t>
  </si>
  <si>
    <t xml:space="preserve">620 N Oak Tree Rd </t>
  </si>
  <si>
    <t>Parkersburg</t>
  </si>
  <si>
    <t>Eddy</t>
  </si>
  <si>
    <t xml:space="preserve">5021 Lydney Cir </t>
  </si>
  <si>
    <t>Forsberg</t>
  </si>
  <si>
    <t xml:space="preserve">992 Cedar Cir </t>
  </si>
  <si>
    <t xml:space="preserve">911 Louisiana Ave </t>
  </si>
  <si>
    <t xml:space="preserve">304 Brooksby Village Dr Unit 301 </t>
  </si>
  <si>
    <t xml:space="preserve">9153 Pristine Cir </t>
  </si>
  <si>
    <t xml:space="preserve">6801 Delaware St </t>
  </si>
  <si>
    <t>Burkhardt</t>
  </si>
  <si>
    <t xml:space="preserve">332 PO OF332 </t>
  </si>
  <si>
    <t>Santa Margarita</t>
  </si>
  <si>
    <t>Parvana</t>
  </si>
  <si>
    <t xml:space="preserve">31 Mapleridge Ave # B </t>
  </si>
  <si>
    <t>Halfmoon</t>
  </si>
  <si>
    <t>Spiegel</t>
  </si>
  <si>
    <t>Edwyna</t>
  </si>
  <si>
    <t xml:space="preserve">504 S 20th St Apt C </t>
  </si>
  <si>
    <t>Gerrard</t>
  </si>
  <si>
    <t xml:space="preserve">1090 Via Capassi Way </t>
  </si>
  <si>
    <t xml:space="preserve">35399 Ridge Route Rd </t>
  </si>
  <si>
    <t>Murchison</t>
  </si>
  <si>
    <t xml:space="preserve">17 Camino Encantado </t>
  </si>
  <si>
    <t>Whittingham</t>
  </si>
  <si>
    <t xml:space="preserve">Lisa Whittingham </t>
  </si>
  <si>
    <t>Bezold</t>
  </si>
  <si>
    <t xml:space="preserve">2604 Madaline Dr </t>
  </si>
  <si>
    <t>Avenel</t>
  </si>
  <si>
    <t>Mrs. Rl</t>
  </si>
  <si>
    <t xml:space="preserve">SW OAK St </t>
  </si>
  <si>
    <t xml:space="preserve">6916 S Salt Cedar Rd </t>
  </si>
  <si>
    <t xml:space="preserve">190 Tomlinson Ave </t>
  </si>
  <si>
    <t>Pav</t>
  </si>
  <si>
    <t xml:space="preserve">99 Scotland Rd </t>
  </si>
  <si>
    <t>Newbury</t>
  </si>
  <si>
    <t xml:space="preserve">812 Thatcher Ct </t>
  </si>
  <si>
    <t>Brostek</t>
  </si>
  <si>
    <t xml:space="preserve">5298 SE Moseley Dr </t>
  </si>
  <si>
    <t>Forde</t>
  </si>
  <si>
    <t xml:space="preserve">Corliss, Killeshandra, </t>
  </si>
  <si>
    <t>Capay</t>
  </si>
  <si>
    <t xml:space="preserve">102 N 45th St Apt 1 </t>
  </si>
  <si>
    <t xml:space="preserve">PO Box 95 </t>
  </si>
  <si>
    <t>Katz-Frech</t>
  </si>
  <si>
    <t xml:space="preserve">7255 N Ridge Blvd </t>
  </si>
  <si>
    <t>Vandervere</t>
  </si>
  <si>
    <t xml:space="preserve">1026 2nd St </t>
  </si>
  <si>
    <t>Bangor</t>
  </si>
  <si>
    <t>Lesher</t>
  </si>
  <si>
    <t>Annabel</t>
  </si>
  <si>
    <t xml:space="preserve">26965 Miles River Rd </t>
  </si>
  <si>
    <t>21601-5017</t>
  </si>
  <si>
    <t>Strohm</t>
  </si>
  <si>
    <t xml:space="preserve">75 Pescadero Rd </t>
  </si>
  <si>
    <t>La Honda</t>
  </si>
  <si>
    <t xml:space="preserve">3629 Waynart Ct </t>
  </si>
  <si>
    <t>Gruber</t>
  </si>
  <si>
    <t xml:space="preserve">275 Cedar Glen Dr 275 Cedar Glen Dr 275 Ceda Dr </t>
  </si>
  <si>
    <t xml:space="preserve">349 Savannah Garden Dr </t>
  </si>
  <si>
    <t xml:space="preserve">1438 Alameda De Las Pulgas </t>
  </si>
  <si>
    <t xml:space="preserve">105 Shaver Ave # 18 </t>
  </si>
  <si>
    <t>N Syracuse</t>
  </si>
  <si>
    <t>Winterling</t>
  </si>
  <si>
    <t xml:space="preserve">740 17th Ave </t>
  </si>
  <si>
    <t>Nalven</t>
  </si>
  <si>
    <t xml:space="preserve">14738 Shadowbrook Ct </t>
  </si>
  <si>
    <t xml:space="preserve">380 Mead Rd </t>
  </si>
  <si>
    <t>Dannebrog</t>
  </si>
  <si>
    <t xml:space="preserve">3205 La Mancha Dr NW </t>
  </si>
  <si>
    <t>87104-3013</t>
  </si>
  <si>
    <t xml:space="preserve">73 Turtleback Rd </t>
  </si>
  <si>
    <t>Nixon</t>
  </si>
  <si>
    <t>Carlis</t>
  </si>
  <si>
    <t xml:space="preserve">WILSON Ct </t>
  </si>
  <si>
    <t>McMclaughlin</t>
  </si>
  <si>
    <t xml:space="preserve">1357 Churchill Cir </t>
  </si>
  <si>
    <t>Abramczyk</t>
  </si>
  <si>
    <t>Casimir</t>
  </si>
  <si>
    <t xml:space="preserve">6737 Sherri St </t>
  </si>
  <si>
    <t>Marquez</t>
  </si>
  <si>
    <t xml:space="preserve">1373 Fillmore St Apt 704 </t>
  </si>
  <si>
    <t>McClinton</t>
  </si>
  <si>
    <t xml:space="preserve">W WOOD St </t>
  </si>
  <si>
    <t>Fulton</t>
  </si>
  <si>
    <t xml:space="preserve">2222 Old Highway 431 S </t>
  </si>
  <si>
    <t>Greenbrier</t>
  </si>
  <si>
    <t>Hagen</t>
  </si>
  <si>
    <t xml:space="preserve">15345 Carpenter Rd </t>
  </si>
  <si>
    <t xml:space="preserve">3007 Lake Butler Ct </t>
  </si>
  <si>
    <t xml:space="preserve">302 HIGHLAND </t>
  </si>
  <si>
    <t xml:space="preserve">55 Fern Crst </t>
  </si>
  <si>
    <t>Ottsville</t>
  </si>
  <si>
    <t xml:space="preserve">21035 Bryant St </t>
  </si>
  <si>
    <t>Marso</t>
  </si>
  <si>
    <t>Jones Mills</t>
  </si>
  <si>
    <t xml:space="preserve">51 Creagan Ave </t>
  </si>
  <si>
    <t xml:space="preserve">3535 S Ball St </t>
  </si>
  <si>
    <t xml:space="preserve">734 Mulford St </t>
  </si>
  <si>
    <t>Decosta</t>
  </si>
  <si>
    <t xml:space="preserve">159 Quincy Rd </t>
  </si>
  <si>
    <t>Varinecz</t>
  </si>
  <si>
    <t xml:space="preserve">904 Roberts Ln </t>
  </si>
  <si>
    <t>Marlton</t>
  </si>
  <si>
    <t>Patnode</t>
  </si>
  <si>
    <t xml:space="preserve">4 Summit View St Unit 102 </t>
  </si>
  <si>
    <t xml:space="preserve">4144 Division St </t>
  </si>
  <si>
    <t>Joslin</t>
  </si>
  <si>
    <t xml:space="preserve">1650 Fernando Dr </t>
  </si>
  <si>
    <t xml:space="preserve">668 Thorntree Ct Apt A2 </t>
  </si>
  <si>
    <t xml:space="preserve">164 Route 27 Apt 22 </t>
  </si>
  <si>
    <t xml:space="preserve">5224 N Winthrop Ave # 3C </t>
  </si>
  <si>
    <t xml:space="preserve">2397 Pleasant Valley Rd NE </t>
  </si>
  <si>
    <t>New Philadelphia</t>
  </si>
  <si>
    <t>Jc</t>
  </si>
  <si>
    <t xml:space="preserve">109 Bartlett St </t>
  </si>
  <si>
    <t>Kish</t>
  </si>
  <si>
    <t>Velinda</t>
  </si>
  <si>
    <t xml:space="preserve">8473 Pine Tree Blvd </t>
  </si>
  <si>
    <t>Cocores</t>
  </si>
  <si>
    <t xml:space="preserve">9530 Cross St </t>
  </si>
  <si>
    <t>Burbes</t>
  </si>
  <si>
    <t xml:space="preserve">2085 Avalon Way </t>
  </si>
  <si>
    <t>Crozet</t>
  </si>
  <si>
    <t xml:space="preserve">8580 Verree Rd Apt 665 </t>
  </si>
  <si>
    <t xml:space="preserve">890 Rockwell Rd Spc 9 </t>
  </si>
  <si>
    <t>Guide</t>
  </si>
  <si>
    <t xml:space="preserve">125 Maple Ave </t>
  </si>
  <si>
    <t>Vallejos</t>
  </si>
  <si>
    <t xml:space="preserve">2044 Havana St </t>
  </si>
  <si>
    <t xml:space="preserve">410 Franklin St </t>
  </si>
  <si>
    <t>Hundt</t>
  </si>
  <si>
    <t xml:space="preserve">N1537 Korn Clements Rd </t>
  </si>
  <si>
    <t>Baker-Smith</t>
  </si>
  <si>
    <t>Gerritt And Elizabet</t>
  </si>
  <si>
    <t xml:space="preserve">338 Braeside Ave </t>
  </si>
  <si>
    <t>Alley</t>
  </si>
  <si>
    <t xml:space="preserve">3433 N Etheridge Dr </t>
  </si>
  <si>
    <t xml:space="preserve">1425 Flint Hills Pl Apt 2208 </t>
  </si>
  <si>
    <t xml:space="preserve">20 Summer St Apt 312 </t>
  </si>
  <si>
    <t xml:space="preserve">1530 Tamarack St Unit 14 </t>
  </si>
  <si>
    <t>Byrd</t>
  </si>
  <si>
    <t xml:space="preserve">3132 Pasternack Pl </t>
  </si>
  <si>
    <t>Matano</t>
  </si>
  <si>
    <t xml:space="preserve">22 Stonyridge Dr </t>
  </si>
  <si>
    <t>Lincoln Park</t>
  </si>
  <si>
    <t>Kosbab</t>
  </si>
  <si>
    <t xml:space="preserve">28 New Mdws </t>
  </si>
  <si>
    <t>Nunamaker</t>
  </si>
  <si>
    <t xml:space="preserve">8866 Shank Rd </t>
  </si>
  <si>
    <t>Quintero</t>
  </si>
  <si>
    <t>Yessenia</t>
  </si>
  <si>
    <t xml:space="preserve">8125 San Carlos Ave </t>
  </si>
  <si>
    <t>South Gate</t>
  </si>
  <si>
    <t>Carrion</t>
  </si>
  <si>
    <t>Yahaira</t>
  </si>
  <si>
    <t xml:space="preserve">80 Country Ln Apt 39 </t>
  </si>
  <si>
    <t>Denese</t>
  </si>
  <si>
    <t xml:space="preserve">9684 Green Rd </t>
  </si>
  <si>
    <t>Dunning</t>
  </si>
  <si>
    <t>Lorry</t>
  </si>
  <si>
    <t xml:space="preserve">25397 Rd 96 </t>
  </si>
  <si>
    <t xml:space="preserve">116 High St </t>
  </si>
  <si>
    <t xml:space="preserve">1631 Sunnyside Ter </t>
  </si>
  <si>
    <t xml:space="preserve">3861 Azalea Dr </t>
  </si>
  <si>
    <t>Winningham</t>
  </si>
  <si>
    <t xml:space="preserve">177 Escobar Ave </t>
  </si>
  <si>
    <t xml:space="preserve">312 Oaklawn Dr </t>
  </si>
  <si>
    <t>Wynn</t>
  </si>
  <si>
    <t xml:space="preserve">20960 Rivers Frd </t>
  </si>
  <si>
    <t>Estero</t>
  </si>
  <si>
    <t>Elton</t>
  </si>
  <si>
    <t xml:space="preserve">152 Tucker Ln </t>
  </si>
  <si>
    <t>Coraopolis</t>
  </si>
  <si>
    <t xml:space="preserve">3014 Morningview Dr </t>
  </si>
  <si>
    <t xml:space="preserve">BRADLEYS CROSSING Rd </t>
  </si>
  <si>
    <t>East Chatham</t>
  </si>
  <si>
    <t>Hudak</t>
  </si>
  <si>
    <t xml:space="preserve">412 Country Club Dr </t>
  </si>
  <si>
    <t>Red Bud</t>
  </si>
  <si>
    <t xml:space="preserve">204 Horseshoe Rd </t>
  </si>
  <si>
    <t>Stanardsville</t>
  </si>
  <si>
    <t xml:space="preserve">214 Old Churchmans Rd </t>
  </si>
  <si>
    <t>Imber</t>
  </si>
  <si>
    <t xml:space="preserve">7355 Briella Dr </t>
  </si>
  <si>
    <t>Deurance</t>
  </si>
  <si>
    <t>Collin</t>
  </si>
  <si>
    <t xml:space="preserve">3223 WEST St </t>
  </si>
  <si>
    <t>Ceylon</t>
  </si>
  <si>
    <t>Fiaccato</t>
  </si>
  <si>
    <t xml:space="preserve">16452 W 140th Pl </t>
  </si>
  <si>
    <t>Quach</t>
  </si>
  <si>
    <t>Caoimhe</t>
  </si>
  <si>
    <t xml:space="preserve">343 Hobron Ln Apt 2405 </t>
  </si>
  <si>
    <t>Shishkin</t>
  </si>
  <si>
    <t>Rosemarie</t>
  </si>
  <si>
    <t xml:space="preserve">411 44th Ave </t>
  </si>
  <si>
    <t>Robson</t>
  </si>
  <si>
    <t xml:space="preserve">842 Princess </t>
  </si>
  <si>
    <t xml:space="preserve">2008 Deerpark Dr Apt 325 </t>
  </si>
  <si>
    <t>Friedrich</t>
  </si>
  <si>
    <t xml:space="preserve">201 Laurel Valley Rd </t>
  </si>
  <si>
    <t>Venella</t>
  </si>
  <si>
    <t>Edmund</t>
  </si>
  <si>
    <t xml:space="preserve">34 Northwood Dr </t>
  </si>
  <si>
    <t>High Bridge</t>
  </si>
  <si>
    <t>Traeger</t>
  </si>
  <si>
    <t xml:space="preserve">BEVERLY Hls </t>
  </si>
  <si>
    <t>Kasdan</t>
  </si>
  <si>
    <t>Batsheva</t>
  </si>
  <si>
    <t xml:space="preserve">154 S CANFIELD Ave </t>
  </si>
  <si>
    <t xml:space="preserve">11589 Martin Rd </t>
  </si>
  <si>
    <t>Lowes</t>
  </si>
  <si>
    <t xml:space="preserve">3942 Valley View Dr </t>
  </si>
  <si>
    <t>Byrnes Mill</t>
  </si>
  <si>
    <t>Aponte</t>
  </si>
  <si>
    <t xml:space="preserve">3700 S Old Spanish Trl South Old Spanish Trl </t>
  </si>
  <si>
    <t>Meersand</t>
  </si>
  <si>
    <t xml:space="preserve">PO Box 3202 </t>
  </si>
  <si>
    <t xml:space="preserve">16 Marble St </t>
  </si>
  <si>
    <t>Knell</t>
  </si>
  <si>
    <t xml:space="preserve">285 Lee St Apt 208 </t>
  </si>
  <si>
    <t>Turpin</t>
  </si>
  <si>
    <t xml:space="preserve">602 S Chestnut St </t>
  </si>
  <si>
    <t>Montagno</t>
  </si>
  <si>
    <t xml:space="preserve">160 Winchendon Rd </t>
  </si>
  <si>
    <t>Royalston</t>
  </si>
  <si>
    <t xml:space="preserve">5538 Lawrence Ct </t>
  </si>
  <si>
    <t xml:space="preserve">116 5th Ave Lowr </t>
  </si>
  <si>
    <t>North Tonawanda</t>
  </si>
  <si>
    <t xml:space="preserve">1333 Dalesford Dr </t>
  </si>
  <si>
    <t>Isbitz Brodsky</t>
  </si>
  <si>
    <t xml:space="preserve">1017 Cherry Ln </t>
  </si>
  <si>
    <t>Kinder</t>
  </si>
  <si>
    <t xml:space="preserve">5607 Girard Ave S </t>
  </si>
  <si>
    <t xml:space="preserve">1486 Hussman Ave Apt C </t>
  </si>
  <si>
    <t>Gardnerville</t>
  </si>
  <si>
    <t>Molineaux</t>
  </si>
  <si>
    <t>Pascal</t>
  </si>
  <si>
    <t xml:space="preserve">9 LA BUITRERA </t>
  </si>
  <si>
    <t xml:space="preserve">Edson </t>
  </si>
  <si>
    <t>East Randolph</t>
  </si>
  <si>
    <t xml:space="preserve">512 Anderson Dr </t>
  </si>
  <si>
    <t>Delafield</t>
  </si>
  <si>
    <t xml:space="preserve">225 W 83rd St Apt 12N </t>
  </si>
  <si>
    <t>Odom</t>
  </si>
  <si>
    <t>Joanna M</t>
  </si>
  <si>
    <t xml:space="preserve">PO Box 64651 </t>
  </si>
  <si>
    <t>Crum</t>
  </si>
  <si>
    <t xml:space="preserve">5405 Baltimore Dr </t>
  </si>
  <si>
    <t>Babnick</t>
  </si>
  <si>
    <t xml:space="preserve">12408 W Chandler Ave </t>
  </si>
  <si>
    <t>Airway Heights</t>
  </si>
  <si>
    <t>Whitehead</t>
  </si>
  <si>
    <t xml:space="preserve">3118 Oak Bnd </t>
  </si>
  <si>
    <t>Marcu</t>
  </si>
  <si>
    <t xml:space="preserve">2200 N Westmoreland St Unit 417 </t>
  </si>
  <si>
    <t xml:space="preserve">3110 Covington St </t>
  </si>
  <si>
    <t>Goedecke</t>
  </si>
  <si>
    <t xml:space="preserve">811 Locust Ct </t>
  </si>
  <si>
    <t>Coyle</t>
  </si>
  <si>
    <t xml:space="preserve">14 Ford St </t>
  </si>
  <si>
    <t>Sorg</t>
  </si>
  <si>
    <t xml:space="preserve">2047 Cider Mill Trl NW </t>
  </si>
  <si>
    <t>Kesse</t>
  </si>
  <si>
    <t xml:space="preserve">11 O5 NAVAHO Dr </t>
  </si>
  <si>
    <t xml:space="preserve">1713 Camden Ave </t>
  </si>
  <si>
    <t>Schauf</t>
  </si>
  <si>
    <t xml:space="preserve">27 La Vuelta St </t>
  </si>
  <si>
    <t xml:space="preserve">3511 Edsel Pl </t>
  </si>
  <si>
    <t>Izen</t>
  </si>
  <si>
    <t xml:space="preserve">44 -174 Laha St Apt 6 </t>
  </si>
  <si>
    <t xml:space="preserve">2100 E Evans Ave </t>
  </si>
  <si>
    <t>Kortge</t>
  </si>
  <si>
    <t xml:space="preserve">1000 Vey Way Apt 362 </t>
  </si>
  <si>
    <t>Chippi</t>
  </si>
  <si>
    <t xml:space="preserve">7500 Magnolia Dr </t>
  </si>
  <si>
    <t xml:space="preserve">25766 Tierra Grande Dr 25766 Tierra Grande Dr </t>
  </si>
  <si>
    <t>Simonson</t>
  </si>
  <si>
    <t>Netty</t>
  </si>
  <si>
    <t xml:space="preserve">124 Shaded Rd </t>
  </si>
  <si>
    <t xml:space="preserve">818 S Dexter St Apt 104 </t>
  </si>
  <si>
    <t xml:space="preserve">9750 N Monterey Dr Unit 41 </t>
  </si>
  <si>
    <t>Vigesaa</t>
  </si>
  <si>
    <t xml:space="preserve">3350 1st St </t>
  </si>
  <si>
    <t>West Fargo</t>
  </si>
  <si>
    <t xml:space="preserve">10211 Cedar Lake Rd Apt 201 </t>
  </si>
  <si>
    <t xml:space="preserve">123 Any St </t>
  </si>
  <si>
    <t>Decourt</t>
  </si>
  <si>
    <t xml:space="preserve">104 E Luray Ave </t>
  </si>
  <si>
    <t xml:space="preserve">3310 Highway 127 </t>
  </si>
  <si>
    <t>Getzschman</t>
  </si>
  <si>
    <t xml:space="preserve">2662 Mcknight Crossing Ct # 19 </t>
  </si>
  <si>
    <t xml:space="preserve">ALTA VERDE Cir </t>
  </si>
  <si>
    <t xml:space="preserve">CINNAMON Ln </t>
  </si>
  <si>
    <t>Rancho Palos Verdes</t>
  </si>
  <si>
    <t xml:space="preserve">VICTORIA </t>
  </si>
  <si>
    <t>Lavinder</t>
  </si>
  <si>
    <t xml:space="preserve">11 O CRESTWOOD Dr </t>
  </si>
  <si>
    <t>Ace</t>
  </si>
  <si>
    <t xml:space="preserve">350 Callan Ave Apt 3 </t>
  </si>
  <si>
    <t xml:space="preserve">9405 Country Ln </t>
  </si>
  <si>
    <t xml:space="preserve">5970 Bur Oaks Ln </t>
  </si>
  <si>
    <t>Rafferty</t>
  </si>
  <si>
    <t xml:space="preserve">653 Ct Rt 62 </t>
  </si>
  <si>
    <t>Pulaski</t>
  </si>
  <si>
    <t>Peariso</t>
  </si>
  <si>
    <t xml:space="preserve">5647 N Hertford Way </t>
  </si>
  <si>
    <t>Sillasen</t>
  </si>
  <si>
    <t xml:space="preserve">7198 Linda Trce </t>
  </si>
  <si>
    <t xml:space="preserve">8 Cranston Cir </t>
  </si>
  <si>
    <t>Metakos</t>
  </si>
  <si>
    <t xml:space="preserve">115 Dillon Rd </t>
  </si>
  <si>
    <t>Montpelier</t>
  </si>
  <si>
    <t xml:space="preserve">2084 Riceville Rd </t>
  </si>
  <si>
    <t>Laing</t>
  </si>
  <si>
    <t xml:space="preserve">6536 Heartwood Ln </t>
  </si>
  <si>
    <t>Occhiogrosso</t>
  </si>
  <si>
    <t xml:space="preserve">34 Whitney Dr </t>
  </si>
  <si>
    <t xml:space="preserve">415 N Halifax Ave Apt 215 </t>
  </si>
  <si>
    <t>Daytona Beach</t>
  </si>
  <si>
    <t xml:space="preserve">97 Knollwood Dr </t>
  </si>
  <si>
    <t xml:space="preserve">57 Morgans Run </t>
  </si>
  <si>
    <t>Schuylerville</t>
  </si>
  <si>
    <t xml:space="preserve">422 C St </t>
  </si>
  <si>
    <t xml:space="preserve">19963 State Route 12F </t>
  </si>
  <si>
    <t>Di Leonardo</t>
  </si>
  <si>
    <t xml:space="preserve">11835 Queens Blvd </t>
  </si>
  <si>
    <t>Malverne</t>
  </si>
  <si>
    <t>Hildreth</t>
  </si>
  <si>
    <t xml:space="preserve">469 Lawton Rd </t>
  </si>
  <si>
    <t>Denee</t>
  </si>
  <si>
    <t xml:space="preserve">16822 N Columbine Ct </t>
  </si>
  <si>
    <t>Nine Mile Falls</t>
  </si>
  <si>
    <t>Marysue</t>
  </si>
  <si>
    <t xml:space="preserve">133 Deep Lake Trl </t>
  </si>
  <si>
    <t>Deckman</t>
  </si>
  <si>
    <t xml:space="preserve">PO Box 76E </t>
  </si>
  <si>
    <t>Plumsteadville</t>
  </si>
  <si>
    <t>Leana</t>
  </si>
  <si>
    <t>Citar</t>
  </si>
  <si>
    <t xml:space="preserve">140 Belle Cir </t>
  </si>
  <si>
    <t>Astacio</t>
  </si>
  <si>
    <t xml:space="preserve">345 8th Ave </t>
  </si>
  <si>
    <t>Kaakkuriniemi</t>
  </si>
  <si>
    <t>Vesa</t>
  </si>
  <si>
    <t xml:space="preserve">249 Buckley Rd </t>
  </si>
  <si>
    <t>Holtsville</t>
  </si>
  <si>
    <t>Zelaya</t>
  </si>
  <si>
    <t xml:space="preserve">6817 N Figueroa St Apt 7 </t>
  </si>
  <si>
    <t xml:space="preserve">11 2046 KOKOKAHI Rd </t>
  </si>
  <si>
    <t>Volcano</t>
  </si>
  <si>
    <t xml:space="preserve">5232 Rolston Avenue 5232 Rolston Ave 5232 Rol Ave </t>
  </si>
  <si>
    <t>Aguiar</t>
  </si>
  <si>
    <t xml:space="preserve">Canada Da Abelheira 31 </t>
  </si>
  <si>
    <t>Tremayne</t>
  </si>
  <si>
    <t xml:space="preserve">5725 E State St </t>
  </si>
  <si>
    <t xml:space="preserve">33 S B St Taftville Ct 6380 </t>
  </si>
  <si>
    <t>Taftville</t>
  </si>
  <si>
    <t>Dorantes</t>
  </si>
  <si>
    <t xml:space="preserve">3515 Leverich St Apt 105 </t>
  </si>
  <si>
    <t>Boling</t>
  </si>
  <si>
    <t xml:space="preserve">777 N Post Oak Rd Apt 1410 </t>
  </si>
  <si>
    <t>Van Allen</t>
  </si>
  <si>
    <t xml:space="preserve">727 Martin Luther King Dr W Apt 402W </t>
  </si>
  <si>
    <t xml:space="preserve">24001 Rosewood St </t>
  </si>
  <si>
    <t>Nading</t>
  </si>
  <si>
    <t xml:space="preserve">13400 E 50th St </t>
  </si>
  <si>
    <t>Bayport</t>
  </si>
  <si>
    <t xml:space="preserve">264 Oxfordshire Dr </t>
  </si>
  <si>
    <t>Russler</t>
  </si>
  <si>
    <t xml:space="preserve">95 Cashew Blossom Dr </t>
  </si>
  <si>
    <t>Lary</t>
  </si>
  <si>
    <t xml:space="preserve">5945 Sladen Ave </t>
  </si>
  <si>
    <t xml:space="preserve">205 Alan A Dale Dr </t>
  </si>
  <si>
    <t>Bruni</t>
  </si>
  <si>
    <t xml:space="preserve">6 Tularosa Ct </t>
  </si>
  <si>
    <t xml:space="preserve">9 River St Unit E26 </t>
  </si>
  <si>
    <t xml:space="preserve">18464 Barrett Ave </t>
  </si>
  <si>
    <t xml:space="preserve">8917 S Dean Rd </t>
  </si>
  <si>
    <t>Buckeye</t>
  </si>
  <si>
    <t xml:space="preserve">1706 Surf Estates Way </t>
  </si>
  <si>
    <t xml:space="preserve">2261 Bay Tree Dr </t>
  </si>
  <si>
    <t>Deltoro-Ramirez</t>
  </si>
  <si>
    <t xml:space="preserve">31 Gorham Pl </t>
  </si>
  <si>
    <t>Towey</t>
  </si>
  <si>
    <t xml:space="preserve">1512 W Woodbank Way </t>
  </si>
  <si>
    <t xml:space="preserve">2532 N 115th St </t>
  </si>
  <si>
    <t>Wauwatosa</t>
  </si>
  <si>
    <t>Mazur</t>
  </si>
  <si>
    <t xml:space="preserve">2175 Stonington Ter </t>
  </si>
  <si>
    <t xml:space="preserve">61 Ryders Ln </t>
  </si>
  <si>
    <t>Marsala</t>
  </si>
  <si>
    <t xml:space="preserve">2550 Hilborn Rd Apt 210 </t>
  </si>
  <si>
    <t>Arundel</t>
  </si>
  <si>
    <t xml:space="preserve">2089 Shenandoah Dr </t>
  </si>
  <si>
    <t>Hyland</t>
  </si>
  <si>
    <t xml:space="preserve">38 E Fort Ave </t>
  </si>
  <si>
    <t xml:space="preserve">4130 Duquesne Ave Apt 2 </t>
  </si>
  <si>
    <t>Carrino</t>
  </si>
  <si>
    <t xml:space="preserve">619 Montauk Hwy </t>
  </si>
  <si>
    <t xml:space="preserve">217 Woodhaven Dr Unit 5A </t>
  </si>
  <si>
    <t>White River Junction</t>
  </si>
  <si>
    <t>Lasell</t>
  </si>
  <si>
    <t xml:space="preserve">Optional St </t>
  </si>
  <si>
    <t xml:space="preserve">1769 Castile St </t>
  </si>
  <si>
    <t>Vigna</t>
  </si>
  <si>
    <t xml:space="preserve">19 Leith Pl </t>
  </si>
  <si>
    <t>Garman</t>
  </si>
  <si>
    <t xml:space="preserve">1645 Euclid St </t>
  </si>
  <si>
    <t>Tsakiris</t>
  </si>
  <si>
    <t>Wendler</t>
  </si>
  <si>
    <t xml:space="preserve">725 9th Ave Apt 702 </t>
  </si>
  <si>
    <t>Harrist</t>
  </si>
  <si>
    <t xml:space="preserve">1130 Ivy Ln </t>
  </si>
  <si>
    <t>Colon</t>
  </si>
  <si>
    <t>Efrain</t>
  </si>
  <si>
    <t xml:space="preserve">San Ignacio </t>
  </si>
  <si>
    <t>Contos</t>
  </si>
  <si>
    <t xml:space="preserve">39 Campbell Ave </t>
  </si>
  <si>
    <t>Williston Park</t>
  </si>
  <si>
    <t xml:space="preserve">PO Box 952 </t>
  </si>
  <si>
    <t>Ferdusch</t>
  </si>
  <si>
    <t xml:space="preserve">3 Beethovenstraße </t>
  </si>
  <si>
    <t>Bad Camberg</t>
  </si>
  <si>
    <t>Hylin</t>
  </si>
  <si>
    <t xml:space="preserve">1821 Lakin Ln </t>
  </si>
  <si>
    <t xml:space="preserve">1000 Figueroa St Spc 42 </t>
  </si>
  <si>
    <t>Thomer</t>
  </si>
  <si>
    <t xml:space="preserve">104 Municipal Rd </t>
  </si>
  <si>
    <t xml:space="preserve">31250 John Wallace Rd </t>
  </si>
  <si>
    <t xml:space="preserve">3513 Plantation Grv </t>
  </si>
  <si>
    <t>Colorado Spgs</t>
  </si>
  <si>
    <t>Barretto</t>
  </si>
  <si>
    <t xml:space="preserve">1408 Sawgrass Pointe Dr </t>
  </si>
  <si>
    <t>Jursa</t>
  </si>
  <si>
    <t xml:space="preserve">LIESINGTALSTRASSE </t>
  </si>
  <si>
    <t>Breitenfurt</t>
  </si>
  <si>
    <t xml:space="preserve">17298 SW 128th Ave </t>
  </si>
  <si>
    <t>Balogh</t>
  </si>
  <si>
    <t xml:space="preserve">4592 W 1O90 St </t>
  </si>
  <si>
    <t xml:space="preserve">23 Birch Hollow Rd </t>
  </si>
  <si>
    <t>Blayne</t>
  </si>
  <si>
    <t xml:space="preserve">1063 Bluebell Dr Apt 3 </t>
  </si>
  <si>
    <t xml:space="preserve">66 Vendola Dr </t>
  </si>
  <si>
    <t>Hayat</t>
  </si>
  <si>
    <t xml:space="preserve">35 Blair Hts </t>
  </si>
  <si>
    <t>Okalani</t>
  </si>
  <si>
    <t>Shaina S.</t>
  </si>
  <si>
    <t xml:space="preserve">650 Lit Way </t>
  </si>
  <si>
    <t>Fiorella</t>
  </si>
  <si>
    <t xml:space="preserve">170 Parkdale Ave </t>
  </si>
  <si>
    <t>Harrower</t>
  </si>
  <si>
    <t xml:space="preserve">68 Main St Apt 220 </t>
  </si>
  <si>
    <t>Franciose</t>
  </si>
  <si>
    <t xml:space="preserve">24 Prince St </t>
  </si>
  <si>
    <t>Berkson</t>
  </si>
  <si>
    <t xml:space="preserve">7455 N Ridge Blvd </t>
  </si>
  <si>
    <t>Capulong</t>
  </si>
  <si>
    <t xml:space="preserve">432 Bayberry Dr </t>
  </si>
  <si>
    <t xml:space="preserve">PO Box 434 </t>
  </si>
  <si>
    <t>Canaan</t>
  </si>
  <si>
    <t xml:space="preserve">966 Willow Creek Rd # 32 </t>
  </si>
  <si>
    <t>Quevedo</t>
  </si>
  <si>
    <t xml:space="preserve">540 N Donar Dr </t>
  </si>
  <si>
    <t>Raiden</t>
  </si>
  <si>
    <t xml:space="preserve">PO Box 2714 </t>
  </si>
  <si>
    <t xml:space="preserve">13254 3rd Ave NW </t>
  </si>
  <si>
    <t>Ald</t>
  </si>
  <si>
    <t xml:space="preserve">8036 Dennis Rd </t>
  </si>
  <si>
    <t>Angola</t>
  </si>
  <si>
    <t>Furniss</t>
  </si>
  <si>
    <t xml:space="preserve">303 Williams Ave SW </t>
  </si>
  <si>
    <t>Johansen</t>
  </si>
  <si>
    <t xml:space="preserve">418 W Main St </t>
  </si>
  <si>
    <t xml:space="preserve">PO Box 1091 </t>
  </si>
  <si>
    <t>Doordan</t>
  </si>
  <si>
    <t xml:space="preserve">205 Delaware Ave </t>
  </si>
  <si>
    <t>Bridgeville</t>
  </si>
  <si>
    <t xml:space="preserve">2133 Creekside Dr SW </t>
  </si>
  <si>
    <t>Byron Center</t>
  </si>
  <si>
    <t>Maisel</t>
  </si>
  <si>
    <t xml:space="preserve">300 Johnson Ferry Rd NE Unit A306 </t>
  </si>
  <si>
    <t xml:space="preserve">536 E Maple St </t>
  </si>
  <si>
    <t>Mileff</t>
  </si>
  <si>
    <t xml:space="preserve">4238 21st St </t>
  </si>
  <si>
    <t>Biddle</t>
  </si>
  <si>
    <t xml:space="preserve">19 Spinale Rd </t>
  </si>
  <si>
    <t>Swampscott</t>
  </si>
  <si>
    <t>La Marca</t>
  </si>
  <si>
    <t xml:space="preserve">21 Rue François Gérard </t>
  </si>
  <si>
    <t>Thompson-Slaughter</t>
  </si>
  <si>
    <t xml:space="preserve">160 Wilshire Rd </t>
  </si>
  <si>
    <t>Jaxon</t>
  </si>
  <si>
    <t xml:space="preserve">4515 Lawndale Dr </t>
  </si>
  <si>
    <t>Hargesheimer</t>
  </si>
  <si>
    <t xml:space="preserve">620 S 30th St </t>
  </si>
  <si>
    <t>Baughman</t>
  </si>
  <si>
    <t xml:space="preserve">PO Box 1269 </t>
  </si>
  <si>
    <t>Aultman</t>
  </si>
  <si>
    <t xml:space="preserve">13960 Danson Rd </t>
  </si>
  <si>
    <t>Vanwinkle</t>
  </si>
  <si>
    <t>Tetoni</t>
  </si>
  <si>
    <t xml:space="preserve">23184 Jade Cir </t>
  </si>
  <si>
    <t>Deer Trail</t>
  </si>
  <si>
    <t xml:space="preserve">PO Box 7247 </t>
  </si>
  <si>
    <t>Picher</t>
  </si>
  <si>
    <t>H G</t>
  </si>
  <si>
    <t xml:space="preserve">1583 10TH Ave </t>
  </si>
  <si>
    <t>Van Walsen</t>
  </si>
  <si>
    <t xml:space="preserve">701 Devon Rd </t>
  </si>
  <si>
    <t xml:space="preserve">2128 Sumac Dr </t>
  </si>
  <si>
    <t>Scarpinatto</t>
  </si>
  <si>
    <t xml:space="preserve">16616 NW Argyle Way </t>
  </si>
  <si>
    <t xml:space="preserve">E 80TH St </t>
  </si>
  <si>
    <t>Hiner</t>
  </si>
  <si>
    <t xml:space="preserve">9160 Brakeman Rd </t>
  </si>
  <si>
    <t xml:space="preserve">1624 Scheffer Ave </t>
  </si>
  <si>
    <t xml:space="preserve">84 MAIN St </t>
  </si>
  <si>
    <t>Sophie</t>
  </si>
  <si>
    <t xml:space="preserve">602 Beryl Way </t>
  </si>
  <si>
    <t>Watervliet</t>
  </si>
  <si>
    <t>Hyzer</t>
  </si>
  <si>
    <t xml:space="preserve">1102 Columbia Ave </t>
  </si>
  <si>
    <t>Cinnaminson</t>
  </si>
  <si>
    <t>Tuminski</t>
  </si>
  <si>
    <t xml:space="preserve">1703 Janney Ter </t>
  </si>
  <si>
    <t xml:space="preserve">8355 N Buchanan Dr </t>
  </si>
  <si>
    <t xml:space="preserve">12778 W Caraveo Pl </t>
  </si>
  <si>
    <t>F. Peter</t>
  </si>
  <si>
    <t xml:space="preserve">201 S Beach Rd The </t>
  </si>
  <si>
    <t>Bogach</t>
  </si>
  <si>
    <t>Larisa</t>
  </si>
  <si>
    <t xml:space="preserve">3750 N Lake Shore Dr Apt 1C </t>
  </si>
  <si>
    <t>Degrave</t>
  </si>
  <si>
    <t xml:space="preserve">35 Yorktown Cir </t>
  </si>
  <si>
    <t xml:space="preserve">3482 Ry 488 </t>
  </si>
  <si>
    <t>Clifton Springs</t>
  </si>
  <si>
    <t xml:space="preserve">4502 VISTA </t>
  </si>
  <si>
    <t xml:space="preserve">20400 7th Ave </t>
  </si>
  <si>
    <t>Breezy Point</t>
  </si>
  <si>
    <t>Sleight</t>
  </si>
  <si>
    <t xml:space="preserve">719 Falcon Crest Ct </t>
  </si>
  <si>
    <t xml:space="preserve">4917 Canterbury Rd </t>
  </si>
  <si>
    <t>Roeland Park</t>
  </si>
  <si>
    <t>Bindas</t>
  </si>
  <si>
    <t xml:space="preserve">2873 MI Elana Cir </t>
  </si>
  <si>
    <t>Jary-Books</t>
  </si>
  <si>
    <t xml:space="preserve">9 Old Mill Ln </t>
  </si>
  <si>
    <t>Van Beeck</t>
  </si>
  <si>
    <t xml:space="preserve">18 Watermolenstraat </t>
  </si>
  <si>
    <t xml:space="preserve">PO Box 2345 </t>
  </si>
  <si>
    <t>Kulwicki</t>
  </si>
  <si>
    <t xml:space="preserve">66 Patrician Dr S </t>
  </si>
  <si>
    <t xml:space="preserve">1378 Falstaff Ln </t>
  </si>
  <si>
    <t>Croll</t>
  </si>
  <si>
    <t xml:space="preserve">2570 41st St </t>
  </si>
  <si>
    <t>Von Feldt</t>
  </si>
  <si>
    <t xml:space="preserve">1758 Kingston St </t>
  </si>
  <si>
    <t>Sippel</t>
  </si>
  <si>
    <t>Katrin</t>
  </si>
  <si>
    <t>Gabbert</t>
  </si>
  <si>
    <t xml:space="preserve">509 W Broadway St </t>
  </si>
  <si>
    <t xml:space="preserve">209 A W LAKEVIEW Rd </t>
  </si>
  <si>
    <t xml:space="preserve">4807 Cherokee Rd NE </t>
  </si>
  <si>
    <t>Krupp</t>
  </si>
  <si>
    <t xml:space="preserve">1340 Old Ford Rd </t>
  </si>
  <si>
    <t>Wherry</t>
  </si>
  <si>
    <t>Luann</t>
  </si>
  <si>
    <t xml:space="preserve">4126 Cherokee Ave </t>
  </si>
  <si>
    <t>Gokl</t>
  </si>
  <si>
    <t>Renate</t>
  </si>
  <si>
    <t xml:space="preserve">5838 S Stony Island Ave Apt 15E </t>
  </si>
  <si>
    <t>Bearden</t>
  </si>
  <si>
    <t xml:space="preserve">PO Box 4112 </t>
  </si>
  <si>
    <t>Camp Connell</t>
  </si>
  <si>
    <t xml:space="preserve">304 Brown St </t>
  </si>
  <si>
    <t>Jueds</t>
  </si>
  <si>
    <t xml:space="preserve">139 E Mount Pleasant Ave </t>
  </si>
  <si>
    <t>Tischhauser</t>
  </si>
  <si>
    <t xml:space="preserve">10409 Toltec Rd NE </t>
  </si>
  <si>
    <t>Bagdonas</t>
  </si>
  <si>
    <t xml:space="preserve">28 East St </t>
  </si>
  <si>
    <t>Laramie</t>
  </si>
  <si>
    <t>Quida</t>
  </si>
  <si>
    <t xml:space="preserve">1220 Marseille Dr Apt 3 </t>
  </si>
  <si>
    <t>Soto</t>
  </si>
  <si>
    <t xml:space="preserve">33906 Agua Dulce Canyon Rd Rrd </t>
  </si>
  <si>
    <t>Mend</t>
  </si>
  <si>
    <t xml:space="preserve">25 SMITH St </t>
  </si>
  <si>
    <t xml:space="preserve">7696 Classics Dr </t>
  </si>
  <si>
    <t xml:space="preserve">73465 315th St </t>
  </si>
  <si>
    <t>Villani</t>
  </si>
  <si>
    <t>Seb</t>
  </si>
  <si>
    <t xml:space="preserve">PO Box 1754 </t>
  </si>
  <si>
    <t>Nichole</t>
  </si>
  <si>
    <t xml:space="preserve">1 Hennion Dr </t>
  </si>
  <si>
    <t xml:space="preserve">260 Riverbend Dr </t>
  </si>
  <si>
    <t>22911-8654</t>
  </si>
  <si>
    <t>Kittredge</t>
  </si>
  <si>
    <t xml:space="preserve">1328 Montecito Cir </t>
  </si>
  <si>
    <t xml:space="preserve">38265 Beulah Reed Rd </t>
  </si>
  <si>
    <t xml:space="preserve">3299 Dry Run View Ln </t>
  </si>
  <si>
    <t>Alreck-Anthony</t>
  </si>
  <si>
    <t>Keigharn</t>
  </si>
  <si>
    <t xml:space="preserve">TAFT </t>
  </si>
  <si>
    <t xml:space="preserve">5705 39th Ave </t>
  </si>
  <si>
    <t xml:space="preserve">200 E Hazeltine Ave </t>
  </si>
  <si>
    <t>Giguiere</t>
  </si>
  <si>
    <t xml:space="preserve">2835 Brewster Ave </t>
  </si>
  <si>
    <t>Junior</t>
  </si>
  <si>
    <t xml:space="preserve">320 Indiana Ave </t>
  </si>
  <si>
    <t xml:space="preserve">7767 Duke Ct </t>
  </si>
  <si>
    <t>Ganal</t>
  </si>
  <si>
    <t>Bria</t>
  </si>
  <si>
    <t xml:space="preserve">12630 Caswell Ave Apt 4 </t>
  </si>
  <si>
    <t>Ten Brink</t>
  </si>
  <si>
    <t xml:space="preserve">1241 Oakland St </t>
  </si>
  <si>
    <t>Samoiloff</t>
  </si>
  <si>
    <t xml:space="preserve">19210 NW Logie Trail Rd # R </t>
  </si>
  <si>
    <t>Zaprzalka</t>
  </si>
  <si>
    <t xml:space="preserve">5232 N Melvina Ave </t>
  </si>
  <si>
    <t>Oppenhuizen</t>
  </si>
  <si>
    <t>West Olive</t>
  </si>
  <si>
    <t xml:space="preserve">839 N Marshall St </t>
  </si>
  <si>
    <t>Rebideaux</t>
  </si>
  <si>
    <t>Louie</t>
  </si>
  <si>
    <t xml:space="preserve">1056 Locomotive Ct # I </t>
  </si>
  <si>
    <t xml:space="preserve">14041 La Pat Pl Apt D </t>
  </si>
  <si>
    <t>Monger</t>
  </si>
  <si>
    <t xml:space="preserve">9472 Nature View Ln </t>
  </si>
  <si>
    <t>Hofgesang</t>
  </si>
  <si>
    <t xml:space="preserve">4816 Spencer Dr </t>
  </si>
  <si>
    <t>Schwenksville</t>
  </si>
  <si>
    <t>Shores</t>
  </si>
  <si>
    <t xml:space="preserve">1021 S Ash None None </t>
  </si>
  <si>
    <t xml:space="preserve">PO Box 9175 </t>
  </si>
  <si>
    <t xml:space="preserve">578 Sutton Way # PMB161 </t>
  </si>
  <si>
    <t>Weis</t>
  </si>
  <si>
    <t xml:space="preserve">2816 W Oak St </t>
  </si>
  <si>
    <t xml:space="preserve">Na </t>
  </si>
  <si>
    <t>Parks</t>
  </si>
  <si>
    <t xml:space="preserve">7232 Cedar Brush Ct </t>
  </si>
  <si>
    <t>Rawley</t>
  </si>
  <si>
    <t xml:space="preserve">18504 Chagrin Blvd </t>
  </si>
  <si>
    <t>Shaker Heights</t>
  </si>
  <si>
    <t>Bochino</t>
  </si>
  <si>
    <t xml:space="preserve">I-84 W I-84 W </t>
  </si>
  <si>
    <t>Sandy Hook</t>
  </si>
  <si>
    <t>Bocchetti</t>
  </si>
  <si>
    <t xml:space="preserve">11856 Terracina Ln </t>
  </si>
  <si>
    <t xml:space="preserve">1420 Holman St </t>
  </si>
  <si>
    <t>Noelle</t>
  </si>
  <si>
    <t xml:space="preserve">ST HELENAHWY NO </t>
  </si>
  <si>
    <t>Flores</t>
  </si>
  <si>
    <t xml:space="preserve">839 W Alexander Rd </t>
  </si>
  <si>
    <t>Valley Grove</t>
  </si>
  <si>
    <t>Araskog</t>
  </si>
  <si>
    <t xml:space="preserve">1490 Via Manana </t>
  </si>
  <si>
    <t>Rakestraw</t>
  </si>
  <si>
    <t xml:space="preserve">9085 Via Tortuga </t>
  </si>
  <si>
    <t>Nicoud</t>
  </si>
  <si>
    <t xml:space="preserve">332 Mindoro Ave </t>
  </si>
  <si>
    <t>89031-1371</t>
  </si>
  <si>
    <t xml:space="preserve">276 Grundy Ln </t>
  </si>
  <si>
    <t>Neilson</t>
  </si>
  <si>
    <t xml:space="preserve">1306 2nd St S </t>
  </si>
  <si>
    <t>Eidus</t>
  </si>
  <si>
    <t xml:space="preserve">300 Indigo Bunting Ln </t>
  </si>
  <si>
    <t>Hetzel</t>
  </si>
  <si>
    <t xml:space="preserve">234 Sunset Ave </t>
  </si>
  <si>
    <t xml:space="preserve">3776 Shumway Rd </t>
  </si>
  <si>
    <t>Burdett</t>
  </si>
  <si>
    <t xml:space="preserve">237 Kearney Ext </t>
  </si>
  <si>
    <t>Whyman</t>
  </si>
  <si>
    <t xml:space="preserve">900 Tioga Dr Apt 32 </t>
  </si>
  <si>
    <t>Suzui</t>
  </si>
  <si>
    <t>Visi</t>
  </si>
  <si>
    <t xml:space="preserve">19 Messenger St </t>
  </si>
  <si>
    <t xml:space="preserve">350 Bloomfield Ave </t>
  </si>
  <si>
    <t xml:space="preserve">83 Webster Rd </t>
  </si>
  <si>
    <t>Sondheim</t>
  </si>
  <si>
    <t xml:space="preserve">103 E Spring St </t>
  </si>
  <si>
    <t xml:space="preserve">2321 Mckinleyville Ave </t>
  </si>
  <si>
    <t>Behrstock</t>
  </si>
  <si>
    <t xml:space="preserve">10359 S Thicket Pl </t>
  </si>
  <si>
    <t xml:space="preserve">687 Killarney Dr Apt D </t>
  </si>
  <si>
    <t>Zehel</t>
  </si>
  <si>
    <t xml:space="preserve">611 Colony Trace Dr </t>
  </si>
  <si>
    <t>Thorpe</t>
  </si>
  <si>
    <t xml:space="preserve">8110 S Mcallister Ave </t>
  </si>
  <si>
    <t xml:space="preserve">337 E Flint St Apt 3 </t>
  </si>
  <si>
    <t xml:space="preserve">4106 57Th Street Ln NW </t>
  </si>
  <si>
    <t>Nitz</t>
  </si>
  <si>
    <t xml:space="preserve">407 Nora St </t>
  </si>
  <si>
    <t>59802-3937</t>
  </si>
  <si>
    <t xml:space="preserve">1017 Mount Pleasant Way </t>
  </si>
  <si>
    <t xml:space="preserve">317 S Lee St </t>
  </si>
  <si>
    <t>Jaen</t>
  </si>
  <si>
    <t xml:space="preserve">80 Homestead St </t>
  </si>
  <si>
    <t>Erbs</t>
  </si>
  <si>
    <t xml:space="preserve">5310 Marda Ln </t>
  </si>
  <si>
    <t>Acme</t>
  </si>
  <si>
    <t>Zenko</t>
  </si>
  <si>
    <t xml:space="preserve">7762 W Higgins Rd </t>
  </si>
  <si>
    <t xml:space="preserve">1403 S Canal St </t>
  </si>
  <si>
    <t xml:space="preserve">28 Park Place Dr Apt 504 </t>
  </si>
  <si>
    <t>Jaci</t>
  </si>
  <si>
    <t xml:space="preserve">5671 E Rio Verde Vista Dr </t>
  </si>
  <si>
    <t>Caputi</t>
  </si>
  <si>
    <t xml:space="preserve">6265 Mariner Blvd </t>
  </si>
  <si>
    <t>Honeycut</t>
  </si>
  <si>
    <t>Kristi</t>
  </si>
  <si>
    <t xml:space="preserve">28387 Kyle Rd </t>
  </si>
  <si>
    <t>Currey</t>
  </si>
  <si>
    <t xml:space="preserve">1819 SW 5th Ave # 250 </t>
  </si>
  <si>
    <t>Ava</t>
  </si>
  <si>
    <t xml:space="preserve">1815 Main St </t>
  </si>
  <si>
    <t>Bastrop</t>
  </si>
  <si>
    <t>De Rose</t>
  </si>
  <si>
    <t xml:space="preserve">4000 Tejon St </t>
  </si>
  <si>
    <t>Rosalyn</t>
  </si>
  <si>
    <t xml:space="preserve">24 Oneill Rd </t>
  </si>
  <si>
    <t>Haydenville</t>
  </si>
  <si>
    <t xml:space="preserve">5007 Apache Dr </t>
  </si>
  <si>
    <t xml:space="preserve">614 Citrus St </t>
  </si>
  <si>
    <t>Carlla</t>
  </si>
  <si>
    <t xml:space="preserve">204 S Dunning St </t>
  </si>
  <si>
    <t xml:space="preserve">5217 S 62nd St </t>
  </si>
  <si>
    <t xml:space="preserve">3550 N Lake Shore Dr Apt 2628 </t>
  </si>
  <si>
    <t xml:space="preserve">8572 E Oxford Dr </t>
  </si>
  <si>
    <t>Nimmich</t>
  </si>
  <si>
    <t xml:space="preserve">1084 Amber Ridge Rd </t>
  </si>
  <si>
    <t>Picker</t>
  </si>
  <si>
    <t xml:space="preserve">PO Box 1252 </t>
  </si>
  <si>
    <t>Diamond Springs</t>
  </si>
  <si>
    <t xml:space="preserve">4037 22nd St </t>
  </si>
  <si>
    <t xml:space="preserve">415 Linden St </t>
  </si>
  <si>
    <t xml:space="preserve">12135 SW 11th Ct </t>
  </si>
  <si>
    <t xml:space="preserve">2150 E 15th St </t>
  </si>
  <si>
    <t>Zakrzewski</t>
  </si>
  <si>
    <t xml:space="preserve">1450 Golden Gate Ave Apt 301 </t>
  </si>
  <si>
    <t>Digiovanni Jr.</t>
  </si>
  <si>
    <t xml:space="preserve">555 English Ave </t>
  </si>
  <si>
    <t xml:space="preserve">1137 18th St </t>
  </si>
  <si>
    <t xml:space="preserve">627 Leyden Ln </t>
  </si>
  <si>
    <t>Foresta</t>
  </si>
  <si>
    <t xml:space="preserve">45 Clara Dr # 1020 </t>
  </si>
  <si>
    <t>Mystic</t>
  </si>
  <si>
    <t xml:space="preserve">8117 Tina Dr </t>
  </si>
  <si>
    <t>Meguerditchian</t>
  </si>
  <si>
    <t>Harout</t>
  </si>
  <si>
    <t xml:space="preserve">1235 Euclid Ave </t>
  </si>
  <si>
    <t xml:space="preserve">1211 Bemis St SE </t>
  </si>
  <si>
    <t>Lorrie F</t>
  </si>
  <si>
    <t xml:space="preserve">11490 W 38th Ave </t>
  </si>
  <si>
    <t>Carlock</t>
  </si>
  <si>
    <t xml:space="preserve">1304 Surrey Ln SW </t>
  </si>
  <si>
    <t>Kozak</t>
  </si>
  <si>
    <t xml:space="preserve">617 18th Ave </t>
  </si>
  <si>
    <t>Beaver Falls</t>
  </si>
  <si>
    <t xml:space="preserve">56 State Road 69 </t>
  </si>
  <si>
    <t>New Glarus</t>
  </si>
  <si>
    <t>McCumber</t>
  </si>
  <si>
    <t xml:space="preserve">3 Millan St </t>
  </si>
  <si>
    <t>Leia</t>
  </si>
  <si>
    <t xml:space="preserve">Not Provided </t>
  </si>
  <si>
    <t>Ruckersville</t>
  </si>
  <si>
    <t xml:space="preserve">35919 Matisse Dr </t>
  </si>
  <si>
    <t>Delehanty</t>
  </si>
  <si>
    <t>Dottie</t>
  </si>
  <si>
    <t xml:space="preserve">I00 OGEMAW </t>
  </si>
  <si>
    <t>Pontiac</t>
  </si>
  <si>
    <t>Glasacb</t>
  </si>
  <si>
    <t xml:space="preserve">11 B CHURCH </t>
  </si>
  <si>
    <t>Bilz</t>
  </si>
  <si>
    <t xml:space="preserve">11104 Jameson Pass </t>
  </si>
  <si>
    <t xml:space="preserve">9895 Scripps Westview Way </t>
  </si>
  <si>
    <t xml:space="preserve">60329 County Road 15 </t>
  </si>
  <si>
    <t xml:space="preserve">460 Salishan Hills Dr </t>
  </si>
  <si>
    <t>Gleneden Beach</t>
  </si>
  <si>
    <t>Wittig</t>
  </si>
  <si>
    <t xml:space="preserve">508 Scott St Apt 11 </t>
  </si>
  <si>
    <t>Fahey-Matias</t>
  </si>
  <si>
    <t xml:space="preserve">2910 NE 117th Ct </t>
  </si>
  <si>
    <t>Southard</t>
  </si>
  <si>
    <t xml:space="preserve">9 Windsong Dr </t>
  </si>
  <si>
    <t>Waggoner</t>
  </si>
  <si>
    <t xml:space="preserve">135 Marquette Ave </t>
  </si>
  <si>
    <t xml:space="preserve">4112 Woodview Dr </t>
  </si>
  <si>
    <t xml:space="preserve">504 Frisco Dr </t>
  </si>
  <si>
    <t>La Place</t>
  </si>
  <si>
    <t>Gudgel</t>
  </si>
  <si>
    <t xml:space="preserve">PO Box 35 </t>
  </si>
  <si>
    <t>Svendsen</t>
  </si>
  <si>
    <t xml:space="preserve">4335 W Sarah St </t>
  </si>
  <si>
    <t xml:space="preserve">26550 Hinman Ln Cabin A </t>
  </si>
  <si>
    <t>Covelo</t>
  </si>
  <si>
    <t xml:space="preserve">477 Parkview Dr </t>
  </si>
  <si>
    <t xml:space="preserve">28 River Rd </t>
  </si>
  <si>
    <t>Stony Point</t>
  </si>
  <si>
    <t>Waldear</t>
  </si>
  <si>
    <t xml:space="preserve">15807 Waldears Path </t>
  </si>
  <si>
    <t>Sheep Ranch</t>
  </si>
  <si>
    <t>Stratman Phd</t>
  </si>
  <si>
    <t xml:space="preserve">1150 Inca St Apt 37 </t>
  </si>
  <si>
    <t>Barish</t>
  </si>
  <si>
    <t xml:space="preserve">200 Riverside Dr Apt 5A </t>
  </si>
  <si>
    <t>Delene</t>
  </si>
  <si>
    <t xml:space="preserve">60 Gregory Blvd </t>
  </si>
  <si>
    <t xml:space="preserve">737 Burnett Ave Apt 1 </t>
  </si>
  <si>
    <t>R-Shaw</t>
  </si>
  <si>
    <t>K.K.</t>
  </si>
  <si>
    <t xml:space="preserve">8930 Appleknoll Ln </t>
  </si>
  <si>
    <t xml:space="preserve">365 W 25th St Apt 17F </t>
  </si>
  <si>
    <t>Hunwick</t>
  </si>
  <si>
    <t xml:space="preserve">330 Butterfield Rd </t>
  </si>
  <si>
    <t xml:space="preserve">8419 Edwin Dr </t>
  </si>
  <si>
    <t xml:space="preserve">3015 E Bayshore Rd Spc 398 </t>
  </si>
  <si>
    <t>Duflo</t>
  </si>
  <si>
    <t xml:space="preserve">6945 108th St Apt 9F </t>
  </si>
  <si>
    <t xml:space="preserve">2839 E Mabel St </t>
  </si>
  <si>
    <t>Cianelli</t>
  </si>
  <si>
    <t xml:space="preserve">414 Dogwood Ln </t>
  </si>
  <si>
    <t>Newtown Square</t>
  </si>
  <si>
    <t>Slashinski</t>
  </si>
  <si>
    <t xml:space="preserve">430 13th St </t>
  </si>
  <si>
    <t xml:space="preserve">220 Congress St Apt 2G </t>
  </si>
  <si>
    <t>Harbin</t>
  </si>
  <si>
    <t xml:space="preserve">1150 Secret Cove Dr </t>
  </si>
  <si>
    <t>Sugar Hill</t>
  </si>
  <si>
    <t>Catala</t>
  </si>
  <si>
    <t xml:space="preserve">PO Box 9701 </t>
  </si>
  <si>
    <t>77842-7701</t>
  </si>
  <si>
    <t>Treat</t>
  </si>
  <si>
    <t xml:space="preserve">PO Box 11233 </t>
  </si>
  <si>
    <t>Anterre</t>
  </si>
  <si>
    <t xml:space="preserve">1856 S Seton Ave </t>
  </si>
  <si>
    <t xml:space="preserve">302 HIGHLAND Ave </t>
  </si>
  <si>
    <t xml:space="preserve">PO Box 22467 </t>
  </si>
  <si>
    <t>Foutty</t>
  </si>
  <si>
    <t xml:space="preserve">2013 SE 29th St </t>
  </si>
  <si>
    <t>Biersteker</t>
  </si>
  <si>
    <t xml:space="preserve">29 Huntington Pl </t>
  </si>
  <si>
    <t>Kaul</t>
  </si>
  <si>
    <t xml:space="preserve">810 Laurel St </t>
  </si>
  <si>
    <t>Sisk</t>
  </si>
  <si>
    <t xml:space="preserve">18231 NW 8th St </t>
  </si>
  <si>
    <t>Stobie</t>
  </si>
  <si>
    <t xml:space="preserve">609 N Mcpherson St </t>
  </si>
  <si>
    <t>Shishido</t>
  </si>
  <si>
    <t xml:space="preserve">780 Amana St </t>
  </si>
  <si>
    <t xml:space="preserve">2388 Clay St </t>
  </si>
  <si>
    <t xml:space="preserve">U KARLOVA Stánku 741 </t>
  </si>
  <si>
    <t>Prague</t>
  </si>
  <si>
    <t>Dildine</t>
  </si>
  <si>
    <t xml:space="preserve">5745 Ncr 27 </t>
  </si>
  <si>
    <t>Lillich</t>
  </si>
  <si>
    <t xml:space="preserve">5441 N East River Rd </t>
  </si>
  <si>
    <t>Woo</t>
  </si>
  <si>
    <t>Marie-Luise</t>
  </si>
  <si>
    <t xml:space="preserve">39 WEIHUNGSTR </t>
  </si>
  <si>
    <t>Illerkirchberg</t>
  </si>
  <si>
    <t>Bass</t>
  </si>
  <si>
    <t xml:space="preserve">3440 Jacona Ct </t>
  </si>
  <si>
    <t>Neelsen</t>
  </si>
  <si>
    <t xml:space="preserve">53 Springer Ct </t>
  </si>
  <si>
    <t xml:space="preserve">31 Peach Ln </t>
  </si>
  <si>
    <t xml:space="preserve">8744 W Rockwood Dr </t>
  </si>
  <si>
    <t>Dion</t>
  </si>
  <si>
    <t xml:space="preserve">331 Groover Creek Xing </t>
  </si>
  <si>
    <t>Botting</t>
  </si>
  <si>
    <t>Libbie</t>
  </si>
  <si>
    <t xml:space="preserve">56 Bromley Rd </t>
  </si>
  <si>
    <t>Fudemberg</t>
  </si>
  <si>
    <t>Longwillow</t>
  </si>
  <si>
    <t xml:space="preserve">PO Box 936 </t>
  </si>
  <si>
    <t>Occidental</t>
  </si>
  <si>
    <t>Kangos</t>
  </si>
  <si>
    <t xml:space="preserve">66 Bonny Ln </t>
  </si>
  <si>
    <t xml:space="preserve">45 Birchwood Dr </t>
  </si>
  <si>
    <t xml:space="preserve">5130 US Highway 89 </t>
  </si>
  <si>
    <t xml:space="preserve">1539 Curran St </t>
  </si>
  <si>
    <t>Luedtke</t>
  </si>
  <si>
    <t xml:space="preserve">8766 E State Rt 1-17 </t>
  </si>
  <si>
    <t>Momence</t>
  </si>
  <si>
    <t xml:space="preserve">1619 14th Ave S Apt 1A </t>
  </si>
  <si>
    <t>Kesh</t>
  </si>
  <si>
    <t xml:space="preserve">3719 Sardinia Island Way </t>
  </si>
  <si>
    <t>Vietti</t>
  </si>
  <si>
    <t xml:space="preserve">1950 S Finley Lake Ave </t>
  </si>
  <si>
    <t>Perr</t>
  </si>
  <si>
    <t xml:space="preserve">44 Stsouth Setauket </t>
  </si>
  <si>
    <t>Centereach</t>
  </si>
  <si>
    <t>Zaugg</t>
  </si>
  <si>
    <t>Dimitri</t>
  </si>
  <si>
    <t xml:space="preserve">509 Richards Lake Rd </t>
  </si>
  <si>
    <t xml:space="preserve">61 24 82 Pl </t>
  </si>
  <si>
    <t>Barna</t>
  </si>
  <si>
    <t xml:space="preserve">203 Rummel Rd </t>
  </si>
  <si>
    <t>Hartz</t>
  </si>
  <si>
    <t xml:space="preserve">8888 W LOCUST St </t>
  </si>
  <si>
    <t xml:space="preserve">2010 Meadow Ln </t>
  </si>
  <si>
    <t>Orrville</t>
  </si>
  <si>
    <t>Rusk</t>
  </si>
  <si>
    <t xml:space="preserve">20800 Lake Chabot Rd Apt 326 </t>
  </si>
  <si>
    <t xml:space="preserve">334 Navy St </t>
  </si>
  <si>
    <t>Miettinen</t>
  </si>
  <si>
    <t xml:space="preserve">JOKIN KATU 11 </t>
  </si>
  <si>
    <t>Tre</t>
  </si>
  <si>
    <t>AA</t>
  </si>
  <si>
    <t>Sibyll</t>
  </si>
  <si>
    <t xml:space="preserve">41 Game Farm Rd # 12564 </t>
  </si>
  <si>
    <t>Pawling</t>
  </si>
  <si>
    <t xml:space="preserve">602 S Crest Rd </t>
  </si>
  <si>
    <t>Lidia</t>
  </si>
  <si>
    <t xml:space="preserve">17850 SW 113th Ave </t>
  </si>
  <si>
    <t xml:space="preserve">1215 NW Cooke Ave </t>
  </si>
  <si>
    <t>Dw</t>
  </si>
  <si>
    <t xml:space="preserve">3926 60th St </t>
  </si>
  <si>
    <t>Lafjkslaf</t>
  </si>
  <si>
    <t>Fjdkslaf</t>
  </si>
  <si>
    <t xml:space="preserve">123 E Main St </t>
  </si>
  <si>
    <t>Christoplos</t>
  </si>
  <si>
    <t xml:space="preserve">6410 Sandy St </t>
  </si>
  <si>
    <t>Minert</t>
  </si>
  <si>
    <t xml:space="preserve">7260 W Peterson Ave Apt 509 </t>
  </si>
  <si>
    <t>Bousoulengas</t>
  </si>
  <si>
    <t xml:space="preserve">107 Glyfada </t>
  </si>
  <si>
    <t>Athena</t>
  </si>
  <si>
    <t>Thistle</t>
  </si>
  <si>
    <t xml:space="preserve">2169 Broadway </t>
  </si>
  <si>
    <t xml:space="preserve">89 Juliustown Rd </t>
  </si>
  <si>
    <t>Sousa</t>
  </si>
  <si>
    <t xml:space="preserve">AV ANTONIO ENES 24 </t>
  </si>
  <si>
    <t>Queluz</t>
  </si>
  <si>
    <t>Sk</t>
  </si>
  <si>
    <t>Ba</t>
  </si>
  <si>
    <t xml:space="preserve">3660 Robin Ln </t>
  </si>
  <si>
    <t xml:space="preserve">1222 Stevens Ave </t>
  </si>
  <si>
    <t>Halethorpe</t>
  </si>
  <si>
    <t>Hellinger</t>
  </si>
  <si>
    <t xml:space="preserve">910 Luminary Cir </t>
  </si>
  <si>
    <t>Stegman</t>
  </si>
  <si>
    <t xml:space="preserve">6306 Atlas Pl SW </t>
  </si>
  <si>
    <t xml:space="preserve">27 Vine Ln </t>
  </si>
  <si>
    <t xml:space="preserve">13 Whooping Hollow Rd </t>
  </si>
  <si>
    <t>Zinsmaster</t>
  </si>
  <si>
    <t xml:space="preserve">141 Floral Ave Apt D </t>
  </si>
  <si>
    <t>Mount Clemens</t>
  </si>
  <si>
    <t>Yamane</t>
  </si>
  <si>
    <t xml:space="preserve">1585 Mira Mar Ave </t>
  </si>
  <si>
    <t>Desarmeaux</t>
  </si>
  <si>
    <t xml:space="preserve">307 Cowal Dr N </t>
  </si>
  <si>
    <t>Spicewood</t>
  </si>
  <si>
    <t xml:space="preserve">480 Baker St </t>
  </si>
  <si>
    <t xml:space="preserve">1623 Palmcroft Dr Southeast 1623 Palmcroft Dr Dr SE </t>
  </si>
  <si>
    <t>Horner-Johnson</t>
  </si>
  <si>
    <t xml:space="preserve">12107 SE 37th Ave </t>
  </si>
  <si>
    <t>McVicker</t>
  </si>
  <si>
    <t xml:space="preserve">527 N Enderly Ave Apt 5 </t>
  </si>
  <si>
    <t>Ercilia</t>
  </si>
  <si>
    <t xml:space="preserve">3607 Shoshone St </t>
  </si>
  <si>
    <t>Edsall</t>
  </si>
  <si>
    <t>Mount Sinai</t>
  </si>
  <si>
    <t>Dodie</t>
  </si>
  <si>
    <t xml:space="preserve">PO Box 203 </t>
  </si>
  <si>
    <t xml:space="preserve">10 Sherwood Dr </t>
  </si>
  <si>
    <t>Witthuhn</t>
  </si>
  <si>
    <t xml:space="preserve">13971 Oakbrook Dr Apt 102 </t>
  </si>
  <si>
    <t>Lehmann</t>
  </si>
  <si>
    <t xml:space="preserve">1701 Cullen Ave </t>
  </si>
  <si>
    <t>Siochai</t>
  </si>
  <si>
    <t xml:space="preserve">614 Lawrence Eugene Or </t>
  </si>
  <si>
    <t>Penchoen</t>
  </si>
  <si>
    <t xml:space="preserve">7616 320th St S </t>
  </si>
  <si>
    <t>Castriota</t>
  </si>
  <si>
    <t xml:space="preserve">5 Halliwell Dr </t>
  </si>
  <si>
    <t xml:space="preserve">301 Holmes Rd </t>
  </si>
  <si>
    <t>Kostush</t>
  </si>
  <si>
    <t xml:space="preserve">628 Primrose Ln </t>
  </si>
  <si>
    <t>Lubec</t>
  </si>
  <si>
    <t>Suchma</t>
  </si>
  <si>
    <t xml:space="preserve">114 W Stratford Ave </t>
  </si>
  <si>
    <t xml:space="preserve">1402 Wyldewood Dr </t>
  </si>
  <si>
    <t>Ruocco Poling</t>
  </si>
  <si>
    <t xml:space="preserve">900 W 7th St Apt 525 </t>
  </si>
  <si>
    <t xml:space="preserve">58 Roble Rd </t>
  </si>
  <si>
    <t>Babara</t>
  </si>
  <si>
    <t>Harrop</t>
  </si>
  <si>
    <t xml:space="preserve">6 Dene Villas </t>
  </si>
  <si>
    <t>Belen</t>
  </si>
  <si>
    <t>Hender</t>
  </si>
  <si>
    <t xml:space="preserve">458 E Bay Ave </t>
  </si>
  <si>
    <t>Barnegat</t>
  </si>
  <si>
    <t>Sister Kathleen</t>
  </si>
  <si>
    <t xml:space="preserve">820 Fir Ave </t>
  </si>
  <si>
    <t xml:space="preserve">211 Hickok St </t>
  </si>
  <si>
    <t>Round Rock</t>
  </si>
  <si>
    <t>Tupta</t>
  </si>
  <si>
    <t xml:space="preserve">10944 Evening Creek Dr E </t>
  </si>
  <si>
    <t>Cheeseman</t>
  </si>
  <si>
    <t xml:space="preserve">6901 Lee St </t>
  </si>
  <si>
    <t>Flasterstein</t>
  </si>
  <si>
    <t xml:space="preserve">13106 N Ola Ave </t>
  </si>
  <si>
    <t>Stallings</t>
  </si>
  <si>
    <t xml:space="preserve">2811 N 49th Ave </t>
  </si>
  <si>
    <t xml:space="preserve">6406 Nassau Ct </t>
  </si>
  <si>
    <t xml:space="preserve">1422 Animas View Dr Unit 15 </t>
  </si>
  <si>
    <t xml:space="preserve">PO Box 141 </t>
  </si>
  <si>
    <t>Garsys</t>
  </si>
  <si>
    <t xml:space="preserve">511 S Genesee Ave </t>
  </si>
  <si>
    <t>Snyder - Mayor Of Ward Co</t>
  </si>
  <si>
    <t>Honorable Tiffany</t>
  </si>
  <si>
    <t xml:space="preserve">175 S 35th St </t>
  </si>
  <si>
    <t xml:space="preserve">115 Runnels Cv </t>
  </si>
  <si>
    <t xml:space="preserve">471 Hinano Way Apt A </t>
  </si>
  <si>
    <t>Fobes</t>
  </si>
  <si>
    <t xml:space="preserve">55 Lower Cranberry Meadow Rd </t>
  </si>
  <si>
    <t xml:space="preserve">12631 El Camino Real </t>
  </si>
  <si>
    <t xml:space="preserve">T844 ROBINSON Ave </t>
  </si>
  <si>
    <t>Bilheimer</t>
  </si>
  <si>
    <t xml:space="preserve">4121 67th Ave N </t>
  </si>
  <si>
    <t xml:space="preserve">535 13th Ave E </t>
  </si>
  <si>
    <t>McGlaughlin</t>
  </si>
  <si>
    <t xml:space="preserve">438 Osceola St </t>
  </si>
  <si>
    <t xml:space="preserve">2493 Tartan Ln </t>
  </si>
  <si>
    <t>Sunderman</t>
  </si>
  <si>
    <t>Shaddrick</t>
  </si>
  <si>
    <t xml:space="preserve">320 S 70th St </t>
  </si>
  <si>
    <t xml:space="preserve">PO Box 1202 </t>
  </si>
  <si>
    <t xml:space="preserve">3550 Toomer Kiln Cir </t>
  </si>
  <si>
    <t>Giovan</t>
  </si>
  <si>
    <t xml:space="preserve">PO Box 462 </t>
  </si>
  <si>
    <t>Herbster</t>
  </si>
  <si>
    <t xml:space="preserve">1700 Waterford Dr Apt 219 </t>
  </si>
  <si>
    <t>Kurczewski</t>
  </si>
  <si>
    <t xml:space="preserve">5323 S Straits Hwy Apt 20 </t>
  </si>
  <si>
    <t>Indian River</t>
  </si>
  <si>
    <t xml:space="preserve">40 Belmont Ave </t>
  </si>
  <si>
    <t>Maehr</t>
  </si>
  <si>
    <t xml:space="preserve">924 E Stollsteimer Rd </t>
  </si>
  <si>
    <t xml:space="preserve">9415 86th Ave </t>
  </si>
  <si>
    <t>Woodhaven</t>
  </si>
  <si>
    <t xml:space="preserve">3705 Baker St </t>
  </si>
  <si>
    <t>Baker City</t>
  </si>
  <si>
    <t>Bakst</t>
  </si>
  <si>
    <t xml:space="preserve">1 Milewood Rd </t>
  </si>
  <si>
    <t>Verbank</t>
  </si>
  <si>
    <t>Crow</t>
  </si>
  <si>
    <t>Meera</t>
  </si>
  <si>
    <t xml:space="preserve">1549 S Wooster St </t>
  </si>
  <si>
    <t xml:space="preserve">5 Woodridge Rd </t>
  </si>
  <si>
    <t>Jenna And Blair</t>
  </si>
  <si>
    <t xml:space="preserve">18160 Baby Bear Ct </t>
  </si>
  <si>
    <t>Jyurovat</t>
  </si>
  <si>
    <t xml:space="preserve">550 Marine St </t>
  </si>
  <si>
    <t>Howerton</t>
  </si>
  <si>
    <t>Bj</t>
  </si>
  <si>
    <t xml:space="preserve">1817 Sycamore Rd </t>
  </si>
  <si>
    <t>Bossert</t>
  </si>
  <si>
    <t xml:space="preserve">2225 Witter Gulch Rd </t>
  </si>
  <si>
    <t>Ranauro</t>
  </si>
  <si>
    <t xml:space="preserve">6810 Brookridge Trl </t>
  </si>
  <si>
    <t>Brownstein</t>
  </si>
  <si>
    <t xml:space="preserve">431 Pine St </t>
  </si>
  <si>
    <t>Abril</t>
  </si>
  <si>
    <t xml:space="preserve">7161 Silver Lake Blvd </t>
  </si>
  <si>
    <t xml:space="preserve">10536 N Magnolia Dr </t>
  </si>
  <si>
    <t>Mequon</t>
  </si>
  <si>
    <t>Zipf</t>
  </si>
  <si>
    <t xml:space="preserve">10 Stewart Pl </t>
  </si>
  <si>
    <t>Dugandzic</t>
  </si>
  <si>
    <t>Natasa</t>
  </si>
  <si>
    <t xml:space="preserve">164 Elm St </t>
  </si>
  <si>
    <t xml:space="preserve">76 Forest Row </t>
  </si>
  <si>
    <t>Pliskin</t>
  </si>
  <si>
    <t xml:space="preserve">36 Prospect Pl </t>
  </si>
  <si>
    <t xml:space="preserve">3260 Field St </t>
  </si>
  <si>
    <t xml:space="preserve">4815 Cedar Lake Rd S </t>
  </si>
  <si>
    <t>Finklea</t>
  </si>
  <si>
    <t xml:space="preserve">3601 Woodview Ln </t>
  </si>
  <si>
    <t>Martucci</t>
  </si>
  <si>
    <t xml:space="preserve">2722 18th Ave NE </t>
  </si>
  <si>
    <t xml:space="preserve">4817 Woods Edge Rd </t>
  </si>
  <si>
    <t xml:space="preserve">414 Saddleridge Rd </t>
  </si>
  <si>
    <t>Valley Springs</t>
  </si>
  <si>
    <t>Pleas</t>
  </si>
  <si>
    <t>Octavia</t>
  </si>
  <si>
    <t xml:space="preserve">I Need To Send The Item To Kaylee Mcbrid </t>
  </si>
  <si>
    <t>Oberdorf</t>
  </si>
  <si>
    <t xml:space="preserve">78 Ann Lee Ln </t>
  </si>
  <si>
    <t>Charesa</t>
  </si>
  <si>
    <t xml:space="preserve">4399 Warm Springs Rd Unit 6 </t>
  </si>
  <si>
    <t xml:space="preserve">2625 Morgan Rd Conway </t>
  </si>
  <si>
    <t>Gort</t>
  </si>
  <si>
    <t xml:space="preserve">14 W Sabrosa Dr </t>
  </si>
  <si>
    <t>New River</t>
  </si>
  <si>
    <t>Tsomo</t>
  </si>
  <si>
    <t>Karma Lekshe</t>
  </si>
  <si>
    <t>Puliselic</t>
  </si>
  <si>
    <t xml:space="preserve">4980 Hunt Club Rd Apt K25 </t>
  </si>
  <si>
    <t>Sello</t>
  </si>
  <si>
    <t xml:space="preserve">840 S Bedford St </t>
  </si>
  <si>
    <t>Lentz</t>
  </si>
  <si>
    <t xml:space="preserve">3355 Governor Miles Rd </t>
  </si>
  <si>
    <t>Sappington</t>
  </si>
  <si>
    <t>K. Susan</t>
  </si>
  <si>
    <t xml:space="preserve">115 E 85th St </t>
  </si>
  <si>
    <t>Belecia</t>
  </si>
  <si>
    <t xml:space="preserve">703 Kerri Cove Ct Apt 203 </t>
  </si>
  <si>
    <t>Hoecker</t>
  </si>
  <si>
    <t xml:space="preserve">5540 E St </t>
  </si>
  <si>
    <t xml:space="preserve">401 Shady Ave Apt D502 </t>
  </si>
  <si>
    <t xml:space="preserve">211242 SHEPARD LANE ABINGDON VA </t>
  </si>
  <si>
    <t>Abingdon</t>
  </si>
  <si>
    <t xml:space="preserve">5106 Oak Hill Ln Apt 921 </t>
  </si>
  <si>
    <t>Binggeli</t>
  </si>
  <si>
    <t>Tamsen</t>
  </si>
  <si>
    <t xml:space="preserve">2500 S Millway Dr </t>
  </si>
  <si>
    <t xml:space="preserve">744 Jefferson Heights Ave </t>
  </si>
  <si>
    <t>Yun Ji</t>
  </si>
  <si>
    <t xml:space="preserve">231 Steamboat Dr </t>
  </si>
  <si>
    <t>Dodge City</t>
  </si>
  <si>
    <t>Armendariz</t>
  </si>
  <si>
    <t xml:space="preserve">4230 Artisan Park </t>
  </si>
  <si>
    <t xml:space="preserve">121 Victoria View St </t>
  </si>
  <si>
    <t>Wichman</t>
  </si>
  <si>
    <t xml:space="preserve">111 Park St Apt 14P </t>
  </si>
  <si>
    <t xml:space="preserve">3802 Bosworth Rd </t>
  </si>
  <si>
    <t>Reis</t>
  </si>
  <si>
    <t>Jenni</t>
  </si>
  <si>
    <t xml:space="preserve">633 Hudson Rd </t>
  </si>
  <si>
    <t xml:space="preserve">SAN FRANCISCO </t>
  </si>
  <si>
    <t>Vanderstoep</t>
  </si>
  <si>
    <t xml:space="preserve">14919 Perthshire Rd </t>
  </si>
  <si>
    <t>Florenzen</t>
  </si>
  <si>
    <t xml:space="preserve">218 Center St </t>
  </si>
  <si>
    <t xml:space="preserve">PO Box 172 </t>
  </si>
  <si>
    <t>Keuka Park</t>
  </si>
  <si>
    <t>Finn</t>
  </si>
  <si>
    <t>Debo</t>
  </si>
  <si>
    <t xml:space="preserve">34411 Via Espinoza </t>
  </si>
  <si>
    <t>Capo Beach</t>
  </si>
  <si>
    <t>Copper</t>
  </si>
  <si>
    <t xml:space="preserve">1603 Ridgeway Dr </t>
  </si>
  <si>
    <t xml:space="preserve">5262 Fredericksburg Way </t>
  </si>
  <si>
    <t xml:space="preserve">1710 Forest Creek Rd </t>
  </si>
  <si>
    <t>Thoman</t>
  </si>
  <si>
    <t xml:space="preserve">4047 Mill Rd 4047 Mill Rd 4047 Mill Rd </t>
  </si>
  <si>
    <t>Safman</t>
  </si>
  <si>
    <t xml:space="preserve">875 S Donner Way Apt 402 </t>
  </si>
  <si>
    <t>Hansell</t>
  </si>
  <si>
    <t xml:space="preserve">1780 E 5600 S </t>
  </si>
  <si>
    <t>Ouren</t>
  </si>
  <si>
    <t xml:space="preserve">6260 60th Ave N </t>
  </si>
  <si>
    <t>Fs</t>
  </si>
  <si>
    <t xml:space="preserve">802 Jones Dr </t>
  </si>
  <si>
    <t>Steuerwald</t>
  </si>
  <si>
    <t xml:space="preserve">57 De Young Rd </t>
  </si>
  <si>
    <t xml:space="preserve">648 S Pennsylvania St </t>
  </si>
  <si>
    <t xml:space="preserve">3209 Calle Quieto </t>
  </si>
  <si>
    <t xml:space="preserve">66 Summer St Apt 3J </t>
  </si>
  <si>
    <t>Rozm</t>
  </si>
  <si>
    <t>Kar</t>
  </si>
  <si>
    <t xml:space="preserve">PO Box 2062 </t>
  </si>
  <si>
    <t xml:space="preserve">8009 262nd St E </t>
  </si>
  <si>
    <t>Myakka City</t>
  </si>
  <si>
    <t>Godmilow</t>
  </si>
  <si>
    <t xml:space="preserve">436 W 47th St Apt 1B </t>
  </si>
  <si>
    <t>Ann M</t>
  </si>
  <si>
    <t xml:space="preserve">360 Enterprise Blvd Unit 14 </t>
  </si>
  <si>
    <t>Cardenas</t>
  </si>
  <si>
    <t xml:space="preserve">Greenbrier </t>
  </si>
  <si>
    <t xml:space="preserve">4 Sammis Rd </t>
  </si>
  <si>
    <t xml:space="preserve">478 Water St </t>
  </si>
  <si>
    <t xml:space="preserve">103 Sweetbriar Rd </t>
  </si>
  <si>
    <t xml:space="preserve">PO Box 363 </t>
  </si>
  <si>
    <t xml:space="preserve">13354 White Lake Rd </t>
  </si>
  <si>
    <t>Pieters</t>
  </si>
  <si>
    <t xml:space="preserve">1559 Deseret Dr </t>
  </si>
  <si>
    <t>Minden</t>
  </si>
  <si>
    <t>Stubenbord</t>
  </si>
  <si>
    <t xml:space="preserve">308 Hasbrouck </t>
  </si>
  <si>
    <t xml:space="preserve">6090 High Meadow Dr </t>
  </si>
  <si>
    <t xml:space="preserve">4972 Mount Frissell Dr </t>
  </si>
  <si>
    <t>Kuelper</t>
  </si>
  <si>
    <t xml:space="preserve">3111 California St </t>
  </si>
  <si>
    <t xml:space="preserve">15 Nope Ln </t>
  </si>
  <si>
    <t>Richmond Hill</t>
  </si>
  <si>
    <t xml:space="preserve">1368 Dandelion Way </t>
  </si>
  <si>
    <t>Repp</t>
  </si>
  <si>
    <t xml:space="preserve">2923 Vinsetta Blvd </t>
  </si>
  <si>
    <t xml:space="preserve">4703 Long Leaf Hills Dr </t>
  </si>
  <si>
    <t>Diona</t>
  </si>
  <si>
    <t xml:space="preserve">9319 244th St SW </t>
  </si>
  <si>
    <t>Hendrix</t>
  </si>
  <si>
    <t xml:space="preserve">104 SE Airpark Dr </t>
  </si>
  <si>
    <t>Lindemann</t>
  </si>
  <si>
    <t>Aleksander</t>
  </si>
  <si>
    <t xml:space="preserve">Pod Goro 4D </t>
  </si>
  <si>
    <t xml:space="preserve">1801 Scenic Court Dr </t>
  </si>
  <si>
    <t>Coke</t>
  </si>
  <si>
    <t>Madelene</t>
  </si>
  <si>
    <t xml:space="preserve">500 Cathedral Dr Unit 2847 </t>
  </si>
  <si>
    <t>Sonnenschein</t>
  </si>
  <si>
    <t>Lotte</t>
  </si>
  <si>
    <t xml:space="preserve">27 Natmark Ct Woodcliff Lk </t>
  </si>
  <si>
    <t>Woodcliff Lake</t>
  </si>
  <si>
    <t>McVey</t>
  </si>
  <si>
    <t xml:space="preserve">9278 Randal Park Blvd Unit 18117 </t>
  </si>
  <si>
    <t>Wilkin</t>
  </si>
  <si>
    <t xml:space="preserve">6724 E Manzanita Dr </t>
  </si>
  <si>
    <t>Bouska</t>
  </si>
  <si>
    <t xml:space="preserve">224 Bermuda Dr </t>
  </si>
  <si>
    <t>Bare</t>
  </si>
  <si>
    <t xml:space="preserve">1010 Powderhouse Rd </t>
  </si>
  <si>
    <t>Fite</t>
  </si>
  <si>
    <t xml:space="preserve">1751 Kudu Ct </t>
  </si>
  <si>
    <t>94541-4328</t>
  </si>
  <si>
    <t>Holzinger</t>
  </si>
  <si>
    <t xml:space="preserve">19455 Kilfinan St </t>
  </si>
  <si>
    <t>Porter Ranch</t>
  </si>
  <si>
    <t>Marti</t>
  </si>
  <si>
    <t xml:space="preserve">1369 Hearst Dr NE </t>
  </si>
  <si>
    <t>Ferrara</t>
  </si>
  <si>
    <t xml:space="preserve">4736 Onondaga Blvd # 102 </t>
  </si>
  <si>
    <t xml:space="preserve">CHAPEL Ct </t>
  </si>
  <si>
    <t xml:space="preserve">32351 County Highway 1 </t>
  </si>
  <si>
    <t>Keneipp</t>
  </si>
  <si>
    <t xml:space="preserve">424 Caledonia St </t>
  </si>
  <si>
    <t xml:space="preserve">518 Wilbur Dr </t>
  </si>
  <si>
    <t>Cris</t>
  </si>
  <si>
    <t xml:space="preserve">1112 1/2 S Sierra Bonita Ave </t>
  </si>
  <si>
    <t xml:space="preserve">3909 E Fourth Plain Blvd </t>
  </si>
  <si>
    <t>.</t>
  </si>
  <si>
    <t xml:space="preserve">5223 Mtbonnell Rd </t>
  </si>
  <si>
    <t xml:space="preserve">3718 Hickory Way </t>
  </si>
  <si>
    <t xml:space="preserve">94 Canada Ancha </t>
  </si>
  <si>
    <t>Chimayo</t>
  </si>
  <si>
    <t>Bleckinger</t>
  </si>
  <si>
    <t xml:space="preserve">1045 Driftwood Ln </t>
  </si>
  <si>
    <t>Wanaisie</t>
  </si>
  <si>
    <t>Luwana</t>
  </si>
  <si>
    <t xml:space="preserve">Continuous Traveler </t>
  </si>
  <si>
    <t>Wallowa</t>
  </si>
  <si>
    <t xml:space="preserve">5073 Red Fox Run </t>
  </si>
  <si>
    <t xml:space="preserve">38 Wilkerson Rdgamaliel </t>
  </si>
  <si>
    <t>Gamaliel</t>
  </si>
  <si>
    <t>Krznarich</t>
  </si>
  <si>
    <t xml:space="preserve">1720 Trail Creek Way </t>
  </si>
  <si>
    <t>Purkey</t>
  </si>
  <si>
    <t xml:space="preserve">6399 S Dixie Hwy </t>
  </si>
  <si>
    <t>Wolfbrandt</t>
  </si>
  <si>
    <t xml:space="preserve">3963 Ramsgate Ct </t>
  </si>
  <si>
    <t>Cumings</t>
  </si>
  <si>
    <t xml:space="preserve">4223 Niagara St </t>
  </si>
  <si>
    <t>Denner</t>
  </si>
  <si>
    <t xml:space="preserve">5269 Queensbury Dr SE </t>
  </si>
  <si>
    <t xml:space="preserve">3109 Glenwood Lansing Rd </t>
  </si>
  <si>
    <t>Lynwood</t>
  </si>
  <si>
    <t xml:space="preserve">3011 Colonial Drive Sugar Land </t>
  </si>
  <si>
    <t>Steiinger</t>
  </si>
  <si>
    <t xml:space="preserve">13 Main St </t>
  </si>
  <si>
    <t xml:space="preserve">2345 Speed Ave </t>
  </si>
  <si>
    <t>Welsford</t>
  </si>
  <si>
    <t xml:space="preserve">642 Wendover Blvd </t>
  </si>
  <si>
    <t>Giannoni</t>
  </si>
  <si>
    <t xml:space="preserve">116 Wesley Ave </t>
  </si>
  <si>
    <t>MacLean</t>
  </si>
  <si>
    <t xml:space="preserve">12228 Lincoln Lake Way </t>
  </si>
  <si>
    <t>Testa</t>
  </si>
  <si>
    <t>Francesca</t>
  </si>
  <si>
    <t xml:space="preserve">166 Federal Way </t>
  </si>
  <si>
    <t>Freewoman</t>
  </si>
  <si>
    <t xml:space="preserve">1772 Crittenden Rd Apt 5 </t>
  </si>
  <si>
    <t xml:space="preserve">14 Heidi Dr </t>
  </si>
  <si>
    <t>Herrli</t>
  </si>
  <si>
    <t xml:space="preserve">PO Box 9 </t>
  </si>
  <si>
    <t>Spring Green</t>
  </si>
  <si>
    <t xml:space="preserve">1476 Hidden Valley Rd </t>
  </si>
  <si>
    <t>Adelson</t>
  </si>
  <si>
    <t xml:space="preserve">2810 6th St </t>
  </si>
  <si>
    <t>Lema</t>
  </si>
  <si>
    <t xml:space="preserve">3312 Monika Ln </t>
  </si>
  <si>
    <t>Sadira</t>
  </si>
  <si>
    <t>Kulu</t>
  </si>
  <si>
    <t xml:space="preserve">802 E Burlington Ave </t>
  </si>
  <si>
    <t xml:space="preserve">4 Allée MARC CHAGALL </t>
  </si>
  <si>
    <t xml:space="preserve">PO Box 94 </t>
  </si>
  <si>
    <t>Fort Davis</t>
  </si>
  <si>
    <t xml:space="preserve">38 N Almaden Blvd Unit 1908 </t>
  </si>
  <si>
    <t xml:space="preserve">2068 Three Eagles Way </t>
  </si>
  <si>
    <t>Loma</t>
  </si>
  <si>
    <t>Mustard</t>
  </si>
  <si>
    <t xml:space="preserve">345 Avon Rd Apt E155 </t>
  </si>
  <si>
    <t>Cirasole</t>
  </si>
  <si>
    <t xml:space="preserve">39 S Main St # 110 </t>
  </si>
  <si>
    <t>Jepson</t>
  </si>
  <si>
    <t xml:space="preserve">15 Mahalo Nui Pl </t>
  </si>
  <si>
    <t xml:space="preserve">35590 W Costa Blanca Drl </t>
  </si>
  <si>
    <t>Schweiger</t>
  </si>
  <si>
    <t xml:space="preserve">183 N Sequoia Rd </t>
  </si>
  <si>
    <t>Goggin</t>
  </si>
  <si>
    <t xml:space="preserve">3324 Lyon Dr </t>
  </si>
  <si>
    <t xml:space="preserve">636 Transart Pkwy </t>
  </si>
  <si>
    <t>Cuthbertson</t>
  </si>
  <si>
    <t xml:space="preserve">6649 Oakwood Dr </t>
  </si>
  <si>
    <t>Julia W</t>
  </si>
  <si>
    <t xml:space="preserve">621 Colleen Dr </t>
  </si>
  <si>
    <t>Ryerson</t>
  </si>
  <si>
    <t xml:space="preserve">5540 Oles Dr N # IN46228 </t>
  </si>
  <si>
    <t xml:space="preserve">6281 Great Smoky Ave </t>
  </si>
  <si>
    <t>Baufield</t>
  </si>
  <si>
    <t xml:space="preserve">1305 3rd Ave S </t>
  </si>
  <si>
    <t xml:space="preserve">1638 Crosshaven Ct </t>
  </si>
  <si>
    <t>La Barre</t>
  </si>
  <si>
    <t xml:space="preserve">MAPLE St </t>
  </si>
  <si>
    <t>Liston</t>
  </si>
  <si>
    <t xml:space="preserve">211 W Cook Ave </t>
  </si>
  <si>
    <t>Cherie A.</t>
  </si>
  <si>
    <t xml:space="preserve">1003 Neeleys Bnd </t>
  </si>
  <si>
    <t>Sayer</t>
  </si>
  <si>
    <t xml:space="preserve">76 Elm Stb </t>
  </si>
  <si>
    <t xml:space="preserve">6255 Telegraph Rd Lot 124 </t>
  </si>
  <si>
    <t xml:space="preserve">725 4th Ave S Unit B </t>
  </si>
  <si>
    <t>Surfside Beach</t>
  </si>
  <si>
    <t>Haverfield</t>
  </si>
  <si>
    <t xml:space="preserve">21 Beacon St Apt 3Q </t>
  </si>
  <si>
    <t xml:space="preserve">10 Chusco Rd </t>
  </si>
  <si>
    <t xml:space="preserve">2850 Warren St </t>
  </si>
  <si>
    <t xml:space="preserve">10414 SW Bonanza Way </t>
  </si>
  <si>
    <t>Reese Jr.</t>
  </si>
  <si>
    <t>Homer R.</t>
  </si>
  <si>
    <t xml:space="preserve">6442 SE 131st Ave </t>
  </si>
  <si>
    <t>O'Neill</t>
  </si>
  <si>
    <t xml:space="preserve">242 E 87th St Apt 2F </t>
  </si>
  <si>
    <t>Sellon</t>
  </si>
  <si>
    <t xml:space="preserve">1253 Springfield Ave </t>
  </si>
  <si>
    <t>Grier</t>
  </si>
  <si>
    <t xml:space="preserve">722 Pebble Creek Trl </t>
  </si>
  <si>
    <t xml:space="preserve">117 Roosevelt Blvd # 23 </t>
  </si>
  <si>
    <t>Parlin</t>
  </si>
  <si>
    <t>Bingler</t>
  </si>
  <si>
    <t xml:space="preserve">11905 SE Holgate Blvd Apt 10 </t>
  </si>
  <si>
    <t xml:space="preserve">2102 Harrison Ave NW </t>
  </si>
  <si>
    <t>Quall</t>
  </si>
  <si>
    <t xml:space="preserve">2424 S Horizon Dr </t>
  </si>
  <si>
    <t>Sumilhig</t>
  </si>
  <si>
    <t>Freddie</t>
  </si>
  <si>
    <t xml:space="preserve">203 White Water Way </t>
  </si>
  <si>
    <t xml:space="preserve">30 Marion Ave </t>
  </si>
  <si>
    <t>Pendergast</t>
  </si>
  <si>
    <t xml:space="preserve">530 Roosevelt St </t>
  </si>
  <si>
    <t xml:space="preserve">289 Cross Point Rd </t>
  </si>
  <si>
    <t>Edgecomb</t>
  </si>
  <si>
    <t>Storts</t>
  </si>
  <si>
    <t xml:space="preserve">2119 N 32nd St </t>
  </si>
  <si>
    <t xml:space="preserve">264 E Broadway </t>
  </si>
  <si>
    <t>Crider</t>
  </si>
  <si>
    <t xml:space="preserve">481 Main St N </t>
  </si>
  <si>
    <t>Klicka</t>
  </si>
  <si>
    <t>Mary Klicka</t>
  </si>
  <si>
    <t xml:space="preserve">39 Greenwich Rd </t>
  </si>
  <si>
    <t>Duncan Jr</t>
  </si>
  <si>
    <t xml:space="preserve">PO Box 1135 </t>
  </si>
  <si>
    <t xml:space="preserve">691 YORK Ter </t>
  </si>
  <si>
    <t>Clements</t>
  </si>
  <si>
    <t xml:space="preserve">2172 Garfias Dr </t>
  </si>
  <si>
    <t>Deter</t>
  </si>
  <si>
    <t xml:space="preserve">680 Treasure Lk </t>
  </si>
  <si>
    <t>Steier</t>
  </si>
  <si>
    <t xml:space="preserve">3243 Monroe St </t>
  </si>
  <si>
    <t>Paducah</t>
  </si>
  <si>
    <t xml:space="preserve">1264 Arnold Tenbrook Rd </t>
  </si>
  <si>
    <t>Rachko</t>
  </si>
  <si>
    <t xml:space="preserve">PO Box 11398 </t>
  </si>
  <si>
    <t xml:space="preserve">279 N Broadway Apt 7C </t>
  </si>
  <si>
    <t>Karmin</t>
  </si>
  <si>
    <t xml:space="preserve">1964 2nd Ave </t>
  </si>
  <si>
    <t>Ohm</t>
  </si>
  <si>
    <t xml:space="preserve">4220 19th St </t>
  </si>
  <si>
    <t xml:space="preserve">13581 Shoshone St </t>
  </si>
  <si>
    <t>Rapport</t>
  </si>
  <si>
    <t>Dr. Phyllis</t>
  </si>
  <si>
    <t xml:space="preserve">620 Morey Rd </t>
  </si>
  <si>
    <t xml:space="preserve">100 Pond St </t>
  </si>
  <si>
    <t>Cohasset</t>
  </si>
  <si>
    <t xml:space="preserve">615 N Crest Dr </t>
  </si>
  <si>
    <t>Lone Jack</t>
  </si>
  <si>
    <t xml:space="preserve">309 New St </t>
  </si>
  <si>
    <t xml:space="preserve">Jusjokinwitcha Hotmailcom </t>
  </si>
  <si>
    <t>Wershiner</t>
  </si>
  <si>
    <t xml:space="preserve">2288 Tokay St </t>
  </si>
  <si>
    <t>Jansen</t>
  </si>
  <si>
    <t xml:space="preserve">316 1/2 Chicago Ave </t>
  </si>
  <si>
    <t>Plattsmouth</t>
  </si>
  <si>
    <t>Ulich</t>
  </si>
  <si>
    <t>Eleanor B.</t>
  </si>
  <si>
    <t>East Marion</t>
  </si>
  <si>
    <t>Denko</t>
  </si>
  <si>
    <t xml:space="preserve">4221 SW Comus St </t>
  </si>
  <si>
    <t xml:space="preserve">3027 NE 9th Ave </t>
  </si>
  <si>
    <t xml:space="preserve">196 Cedar Cir </t>
  </si>
  <si>
    <t>Saint Marie</t>
  </si>
  <si>
    <t xml:space="preserve">693 Oradell Ave </t>
  </si>
  <si>
    <t>Oradell</t>
  </si>
  <si>
    <t xml:space="preserve">7470 Blackhawk Trl </t>
  </si>
  <si>
    <t>Zachary</t>
  </si>
  <si>
    <t xml:space="preserve">100 E Hartsdale Ave </t>
  </si>
  <si>
    <t>Geraldine E</t>
  </si>
  <si>
    <t xml:space="preserve">267 Lick Fork Ln </t>
  </si>
  <si>
    <t>Reidsville</t>
  </si>
  <si>
    <t xml:space="preserve">3240 B Juan Tabo Blvd NE # A3 </t>
  </si>
  <si>
    <t xml:space="preserve">1254 E12th St </t>
  </si>
  <si>
    <t xml:space="preserve">3504 Hoover Ave Apt 322 </t>
  </si>
  <si>
    <t>Lantz</t>
  </si>
  <si>
    <t xml:space="preserve">166 Ivystone Dr Apt H </t>
  </si>
  <si>
    <t>Kloas</t>
  </si>
  <si>
    <t>Ewen</t>
  </si>
  <si>
    <t xml:space="preserve">57 Glenrowan Dr </t>
  </si>
  <si>
    <t>Gold Beach</t>
  </si>
  <si>
    <t>Tugadi</t>
  </si>
  <si>
    <t xml:space="preserve">96 Peachtree St </t>
  </si>
  <si>
    <t>Jesse Philip</t>
  </si>
  <si>
    <t xml:space="preserve">600 I St Apt 704 </t>
  </si>
  <si>
    <t>Puerto</t>
  </si>
  <si>
    <t xml:space="preserve">1729 Saint Peters Ave </t>
  </si>
  <si>
    <t xml:space="preserve">5670 Oak Knoll Rd </t>
  </si>
  <si>
    <t xml:space="preserve">3820 E 117th Ave </t>
  </si>
  <si>
    <t>John R</t>
  </si>
  <si>
    <t xml:space="preserve">1306 Metcalf Rd </t>
  </si>
  <si>
    <t>Acutt</t>
  </si>
  <si>
    <t xml:space="preserve">2509 20th St </t>
  </si>
  <si>
    <t>Wishard</t>
  </si>
  <si>
    <t xml:space="preserve">625 Lakeside Ln </t>
  </si>
  <si>
    <t>Nancy And Richard C.</t>
  </si>
  <si>
    <t xml:space="preserve">704 8th Ave Apt 4R </t>
  </si>
  <si>
    <t>Silagy</t>
  </si>
  <si>
    <t xml:space="preserve">44 O Riverside Dr # NO118 </t>
  </si>
  <si>
    <t>Wyn</t>
  </si>
  <si>
    <t xml:space="preserve">178 Draughn St </t>
  </si>
  <si>
    <t>Gallion</t>
  </si>
  <si>
    <t xml:space="preserve">3514 Bellaire Blvd </t>
  </si>
  <si>
    <t>Chandra</t>
  </si>
  <si>
    <t xml:space="preserve">1308 California Blvd </t>
  </si>
  <si>
    <t xml:space="preserve">PO Box 1402 </t>
  </si>
  <si>
    <t>Houston. Md</t>
  </si>
  <si>
    <t xml:space="preserve">624 Georges Ln </t>
  </si>
  <si>
    <t>Josey</t>
  </si>
  <si>
    <t xml:space="preserve">190 Schley St </t>
  </si>
  <si>
    <t>Warrenville</t>
  </si>
  <si>
    <t xml:space="preserve">1619 14th Ave S </t>
  </si>
  <si>
    <t xml:space="preserve">472 NW 94th Ter </t>
  </si>
  <si>
    <t xml:space="preserve">2400 Mccain Blvd Apt 2034 </t>
  </si>
  <si>
    <t>Cieplik</t>
  </si>
  <si>
    <t xml:space="preserve">5507 NE Scandia Ln Apt 312 </t>
  </si>
  <si>
    <t xml:space="preserve">13851 Milan St </t>
  </si>
  <si>
    <t>Bonnita</t>
  </si>
  <si>
    <t xml:space="preserve">131 Coolspring Dr </t>
  </si>
  <si>
    <t>River</t>
  </si>
  <si>
    <t xml:space="preserve">2323 Charles Ave Apt 201 </t>
  </si>
  <si>
    <t>Burchett</t>
  </si>
  <si>
    <t>Marieke</t>
  </si>
  <si>
    <t xml:space="preserve">13617 Union Village Cir </t>
  </si>
  <si>
    <t xml:space="preserve">8431 Tern Cir </t>
  </si>
  <si>
    <t xml:space="preserve">2118 Rugen Rd Apt A </t>
  </si>
  <si>
    <t>Woolford</t>
  </si>
  <si>
    <t xml:space="preserve">12333 Rosewood Dr </t>
  </si>
  <si>
    <t>Halkides</t>
  </si>
  <si>
    <t>Basil</t>
  </si>
  <si>
    <t xml:space="preserve">12044 W95th Pl </t>
  </si>
  <si>
    <t>St John</t>
  </si>
  <si>
    <t>Dziechciarz</t>
  </si>
  <si>
    <t xml:space="preserve">15 Perryville Rd </t>
  </si>
  <si>
    <t>Ward Saltini</t>
  </si>
  <si>
    <t>South Jamesport</t>
  </si>
  <si>
    <t>Fore</t>
  </si>
  <si>
    <t xml:space="preserve">205 New Bern Ave # 3330 </t>
  </si>
  <si>
    <t xml:space="preserve">40 Carissa Rd # 87508 </t>
  </si>
  <si>
    <t>Laughlin</t>
  </si>
  <si>
    <t xml:space="preserve">1153 NW 84th Ave </t>
  </si>
  <si>
    <t>McManama</t>
  </si>
  <si>
    <t>Brenda Jo</t>
  </si>
  <si>
    <t xml:space="preserve">97 Davys Run Rd </t>
  </si>
  <si>
    <t>Dunoyer</t>
  </si>
  <si>
    <t>Arnaud</t>
  </si>
  <si>
    <t xml:space="preserve">109 W Anapamu St </t>
  </si>
  <si>
    <t>Lind</t>
  </si>
  <si>
    <t xml:space="preserve">16150 Hayes Ln </t>
  </si>
  <si>
    <t xml:space="preserve">2 Lee Ter Apt D </t>
  </si>
  <si>
    <t xml:space="preserve">605 Cedar Pl </t>
  </si>
  <si>
    <t>Brittan</t>
  </si>
  <si>
    <t xml:space="preserve">1252 S Citrus Ave </t>
  </si>
  <si>
    <t xml:space="preserve">3015 Morcom Ave </t>
  </si>
  <si>
    <t>Felzmann</t>
  </si>
  <si>
    <t xml:space="preserve">5761 Auburn Ave </t>
  </si>
  <si>
    <t>Buckley Sr</t>
  </si>
  <si>
    <t xml:space="preserve">610 SW Chaucer Way </t>
  </si>
  <si>
    <t>Lawton</t>
  </si>
  <si>
    <t xml:space="preserve">697 -795 Cheney Creek Rd </t>
  </si>
  <si>
    <t xml:space="preserve">51 Hearthstone </t>
  </si>
  <si>
    <t xml:space="preserve">7922 Husky Way SE </t>
  </si>
  <si>
    <t>Loy</t>
  </si>
  <si>
    <t xml:space="preserve">1032 Marcia St SW </t>
  </si>
  <si>
    <t>Brod</t>
  </si>
  <si>
    <t xml:space="preserve">181 Cline Rd </t>
  </si>
  <si>
    <t xml:space="preserve">2020 Glass Rd NE </t>
  </si>
  <si>
    <t>Burghart</t>
  </si>
  <si>
    <t xml:space="preserve">2209 Main St B55 Bridgeport Ct 6606 </t>
  </si>
  <si>
    <t>Bergmooser</t>
  </si>
  <si>
    <t xml:space="preserve">13661 Borgman St </t>
  </si>
  <si>
    <t>Lindequist</t>
  </si>
  <si>
    <t xml:space="preserve">106 W Merrill Ave </t>
  </si>
  <si>
    <t xml:space="preserve">432 Proctor Ave NW Apt 2 </t>
  </si>
  <si>
    <t xml:space="preserve">45TH St </t>
  </si>
  <si>
    <t>Masilon</t>
  </si>
  <si>
    <t xml:space="preserve">19692 Westwinds Ln </t>
  </si>
  <si>
    <t>Ahnorrah-Rose</t>
  </si>
  <si>
    <t xml:space="preserve">231 W Olive Ave </t>
  </si>
  <si>
    <t>Holm</t>
  </si>
  <si>
    <t xml:space="preserve">34 Kirchstr </t>
  </si>
  <si>
    <t>Maxin--</t>
  </si>
  <si>
    <t>Va Beach</t>
  </si>
  <si>
    <t xml:space="preserve">1002 W Mitchell St </t>
  </si>
  <si>
    <t xml:space="preserve">2300 Park Place Ave </t>
  </si>
  <si>
    <t xml:space="preserve">4409 Janelle Dr </t>
  </si>
  <si>
    <t xml:space="preserve">2301 Pennsylvania Ave </t>
  </si>
  <si>
    <t>Joplin</t>
  </si>
  <si>
    <t>Porton</t>
  </si>
  <si>
    <t>Fraeda</t>
  </si>
  <si>
    <t xml:space="preserve">333 N Canal St Apt 1507 </t>
  </si>
  <si>
    <t xml:space="preserve">1980 N Milwaukee Ave </t>
  </si>
  <si>
    <t>Wegman</t>
  </si>
  <si>
    <t xml:space="preserve">12 Lucille Ln </t>
  </si>
  <si>
    <t>Schwebke</t>
  </si>
  <si>
    <t xml:space="preserve">77 S Williams St Apt 25 </t>
  </si>
  <si>
    <t xml:space="preserve">915 Franklin St </t>
  </si>
  <si>
    <t>Mora</t>
  </si>
  <si>
    <t>Carlina</t>
  </si>
  <si>
    <t xml:space="preserve">7312 Franklin St </t>
  </si>
  <si>
    <t>Forest Park</t>
  </si>
  <si>
    <t xml:space="preserve">8013 Sierra Largo Dr </t>
  </si>
  <si>
    <t>Schaettle</t>
  </si>
  <si>
    <t xml:space="preserve">1403 Kingswood Ln </t>
  </si>
  <si>
    <t>Onalaska</t>
  </si>
  <si>
    <t xml:space="preserve">18301 Kerrville Trl </t>
  </si>
  <si>
    <t>Skrentner</t>
  </si>
  <si>
    <t xml:space="preserve">15196 Lesley Ln </t>
  </si>
  <si>
    <t>Dalleska</t>
  </si>
  <si>
    <t xml:space="preserve">2551 38th Ave NE </t>
  </si>
  <si>
    <t>Mabbitt</t>
  </si>
  <si>
    <t xml:space="preserve">1696 St Andrews Way </t>
  </si>
  <si>
    <t>Estella</t>
  </si>
  <si>
    <t xml:space="preserve">2840 Manitou Dr NE </t>
  </si>
  <si>
    <t xml:space="preserve">6400 Gilmet Dr </t>
  </si>
  <si>
    <t>Presque Isle</t>
  </si>
  <si>
    <t xml:space="preserve">2613 Bayview Blvd </t>
  </si>
  <si>
    <t>Sault S Marie</t>
  </si>
  <si>
    <t>Biederman</t>
  </si>
  <si>
    <t xml:space="preserve">1042 380th St </t>
  </si>
  <si>
    <t>Osage</t>
  </si>
  <si>
    <t xml:space="preserve">708 Lake Dr </t>
  </si>
  <si>
    <t>McCauley</t>
  </si>
  <si>
    <t xml:space="preserve">28501 Wilmot Rd Ste 18 </t>
  </si>
  <si>
    <t>Baldus</t>
  </si>
  <si>
    <t xml:space="preserve">9413 W Mount Vernon Ave </t>
  </si>
  <si>
    <t xml:space="preserve">426 S Elizabeth St </t>
  </si>
  <si>
    <t>Burris</t>
  </si>
  <si>
    <t>B J</t>
  </si>
  <si>
    <t xml:space="preserve">3330 W Signal Peak Dr Apt RP321 </t>
  </si>
  <si>
    <t xml:space="preserve">236 Mckinley Park Ln </t>
  </si>
  <si>
    <t>Susan McDonald</t>
  </si>
  <si>
    <t xml:space="preserve">PO Box 120235 </t>
  </si>
  <si>
    <t xml:space="preserve">2119 N 2nd St </t>
  </si>
  <si>
    <t>Bellamy</t>
  </si>
  <si>
    <t xml:space="preserve">State Highway 1382 </t>
  </si>
  <si>
    <t xml:space="preserve">2534 Eaton Rd </t>
  </si>
  <si>
    <t>Arcidiacono</t>
  </si>
  <si>
    <t>Pa</t>
  </si>
  <si>
    <t xml:space="preserve">306 Landing Ln </t>
  </si>
  <si>
    <t xml:space="preserve">3577 Ridgewood Ave </t>
  </si>
  <si>
    <t>Eline</t>
  </si>
  <si>
    <t xml:space="preserve">9250 Willowcrest Ct </t>
  </si>
  <si>
    <t>Hely</t>
  </si>
  <si>
    <t xml:space="preserve">7389 Maple Ave Apt 108 </t>
  </si>
  <si>
    <t>Moiseyev</t>
  </si>
  <si>
    <t>Maya</t>
  </si>
  <si>
    <t xml:space="preserve">2302 Columbia St </t>
  </si>
  <si>
    <t>Ly</t>
  </si>
  <si>
    <t xml:space="preserve">10 Rue Des Bois Not In Usa </t>
  </si>
  <si>
    <t>Andis</t>
  </si>
  <si>
    <t xml:space="preserve">1400 E Florida Ave </t>
  </si>
  <si>
    <t>Van Beveren</t>
  </si>
  <si>
    <t>Chantal</t>
  </si>
  <si>
    <t xml:space="preserve">17 HEIDESTRAAT </t>
  </si>
  <si>
    <t>Tervuren</t>
  </si>
  <si>
    <t xml:space="preserve">1612 W 4th St </t>
  </si>
  <si>
    <t>Villahermosa-Lorenzo</t>
  </si>
  <si>
    <t>Luis Enrique</t>
  </si>
  <si>
    <t xml:space="preserve">740 Calle Dr Virgilio Biaggi </t>
  </si>
  <si>
    <t>Ponce</t>
  </si>
  <si>
    <t>Messinger</t>
  </si>
  <si>
    <t xml:space="preserve">1306 25th St </t>
  </si>
  <si>
    <t xml:space="preserve">W3059 Pinecrest Ct </t>
  </si>
  <si>
    <t>Huggins</t>
  </si>
  <si>
    <t xml:space="preserve">PO Box 198900 </t>
  </si>
  <si>
    <t xml:space="preserve">558 Garfield Ave # G </t>
  </si>
  <si>
    <t>Elf</t>
  </si>
  <si>
    <t xml:space="preserve">14419 Cable Lake Rd SE </t>
  </si>
  <si>
    <t>Kill</t>
  </si>
  <si>
    <t xml:space="preserve">621 Surfside Dr Apt 234 </t>
  </si>
  <si>
    <t xml:space="preserve">51 Broomall Ln </t>
  </si>
  <si>
    <t>Glen Mills</t>
  </si>
  <si>
    <t>Suzie</t>
  </si>
  <si>
    <t xml:space="preserve">2001 Notre Dame Blvd Unit 101 </t>
  </si>
  <si>
    <t xml:space="preserve">220 E Wilson Rd </t>
  </si>
  <si>
    <t xml:space="preserve">6037 6th Ave NW </t>
  </si>
  <si>
    <t>Bonzo-Savage</t>
  </si>
  <si>
    <t xml:space="preserve">2041 Bethesda Church Rd </t>
  </si>
  <si>
    <t xml:space="preserve">637 W Locust Ct </t>
  </si>
  <si>
    <t xml:space="preserve">1135 Sir Francis Drake Blvd </t>
  </si>
  <si>
    <t xml:space="preserve">83 Westminister Blvd </t>
  </si>
  <si>
    <t>Jarman</t>
  </si>
  <si>
    <t xml:space="preserve">14943 Pld Pointe Rd </t>
  </si>
  <si>
    <t>Azhar</t>
  </si>
  <si>
    <t>Atiah</t>
  </si>
  <si>
    <t xml:space="preserve">C-5-1 BAYU TASIK 2 5 </t>
  </si>
  <si>
    <t>Kuala Lumpur</t>
  </si>
  <si>
    <t>Mertely</t>
  </si>
  <si>
    <t xml:space="preserve">9339 E Zayante Rd # 9373 </t>
  </si>
  <si>
    <t>Cespedes</t>
  </si>
  <si>
    <t xml:space="preserve">7031 Elk Trl </t>
  </si>
  <si>
    <t xml:space="preserve">12820 W Parmer Ln Apt 4105 </t>
  </si>
  <si>
    <t xml:space="preserve">1946 Harbor Dr </t>
  </si>
  <si>
    <t>Velazquez</t>
  </si>
  <si>
    <t xml:space="preserve">83 -5619 Middle Keei Rd </t>
  </si>
  <si>
    <t>Kiriaty</t>
  </si>
  <si>
    <t xml:space="preserve">PO Box 791265 </t>
  </si>
  <si>
    <t xml:space="preserve">LANGER FARMS Pkwy </t>
  </si>
  <si>
    <t>Gillson</t>
  </si>
  <si>
    <t>Eileene</t>
  </si>
  <si>
    <t xml:space="preserve">23225 SW Orchard Heights Pl </t>
  </si>
  <si>
    <t xml:space="preserve">2055 NE Holman St </t>
  </si>
  <si>
    <t>Lightfoot</t>
  </si>
  <si>
    <t>Mariana</t>
  </si>
  <si>
    <t xml:space="preserve">7011 Washington St </t>
  </si>
  <si>
    <t xml:space="preserve">621 Brookside Way </t>
  </si>
  <si>
    <t xml:space="preserve">3190 Rubino Dr Apt 113 </t>
  </si>
  <si>
    <t xml:space="preserve">4450 Radcliff Ln </t>
  </si>
  <si>
    <t>Bellos</t>
  </si>
  <si>
    <t xml:space="preserve">168 Crescent Ln </t>
  </si>
  <si>
    <t xml:space="preserve">15300 W Howard Ave Unit 511492 </t>
  </si>
  <si>
    <t>Neiman</t>
  </si>
  <si>
    <t xml:space="preserve">2553 Canyon Dr </t>
  </si>
  <si>
    <t>Lipsey</t>
  </si>
  <si>
    <t xml:space="preserve">3676 N River Canyon Rd </t>
  </si>
  <si>
    <t>Brundick</t>
  </si>
  <si>
    <t>Schwarze</t>
  </si>
  <si>
    <t xml:space="preserve">532 Pinebrook Dr </t>
  </si>
  <si>
    <t>Sambuchino</t>
  </si>
  <si>
    <t xml:space="preserve">913 State St </t>
  </si>
  <si>
    <t xml:space="preserve">660 E Lee Hwy </t>
  </si>
  <si>
    <t>Wytheville</t>
  </si>
  <si>
    <t xml:space="preserve">13356 35th Ave S </t>
  </si>
  <si>
    <t>Van Der Zaag</t>
  </si>
  <si>
    <t xml:space="preserve">836 N Olive Ave </t>
  </si>
  <si>
    <t xml:space="preserve">3630 W Pikes Peak Ave </t>
  </si>
  <si>
    <t xml:space="preserve">10627 61st Ave S </t>
  </si>
  <si>
    <t xml:space="preserve">245 Cherry Hill Rd </t>
  </si>
  <si>
    <t>Lindquist</t>
  </si>
  <si>
    <t xml:space="preserve">2116 NW 204th St </t>
  </si>
  <si>
    <t>Gentle</t>
  </si>
  <si>
    <t xml:space="preserve">1139 Murphy Rd </t>
  </si>
  <si>
    <t xml:space="preserve">1028 Saint Johns Ave </t>
  </si>
  <si>
    <t>Leavengood</t>
  </si>
  <si>
    <t xml:space="preserve">730 N Whitnall Hwy </t>
  </si>
  <si>
    <t>Lucinda</t>
  </si>
  <si>
    <t xml:space="preserve">3641 Laura Ct </t>
  </si>
  <si>
    <t xml:space="preserve">160 Sagemont Cir </t>
  </si>
  <si>
    <t>Parachute</t>
  </si>
  <si>
    <t xml:space="preserve">1445 Country Club Dr </t>
  </si>
  <si>
    <t xml:space="preserve">325 Weaver Ln </t>
  </si>
  <si>
    <t xml:space="preserve">104 Foxridge Ct </t>
  </si>
  <si>
    <t>Capoferri</t>
  </si>
  <si>
    <t xml:space="preserve">8958 Burnet Ave Unit D1 </t>
  </si>
  <si>
    <t>Gabler</t>
  </si>
  <si>
    <t xml:space="preserve">51 BACHSTR </t>
  </si>
  <si>
    <t>Sankt Augustin-Hangelar</t>
  </si>
  <si>
    <t>Batson</t>
  </si>
  <si>
    <t>Zenki</t>
  </si>
  <si>
    <t xml:space="preserve">1900 Birmingham Ave </t>
  </si>
  <si>
    <t>Mrs.</t>
  </si>
  <si>
    <t xml:space="preserve">515 High Meadows Dr </t>
  </si>
  <si>
    <t>Tashman</t>
  </si>
  <si>
    <t xml:space="preserve">4766 La Villa Marina </t>
  </si>
  <si>
    <t xml:space="preserve">45 Boodlehole Rd </t>
  </si>
  <si>
    <t xml:space="preserve">2616 Giffen Ave </t>
  </si>
  <si>
    <t xml:space="preserve">757 Emory St # 235 </t>
  </si>
  <si>
    <t>Imperial Beach</t>
  </si>
  <si>
    <t xml:space="preserve">431 N Halifax Ave </t>
  </si>
  <si>
    <t xml:space="preserve">7713 Clay Bridge Ct </t>
  </si>
  <si>
    <t xml:space="preserve">PO Box 710634 </t>
  </si>
  <si>
    <t>Breidenbach</t>
  </si>
  <si>
    <t xml:space="preserve">445 N Township Road 165 </t>
  </si>
  <si>
    <t>Tiffin</t>
  </si>
  <si>
    <t>Greene M.D.</t>
  </si>
  <si>
    <t xml:space="preserve">1015 15th St NW </t>
  </si>
  <si>
    <t xml:space="preserve">552 Milmont Ave </t>
  </si>
  <si>
    <t xml:space="preserve">2305 N Fitzhugh Ave </t>
  </si>
  <si>
    <t>Balsam</t>
  </si>
  <si>
    <t xml:space="preserve">58 Bonaire Dr </t>
  </si>
  <si>
    <t>Budd</t>
  </si>
  <si>
    <t>Trudi</t>
  </si>
  <si>
    <t xml:space="preserve">6141 W 13900 S </t>
  </si>
  <si>
    <t>Herriman</t>
  </si>
  <si>
    <t>Halima</t>
  </si>
  <si>
    <t xml:space="preserve">1401 Saint Edwards Dr </t>
  </si>
  <si>
    <t>Makous</t>
  </si>
  <si>
    <t xml:space="preserve">38 Winthrop Ct Apt F </t>
  </si>
  <si>
    <t>Silinonte</t>
  </si>
  <si>
    <t xml:space="preserve">2005 Willow Creek Dr Apt 1098 </t>
  </si>
  <si>
    <t>Volpe</t>
  </si>
  <si>
    <t xml:space="preserve">22428 Waterside Dr </t>
  </si>
  <si>
    <t>Copenhagen</t>
  </si>
  <si>
    <t xml:space="preserve">7600 Thorpe Rd </t>
  </si>
  <si>
    <t>Belgrade</t>
  </si>
  <si>
    <t>Ellery</t>
  </si>
  <si>
    <t>Sharon Ellery</t>
  </si>
  <si>
    <t xml:space="preserve">1221 Saugatucket Rd </t>
  </si>
  <si>
    <t xml:space="preserve">110 Locke Rd </t>
  </si>
  <si>
    <t>Milch</t>
  </si>
  <si>
    <t xml:space="preserve">352 W Alameda Ave </t>
  </si>
  <si>
    <t xml:space="preserve">658 Walnut Tree Dr </t>
  </si>
  <si>
    <t>Loesener</t>
  </si>
  <si>
    <t>Walter E</t>
  </si>
  <si>
    <t xml:space="preserve">Everett WA </t>
  </si>
  <si>
    <t xml:space="preserve">1420 W 12th Ave </t>
  </si>
  <si>
    <t xml:space="preserve">3725 W Broadmoor St </t>
  </si>
  <si>
    <t xml:space="preserve">2342 N Spaulding Ave Apt 205 </t>
  </si>
  <si>
    <t>Eby</t>
  </si>
  <si>
    <t xml:space="preserve">8695 SE 33rd Ave Apt A </t>
  </si>
  <si>
    <t>Soulier</t>
  </si>
  <si>
    <t xml:space="preserve">5102 Argiano Xing </t>
  </si>
  <si>
    <t>Weinkotz</t>
  </si>
  <si>
    <t xml:space="preserve">91 Tulip Ave Apt GC2 </t>
  </si>
  <si>
    <t xml:space="preserve">2843 Erin Ct </t>
  </si>
  <si>
    <t>Orange Park</t>
  </si>
  <si>
    <t>Burnette</t>
  </si>
  <si>
    <t xml:space="preserve">210 Belmont Cir </t>
  </si>
  <si>
    <t>Saastad</t>
  </si>
  <si>
    <t xml:space="preserve">12004 SE Mcgillivray Blvd </t>
  </si>
  <si>
    <t xml:space="preserve">280 Venus St </t>
  </si>
  <si>
    <t>Fregin</t>
  </si>
  <si>
    <t xml:space="preserve">PO Box 1326 </t>
  </si>
  <si>
    <t xml:space="preserve">3145 Wilson Dr </t>
  </si>
  <si>
    <t>Donnalynn</t>
  </si>
  <si>
    <t xml:space="preserve">459 El Granada Blvd </t>
  </si>
  <si>
    <t>El Granada</t>
  </si>
  <si>
    <t>Tailer</t>
  </si>
  <si>
    <t>Cat</t>
  </si>
  <si>
    <t xml:space="preserve">PO Box 2761 </t>
  </si>
  <si>
    <t>Paff</t>
  </si>
  <si>
    <t>Mrs Joseph</t>
  </si>
  <si>
    <t xml:space="preserve">2864 Lighthouse Rd # 165 </t>
  </si>
  <si>
    <t>Petrolia</t>
  </si>
  <si>
    <t xml:space="preserve">607 55th Ave </t>
  </si>
  <si>
    <t>St Pete Beach</t>
  </si>
  <si>
    <t>Svensson</t>
  </si>
  <si>
    <t>Bo</t>
  </si>
  <si>
    <t xml:space="preserve">63 Westgate Cir </t>
  </si>
  <si>
    <t xml:space="preserve">3797 Sierra Dr </t>
  </si>
  <si>
    <t>Gaiser</t>
  </si>
  <si>
    <t>Jörg</t>
  </si>
  <si>
    <t xml:space="preserve">ALTE TONBACHSTRASSE 14 </t>
  </si>
  <si>
    <t>Baiersbronn</t>
  </si>
  <si>
    <t>Paleck</t>
  </si>
  <si>
    <t xml:space="preserve">PO Box 341 </t>
  </si>
  <si>
    <t>Vernonia</t>
  </si>
  <si>
    <t>Aleff</t>
  </si>
  <si>
    <t xml:space="preserve">140 Compton View Dr </t>
  </si>
  <si>
    <t xml:space="preserve">43522 W Kristal Ln </t>
  </si>
  <si>
    <t>Meiers</t>
  </si>
  <si>
    <t xml:space="preserve">5805 State Bridge Rd Ste G-190 </t>
  </si>
  <si>
    <t xml:space="preserve">15976 Swan Mountain Dr </t>
  </si>
  <si>
    <t>Erhart</t>
  </si>
  <si>
    <t>Linnette</t>
  </si>
  <si>
    <t xml:space="preserve">79 S Bay Rd </t>
  </si>
  <si>
    <t xml:space="preserve">8011 Hollow Reed Ct </t>
  </si>
  <si>
    <t xml:space="preserve">5212 11th Ave S </t>
  </si>
  <si>
    <t xml:space="preserve">4228 Wilshire Dr </t>
  </si>
  <si>
    <t>Valdosta</t>
  </si>
  <si>
    <t>Ignacio Flores</t>
  </si>
  <si>
    <t xml:space="preserve">510 W Olive St </t>
  </si>
  <si>
    <t>Emanuel</t>
  </si>
  <si>
    <t xml:space="preserve">31715 NE 9th St </t>
  </si>
  <si>
    <t xml:space="preserve">2709 N Cedar St </t>
  </si>
  <si>
    <t>Ganis</t>
  </si>
  <si>
    <t xml:space="preserve">911 S Detroit St </t>
  </si>
  <si>
    <t>Plimpton</t>
  </si>
  <si>
    <t>Lease</t>
  </si>
  <si>
    <t xml:space="preserve">194 W Main Rd </t>
  </si>
  <si>
    <t>Ginzberg</t>
  </si>
  <si>
    <t xml:space="preserve">11 Swift River Rd </t>
  </si>
  <si>
    <t>Milbrodt</t>
  </si>
  <si>
    <t xml:space="preserve">19250 Ivey Rd </t>
  </si>
  <si>
    <t>Sumit</t>
  </si>
  <si>
    <t xml:space="preserve">9618 Abigail Dr </t>
  </si>
  <si>
    <t>Negri</t>
  </si>
  <si>
    <t xml:space="preserve">822 Fireweed Dr </t>
  </si>
  <si>
    <t>Osada</t>
  </si>
  <si>
    <t xml:space="preserve">70 S Buffalo Grove Rd Apt 111 </t>
  </si>
  <si>
    <t xml:space="preserve">21720 Flint Rd </t>
  </si>
  <si>
    <t xml:space="preserve">4126 42nd Ave S </t>
  </si>
  <si>
    <t>Lyn Z</t>
  </si>
  <si>
    <t xml:space="preserve">10606 NW 21st Ave </t>
  </si>
  <si>
    <t>Kenworthy</t>
  </si>
  <si>
    <t xml:space="preserve">9264 Brookline Ave </t>
  </si>
  <si>
    <t xml:space="preserve">44612 Calexico Ave </t>
  </si>
  <si>
    <t>Jacumba</t>
  </si>
  <si>
    <t xml:space="preserve">1028 Shady Oaks Ln </t>
  </si>
  <si>
    <t>Breaux Bridge</t>
  </si>
  <si>
    <t>Lovejoy</t>
  </si>
  <si>
    <t xml:space="preserve">244 Petaluma Way </t>
  </si>
  <si>
    <t>Grohn</t>
  </si>
  <si>
    <t xml:space="preserve">199 Patriots Rd Morris Plains NJ Morris Plai </t>
  </si>
  <si>
    <t>Leuenberger</t>
  </si>
  <si>
    <t xml:space="preserve">8742 Gladiola Way </t>
  </si>
  <si>
    <t xml:space="preserve">2767 E Norm Pl </t>
  </si>
  <si>
    <t>Sagardua</t>
  </si>
  <si>
    <t xml:space="preserve">1 Western Ave </t>
  </si>
  <si>
    <t>Cunnison</t>
  </si>
  <si>
    <t xml:space="preserve">2725 E Eldorado Pl </t>
  </si>
  <si>
    <t>80210-6822</t>
  </si>
  <si>
    <t>Culp</t>
  </si>
  <si>
    <t xml:space="preserve">1815 Parade Grounds Ave NE </t>
  </si>
  <si>
    <t>Dahl</t>
  </si>
  <si>
    <t xml:space="preserve">5553 Georgia St </t>
  </si>
  <si>
    <t>Camp Lejeune</t>
  </si>
  <si>
    <t>Crabill</t>
  </si>
  <si>
    <t>Phillip J</t>
  </si>
  <si>
    <t>Little Elm</t>
  </si>
  <si>
    <t>Rothberg</t>
  </si>
  <si>
    <t xml:space="preserve">1505 Holly St </t>
  </si>
  <si>
    <t>94703-1036</t>
  </si>
  <si>
    <t xml:space="preserve">8260 S State Route 202 </t>
  </si>
  <si>
    <t>Tipp City</t>
  </si>
  <si>
    <t>45371-9072</t>
  </si>
  <si>
    <t xml:space="preserve">565 Aspen Dr </t>
  </si>
  <si>
    <t>Old Monroe</t>
  </si>
  <si>
    <t>63369-2642</t>
  </si>
  <si>
    <t xml:space="preserve">5225 Bon Vivant Dr Apt 202 </t>
  </si>
  <si>
    <t>33603-1833</t>
  </si>
  <si>
    <t xml:space="preserve">44 Forrest Hill Cir </t>
  </si>
  <si>
    <t>Pontotoc</t>
  </si>
  <si>
    <t>38863-7616</t>
  </si>
  <si>
    <t xml:space="preserve">8134 Westlawn Ave </t>
  </si>
  <si>
    <t>90045-2753</t>
  </si>
  <si>
    <t xml:space="preserve">4303 Mapledale Ave </t>
  </si>
  <si>
    <t>44109-2317</t>
  </si>
  <si>
    <t>Surovchak</t>
  </si>
  <si>
    <t xml:space="preserve">406 Jefferson St </t>
  </si>
  <si>
    <t>Belle Vernon</t>
  </si>
  <si>
    <t>15012-1837</t>
  </si>
  <si>
    <t>Phillips Margulis</t>
  </si>
  <si>
    <t xml:space="preserve">13 Longview Rd </t>
  </si>
  <si>
    <t>07039-3621</t>
  </si>
  <si>
    <t>Elizabeth Carol</t>
  </si>
  <si>
    <t>97112-0247</t>
  </si>
  <si>
    <t>Claymore</t>
  </si>
  <si>
    <t>Thomas H</t>
  </si>
  <si>
    <t xml:space="preserve">12734 S White Potato Lake Rd </t>
  </si>
  <si>
    <t>Pound</t>
  </si>
  <si>
    <t>54161-8849</t>
  </si>
  <si>
    <t>Priem</t>
  </si>
  <si>
    <t xml:space="preserve">276 Van Yahres Rd </t>
  </si>
  <si>
    <t>Cooperstown</t>
  </si>
  <si>
    <t>13326-4148</t>
  </si>
  <si>
    <t>Mezieres</t>
  </si>
  <si>
    <t xml:space="preserve">1333 W Mulberry Dr </t>
  </si>
  <si>
    <t>85013-4028</t>
  </si>
  <si>
    <t xml:space="preserve">419 Bull Finch Bnd </t>
  </si>
  <si>
    <t>29708-6497</t>
  </si>
  <si>
    <t xml:space="preserve">PO Box 7033 </t>
  </si>
  <si>
    <t>95502-7033</t>
  </si>
  <si>
    <t>Filippini</t>
  </si>
  <si>
    <t xml:space="preserve">3414 N Natchez Ave </t>
  </si>
  <si>
    <t>60634-3817</t>
  </si>
  <si>
    <t>Wrensch</t>
  </si>
  <si>
    <t xml:space="preserve">W6619 Timberline Ct </t>
  </si>
  <si>
    <t>Georgiton</t>
  </si>
  <si>
    <t xml:space="preserve">5845 Pinecone Ct </t>
  </si>
  <si>
    <t>Marston</t>
  </si>
  <si>
    <t xml:space="preserve">44579 Sorrento Ct </t>
  </si>
  <si>
    <t>92260-8563</t>
  </si>
  <si>
    <t xml:space="preserve">775 Kinalau Pl Apt 908 </t>
  </si>
  <si>
    <t>96813-2624</t>
  </si>
  <si>
    <t>Garibaldi</t>
  </si>
  <si>
    <t xml:space="preserve">12 6th St NE Apt 104 </t>
  </si>
  <si>
    <t>Osseo</t>
  </si>
  <si>
    <t>55369-1055</t>
  </si>
  <si>
    <t xml:space="preserve">1235 Sleepy Hollow Ln </t>
  </si>
  <si>
    <t>Rockledge</t>
  </si>
  <si>
    <t>32955-4689</t>
  </si>
  <si>
    <t>Downie</t>
  </si>
  <si>
    <t>Elizabeth Morris</t>
  </si>
  <si>
    <t xml:space="preserve">668 Elder Ln </t>
  </si>
  <si>
    <t>60093-3908</t>
  </si>
  <si>
    <t xml:space="preserve">6206 Mountain Shadows Dr Apt B </t>
  </si>
  <si>
    <t>78735-8032</t>
  </si>
  <si>
    <t>Worley</t>
  </si>
  <si>
    <t xml:space="preserve">805 N University Park Loop </t>
  </si>
  <si>
    <t>89512-4527</t>
  </si>
  <si>
    <t>02111-2238</t>
  </si>
  <si>
    <t xml:space="preserve">8954 Windsor Hwy </t>
  </si>
  <si>
    <t>Dimondale</t>
  </si>
  <si>
    <t>48821-9441</t>
  </si>
  <si>
    <t>Holcomb</t>
  </si>
  <si>
    <t xml:space="preserve">190 Hawks Haunt Ln </t>
  </si>
  <si>
    <t>28782-4547</t>
  </si>
  <si>
    <t>Bellinger</t>
  </si>
  <si>
    <t xml:space="preserve">276 W Mountain Dr </t>
  </si>
  <si>
    <t>93103-1671</t>
  </si>
  <si>
    <t>Margery</t>
  </si>
  <si>
    <t xml:space="preserve">101 Elk Crest Rd </t>
  </si>
  <si>
    <t>Packwood</t>
  </si>
  <si>
    <t xml:space="preserve">1670 Entrada Dr </t>
  </si>
  <si>
    <t>Restino</t>
  </si>
  <si>
    <t xml:space="preserve">27 Bay In The Wood </t>
  </si>
  <si>
    <t xml:space="preserve">104 Camino Del Campo Unit 48 </t>
  </si>
  <si>
    <t>Phipps</t>
  </si>
  <si>
    <t xml:space="preserve">27 Bleecker St </t>
  </si>
  <si>
    <t xml:space="preserve">3192 29th St </t>
  </si>
  <si>
    <t>80301-1327</t>
  </si>
  <si>
    <t>Rapley</t>
  </si>
  <si>
    <t xml:space="preserve">2355 Austin Hwy </t>
  </si>
  <si>
    <t>78218-5912</t>
  </si>
  <si>
    <t>Manriquez</t>
  </si>
  <si>
    <t xml:space="preserve">18402 W Dodge Hills Plz Apt 309 </t>
  </si>
  <si>
    <t>Borde-Dalwadi</t>
  </si>
  <si>
    <t xml:space="preserve">11920 Sloane Ct </t>
  </si>
  <si>
    <t>Weisberg</t>
  </si>
  <si>
    <t xml:space="preserve">951 Fell St Apt 632 </t>
  </si>
  <si>
    <t>Almstrom</t>
  </si>
  <si>
    <t xml:space="preserve">6154 Edgehill Pl </t>
  </si>
  <si>
    <t>Dunken</t>
  </si>
  <si>
    <t>Swann</t>
  </si>
  <si>
    <t xml:space="preserve">4030 Summer Ave Apt 11 </t>
  </si>
  <si>
    <t>Edinger</t>
  </si>
  <si>
    <t xml:space="preserve">10822 Magnolia Blvd Apt 36 </t>
  </si>
  <si>
    <t xml:space="preserve">14600 Texas Rd </t>
  </si>
  <si>
    <t>Saint Robert</t>
  </si>
  <si>
    <t>Geckle</t>
  </si>
  <si>
    <t xml:space="preserve">938 Mount Vernon Rd </t>
  </si>
  <si>
    <t>06489-2107</t>
  </si>
  <si>
    <t>Kettelhut</t>
  </si>
  <si>
    <t>H. Kurt</t>
  </si>
  <si>
    <t xml:space="preserve">227 Goolsby Blvd # 20 </t>
  </si>
  <si>
    <t>Deerfield Bch</t>
  </si>
  <si>
    <t xml:space="preserve">13900 SE Highway 212 Unit 175 </t>
  </si>
  <si>
    <t>Clackamas</t>
  </si>
  <si>
    <t>Narvios</t>
  </si>
  <si>
    <t>Tem</t>
  </si>
  <si>
    <t xml:space="preserve">1425 Visitacion Ave </t>
  </si>
  <si>
    <t>Brouwers</t>
  </si>
  <si>
    <t>Henriette</t>
  </si>
  <si>
    <t xml:space="preserve">PO Box 26190 </t>
  </si>
  <si>
    <t>Schegloff</t>
  </si>
  <si>
    <t xml:space="preserve">1 Village Pkwy </t>
  </si>
  <si>
    <t xml:space="preserve">1742 Emery St </t>
  </si>
  <si>
    <t xml:space="preserve">44 Winters Ln </t>
  </si>
  <si>
    <t xml:space="preserve">1960 MONTGOMERY Rd </t>
  </si>
  <si>
    <t>Depaolo</t>
  </si>
  <si>
    <t xml:space="preserve">28 Erik St </t>
  </si>
  <si>
    <t>Troiber</t>
  </si>
  <si>
    <t xml:space="preserve">11924 Norway St NW </t>
  </si>
  <si>
    <t>Bentzel</t>
  </si>
  <si>
    <t xml:space="preserve">1249 Lisa Ln SE Apt 101 </t>
  </si>
  <si>
    <t>Deconge</t>
  </si>
  <si>
    <t xml:space="preserve">4616 Hawksbury Rd </t>
  </si>
  <si>
    <t>21208-2126</t>
  </si>
  <si>
    <t xml:space="preserve">11321 Hickory Creek Rd </t>
  </si>
  <si>
    <t>Luther</t>
  </si>
  <si>
    <t>Dickeman</t>
  </si>
  <si>
    <t xml:space="preserve">4834 36th Ave NE </t>
  </si>
  <si>
    <t>Gehrke</t>
  </si>
  <si>
    <t xml:space="preserve">5611 Coach Dr E Apt E </t>
  </si>
  <si>
    <t xml:space="preserve">6311 Granby St </t>
  </si>
  <si>
    <t xml:space="preserve">1 Jefferson Pkwy Apt 302 </t>
  </si>
  <si>
    <t xml:space="preserve">4501 Circle 75 Pkwy SE Apt 2223 </t>
  </si>
  <si>
    <t>Best</t>
  </si>
  <si>
    <t xml:space="preserve">155 S Illinois St </t>
  </si>
  <si>
    <t>Standish</t>
  </si>
  <si>
    <t>L. Miles</t>
  </si>
  <si>
    <t xml:space="preserve">6561 Warren Rd </t>
  </si>
  <si>
    <t>Lama</t>
  </si>
  <si>
    <t xml:space="preserve">2909 S Bristol St Apt 926 </t>
  </si>
  <si>
    <t>Hale</t>
  </si>
  <si>
    <t xml:space="preserve">PO Box 91835 </t>
  </si>
  <si>
    <t>Shargent</t>
  </si>
  <si>
    <t xml:space="preserve">101 Hammond Dr </t>
  </si>
  <si>
    <t>Sikora</t>
  </si>
  <si>
    <t xml:space="preserve">1539 Arbor Dr </t>
  </si>
  <si>
    <t>Buquet</t>
  </si>
  <si>
    <t xml:space="preserve">27971 Sarabande Ln Unit 227 </t>
  </si>
  <si>
    <t>Tyndall</t>
  </si>
  <si>
    <t xml:space="preserve">504 New Jersey Ave </t>
  </si>
  <si>
    <t>Rodríguez</t>
  </si>
  <si>
    <t xml:space="preserve">467 Highway </t>
  </si>
  <si>
    <t>Aguadilla</t>
  </si>
  <si>
    <t xml:space="preserve">1468 Macarthur Blvd </t>
  </si>
  <si>
    <t xml:space="preserve">2603 Gadsen Walk </t>
  </si>
  <si>
    <t xml:space="preserve">17 Tom Horn Ct </t>
  </si>
  <si>
    <t xml:space="preserve">12414 Castelar St </t>
  </si>
  <si>
    <t>Cosentino</t>
  </si>
  <si>
    <t xml:space="preserve">2208 Avalon Dr </t>
  </si>
  <si>
    <t>95864-0728</t>
  </si>
  <si>
    <t xml:space="preserve">PO Box 104 </t>
  </si>
  <si>
    <t>11746-0086</t>
  </si>
  <si>
    <t>Hemzacek</t>
  </si>
  <si>
    <t xml:space="preserve">6134 Western Ave </t>
  </si>
  <si>
    <t>Willowbrook</t>
  </si>
  <si>
    <t>60527-1869</t>
  </si>
  <si>
    <t>Hooks</t>
  </si>
  <si>
    <t xml:space="preserve">2100 Ovaltine Ct Unit 124 </t>
  </si>
  <si>
    <t>60181-5609</t>
  </si>
  <si>
    <t xml:space="preserve">7860 La Mirada Dr </t>
  </si>
  <si>
    <t>33433-6139</t>
  </si>
  <si>
    <t xml:space="preserve">11 W Ridge Rd </t>
  </si>
  <si>
    <t>Media</t>
  </si>
  <si>
    <t>19063-2542</t>
  </si>
  <si>
    <t>Salvato</t>
  </si>
  <si>
    <t xml:space="preserve">211 Cumberland Ave </t>
  </si>
  <si>
    <t>04101-4935</t>
  </si>
  <si>
    <t>Milenkovic</t>
  </si>
  <si>
    <t xml:space="preserve">603 14th Ave </t>
  </si>
  <si>
    <t>94025-1907</t>
  </si>
  <si>
    <t>Sharfman</t>
  </si>
  <si>
    <t xml:space="preserve">50 Riverside Dr </t>
  </si>
  <si>
    <t>10024-6555</t>
  </si>
  <si>
    <t>Nobrega</t>
  </si>
  <si>
    <t xml:space="preserve">441 Montana Ave </t>
  </si>
  <si>
    <t>33897-5627</t>
  </si>
  <si>
    <t>Vickstrom</t>
  </si>
  <si>
    <t xml:space="preserve">11 Ashberry St </t>
  </si>
  <si>
    <t>02360-5275</t>
  </si>
  <si>
    <t xml:space="preserve">SPRING </t>
  </si>
  <si>
    <t xml:space="preserve">314 Somers Cv </t>
  </si>
  <si>
    <t>Crisfield</t>
  </si>
  <si>
    <t>21817-1301</t>
  </si>
  <si>
    <t>Velody</t>
  </si>
  <si>
    <t xml:space="preserve">1218 Luisa St </t>
  </si>
  <si>
    <t>87505-4126</t>
  </si>
  <si>
    <t>Rosepiper</t>
  </si>
  <si>
    <t>Nima</t>
  </si>
  <si>
    <t xml:space="preserve">284 Main St Apt 20 </t>
  </si>
  <si>
    <t>01230-1621</t>
  </si>
  <si>
    <t xml:space="preserve">1647 Taylor Ln </t>
  </si>
  <si>
    <t>95062-2764</t>
  </si>
  <si>
    <t xml:space="preserve">6402 Cypress St </t>
  </si>
  <si>
    <t>98203-4432</t>
  </si>
  <si>
    <t>Wermus</t>
  </si>
  <si>
    <t xml:space="preserve">8718 19th Ave S </t>
  </si>
  <si>
    <t>55425-2100</t>
  </si>
  <si>
    <t>Littlefield</t>
  </si>
  <si>
    <t>Thomas G.</t>
  </si>
  <si>
    <t xml:space="preserve">485 Rock Church Rd </t>
  </si>
  <si>
    <t>Mifflin</t>
  </si>
  <si>
    <t>17058-7209</t>
  </si>
  <si>
    <t>Zelnik Geldys</t>
  </si>
  <si>
    <t xml:space="preserve">8546 Lochdale St </t>
  </si>
  <si>
    <t>48127-1267</t>
  </si>
  <si>
    <t>Pasquel</t>
  </si>
  <si>
    <t xml:space="preserve">1118 50th Ave N </t>
  </si>
  <si>
    <t>33703-2726</t>
  </si>
  <si>
    <t xml:space="preserve">29093 Ranchero Ct </t>
  </si>
  <si>
    <t>94544-6035</t>
  </si>
  <si>
    <t>Alessi</t>
  </si>
  <si>
    <t xml:space="preserve">3003 FM 20 </t>
  </si>
  <si>
    <t>Red Rock</t>
  </si>
  <si>
    <t>78662-2696</t>
  </si>
  <si>
    <t>80439-4503</t>
  </si>
  <si>
    <t xml:space="preserve">1016 W Franklin St </t>
  </si>
  <si>
    <t>Iron River</t>
  </si>
  <si>
    <t>49935-1051</t>
  </si>
  <si>
    <t xml:space="preserve">115 Eastoak Ln </t>
  </si>
  <si>
    <t>28626-7000</t>
  </si>
  <si>
    <t xml:space="preserve">34 Tenby Ct </t>
  </si>
  <si>
    <t>21093-1871</t>
  </si>
  <si>
    <t>Monterrosa</t>
  </si>
  <si>
    <t xml:space="preserve">The Wm Enigma Yahoocom </t>
  </si>
  <si>
    <t>Medlock</t>
  </si>
  <si>
    <t xml:space="preserve">PO Box 20412 </t>
  </si>
  <si>
    <t>82003-7010</t>
  </si>
  <si>
    <t xml:space="preserve">474 Snyder Hill Rd </t>
  </si>
  <si>
    <t>14850-8721</t>
  </si>
  <si>
    <t>Reichbart</t>
  </si>
  <si>
    <t xml:space="preserve">5052 Kenerson Dr </t>
  </si>
  <si>
    <t>22032-2116</t>
  </si>
  <si>
    <t xml:space="preserve">872 Maluniu Ave </t>
  </si>
  <si>
    <t>96734-1944</t>
  </si>
  <si>
    <t xml:space="preserve">250 W 94th St # 8D </t>
  </si>
  <si>
    <t>10025-6954</t>
  </si>
  <si>
    <t>Lampe</t>
  </si>
  <si>
    <t xml:space="preserve">68 Day Mill Dr </t>
  </si>
  <si>
    <t>01468-1482</t>
  </si>
  <si>
    <t>Racioppo</t>
  </si>
  <si>
    <t xml:space="preserve">209 Currie Ave </t>
  </si>
  <si>
    <t>10306-3903</t>
  </si>
  <si>
    <t>Karpenick</t>
  </si>
  <si>
    <t xml:space="preserve">9601 NW Leahy Rd Apt 102 </t>
  </si>
  <si>
    <t>97229-6383</t>
  </si>
  <si>
    <t>Wanasek</t>
  </si>
  <si>
    <t xml:space="preserve">9813 Saint Annes Dr </t>
  </si>
  <si>
    <t>75025-5071</t>
  </si>
  <si>
    <t>Hamlat</t>
  </si>
  <si>
    <t xml:space="preserve">258 Occidental Dr </t>
  </si>
  <si>
    <t>93036-2447</t>
  </si>
  <si>
    <t>Loftin</t>
  </si>
  <si>
    <t xml:space="preserve">357 Boston Pl </t>
  </si>
  <si>
    <t>43610-1435</t>
  </si>
  <si>
    <t>Chirpin</t>
  </si>
  <si>
    <t xml:space="preserve">18520 Vincennes St </t>
  </si>
  <si>
    <t>91324-2906</t>
  </si>
  <si>
    <t>Risselada</t>
  </si>
  <si>
    <t xml:space="preserve">PO Box 468 </t>
  </si>
  <si>
    <t>48820-0468</t>
  </si>
  <si>
    <t xml:space="preserve">107 Hunters Creek Rd </t>
  </si>
  <si>
    <t>24551-2517</t>
  </si>
  <si>
    <t xml:space="preserve">7237 178th Ave NE </t>
  </si>
  <si>
    <t>Forest Lake</t>
  </si>
  <si>
    <t>55025-8842</t>
  </si>
  <si>
    <t xml:space="preserve">1235 KILMER </t>
  </si>
  <si>
    <t>Curren</t>
  </si>
  <si>
    <t xml:space="preserve">529 Stagg Ln </t>
  </si>
  <si>
    <t xml:space="preserve">956 Mason Rd </t>
  </si>
  <si>
    <t>03086-5943</t>
  </si>
  <si>
    <t>Roberge</t>
  </si>
  <si>
    <t>Manon</t>
  </si>
  <si>
    <t xml:space="preserve">95 Crispin Dr </t>
  </si>
  <si>
    <t>05403-4460</t>
  </si>
  <si>
    <t>Vandervennet</t>
  </si>
  <si>
    <t xml:space="preserve">6284 Michigan Ave </t>
  </si>
  <si>
    <t>49287-9614</t>
  </si>
  <si>
    <t xml:space="preserve">1827 Harvard Dr </t>
  </si>
  <si>
    <t>94501-1603</t>
  </si>
  <si>
    <t>Eichler</t>
  </si>
  <si>
    <t xml:space="preserve">949 Evelyn Ave </t>
  </si>
  <si>
    <t>94706-2013</t>
  </si>
  <si>
    <t xml:space="preserve">7040 Manasota Key Rd </t>
  </si>
  <si>
    <t>34223-9301</t>
  </si>
  <si>
    <t xml:space="preserve">7713 Shoal Creek Blvd </t>
  </si>
  <si>
    <t>78757-1657</t>
  </si>
  <si>
    <t>Shively</t>
  </si>
  <si>
    <t xml:space="preserve">1475 Imperial Ave Apt 360 </t>
  </si>
  <si>
    <t>92101-7829</t>
  </si>
  <si>
    <t>Plourde</t>
  </si>
  <si>
    <t xml:space="preserve">777 Lowell St </t>
  </si>
  <si>
    <t>01960-3353</t>
  </si>
  <si>
    <t xml:space="preserve">22142 Martella Ave </t>
  </si>
  <si>
    <t>33433-4633</t>
  </si>
  <si>
    <t xml:space="preserve">6754 N Hole In The Wall Way </t>
  </si>
  <si>
    <t>85750-0839</t>
  </si>
  <si>
    <t xml:space="preserve">652 Lakeside Pass </t>
  </si>
  <si>
    <t>78130-8274</t>
  </si>
  <si>
    <t xml:space="preserve">1515 Venice St </t>
  </si>
  <si>
    <t>48124-4063</t>
  </si>
  <si>
    <t>Kirschling</t>
  </si>
  <si>
    <t xml:space="preserve">328 Robin Hood Ln Apt 1 </t>
  </si>
  <si>
    <t>54124-9200</t>
  </si>
  <si>
    <t>Shouse</t>
  </si>
  <si>
    <t xml:space="preserve">2919 Leonard Dr </t>
  </si>
  <si>
    <t>98201-2546</t>
  </si>
  <si>
    <t>Fauci</t>
  </si>
  <si>
    <t xml:space="preserve">811 Royal Palm Ave </t>
  </si>
  <si>
    <t>32159-2344</t>
  </si>
  <si>
    <t xml:space="preserve">16575 Audubon Ct </t>
  </si>
  <si>
    <t>46060-4000</t>
  </si>
  <si>
    <t>Lyczynski</t>
  </si>
  <si>
    <t xml:space="preserve">2119 Spring St </t>
  </si>
  <si>
    <t>Ragland</t>
  </si>
  <si>
    <t>Wadane</t>
  </si>
  <si>
    <t xml:space="preserve">9308 Elberon Way </t>
  </si>
  <si>
    <t>95758-7637</t>
  </si>
  <si>
    <t>Lowrey</t>
  </si>
  <si>
    <t xml:space="preserve">911 E Drumm Cir </t>
  </si>
  <si>
    <t>64055-1858</t>
  </si>
  <si>
    <t xml:space="preserve">40 Dewey St </t>
  </si>
  <si>
    <t>Dentini</t>
  </si>
  <si>
    <t xml:space="preserve">18 Lake Shore Dr </t>
  </si>
  <si>
    <t>Abel</t>
  </si>
  <si>
    <t xml:space="preserve">27 Cooper Sq </t>
  </si>
  <si>
    <t>Dellaccio</t>
  </si>
  <si>
    <t xml:space="preserve">4083 S Four Mile Run Dr </t>
  </si>
  <si>
    <t>O Grady</t>
  </si>
  <si>
    <t xml:space="preserve">42 Carrie Ct </t>
  </si>
  <si>
    <t>Niskayuna</t>
  </si>
  <si>
    <t>Stewardship</t>
  </si>
  <si>
    <t>Environmental</t>
  </si>
  <si>
    <t xml:space="preserve">404 Holiday Ln </t>
  </si>
  <si>
    <t>Port Lavaca</t>
  </si>
  <si>
    <t>Stelboum</t>
  </si>
  <si>
    <t xml:space="preserve">11 Cambridge Ct E </t>
  </si>
  <si>
    <t>Old Saybrook</t>
  </si>
  <si>
    <t xml:space="preserve">2411 Caramore Cir </t>
  </si>
  <si>
    <t xml:space="preserve">916 Peralta Ave </t>
  </si>
  <si>
    <t xml:space="preserve">47629 Loweland Ter </t>
  </si>
  <si>
    <t>Quinn</t>
  </si>
  <si>
    <t>Charles And Diana</t>
  </si>
  <si>
    <t xml:space="preserve">29 Bryant Dr </t>
  </si>
  <si>
    <t xml:space="preserve">8 Brainerd Dr </t>
  </si>
  <si>
    <t>Cranbury</t>
  </si>
  <si>
    <t xml:space="preserve">1111 County Road 1313 </t>
  </si>
  <si>
    <t>Bolckow</t>
  </si>
  <si>
    <t>S Wolfe</t>
  </si>
  <si>
    <t xml:space="preserve">900 Dawn Ct Apt 41 </t>
  </si>
  <si>
    <t>Riseam</t>
  </si>
  <si>
    <t>Clive</t>
  </si>
  <si>
    <t xml:space="preserve">230 S La Salle St </t>
  </si>
  <si>
    <t>Toynes</t>
  </si>
  <si>
    <t xml:space="preserve">2106 Cullen Ave Apt 107 </t>
  </si>
  <si>
    <t>Hove</t>
  </si>
  <si>
    <t>J K</t>
  </si>
  <si>
    <t xml:space="preserve">2769 160th St </t>
  </si>
  <si>
    <t>Hobbs</t>
  </si>
  <si>
    <t xml:space="preserve">2025 Barrett Lakes Blvd NW Apt 6201 </t>
  </si>
  <si>
    <t xml:space="preserve">11124 BIG CANOE </t>
  </si>
  <si>
    <t>Jankovic</t>
  </si>
  <si>
    <t xml:space="preserve">9 Park St Apt 405 </t>
  </si>
  <si>
    <t xml:space="preserve">3717 SW Corbett Ave Apt 2 </t>
  </si>
  <si>
    <t>Asmar</t>
  </si>
  <si>
    <t xml:space="preserve">158 Pawkannawkut Dr </t>
  </si>
  <si>
    <t>South Yarmouth</t>
  </si>
  <si>
    <t>Hildabrand</t>
  </si>
  <si>
    <t xml:space="preserve">25427 Longbranch Run # 2 </t>
  </si>
  <si>
    <t>Martin-Risk</t>
  </si>
  <si>
    <t xml:space="preserve">176 Alamo Sq </t>
  </si>
  <si>
    <t>Schlee</t>
  </si>
  <si>
    <t xml:space="preserve">409 Hillcrest St E </t>
  </si>
  <si>
    <t>Lanesboro</t>
  </si>
  <si>
    <t xml:space="preserve">593 S Pleasant St </t>
  </si>
  <si>
    <t xml:space="preserve">11 W Rolling Acres </t>
  </si>
  <si>
    <t xml:space="preserve">2121 Locust Ave </t>
  </si>
  <si>
    <t>Norvelle</t>
  </si>
  <si>
    <t xml:space="preserve">10411 Drake Pl # 7 </t>
  </si>
  <si>
    <t>Ahearn</t>
  </si>
  <si>
    <t xml:space="preserve">1948 Assunta Way </t>
  </si>
  <si>
    <t>Wadhawan</t>
  </si>
  <si>
    <t>Chethana</t>
  </si>
  <si>
    <t xml:space="preserve">23 Minetti Dr </t>
  </si>
  <si>
    <t>Raritan</t>
  </si>
  <si>
    <t>Salt</t>
  </si>
  <si>
    <t xml:space="preserve">1 Nomail St </t>
  </si>
  <si>
    <t>Guttmann</t>
  </si>
  <si>
    <t xml:space="preserve">PO Box 605 </t>
  </si>
  <si>
    <t>San Andreas</t>
  </si>
  <si>
    <t xml:space="preserve">1 Park Blvd </t>
  </si>
  <si>
    <t xml:space="preserve">380 W Washington Ave Apt 412 </t>
  </si>
  <si>
    <t>Padma</t>
  </si>
  <si>
    <t xml:space="preserve">4213 Frederick Cir </t>
  </si>
  <si>
    <t>Doull</t>
  </si>
  <si>
    <t xml:space="preserve">22 Cates Cir Apt C </t>
  </si>
  <si>
    <t xml:space="preserve">1316 County Route 13 </t>
  </si>
  <si>
    <t xml:space="preserve">26814 Highway 160 </t>
  </si>
  <si>
    <t xml:space="preserve">YELLOW SPRINGS Rd </t>
  </si>
  <si>
    <t xml:space="preserve">519 Keri Ln </t>
  </si>
  <si>
    <t>Clarkrange</t>
  </si>
  <si>
    <t>Oddie</t>
  </si>
  <si>
    <t xml:space="preserve">921 Valencia Rd </t>
  </si>
  <si>
    <t>South Daytona</t>
  </si>
  <si>
    <t>Patricia A</t>
  </si>
  <si>
    <t xml:space="preserve">1634 Jersey St </t>
  </si>
  <si>
    <t>Alton</t>
  </si>
  <si>
    <t>Dube</t>
  </si>
  <si>
    <t>Saskatoon</t>
  </si>
  <si>
    <t>SK</t>
  </si>
  <si>
    <t>S7J 2A1</t>
  </si>
  <si>
    <t>Parmalee</t>
  </si>
  <si>
    <t xml:space="preserve">35 W 90th St # 1K </t>
  </si>
  <si>
    <t>Gannon</t>
  </si>
  <si>
    <t xml:space="preserve">2268 Hunterbrook Rd </t>
  </si>
  <si>
    <t>Yorktown Hts</t>
  </si>
  <si>
    <t>Freedland</t>
  </si>
  <si>
    <t xml:space="preserve">12623 Coral Lakes Dr </t>
  </si>
  <si>
    <t>Free</t>
  </si>
  <si>
    <t>Oceana</t>
  </si>
  <si>
    <t xml:space="preserve">5015 Santa Cruz Ave Unit 109 </t>
  </si>
  <si>
    <t>Stachowicz</t>
  </si>
  <si>
    <t xml:space="preserve">2420 Loring Pl </t>
  </si>
  <si>
    <t>Rosenthal</t>
  </si>
  <si>
    <t xml:space="preserve">9401 64th Rd Apt 4G </t>
  </si>
  <si>
    <t>Fallin</t>
  </si>
  <si>
    <t xml:space="preserve">320 Cedar St Apt 309 </t>
  </si>
  <si>
    <t xml:space="preserve">26002 Old Owen Rd </t>
  </si>
  <si>
    <t xml:space="preserve">4219 49Th Avenue Ct NW </t>
  </si>
  <si>
    <t>Kek</t>
  </si>
  <si>
    <t>Ido</t>
  </si>
  <si>
    <t xml:space="preserve">342 Pohaku </t>
  </si>
  <si>
    <t xml:space="preserve">6619 N 106th St </t>
  </si>
  <si>
    <t>Grunwald</t>
  </si>
  <si>
    <t xml:space="preserve">LADENBEKER FURTWEG 196 </t>
  </si>
  <si>
    <t>VI</t>
  </si>
  <si>
    <t xml:space="preserve">20 Riverview Dr </t>
  </si>
  <si>
    <t xml:space="preserve">13523 248H Ave SE </t>
  </si>
  <si>
    <t xml:space="preserve">11 Amersham Ct VA </t>
  </si>
  <si>
    <t>Perra</t>
  </si>
  <si>
    <t xml:space="preserve">170 Kenwood Ave </t>
  </si>
  <si>
    <t>Oneida</t>
  </si>
  <si>
    <t>Stansbury</t>
  </si>
  <si>
    <t xml:space="preserve">72 Bee Brook Rd </t>
  </si>
  <si>
    <t>Chitty</t>
  </si>
  <si>
    <t xml:space="preserve">17222 Formby Rd Apt C </t>
  </si>
  <si>
    <t>Cotterell</t>
  </si>
  <si>
    <t xml:space="preserve">128 Macdougal St Apt 4C </t>
  </si>
  <si>
    <t>Thunder</t>
  </si>
  <si>
    <t xml:space="preserve">11236 Laurelcrest Dr </t>
  </si>
  <si>
    <t>Englehart</t>
  </si>
  <si>
    <t xml:space="preserve">721 J St SW </t>
  </si>
  <si>
    <t xml:space="preserve">PO Box 124 </t>
  </si>
  <si>
    <t xml:space="preserve">3451 Davidsburg Rd </t>
  </si>
  <si>
    <t xml:space="preserve">150 W End Ave Apt 9C </t>
  </si>
  <si>
    <t xml:space="preserve">456 Acorn Ln </t>
  </si>
  <si>
    <t>Quintin</t>
  </si>
  <si>
    <t xml:space="preserve">2302 E 9RH St </t>
  </si>
  <si>
    <t>Collerette</t>
  </si>
  <si>
    <t>Ginette</t>
  </si>
  <si>
    <t xml:space="preserve">11886 Dunster Ln </t>
  </si>
  <si>
    <t>Jimenez</t>
  </si>
  <si>
    <t xml:space="preserve">1600 Pennsylvania Ave NW </t>
  </si>
  <si>
    <t>Cliggett</t>
  </si>
  <si>
    <t>Michael And Joann</t>
  </si>
  <si>
    <t xml:space="preserve">37 Blake Ave </t>
  </si>
  <si>
    <t xml:space="preserve">920 Riverview Dr SE Apt 248 </t>
  </si>
  <si>
    <t>Deacy</t>
  </si>
  <si>
    <t xml:space="preserve">PO Box 373 </t>
  </si>
  <si>
    <t>David And Carol</t>
  </si>
  <si>
    <t xml:space="preserve">35 Asbury Ln </t>
  </si>
  <si>
    <t xml:space="preserve">7914 Port Susan Pl </t>
  </si>
  <si>
    <t>Stanwood</t>
  </si>
  <si>
    <t>Grenell</t>
  </si>
  <si>
    <t xml:space="preserve">101 N Ocean Blvd Apt STEBLDGOPTIONAL </t>
  </si>
  <si>
    <t xml:space="preserve">1444 Dewey Ave </t>
  </si>
  <si>
    <t>Mage</t>
  </si>
  <si>
    <t xml:space="preserve">10842 Greene Dr </t>
  </si>
  <si>
    <t>Lorton</t>
  </si>
  <si>
    <t xml:space="preserve">701 Whitehall St </t>
  </si>
  <si>
    <t>Plant City</t>
  </si>
  <si>
    <t>Astrata</t>
  </si>
  <si>
    <t>Drews</t>
  </si>
  <si>
    <t xml:space="preserve">4712 W Oakwood Dr Apt 4 </t>
  </si>
  <si>
    <t>McHenry</t>
  </si>
  <si>
    <t>Omeara</t>
  </si>
  <si>
    <t>Colleen Joe - Brady</t>
  </si>
  <si>
    <t xml:space="preserve">2322 Vincent Ave N </t>
  </si>
  <si>
    <t>Brengle</t>
  </si>
  <si>
    <t xml:space="preserve">350 Ward Ave </t>
  </si>
  <si>
    <t xml:space="preserve">101 Stopanga Canyon Blvd Unit 1104 </t>
  </si>
  <si>
    <t>Van Horn Harris</t>
  </si>
  <si>
    <t xml:space="preserve">901 Williams Ditch Rd </t>
  </si>
  <si>
    <t>Cantonment</t>
  </si>
  <si>
    <t>Jamia</t>
  </si>
  <si>
    <t xml:space="preserve">27 Conwell St # A </t>
  </si>
  <si>
    <t>Provincetown</t>
  </si>
  <si>
    <t>Hammel</t>
  </si>
  <si>
    <t>Arrie</t>
  </si>
  <si>
    <t xml:space="preserve">627 1/2 9th St Rear </t>
  </si>
  <si>
    <t>Niagara Falls</t>
  </si>
  <si>
    <t xml:space="preserve">1703 Woodgreen Dr </t>
  </si>
  <si>
    <t xml:space="preserve">4 Turkey Hill Rd </t>
  </si>
  <si>
    <t>01950-3410</t>
  </si>
  <si>
    <t xml:space="preserve">235 E Parkridge Ave Apt D </t>
  </si>
  <si>
    <t>Trigonis</t>
  </si>
  <si>
    <t xml:space="preserve">CENTURY </t>
  </si>
  <si>
    <t xml:space="preserve">15639 Maple Ct </t>
  </si>
  <si>
    <t xml:space="preserve">5311 Premier Ct </t>
  </si>
  <si>
    <t>Bergman Lanier</t>
  </si>
  <si>
    <t xml:space="preserve">1885 E Harold St </t>
  </si>
  <si>
    <t>Herrmann</t>
  </si>
  <si>
    <t xml:space="preserve">260 Church St </t>
  </si>
  <si>
    <t>Wiggs</t>
  </si>
  <si>
    <t xml:space="preserve">7110 N Duncan Ave </t>
  </si>
  <si>
    <t>Meacham</t>
  </si>
  <si>
    <t xml:space="preserve">7203 Saint Crispins Way </t>
  </si>
  <si>
    <t>Halperin</t>
  </si>
  <si>
    <t xml:space="preserve">125 Olde Greenwich Dr Ste 250 </t>
  </si>
  <si>
    <t>Jefferys</t>
  </si>
  <si>
    <t xml:space="preserve">PO Box 962 # 4 </t>
  </si>
  <si>
    <t>Thorndale</t>
  </si>
  <si>
    <t>Kathrine</t>
  </si>
  <si>
    <t xml:space="preserve">8949 Wilkensen Rd SE </t>
  </si>
  <si>
    <t xml:space="preserve">819 C St NW </t>
  </si>
  <si>
    <t xml:space="preserve">1146 Patricia Dr </t>
  </si>
  <si>
    <t>McTague</t>
  </si>
  <si>
    <t xml:space="preserve">206 Fox Croft Vlg </t>
  </si>
  <si>
    <t>Loch Sheldrake</t>
  </si>
  <si>
    <t>Papoutsi</t>
  </si>
  <si>
    <t xml:space="preserve">220 Nabb Loop </t>
  </si>
  <si>
    <t>Reeser</t>
  </si>
  <si>
    <t xml:space="preserve">8246 Bonner Dr </t>
  </si>
  <si>
    <t>Regen</t>
  </si>
  <si>
    <t xml:space="preserve">44 Remsen St Apt 8 </t>
  </si>
  <si>
    <t xml:space="preserve">1070 Beacon St Apt 5D </t>
  </si>
  <si>
    <t>Zahler</t>
  </si>
  <si>
    <t xml:space="preserve">103 S Machias Rd </t>
  </si>
  <si>
    <t>Sinnott</t>
  </si>
  <si>
    <t xml:space="preserve">9923 Cottrell Ter </t>
  </si>
  <si>
    <t>Danette</t>
  </si>
  <si>
    <t xml:space="preserve">1300 Denisonview St </t>
  </si>
  <si>
    <t xml:space="preserve">290 Hardscrabble Ln </t>
  </si>
  <si>
    <t xml:space="preserve">2319 Berkshire Dr </t>
  </si>
  <si>
    <t>Tenerelli</t>
  </si>
  <si>
    <t xml:space="preserve">ROBERTS Rd </t>
  </si>
  <si>
    <t xml:space="preserve">567 17th Ave NW </t>
  </si>
  <si>
    <t>Barcellona</t>
  </si>
  <si>
    <t xml:space="preserve">159 S Normandie Ave </t>
  </si>
  <si>
    <t xml:space="preserve">417 Madrina Ct </t>
  </si>
  <si>
    <t>Craffey</t>
  </si>
  <si>
    <t xml:space="preserve">98 Center St </t>
  </si>
  <si>
    <t>Crisan</t>
  </si>
  <si>
    <t xml:space="preserve">13 Heather Trace Dr </t>
  </si>
  <si>
    <t>Sansone</t>
  </si>
  <si>
    <t xml:space="preserve">64 Pleasant View Ave </t>
  </si>
  <si>
    <t xml:space="preserve">111 G St </t>
  </si>
  <si>
    <t xml:space="preserve">1523 Highland Dr </t>
  </si>
  <si>
    <t xml:space="preserve">165 Arabian Ct 165 East Arabian Ct 165 East Ct </t>
  </si>
  <si>
    <t>Singh</t>
  </si>
  <si>
    <t>Omah</t>
  </si>
  <si>
    <t xml:space="preserve">376 Ocean Ave Apt 615 </t>
  </si>
  <si>
    <t xml:space="preserve">10227 65th Ave S </t>
  </si>
  <si>
    <t>Tennent</t>
  </si>
  <si>
    <t xml:space="preserve">312 Starling Ln </t>
  </si>
  <si>
    <t>Adkins</t>
  </si>
  <si>
    <t xml:space="preserve">3102 Cove View Blvd </t>
  </si>
  <si>
    <t>Hamre</t>
  </si>
  <si>
    <t xml:space="preserve">22090 Ethan Ave </t>
  </si>
  <si>
    <t xml:space="preserve">314 Breed Rd </t>
  </si>
  <si>
    <t xml:space="preserve">1414 S Maple St </t>
  </si>
  <si>
    <t xml:space="preserve">1335 Columbia St </t>
  </si>
  <si>
    <t xml:space="preserve">765 SE Mount Hood Hwy </t>
  </si>
  <si>
    <t xml:space="preserve">1342 E 700 N </t>
  </si>
  <si>
    <t>Tindall</t>
  </si>
  <si>
    <t xml:space="preserve">4132 Avery St </t>
  </si>
  <si>
    <t xml:space="preserve">7905 Mesa Trails Cir </t>
  </si>
  <si>
    <t xml:space="preserve">309 Circle Oak Dr </t>
  </si>
  <si>
    <t>Gilbert-Cooper</t>
  </si>
  <si>
    <t xml:space="preserve">85 Chapman Rd </t>
  </si>
  <si>
    <t>Gothenburg</t>
  </si>
  <si>
    <t>göteborg</t>
  </si>
  <si>
    <t>SE</t>
  </si>
  <si>
    <t xml:space="preserve">3141 Hennepin Ave </t>
  </si>
  <si>
    <t xml:space="preserve">269 Elmscourt Cir </t>
  </si>
  <si>
    <t>O'Rourke</t>
  </si>
  <si>
    <t xml:space="preserve">12520 W 64th Ave </t>
  </si>
  <si>
    <t>Bankerd</t>
  </si>
  <si>
    <t xml:space="preserve">385 Grand St </t>
  </si>
  <si>
    <t xml:space="preserve">30657 Sky Terrace Dr </t>
  </si>
  <si>
    <t>Chatfield</t>
  </si>
  <si>
    <t xml:space="preserve">1866 Twin Lakes Dr Apt D </t>
  </si>
  <si>
    <t xml:space="preserve">217 Sunset Rd SW Trlr 16 </t>
  </si>
  <si>
    <t xml:space="preserve">303 Cottage Ave </t>
  </si>
  <si>
    <t>Ohara</t>
  </si>
  <si>
    <t xml:space="preserve">4429 NE Fremont St Apt 214 </t>
  </si>
  <si>
    <t>Karmi</t>
  </si>
  <si>
    <t xml:space="preserve">778 B St </t>
  </si>
  <si>
    <t xml:space="preserve">5310 Manorwood Dr </t>
  </si>
  <si>
    <t>Couris</t>
  </si>
  <si>
    <t xml:space="preserve">2239 Beaver Hill Rd </t>
  </si>
  <si>
    <t>Chester Springs</t>
  </si>
  <si>
    <t xml:space="preserve">3166 La Barca Ln </t>
  </si>
  <si>
    <t>McKinley</t>
  </si>
  <si>
    <t xml:space="preserve">384 Main St </t>
  </si>
  <si>
    <t>Lashon</t>
  </si>
  <si>
    <t xml:space="preserve">230 Marcliff Ct </t>
  </si>
  <si>
    <t>Lai</t>
  </si>
  <si>
    <t xml:space="preserve">Absolutebe Yahoocom </t>
  </si>
  <si>
    <t>Sauerman</t>
  </si>
  <si>
    <t xml:space="preserve">8228 Ville Ct NE </t>
  </si>
  <si>
    <t xml:space="preserve">PO Box 724 </t>
  </si>
  <si>
    <t>Mears</t>
  </si>
  <si>
    <t xml:space="preserve">2429 30th Ave S </t>
  </si>
  <si>
    <t xml:space="preserve">184 Cameron Ridge Dr </t>
  </si>
  <si>
    <t xml:space="preserve">5041 Saxon Way </t>
  </si>
  <si>
    <t>Gena</t>
  </si>
  <si>
    <t xml:space="preserve">9437 N 51St Dr 9437 North 51St Dr 9437 North 51 Dr </t>
  </si>
  <si>
    <t xml:space="preserve">N6298 Conservation Rd </t>
  </si>
  <si>
    <t>Devinney</t>
  </si>
  <si>
    <t xml:space="preserve">3225 W Mount Hope Ave Apt 213 </t>
  </si>
  <si>
    <t xml:space="preserve">4834 Northerly St </t>
  </si>
  <si>
    <t xml:space="preserve">17478 Ne123rd Way </t>
  </si>
  <si>
    <t>34601-6506</t>
  </si>
  <si>
    <t>Sachdev</t>
  </si>
  <si>
    <t>Shubra</t>
  </si>
  <si>
    <t xml:space="preserve">POWELL </t>
  </si>
  <si>
    <t>Vizzi</t>
  </si>
  <si>
    <t xml:space="preserve">2690 Mccormick Ave </t>
  </si>
  <si>
    <t>Palisade</t>
  </si>
  <si>
    <t>Mereness</t>
  </si>
  <si>
    <t xml:space="preserve">203 Stone Gate Dr </t>
  </si>
  <si>
    <t>Kima</t>
  </si>
  <si>
    <t xml:space="preserve">5112 NE 28th Ave </t>
  </si>
  <si>
    <t>Kahl</t>
  </si>
  <si>
    <t xml:space="preserve">1033 NW Newport Ave </t>
  </si>
  <si>
    <t>Schoenfeld</t>
  </si>
  <si>
    <t>Rev. King</t>
  </si>
  <si>
    <t xml:space="preserve">6124 Westminster Pl </t>
  </si>
  <si>
    <t>Shakayla</t>
  </si>
  <si>
    <t xml:space="preserve">407 S Taper Ave # AVE9 </t>
  </si>
  <si>
    <t>Gipson</t>
  </si>
  <si>
    <t xml:space="preserve">1719 Oregon Ave </t>
  </si>
  <si>
    <t xml:space="preserve">8384 SE 32nd Ave </t>
  </si>
  <si>
    <t>Runnells</t>
  </si>
  <si>
    <t>Baillargeon</t>
  </si>
  <si>
    <t xml:space="preserve">3952 Versailles Dr </t>
  </si>
  <si>
    <t xml:space="preserve">1131 Esters Rd Apt 703 </t>
  </si>
  <si>
    <t>Wermers</t>
  </si>
  <si>
    <t xml:space="preserve">9712 Delamere Ct </t>
  </si>
  <si>
    <t>Halpern</t>
  </si>
  <si>
    <t xml:space="preserve">1291 Kittredge Ct NE # 30329 </t>
  </si>
  <si>
    <t>Hudspeth</t>
  </si>
  <si>
    <t xml:space="preserve">11699 Howitzer Ln </t>
  </si>
  <si>
    <t>Megan M. E.</t>
  </si>
  <si>
    <t xml:space="preserve">270 W Alamar Ave Apt 19 </t>
  </si>
  <si>
    <t>Dresbach</t>
  </si>
  <si>
    <t>Bill And Katie</t>
  </si>
  <si>
    <t xml:space="preserve">PO Box 2066 </t>
  </si>
  <si>
    <t>Sheffield Lake</t>
  </si>
  <si>
    <t>Cleope</t>
  </si>
  <si>
    <t xml:space="preserve">PO Box 2964 </t>
  </si>
  <si>
    <t>Arizona City</t>
  </si>
  <si>
    <t>Ammen</t>
  </si>
  <si>
    <t xml:space="preserve">100 S 4th Ave Apt 506 </t>
  </si>
  <si>
    <t xml:space="preserve">4441 E Lee St </t>
  </si>
  <si>
    <t>Kadam</t>
  </si>
  <si>
    <t>Vrushali</t>
  </si>
  <si>
    <t xml:space="preserve">4 Locbury Ct </t>
  </si>
  <si>
    <t xml:space="preserve">121 S Golden Willow Ave </t>
  </si>
  <si>
    <t>Schiffer</t>
  </si>
  <si>
    <t xml:space="preserve">217 Tangelo Ave </t>
  </si>
  <si>
    <t>Fern Park</t>
  </si>
  <si>
    <t xml:space="preserve">6 Seaman Rd </t>
  </si>
  <si>
    <t>Gosselin</t>
  </si>
  <si>
    <t xml:space="preserve">10340 Buncombe Way </t>
  </si>
  <si>
    <t>Sieck</t>
  </si>
  <si>
    <t xml:space="preserve">4877 W River Rd NW </t>
  </si>
  <si>
    <t>Von Rueben</t>
  </si>
  <si>
    <t xml:space="preserve">PO Box 1204 </t>
  </si>
  <si>
    <t xml:space="preserve">12500 Regency Pkwy Apt 1030 </t>
  </si>
  <si>
    <t xml:space="preserve">LEE St </t>
  </si>
  <si>
    <t>Akankha</t>
  </si>
  <si>
    <t xml:space="preserve">36 Pleasant St Unit 6B </t>
  </si>
  <si>
    <t>05091-1152</t>
  </si>
  <si>
    <t>Dukes</t>
  </si>
  <si>
    <t xml:space="preserve">2400 Donovan Ave Trlr 6 </t>
  </si>
  <si>
    <t>Dales</t>
  </si>
  <si>
    <t xml:space="preserve">1750 Saint Charles Ave Apt 233 </t>
  </si>
  <si>
    <t>Duft</t>
  </si>
  <si>
    <t xml:space="preserve">5762 Loma Verde Dr # 1133 </t>
  </si>
  <si>
    <t>Dichi</t>
  </si>
  <si>
    <t xml:space="preserve">2234 S Goebbert Rd </t>
  </si>
  <si>
    <t xml:space="preserve">149 Latham Works Ln </t>
  </si>
  <si>
    <t>Rodman</t>
  </si>
  <si>
    <t>Dr. Joan</t>
  </si>
  <si>
    <t xml:space="preserve">OCEAN Ave </t>
  </si>
  <si>
    <t>Help</t>
  </si>
  <si>
    <t>Obo</t>
  </si>
  <si>
    <t xml:space="preserve">60 Camp St </t>
  </si>
  <si>
    <t xml:space="preserve">PO Box 743 </t>
  </si>
  <si>
    <t>La Conner</t>
  </si>
  <si>
    <t xml:space="preserve">4003 S Lipscomb St </t>
  </si>
  <si>
    <t>Enily</t>
  </si>
  <si>
    <t xml:space="preserve">10 Bowdoin St </t>
  </si>
  <si>
    <t>Ynocencio-Schock</t>
  </si>
  <si>
    <t>Cherise</t>
  </si>
  <si>
    <t xml:space="preserve">1401 N Lafountain St </t>
  </si>
  <si>
    <t>Kokomo</t>
  </si>
  <si>
    <t xml:space="preserve">301 Westgate Dr </t>
  </si>
  <si>
    <t xml:space="preserve">5 Abbey Ln Apt 107 </t>
  </si>
  <si>
    <t>Toshach</t>
  </si>
  <si>
    <t xml:space="preserve">725 Harbor Watch Dr Ste 211 </t>
  </si>
  <si>
    <t>Mizm</t>
  </si>
  <si>
    <t xml:space="preserve">21 DALLESTON BINEGAR </t>
  </si>
  <si>
    <t xml:space="preserve">3000 Galloway Rdg Apt E209 </t>
  </si>
  <si>
    <t>Polonka</t>
  </si>
  <si>
    <t xml:space="preserve">1419 Longview Ave # &amp; </t>
  </si>
  <si>
    <t>Cordaro</t>
  </si>
  <si>
    <t xml:space="preserve">2326 Reflections Dr </t>
  </si>
  <si>
    <t xml:space="preserve">1613 Homewood Ln NE </t>
  </si>
  <si>
    <t xml:space="preserve">8398 Fairway Dr </t>
  </si>
  <si>
    <t>Beulah</t>
  </si>
  <si>
    <t>Bickers</t>
  </si>
  <si>
    <t xml:space="preserve">12001 Foothill Blvd Spc 29 </t>
  </si>
  <si>
    <t>Rohrer</t>
  </si>
  <si>
    <t xml:space="preserve">2311 Wharton Ln </t>
  </si>
  <si>
    <t>Vankleek</t>
  </si>
  <si>
    <t xml:space="preserve">1071 Donegan Rd Lot 1522 </t>
  </si>
  <si>
    <t xml:space="preserve">1402 Chantilly Ln </t>
  </si>
  <si>
    <t xml:space="preserve">370 Temple Ave </t>
  </si>
  <si>
    <t>Kody</t>
  </si>
  <si>
    <t>Kori</t>
  </si>
  <si>
    <t xml:space="preserve">2876 Shasta Rd </t>
  </si>
  <si>
    <t xml:space="preserve">3039 Centre Ave </t>
  </si>
  <si>
    <t>Greening</t>
  </si>
  <si>
    <t xml:space="preserve">5 5 5 </t>
  </si>
  <si>
    <t xml:space="preserve">2051 Raven Rd 2051 Raven Rd 2051 Raven Rd </t>
  </si>
  <si>
    <t xml:space="preserve">163 Hopewell Wertsville Rd </t>
  </si>
  <si>
    <t>Cerritos</t>
  </si>
  <si>
    <t xml:space="preserve">440 King Ave </t>
  </si>
  <si>
    <t xml:space="preserve">1618 Wood Quail </t>
  </si>
  <si>
    <t>Neubauer</t>
  </si>
  <si>
    <t>Gisella</t>
  </si>
  <si>
    <t>Karpinski</t>
  </si>
  <si>
    <t xml:space="preserve">EVERGREEN Rd </t>
  </si>
  <si>
    <t xml:space="preserve">PO Box 517 </t>
  </si>
  <si>
    <t>Zaharee</t>
  </si>
  <si>
    <t xml:space="preserve">5180 Lisch Dr </t>
  </si>
  <si>
    <t>Ila</t>
  </si>
  <si>
    <t xml:space="preserve">697 Sackett St </t>
  </si>
  <si>
    <t>Breton</t>
  </si>
  <si>
    <t xml:space="preserve">464 N Ridgewood Ave </t>
  </si>
  <si>
    <t>Richita</t>
  </si>
  <si>
    <t xml:space="preserve">10 Downing St Apt 2A </t>
  </si>
  <si>
    <t>Witt</t>
  </si>
  <si>
    <t xml:space="preserve">110 Arrowhead Trl </t>
  </si>
  <si>
    <t>Helen L</t>
  </si>
  <si>
    <t xml:space="preserve">2120 Federal Blvd </t>
  </si>
  <si>
    <t>Brenes</t>
  </si>
  <si>
    <t>Ledia</t>
  </si>
  <si>
    <t xml:space="preserve">15775 Miami Lakeway N Apt 128C </t>
  </si>
  <si>
    <t>Miami Lakes</t>
  </si>
  <si>
    <t xml:space="preserve">339 Brightwood Ave </t>
  </si>
  <si>
    <t>Michalik</t>
  </si>
  <si>
    <t xml:space="preserve">18241 Via Guadalmina </t>
  </si>
  <si>
    <t xml:space="preserve">1116 Academy Rd </t>
  </si>
  <si>
    <t>Long Creek</t>
  </si>
  <si>
    <t xml:space="preserve">11384 Portobelo Dr Unit 2 </t>
  </si>
  <si>
    <t>Ell</t>
  </si>
  <si>
    <t xml:space="preserve">4200 Saxon Dr </t>
  </si>
  <si>
    <t xml:space="preserve">123 VICTORY Ln </t>
  </si>
  <si>
    <t>Harriott</t>
  </si>
  <si>
    <t xml:space="preserve">867 Hr Dr SE </t>
  </si>
  <si>
    <t>Tyrel</t>
  </si>
  <si>
    <t xml:space="preserve">108 Foxchase Rd </t>
  </si>
  <si>
    <t>Searcy</t>
  </si>
  <si>
    <t>Arfert</t>
  </si>
  <si>
    <t xml:space="preserve">2210 Avon Ln </t>
  </si>
  <si>
    <t>Schulthess</t>
  </si>
  <si>
    <t>Ziona</t>
  </si>
  <si>
    <t xml:space="preserve">113 HAMMERSTR </t>
  </si>
  <si>
    <t>Basel</t>
  </si>
  <si>
    <t>Otani</t>
  </si>
  <si>
    <t xml:space="preserve">20539 N 267th Ln </t>
  </si>
  <si>
    <t xml:space="preserve">13 LAWAANUI </t>
  </si>
  <si>
    <t>Khalila</t>
  </si>
  <si>
    <t xml:space="preserve">4121 New Hampshire Ave NW </t>
  </si>
  <si>
    <t>Pittman</t>
  </si>
  <si>
    <t>Jawara</t>
  </si>
  <si>
    <t xml:space="preserve">1211 Beckman Ave </t>
  </si>
  <si>
    <t xml:space="preserve">140 Camden Ct </t>
  </si>
  <si>
    <t>Kussin</t>
  </si>
  <si>
    <t>Allene</t>
  </si>
  <si>
    <t xml:space="preserve">27 Concord Greene Unit 5 </t>
  </si>
  <si>
    <t xml:space="preserve">323 Night Harbor Dr </t>
  </si>
  <si>
    <t xml:space="preserve">210 Deer Park Dr </t>
  </si>
  <si>
    <t xml:space="preserve">200 E Country Club Dr E </t>
  </si>
  <si>
    <t xml:space="preserve">1537 S Wooster St </t>
  </si>
  <si>
    <t xml:space="preserve">3 Crestwood Dr </t>
  </si>
  <si>
    <t xml:space="preserve">PO Box 970 </t>
  </si>
  <si>
    <t>Durand</t>
  </si>
  <si>
    <t xml:space="preserve">160 Farmington Rd </t>
  </si>
  <si>
    <t xml:space="preserve">2209 Asbury Rd </t>
  </si>
  <si>
    <t>Entenman</t>
  </si>
  <si>
    <t xml:space="preserve">2315 Edwards St </t>
  </si>
  <si>
    <t>Bjolstad</t>
  </si>
  <si>
    <t>MacHelle</t>
  </si>
  <si>
    <t xml:space="preserve">9624 26th Ave NW </t>
  </si>
  <si>
    <t>Julee</t>
  </si>
  <si>
    <t xml:space="preserve">2023 Bunker Cir </t>
  </si>
  <si>
    <t xml:space="preserve">59 Country Club Dr </t>
  </si>
  <si>
    <t>Goodyear</t>
  </si>
  <si>
    <t xml:space="preserve">1460 Dillon Rd </t>
  </si>
  <si>
    <t>Altman</t>
  </si>
  <si>
    <t xml:space="preserve">56 Orchard Hill Dr </t>
  </si>
  <si>
    <t xml:space="preserve">H H </t>
  </si>
  <si>
    <t>Jung</t>
  </si>
  <si>
    <t xml:space="preserve">75 Glendora Ave Apt 1 </t>
  </si>
  <si>
    <t>Wally</t>
  </si>
  <si>
    <t xml:space="preserve">13 Hair St </t>
  </si>
  <si>
    <t xml:space="preserve">2458 S 8th Ave </t>
  </si>
  <si>
    <t>North Riverside</t>
  </si>
  <si>
    <t>Rupe</t>
  </si>
  <si>
    <t xml:space="preserve">PO Box 1235 </t>
  </si>
  <si>
    <t>Homosassa Springs</t>
  </si>
  <si>
    <t>Carly</t>
  </si>
  <si>
    <t xml:space="preserve">NORTH KNOLL Dr </t>
  </si>
  <si>
    <t xml:space="preserve">376 N Deer Isle Rd </t>
  </si>
  <si>
    <t>Deer Isle</t>
  </si>
  <si>
    <t>Hadstate</t>
  </si>
  <si>
    <t xml:space="preserve">8720 Yearling Dr Apt 14A </t>
  </si>
  <si>
    <t>North Charleston</t>
  </si>
  <si>
    <t>Chung</t>
  </si>
  <si>
    <t xml:space="preserve">PO Box 525 </t>
  </si>
  <si>
    <t>Armonk</t>
  </si>
  <si>
    <t xml:space="preserve">410 Ozark Trl # 1 </t>
  </si>
  <si>
    <t>Roraback</t>
  </si>
  <si>
    <t xml:space="preserve">5 Nettletree Creek Ct </t>
  </si>
  <si>
    <t>Sopher</t>
  </si>
  <si>
    <t xml:space="preserve">773 Nettles Blvd </t>
  </si>
  <si>
    <t>Mariah</t>
  </si>
  <si>
    <t xml:space="preserve">942 N Wind Dr </t>
  </si>
  <si>
    <t xml:space="preserve">20242 Bayview Ave </t>
  </si>
  <si>
    <t xml:space="preserve">8201 S Santa Fe Dr Lot 197 </t>
  </si>
  <si>
    <t xml:space="preserve">5027 110th St NE </t>
  </si>
  <si>
    <t>Tassin</t>
  </si>
  <si>
    <t xml:space="preserve">5220 Francis Ct </t>
  </si>
  <si>
    <t>Groves</t>
  </si>
  <si>
    <t>Gillikin</t>
  </si>
  <si>
    <t xml:space="preserve">1505 Goldie St # D </t>
  </si>
  <si>
    <t xml:space="preserve">17 Tiger Lily Ln </t>
  </si>
  <si>
    <t>Carminati</t>
  </si>
  <si>
    <t xml:space="preserve">3 Manor Ln Apt D </t>
  </si>
  <si>
    <t>Yenney</t>
  </si>
  <si>
    <t xml:space="preserve">10303 Jamestown St </t>
  </si>
  <si>
    <t xml:space="preserve">74 Nokes Rd </t>
  </si>
  <si>
    <t>Swanton</t>
  </si>
  <si>
    <t>Eliowitz</t>
  </si>
  <si>
    <t xml:space="preserve">4800 S Wheeler Rd </t>
  </si>
  <si>
    <t>Stansfield</t>
  </si>
  <si>
    <t xml:space="preserve">16314 62nd Ave NW </t>
  </si>
  <si>
    <t xml:space="preserve">4325 NE 11th Ave </t>
  </si>
  <si>
    <t>Myslajek</t>
  </si>
  <si>
    <t xml:space="preserve">14665 78th Ave N </t>
  </si>
  <si>
    <t>Maple Grove</t>
  </si>
  <si>
    <t xml:space="preserve">253 W51 St </t>
  </si>
  <si>
    <t xml:space="preserve">733 River Ave </t>
  </si>
  <si>
    <t>02908-2312</t>
  </si>
  <si>
    <t xml:space="preserve">127 Fallis Rd </t>
  </si>
  <si>
    <t>43214-3725</t>
  </si>
  <si>
    <t>Eldridge</t>
  </si>
  <si>
    <t xml:space="preserve">2714 Orchard Cir </t>
  </si>
  <si>
    <t>North Port</t>
  </si>
  <si>
    <t>34288-6306</t>
  </si>
  <si>
    <t xml:space="preserve">145 Olgia Ln </t>
  </si>
  <si>
    <t>37604-2830</t>
  </si>
  <si>
    <t>Schott</t>
  </si>
  <si>
    <t xml:space="preserve">54 Grove St </t>
  </si>
  <si>
    <t>Central City</t>
  </si>
  <si>
    <t>52214-9579</t>
  </si>
  <si>
    <t>Majlinger</t>
  </si>
  <si>
    <t xml:space="preserve">23444 Clifford Dr </t>
  </si>
  <si>
    <t>44070-1127</t>
  </si>
  <si>
    <t>Spaulding</t>
  </si>
  <si>
    <t xml:space="preserve">2506 Pear Ct </t>
  </si>
  <si>
    <t>80521-3119</t>
  </si>
  <si>
    <t>Depaola</t>
  </si>
  <si>
    <t xml:space="preserve">386 Commercial St </t>
  </si>
  <si>
    <t>02109-1008</t>
  </si>
  <si>
    <t xml:space="preserve">8336 HAWKS PRAIRIE Dr SE </t>
  </si>
  <si>
    <t>Kaiser</t>
  </si>
  <si>
    <t xml:space="preserve">2407 N 8th St </t>
  </si>
  <si>
    <t>54403-3318</t>
  </si>
  <si>
    <t>Edmonson</t>
  </si>
  <si>
    <t xml:space="preserve">17110 S Springwater Rd </t>
  </si>
  <si>
    <t>97045-9440</t>
  </si>
  <si>
    <t xml:space="preserve">212 General Stilwell St NE Apt A </t>
  </si>
  <si>
    <t>87123-2540</t>
  </si>
  <si>
    <t xml:space="preserve">80 Annandale Rd </t>
  </si>
  <si>
    <t>11725-1746</t>
  </si>
  <si>
    <t>Dicarlo</t>
  </si>
  <si>
    <t xml:space="preserve">35078 Waimea Way </t>
  </si>
  <si>
    <t>92596-8506</t>
  </si>
  <si>
    <t xml:space="preserve">39 Longview Way </t>
  </si>
  <si>
    <t>01960-6413</t>
  </si>
  <si>
    <t xml:space="preserve">18546 Mountain Track Rd </t>
  </si>
  <si>
    <t>22960-2770</t>
  </si>
  <si>
    <t>Rudd</t>
  </si>
  <si>
    <t xml:space="preserve">1 S Park St </t>
  </si>
  <si>
    <t>12816-1278</t>
  </si>
  <si>
    <t xml:space="preserve">3166 Cedar Ravine Rd </t>
  </si>
  <si>
    <t>95667-6506</t>
  </si>
  <si>
    <t xml:space="preserve">391 Laurel Rd </t>
  </si>
  <si>
    <t>Johannsen</t>
  </si>
  <si>
    <t xml:space="preserve">2418 Aldrich Ave N </t>
  </si>
  <si>
    <t>55411-2148</t>
  </si>
  <si>
    <t>Monico</t>
  </si>
  <si>
    <t xml:space="preserve">PO Box 274 </t>
  </si>
  <si>
    <t xml:space="preserve">584 S 6th St </t>
  </si>
  <si>
    <t>30224-4351</t>
  </si>
  <si>
    <t xml:space="preserve">4779 SE Quail Trl </t>
  </si>
  <si>
    <t>34997-6969</t>
  </si>
  <si>
    <t>Kainj</t>
  </si>
  <si>
    <t xml:space="preserve">18900 NE 74th Ct </t>
  </si>
  <si>
    <t xml:space="preserve">PO Box 2532 </t>
  </si>
  <si>
    <t>Warshaw</t>
  </si>
  <si>
    <t xml:space="preserve">4515 N Saint Louis Ave </t>
  </si>
  <si>
    <t>60625-5419</t>
  </si>
  <si>
    <t xml:space="preserve">3609 Kaweonui Rd </t>
  </si>
  <si>
    <t xml:space="preserve">CRESCENT </t>
  </si>
  <si>
    <t>Kruse</t>
  </si>
  <si>
    <t xml:space="preserve">20227 SW 71st Ave </t>
  </si>
  <si>
    <t>97062-9211</t>
  </si>
  <si>
    <t xml:space="preserve">1019 SW Estaugh Ave </t>
  </si>
  <si>
    <t>34953-1808</t>
  </si>
  <si>
    <t xml:space="preserve">2120 N Pacific Ave Spc 27 </t>
  </si>
  <si>
    <t>95060-2738</t>
  </si>
  <si>
    <t xml:space="preserve">4793 Copley Rd </t>
  </si>
  <si>
    <t>Copley</t>
  </si>
  <si>
    <t>44321-1817</t>
  </si>
  <si>
    <t xml:space="preserve">7400 Case Ave </t>
  </si>
  <si>
    <t>44060-5721</t>
  </si>
  <si>
    <t xml:space="preserve">9062 Beatrice St </t>
  </si>
  <si>
    <t>48150-4004</t>
  </si>
  <si>
    <t xml:space="preserve">8887 Dallas Ln N </t>
  </si>
  <si>
    <t>Meinke</t>
  </si>
  <si>
    <t xml:space="preserve">8807 Hastings Cir NE </t>
  </si>
  <si>
    <t>Janke</t>
  </si>
  <si>
    <t xml:space="preserve">4819 E Hawthorne St </t>
  </si>
  <si>
    <t xml:space="preserve">1810 W 75th Pl </t>
  </si>
  <si>
    <t>Prouse</t>
  </si>
  <si>
    <t>Kristie</t>
  </si>
  <si>
    <t xml:space="preserve">1905 Hoover St </t>
  </si>
  <si>
    <t>Willer</t>
  </si>
  <si>
    <t xml:space="preserve">5665 W Galveston St </t>
  </si>
  <si>
    <t>Nossal</t>
  </si>
  <si>
    <t xml:space="preserve">104 E 2nd St </t>
  </si>
  <si>
    <t>Milan</t>
  </si>
  <si>
    <t xml:space="preserve">310 Laurent Ln Lot 195 </t>
  </si>
  <si>
    <t xml:space="preserve">976 Red Pine St </t>
  </si>
  <si>
    <t>Bushnell</t>
  </si>
  <si>
    <t>Martha W D</t>
  </si>
  <si>
    <t xml:space="preserve">1331 E Hecla Dr Unit 249 </t>
  </si>
  <si>
    <t xml:space="preserve">PO Box 2036 </t>
  </si>
  <si>
    <t xml:space="preserve">1784 W Dartmouth Cir </t>
  </si>
  <si>
    <t>Dr Susan</t>
  </si>
  <si>
    <t xml:space="preserve">PO Box 347 </t>
  </si>
  <si>
    <t>Paauilo</t>
  </si>
  <si>
    <t>Devault</t>
  </si>
  <si>
    <t xml:space="preserve">5401 W Everett M Dirksen Pkwy </t>
  </si>
  <si>
    <t xml:space="preserve">PO Box 464 </t>
  </si>
  <si>
    <t>Sullivans Island</t>
  </si>
  <si>
    <t xml:space="preserve">2546 Ehrich St </t>
  </si>
  <si>
    <t xml:space="preserve">PO Box 454 </t>
  </si>
  <si>
    <t>Chappell Hill</t>
  </si>
  <si>
    <t xml:space="preserve">1040 NW 10th Ave Apt 535 </t>
  </si>
  <si>
    <t>Stoner</t>
  </si>
  <si>
    <t xml:space="preserve">499 Pleasant Hill Rd </t>
  </si>
  <si>
    <t>Blazek</t>
  </si>
  <si>
    <t>Mignonette</t>
  </si>
  <si>
    <t>Stoffel</t>
  </si>
  <si>
    <t xml:space="preserve">2188 Cottonwood Pl </t>
  </si>
  <si>
    <t>Hovland</t>
  </si>
  <si>
    <t xml:space="preserve">1400 Ethel St # 1400 </t>
  </si>
  <si>
    <t>Pellett</t>
  </si>
  <si>
    <t xml:space="preserve">15 Forest St </t>
  </si>
  <si>
    <t xml:space="preserve">232 Guadalupe St </t>
  </si>
  <si>
    <t xml:space="preserve">5415 Maple Ave </t>
  </si>
  <si>
    <t xml:space="preserve">6803 Willow Rd </t>
  </si>
  <si>
    <t>Hendrickson</t>
  </si>
  <si>
    <t xml:space="preserve">5215 N Manchester Ave </t>
  </si>
  <si>
    <t xml:space="preserve">433 State Route 32 </t>
  </si>
  <si>
    <t>Jelliffe</t>
  </si>
  <si>
    <t xml:space="preserve">825 S Madison Ave </t>
  </si>
  <si>
    <t xml:space="preserve">14911 W 70th St </t>
  </si>
  <si>
    <t>Street</t>
  </si>
  <si>
    <t>Dawn Angela</t>
  </si>
  <si>
    <t xml:space="preserve">1504 Ashland Ave </t>
  </si>
  <si>
    <t>Jeppson</t>
  </si>
  <si>
    <t xml:space="preserve">4456 N Attleboro Pl </t>
  </si>
  <si>
    <t xml:space="preserve">172 Galtier Pl </t>
  </si>
  <si>
    <t>Shoreview</t>
  </si>
  <si>
    <t>Pioli</t>
  </si>
  <si>
    <t xml:space="preserve">PO Box 11525 </t>
  </si>
  <si>
    <t>Breg</t>
  </si>
  <si>
    <t>La</t>
  </si>
  <si>
    <t xml:space="preserve">300 Bocana St </t>
  </si>
  <si>
    <t>Lederer</t>
  </si>
  <si>
    <t xml:space="preserve">351 W 24th St Apt 3F </t>
  </si>
  <si>
    <t>Krieger</t>
  </si>
  <si>
    <t>Barbaral</t>
  </si>
  <si>
    <t xml:space="preserve">2430 W Whistler Loop Apt 107 </t>
  </si>
  <si>
    <t>Tostenson</t>
  </si>
  <si>
    <t xml:space="preserve">11740 S Sumac St </t>
  </si>
  <si>
    <t>Bellott</t>
  </si>
  <si>
    <t xml:space="preserve">6 National Ave </t>
  </si>
  <si>
    <t>Brick</t>
  </si>
  <si>
    <t>Thormann</t>
  </si>
  <si>
    <t xml:space="preserve">551 Bloomfield Ave </t>
  </si>
  <si>
    <t>West Caldwell</t>
  </si>
  <si>
    <t>07006-7502</t>
  </si>
  <si>
    <t xml:space="preserve">4813 Poplar Dr </t>
  </si>
  <si>
    <t xml:space="preserve">3791 SE Willamette Ave </t>
  </si>
  <si>
    <t xml:space="preserve">1 Pine St </t>
  </si>
  <si>
    <t>John David</t>
  </si>
  <si>
    <t xml:space="preserve">6979 Palm Ct Apt 121 </t>
  </si>
  <si>
    <t>Lapolla</t>
  </si>
  <si>
    <t xml:space="preserve">5845 Kantor St </t>
  </si>
  <si>
    <t>Torrey</t>
  </si>
  <si>
    <t xml:space="preserve">1851 N Moon Valley Pl </t>
  </si>
  <si>
    <t>Caephren</t>
  </si>
  <si>
    <t xml:space="preserve">392 44th St # CA </t>
  </si>
  <si>
    <t xml:space="preserve">409 12th St </t>
  </si>
  <si>
    <t>Poniros</t>
  </si>
  <si>
    <t xml:space="preserve">439 Iranistan Ave </t>
  </si>
  <si>
    <t xml:space="preserve">22865 S Greystone Dr </t>
  </si>
  <si>
    <t>Gee</t>
  </si>
  <si>
    <t xml:space="preserve">PO Box 8674 </t>
  </si>
  <si>
    <t>Fleischmann</t>
  </si>
  <si>
    <t xml:space="preserve">351 N Peart Rd Apt 1712 </t>
  </si>
  <si>
    <t>Kleber</t>
  </si>
  <si>
    <t xml:space="preserve">8935 N Scenic Dr </t>
  </si>
  <si>
    <t>Parlette</t>
  </si>
  <si>
    <t xml:space="preserve">2141 Tydd St </t>
  </si>
  <si>
    <t>Tyrrell</t>
  </si>
  <si>
    <t xml:space="preserve">224 Kelly Ave </t>
  </si>
  <si>
    <t>Hafer</t>
  </si>
  <si>
    <t xml:space="preserve">405 Avenida Granada </t>
  </si>
  <si>
    <t xml:space="preserve">3924 Park Pl Apt 19 </t>
  </si>
  <si>
    <t xml:space="preserve">2034 N Old Stage Rd </t>
  </si>
  <si>
    <t xml:space="preserve">10250 Woodrose Ct </t>
  </si>
  <si>
    <t xml:space="preserve">3940 Hines Valley Rd </t>
  </si>
  <si>
    <t>Deascentis</t>
  </si>
  <si>
    <t xml:space="preserve">69 River Run Rd </t>
  </si>
  <si>
    <t xml:space="preserve">5920 Hollywood Blvd </t>
  </si>
  <si>
    <t xml:space="preserve">12800 Island House </t>
  </si>
  <si>
    <t xml:space="preserve">2191 S Kihei Rd Apt 1316 </t>
  </si>
  <si>
    <t>Nath</t>
  </si>
  <si>
    <t>Utkarsh</t>
  </si>
  <si>
    <t xml:space="preserve">34462 Alberta Ter </t>
  </si>
  <si>
    <t>Geronimo</t>
  </si>
  <si>
    <t xml:space="preserve">4225 Pebble Garden Way </t>
  </si>
  <si>
    <t>D. Jerry</t>
  </si>
  <si>
    <t xml:space="preserve">5441 Red Hawk Ln </t>
  </si>
  <si>
    <t>Bee</t>
  </si>
  <si>
    <t xml:space="preserve">36629 N Edgewood Dr </t>
  </si>
  <si>
    <t>Herron</t>
  </si>
  <si>
    <t xml:space="preserve">232 Wrennewood Ln </t>
  </si>
  <si>
    <t>Copi</t>
  </si>
  <si>
    <t xml:space="preserve">676 Alma Ave </t>
  </si>
  <si>
    <t xml:space="preserve">820 Camp Ave </t>
  </si>
  <si>
    <t xml:space="preserve">1976 N Simpson Rd </t>
  </si>
  <si>
    <t>New Cambria</t>
  </si>
  <si>
    <t>Quam</t>
  </si>
  <si>
    <t xml:space="preserve">15433 Pete Colman Ave </t>
  </si>
  <si>
    <t xml:space="preserve">PO Box 1155 </t>
  </si>
  <si>
    <t>Mattapoisett</t>
  </si>
  <si>
    <t>02739-0408</t>
  </si>
  <si>
    <t>Esteve</t>
  </si>
  <si>
    <t xml:space="preserve">3655 N Scenic Hwy </t>
  </si>
  <si>
    <t>Flagg</t>
  </si>
  <si>
    <t xml:space="preserve">148 W 23rd St Fl 8 </t>
  </si>
  <si>
    <t xml:space="preserve">PO Box 75 </t>
  </si>
  <si>
    <t xml:space="preserve">2920 Union St Apt 105 </t>
  </si>
  <si>
    <t>Kerins</t>
  </si>
  <si>
    <t xml:space="preserve">8518 61st Rd </t>
  </si>
  <si>
    <t>Sandler</t>
  </si>
  <si>
    <t xml:space="preserve">25029 S Beeson Rd </t>
  </si>
  <si>
    <t>Labrenz</t>
  </si>
  <si>
    <t xml:space="preserve">4626 Knight Rd </t>
  </si>
  <si>
    <t>Orona</t>
  </si>
  <si>
    <t xml:space="preserve">609 Maryland St </t>
  </si>
  <si>
    <t xml:space="preserve">3254 Leeland Dr </t>
  </si>
  <si>
    <t>Arkel</t>
  </si>
  <si>
    <t>Merrigan</t>
  </si>
  <si>
    <t xml:space="preserve">3250 Aspen Wood Ln </t>
  </si>
  <si>
    <t>Rev. Jim</t>
  </si>
  <si>
    <t xml:space="preserve">17 Jonet Ln </t>
  </si>
  <si>
    <t>Bearsville</t>
  </si>
  <si>
    <t xml:space="preserve">801 11th Ave </t>
  </si>
  <si>
    <t>Paterson</t>
  </si>
  <si>
    <t>Bross</t>
  </si>
  <si>
    <t>Ct</t>
  </si>
  <si>
    <t xml:space="preserve">Kathrynnull Hotmailcom </t>
  </si>
  <si>
    <t xml:space="preserve">2896 Taylor St </t>
  </si>
  <si>
    <t>Ciapponi</t>
  </si>
  <si>
    <t xml:space="preserve">1125 Dillon Dr </t>
  </si>
  <si>
    <t>Merril</t>
  </si>
  <si>
    <t xml:space="preserve">232 Lobelia Dr </t>
  </si>
  <si>
    <t>Souza</t>
  </si>
  <si>
    <t xml:space="preserve">0 0 </t>
  </si>
  <si>
    <t>Dortch</t>
  </si>
  <si>
    <t xml:space="preserve">2507 Calvert Ave </t>
  </si>
  <si>
    <t xml:space="preserve">9074 Hadley Ct </t>
  </si>
  <si>
    <t>Hilgeman</t>
  </si>
  <si>
    <t xml:space="preserve">151 Luna Cir </t>
  </si>
  <si>
    <t>Royse City</t>
  </si>
  <si>
    <t xml:space="preserve">4120 N 22nd St </t>
  </si>
  <si>
    <t xml:space="preserve">3329 Myrtle St </t>
  </si>
  <si>
    <t>Hapeville</t>
  </si>
  <si>
    <t>Verdier</t>
  </si>
  <si>
    <t>Bryce</t>
  </si>
  <si>
    <t xml:space="preserve">1609 S Columbine St </t>
  </si>
  <si>
    <t xml:space="preserve">178 Cleveland Ave </t>
  </si>
  <si>
    <t>Ticotsky</t>
  </si>
  <si>
    <t xml:space="preserve">11 Mason St </t>
  </si>
  <si>
    <t>Pincus</t>
  </si>
  <si>
    <t xml:space="preserve">7045 N Belmont Ln </t>
  </si>
  <si>
    <t>Fox Point</t>
  </si>
  <si>
    <t>Paprocki</t>
  </si>
  <si>
    <t xml:space="preserve">1629 Skyline Rd IN </t>
  </si>
  <si>
    <t>Nieberding</t>
  </si>
  <si>
    <t xml:space="preserve">167 Vernon St # 94 </t>
  </si>
  <si>
    <t>Malerman</t>
  </si>
  <si>
    <t xml:space="preserve">PINE TREE Rd </t>
  </si>
  <si>
    <t>Jenkintown</t>
  </si>
  <si>
    <t>McHaffie-Hansen</t>
  </si>
  <si>
    <t xml:space="preserve">6080 Zephyr Ln </t>
  </si>
  <si>
    <t xml:space="preserve">22195 Montrose Ave </t>
  </si>
  <si>
    <t>Pt Charlotte</t>
  </si>
  <si>
    <t>Deangelis</t>
  </si>
  <si>
    <t>Depalma</t>
  </si>
  <si>
    <t xml:space="preserve">52 Fawn Lane Kennett Sq </t>
  </si>
  <si>
    <t>Dannis</t>
  </si>
  <si>
    <t xml:space="preserve">35 Panda Pl </t>
  </si>
  <si>
    <t xml:space="preserve">57 MARIAN Ter </t>
  </si>
  <si>
    <t xml:space="preserve">124 Beth Dr </t>
  </si>
  <si>
    <t>Preer</t>
  </si>
  <si>
    <t xml:space="preserve">71 Paul Gore St </t>
  </si>
  <si>
    <t>Eames</t>
  </si>
  <si>
    <t xml:space="preserve">PO Box 1192 </t>
  </si>
  <si>
    <t>Joseph S.</t>
  </si>
  <si>
    <t xml:space="preserve">1078 Chesterfield Ct </t>
  </si>
  <si>
    <t xml:space="preserve">NE OLNEY Ave </t>
  </si>
  <si>
    <t>Polissky</t>
  </si>
  <si>
    <t xml:space="preserve">1660 E Thacker St Apt 1B </t>
  </si>
  <si>
    <t xml:space="preserve">104 S 107th St </t>
  </si>
  <si>
    <t xml:space="preserve">1730 Kearny St </t>
  </si>
  <si>
    <t xml:space="preserve">W233S5269 Cottontail Trl </t>
  </si>
  <si>
    <t xml:space="preserve">804SE16CT </t>
  </si>
  <si>
    <t>Munno</t>
  </si>
  <si>
    <t xml:space="preserve">254 Lakemere Dr </t>
  </si>
  <si>
    <t>06488-2581</t>
  </si>
  <si>
    <t xml:space="preserve">5420 N Ocean Dr </t>
  </si>
  <si>
    <t>Riviera Beach</t>
  </si>
  <si>
    <t>33404-2543</t>
  </si>
  <si>
    <t xml:space="preserve">67 Frances St </t>
  </si>
  <si>
    <t>28806-4410</t>
  </si>
  <si>
    <t xml:space="preserve">15730 116th Ave NE Unit 205 </t>
  </si>
  <si>
    <t>98011-4184</t>
  </si>
  <si>
    <t>Astemborski</t>
  </si>
  <si>
    <t xml:space="preserve">530 Lacosta Cir Apt T3 </t>
  </si>
  <si>
    <t>21158-9508</t>
  </si>
  <si>
    <t>Mulhern</t>
  </si>
  <si>
    <t xml:space="preserve">5900 Stoneybrook Dr </t>
  </si>
  <si>
    <t>55345-6435</t>
  </si>
  <si>
    <t xml:space="preserve">5933 E Main St Lot 140 </t>
  </si>
  <si>
    <t>85205-8838</t>
  </si>
  <si>
    <t>Kaplowitz</t>
  </si>
  <si>
    <t xml:space="preserve">6816 Imperial Ridge Dr </t>
  </si>
  <si>
    <t>79912-7402</t>
  </si>
  <si>
    <t>Sherba</t>
  </si>
  <si>
    <t>Dayle</t>
  </si>
  <si>
    <t xml:space="preserve">7261 Old Hillside Way </t>
  </si>
  <si>
    <t>99516-3772</t>
  </si>
  <si>
    <t>McLaurin</t>
  </si>
  <si>
    <t xml:space="preserve">179 Niblick Rd # 322 </t>
  </si>
  <si>
    <t>93446-4845</t>
  </si>
  <si>
    <t>Noll</t>
  </si>
  <si>
    <t xml:space="preserve">391 San Mateo Dr </t>
  </si>
  <si>
    <t>Nebolsine</t>
  </si>
  <si>
    <t xml:space="preserve">8374 Ibis Cove Cir </t>
  </si>
  <si>
    <t>34119-7732</t>
  </si>
  <si>
    <t>Kutnick</t>
  </si>
  <si>
    <t xml:space="preserve">427 Dunbar Ln </t>
  </si>
  <si>
    <t>44143-3670</t>
  </si>
  <si>
    <t>Pautz</t>
  </si>
  <si>
    <t xml:space="preserve">28214 Odie Scott Dr </t>
  </si>
  <si>
    <t>35739-8575</t>
  </si>
  <si>
    <t>McKeown Gallicho</t>
  </si>
  <si>
    <t xml:space="preserve">5476 Roundtree Pl </t>
  </si>
  <si>
    <t>94521-3973</t>
  </si>
  <si>
    <t>Michel</t>
  </si>
  <si>
    <t>Tonya</t>
  </si>
  <si>
    <t xml:space="preserve">671 Elk Cir </t>
  </si>
  <si>
    <t>80435-7816</t>
  </si>
  <si>
    <t>Mendelsohn</t>
  </si>
  <si>
    <t xml:space="preserve">15 Fort Washington Ave Apt 5E </t>
  </si>
  <si>
    <t>10032-0491</t>
  </si>
  <si>
    <t xml:space="preserve">114 N Summit St </t>
  </si>
  <si>
    <t>72205-4450</t>
  </si>
  <si>
    <t>Burback</t>
  </si>
  <si>
    <t xml:space="preserve">3976 23rd St # A </t>
  </si>
  <si>
    <t>94114-3367</t>
  </si>
  <si>
    <t xml:space="preserve">5691 State Route 281 </t>
  </si>
  <si>
    <t>13077-9711</t>
  </si>
  <si>
    <t xml:space="preserve">88 Fire Tower Rd </t>
  </si>
  <si>
    <t>42501-6507</t>
  </si>
  <si>
    <t xml:space="preserve">7257 Tracyton Blvd NW </t>
  </si>
  <si>
    <t>98311-9471</t>
  </si>
  <si>
    <t xml:space="preserve">21203 N Little Spokane Dr </t>
  </si>
  <si>
    <t>Colbert</t>
  </si>
  <si>
    <t>99005-9478</t>
  </si>
  <si>
    <t xml:space="preserve">847 W 10th St </t>
  </si>
  <si>
    <t>85201-3944</t>
  </si>
  <si>
    <t>Stimmer</t>
  </si>
  <si>
    <t xml:space="preserve">26561 W Vista North Dr </t>
  </si>
  <si>
    <t>85396-7977</t>
  </si>
  <si>
    <t xml:space="preserve">PO Box 15158 </t>
  </si>
  <si>
    <t>96830-5158</t>
  </si>
  <si>
    <t xml:space="preserve">3755 Smuggler Pl </t>
  </si>
  <si>
    <t>80305-7247</t>
  </si>
  <si>
    <t>Petta</t>
  </si>
  <si>
    <t xml:space="preserve">308 Oak Track Crse </t>
  </si>
  <si>
    <t>34472-9310</t>
  </si>
  <si>
    <t xml:space="preserve">1070 Edgewater Ave </t>
  </si>
  <si>
    <t>55126-8120</t>
  </si>
  <si>
    <t xml:space="preserve">Kevin L Myers </t>
  </si>
  <si>
    <t>Voehringer</t>
  </si>
  <si>
    <t xml:space="preserve">147 Gatewood Trl </t>
  </si>
  <si>
    <t>38556-7420</t>
  </si>
  <si>
    <t xml:space="preserve">1718 N Burkwood Ct Apt C </t>
  </si>
  <si>
    <t>Harrisonburg</t>
  </si>
  <si>
    <t>22802-6139</t>
  </si>
  <si>
    <t xml:space="preserve">28826 Kramer Dr </t>
  </si>
  <si>
    <t xml:space="preserve">3150 Woodview Ridge Dr Apt 306 </t>
  </si>
  <si>
    <t>Lucymarie</t>
  </si>
  <si>
    <t xml:space="preserve">3761 Park Boulevard Way Apt 301 </t>
  </si>
  <si>
    <t>Glogovac</t>
  </si>
  <si>
    <t xml:space="preserve">5474 Hopkins Ct </t>
  </si>
  <si>
    <t xml:space="preserve">338 15th St </t>
  </si>
  <si>
    <t xml:space="preserve">3541 Kettering Ct </t>
  </si>
  <si>
    <t>Lendl-Lander</t>
  </si>
  <si>
    <t xml:space="preserve">120 Carriage Dr </t>
  </si>
  <si>
    <t>Casella</t>
  </si>
  <si>
    <t xml:space="preserve">229 Chrystie St Apt 619 </t>
  </si>
  <si>
    <t xml:space="preserve">126 Rossiter Ave 2 </t>
  </si>
  <si>
    <t>Flasch</t>
  </si>
  <si>
    <t xml:space="preserve">1291 Dartmoor Ave </t>
  </si>
  <si>
    <t>Deltona</t>
  </si>
  <si>
    <t xml:space="preserve">2764 Pleasant Rd Ste PM </t>
  </si>
  <si>
    <t xml:space="preserve">3007 Westfield Ave Apt 2 </t>
  </si>
  <si>
    <t>Barbosa</t>
  </si>
  <si>
    <t xml:space="preserve">500 N Dove Rd </t>
  </si>
  <si>
    <t>Brunner</t>
  </si>
  <si>
    <t xml:space="preserve">SPRING LEAF </t>
  </si>
  <si>
    <t>Flood</t>
  </si>
  <si>
    <t xml:space="preserve">COMPO Rd </t>
  </si>
  <si>
    <t xml:space="preserve">11300 Fieldstone Ln NE </t>
  </si>
  <si>
    <t>Pexa</t>
  </si>
  <si>
    <t xml:space="preserve">1491 Huntington Ln </t>
  </si>
  <si>
    <t xml:space="preserve">2075 Sussex Ln </t>
  </si>
  <si>
    <t xml:space="preserve">847 Freeman Ave </t>
  </si>
  <si>
    <t xml:space="preserve">POOLES Ln </t>
  </si>
  <si>
    <t>Croxton</t>
  </si>
  <si>
    <t xml:space="preserve">814 Commonwealth Ave </t>
  </si>
  <si>
    <t>Eaby</t>
  </si>
  <si>
    <t xml:space="preserve">733 Spring Garden St </t>
  </si>
  <si>
    <t xml:space="preserve">5615 E Mineral-Koleen Rd # A </t>
  </si>
  <si>
    <t xml:space="preserve">761 Red Mt Rd </t>
  </si>
  <si>
    <t>Rn</t>
  </si>
  <si>
    <t xml:space="preserve">15850 Nthompson Peak Pkwy Apt 2008S </t>
  </si>
  <si>
    <t>Evanoff</t>
  </si>
  <si>
    <t>Ren</t>
  </si>
  <si>
    <t xml:space="preserve">16 Cedar Ln </t>
  </si>
  <si>
    <t xml:space="preserve">1867 Brookwood Dr </t>
  </si>
  <si>
    <t>D'Esposito</t>
  </si>
  <si>
    <t xml:space="preserve">4352 Pierce Rd </t>
  </si>
  <si>
    <t xml:space="preserve">18139 Modoc Ln </t>
  </si>
  <si>
    <t>Sunriver</t>
  </si>
  <si>
    <t>Bubb</t>
  </si>
  <si>
    <t xml:space="preserve">213 Misty Garden St </t>
  </si>
  <si>
    <t>Coletta</t>
  </si>
  <si>
    <t xml:space="preserve">10001 W Caron Dr </t>
  </si>
  <si>
    <t xml:space="preserve">105 Toivo Cir </t>
  </si>
  <si>
    <t>Tountas</t>
  </si>
  <si>
    <t xml:space="preserve">20400 30th Ave NE # 20464 </t>
  </si>
  <si>
    <t xml:space="preserve">1120 5th Ave </t>
  </si>
  <si>
    <t>Rosanna</t>
  </si>
  <si>
    <t xml:space="preserve">6050 Monterey Ave Apt STEETC </t>
  </si>
  <si>
    <t xml:space="preserve">1015 W Sam Houston Blvd </t>
  </si>
  <si>
    <t>Pharr</t>
  </si>
  <si>
    <t xml:space="preserve">11354 W Benito Dr </t>
  </si>
  <si>
    <t xml:space="preserve">51 E Elmwood </t>
  </si>
  <si>
    <t>Florez</t>
  </si>
  <si>
    <t xml:space="preserve">39650 US Highway 19 N Apt 252 </t>
  </si>
  <si>
    <t>Coco</t>
  </si>
  <si>
    <t xml:space="preserve">542 Sauders Rd SE </t>
  </si>
  <si>
    <t>32909-6644</t>
  </si>
  <si>
    <t>Dziak</t>
  </si>
  <si>
    <t xml:space="preserve">110 E Foster Ave Apt 314 </t>
  </si>
  <si>
    <t>Laatsch</t>
  </si>
  <si>
    <t xml:space="preserve">101 Palm Harbor Pkwy # A02 </t>
  </si>
  <si>
    <t>Velds</t>
  </si>
  <si>
    <t>T.G.</t>
  </si>
  <si>
    <t xml:space="preserve">5723 Rustic Knolls Dr </t>
  </si>
  <si>
    <t>Lenard</t>
  </si>
  <si>
    <t xml:space="preserve">333 GREEN St </t>
  </si>
  <si>
    <t>Nancy Jo</t>
  </si>
  <si>
    <t xml:space="preserve">1585 Old 41 Hwy NW </t>
  </si>
  <si>
    <t>Langham</t>
  </si>
  <si>
    <t xml:space="preserve">9619 Mira Del Rio Dr </t>
  </si>
  <si>
    <t>Gotaskie</t>
  </si>
  <si>
    <t xml:space="preserve">5 JACKSON </t>
  </si>
  <si>
    <t>Callensburg</t>
  </si>
  <si>
    <t xml:space="preserve">61 Blueberry Hill Ln </t>
  </si>
  <si>
    <t>Amato</t>
  </si>
  <si>
    <t>Sarina</t>
  </si>
  <si>
    <t xml:space="preserve">PO Box 73 </t>
  </si>
  <si>
    <t>Shimazaki</t>
  </si>
  <si>
    <t xml:space="preserve">1767 Revere Avenue 1776 Revere Ave 1776 Rever Ave </t>
  </si>
  <si>
    <t>Dehaan</t>
  </si>
  <si>
    <t xml:space="preserve">287 Chase Rd </t>
  </si>
  <si>
    <t>Burko</t>
  </si>
  <si>
    <t>Shayna</t>
  </si>
  <si>
    <t xml:space="preserve">7712 Maelyn Ct </t>
  </si>
  <si>
    <t>Cage</t>
  </si>
  <si>
    <t xml:space="preserve">300 Menaul Blvd NW Ste A </t>
  </si>
  <si>
    <t>Houison</t>
  </si>
  <si>
    <t xml:space="preserve">799 Brightwater Cir </t>
  </si>
  <si>
    <t xml:space="preserve">2625 Fogarty Ave </t>
  </si>
  <si>
    <t>Key West</t>
  </si>
  <si>
    <t xml:space="preserve">35 Arlene Ct </t>
  </si>
  <si>
    <t xml:space="preserve">5002 Arden Ave </t>
  </si>
  <si>
    <t xml:space="preserve">2224 Oldridge Dr </t>
  </si>
  <si>
    <t>Disch</t>
  </si>
  <si>
    <t xml:space="preserve">142 S Hoernerstown Rd </t>
  </si>
  <si>
    <t>Hummelstown</t>
  </si>
  <si>
    <t>Supino</t>
  </si>
  <si>
    <t xml:space="preserve">1 Cooks Farm Ln </t>
  </si>
  <si>
    <t>Lynnfield</t>
  </si>
  <si>
    <t xml:space="preserve">2609 Richelieu Ave SW </t>
  </si>
  <si>
    <t xml:space="preserve">562 Howard St </t>
  </si>
  <si>
    <t>Elsbrock</t>
  </si>
  <si>
    <t xml:space="preserve">6523 Kenview Dr </t>
  </si>
  <si>
    <t>Scavezze</t>
  </si>
  <si>
    <t xml:space="preserve">3008 Amhurst Ct SE </t>
  </si>
  <si>
    <t>Rhodey</t>
  </si>
  <si>
    <t xml:space="preserve">3720 Park Ave N </t>
  </si>
  <si>
    <t>Greidinger</t>
  </si>
  <si>
    <t xml:space="preserve">6115 97th St Apt 3A </t>
  </si>
  <si>
    <t>Pelikan</t>
  </si>
  <si>
    <t xml:space="preserve">245 8th Ave </t>
  </si>
  <si>
    <t xml:space="preserve">14230 NC Highway 801 </t>
  </si>
  <si>
    <t>Mount Ulla</t>
  </si>
  <si>
    <t>Wentritt</t>
  </si>
  <si>
    <t>Hans-J</t>
  </si>
  <si>
    <t xml:space="preserve">33 LANGFELDSTR </t>
  </si>
  <si>
    <t>Erlangen</t>
  </si>
  <si>
    <t>Sandwell</t>
  </si>
  <si>
    <t xml:space="preserve">1910 4th Ave E # 159 </t>
  </si>
  <si>
    <t>Ferber</t>
  </si>
  <si>
    <t xml:space="preserve">704 Birch St </t>
  </si>
  <si>
    <t xml:space="preserve">1225 Glen Ave </t>
  </si>
  <si>
    <t xml:space="preserve">907 NW 58th St </t>
  </si>
  <si>
    <t>Kloepper</t>
  </si>
  <si>
    <t>Mwln. Ben</t>
  </si>
  <si>
    <t xml:space="preserve">729 Ruprecht Ave </t>
  </si>
  <si>
    <t xml:space="preserve">521 Longfellow Ave </t>
  </si>
  <si>
    <t xml:space="preserve">Sa Forana </t>
  </si>
  <si>
    <t>Asbury Park</t>
  </si>
  <si>
    <t xml:space="preserve">8071 Rutland Village Dr </t>
  </si>
  <si>
    <t>Breed</t>
  </si>
  <si>
    <t xml:space="preserve">2148 Blue Heron Ct </t>
  </si>
  <si>
    <t>Yoxall</t>
  </si>
  <si>
    <t xml:space="preserve">12423 Honeylocust Ln </t>
  </si>
  <si>
    <t>Khan</t>
  </si>
  <si>
    <t xml:space="preserve">2001 Holcombe Blvd Unit 2106 </t>
  </si>
  <si>
    <t>Associate</t>
  </si>
  <si>
    <t>Debra Kukulski</t>
  </si>
  <si>
    <t xml:space="preserve">Re Max Unlimited NW </t>
  </si>
  <si>
    <t>Fincutter</t>
  </si>
  <si>
    <t>Wilma</t>
  </si>
  <si>
    <t xml:space="preserve">40 Sylvester Hamilton Rd </t>
  </si>
  <si>
    <t>Phyliky Rimes</t>
  </si>
  <si>
    <t xml:space="preserve">3560 Siskiyou Blvd </t>
  </si>
  <si>
    <t>Boyland</t>
  </si>
  <si>
    <t xml:space="preserve">26651 Academy Dr </t>
  </si>
  <si>
    <t>Palos Verdes Peninsula</t>
  </si>
  <si>
    <t xml:space="preserve">5302 Odana Rd Unit 301 </t>
  </si>
  <si>
    <t>Jokelson</t>
  </si>
  <si>
    <t xml:space="preserve">211 Hanover Ave Apt 2 </t>
  </si>
  <si>
    <t>Webber-Gazarian</t>
  </si>
  <si>
    <t xml:space="preserve">4 Via Montanero </t>
  </si>
  <si>
    <t xml:space="preserve">4455 Douglas Ave </t>
  </si>
  <si>
    <t xml:space="preserve">650 W Napier Ave </t>
  </si>
  <si>
    <t>Sharren</t>
  </si>
  <si>
    <t xml:space="preserve">15423 NE 14th St </t>
  </si>
  <si>
    <t xml:space="preserve">1481 Riverside Dr </t>
  </si>
  <si>
    <t xml:space="preserve">19912 17th Ave </t>
  </si>
  <si>
    <t xml:space="preserve">173 W Main St </t>
  </si>
  <si>
    <t>Doane</t>
  </si>
  <si>
    <t xml:space="preserve">1306 Amesti Rd </t>
  </si>
  <si>
    <t>Cortina</t>
  </si>
  <si>
    <t xml:space="preserve">96 Malaga Ct </t>
  </si>
  <si>
    <t>Grosh</t>
  </si>
  <si>
    <t xml:space="preserve">1750 W Main St Apt 112 </t>
  </si>
  <si>
    <t>El Centro</t>
  </si>
  <si>
    <t xml:space="preserve">2391 Ponderosa Rd </t>
  </si>
  <si>
    <t>Rescue</t>
  </si>
  <si>
    <t>Al-Doory</t>
  </si>
  <si>
    <t>Krystock</t>
  </si>
  <si>
    <t xml:space="preserve">51 Beech Glen St # 1 </t>
  </si>
  <si>
    <t>Palmore</t>
  </si>
  <si>
    <t>Brittni</t>
  </si>
  <si>
    <t xml:space="preserve">1130 Overlook Dr </t>
  </si>
  <si>
    <t>Trussville</t>
  </si>
  <si>
    <t>Karisha</t>
  </si>
  <si>
    <t xml:space="preserve">3231 S Bradshire Ct </t>
  </si>
  <si>
    <t xml:space="preserve">9714 Topaz St </t>
  </si>
  <si>
    <t>Ah-Li</t>
  </si>
  <si>
    <t xml:space="preserve">4314 Mcleod St NE </t>
  </si>
  <si>
    <t>Demuro</t>
  </si>
  <si>
    <t xml:space="preserve">1311 N 4th St </t>
  </si>
  <si>
    <t xml:space="preserve">5017 Cedar Acres Ln </t>
  </si>
  <si>
    <t>Keraval</t>
  </si>
  <si>
    <t xml:space="preserve">14109 NW 143rd Pl </t>
  </si>
  <si>
    <t>Alachua</t>
  </si>
  <si>
    <t>Janusas</t>
  </si>
  <si>
    <t xml:space="preserve">255 W 43rd St </t>
  </si>
  <si>
    <t xml:space="preserve">8619 Amador Ave </t>
  </si>
  <si>
    <t xml:space="preserve">14510 S Mullen St </t>
  </si>
  <si>
    <t xml:space="preserve">1302 Katy Ct </t>
  </si>
  <si>
    <t>Stavros</t>
  </si>
  <si>
    <t xml:space="preserve">2615 12th St S </t>
  </si>
  <si>
    <t>Persons</t>
  </si>
  <si>
    <t xml:space="preserve">6662 W Hunter Mesa Dr </t>
  </si>
  <si>
    <t>West Valley City</t>
  </si>
  <si>
    <t>Curnutte</t>
  </si>
  <si>
    <t>Kattie</t>
  </si>
  <si>
    <t xml:space="preserve">3607 O And B Dr SW </t>
  </si>
  <si>
    <t xml:space="preserve">PO Box 1152 </t>
  </si>
  <si>
    <t>Heber Springs</t>
  </si>
  <si>
    <t xml:space="preserve">2481 Freshwater Rd # A </t>
  </si>
  <si>
    <t>Caplan</t>
  </si>
  <si>
    <t xml:space="preserve">155 Chestnut Plain Rd </t>
  </si>
  <si>
    <t>Whately</t>
  </si>
  <si>
    <t xml:space="preserve">159 Rock Hill Dr </t>
  </si>
  <si>
    <t xml:space="preserve">PO Box 797 </t>
  </si>
  <si>
    <t>Lake Isabella</t>
  </si>
  <si>
    <t xml:space="preserve">7730 Corcoran Trl W </t>
  </si>
  <si>
    <t>Mayo</t>
  </si>
  <si>
    <t xml:space="preserve">4200 Summit Dr </t>
  </si>
  <si>
    <t xml:space="preserve">PO Box 152908 </t>
  </si>
  <si>
    <t xml:space="preserve">13 Stevens Rd </t>
  </si>
  <si>
    <t xml:space="preserve">8615 43rd St W </t>
  </si>
  <si>
    <t>University Place</t>
  </si>
  <si>
    <t>Lum</t>
  </si>
  <si>
    <t>Marg</t>
  </si>
  <si>
    <t xml:space="preserve">685 N 6th St </t>
  </si>
  <si>
    <t xml:space="preserve">12101 E 58th Ter </t>
  </si>
  <si>
    <t xml:space="preserve">485 SW Bayshore Dr Apt C302 </t>
  </si>
  <si>
    <t>Medicine Eagle</t>
  </si>
  <si>
    <t>Pryor</t>
  </si>
  <si>
    <t xml:space="preserve">PO Box E OX407 </t>
  </si>
  <si>
    <t>Kyburz</t>
  </si>
  <si>
    <t>Fericano</t>
  </si>
  <si>
    <t xml:space="preserve">40 Allen Ln </t>
  </si>
  <si>
    <t xml:space="preserve">10330 68th Ave </t>
  </si>
  <si>
    <t xml:space="preserve">1265 Hales Bar Rd </t>
  </si>
  <si>
    <t>Guild</t>
  </si>
  <si>
    <t>Sydor</t>
  </si>
  <si>
    <t>Oleh</t>
  </si>
  <si>
    <t xml:space="preserve">3 S306 Juniper Ln </t>
  </si>
  <si>
    <t>Di Flaviano</t>
  </si>
  <si>
    <t xml:space="preserve">575 E El Paso Ave Apt 203 </t>
  </si>
  <si>
    <t>Newstat</t>
  </si>
  <si>
    <t xml:space="preserve">475 Quietwood Dr </t>
  </si>
  <si>
    <t>Lashinski</t>
  </si>
  <si>
    <t xml:space="preserve">2510 41st Ave S Apt 109 </t>
  </si>
  <si>
    <t xml:space="preserve">4025 Seneca Ave </t>
  </si>
  <si>
    <t xml:space="preserve">2925 W Bradley Rd </t>
  </si>
  <si>
    <t>River Hills</t>
  </si>
  <si>
    <t xml:space="preserve">2513 Don Pedro Rd Spc 3 </t>
  </si>
  <si>
    <t>Ceres</t>
  </si>
  <si>
    <t xml:space="preserve">475 Fdr Dr </t>
  </si>
  <si>
    <t xml:space="preserve">363 E 76th St </t>
  </si>
  <si>
    <t>Honigsblum</t>
  </si>
  <si>
    <t>Alex Honigsblum</t>
  </si>
  <si>
    <t xml:space="preserve">3030 Saint Anne Dr </t>
  </si>
  <si>
    <t xml:space="preserve">90 Richmond Hill Rd </t>
  </si>
  <si>
    <t>Damien</t>
  </si>
  <si>
    <t>Wiegand</t>
  </si>
  <si>
    <t xml:space="preserve">21 Dorsett Pl </t>
  </si>
  <si>
    <t xml:space="preserve">4430 Emma Cannon Rd </t>
  </si>
  <si>
    <t>Ayden</t>
  </si>
  <si>
    <t>Campellone</t>
  </si>
  <si>
    <t xml:space="preserve">6240 Royal Tern St </t>
  </si>
  <si>
    <t xml:space="preserve">120 Long Acre Ct </t>
  </si>
  <si>
    <t xml:space="preserve">3171 Carambola Cir S </t>
  </si>
  <si>
    <t>Coconut Creek</t>
  </si>
  <si>
    <t>McKalip</t>
  </si>
  <si>
    <t xml:space="preserve">110 Mockorange Ln </t>
  </si>
  <si>
    <t>Winegar</t>
  </si>
  <si>
    <t>Debi</t>
  </si>
  <si>
    <t xml:space="preserve">71 Millsfield Ln </t>
  </si>
  <si>
    <t>Ctr Barnstead</t>
  </si>
  <si>
    <t xml:space="preserve">1549 W Meeting House Ln </t>
  </si>
  <si>
    <t xml:space="preserve">10647 Ashby Ave </t>
  </si>
  <si>
    <t>Kasten</t>
  </si>
  <si>
    <t xml:space="preserve">7512 Timbercrest Dr </t>
  </si>
  <si>
    <t>Knott</t>
  </si>
  <si>
    <t xml:space="preserve">395 Bun Hicks Rd </t>
  </si>
  <si>
    <t>Frichette</t>
  </si>
  <si>
    <t xml:space="preserve">223 Daisy Ln </t>
  </si>
  <si>
    <t xml:space="preserve">12208 Riverview Rd </t>
  </si>
  <si>
    <t>Sylvester</t>
  </si>
  <si>
    <t xml:space="preserve">104 Newcastle Ln </t>
  </si>
  <si>
    <t>Heathfield</t>
  </si>
  <si>
    <t xml:space="preserve">E7828 W State Highway M28 </t>
  </si>
  <si>
    <t>Munising</t>
  </si>
  <si>
    <t>Kalyn</t>
  </si>
  <si>
    <t xml:space="preserve">1125 County Road 101 N </t>
  </si>
  <si>
    <t xml:space="preserve">532 Charles St </t>
  </si>
  <si>
    <t>Thornham</t>
  </si>
  <si>
    <t xml:space="preserve">9702 E 29th Ave Denver </t>
  </si>
  <si>
    <t xml:space="preserve">2163 Hardwood Loop </t>
  </si>
  <si>
    <t>Hartsel</t>
  </si>
  <si>
    <t>Dewitt Johnson</t>
  </si>
  <si>
    <t>Alana</t>
  </si>
  <si>
    <t xml:space="preserve">1382 Wendell Ave </t>
  </si>
  <si>
    <t>Karls</t>
  </si>
  <si>
    <t xml:space="preserve">37 LAGGARUDDSVAGEN </t>
  </si>
  <si>
    <t>Ludvika</t>
  </si>
  <si>
    <t>Migliavacca</t>
  </si>
  <si>
    <t xml:space="preserve">3792 Fairway Park Dr </t>
  </si>
  <si>
    <t>Vanham</t>
  </si>
  <si>
    <t xml:space="preserve">1440 Autumnwood Dr </t>
  </si>
  <si>
    <t>Kornbau</t>
  </si>
  <si>
    <t>Mary Anne</t>
  </si>
  <si>
    <t xml:space="preserve">1521 28th St S </t>
  </si>
  <si>
    <t>Bushaw</t>
  </si>
  <si>
    <t xml:space="preserve">420 La Crescenta Dr Unit 424 </t>
  </si>
  <si>
    <t>De Vries</t>
  </si>
  <si>
    <t>Anneke De Vries</t>
  </si>
  <si>
    <t xml:space="preserve">Oude Weg </t>
  </si>
  <si>
    <t>Brooklandville</t>
  </si>
  <si>
    <t>Pfeiffer</t>
  </si>
  <si>
    <t xml:space="preserve">1701 A Charleston Ind Pkwy 29492 </t>
  </si>
  <si>
    <t xml:space="preserve">2401 MIDDLEBELT Rd # 2401 </t>
  </si>
  <si>
    <t xml:space="preserve">20127 Fremont Ave N </t>
  </si>
  <si>
    <t xml:space="preserve">2337 NW 37th Pl </t>
  </si>
  <si>
    <t xml:space="preserve">1234 Anywhere St </t>
  </si>
  <si>
    <t xml:space="preserve">1129 W Fallview Dr </t>
  </si>
  <si>
    <t>Fawn Marie</t>
  </si>
  <si>
    <t xml:space="preserve">1801 Crawford Way </t>
  </si>
  <si>
    <t>McGroarty</t>
  </si>
  <si>
    <t xml:space="preserve">3775 S Grant St </t>
  </si>
  <si>
    <t xml:space="preserve">FAIRWAY Ln </t>
  </si>
  <si>
    <t xml:space="preserve">131 Allen St Fl 4 </t>
  </si>
  <si>
    <t xml:space="preserve">715 W Broadway Ave </t>
  </si>
  <si>
    <t>Dejoe</t>
  </si>
  <si>
    <t xml:space="preserve">5812 Hunt St NW </t>
  </si>
  <si>
    <t>Dauner</t>
  </si>
  <si>
    <t>Kellee</t>
  </si>
  <si>
    <t xml:space="preserve">12732 NE 140th St </t>
  </si>
  <si>
    <t xml:space="preserve">5 KELLER Dr </t>
  </si>
  <si>
    <t xml:space="preserve">801 Exley Ln Ste OPTIONAL </t>
  </si>
  <si>
    <t>Wooton</t>
  </si>
  <si>
    <t xml:space="preserve">8717 Amaretto Ave </t>
  </si>
  <si>
    <t xml:space="preserve">7926 New World </t>
  </si>
  <si>
    <t>Buchholz</t>
  </si>
  <si>
    <t xml:space="preserve">1205 Chester Blvd </t>
  </si>
  <si>
    <t xml:space="preserve">1073 Gage St Apt 204 </t>
  </si>
  <si>
    <t>Urban</t>
  </si>
  <si>
    <t xml:space="preserve">2 S165 Huntington Ct </t>
  </si>
  <si>
    <t>Steichen</t>
  </si>
  <si>
    <t xml:space="preserve">525 Fairview Ave S Apt 337 </t>
  </si>
  <si>
    <t>Bauerschmidt</t>
  </si>
  <si>
    <t xml:space="preserve">1320 Woodlake Ct </t>
  </si>
  <si>
    <t xml:space="preserve">1111 NW 53rd Dr </t>
  </si>
  <si>
    <t xml:space="preserve">1955 3rd St Apt 304 </t>
  </si>
  <si>
    <t xml:space="preserve">1009 Egan Hills Dr </t>
  </si>
  <si>
    <t>Dolivo</t>
  </si>
  <si>
    <t xml:space="preserve">244 Meadow Ridge Rd </t>
  </si>
  <si>
    <t>Manchester Center</t>
  </si>
  <si>
    <t>Sister Honora</t>
  </si>
  <si>
    <t xml:space="preserve">128 W Lawrence St </t>
  </si>
  <si>
    <t>Tioran</t>
  </si>
  <si>
    <t xml:space="preserve">4001 Green Lake Rd </t>
  </si>
  <si>
    <t>Haddad</t>
  </si>
  <si>
    <t xml:space="preserve">1215 S Maple Rd Apt 103 </t>
  </si>
  <si>
    <t xml:space="preserve">401 SE 148th Ave </t>
  </si>
  <si>
    <t>Boyajian</t>
  </si>
  <si>
    <t xml:space="preserve">1518 W Earll Dr </t>
  </si>
  <si>
    <t>Guan</t>
  </si>
  <si>
    <t>Lanie</t>
  </si>
  <si>
    <t xml:space="preserve">13625 S Sherman Rd # 2 </t>
  </si>
  <si>
    <t xml:space="preserve">3025 Browns Valley Rd </t>
  </si>
  <si>
    <t xml:space="preserve">Apt A </t>
  </si>
  <si>
    <t xml:space="preserve">101 Hampstead Ct </t>
  </si>
  <si>
    <t xml:space="preserve">415 Mcclean Ave </t>
  </si>
  <si>
    <t xml:space="preserve">509 Windsong Ct </t>
  </si>
  <si>
    <t>Pellatt</t>
  </si>
  <si>
    <t xml:space="preserve">GUERINS Brg </t>
  </si>
  <si>
    <t>Awendaw</t>
  </si>
  <si>
    <t xml:space="preserve">1263 Stoney Hill Dr </t>
  </si>
  <si>
    <t xml:space="preserve">2424 Drusilla Ln Apt 54 </t>
  </si>
  <si>
    <t>Swartley</t>
  </si>
  <si>
    <t>Sharis</t>
  </si>
  <si>
    <t xml:space="preserve">26 Elizabeth St </t>
  </si>
  <si>
    <t>De Bourmont</t>
  </si>
  <si>
    <t xml:space="preserve">Enter Zip Code Or A City And State </t>
  </si>
  <si>
    <t>Montville</t>
  </si>
  <si>
    <t>Lovins</t>
  </si>
  <si>
    <t xml:space="preserve">4765 S Parkhill Ave </t>
  </si>
  <si>
    <t>Taylorroth</t>
  </si>
  <si>
    <t xml:space="preserve">1462 Dorwaldt Blvd </t>
  </si>
  <si>
    <t xml:space="preserve">12228 Greenwood Ave </t>
  </si>
  <si>
    <t>Blue Island</t>
  </si>
  <si>
    <t xml:space="preserve">4854 Park Ave </t>
  </si>
  <si>
    <t>Roch-Levecq</t>
  </si>
  <si>
    <t>Anne-Catherine</t>
  </si>
  <si>
    <t xml:space="preserve">317 Diamante Way </t>
  </si>
  <si>
    <t>Devita</t>
  </si>
  <si>
    <t xml:space="preserve">124 Emily Ln </t>
  </si>
  <si>
    <t xml:space="preserve">13344 Community Rd Apt 15 </t>
  </si>
  <si>
    <t>Brand</t>
  </si>
  <si>
    <t xml:space="preserve">1606 Hillside Rd </t>
  </si>
  <si>
    <t>Montague-Judd</t>
  </si>
  <si>
    <t>Coalville</t>
  </si>
  <si>
    <t>Beckley</t>
  </si>
  <si>
    <t xml:space="preserve">5734 Claremont Ave </t>
  </si>
  <si>
    <t>Searfus</t>
  </si>
  <si>
    <t xml:space="preserve">4180 Bristlecone Way </t>
  </si>
  <si>
    <t>Carney</t>
  </si>
  <si>
    <t xml:space="preserve">5236 Mohican Way </t>
  </si>
  <si>
    <t xml:space="preserve">23901 Civic Center Way Apt 366 </t>
  </si>
  <si>
    <t>Demers</t>
  </si>
  <si>
    <t xml:space="preserve">13650 Blue Sky Ranch Rd </t>
  </si>
  <si>
    <t>Scamacca</t>
  </si>
  <si>
    <t xml:space="preserve">68 Spokane Rd </t>
  </si>
  <si>
    <t xml:space="preserve">300 College Park </t>
  </si>
  <si>
    <t>Kai</t>
  </si>
  <si>
    <t xml:space="preserve">1519 Terra Nova Blvd </t>
  </si>
  <si>
    <t>Driessen</t>
  </si>
  <si>
    <t xml:space="preserve">312 E Calumet St </t>
  </si>
  <si>
    <t xml:space="preserve">30215 Macintosh Ln </t>
  </si>
  <si>
    <t>New Hudson</t>
  </si>
  <si>
    <t>Dushek</t>
  </si>
  <si>
    <t xml:space="preserve">548 S 8th Ave </t>
  </si>
  <si>
    <t>Hunkler</t>
  </si>
  <si>
    <t xml:space="preserve">1800 James St </t>
  </si>
  <si>
    <t xml:space="preserve">16150 Sand Canyon Ave </t>
  </si>
  <si>
    <t>Tokar</t>
  </si>
  <si>
    <t xml:space="preserve">8155 Mariner Trl </t>
  </si>
  <si>
    <t>Nystrom</t>
  </si>
  <si>
    <t>Barbra</t>
  </si>
  <si>
    <t xml:space="preserve">108 Canada Via </t>
  </si>
  <si>
    <t>Diablo</t>
  </si>
  <si>
    <t xml:space="preserve">3133 18th St </t>
  </si>
  <si>
    <t xml:space="preserve">226 Valley Brook Dr </t>
  </si>
  <si>
    <t>Geoghean</t>
  </si>
  <si>
    <t xml:space="preserve">14 Lowell Ct </t>
  </si>
  <si>
    <t>Goldens Bridge</t>
  </si>
  <si>
    <t xml:space="preserve">1774 Sunny Heights Dr </t>
  </si>
  <si>
    <t xml:space="preserve">50 Culpeper St Ste 2A </t>
  </si>
  <si>
    <t xml:space="preserve">1433 Utah St </t>
  </si>
  <si>
    <t>Gable</t>
  </si>
  <si>
    <t xml:space="preserve">1878 E Deyoung Dr </t>
  </si>
  <si>
    <t xml:space="preserve">28 Williams Dr </t>
  </si>
  <si>
    <t>Layne</t>
  </si>
  <si>
    <t xml:space="preserve">1818 Hall Ct </t>
  </si>
  <si>
    <t>Palmerston Lundgreen</t>
  </si>
  <si>
    <t xml:space="preserve">10A </t>
  </si>
  <si>
    <t>Helsingør</t>
  </si>
  <si>
    <t xml:space="preserve">11305 Myrtle Ave </t>
  </si>
  <si>
    <t xml:space="preserve">651 Poplar St </t>
  </si>
  <si>
    <t>Adoue</t>
  </si>
  <si>
    <t>Miss Novella</t>
  </si>
  <si>
    <t>Lance</t>
  </si>
  <si>
    <t xml:space="preserve">1481 Macklin Dr </t>
  </si>
  <si>
    <t>Ellisville</t>
  </si>
  <si>
    <t>Dougan</t>
  </si>
  <si>
    <t xml:space="preserve">109 Dale Rd </t>
  </si>
  <si>
    <t>Calandra</t>
  </si>
  <si>
    <t xml:space="preserve">47 W Polk St </t>
  </si>
  <si>
    <t xml:space="preserve">769 Jefferson St </t>
  </si>
  <si>
    <t>Red Hill</t>
  </si>
  <si>
    <t>Muid</t>
  </si>
  <si>
    <t>Niamo</t>
  </si>
  <si>
    <t xml:space="preserve">2167 Kay Ave </t>
  </si>
  <si>
    <t>Gauger</t>
  </si>
  <si>
    <t xml:space="preserve">2525 Broadway N Apt 902 </t>
  </si>
  <si>
    <t xml:space="preserve">1425 Broadway </t>
  </si>
  <si>
    <t>Hren</t>
  </si>
  <si>
    <t xml:space="preserve">271 S Gardenia Ter </t>
  </si>
  <si>
    <t>Crystal River</t>
  </si>
  <si>
    <t>Rabia</t>
  </si>
  <si>
    <t xml:space="preserve">199 La Colina Dr </t>
  </si>
  <si>
    <t>Bianca</t>
  </si>
  <si>
    <t xml:space="preserve">170 Florida St Apt 111 </t>
  </si>
  <si>
    <t xml:space="preserve">ROBIN Rd </t>
  </si>
  <si>
    <t>Finch</t>
  </si>
  <si>
    <t xml:space="preserve">2963 N Farwell Ave </t>
  </si>
  <si>
    <t>Werkstell</t>
  </si>
  <si>
    <t xml:space="preserve">1527 Regatta Rd </t>
  </si>
  <si>
    <t xml:space="preserve">3224 Indian Mesa Dr </t>
  </si>
  <si>
    <t>Reischman</t>
  </si>
  <si>
    <t xml:space="preserve">4200 S STREET LEAVENWORTH </t>
  </si>
  <si>
    <t>Leavenworth</t>
  </si>
  <si>
    <t>Louden</t>
  </si>
  <si>
    <t xml:space="preserve">389 Goaway Rd </t>
  </si>
  <si>
    <t xml:space="preserve">1029 River Ave </t>
  </si>
  <si>
    <t xml:space="preserve">PO Box 6701 </t>
  </si>
  <si>
    <t>Coulter</t>
  </si>
  <si>
    <t>Huxley</t>
  </si>
  <si>
    <t xml:space="preserve">Fire Tower Rd </t>
  </si>
  <si>
    <t xml:space="preserve">1507 Aqua Vista Rd </t>
  </si>
  <si>
    <t>Jasmin</t>
  </si>
  <si>
    <t xml:space="preserve">1426 Amherst Dr </t>
  </si>
  <si>
    <t>Levenstiem</t>
  </si>
  <si>
    <t xml:space="preserve">3337 Hampton Green Way </t>
  </si>
  <si>
    <t>Plambeck</t>
  </si>
  <si>
    <t xml:space="preserve">23 I 49 OAKBRIDGE Ln </t>
  </si>
  <si>
    <t>Crutchley</t>
  </si>
  <si>
    <t xml:space="preserve">MILLER Rd </t>
  </si>
  <si>
    <t>Christchurch</t>
  </si>
  <si>
    <t>Guinta</t>
  </si>
  <si>
    <t>Chrisann</t>
  </si>
  <si>
    <t xml:space="preserve">1900 Willow Creek Rd </t>
  </si>
  <si>
    <t>Zawadski</t>
  </si>
  <si>
    <t xml:space="preserve">233 Derby Ave Unit 510 </t>
  </si>
  <si>
    <t xml:space="preserve">80 Vista Ter </t>
  </si>
  <si>
    <t>Voon</t>
  </si>
  <si>
    <t xml:space="preserve">MORGAN Rd </t>
  </si>
  <si>
    <t xml:space="preserve">7322 Big Pine Rd </t>
  </si>
  <si>
    <t>Hildenbrand</t>
  </si>
  <si>
    <t xml:space="preserve">636 County Route 54 </t>
  </si>
  <si>
    <t>Pennellville</t>
  </si>
  <si>
    <t>Arnn</t>
  </si>
  <si>
    <t xml:space="preserve">3701 Wilson St </t>
  </si>
  <si>
    <t xml:space="preserve">16 Treetops Trl </t>
  </si>
  <si>
    <t>Bloomingburg</t>
  </si>
  <si>
    <t>Silverwood Ret.</t>
  </si>
  <si>
    <t>Capt. George</t>
  </si>
  <si>
    <t xml:space="preserve">2970 Chapel Valley Rd </t>
  </si>
  <si>
    <t xml:space="preserve">1008 Winslow Rd </t>
  </si>
  <si>
    <t xml:space="preserve">13360 Findlay Ave </t>
  </si>
  <si>
    <t>Matula</t>
  </si>
  <si>
    <t xml:space="preserve">3823 Edenhurst Ave </t>
  </si>
  <si>
    <t>Miquelon</t>
  </si>
  <si>
    <t xml:space="preserve">22 Silver Spruce Dr # A </t>
  </si>
  <si>
    <t xml:space="preserve">48 Leland St Apt 1 </t>
  </si>
  <si>
    <t xml:space="preserve">9631 Cook Ave </t>
  </si>
  <si>
    <t>Morsberger</t>
  </si>
  <si>
    <t xml:space="preserve">4826 Langdrum Ln </t>
  </si>
  <si>
    <t xml:space="preserve">4645 Cliff Ave </t>
  </si>
  <si>
    <t>Zaustinsky</t>
  </si>
  <si>
    <t xml:space="preserve">170 W ST END AVE18J </t>
  </si>
  <si>
    <t>Vigoda</t>
  </si>
  <si>
    <t xml:space="preserve">254 Dorset G </t>
  </si>
  <si>
    <t>Noah</t>
  </si>
  <si>
    <t xml:space="preserve">9442 County Road 254 Lot 3 </t>
  </si>
  <si>
    <t>Hung</t>
  </si>
  <si>
    <t xml:space="preserve">222 Varet St Apt 3F </t>
  </si>
  <si>
    <t xml:space="preserve">1172 Abbey Ct </t>
  </si>
  <si>
    <t xml:space="preserve">19393 Hickory Rd </t>
  </si>
  <si>
    <t>Machuca Sánchez</t>
  </si>
  <si>
    <t>Miguel Ángel</t>
  </si>
  <si>
    <t xml:space="preserve">13 Amistad </t>
  </si>
  <si>
    <t>Dushore</t>
  </si>
  <si>
    <t>Mislove</t>
  </si>
  <si>
    <t xml:space="preserve">485 Central Park W </t>
  </si>
  <si>
    <t>Ebersole</t>
  </si>
  <si>
    <t xml:space="preserve">PO Box 607 </t>
  </si>
  <si>
    <t>Mather</t>
  </si>
  <si>
    <t>Maryjane</t>
  </si>
  <si>
    <t xml:space="preserve">740 Apt 312 </t>
  </si>
  <si>
    <t>Helvie</t>
  </si>
  <si>
    <t xml:space="preserve">3308 Heatherdale Ct </t>
  </si>
  <si>
    <t>Montell</t>
  </si>
  <si>
    <t xml:space="preserve">129 Anthony Wayne Ter # 129 </t>
  </si>
  <si>
    <t xml:space="preserve">14542 Greenleaf St </t>
  </si>
  <si>
    <t>Bebout</t>
  </si>
  <si>
    <t>Donavon</t>
  </si>
  <si>
    <t xml:space="preserve">7671 Ellis Ave Apt C </t>
  </si>
  <si>
    <t>McGraw</t>
  </si>
  <si>
    <t xml:space="preserve">8164 S Park Cir </t>
  </si>
  <si>
    <t>Oswald</t>
  </si>
  <si>
    <t xml:space="preserve">739 Galloway Ct </t>
  </si>
  <si>
    <t xml:space="preserve">619 Oxford Dr </t>
  </si>
  <si>
    <t xml:space="preserve">81 S Ember Dr </t>
  </si>
  <si>
    <t xml:space="preserve">995 Ravine Ridge Dr </t>
  </si>
  <si>
    <t xml:space="preserve">505 Dansel St </t>
  </si>
  <si>
    <t xml:space="preserve">1201 Cherry Hill Dr </t>
  </si>
  <si>
    <t>Blandino</t>
  </si>
  <si>
    <t xml:space="preserve">337 S Sparks St </t>
  </si>
  <si>
    <t xml:space="preserve">6 Bouton St E </t>
  </si>
  <si>
    <t>Grillasca</t>
  </si>
  <si>
    <t xml:space="preserve">United States </t>
  </si>
  <si>
    <t xml:space="preserve">ELINS GÅRD 3 </t>
  </si>
  <si>
    <t>Bonar</t>
  </si>
  <si>
    <t xml:space="preserve">5451 E Blaisdell Ln </t>
  </si>
  <si>
    <t>Brucks</t>
  </si>
  <si>
    <t xml:space="preserve">15254 N Mobbs Rd </t>
  </si>
  <si>
    <t xml:space="preserve">5445 Lakewood Trails Ct </t>
  </si>
  <si>
    <t>Judith V</t>
  </si>
  <si>
    <t xml:space="preserve">89 Crockett Ridge Rd </t>
  </si>
  <si>
    <t>Norway</t>
  </si>
  <si>
    <t xml:space="preserve">5412 Swanner Rd </t>
  </si>
  <si>
    <t>Elvi</t>
  </si>
  <si>
    <t xml:space="preserve">1 W Main St </t>
  </si>
  <si>
    <t>Forest City</t>
  </si>
  <si>
    <t>Fejes</t>
  </si>
  <si>
    <t xml:space="preserve">2961 NE 18th St </t>
  </si>
  <si>
    <t xml:space="preserve">606 Lower Wright St </t>
  </si>
  <si>
    <t>Hudson Falls</t>
  </si>
  <si>
    <t xml:space="preserve">2999 Douglas Blvd </t>
  </si>
  <si>
    <t>Cerniglia</t>
  </si>
  <si>
    <t xml:space="preserve">19 Redstone Rdg </t>
  </si>
  <si>
    <t>Turi</t>
  </si>
  <si>
    <t xml:space="preserve">135 Putnam Ave Apt 345 </t>
  </si>
  <si>
    <t>Waterman</t>
  </si>
  <si>
    <t xml:space="preserve">20041 W Missouri St </t>
  </si>
  <si>
    <t>Huffman</t>
  </si>
  <si>
    <t>Abbygale</t>
  </si>
  <si>
    <t xml:space="preserve">2506 22nd St NE </t>
  </si>
  <si>
    <t>Jern</t>
  </si>
  <si>
    <t xml:space="preserve">3660 Cheney Ln </t>
  </si>
  <si>
    <t>Pasternack</t>
  </si>
  <si>
    <t xml:space="preserve">4347 Harborough Rd </t>
  </si>
  <si>
    <t>Hornak</t>
  </si>
  <si>
    <t xml:space="preserve">535 Brookside Dr </t>
  </si>
  <si>
    <t>Sahlin</t>
  </si>
  <si>
    <t xml:space="preserve">145 Kate St # 22 </t>
  </si>
  <si>
    <t>Staci</t>
  </si>
  <si>
    <t xml:space="preserve">9261 Prairie View Dr </t>
  </si>
  <si>
    <t>Godshalk</t>
  </si>
  <si>
    <t xml:space="preserve">190 Katelyn Dr </t>
  </si>
  <si>
    <t>New Oxford</t>
  </si>
  <si>
    <t>Wilfing</t>
  </si>
  <si>
    <t xml:space="preserve">167 Sunset Pl </t>
  </si>
  <si>
    <t>Shilo</t>
  </si>
  <si>
    <t xml:space="preserve">59 Lace Dr </t>
  </si>
  <si>
    <t>Isom</t>
  </si>
  <si>
    <t>Elizabeth S.</t>
  </si>
  <si>
    <t xml:space="preserve">30 West St Apt 29 </t>
  </si>
  <si>
    <t xml:space="preserve">2181 Knox Road 1800 N </t>
  </si>
  <si>
    <t>Williamsfield</t>
  </si>
  <si>
    <t>Lancia</t>
  </si>
  <si>
    <t xml:space="preserve">5629 Indiana Ave </t>
  </si>
  <si>
    <t>Yoho</t>
  </si>
  <si>
    <t xml:space="preserve">1022 Iowa Lawrence KS 66044 </t>
  </si>
  <si>
    <t>Hyer</t>
  </si>
  <si>
    <t xml:space="preserve">513 Sycamore St </t>
  </si>
  <si>
    <t xml:space="preserve">717 Crosswinds Dr </t>
  </si>
  <si>
    <t xml:space="preserve">ZXC123 </t>
  </si>
  <si>
    <t>Tahoe Vista</t>
  </si>
  <si>
    <t xml:space="preserve">605 Galahad Rd </t>
  </si>
  <si>
    <t>Matika</t>
  </si>
  <si>
    <t xml:space="preserve">1136 Belfield Ave Drexel HILL6 </t>
  </si>
  <si>
    <t>Drexel Hill</t>
  </si>
  <si>
    <t>Salvati</t>
  </si>
  <si>
    <t xml:space="preserve">25618 W Lake Armstrong Rd </t>
  </si>
  <si>
    <t>Karmosky</t>
  </si>
  <si>
    <t xml:space="preserve">5960 S Walden Ct </t>
  </si>
  <si>
    <t>Niki</t>
  </si>
  <si>
    <t xml:space="preserve">400 N Michigan Ave </t>
  </si>
  <si>
    <t>Klemp</t>
  </si>
  <si>
    <t xml:space="preserve">813 BE LINDBERGH St </t>
  </si>
  <si>
    <t xml:space="preserve">97 Wakefield St </t>
  </si>
  <si>
    <t>Loeb</t>
  </si>
  <si>
    <t xml:space="preserve">5448 Factors Walk Dr </t>
  </si>
  <si>
    <t>Minish</t>
  </si>
  <si>
    <t xml:space="preserve">7061 RICHARDSON Hwy Box 1048 </t>
  </si>
  <si>
    <t>Bober</t>
  </si>
  <si>
    <t xml:space="preserve">225 The Crossroads Blvd # 364 </t>
  </si>
  <si>
    <t>Leipnik</t>
  </si>
  <si>
    <t xml:space="preserve">82249 Burton Ave </t>
  </si>
  <si>
    <t xml:space="preserve">236 Warwick Dr </t>
  </si>
  <si>
    <t>Emrick</t>
  </si>
  <si>
    <t xml:space="preserve">244 E Side Rd </t>
  </si>
  <si>
    <t>Wentworth</t>
  </si>
  <si>
    <t>Barbe</t>
  </si>
  <si>
    <t xml:space="preserve">3730 S Humboldt St </t>
  </si>
  <si>
    <t xml:space="preserve">78 Pleasant Ridge Holiday Island AR </t>
  </si>
  <si>
    <t>Holiday Island</t>
  </si>
  <si>
    <t xml:space="preserve">15829 Landmark Dr Apt 2 </t>
  </si>
  <si>
    <t xml:space="preserve">2664 Belew Rd </t>
  </si>
  <si>
    <t xml:space="preserve">1021 18th St Apt 4 </t>
  </si>
  <si>
    <t xml:space="preserve">1251 Euclid St Apt 5 </t>
  </si>
  <si>
    <t xml:space="preserve">1125 W 77th St </t>
  </si>
  <si>
    <t xml:space="preserve">1033 Isabella Ave </t>
  </si>
  <si>
    <t>Coronado</t>
  </si>
  <si>
    <t>Matheus</t>
  </si>
  <si>
    <t xml:space="preserve">25512 Fountain Glen Ct </t>
  </si>
  <si>
    <t>Schmid</t>
  </si>
  <si>
    <t xml:space="preserve">1109 Royal Ann Ct </t>
  </si>
  <si>
    <t xml:space="preserve">3703 Hackett Ave </t>
  </si>
  <si>
    <t>Galbadores</t>
  </si>
  <si>
    <t>Anjelina</t>
  </si>
  <si>
    <t xml:space="preserve">8340 E Baseline Rd Apt 1052 </t>
  </si>
  <si>
    <t xml:space="preserve">4975 Dekoven St </t>
  </si>
  <si>
    <t>Anshin</t>
  </si>
  <si>
    <t xml:space="preserve">1560 Sutterville Rd </t>
  </si>
  <si>
    <t>Cheek-Wooten</t>
  </si>
  <si>
    <t xml:space="preserve">708 E Orchard Dr </t>
  </si>
  <si>
    <t>Mahomet</t>
  </si>
  <si>
    <t>61853-3303</t>
  </si>
  <si>
    <t xml:space="preserve">235 Drumlin Cir </t>
  </si>
  <si>
    <t>Fruita</t>
  </si>
  <si>
    <t>81521-8750</t>
  </si>
  <si>
    <t>Zawkiewicz</t>
  </si>
  <si>
    <t xml:space="preserve">3316 Fiddletown Ct </t>
  </si>
  <si>
    <t>95827-3220</t>
  </si>
  <si>
    <t>Eccles</t>
  </si>
  <si>
    <t xml:space="preserve">1607 Poplar Level Rd </t>
  </si>
  <si>
    <t>40217-1343</t>
  </si>
  <si>
    <t>Pica</t>
  </si>
  <si>
    <t>Wensman</t>
  </si>
  <si>
    <t xml:space="preserve">5282 Portland Woods </t>
  </si>
  <si>
    <t>55110-2454</t>
  </si>
  <si>
    <t xml:space="preserve">500 Harvest Moon Rd </t>
  </si>
  <si>
    <t>28779-7118</t>
  </si>
  <si>
    <t xml:space="preserve">110 Fardale Ave </t>
  </si>
  <si>
    <t>07430-2922</t>
  </si>
  <si>
    <t>Veronika</t>
  </si>
  <si>
    <t xml:space="preserve">PO Box 352 </t>
  </si>
  <si>
    <t>06890-0352</t>
  </si>
  <si>
    <t xml:space="preserve">5316 W Janet Ct </t>
  </si>
  <si>
    <t>61607-1442</t>
  </si>
  <si>
    <t xml:space="preserve">17 Raposa Vis </t>
  </si>
  <si>
    <t>94947-2110</t>
  </si>
  <si>
    <t xml:space="preserve">39 Bellevue Rd </t>
  </si>
  <si>
    <t>01907-1518</t>
  </si>
  <si>
    <t>Pouliot</t>
  </si>
  <si>
    <t xml:space="preserve">2157 Overlook Dr </t>
  </si>
  <si>
    <t>55431-4013</t>
  </si>
  <si>
    <t xml:space="preserve">642 Sheffield Dr </t>
  </si>
  <si>
    <t>97524-4613</t>
  </si>
  <si>
    <t>Hinckle</t>
  </si>
  <si>
    <t xml:space="preserve">1616 Sanchez Ave </t>
  </si>
  <si>
    <t>Burlingame</t>
  </si>
  <si>
    <t>94010-4919</t>
  </si>
  <si>
    <t>Szomolyai</t>
  </si>
  <si>
    <t>Rhiannon</t>
  </si>
  <si>
    <t xml:space="preserve">22831 Outer Dr </t>
  </si>
  <si>
    <t>Kumar</t>
  </si>
  <si>
    <t xml:space="preserve">1003 Bayley Ct </t>
  </si>
  <si>
    <t>08807-3546</t>
  </si>
  <si>
    <t>Laurenitis Bonacci</t>
  </si>
  <si>
    <t xml:space="preserve">102 N Plain Rd </t>
  </si>
  <si>
    <t>Sunderland</t>
  </si>
  <si>
    <t>01375-9301</t>
  </si>
  <si>
    <t>Koren</t>
  </si>
  <si>
    <t xml:space="preserve">50 Pocono Dr </t>
  </si>
  <si>
    <t>27705-2869</t>
  </si>
  <si>
    <t>Noon</t>
  </si>
  <si>
    <t xml:space="preserve">708 Lakeside Cir </t>
  </si>
  <si>
    <t>33060-7760</t>
  </si>
  <si>
    <t xml:space="preserve">13200 COUNTY ROAD 249 </t>
  </si>
  <si>
    <t>Boncarbo</t>
  </si>
  <si>
    <t xml:space="preserve">15050 Gatewood Dr </t>
  </si>
  <si>
    <t>55345-6733</t>
  </si>
  <si>
    <t>Stapelman</t>
  </si>
  <si>
    <t xml:space="preserve">13 Burlington Pl </t>
  </si>
  <si>
    <t>07410-3511</t>
  </si>
  <si>
    <t>Liszka</t>
  </si>
  <si>
    <t xml:space="preserve">2006 Stonecreek Ln </t>
  </si>
  <si>
    <t>15301-5007</t>
  </si>
  <si>
    <t xml:space="preserve">129 Surfside Ave </t>
  </si>
  <si>
    <t>32084-2234</t>
  </si>
  <si>
    <t>Maude</t>
  </si>
  <si>
    <t xml:space="preserve">161 Benton St </t>
  </si>
  <si>
    <t>14620-2439</t>
  </si>
  <si>
    <t>Apt</t>
  </si>
  <si>
    <t xml:space="preserve">900 W End Ave Apt 10G </t>
  </si>
  <si>
    <t>10025-3576</t>
  </si>
  <si>
    <t xml:space="preserve">12811 Tosca Ln </t>
  </si>
  <si>
    <t>77024-4743</t>
  </si>
  <si>
    <t>Rayburn</t>
  </si>
  <si>
    <t xml:space="preserve">3336 Twin Lake Rd </t>
  </si>
  <si>
    <t>55127-4025</t>
  </si>
  <si>
    <t xml:space="preserve">6472 Highgate Ln </t>
  </si>
  <si>
    <t>75214-2200</t>
  </si>
  <si>
    <t>Ahrenholtz</t>
  </si>
  <si>
    <t xml:space="preserve">2007 Palos Verdes </t>
  </si>
  <si>
    <t>78641-8822</t>
  </si>
  <si>
    <t>Shroff</t>
  </si>
  <si>
    <t>Zaver</t>
  </si>
  <si>
    <t xml:space="preserve">525 Inverness Way </t>
  </si>
  <si>
    <t>60189-8102</t>
  </si>
  <si>
    <t xml:space="preserve">45 Columbia Ave </t>
  </si>
  <si>
    <t>08525-2028</t>
  </si>
  <si>
    <t>S.L.</t>
  </si>
  <si>
    <t xml:space="preserve">1769 Eastbrook Dr S </t>
  </si>
  <si>
    <t>43223-3705</t>
  </si>
  <si>
    <t>Zotos</t>
  </si>
  <si>
    <t xml:space="preserve">2223 Whiterock Ct </t>
  </si>
  <si>
    <t>Sherrills Ford</t>
  </si>
  <si>
    <t>28673-7295</t>
  </si>
  <si>
    <t xml:space="preserve">201 Hope Rd </t>
  </si>
  <si>
    <t>22554-5302</t>
  </si>
  <si>
    <t>Wertz</t>
  </si>
  <si>
    <t xml:space="preserve">11310 Clinton Bar Rd </t>
  </si>
  <si>
    <t>95665-9762</t>
  </si>
  <si>
    <t xml:space="preserve">1332 Banks St </t>
  </si>
  <si>
    <t>77006-6016</t>
  </si>
  <si>
    <t>Zahir</t>
  </si>
  <si>
    <t xml:space="preserve">4175 Lark Ct </t>
  </si>
  <si>
    <t>94555-1116</t>
  </si>
  <si>
    <t>Zhang</t>
  </si>
  <si>
    <t xml:space="preserve">14712 SE 184th Pl </t>
  </si>
  <si>
    <t>98058-9325</t>
  </si>
  <si>
    <t xml:space="preserve">Freiherr-V-Steinstr 9A </t>
  </si>
  <si>
    <t xml:space="preserve">1532 Sonora Dr </t>
  </si>
  <si>
    <t>67460-2600</t>
  </si>
  <si>
    <t>Gerhardstein</t>
  </si>
  <si>
    <t xml:space="preserve">5300 W Rhyolite Loop </t>
  </si>
  <si>
    <t>85745-9086</t>
  </si>
  <si>
    <t xml:space="preserve">101 Boylston Ave E Apt 35 </t>
  </si>
  <si>
    <t>98102-5656</t>
  </si>
  <si>
    <t xml:space="preserve">3880 Stikes Dr SE </t>
  </si>
  <si>
    <t>98503-8207</t>
  </si>
  <si>
    <t>Von Dallwitz</t>
  </si>
  <si>
    <t xml:space="preserve">99 Corona Rd </t>
  </si>
  <si>
    <t>93923-9616</t>
  </si>
  <si>
    <t xml:space="preserve">69 Arrowhead Loop </t>
  </si>
  <si>
    <t>Canadian</t>
  </si>
  <si>
    <t>74425-5012</t>
  </si>
  <si>
    <t>Kolak</t>
  </si>
  <si>
    <t xml:space="preserve">33 Eberle Rd </t>
  </si>
  <si>
    <t>12110-4737</t>
  </si>
  <si>
    <t xml:space="preserve">2231 E 1850 North Rd </t>
  </si>
  <si>
    <t>Watseka</t>
  </si>
  <si>
    <t>60970-8709</t>
  </si>
  <si>
    <t>Dieter-Brabant</t>
  </si>
  <si>
    <t>Pallas</t>
  </si>
  <si>
    <t xml:space="preserve">203 W North St </t>
  </si>
  <si>
    <t>Montfort</t>
  </si>
  <si>
    <t>53569-9441</t>
  </si>
  <si>
    <t xml:space="preserve">1402 N Roundtree Ln </t>
  </si>
  <si>
    <t>92801-1327</t>
  </si>
  <si>
    <t xml:space="preserve">1680 Liege Dr </t>
  </si>
  <si>
    <t>89012-7246</t>
  </si>
  <si>
    <t>Suico</t>
  </si>
  <si>
    <t xml:space="preserve">150 Frapuccino Ave </t>
  </si>
  <si>
    <t>N Las Vegas</t>
  </si>
  <si>
    <t>89084-1330</t>
  </si>
  <si>
    <t>Glock</t>
  </si>
  <si>
    <t xml:space="preserve">8360 Greensboro Dr Unit 909 </t>
  </si>
  <si>
    <t>Mc Lean</t>
  </si>
  <si>
    <t>22102-3543</t>
  </si>
  <si>
    <t xml:space="preserve">90 Uplands Way </t>
  </si>
  <si>
    <t>06033-3357</t>
  </si>
  <si>
    <t>Burgin</t>
  </si>
  <si>
    <t xml:space="preserve">6409 Homewood Ave </t>
  </si>
  <si>
    <t>Rowlett</t>
  </si>
  <si>
    <t>75089-8241</t>
  </si>
  <si>
    <t>Cella</t>
  </si>
  <si>
    <t xml:space="preserve">6426 Runnel Dr </t>
  </si>
  <si>
    <t>34653-3511</t>
  </si>
  <si>
    <t xml:space="preserve">7400 Forest Ivy St </t>
  </si>
  <si>
    <t>89131-4713</t>
  </si>
  <si>
    <t xml:space="preserve">1020 NW 9th Ave Apt 708 </t>
  </si>
  <si>
    <t>Vielhaber</t>
  </si>
  <si>
    <t xml:space="preserve">1111 Oleson Dr SE </t>
  </si>
  <si>
    <t>Bondurant</t>
  </si>
  <si>
    <t xml:space="preserve">PO Box 5 </t>
  </si>
  <si>
    <t xml:space="preserve">681 E Rocky Knoll Ln </t>
  </si>
  <si>
    <t>Ad</t>
  </si>
  <si>
    <t xml:space="preserve">720 15th St </t>
  </si>
  <si>
    <t>New Cumberland</t>
  </si>
  <si>
    <t xml:space="preserve">4548 Shadowridge Dr </t>
  </si>
  <si>
    <t>The Colony</t>
  </si>
  <si>
    <t>Faller</t>
  </si>
  <si>
    <t>Gae</t>
  </si>
  <si>
    <t xml:space="preserve">5200 Columbus Pl </t>
  </si>
  <si>
    <t xml:space="preserve">74 E Autumn Branch Cir </t>
  </si>
  <si>
    <t>Carstensen</t>
  </si>
  <si>
    <t xml:space="preserve">4488 Nestwood St </t>
  </si>
  <si>
    <t>Ladson</t>
  </si>
  <si>
    <t>Hebley</t>
  </si>
  <si>
    <t xml:space="preserve">12304 Shiremont Dr </t>
  </si>
  <si>
    <t>Duale</t>
  </si>
  <si>
    <t xml:space="preserve">1855 Meadow Dr </t>
  </si>
  <si>
    <t>Stinson</t>
  </si>
  <si>
    <t xml:space="preserve">1028 Walnut St SW </t>
  </si>
  <si>
    <t>Funes</t>
  </si>
  <si>
    <t xml:space="preserve">LANHAM </t>
  </si>
  <si>
    <t xml:space="preserve">2221 Sifield Greens Way </t>
  </si>
  <si>
    <t xml:space="preserve">2200 Buck Mountain Rd # 165 </t>
  </si>
  <si>
    <t xml:space="preserve">600 W 20th Ave </t>
  </si>
  <si>
    <t xml:space="preserve">144 Seekonk Cross Rd </t>
  </si>
  <si>
    <t xml:space="preserve">2621 Rockefeller Ln Apt C </t>
  </si>
  <si>
    <t xml:space="preserve">3304 Sudbury Pl </t>
  </si>
  <si>
    <t>46815-6245</t>
  </si>
  <si>
    <t>Tolerico</t>
  </si>
  <si>
    <t xml:space="preserve">8 Bruce Dr </t>
  </si>
  <si>
    <t>07860-2703</t>
  </si>
  <si>
    <t xml:space="preserve">57 E 2nd St </t>
  </si>
  <si>
    <t>11218-1019</t>
  </si>
  <si>
    <t>Giovannini</t>
  </si>
  <si>
    <t xml:space="preserve">2202 Cedar Ln </t>
  </si>
  <si>
    <t>63501-2106</t>
  </si>
  <si>
    <t>80027-1215</t>
  </si>
  <si>
    <t>Gianantoni</t>
  </si>
  <si>
    <t xml:space="preserve">8 Parrow Dr </t>
  </si>
  <si>
    <t>06076-3346</t>
  </si>
  <si>
    <t xml:space="preserve">2701 W 15th St # 603 </t>
  </si>
  <si>
    <t>75075-7523</t>
  </si>
  <si>
    <t xml:space="preserve">6625 Burger Dr SE </t>
  </si>
  <si>
    <t>49546-7211</t>
  </si>
  <si>
    <t xml:space="preserve">5225 Tan St </t>
  </si>
  <si>
    <t>Morkill</t>
  </si>
  <si>
    <t xml:space="preserve">12411 N Hope Ln </t>
  </si>
  <si>
    <t>99208-9204</t>
  </si>
  <si>
    <t>Holzbauer</t>
  </si>
  <si>
    <t xml:space="preserve">24232 Ferguson Rd </t>
  </si>
  <si>
    <t>97448-9322</t>
  </si>
  <si>
    <t>Sherer</t>
  </si>
  <si>
    <t xml:space="preserve">4200 Joy Rd </t>
  </si>
  <si>
    <t>95465-9250</t>
  </si>
  <si>
    <t>Monteleone</t>
  </si>
  <si>
    <t xml:space="preserve">25 Franklin Ave </t>
  </si>
  <si>
    <t>Lynbrook</t>
  </si>
  <si>
    <t>11563-1252</t>
  </si>
  <si>
    <t xml:space="preserve">282 Cherry Orchard Ln </t>
  </si>
  <si>
    <t>22520-4216</t>
  </si>
  <si>
    <t>Bessie Jo</t>
  </si>
  <si>
    <t xml:space="preserve">31129 Old Wagon Rd </t>
  </si>
  <si>
    <t>Whitmore</t>
  </si>
  <si>
    <t>96096-9558</t>
  </si>
  <si>
    <t>Gennaro</t>
  </si>
  <si>
    <t xml:space="preserve">4202 Pickett Rd </t>
  </si>
  <si>
    <t>22032-1241</t>
  </si>
  <si>
    <t xml:space="preserve">8 Clay Ct </t>
  </si>
  <si>
    <t>Rhinebeck</t>
  </si>
  <si>
    <t>12572-2500</t>
  </si>
  <si>
    <t>Dipaola</t>
  </si>
  <si>
    <t xml:space="preserve">41 Shoveler Ln </t>
  </si>
  <si>
    <t>Manahawkin</t>
  </si>
  <si>
    <t>08050-3178</t>
  </si>
  <si>
    <t xml:space="preserve">PO Box 384168 </t>
  </si>
  <si>
    <t>Waikoloa</t>
  </si>
  <si>
    <t>96738-4168</t>
  </si>
  <si>
    <t xml:space="preserve">739 West Rd </t>
  </si>
  <si>
    <t>01531-1614</t>
  </si>
  <si>
    <t>Dr Edwin</t>
  </si>
  <si>
    <t xml:space="preserve">45 Loop 150 W </t>
  </si>
  <si>
    <t>78602-3930</t>
  </si>
  <si>
    <t>Turney</t>
  </si>
  <si>
    <t xml:space="preserve">3521 Sale Dr </t>
  </si>
  <si>
    <t>23464-1829</t>
  </si>
  <si>
    <t>Sherman-Jones</t>
  </si>
  <si>
    <t xml:space="preserve">E3740 26 Rd </t>
  </si>
  <si>
    <t>Limestone</t>
  </si>
  <si>
    <t>49816-9662</t>
  </si>
  <si>
    <t>Malin Price</t>
  </si>
  <si>
    <t xml:space="preserve">1429 Pandora Ave </t>
  </si>
  <si>
    <t>90024-5164</t>
  </si>
  <si>
    <t>Kefi</t>
  </si>
  <si>
    <t>Kailey</t>
  </si>
  <si>
    <t xml:space="preserve">1157 Bandy Run Rd </t>
  </si>
  <si>
    <t>20170-2319</t>
  </si>
  <si>
    <t>Appelt</t>
  </si>
  <si>
    <t>Tammie</t>
  </si>
  <si>
    <t xml:space="preserve">7700 Platt Rd </t>
  </si>
  <si>
    <t>48197-6634</t>
  </si>
  <si>
    <t>Hachey</t>
  </si>
  <si>
    <t xml:space="preserve">875 Mullen Rd </t>
  </si>
  <si>
    <t>Stetson</t>
  </si>
  <si>
    <t>04488-3020</t>
  </si>
  <si>
    <t xml:space="preserve">14009 Sherman St </t>
  </si>
  <si>
    <t>Cedar Lake</t>
  </si>
  <si>
    <t>46303-9635</t>
  </si>
  <si>
    <t xml:space="preserve">721 Gonzalez Dr </t>
  </si>
  <si>
    <t>94132-2233</t>
  </si>
  <si>
    <t>E.K.</t>
  </si>
  <si>
    <t xml:space="preserve">10299 Lindale Ave </t>
  </si>
  <si>
    <t>17225-8378</t>
  </si>
  <si>
    <t>Grigoriu</t>
  </si>
  <si>
    <t>Mihai</t>
  </si>
  <si>
    <t>Freiburg</t>
  </si>
  <si>
    <t xml:space="preserve">1620 SE CESAR CHAVEZ Blvd </t>
  </si>
  <si>
    <t>Dixson</t>
  </si>
  <si>
    <t xml:space="preserve">2914 Strathmeade St </t>
  </si>
  <si>
    <t xml:space="preserve">18 Aberdeen Gardens Rd </t>
  </si>
  <si>
    <t>98520-9639</t>
  </si>
  <si>
    <t>Hlavac</t>
  </si>
  <si>
    <t xml:space="preserve">PO Box 1216 </t>
  </si>
  <si>
    <t>32756-1216</t>
  </si>
  <si>
    <t>Birdsong</t>
  </si>
  <si>
    <t xml:space="preserve">4641 Windstar Way </t>
  </si>
  <si>
    <t>40515-4819</t>
  </si>
  <si>
    <t>Tulys</t>
  </si>
  <si>
    <t xml:space="preserve">24 Emmett Ave # B </t>
  </si>
  <si>
    <t>Hopelawn</t>
  </si>
  <si>
    <t>08861-2218</t>
  </si>
  <si>
    <t xml:space="preserve">5 Polaris Ln </t>
  </si>
  <si>
    <t>01876-1521</t>
  </si>
  <si>
    <t xml:space="preserve">625 N Edgewood Ave </t>
  </si>
  <si>
    <t>La Grange Park</t>
  </si>
  <si>
    <t>60526-5511</t>
  </si>
  <si>
    <t xml:space="preserve">9010 Simms Ave </t>
  </si>
  <si>
    <t>21234-1316</t>
  </si>
  <si>
    <t xml:space="preserve">1450 Circle Drive China Grv </t>
  </si>
  <si>
    <t xml:space="preserve">14364 Lakeshore Rd </t>
  </si>
  <si>
    <t>49116-9738</t>
  </si>
  <si>
    <t>Beatty</t>
  </si>
  <si>
    <t>Janet Lee</t>
  </si>
  <si>
    <t xml:space="preserve">1600 Toro St Apt 5C </t>
  </si>
  <si>
    <t>93401-3702</t>
  </si>
  <si>
    <t>Lysohir</t>
  </si>
  <si>
    <t xml:space="preserve">110 E End Ave </t>
  </si>
  <si>
    <t>10028-7412</t>
  </si>
  <si>
    <t>Heinrich</t>
  </si>
  <si>
    <t xml:space="preserve">119 Lafayette Rd </t>
  </si>
  <si>
    <t>19320-1230</t>
  </si>
  <si>
    <t>Heiden</t>
  </si>
  <si>
    <t xml:space="preserve">248 First St </t>
  </si>
  <si>
    <t>Belgium</t>
  </si>
  <si>
    <t>53004-9589</t>
  </si>
  <si>
    <t xml:space="preserve">5904 Noon Rd </t>
  </si>
  <si>
    <t xml:space="preserve">15 N 5th St Apt 230 </t>
  </si>
  <si>
    <t>Miles City</t>
  </si>
  <si>
    <t>Barton</t>
  </si>
  <si>
    <t xml:space="preserve">519 Kansala Dr </t>
  </si>
  <si>
    <t>Kayser</t>
  </si>
  <si>
    <t xml:space="preserve">2801 Claremont Dr </t>
  </si>
  <si>
    <t>Bartlesville</t>
  </si>
  <si>
    <t>74006-5811</t>
  </si>
  <si>
    <t>Parrill</t>
  </si>
  <si>
    <t xml:space="preserve">900 Calle Carmilita </t>
  </si>
  <si>
    <t>87505-6201</t>
  </si>
  <si>
    <t xml:space="preserve">5390 Extravagant Ct </t>
  </si>
  <si>
    <t>32926-1707</t>
  </si>
  <si>
    <t xml:space="preserve">18678 Cape Sable Dr </t>
  </si>
  <si>
    <t>33498-6374</t>
  </si>
  <si>
    <t>Dickson</t>
  </si>
  <si>
    <t xml:space="preserve">11018 De Anza Dr </t>
  </si>
  <si>
    <t>91730-6893</t>
  </si>
  <si>
    <t xml:space="preserve">8105 Florist Rd </t>
  </si>
  <si>
    <t xml:space="preserve">4035 SW 113th Ct </t>
  </si>
  <si>
    <t>33165-4646</t>
  </si>
  <si>
    <t>Guapo</t>
  </si>
  <si>
    <t xml:space="preserve">101 MAIN </t>
  </si>
  <si>
    <t>83858-6976</t>
  </si>
  <si>
    <t>Dolowitz</t>
  </si>
  <si>
    <t xml:space="preserve">1712 E Monte Carlo Dr </t>
  </si>
  <si>
    <t>84121-2147</t>
  </si>
  <si>
    <t xml:space="preserve">2317 Langholm Dr </t>
  </si>
  <si>
    <t>80920-5324</t>
  </si>
  <si>
    <t xml:space="preserve">3522 Grandin Rd </t>
  </si>
  <si>
    <t>24018-2052</t>
  </si>
  <si>
    <t xml:space="preserve">PO Box 720102 </t>
  </si>
  <si>
    <t>Pinon Hills</t>
  </si>
  <si>
    <t>92372-0102</t>
  </si>
  <si>
    <t>Midgett</t>
  </si>
  <si>
    <t xml:space="preserve">1102 Westmoreland Ave </t>
  </si>
  <si>
    <t>23508-1422</t>
  </si>
  <si>
    <t xml:space="preserve">21 Tremont Dr </t>
  </si>
  <si>
    <t>East Hanover</t>
  </si>
  <si>
    <t>07936-3321</t>
  </si>
  <si>
    <t xml:space="preserve">16 Drake Rd </t>
  </si>
  <si>
    <t>Effingham</t>
  </si>
  <si>
    <t>03882-8203</t>
  </si>
  <si>
    <t>Schofield</t>
  </si>
  <si>
    <t xml:space="preserve">1440 Veteran Ave </t>
  </si>
  <si>
    <t>90024-4838</t>
  </si>
  <si>
    <t>Balan</t>
  </si>
  <si>
    <t xml:space="preserve">13414 Moonshine Rd </t>
  </si>
  <si>
    <t>Camptonville</t>
  </si>
  <si>
    <t xml:space="preserve">992 Bonnie Brae Ln </t>
  </si>
  <si>
    <t>53147-2326</t>
  </si>
  <si>
    <t>Rodrigo</t>
  </si>
  <si>
    <t xml:space="preserve">712 Lalton Dr </t>
  </si>
  <si>
    <t>29526-7890</t>
  </si>
  <si>
    <t>Andem</t>
  </si>
  <si>
    <t xml:space="preserve">PO Box 844 </t>
  </si>
  <si>
    <t>Marianna</t>
  </si>
  <si>
    <t>32447-0844</t>
  </si>
  <si>
    <t>Vazquez-Gits</t>
  </si>
  <si>
    <t xml:space="preserve">905 N 13th St </t>
  </si>
  <si>
    <t>60115-2541</t>
  </si>
  <si>
    <t>Marly</t>
  </si>
  <si>
    <t xml:space="preserve">400 Ionia Ave SW </t>
  </si>
  <si>
    <t>49503-4120</t>
  </si>
  <si>
    <t>Schwart</t>
  </si>
  <si>
    <t xml:space="preserve">505 Cumberland Ave </t>
  </si>
  <si>
    <t>Teaneck</t>
  </si>
  <si>
    <t>07666-2650</t>
  </si>
  <si>
    <t>Bertano</t>
  </si>
  <si>
    <t>Torino</t>
  </si>
  <si>
    <t>IT</t>
  </si>
  <si>
    <t>Baka</t>
  </si>
  <si>
    <t xml:space="preserve">3107 Knox Ave N </t>
  </si>
  <si>
    <t>55411-1253</t>
  </si>
  <si>
    <t xml:space="preserve">8565 Placer Rd </t>
  </si>
  <si>
    <t>96001-9501</t>
  </si>
  <si>
    <t>Poore</t>
  </si>
  <si>
    <t xml:space="preserve">819 Maryland Ave </t>
  </si>
  <si>
    <t>48906-5538</t>
  </si>
  <si>
    <t>80813-1425</t>
  </si>
  <si>
    <t>Cherry Plain</t>
  </si>
  <si>
    <t>12040-0033</t>
  </si>
  <si>
    <t>Marine</t>
  </si>
  <si>
    <t xml:space="preserve">530 White Pine Blvd </t>
  </si>
  <si>
    <t>48917-7801</t>
  </si>
  <si>
    <t xml:space="preserve">110 Russell Ave </t>
  </si>
  <si>
    <t>Portola Valley</t>
  </si>
  <si>
    <t>94028-7214</t>
  </si>
  <si>
    <t xml:space="preserve">335 Old Ford Rd </t>
  </si>
  <si>
    <t>18661-8535</t>
  </si>
  <si>
    <t xml:space="preserve">202 Foster Ave </t>
  </si>
  <si>
    <t>11230-2119</t>
  </si>
  <si>
    <t xml:space="preserve">932 Sunnyfield Way </t>
  </si>
  <si>
    <t>89015-8545</t>
  </si>
  <si>
    <t>Czichos-Slaughter</t>
  </si>
  <si>
    <t>Romona</t>
  </si>
  <si>
    <t xml:space="preserve">1210 Manzanita Dr </t>
  </si>
  <si>
    <t>Hollister</t>
  </si>
  <si>
    <t>95023-6720</t>
  </si>
  <si>
    <t xml:space="preserve">2301 Westridge Ln </t>
  </si>
  <si>
    <t>55416-1976</t>
  </si>
  <si>
    <t xml:space="preserve">107 Wellington Dr </t>
  </si>
  <si>
    <t>35758-8487</t>
  </si>
  <si>
    <t>Devers</t>
  </si>
  <si>
    <t xml:space="preserve">141 S Penn St </t>
  </si>
  <si>
    <t>17401-3857</t>
  </si>
  <si>
    <t>Pflug</t>
  </si>
  <si>
    <t xml:space="preserve">50 Beers St Apt 8Z </t>
  </si>
  <si>
    <t>07735-1329</t>
  </si>
  <si>
    <t>Hornick</t>
  </si>
  <si>
    <t xml:space="preserve">492 W Jamison Pl </t>
  </si>
  <si>
    <t>80120-4265</t>
  </si>
  <si>
    <t xml:space="preserve">457 Meadow Branch Rd </t>
  </si>
  <si>
    <t>27312-7056</t>
  </si>
  <si>
    <t xml:space="preserve">1341 Meriwether Rd </t>
  </si>
  <si>
    <t>36117-3454</t>
  </si>
  <si>
    <t>Lauro</t>
  </si>
  <si>
    <t xml:space="preserve">3150 Binnacle Dr Apt 117 </t>
  </si>
  <si>
    <t>34103-2710</t>
  </si>
  <si>
    <t xml:space="preserve">4502 E Turney Ave </t>
  </si>
  <si>
    <t>85018-4372</t>
  </si>
  <si>
    <t>Kent-Berman</t>
  </si>
  <si>
    <t xml:space="preserve">235 E 22nd St Apt 12E </t>
  </si>
  <si>
    <t>10010-4638</t>
  </si>
  <si>
    <t>Oliver Borquez</t>
  </si>
  <si>
    <t xml:space="preserve">1325 Vance St Apt 201 </t>
  </si>
  <si>
    <t>80214-4286</t>
  </si>
  <si>
    <t>Higham</t>
  </si>
  <si>
    <t xml:space="preserve">14 QUOB Ln </t>
  </si>
  <si>
    <t xml:space="preserve">4228 Browning Chase Dr </t>
  </si>
  <si>
    <t xml:space="preserve">15 RUE AU MAIRE </t>
  </si>
  <si>
    <t>Paris-3e-Arrondissement</t>
  </si>
  <si>
    <t>Nellis</t>
  </si>
  <si>
    <t xml:space="preserve">725 N Bluegill St </t>
  </si>
  <si>
    <t>K. J.</t>
  </si>
  <si>
    <t xml:space="preserve">112 Oakwood Dr </t>
  </si>
  <si>
    <t xml:space="preserve">3011 N Marion St </t>
  </si>
  <si>
    <t>Alexander II</t>
  </si>
  <si>
    <t>Charles K.</t>
  </si>
  <si>
    <t xml:space="preserve">207 Sheridan Ave Apt 4 </t>
  </si>
  <si>
    <t>Annamarie</t>
  </si>
  <si>
    <t xml:space="preserve">9 Crescent Rd </t>
  </si>
  <si>
    <t>Zogbi</t>
  </si>
  <si>
    <t>Graciella</t>
  </si>
  <si>
    <t xml:space="preserve">1734 Jasmine Ave # 164 </t>
  </si>
  <si>
    <t>Ruggieri</t>
  </si>
  <si>
    <t xml:space="preserve">7647 Hemlock Ave </t>
  </si>
  <si>
    <t xml:space="preserve">532 W Marlin Ct </t>
  </si>
  <si>
    <t>Terrytown</t>
  </si>
  <si>
    <t>Hemann</t>
  </si>
  <si>
    <t>Mardette</t>
  </si>
  <si>
    <t xml:space="preserve">2337 E Earll Dr </t>
  </si>
  <si>
    <t>Spiegelman</t>
  </si>
  <si>
    <t xml:space="preserve">165 E 19th St Apt 5G </t>
  </si>
  <si>
    <t>Fassa</t>
  </si>
  <si>
    <t xml:space="preserve">1241 W Roger Rd Apt 4 </t>
  </si>
  <si>
    <t xml:space="preserve">Dol Y Dderwen </t>
  </si>
  <si>
    <t>Whitmoyer</t>
  </si>
  <si>
    <t xml:space="preserve">9804 W 400SL </t>
  </si>
  <si>
    <t>Lapel</t>
  </si>
  <si>
    <t>Cobble</t>
  </si>
  <si>
    <t xml:space="preserve">2732 Winding Trail Pl </t>
  </si>
  <si>
    <t>Overton</t>
  </si>
  <si>
    <t xml:space="preserve">1089 W Stanford Ave </t>
  </si>
  <si>
    <t>Lay</t>
  </si>
  <si>
    <t>Maranda</t>
  </si>
  <si>
    <t xml:space="preserve">524 E Buffalo St </t>
  </si>
  <si>
    <t>Kellyville</t>
  </si>
  <si>
    <t xml:space="preserve">PO Box 3140 </t>
  </si>
  <si>
    <t>Stateline</t>
  </si>
  <si>
    <t>Pokorny</t>
  </si>
  <si>
    <t xml:space="preserve">140 N Charlotte St </t>
  </si>
  <si>
    <t>Al Meqdad</t>
  </si>
  <si>
    <t xml:space="preserve">1905 Plainfield Rd </t>
  </si>
  <si>
    <t>Prince</t>
  </si>
  <si>
    <t xml:space="preserve">PO Box 1991 </t>
  </si>
  <si>
    <t>Rall</t>
  </si>
  <si>
    <t xml:space="preserve">2217 W Crown Ave </t>
  </si>
  <si>
    <t>D A</t>
  </si>
  <si>
    <t xml:space="preserve">7755 Glen </t>
  </si>
  <si>
    <t>Eastport</t>
  </si>
  <si>
    <t xml:space="preserve">26 Yarmouth Rd </t>
  </si>
  <si>
    <t>Schultze</t>
  </si>
  <si>
    <t xml:space="preserve">17811 Lake Carlton Dr Apt D </t>
  </si>
  <si>
    <t>Kiralis</t>
  </si>
  <si>
    <t xml:space="preserve">410 Potato Hii Rd </t>
  </si>
  <si>
    <t>Fairlee</t>
  </si>
  <si>
    <t xml:space="preserve">1334 Purdue Ave </t>
  </si>
  <si>
    <t>Morrone</t>
  </si>
  <si>
    <t xml:space="preserve">1 Martin Rd </t>
  </si>
  <si>
    <t xml:space="preserve">500 Jimmy Ann Dr Apt 126 </t>
  </si>
  <si>
    <t>Hendershot</t>
  </si>
  <si>
    <t>Elenore</t>
  </si>
  <si>
    <t xml:space="preserve">404 US Highway 46 </t>
  </si>
  <si>
    <t>Great Meadows</t>
  </si>
  <si>
    <t>Fassbender</t>
  </si>
  <si>
    <t>Sybille</t>
  </si>
  <si>
    <t xml:space="preserve">AM JUDENFRIEDHOF 11 </t>
  </si>
  <si>
    <t>Mendig</t>
  </si>
  <si>
    <t xml:space="preserve">4523 W Horsenettle Dr </t>
  </si>
  <si>
    <t xml:space="preserve">382 Mcgrew Dr </t>
  </si>
  <si>
    <t xml:space="preserve">9 Wicklow Pl </t>
  </si>
  <si>
    <t>Holdread</t>
  </si>
  <si>
    <t xml:space="preserve">3821 E Highway 160 Unit C </t>
  </si>
  <si>
    <t>Denny</t>
  </si>
  <si>
    <t xml:space="preserve">4590 SE Heron Loop </t>
  </si>
  <si>
    <t>Puett</t>
  </si>
  <si>
    <t xml:space="preserve">3104 Mistyglen Cir </t>
  </si>
  <si>
    <t>Boynton</t>
  </si>
  <si>
    <t xml:space="preserve">34715 N Short Rd </t>
  </si>
  <si>
    <t xml:space="preserve">7708 Wmonroe St </t>
  </si>
  <si>
    <t xml:space="preserve">530 Sand Bend Dr # B </t>
  </si>
  <si>
    <t>Shasky</t>
  </si>
  <si>
    <t xml:space="preserve">2500 E Las Olas Blvd </t>
  </si>
  <si>
    <t xml:space="preserve">2236 N Terrace Ave </t>
  </si>
  <si>
    <t>Schnaath</t>
  </si>
  <si>
    <t>Rocky</t>
  </si>
  <si>
    <t xml:space="preserve">565 Bellevue Ave Apt 1103 </t>
  </si>
  <si>
    <t>Badiyan</t>
  </si>
  <si>
    <t xml:space="preserve">170 Sunrise Ave </t>
  </si>
  <si>
    <t>Frankowski</t>
  </si>
  <si>
    <t>Ann Christine</t>
  </si>
  <si>
    <t xml:space="preserve">9465 Black Velvet </t>
  </si>
  <si>
    <t>De Blij</t>
  </si>
  <si>
    <t xml:space="preserve">1400 Madrid St </t>
  </si>
  <si>
    <t xml:space="preserve">441 E 12th St Apt 3C </t>
  </si>
  <si>
    <t xml:space="preserve">7007 Kingshollow Dr </t>
  </si>
  <si>
    <t xml:space="preserve">1725 Upper Schooner Rd Apt A </t>
  </si>
  <si>
    <t xml:space="preserve">19 Norwich Rd </t>
  </si>
  <si>
    <t xml:space="preserve">3066 S 8th St </t>
  </si>
  <si>
    <t xml:space="preserve">495 Beam Church Rd </t>
  </si>
  <si>
    <t>Thielert</t>
  </si>
  <si>
    <t xml:space="preserve">Am Ortfelde 78 </t>
  </si>
  <si>
    <t>Christianson</t>
  </si>
  <si>
    <t xml:space="preserve">2614 S Bay Dr S </t>
  </si>
  <si>
    <t xml:space="preserve">6056 Meadow Ln </t>
  </si>
  <si>
    <t>Bakerstown</t>
  </si>
  <si>
    <t>15007-9720</t>
  </si>
  <si>
    <t>McGuire Davi</t>
  </si>
  <si>
    <t xml:space="preserve">497 Reis Ave </t>
  </si>
  <si>
    <t>07649-2623</t>
  </si>
  <si>
    <t>Pinsky</t>
  </si>
  <si>
    <t xml:space="preserve">50 Vista Del Sol </t>
  </si>
  <si>
    <t>87059-7950</t>
  </si>
  <si>
    <t>Laukoter</t>
  </si>
  <si>
    <t xml:space="preserve">3129 Mayfair Dr </t>
  </si>
  <si>
    <t>75007-3935</t>
  </si>
  <si>
    <t>Kapcsos</t>
  </si>
  <si>
    <t xml:space="preserve">4992 Derby Ln </t>
  </si>
  <si>
    <t>18020-9415</t>
  </si>
  <si>
    <t>McNaughton</t>
  </si>
  <si>
    <t xml:space="preserve">3993 Elwood Ct </t>
  </si>
  <si>
    <t>94519-1204</t>
  </si>
  <si>
    <t xml:space="preserve">545 Hilbert Dr </t>
  </si>
  <si>
    <t>92028-1603</t>
  </si>
  <si>
    <t>Prokopowycz</t>
  </si>
  <si>
    <t xml:space="preserve">677 Dewey St Apt 323 </t>
  </si>
  <si>
    <t>48446-1732</t>
  </si>
  <si>
    <t>Volponi</t>
  </si>
  <si>
    <t xml:space="preserve">17940 Sunset Peak Ct </t>
  </si>
  <si>
    <t>89508-6038</t>
  </si>
  <si>
    <t>Thomas-Kruse</t>
  </si>
  <si>
    <t xml:space="preserve">29429 N 132nd Ln </t>
  </si>
  <si>
    <t>85383-1956</t>
  </si>
  <si>
    <t>Sims</t>
  </si>
  <si>
    <t xml:space="preserve">2475 Sedona Cedar Ave </t>
  </si>
  <si>
    <t>89052-4919</t>
  </si>
  <si>
    <t xml:space="preserve">2426 Redoubt Ave Apt B7 </t>
  </si>
  <si>
    <t>Kenai</t>
  </si>
  <si>
    <t>99611-7235</t>
  </si>
  <si>
    <t xml:space="preserve">2050 US Highway 45 N </t>
  </si>
  <si>
    <t>54521-8601</t>
  </si>
  <si>
    <t xml:space="preserve">101 Providence St </t>
  </si>
  <si>
    <t>01020-1128</t>
  </si>
  <si>
    <t>Davis Gray</t>
  </si>
  <si>
    <t xml:space="preserve">1040 Grand Ave </t>
  </si>
  <si>
    <t>60506-2433</t>
  </si>
  <si>
    <t xml:space="preserve">3600 14th Ave SE Apt 14-102 </t>
  </si>
  <si>
    <t>98501-7447</t>
  </si>
  <si>
    <t>Kaileen</t>
  </si>
  <si>
    <t xml:space="preserve">464 Liberty St Apt 311 </t>
  </si>
  <si>
    <t>Little Ferry</t>
  </si>
  <si>
    <t xml:space="preserve">1593 Winterberry Ln </t>
  </si>
  <si>
    <t>Lefort</t>
  </si>
  <si>
    <t xml:space="preserve">921 N PARK St </t>
  </si>
  <si>
    <t>Hinshaw</t>
  </si>
  <si>
    <t xml:space="preserve">8317 Lullwater Dr </t>
  </si>
  <si>
    <t>Kolar</t>
  </si>
  <si>
    <t xml:space="preserve">20450 Crooked Rd </t>
  </si>
  <si>
    <t>44822-9488</t>
  </si>
  <si>
    <t>61108-5948</t>
  </si>
  <si>
    <t>Hietala</t>
  </si>
  <si>
    <t xml:space="preserve">26 Skylyn Ct </t>
  </si>
  <si>
    <t>28806-3922</t>
  </si>
  <si>
    <t xml:space="preserve">802 W Rosewood Dr </t>
  </si>
  <si>
    <t>47404-1813</t>
  </si>
  <si>
    <t>Jelli</t>
  </si>
  <si>
    <t xml:space="preserve">751 E Blithedale Ave Unit 1042 </t>
  </si>
  <si>
    <t>94942-8808</t>
  </si>
  <si>
    <t>Hanlin</t>
  </si>
  <si>
    <t>Janath</t>
  </si>
  <si>
    <t xml:space="preserve">PO Box 1956 </t>
  </si>
  <si>
    <t>96766-5956</t>
  </si>
  <si>
    <t>60148-2314</t>
  </si>
  <si>
    <t xml:space="preserve">4835 E Amazon Dr </t>
  </si>
  <si>
    <t>97405-4653</t>
  </si>
  <si>
    <t>Sparling</t>
  </si>
  <si>
    <t xml:space="preserve">1832 Pine Cir </t>
  </si>
  <si>
    <t>98264-9121</t>
  </si>
  <si>
    <t>Goodall</t>
  </si>
  <si>
    <t xml:space="preserve">2562 W Brutus St </t>
  </si>
  <si>
    <t>Weedsport</t>
  </si>
  <si>
    <t>13166-9424</t>
  </si>
  <si>
    <t>Lasman</t>
  </si>
  <si>
    <t xml:space="preserve">9301 Woodley Ave </t>
  </si>
  <si>
    <t>91343-2901</t>
  </si>
  <si>
    <t xml:space="preserve">3867 Lighthouse Way </t>
  </si>
  <si>
    <t>34652-6819</t>
  </si>
  <si>
    <t xml:space="preserve">23 Tenney Rd </t>
  </si>
  <si>
    <t>01886-1006</t>
  </si>
  <si>
    <t>Nothern</t>
  </si>
  <si>
    <t xml:space="preserve">363 Jacaranda Dr </t>
  </si>
  <si>
    <t>94506-2124</t>
  </si>
  <si>
    <t xml:space="preserve">5517 Hobart Ave </t>
  </si>
  <si>
    <t>West Palm Bch</t>
  </si>
  <si>
    <t>33405-3420</t>
  </si>
  <si>
    <t xml:space="preserve">122 Huron Dr </t>
  </si>
  <si>
    <t>07928-1238</t>
  </si>
  <si>
    <t>Neri</t>
  </si>
  <si>
    <t xml:space="preserve">125 Holmes St </t>
  </si>
  <si>
    <t>06615-6514</t>
  </si>
  <si>
    <t>Heck</t>
  </si>
  <si>
    <t xml:space="preserve">822 Speed St </t>
  </si>
  <si>
    <t>93454-6648</t>
  </si>
  <si>
    <t>Drouin</t>
  </si>
  <si>
    <t xml:space="preserve">241 Lanyon Dr </t>
  </si>
  <si>
    <t>06410-3178</t>
  </si>
  <si>
    <t xml:space="preserve">7760 Northedge Ct </t>
  </si>
  <si>
    <t>22153-4107</t>
  </si>
  <si>
    <t xml:space="preserve">6607 Firmament Ave </t>
  </si>
  <si>
    <t>91406-6225</t>
  </si>
  <si>
    <t>Choudhury</t>
  </si>
  <si>
    <t xml:space="preserve">288 Donald Dr </t>
  </si>
  <si>
    <t>94556-2310</t>
  </si>
  <si>
    <t>Licini</t>
  </si>
  <si>
    <t xml:space="preserve">790 Paseo De Florencio </t>
  </si>
  <si>
    <t>87501-6173</t>
  </si>
  <si>
    <t xml:space="preserve">442 Chandler Rd </t>
  </si>
  <si>
    <t>Blanch</t>
  </si>
  <si>
    <t>27212-8438</t>
  </si>
  <si>
    <t>Doblinger</t>
  </si>
  <si>
    <t xml:space="preserve">2485 Woodlytown Rd </t>
  </si>
  <si>
    <t>Magnolia</t>
  </si>
  <si>
    <t>19962-1453</t>
  </si>
  <si>
    <t xml:space="preserve">1973 Tate St Apt F205 </t>
  </si>
  <si>
    <t>94303-2595</t>
  </si>
  <si>
    <t xml:space="preserve">585 Showers St </t>
  </si>
  <si>
    <t>17104-1663</t>
  </si>
  <si>
    <t xml:space="preserve">15 -1655 1ST Ave </t>
  </si>
  <si>
    <t xml:space="preserve">820 Dekalb Ave NE Apt 10 </t>
  </si>
  <si>
    <t xml:space="preserve">82 PO </t>
  </si>
  <si>
    <t>Nahcotta</t>
  </si>
  <si>
    <t>Deshazo</t>
  </si>
  <si>
    <t xml:space="preserve">240 Shavano Ave </t>
  </si>
  <si>
    <t>Lian</t>
  </si>
  <si>
    <t xml:space="preserve">408 3rd St N Apt 101 </t>
  </si>
  <si>
    <t>Stoeber</t>
  </si>
  <si>
    <t xml:space="preserve">3453 Camino Valencia </t>
  </si>
  <si>
    <t>92009-6042</t>
  </si>
  <si>
    <t>Duon</t>
  </si>
  <si>
    <t xml:space="preserve">3009 Daimler St </t>
  </si>
  <si>
    <t>92705-5812</t>
  </si>
  <si>
    <t xml:space="preserve">32471 Azores Rd </t>
  </si>
  <si>
    <t>Monarch Beach</t>
  </si>
  <si>
    <t>92629-3606</t>
  </si>
  <si>
    <t xml:space="preserve">206 E Lorain St </t>
  </si>
  <si>
    <t>44074-1214</t>
  </si>
  <si>
    <t xml:space="preserve">655 Clearview Dr </t>
  </si>
  <si>
    <t>29412-4508</t>
  </si>
  <si>
    <t>Cowie</t>
  </si>
  <si>
    <t xml:space="preserve">6053 Fountain Pointe Apt 6 </t>
  </si>
  <si>
    <t>48439-7789</t>
  </si>
  <si>
    <t>Ingenito</t>
  </si>
  <si>
    <t xml:space="preserve">251 Lakeside Xing </t>
  </si>
  <si>
    <t>17552-9058</t>
  </si>
  <si>
    <t>Bettemae</t>
  </si>
  <si>
    <t xml:space="preserve">420 De Soto St SE </t>
  </si>
  <si>
    <t>87123-3493</t>
  </si>
  <si>
    <t xml:space="preserve">155 Grand Ave </t>
  </si>
  <si>
    <t>94612-3758</t>
  </si>
  <si>
    <t xml:space="preserve">2701 Pinelog Ln </t>
  </si>
  <si>
    <t>29455-3252</t>
  </si>
  <si>
    <t xml:space="preserve">31251 Wrencrest Dr </t>
  </si>
  <si>
    <t>33543-7885</t>
  </si>
  <si>
    <t xml:space="preserve">5713 Friendswood Dr </t>
  </si>
  <si>
    <t>27409-2205</t>
  </si>
  <si>
    <t>Van Straalen</t>
  </si>
  <si>
    <t xml:space="preserve">512 Walnut St </t>
  </si>
  <si>
    <t>94952-2752</t>
  </si>
  <si>
    <t xml:space="preserve">5802 Shadow Creek Dr Apt 2 </t>
  </si>
  <si>
    <t xml:space="preserve">PO Box 131584 </t>
  </si>
  <si>
    <t>Iacob</t>
  </si>
  <si>
    <t>Noa</t>
  </si>
  <si>
    <t xml:space="preserve">Nmiacob Gmailcom </t>
  </si>
  <si>
    <t>Arioli</t>
  </si>
  <si>
    <t xml:space="preserve">Kristinarioli Yahoocom </t>
  </si>
  <si>
    <t>Hatten</t>
  </si>
  <si>
    <t xml:space="preserve">120 1/2 E Main St </t>
  </si>
  <si>
    <t>Frilick</t>
  </si>
  <si>
    <t xml:space="preserve">801 N Glassy Mountain Rd </t>
  </si>
  <si>
    <t xml:space="preserve">12330 Crackerneck Rd </t>
  </si>
  <si>
    <t>62293-3312</t>
  </si>
  <si>
    <t xml:space="preserve">1814 W Kilgore Rd </t>
  </si>
  <si>
    <t>49008-3539</t>
  </si>
  <si>
    <t xml:space="preserve">40 Half Moon Trl </t>
  </si>
  <si>
    <t>02879-2064</t>
  </si>
  <si>
    <t>Neufeld-Williams</t>
  </si>
  <si>
    <t xml:space="preserve">411 E Cherry Ave </t>
  </si>
  <si>
    <t>93420-3434</t>
  </si>
  <si>
    <t xml:space="preserve">11 Aspen Dr </t>
  </si>
  <si>
    <t>07006-4555</t>
  </si>
  <si>
    <t xml:space="preserve">15220 NE 3rd Pl </t>
  </si>
  <si>
    <t>98007-5008</t>
  </si>
  <si>
    <t>Alzuro</t>
  </si>
  <si>
    <t>Hernan</t>
  </si>
  <si>
    <t xml:space="preserve">3942 Portland St </t>
  </si>
  <si>
    <t>75038-6652</t>
  </si>
  <si>
    <t xml:space="preserve">23320 Rolling Ct </t>
  </si>
  <si>
    <t>Lexington Park</t>
  </si>
  <si>
    <t>20653-3322</t>
  </si>
  <si>
    <t>Rostagno-Lasky</t>
  </si>
  <si>
    <t xml:space="preserve">2533 Batchelder St Apt 8D </t>
  </si>
  <si>
    <t>11235-1420</t>
  </si>
  <si>
    <t xml:space="preserve">75 Pinetree Dr </t>
  </si>
  <si>
    <t>43023-9317</t>
  </si>
  <si>
    <t>Aster</t>
  </si>
  <si>
    <t xml:space="preserve">214 Charleston Ave </t>
  </si>
  <si>
    <t>43214-1204</t>
  </si>
  <si>
    <t>Hartov</t>
  </si>
  <si>
    <t xml:space="preserve">136 Kluge Rd </t>
  </si>
  <si>
    <t>03748-3728</t>
  </si>
  <si>
    <t xml:space="preserve">1 Salty Way </t>
  </si>
  <si>
    <t>Halesite</t>
  </si>
  <si>
    <t>11743-1107</t>
  </si>
  <si>
    <t>Cotnior</t>
  </si>
  <si>
    <t xml:space="preserve">73 Lenox Ct </t>
  </si>
  <si>
    <t>02852-4912</t>
  </si>
  <si>
    <t>Kornmann</t>
  </si>
  <si>
    <t xml:space="preserve">1735 Van Buren Ave </t>
  </si>
  <si>
    <t xml:space="preserve">107 4th Ave N Apt 5 </t>
  </si>
  <si>
    <t>Strum</t>
  </si>
  <si>
    <t>Rima</t>
  </si>
  <si>
    <t xml:space="preserve">632 Bayside Rd </t>
  </si>
  <si>
    <t>Zuber</t>
  </si>
  <si>
    <t>Blaire</t>
  </si>
  <si>
    <t xml:space="preserve">32 Lewis Rd </t>
  </si>
  <si>
    <t>Neary</t>
  </si>
  <si>
    <t>Eamonn</t>
  </si>
  <si>
    <t xml:space="preserve">LONG CANYON Dr </t>
  </si>
  <si>
    <t xml:space="preserve">3817 N Paulina St </t>
  </si>
  <si>
    <t>Ganassi</t>
  </si>
  <si>
    <t xml:space="preserve">18 Tower Ln Apt 354 </t>
  </si>
  <si>
    <t xml:space="preserve">N5011 County Road 607 </t>
  </si>
  <si>
    <t>Heinecke</t>
  </si>
  <si>
    <t>Fred And Cheryl</t>
  </si>
  <si>
    <t xml:space="preserve">47 Marbella </t>
  </si>
  <si>
    <t xml:space="preserve">2130 Treeridge Dr SE </t>
  </si>
  <si>
    <t xml:space="preserve">865 W Olive Ave Unit A </t>
  </si>
  <si>
    <t>Whitener</t>
  </si>
  <si>
    <t>Dr. Scott</t>
  </si>
  <si>
    <t xml:space="preserve">21 Buffa Dr </t>
  </si>
  <si>
    <t xml:space="preserve">832 Osito Pl </t>
  </si>
  <si>
    <t xml:space="preserve">PO Box 195 </t>
  </si>
  <si>
    <t>Zrobek</t>
  </si>
  <si>
    <t xml:space="preserve">PO Box 366 </t>
  </si>
  <si>
    <t>46536-0366</t>
  </si>
  <si>
    <t>Debolt</t>
  </si>
  <si>
    <t xml:space="preserve">8818 NE 138th St </t>
  </si>
  <si>
    <t>98034-1736</t>
  </si>
  <si>
    <t xml:space="preserve">4510 NW 68th Ct </t>
  </si>
  <si>
    <t>Redman</t>
  </si>
  <si>
    <t xml:space="preserve">515 P St </t>
  </si>
  <si>
    <t>Mansell</t>
  </si>
  <si>
    <t xml:space="preserve">13422 Iowa St </t>
  </si>
  <si>
    <t xml:space="preserve">2625 Burnside Rd </t>
  </si>
  <si>
    <t>06405-3301</t>
  </si>
  <si>
    <t xml:space="preserve">168 Glenmore St </t>
  </si>
  <si>
    <t>East Williston</t>
  </si>
  <si>
    <t>11596-1411</t>
  </si>
  <si>
    <t>Norden</t>
  </si>
  <si>
    <t xml:space="preserve">22290 County Rd S </t>
  </si>
  <si>
    <t>Defiance</t>
  </si>
  <si>
    <t>43512-9509</t>
  </si>
  <si>
    <t>Genson</t>
  </si>
  <si>
    <t xml:space="preserve">105 Adair Ct </t>
  </si>
  <si>
    <t>60061-1701</t>
  </si>
  <si>
    <t>Hasselbach</t>
  </si>
  <si>
    <t xml:space="preserve">1321 SW 23rd Ave </t>
  </si>
  <si>
    <t>33312-4060</t>
  </si>
  <si>
    <t xml:space="preserve">957 N 12th St </t>
  </si>
  <si>
    <t>60115-2515</t>
  </si>
  <si>
    <t>Bramlage</t>
  </si>
  <si>
    <t xml:space="preserve">832 Warfield Ave </t>
  </si>
  <si>
    <t>94610-2117</t>
  </si>
  <si>
    <t>Maron-Oliver</t>
  </si>
  <si>
    <t xml:space="preserve">75 Blue Heron Dr </t>
  </si>
  <si>
    <t>98632-9280</t>
  </si>
  <si>
    <t xml:space="preserve">12989 W 68th Ave </t>
  </si>
  <si>
    <t xml:space="preserve">3025 S Washington Ave </t>
  </si>
  <si>
    <t xml:space="preserve">913 Marshall St </t>
  </si>
  <si>
    <t>Goldbach</t>
  </si>
  <si>
    <t xml:space="preserve">1712 Lake Dr </t>
  </si>
  <si>
    <t>Cardiff By The Sea</t>
  </si>
  <si>
    <t>Fraker</t>
  </si>
  <si>
    <t xml:space="preserve">314 N Wilson St </t>
  </si>
  <si>
    <t xml:space="preserve">1007 S Stanley Ave </t>
  </si>
  <si>
    <t>Zwirtz</t>
  </si>
  <si>
    <t xml:space="preserve">1650 E Blacklidge Dr Apt 1 </t>
  </si>
  <si>
    <t xml:space="preserve">14000 Bunratty Dr </t>
  </si>
  <si>
    <t xml:space="preserve">10124 4th St </t>
  </si>
  <si>
    <t>Klimczak</t>
  </si>
  <si>
    <t xml:space="preserve">7209 Bateman St </t>
  </si>
  <si>
    <t>Naccarato</t>
  </si>
  <si>
    <t xml:space="preserve">27111 N Gidiyup Trlp </t>
  </si>
  <si>
    <t>Dunbar</t>
  </si>
  <si>
    <t xml:space="preserve">504 Bauer Ave </t>
  </si>
  <si>
    <t>Mancos</t>
  </si>
  <si>
    <t>Wood Noel</t>
  </si>
  <si>
    <t xml:space="preserve">412 Main St Apt 3 </t>
  </si>
  <si>
    <t xml:space="preserve">UNIVERSITY Ave </t>
  </si>
  <si>
    <t xml:space="preserve">346 E Court St </t>
  </si>
  <si>
    <t>18901-4455</t>
  </si>
  <si>
    <t>Hailstone</t>
  </si>
  <si>
    <t xml:space="preserve">1206 Longhorn Way </t>
  </si>
  <si>
    <t>59105-4605</t>
  </si>
  <si>
    <t xml:space="preserve">4522 36th Ave W </t>
  </si>
  <si>
    <t>98199-1154</t>
  </si>
  <si>
    <t>Freels</t>
  </si>
  <si>
    <t xml:space="preserve">1714 Magnolia St SE </t>
  </si>
  <si>
    <t>98503-6927</t>
  </si>
  <si>
    <t xml:space="preserve">4038 E Glenrosa Ave </t>
  </si>
  <si>
    <t>85018-4112</t>
  </si>
  <si>
    <t>Loewenstein</t>
  </si>
  <si>
    <t xml:space="preserve">403 6th Ave Apt 15 </t>
  </si>
  <si>
    <t>11215-3352</t>
  </si>
  <si>
    <t xml:space="preserve">118 November Dr </t>
  </si>
  <si>
    <t>17011-5044</t>
  </si>
  <si>
    <t xml:space="preserve">8247 SW 78th Cir </t>
  </si>
  <si>
    <t>34476-4520</t>
  </si>
  <si>
    <t>Fitzgerald-Case</t>
  </si>
  <si>
    <t xml:space="preserve">46 -090 Konohiki St Apt 3402 </t>
  </si>
  <si>
    <t>96744-6102</t>
  </si>
  <si>
    <t>Vanantwerp</t>
  </si>
  <si>
    <t xml:space="preserve">863 W Chiva Ct </t>
  </si>
  <si>
    <t>Midvale</t>
  </si>
  <si>
    <t>84047-3505</t>
  </si>
  <si>
    <t>Lazar</t>
  </si>
  <si>
    <t xml:space="preserve">22 Spencer Ave </t>
  </si>
  <si>
    <t>07013-2812</t>
  </si>
  <si>
    <t xml:space="preserve">INTERLAKE N </t>
  </si>
  <si>
    <t>Hullman</t>
  </si>
  <si>
    <t xml:space="preserve">423 Allegheny Dr </t>
  </si>
  <si>
    <t>17402-5060</t>
  </si>
  <si>
    <t>Lemberg</t>
  </si>
  <si>
    <t xml:space="preserve">3507 Bayshore Blvd Unit 1003 </t>
  </si>
  <si>
    <t>33629-8957</t>
  </si>
  <si>
    <t>Sumas</t>
  </si>
  <si>
    <t>98295-1034</t>
  </si>
  <si>
    <t xml:space="preserve">817 Manchester Ct </t>
  </si>
  <si>
    <t>34223-6060</t>
  </si>
  <si>
    <t>Oberst</t>
  </si>
  <si>
    <t>Della</t>
  </si>
  <si>
    <t xml:space="preserve">4653 Greendale Way </t>
  </si>
  <si>
    <t>27103-9775</t>
  </si>
  <si>
    <t>Fuchs</t>
  </si>
  <si>
    <t xml:space="preserve">10847 Cypress Glen Dr </t>
  </si>
  <si>
    <t>Coral Springs</t>
  </si>
  <si>
    <t>33071-8100</t>
  </si>
  <si>
    <t xml:space="preserve">11305 Collingwood Ln </t>
  </si>
  <si>
    <t>30022-3455</t>
  </si>
  <si>
    <t>Rollings</t>
  </si>
  <si>
    <t xml:space="preserve">8 Webb Pl </t>
  </si>
  <si>
    <t>32164-7770</t>
  </si>
  <si>
    <t xml:space="preserve">7434 Oak Grove Rd </t>
  </si>
  <si>
    <t>20115-3614</t>
  </si>
  <si>
    <t>Wootan</t>
  </si>
  <si>
    <t xml:space="preserve">3862 W 20th St </t>
  </si>
  <si>
    <t>44109-2936</t>
  </si>
  <si>
    <t>Brownfield</t>
  </si>
  <si>
    <t xml:space="preserve">1715 Quartz Mountain Dr </t>
  </si>
  <si>
    <t>80118-8236</t>
  </si>
  <si>
    <t xml:space="preserve">7409 N Donnelly Ave </t>
  </si>
  <si>
    <t>64158-1232</t>
  </si>
  <si>
    <t xml:space="preserve">686 Forest Ave </t>
  </si>
  <si>
    <t>Larchmont</t>
  </si>
  <si>
    <t>10538-1535</t>
  </si>
  <si>
    <t>Gavison</t>
  </si>
  <si>
    <t xml:space="preserve">9850 Arapahoe Rd </t>
  </si>
  <si>
    <t>80026-9306</t>
  </si>
  <si>
    <t>Sanson</t>
  </si>
  <si>
    <t>Janick</t>
  </si>
  <si>
    <t xml:space="preserve">Champcreux </t>
  </si>
  <si>
    <t>Hauprich</t>
  </si>
  <si>
    <t xml:space="preserve">PO Box 321 </t>
  </si>
  <si>
    <t>Islesboro</t>
  </si>
  <si>
    <t>04848-0321</t>
  </si>
  <si>
    <t>Osgood</t>
  </si>
  <si>
    <t>Karen And Edward</t>
  </si>
  <si>
    <t xml:space="preserve">PO Box 2335 </t>
  </si>
  <si>
    <t>95611-2335</t>
  </si>
  <si>
    <t>Tachibana</t>
  </si>
  <si>
    <t xml:space="preserve">2102 Linnington Ave </t>
  </si>
  <si>
    <t>90025-5904</t>
  </si>
  <si>
    <t xml:space="preserve">4259 Redonda Ln </t>
  </si>
  <si>
    <t>Soldate</t>
  </si>
  <si>
    <t xml:space="preserve">37206 Sapphire Rd </t>
  </si>
  <si>
    <t>Burney</t>
  </si>
  <si>
    <t>96013-4213</t>
  </si>
  <si>
    <t>Mesler</t>
  </si>
  <si>
    <t xml:space="preserve">1100 W Hibiscus Blvd </t>
  </si>
  <si>
    <t xml:space="preserve">27445 County Road 23 </t>
  </si>
  <si>
    <t>Adcock</t>
  </si>
  <si>
    <t xml:space="preserve">1208 Mockingbird Dr </t>
  </si>
  <si>
    <t>Floersch</t>
  </si>
  <si>
    <t xml:space="preserve">605 Dorothy Dr </t>
  </si>
  <si>
    <t>37072-3416</t>
  </si>
  <si>
    <t>Wildermuth</t>
  </si>
  <si>
    <t xml:space="preserve">1280 Spruce Corner Rd </t>
  </si>
  <si>
    <t>Ashfield</t>
  </si>
  <si>
    <t>01330-9746</t>
  </si>
  <si>
    <t xml:space="preserve">5432 Connecticut Ave NW </t>
  </si>
  <si>
    <t>20015-2860</t>
  </si>
  <si>
    <t>Sperry</t>
  </si>
  <si>
    <t xml:space="preserve">5 Saint Collom Dr </t>
  </si>
  <si>
    <t>Arida</t>
  </si>
  <si>
    <t xml:space="preserve">19214 Tanoan </t>
  </si>
  <si>
    <t xml:space="preserve">713 E 55th St </t>
  </si>
  <si>
    <t xml:space="preserve">1930 Whisper Lake Dr # A </t>
  </si>
  <si>
    <t>Whitsett</t>
  </si>
  <si>
    <t>Roper</t>
  </si>
  <si>
    <t xml:space="preserve">1638 Virginia Ave Apt L </t>
  </si>
  <si>
    <t>Skalic</t>
  </si>
  <si>
    <t xml:space="preserve">Levstikova Ulica 4 </t>
  </si>
  <si>
    <t xml:space="preserve">99 Diamond Isle </t>
  </si>
  <si>
    <t>Cassopolis</t>
  </si>
  <si>
    <t>Polley</t>
  </si>
  <si>
    <t xml:space="preserve">6201 N Wayne Ave Apt 2 </t>
  </si>
  <si>
    <t>John And Virginia</t>
  </si>
  <si>
    <t xml:space="preserve">5375 Cedar Point Rd </t>
  </si>
  <si>
    <t xml:space="preserve">7122 Grand Prairie Dr </t>
  </si>
  <si>
    <t>Langelan</t>
  </si>
  <si>
    <t xml:space="preserve">7215 Chestnut St </t>
  </si>
  <si>
    <t xml:space="preserve">3829 Rogue River Hwy </t>
  </si>
  <si>
    <t>Davvon</t>
  </si>
  <si>
    <t xml:space="preserve">1939 NW 81st St </t>
  </si>
  <si>
    <t xml:space="preserve">3224 Highway 20 Unit 10 </t>
  </si>
  <si>
    <t>Fraad</t>
  </si>
  <si>
    <t xml:space="preserve">12 Stuyvesant Oval # NY </t>
  </si>
  <si>
    <t>Dicillo</t>
  </si>
  <si>
    <t xml:space="preserve">6419 Erna Dr </t>
  </si>
  <si>
    <t>Barbee</t>
  </si>
  <si>
    <t xml:space="preserve">235 Blossom Dr </t>
  </si>
  <si>
    <t>Moxee</t>
  </si>
  <si>
    <t xml:space="preserve">8404 Los Ranchos Dr </t>
  </si>
  <si>
    <t>78749-3902</t>
  </si>
  <si>
    <t xml:space="preserve">CARMEL </t>
  </si>
  <si>
    <t>Mattioni</t>
  </si>
  <si>
    <t xml:space="preserve">6421 Back Creek Rd </t>
  </si>
  <si>
    <t>Boones Mill</t>
  </si>
  <si>
    <t>24065-2011</t>
  </si>
  <si>
    <t>Mj</t>
  </si>
  <si>
    <t xml:space="preserve">1 Marked Tree Rd </t>
  </si>
  <si>
    <t>02492-1721</t>
  </si>
  <si>
    <t>Putman</t>
  </si>
  <si>
    <t xml:space="preserve">11334 Lazarro Ln </t>
  </si>
  <si>
    <t>77406-1526</t>
  </si>
  <si>
    <t>R. Watson</t>
  </si>
  <si>
    <t xml:space="preserve">701 Central Ave </t>
  </si>
  <si>
    <t>95476-3938</t>
  </si>
  <si>
    <t>Jurgensen</t>
  </si>
  <si>
    <t>Jens</t>
  </si>
  <si>
    <t xml:space="preserve">316 W 107th St </t>
  </si>
  <si>
    <t>10025-2714</t>
  </si>
  <si>
    <t>De La Giroday</t>
  </si>
  <si>
    <t>Francois</t>
  </si>
  <si>
    <t xml:space="preserve">2509 E Falcon Way </t>
  </si>
  <si>
    <t>84093-2820</t>
  </si>
  <si>
    <t>Chihlan</t>
  </si>
  <si>
    <t xml:space="preserve">3002 W Adams Ave Apt B </t>
  </si>
  <si>
    <t>52556-9078</t>
  </si>
  <si>
    <t xml:space="preserve">29 E 64th St </t>
  </si>
  <si>
    <t>10065-7003</t>
  </si>
  <si>
    <t>Dvm</t>
  </si>
  <si>
    <t xml:space="preserve">10621 FM 2450 </t>
  </si>
  <si>
    <t>76266-6294</t>
  </si>
  <si>
    <t xml:space="preserve">1404 11th St </t>
  </si>
  <si>
    <t>90266-6108</t>
  </si>
  <si>
    <t>Shansby</t>
  </si>
  <si>
    <t xml:space="preserve">HAWKESBURY Ter </t>
  </si>
  <si>
    <t>Dieringer</t>
  </si>
  <si>
    <t>Irini</t>
  </si>
  <si>
    <t xml:space="preserve">18695 Pony Express Dr </t>
  </si>
  <si>
    <t>80134-1500</t>
  </si>
  <si>
    <t xml:space="preserve">13421 26th Ave NE </t>
  </si>
  <si>
    <t>98125-4307</t>
  </si>
  <si>
    <t>Alcott</t>
  </si>
  <si>
    <t xml:space="preserve">10 Soule St Apt 302 </t>
  </si>
  <si>
    <t>04106-3637</t>
  </si>
  <si>
    <t>Staudt</t>
  </si>
  <si>
    <t xml:space="preserve">414 Mystic Way </t>
  </si>
  <si>
    <t>11706-7149</t>
  </si>
  <si>
    <t xml:space="preserve">1240 Tamm Ave # A </t>
  </si>
  <si>
    <t>63139-3460</t>
  </si>
  <si>
    <t>Casale</t>
  </si>
  <si>
    <t xml:space="preserve">309 Glencrest Dr </t>
  </si>
  <si>
    <t>92075-1406</t>
  </si>
  <si>
    <t xml:space="preserve">PO Box 1672 </t>
  </si>
  <si>
    <t>03105-1672</t>
  </si>
  <si>
    <t>Mull-Scotty</t>
  </si>
  <si>
    <t xml:space="preserve">7121 SE 113th Ave </t>
  </si>
  <si>
    <t>97266-4951</t>
  </si>
  <si>
    <t>Bonnie J.</t>
  </si>
  <si>
    <t xml:space="preserve">1922 Mud Pike # VA24073 </t>
  </si>
  <si>
    <t>24073-7032</t>
  </si>
  <si>
    <t>Riopelle</t>
  </si>
  <si>
    <t xml:space="preserve">5881 Cook Rd </t>
  </si>
  <si>
    <t>45150-5523</t>
  </si>
  <si>
    <t>Selekman</t>
  </si>
  <si>
    <t xml:space="preserve">376 Bala Ave </t>
  </si>
  <si>
    <t>19004-2833</t>
  </si>
  <si>
    <t xml:space="preserve">35160 Mesa Grande Dr # 160 </t>
  </si>
  <si>
    <t xml:space="preserve">39 ELM </t>
  </si>
  <si>
    <t xml:space="preserve">6103 Staple Rd </t>
  </si>
  <si>
    <t xml:space="preserve">3450 Golden Ave Apt 18 </t>
  </si>
  <si>
    <t>Lario</t>
  </si>
  <si>
    <t>Rocio</t>
  </si>
  <si>
    <t xml:space="preserve">4900 30th Ave SE </t>
  </si>
  <si>
    <t>Elsy</t>
  </si>
  <si>
    <t xml:space="preserve">7305 Aberdeen Ave Apt 2701 </t>
  </si>
  <si>
    <t xml:space="preserve">79 Aberdeen Rd </t>
  </si>
  <si>
    <t>02171-1324</t>
  </si>
  <si>
    <t>Pedone</t>
  </si>
  <si>
    <t xml:space="preserve">23090 Pinecrest Rd </t>
  </si>
  <si>
    <t>80401-9564</t>
  </si>
  <si>
    <t>Kleege</t>
  </si>
  <si>
    <t xml:space="preserve">1 Stonehenge Ln </t>
  </si>
  <si>
    <t>Brannigan</t>
  </si>
  <si>
    <t xml:space="preserve">701 Barnwell St Apt A </t>
  </si>
  <si>
    <t xml:space="preserve">76 West St # 4F </t>
  </si>
  <si>
    <t>Winogrocki</t>
  </si>
  <si>
    <t xml:space="preserve">1020 Benton Ave Apt 2103 </t>
  </si>
  <si>
    <t>Arcaris</t>
  </si>
  <si>
    <t xml:space="preserve">2509 Lowell Ave </t>
  </si>
  <si>
    <t xml:space="preserve">233 HARVEST Ln </t>
  </si>
  <si>
    <t xml:space="preserve">745 5th Ave Ste 500 </t>
  </si>
  <si>
    <t>Hallmann</t>
  </si>
  <si>
    <t xml:space="preserve">45 Panagia </t>
  </si>
  <si>
    <t>Minet</t>
  </si>
  <si>
    <t xml:space="preserve">2020 Plesantview Ave </t>
  </si>
  <si>
    <t xml:space="preserve">28 Westhampton Way </t>
  </si>
  <si>
    <t>Rein</t>
  </si>
  <si>
    <t>Tellibayraktar</t>
  </si>
  <si>
    <t xml:space="preserve">12710 Watercress Park </t>
  </si>
  <si>
    <t xml:space="preserve">PO Box 202 </t>
  </si>
  <si>
    <t>85380-0202</t>
  </si>
  <si>
    <t xml:space="preserve">57 Christol St </t>
  </si>
  <si>
    <t>Metuchen</t>
  </si>
  <si>
    <t>08840-1406</t>
  </si>
  <si>
    <t>Crown</t>
  </si>
  <si>
    <t xml:space="preserve">PO Box 191 # 2 </t>
  </si>
  <si>
    <t>05065-0191</t>
  </si>
  <si>
    <t>Inslee</t>
  </si>
  <si>
    <t xml:space="preserve">332 Country Club Rd </t>
  </si>
  <si>
    <t>19320-1819</t>
  </si>
  <si>
    <t xml:space="preserve">213 Jones St </t>
  </si>
  <si>
    <t>Sun Prairie</t>
  </si>
  <si>
    <t>53590-2137</t>
  </si>
  <si>
    <t xml:space="preserve">7714 W Washington St </t>
  </si>
  <si>
    <t>46231-1337</t>
  </si>
  <si>
    <t>Alfreds</t>
  </si>
  <si>
    <t xml:space="preserve">7131 Toulon Dr NE </t>
  </si>
  <si>
    <t>87122-3326</t>
  </si>
  <si>
    <t>Meinert</t>
  </si>
  <si>
    <t xml:space="preserve">309 Cobbleview Dr </t>
  </si>
  <si>
    <t>29072-7425</t>
  </si>
  <si>
    <t>Armolt</t>
  </si>
  <si>
    <t xml:space="preserve">5229 Applecross Ave </t>
  </si>
  <si>
    <t>17202-7349</t>
  </si>
  <si>
    <t>Aber</t>
  </si>
  <si>
    <t xml:space="preserve">5507 Central St </t>
  </si>
  <si>
    <t>Giannavola</t>
  </si>
  <si>
    <t xml:space="preserve">70 N Laycock St </t>
  </si>
  <si>
    <t>20158-9042</t>
  </si>
  <si>
    <t xml:space="preserve">12045 Lincolnshire Dr </t>
  </si>
  <si>
    <t>78758-2217</t>
  </si>
  <si>
    <t xml:space="preserve">PO Box 768 </t>
  </si>
  <si>
    <t>Ramah</t>
  </si>
  <si>
    <t>87321-0768</t>
  </si>
  <si>
    <t>Win</t>
  </si>
  <si>
    <t>K. Nanamori</t>
  </si>
  <si>
    <t xml:space="preserve">2241 Young St </t>
  </si>
  <si>
    <t>Danforth</t>
  </si>
  <si>
    <t>04424-0263</t>
  </si>
  <si>
    <t>Silvestri</t>
  </si>
  <si>
    <t xml:space="preserve">73 Surrey Ave </t>
  </si>
  <si>
    <t>94941-2922</t>
  </si>
  <si>
    <t>Fabritz</t>
  </si>
  <si>
    <t xml:space="preserve">1707 W Sunshine Dr </t>
  </si>
  <si>
    <t>86005-9025</t>
  </si>
  <si>
    <t xml:space="preserve">1572 Sunset Cliffs Blvd </t>
  </si>
  <si>
    <t>92107-3432</t>
  </si>
  <si>
    <t>Lipschutz</t>
  </si>
  <si>
    <t xml:space="preserve">1851 Ivar Ave Apt 306 </t>
  </si>
  <si>
    <t>90028-5047</t>
  </si>
  <si>
    <t xml:space="preserve">40 W Hyatt Ave </t>
  </si>
  <si>
    <t>10549-2831</t>
  </si>
  <si>
    <t xml:space="preserve">84 Cantwell Dr </t>
  </si>
  <si>
    <t>14220-2602</t>
  </si>
  <si>
    <t xml:space="preserve">PO Box 748 </t>
  </si>
  <si>
    <t>22973-0748</t>
  </si>
  <si>
    <t>Brass</t>
  </si>
  <si>
    <t>95678-2207</t>
  </si>
  <si>
    <t>Ethan</t>
  </si>
  <si>
    <t xml:space="preserve">5345 Stream Bank Ln </t>
  </si>
  <si>
    <t>20770-4096</t>
  </si>
  <si>
    <t xml:space="preserve">1120 Rear Main Apt B </t>
  </si>
  <si>
    <t>65233-1787</t>
  </si>
  <si>
    <t>Grinel</t>
  </si>
  <si>
    <t xml:space="preserve">17445 Superior St </t>
  </si>
  <si>
    <t>91325-1836</t>
  </si>
  <si>
    <t xml:space="preserve">3554 Fox Ranch Rd N </t>
  </si>
  <si>
    <t>Rhinelander</t>
  </si>
  <si>
    <t>54501-9176</t>
  </si>
  <si>
    <t>Magone</t>
  </si>
  <si>
    <t>M. Elizabeth</t>
  </si>
  <si>
    <t xml:space="preserve">1520 York Ave Apt 15J </t>
  </si>
  <si>
    <t>10028-7010</t>
  </si>
  <si>
    <t xml:space="preserve">134 Sereno Dr </t>
  </si>
  <si>
    <t>Loretz-Frey</t>
  </si>
  <si>
    <t xml:space="preserve">66 Garland St </t>
  </si>
  <si>
    <t xml:space="preserve">654 N 18th St </t>
  </si>
  <si>
    <t xml:space="preserve">1712 Espinacitas St </t>
  </si>
  <si>
    <t>Weeber</t>
  </si>
  <si>
    <t xml:space="preserve">124 N Lane St </t>
  </si>
  <si>
    <t>Blissfield</t>
  </si>
  <si>
    <t>Stanborough</t>
  </si>
  <si>
    <t xml:space="preserve">1631 Inglewood Dr </t>
  </si>
  <si>
    <t>Calabro</t>
  </si>
  <si>
    <t xml:space="preserve">CURTIN Ln </t>
  </si>
  <si>
    <t>Del Signore</t>
  </si>
  <si>
    <t xml:space="preserve">245 CHARLIED Ln </t>
  </si>
  <si>
    <t>Rorrer</t>
  </si>
  <si>
    <t xml:space="preserve">992 Bellflower Dr </t>
  </si>
  <si>
    <t>Longs</t>
  </si>
  <si>
    <t xml:space="preserve">1963 N Cahuenga Blvd </t>
  </si>
  <si>
    <t>Johnson Sr.</t>
  </si>
  <si>
    <t>Byron J</t>
  </si>
  <si>
    <t xml:space="preserve">26 Kristen Ct </t>
  </si>
  <si>
    <t>Ammerman</t>
  </si>
  <si>
    <t xml:space="preserve">2001 Stuff Dr </t>
  </si>
  <si>
    <t>Blau</t>
  </si>
  <si>
    <t xml:space="preserve">218 Union St Rear </t>
  </si>
  <si>
    <t xml:space="preserve">4 Foxhill Rd </t>
  </si>
  <si>
    <t>Barrett III</t>
  </si>
  <si>
    <t xml:space="preserve">17637 Bullock St </t>
  </si>
  <si>
    <t>Tamiko</t>
  </si>
  <si>
    <t xml:space="preserve">511 E San Ysidro Blvd </t>
  </si>
  <si>
    <t>San Ysidro</t>
  </si>
  <si>
    <t>Fittipaldi</t>
  </si>
  <si>
    <t>Silvio</t>
  </si>
  <si>
    <t xml:space="preserve">5018 N Convent Ln Apt I </t>
  </si>
  <si>
    <t>McDevitt</t>
  </si>
  <si>
    <t xml:space="preserve">4819 Lockwood Cir </t>
  </si>
  <si>
    <t>Gottlieb</t>
  </si>
  <si>
    <t xml:space="preserve">PO Box 103 </t>
  </si>
  <si>
    <t>Standard</t>
  </si>
  <si>
    <t>Singels</t>
  </si>
  <si>
    <t xml:space="preserve">5555 ALPINE Loop </t>
  </si>
  <si>
    <t>Overby</t>
  </si>
  <si>
    <t>Nowell</t>
  </si>
  <si>
    <t xml:space="preserve">3114 Indian River Rd </t>
  </si>
  <si>
    <t xml:space="preserve">2001 Piner Rd </t>
  </si>
  <si>
    <t>Parvela</t>
  </si>
  <si>
    <t xml:space="preserve">1 OSITE </t>
  </si>
  <si>
    <t>Helsinki</t>
  </si>
  <si>
    <t xml:space="preserve">5730 Garden Ln NW </t>
  </si>
  <si>
    <t>Randolph-Lucchesi</t>
  </si>
  <si>
    <t xml:space="preserve">978 Eastern Ave </t>
  </si>
  <si>
    <t>Pericin</t>
  </si>
  <si>
    <t xml:space="preserve">10124 SW Windwood Way </t>
  </si>
  <si>
    <t>Kondis</t>
  </si>
  <si>
    <t xml:space="preserve">165 Sherwood Pass </t>
  </si>
  <si>
    <t>Coughenour</t>
  </si>
  <si>
    <t xml:space="preserve">3001 Guidiville Rd </t>
  </si>
  <si>
    <t xml:space="preserve">4650 Old Ranch Rd </t>
  </si>
  <si>
    <t>80908-6704</t>
  </si>
  <si>
    <t>Lucaciu</t>
  </si>
  <si>
    <t xml:space="preserve">2446 27Th Avenue Cir NE </t>
  </si>
  <si>
    <t>28601-7238</t>
  </si>
  <si>
    <t xml:space="preserve">7741 Nisenan Ct </t>
  </si>
  <si>
    <t>95843-2420</t>
  </si>
  <si>
    <t xml:space="preserve">5824 178th St SW </t>
  </si>
  <si>
    <t>98037-3560</t>
  </si>
  <si>
    <t>McSweeney</t>
  </si>
  <si>
    <t xml:space="preserve">139 S Redwood Hwy </t>
  </si>
  <si>
    <t>97523-9054</t>
  </si>
  <si>
    <t xml:space="preserve">1936 Oliver Ave # A </t>
  </si>
  <si>
    <t>92109-5564</t>
  </si>
  <si>
    <t>Jean W</t>
  </si>
  <si>
    <t xml:space="preserve">38790 Renwood Ave </t>
  </si>
  <si>
    <t>44011-5229</t>
  </si>
  <si>
    <t>Wishan</t>
  </si>
  <si>
    <t xml:space="preserve">17595 Kelok Rd </t>
  </si>
  <si>
    <t>97034-6653</t>
  </si>
  <si>
    <t xml:space="preserve">4612 North Ave </t>
  </si>
  <si>
    <t>92116-2620</t>
  </si>
  <si>
    <t xml:space="preserve">22 Burning Oak Trl </t>
  </si>
  <si>
    <t>60010-9046</t>
  </si>
  <si>
    <t>Shiver</t>
  </si>
  <si>
    <t xml:space="preserve">300 Placitas Rd NW </t>
  </si>
  <si>
    <t>87107-5333</t>
  </si>
  <si>
    <t>Tancrell</t>
  </si>
  <si>
    <t xml:space="preserve">199 Landing Ln </t>
  </si>
  <si>
    <t>89704-9513</t>
  </si>
  <si>
    <t>Lohan</t>
  </si>
  <si>
    <t xml:space="preserve">8 Parker Hill Ave </t>
  </si>
  <si>
    <t>02120-3235</t>
  </si>
  <si>
    <t>Branstetter</t>
  </si>
  <si>
    <t xml:space="preserve">PO Box 383 </t>
  </si>
  <si>
    <t>Applegate</t>
  </si>
  <si>
    <t>95703-0383</t>
  </si>
  <si>
    <t xml:space="preserve">612 Staunton Rd IL </t>
  </si>
  <si>
    <t>Diss</t>
  </si>
  <si>
    <t xml:space="preserve">645 Ocean Ave Apt F9 </t>
  </si>
  <si>
    <t>Throop</t>
  </si>
  <si>
    <t xml:space="preserve">8250 Powderhorn Trl SE </t>
  </si>
  <si>
    <t xml:space="preserve">39825 Moravian Dr </t>
  </si>
  <si>
    <t xml:space="preserve">534 Paris Ave </t>
  </si>
  <si>
    <t>61107-4443</t>
  </si>
  <si>
    <t>Doughtie</t>
  </si>
  <si>
    <t xml:space="preserve">4431 Rockingham Rd </t>
  </si>
  <si>
    <t>32303-7652</t>
  </si>
  <si>
    <t>Dechellis</t>
  </si>
  <si>
    <t xml:space="preserve">142 W 4th St </t>
  </si>
  <si>
    <t>Booy</t>
  </si>
  <si>
    <t>Marjan</t>
  </si>
  <si>
    <t xml:space="preserve">13 KARHUNTIE </t>
  </si>
  <si>
    <t>Haukivuori</t>
  </si>
  <si>
    <t>Seely</t>
  </si>
  <si>
    <t xml:space="preserve">4455 W Fox Farm Rd </t>
  </si>
  <si>
    <t>Manistee</t>
  </si>
  <si>
    <t>Hnastchenko</t>
  </si>
  <si>
    <t xml:space="preserve">1720 W 58th St </t>
  </si>
  <si>
    <t>Lsusan</t>
  </si>
  <si>
    <t xml:space="preserve">7905 Kilbourn Ave </t>
  </si>
  <si>
    <t>Nocella</t>
  </si>
  <si>
    <t xml:space="preserve">43 Columbia Ave </t>
  </si>
  <si>
    <t>Marstons Mills</t>
  </si>
  <si>
    <t xml:space="preserve">289 Honeysuckle Dr </t>
  </si>
  <si>
    <t>Rock Spring</t>
  </si>
  <si>
    <t>Malone - Fochs</t>
  </si>
  <si>
    <t xml:space="preserve">N91W29779 Center Oak Rd </t>
  </si>
  <si>
    <t xml:space="preserve">No No </t>
  </si>
  <si>
    <t>Crimmins</t>
  </si>
  <si>
    <t xml:space="preserve">2064 Brampton Rd </t>
  </si>
  <si>
    <t>Berges</t>
  </si>
  <si>
    <t xml:space="preserve">11900 85th Ter </t>
  </si>
  <si>
    <t>Seminole</t>
  </si>
  <si>
    <t>Bedart-Vachez</t>
  </si>
  <si>
    <t xml:space="preserve">VUELTA MARIA </t>
  </si>
  <si>
    <t>Wilbanks</t>
  </si>
  <si>
    <t xml:space="preserve">8558 Brittania Way </t>
  </si>
  <si>
    <t xml:space="preserve">524 Elizabeth St </t>
  </si>
  <si>
    <t>Schexnayder</t>
  </si>
  <si>
    <t>Gracia</t>
  </si>
  <si>
    <t xml:space="preserve">987 Mills Corner Ln </t>
  </si>
  <si>
    <t>Potasky</t>
  </si>
  <si>
    <t>P Diane</t>
  </si>
  <si>
    <t xml:space="preserve">167 Ridgeway Dr </t>
  </si>
  <si>
    <t>Rics</t>
  </si>
  <si>
    <t xml:space="preserve">2418 Matthew Ln </t>
  </si>
  <si>
    <t>Escalon</t>
  </si>
  <si>
    <t xml:space="preserve">505 E 82nd St </t>
  </si>
  <si>
    <t xml:space="preserve">422 E Palmer St </t>
  </si>
  <si>
    <t>Lipari</t>
  </si>
  <si>
    <t>Shanti Jane</t>
  </si>
  <si>
    <t xml:space="preserve">1565 Wawona Dr </t>
  </si>
  <si>
    <t>Ballin</t>
  </si>
  <si>
    <t xml:space="preserve">375 BRUNSWICK Ave Apt 306 </t>
  </si>
  <si>
    <t xml:space="preserve">Carol Monaco </t>
  </si>
  <si>
    <t xml:space="preserve">1403 N Vista St </t>
  </si>
  <si>
    <t>Kirby</t>
  </si>
  <si>
    <t xml:space="preserve">13590 Hill Way </t>
  </si>
  <si>
    <t xml:space="preserve">2630 Pirineos Way </t>
  </si>
  <si>
    <t>Blakeman</t>
  </si>
  <si>
    <t xml:space="preserve">509 Cain Ct </t>
  </si>
  <si>
    <t>Belle Mead</t>
  </si>
  <si>
    <t>Casias</t>
  </si>
  <si>
    <t xml:space="preserve">632 Collins Ave </t>
  </si>
  <si>
    <t>Frisch</t>
  </si>
  <si>
    <t xml:space="preserve">3231 Vineyard Ave Spc 110 </t>
  </si>
  <si>
    <t>Cofresi</t>
  </si>
  <si>
    <t xml:space="preserve">18735 DOUGLAS Dr </t>
  </si>
  <si>
    <t>Elmer</t>
  </si>
  <si>
    <t xml:space="preserve">343 Anacapa Island Dr </t>
  </si>
  <si>
    <t>Huisman</t>
  </si>
  <si>
    <t xml:space="preserve">3585 310th St </t>
  </si>
  <si>
    <t>Radcliffe</t>
  </si>
  <si>
    <t xml:space="preserve">1400 W Wahington St 10-109 </t>
  </si>
  <si>
    <t xml:space="preserve">36440 Malibu Way </t>
  </si>
  <si>
    <t>Zephyrhills</t>
  </si>
  <si>
    <t>Osterman</t>
  </si>
  <si>
    <t xml:space="preserve">318 Skybolt St </t>
  </si>
  <si>
    <t xml:space="preserve">95 S Market St Ste 500 </t>
  </si>
  <si>
    <t>Dollar</t>
  </si>
  <si>
    <t xml:space="preserve">419 5th Ave </t>
  </si>
  <si>
    <t>Windle</t>
  </si>
  <si>
    <t xml:space="preserve">620 Monroe St </t>
  </si>
  <si>
    <t>Hammerman</t>
  </si>
  <si>
    <t xml:space="preserve">1815 Admiral Ct </t>
  </si>
  <si>
    <t>Storz</t>
  </si>
  <si>
    <t xml:space="preserve">2641 Parker Rd </t>
  </si>
  <si>
    <t>Dolan</t>
  </si>
  <si>
    <t xml:space="preserve">9 Kemswick Dr </t>
  </si>
  <si>
    <t>11790-1713</t>
  </si>
  <si>
    <t>Shutt</t>
  </si>
  <si>
    <t xml:space="preserve">157 Coastal Pier Ct # 9188 </t>
  </si>
  <si>
    <t xml:space="preserve">3337 Suwanee Creek Rd # R </t>
  </si>
  <si>
    <t>Suwanee</t>
  </si>
  <si>
    <t xml:space="preserve">1102 River Rd </t>
  </si>
  <si>
    <t>Milinazzo</t>
  </si>
  <si>
    <t xml:space="preserve">260 Crandon Blvd Ste 33 </t>
  </si>
  <si>
    <t>Key Biscayne</t>
  </si>
  <si>
    <t xml:space="preserve">9827 Gloucester Dr </t>
  </si>
  <si>
    <t>Leisner</t>
  </si>
  <si>
    <t xml:space="preserve">98 Water St Apt 605 </t>
  </si>
  <si>
    <t xml:space="preserve">110 Silverbrook Dr </t>
  </si>
  <si>
    <t xml:space="preserve">204 Freedom Ct </t>
  </si>
  <si>
    <t>Philips</t>
  </si>
  <si>
    <t xml:space="preserve">3020 NE 32nd Ave Apt 1213 </t>
  </si>
  <si>
    <t>Irizarry</t>
  </si>
  <si>
    <t xml:space="preserve">2121 N Bayshore Dr Apt 1101 </t>
  </si>
  <si>
    <t xml:space="preserve">317 Rowe Rd </t>
  </si>
  <si>
    <t>Harrison City</t>
  </si>
  <si>
    <t>Stowell</t>
  </si>
  <si>
    <t>Colles</t>
  </si>
  <si>
    <t xml:space="preserve">11 Baker St </t>
  </si>
  <si>
    <t>Yarmouth</t>
  </si>
  <si>
    <t xml:space="preserve">500 Eagle Ridge Dr </t>
  </si>
  <si>
    <t xml:space="preserve">4990 Linden Trl N </t>
  </si>
  <si>
    <t xml:space="preserve">27 Cheyenne Trl </t>
  </si>
  <si>
    <t>Calarco</t>
  </si>
  <si>
    <t xml:space="preserve">517 S 100 E Apt 38 </t>
  </si>
  <si>
    <t>Khemiri</t>
  </si>
  <si>
    <t>Terra</t>
  </si>
  <si>
    <t xml:space="preserve">207 Curry Ave </t>
  </si>
  <si>
    <t>Gambriel</t>
  </si>
  <si>
    <t xml:space="preserve">12111 Rockledge Dr </t>
  </si>
  <si>
    <t>Lutterman</t>
  </si>
  <si>
    <t xml:space="preserve">18 Casseta Rd </t>
  </si>
  <si>
    <t>Tifton</t>
  </si>
  <si>
    <t xml:space="preserve">PO Box 68 </t>
  </si>
  <si>
    <t xml:space="preserve">1 BERNADINE CLOSE WARFIELD </t>
  </si>
  <si>
    <t>Bracknell,</t>
  </si>
  <si>
    <t>Gurutej</t>
  </si>
  <si>
    <t xml:space="preserve">1310 Carmona Ave </t>
  </si>
  <si>
    <t xml:space="preserve">520 Fordham Lorenzo </t>
  </si>
  <si>
    <t>Raitt</t>
  </si>
  <si>
    <t>Jacob R.</t>
  </si>
  <si>
    <t xml:space="preserve">15 Durando Pl </t>
  </si>
  <si>
    <t xml:space="preserve">69TH St </t>
  </si>
  <si>
    <t xml:space="preserve">921 E Broad St </t>
  </si>
  <si>
    <t>Trisa</t>
  </si>
  <si>
    <t>Rawson</t>
  </si>
  <si>
    <t xml:space="preserve">17530 W Oberlin Way </t>
  </si>
  <si>
    <t xml:space="preserve">622 W Patterson Ave </t>
  </si>
  <si>
    <t>Brittney</t>
  </si>
  <si>
    <t xml:space="preserve">9116 Naxos Way </t>
  </si>
  <si>
    <t>Marner</t>
  </si>
  <si>
    <t xml:space="preserve">29 Water St </t>
  </si>
  <si>
    <t xml:space="preserve">591 Stonehedge Dr </t>
  </si>
  <si>
    <t xml:space="preserve">3810 Prespa Lake Ct </t>
  </si>
  <si>
    <t>Op Den Buys</t>
  </si>
  <si>
    <t>Henri</t>
  </si>
  <si>
    <t xml:space="preserve">DOMICILIO CONOCIDO S N CABO PULMO </t>
  </si>
  <si>
    <t>Los Barriles,</t>
  </si>
  <si>
    <t>Huey</t>
  </si>
  <si>
    <t xml:space="preserve">516 Wheelers Farm Rd </t>
  </si>
  <si>
    <t>Aggie</t>
  </si>
  <si>
    <t xml:space="preserve">7555 N 20th St </t>
  </si>
  <si>
    <t>Papp</t>
  </si>
  <si>
    <t xml:space="preserve">2130 E Foxwood Ct </t>
  </si>
  <si>
    <t>Blumenfeld</t>
  </si>
  <si>
    <t xml:space="preserve">202 Purlington Rd </t>
  </si>
  <si>
    <t xml:space="preserve">PO Box 61961 </t>
  </si>
  <si>
    <t xml:space="preserve">7414 Woodside Dr </t>
  </si>
  <si>
    <t xml:space="preserve">91 Pleasant Ridge Dr </t>
  </si>
  <si>
    <t>Lobenstein</t>
  </si>
  <si>
    <t>Rosy</t>
  </si>
  <si>
    <t xml:space="preserve">615 S Hardy Dr Apt 214 </t>
  </si>
  <si>
    <t>Balian</t>
  </si>
  <si>
    <t xml:space="preserve">5495 Kales Avw </t>
  </si>
  <si>
    <t xml:space="preserve">23322 W 88th Ter </t>
  </si>
  <si>
    <t>Brouillette-Jobe</t>
  </si>
  <si>
    <t xml:space="preserve">6064 Morgan Rd </t>
  </si>
  <si>
    <t>Readinger</t>
  </si>
  <si>
    <t xml:space="preserve">548 Trailrider Rd </t>
  </si>
  <si>
    <t xml:space="preserve">1159 Union Rd </t>
  </si>
  <si>
    <t xml:space="preserve">15466 Los Gatos Blvd Ste PM109 </t>
  </si>
  <si>
    <t>Kauble</t>
  </si>
  <si>
    <t xml:space="preserve">950 County Road 189 </t>
  </si>
  <si>
    <t>Goncalves</t>
  </si>
  <si>
    <t xml:space="preserve">1078 NE 39th St Apt 27 </t>
  </si>
  <si>
    <t>Bair</t>
  </si>
  <si>
    <t xml:space="preserve">7777 Bodega Ave Apt F7 </t>
  </si>
  <si>
    <t>F. Marlene</t>
  </si>
  <si>
    <t xml:space="preserve">1492 Thornton Dr </t>
  </si>
  <si>
    <t>Diballa</t>
  </si>
  <si>
    <t xml:space="preserve">1609 Birch Hill Ct </t>
  </si>
  <si>
    <t xml:space="preserve">8 Sherwood Ln </t>
  </si>
  <si>
    <t>Westampton</t>
  </si>
  <si>
    <t>Beavon</t>
  </si>
  <si>
    <t xml:space="preserve">207 Winry Dr </t>
  </si>
  <si>
    <t xml:space="preserve">591 High Mountain Rd </t>
  </si>
  <si>
    <t>Shippensburg</t>
  </si>
  <si>
    <t xml:space="preserve">729 Thimble Shoals Blvd </t>
  </si>
  <si>
    <t>Wizig</t>
  </si>
  <si>
    <t xml:space="preserve">5522 Valkeith Dr </t>
  </si>
  <si>
    <t xml:space="preserve">347 W39th St </t>
  </si>
  <si>
    <t xml:space="preserve">3401 Brook Rd </t>
  </si>
  <si>
    <t xml:space="preserve">405 S 16th St </t>
  </si>
  <si>
    <t>Hesselgrave</t>
  </si>
  <si>
    <t xml:space="preserve">31 Sachem Rd </t>
  </si>
  <si>
    <t xml:space="preserve">560 W Saugerties Rd </t>
  </si>
  <si>
    <t xml:space="preserve">120 N FINHOLM St </t>
  </si>
  <si>
    <t>Parksville</t>
  </si>
  <si>
    <t>Eller</t>
  </si>
  <si>
    <t>Caley</t>
  </si>
  <si>
    <t xml:space="preserve">1665 Waln Dr SE </t>
  </si>
  <si>
    <t>Anolik</t>
  </si>
  <si>
    <t>Lyssa</t>
  </si>
  <si>
    <t xml:space="preserve">5415 SW 19th Dr </t>
  </si>
  <si>
    <t xml:space="preserve">3788 NW Loriann Dr </t>
  </si>
  <si>
    <t>Cooney</t>
  </si>
  <si>
    <t xml:space="preserve">PO Box 700013 </t>
  </si>
  <si>
    <t>Wabasso</t>
  </si>
  <si>
    <t>Julien</t>
  </si>
  <si>
    <t xml:space="preserve">10 Lundys Ln </t>
  </si>
  <si>
    <t>Noone</t>
  </si>
  <si>
    <t xml:space="preserve">537 Riverdale Ave </t>
  </si>
  <si>
    <t>Stuckel</t>
  </si>
  <si>
    <t xml:space="preserve">4010 W 68th Ter </t>
  </si>
  <si>
    <t xml:space="preserve">950 Ordway St </t>
  </si>
  <si>
    <t>Tarnawskyj</t>
  </si>
  <si>
    <t xml:space="preserve">3332 Falcon Ridge Ct NE </t>
  </si>
  <si>
    <t xml:space="preserve">7401 Phoenix Ave </t>
  </si>
  <si>
    <t>Meislin</t>
  </si>
  <si>
    <t xml:space="preserve">PO Box 1277 </t>
  </si>
  <si>
    <t>Arturo</t>
  </si>
  <si>
    <t xml:space="preserve">14 DE FEBRERO # 2 </t>
  </si>
  <si>
    <t>Jiutepec</t>
  </si>
  <si>
    <t>Cyndy</t>
  </si>
  <si>
    <t xml:space="preserve">105 County Rd </t>
  </si>
  <si>
    <t xml:space="preserve">9242 Ashworth Ave N </t>
  </si>
  <si>
    <t xml:space="preserve">1207 Seybolt Ave </t>
  </si>
  <si>
    <t>Trampleasure</t>
  </si>
  <si>
    <t>Calvin</t>
  </si>
  <si>
    <t xml:space="preserve">7609 Errol Dr </t>
  </si>
  <si>
    <t>Demerlis</t>
  </si>
  <si>
    <t xml:space="preserve">1204 Hunt Seat Dr </t>
  </si>
  <si>
    <t>Lue</t>
  </si>
  <si>
    <t xml:space="preserve">1445 Jessamine Ave W Apt 105 </t>
  </si>
  <si>
    <t>Jones-Stahnke</t>
  </si>
  <si>
    <t>Patricia L</t>
  </si>
  <si>
    <t xml:space="preserve">501 Huntington Trails Dr </t>
  </si>
  <si>
    <t>Festus</t>
  </si>
  <si>
    <t xml:space="preserve">8929 N 47th St </t>
  </si>
  <si>
    <t>Old</t>
  </si>
  <si>
    <t xml:space="preserve">6350 Black Ridge Vw Apt 302 </t>
  </si>
  <si>
    <t xml:space="preserve">223 N Melendres St </t>
  </si>
  <si>
    <t xml:space="preserve">1916 N 192nd St </t>
  </si>
  <si>
    <t>Tom And Kris</t>
  </si>
  <si>
    <t xml:space="preserve">1165 Schuman Ln </t>
  </si>
  <si>
    <t xml:space="preserve">293 Wildcat Run </t>
  </si>
  <si>
    <t>Karnis</t>
  </si>
  <si>
    <t xml:space="preserve">PO Box 1734 </t>
  </si>
  <si>
    <t>Shelter Island</t>
  </si>
  <si>
    <t>Lencowski</t>
  </si>
  <si>
    <t xml:space="preserve">550 Simard St </t>
  </si>
  <si>
    <t>Mendota Hts</t>
  </si>
  <si>
    <t>Saltanis</t>
  </si>
  <si>
    <t xml:space="preserve">431 Pepper St # 2 </t>
  </si>
  <si>
    <t xml:space="preserve">2228 Summerpark Ct </t>
  </si>
  <si>
    <t xml:space="preserve">318 W5th St </t>
  </si>
  <si>
    <t>Dr. Kim</t>
  </si>
  <si>
    <t xml:space="preserve">6909 Dawson Ln </t>
  </si>
  <si>
    <t>Dana L</t>
  </si>
  <si>
    <t xml:space="preserve">8604 S Phoenix Pl </t>
  </si>
  <si>
    <t>Commers</t>
  </si>
  <si>
    <t xml:space="preserve">939 Cromwell Ave </t>
  </si>
  <si>
    <t>Bindner</t>
  </si>
  <si>
    <t xml:space="preserve">6634 162nd Ct # 421 </t>
  </si>
  <si>
    <t>Resnik</t>
  </si>
  <si>
    <t xml:space="preserve">49 Harris Cir # A </t>
  </si>
  <si>
    <t>Marcela</t>
  </si>
  <si>
    <t xml:space="preserve">467 Stingray Ct </t>
  </si>
  <si>
    <t xml:space="preserve">1562 E Main St </t>
  </si>
  <si>
    <t xml:space="preserve">944 Market St </t>
  </si>
  <si>
    <t>Cottrell</t>
  </si>
  <si>
    <t xml:space="preserve">2900 Scherer Dr </t>
  </si>
  <si>
    <t>Topliff</t>
  </si>
  <si>
    <t xml:space="preserve">PO Box 523 </t>
  </si>
  <si>
    <t>Pou</t>
  </si>
  <si>
    <t>Wendell</t>
  </si>
  <si>
    <t xml:space="preserve">8 Brown Ln </t>
  </si>
  <si>
    <t>Yerington</t>
  </si>
  <si>
    <t xml:space="preserve">61 Pleasant St </t>
  </si>
  <si>
    <t xml:space="preserve">1026 Autumn Leaf Dr Apt 7 </t>
  </si>
  <si>
    <t>Sokolsky</t>
  </si>
  <si>
    <t xml:space="preserve">1611 Castle Hill Rd </t>
  </si>
  <si>
    <t>De Sarno</t>
  </si>
  <si>
    <t xml:space="preserve">607 S Benson Rd </t>
  </si>
  <si>
    <t>Kj</t>
  </si>
  <si>
    <t xml:space="preserve">97 3rd Ave </t>
  </si>
  <si>
    <t>Bissonnette</t>
  </si>
  <si>
    <t xml:space="preserve">309 Rica I II Calle I II </t>
  </si>
  <si>
    <t>Stmartine</t>
  </si>
  <si>
    <t xml:space="preserve">W23618 Walsky Ln </t>
  </si>
  <si>
    <t>Galesville</t>
  </si>
  <si>
    <t xml:space="preserve">240 CAMDEN Ct </t>
  </si>
  <si>
    <t>Roske</t>
  </si>
  <si>
    <t xml:space="preserve">1510 25th Ave </t>
  </si>
  <si>
    <t>Nitecki</t>
  </si>
  <si>
    <t xml:space="preserve">409 Sbroadway St </t>
  </si>
  <si>
    <t xml:space="preserve">MB </t>
  </si>
  <si>
    <t>Murer</t>
  </si>
  <si>
    <t xml:space="preserve">PO Box 77088 </t>
  </si>
  <si>
    <t>Hatch</t>
  </si>
  <si>
    <t xml:space="preserve">1600 S 155E </t>
  </si>
  <si>
    <t>Gailey</t>
  </si>
  <si>
    <t xml:space="preserve">489 W 300 S Unit B </t>
  </si>
  <si>
    <t>Springville</t>
  </si>
  <si>
    <t>Addyson</t>
  </si>
  <si>
    <t xml:space="preserve">2317 S River Rd </t>
  </si>
  <si>
    <t>Tarleton</t>
  </si>
  <si>
    <t xml:space="preserve">20 Grand Ave </t>
  </si>
  <si>
    <t xml:space="preserve">4000 Beethoven St </t>
  </si>
  <si>
    <t xml:space="preserve">343 E Florence Rd </t>
  </si>
  <si>
    <t>Philip Ak</t>
  </si>
  <si>
    <t xml:space="preserve">108 Clover Dr </t>
  </si>
  <si>
    <t xml:space="preserve">1215 County Road X Lot 27 </t>
  </si>
  <si>
    <t>Uhler</t>
  </si>
  <si>
    <t xml:space="preserve">4207 Linkwood Rd </t>
  </si>
  <si>
    <t>Maryfrances</t>
  </si>
  <si>
    <t>Hy</t>
  </si>
  <si>
    <t xml:space="preserve">13775 SW Larch Pl Apt 10 </t>
  </si>
  <si>
    <t>Margerin</t>
  </si>
  <si>
    <t>Siri</t>
  </si>
  <si>
    <t xml:space="preserve">766 Fell St </t>
  </si>
  <si>
    <t>Adamantiadou</t>
  </si>
  <si>
    <t>Smaragda</t>
  </si>
  <si>
    <t xml:space="preserve">8 Ygeias St </t>
  </si>
  <si>
    <t xml:space="preserve">ALASKA Dr </t>
  </si>
  <si>
    <t xml:space="preserve">525 Myrtle Ave </t>
  </si>
  <si>
    <t xml:space="preserve">401 E 116th St # 1 </t>
  </si>
  <si>
    <t>Oblizalo</t>
  </si>
  <si>
    <t xml:space="preserve">6053 Kenneth Ave </t>
  </si>
  <si>
    <t>Mejias</t>
  </si>
  <si>
    <t xml:space="preserve">1750 20Th Avenue Dr NE Apt 82 </t>
  </si>
  <si>
    <t>Letendre</t>
  </si>
  <si>
    <t xml:space="preserve">140 Cass St Unit B </t>
  </si>
  <si>
    <t>James Paul</t>
  </si>
  <si>
    <t xml:space="preserve">185 E Palisade Ave Apt D4A </t>
  </si>
  <si>
    <t xml:space="preserve">12879 Iona Rd </t>
  </si>
  <si>
    <t xml:space="preserve">714 Christian St # 2R </t>
  </si>
  <si>
    <t xml:space="preserve">PO Box 93 </t>
  </si>
  <si>
    <t>Chimacum</t>
  </si>
  <si>
    <t>Kuhlman</t>
  </si>
  <si>
    <t xml:space="preserve">305 Goodrich Hill Rd </t>
  </si>
  <si>
    <t>Berkshire</t>
  </si>
  <si>
    <t>Farinelli</t>
  </si>
  <si>
    <t xml:space="preserve">183 Van Anden St </t>
  </si>
  <si>
    <t>Blevins</t>
  </si>
  <si>
    <t xml:space="preserve">10054 Candlestick Ln </t>
  </si>
  <si>
    <t>Concord Twp</t>
  </si>
  <si>
    <t>Comer</t>
  </si>
  <si>
    <t xml:space="preserve">6641 Jackson Sq </t>
  </si>
  <si>
    <t xml:space="preserve">Road </t>
  </si>
  <si>
    <t>North Sutton</t>
  </si>
  <si>
    <t xml:space="preserve">PO Box 762 </t>
  </si>
  <si>
    <t>Grant Hart</t>
  </si>
  <si>
    <t xml:space="preserve">119 Selleck Hill Rd # C </t>
  </si>
  <si>
    <t xml:space="preserve">7303 Cottonwood Dr SE </t>
  </si>
  <si>
    <t>Snoqualmie</t>
  </si>
  <si>
    <t>Juhlin-Dannfelt</t>
  </si>
  <si>
    <t xml:space="preserve">PASS PUIG 7 </t>
  </si>
  <si>
    <t>Alaro</t>
  </si>
  <si>
    <t>Collienne</t>
  </si>
  <si>
    <t>Christiane</t>
  </si>
  <si>
    <t xml:space="preserve">Clos De Bérine </t>
  </si>
  <si>
    <t xml:space="preserve">3211 Quakertown Dr </t>
  </si>
  <si>
    <t xml:space="preserve">8104 Covington Ct </t>
  </si>
  <si>
    <t xml:space="preserve">8515 Brodie Ln </t>
  </si>
  <si>
    <t>Susannah</t>
  </si>
  <si>
    <t xml:space="preserve">40 Rockybrook Rd </t>
  </si>
  <si>
    <t>Lawner</t>
  </si>
  <si>
    <t xml:space="preserve">297 Sunnyside Rd </t>
  </si>
  <si>
    <t>Kinderhook</t>
  </si>
  <si>
    <t xml:space="preserve">13820 Callisto Ave </t>
  </si>
  <si>
    <t xml:space="preserve">1071 Honeoye Falls Five Pt Rd </t>
  </si>
  <si>
    <t>Stalker</t>
  </si>
  <si>
    <t xml:space="preserve">8059 Prelude Ln </t>
  </si>
  <si>
    <t>Jessup</t>
  </si>
  <si>
    <t xml:space="preserve">1438 Great Pond Rd </t>
  </si>
  <si>
    <t>Wagenknecht</t>
  </si>
  <si>
    <t>Leadore</t>
  </si>
  <si>
    <t>Pifer</t>
  </si>
  <si>
    <t xml:space="preserve">4142 Knipper Ave </t>
  </si>
  <si>
    <t xml:space="preserve">5021 Twin Lakes Dr </t>
  </si>
  <si>
    <t>Old Hickory</t>
  </si>
  <si>
    <t xml:space="preserve">ANONYMOUS Rd </t>
  </si>
  <si>
    <t>Tolley</t>
  </si>
  <si>
    <t xml:space="preserve">275 Cuba St Level 2 </t>
  </si>
  <si>
    <t xml:space="preserve">4407 E Kirkwood Ave </t>
  </si>
  <si>
    <t>Giana</t>
  </si>
  <si>
    <t xml:space="preserve">2792 Shipping Ave </t>
  </si>
  <si>
    <t>Kethy</t>
  </si>
  <si>
    <t xml:space="preserve">120003 NE 192ND St </t>
  </si>
  <si>
    <t xml:space="preserve">135 Ashland Pl Apt 16A </t>
  </si>
  <si>
    <t xml:space="preserve">9510 Saddler Dr </t>
  </si>
  <si>
    <t>Schulist</t>
  </si>
  <si>
    <t xml:space="preserve">409 27th St </t>
  </si>
  <si>
    <t xml:space="preserve">1502 15th Ave SW </t>
  </si>
  <si>
    <t>McKone</t>
  </si>
  <si>
    <t xml:space="preserve">336 Hamilton Ave </t>
  </si>
  <si>
    <t xml:space="preserve">2207 S Anderson St </t>
  </si>
  <si>
    <t>Moslow</t>
  </si>
  <si>
    <t xml:space="preserve">46 Jewett Pkwy </t>
  </si>
  <si>
    <t>14214-2320</t>
  </si>
  <si>
    <t xml:space="preserve">6073 N Snowflake Dr </t>
  </si>
  <si>
    <t>86004-2629</t>
  </si>
  <si>
    <t xml:space="preserve">2717 Clement St Apt 4 </t>
  </si>
  <si>
    <t>94121-1829</t>
  </si>
  <si>
    <t>East-Ginting</t>
  </si>
  <si>
    <t xml:space="preserve">12339 Waterstone Ln </t>
  </si>
  <si>
    <t>43551-2092</t>
  </si>
  <si>
    <t>Markwardt</t>
  </si>
  <si>
    <t>Dr. David D.</t>
  </si>
  <si>
    <t xml:space="preserve">7273 SW Swallow Dr </t>
  </si>
  <si>
    <t>97760-7833</t>
  </si>
  <si>
    <t>Fomenko</t>
  </si>
  <si>
    <t xml:space="preserve">7523 Feveron Coury </t>
  </si>
  <si>
    <t>Stironek</t>
  </si>
  <si>
    <t xml:space="preserve">5828 Coffey St </t>
  </si>
  <si>
    <t>27604-8661</t>
  </si>
  <si>
    <t>Myles</t>
  </si>
  <si>
    <t xml:space="preserve">625 E Huron St </t>
  </si>
  <si>
    <t>48381-2425</t>
  </si>
  <si>
    <t xml:space="preserve">5 Carter Crest Ln </t>
  </si>
  <si>
    <t>28732-9721</t>
  </si>
  <si>
    <t>Mell</t>
  </si>
  <si>
    <t xml:space="preserve">120 Brian Dr </t>
  </si>
  <si>
    <t>89074-0161</t>
  </si>
  <si>
    <t>Toro</t>
  </si>
  <si>
    <t>Enio</t>
  </si>
  <si>
    <t xml:space="preserve">228 Quail Rd </t>
  </si>
  <si>
    <t>08332-5536</t>
  </si>
  <si>
    <t>Myrick</t>
  </si>
  <si>
    <t xml:space="preserve">4595 Larwin Ave </t>
  </si>
  <si>
    <t>Cypress</t>
  </si>
  <si>
    <t>Terdy</t>
  </si>
  <si>
    <t xml:space="preserve">8440 Carmel Valley Rd </t>
  </si>
  <si>
    <t>Rakow</t>
  </si>
  <si>
    <t xml:space="preserve">184 Valdeflores Dr </t>
  </si>
  <si>
    <t>Matthes</t>
  </si>
  <si>
    <t>Janus</t>
  </si>
  <si>
    <t xml:space="preserve">337 Wagnon Rd </t>
  </si>
  <si>
    <t>Javinsky</t>
  </si>
  <si>
    <t xml:space="preserve">2319 Flag Ave S </t>
  </si>
  <si>
    <t xml:space="preserve">9706 69th Ave </t>
  </si>
  <si>
    <t xml:space="preserve">92 Castlewynd Ct </t>
  </si>
  <si>
    <t>Lake Saint Louis</t>
  </si>
  <si>
    <t xml:space="preserve">18 Ocean St </t>
  </si>
  <si>
    <t xml:space="preserve">28 W333 Garys Mill Rd </t>
  </si>
  <si>
    <t>Longstreth</t>
  </si>
  <si>
    <t xml:space="preserve">362 Discovery Way </t>
  </si>
  <si>
    <t xml:space="preserve">3409 Marquette St </t>
  </si>
  <si>
    <t>Wichtendahl</t>
  </si>
  <si>
    <t xml:space="preserve">24899 270th St </t>
  </si>
  <si>
    <t>Streiker</t>
  </si>
  <si>
    <t xml:space="preserve">1450 E 70th St </t>
  </si>
  <si>
    <t xml:space="preserve">54 2427 KYNNERSLY Rd </t>
  </si>
  <si>
    <t>Gleckel</t>
  </si>
  <si>
    <t xml:space="preserve">GRIFFITH LAKE Dr </t>
  </si>
  <si>
    <t>Eckhoff</t>
  </si>
  <si>
    <t xml:space="preserve">72 Railroad Ave </t>
  </si>
  <si>
    <t xml:space="preserve">PO Box 85 </t>
  </si>
  <si>
    <t>Deary</t>
  </si>
  <si>
    <t>Tan</t>
  </si>
  <si>
    <t xml:space="preserve">PO Box 473 </t>
  </si>
  <si>
    <t>McEnery</t>
  </si>
  <si>
    <t xml:space="preserve">658 E Chaunsey Dr </t>
  </si>
  <si>
    <t>Swaggerty</t>
  </si>
  <si>
    <t xml:space="preserve">305 Alabama Ave </t>
  </si>
  <si>
    <t>Rossville</t>
  </si>
  <si>
    <t>Lovitz</t>
  </si>
  <si>
    <t xml:space="preserve">56 Fredric Way </t>
  </si>
  <si>
    <t xml:space="preserve">22 College St </t>
  </si>
  <si>
    <t xml:space="preserve">811 Indian Bridge Ln </t>
  </si>
  <si>
    <t>Guh</t>
  </si>
  <si>
    <t>Hsiaohuei</t>
  </si>
  <si>
    <t xml:space="preserve">10651 Steppington Dr Apt 1080 </t>
  </si>
  <si>
    <t>Rogstad</t>
  </si>
  <si>
    <t xml:space="preserve">2880 SW 122D </t>
  </si>
  <si>
    <t xml:space="preserve">14339 Holly Berry Cirfishers </t>
  </si>
  <si>
    <t>Fishers</t>
  </si>
  <si>
    <t xml:space="preserve">7 Noni Farm Rd </t>
  </si>
  <si>
    <t>Voll</t>
  </si>
  <si>
    <t xml:space="preserve">850 S 10th Ave </t>
  </si>
  <si>
    <t xml:space="preserve">140 N Garland Ct </t>
  </si>
  <si>
    <t>Jerri Sue</t>
  </si>
  <si>
    <t xml:space="preserve">707 Warbler Rd </t>
  </si>
  <si>
    <t xml:space="preserve">PO Box 35471 </t>
  </si>
  <si>
    <t xml:space="preserve">4750 Noyes St Apt 113 </t>
  </si>
  <si>
    <t xml:space="preserve">13522 Yellow Pine Dr </t>
  </si>
  <si>
    <t>Lindy</t>
  </si>
  <si>
    <t xml:space="preserve">627 Lakeview Blvd </t>
  </si>
  <si>
    <t>Fagan</t>
  </si>
  <si>
    <t>Lenora</t>
  </si>
  <si>
    <t xml:space="preserve">3610 N 6th Ave Apt 11 </t>
  </si>
  <si>
    <t>Dusbabek</t>
  </si>
  <si>
    <t xml:space="preserve">9432 Holly Farm Ln NE </t>
  </si>
  <si>
    <t xml:space="preserve">4102 Western Dr </t>
  </si>
  <si>
    <t>Croswell</t>
  </si>
  <si>
    <t xml:space="preserve">1300 Happy Valley Rd </t>
  </si>
  <si>
    <t xml:space="preserve">826 S Fort Ave </t>
  </si>
  <si>
    <t>65806-2710</t>
  </si>
  <si>
    <t>McMakin</t>
  </si>
  <si>
    <t xml:space="preserve">3 Colonial Dr </t>
  </si>
  <si>
    <t>14450-4102</t>
  </si>
  <si>
    <t>Burridge Chemical Engine</t>
  </si>
  <si>
    <t xml:space="preserve">PO Box 14444 </t>
  </si>
  <si>
    <t>02914-0444</t>
  </si>
  <si>
    <t>Loeber</t>
  </si>
  <si>
    <t xml:space="preserve">7210 Union Deposit Rd </t>
  </si>
  <si>
    <t>17036-7815</t>
  </si>
  <si>
    <t>Gaffney</t>
  </si>
  <si>
    <t xml:space="preserve">122 Lynn Dr </t>
  </si>
  <si>
    <t>23707-1039</t>
  </si>
  <si>
    <t xml:space="preserve">402 B Metuchen Dr </t>
  </si>
  <si>
    <t>08831-7675</t>
  </si>
  <si>
    <t>Reshetov</t>
  </si>
  <si>
    <t xml:space="preserve">1955 Chattahoochee Dr </t>
  </si>
  <si>
    <t>30097-7937</t>
  </si>
  <si>
    <t>Puccio</t>
  </si>
  <si>
    <t>A.R.</t>
  </si>
  <si>
    <t xml:space="preserve">PO Box 5332 </t>
  </si>
  <si>
    <t>94596-1332</t>
  </si>
  <si>
    <t>Conchita</t>
  </si>
  <si>
    <t xml:space="preserve">1220 Parkside Dr S </t>
  </si>
  <si>
    <t>19611-1440</t>
  </si>
  <si>
    <t>Sydorenko</t>
  </si>
  <si>
    <t>Tetyana</t>
  </si>
  <si>
    <t xml:space="preserve">12764 SW Falcon Rise Dr </t>
  </si>
  <si>
    <t>97223-4744</t>
  </si>
  <si>
    <t>Allman</t>
  </si>
  <si>
    <t xml:space="preserve">1001 Sherbrooke Rd </t>
  </si>
  <si>
    <t>63303-4026</t>
  </si>
  <si>
    <t>Duerbeck</t>
  </si>
  <si>
    <t xml:space="preserve">1747 E Northern Ave Unit 113 </t>
  </si>
  <si>
    <t>85020-3984</t>
  </si>
  <si>
    <t xml:space="preserve">212 Matson Ave </t>
  </si>
  <si>
    <t>18705-3128</t>
  </si>
  <si>
    <t>Fedorov</t>
  </si>
  <si>
    <t xml:space="preserve">8 O44 TACKETT Ln </t>
  </si>
  <si>
    <t>Bealeton</t>
  </si>
  <si>
    <t>Zukoski</t>
  </si>
  <si>
    <t xml:space="preserve">1884 Humboldt Rd </t>
  </si>
  <si>
    <t>95928-9197</t>
  </si>
  <si>
    <t xml:space="preserve">24150 188th St NW </t>
  </si>
  <si>
    <t>Big Lake</t>
  </si>
  <si>
    <t>55309-9608</t>
  </si>
  <si>
    <t>Chakraborty</t>
  </si>
  <si>
    <t>Srijan</t>
  </si>
  <si>
    <t xml:space="preserve">14619 9th Ave NE </t>
  </si>
  <si>
    <t xml:space="preserve">PO Box 1072 </t>
  </si>
  <si>
    <t>Deutermann</t>
  </si>
  <si>
    <t xml:space="preserve">40 Georgia Trl </t>
  </si>
  <si>
    <t>McCoubrie</t>
  </si>
  <si>
    <t xml:space="preserve">15 Fawn Valley Cir </t>
  </si>
  <si>
    <t>Latour</t>
  </si>
  <si>
    <t>Clemence</t>
  </si>
  <si>
    <t xml:space="preserve">160 HOROKIWI Rd </t>
  </si>
  <si>
    <t>Horokiwi</t>
  </si>
  <si>
    <t>Queyja</t>
  </si>
  <si>
    <t xml:space="preserve">213 Washington Ave </t>
  </si>
  <si>
    <t>Herritt</t>
  </si>
  <si>
    <t>Ebba</t>
  </si>
  <si>
    <t xml:space="preserve">760 Alderdale Ct </t>
  </si>
  <si>
    <t>Letzer</t>
  </si>
  <si>
    <t>Briana</t>
  </si>
  <si>
    <t xml:space="preserve">1371 Dolomite Way </t>
  </si>
  <si>
    <t xml:space="preserve">PO Box 2732 </t>
  </si>
  <si>
    <t>Fairmount</t>
  </si>
  <si>
    <t>Meggie</t>
  </si>
  <si>
    <t xml:space="preserve">58 Little Capers Rd </t>
  </si>
  <si>
    <t>Beaufort</t>
  </si>
  <si>
    <t>Sweeten</t>
  </si>
  <si>
    <t xml:space="preserve">7086 De Ison Td </t>
  </si>
  <si>
    <t>Yoshida-Gordon</t>
  </si>
  <si>
    <t xml:space="preserve">4709 N Monticello Ave </t>
  </si>
  <si>
    <t>60625-6429</t>
  </si>
  <si>
    <t>Sedillos</t>
  </si>
  <si>
    <t xml:space="preserve">13173 Saint Paul Ct </t>
  </si>
  <si>
    <t>80241-2119</t>
  </si>
  <si>
    <t xml:space="preserve">15210 Penn Hills Ln </t>
  </si>
  <si>
    <t>77062-3527</t>
  </si>
  <si>
    <t xml:space="preserve">246 Vernon Ave </t>
  </si>
  <si>
    <t>60022-2156</t>
  </si>
  <si>
    <t xml:space="preserve">16297 W Nursery Rd </t>
  </si>
  <si>
    <t>54843-7138</t>
  </si>
  <si>
    <t xml:space="preserve">7611 13th St NW </t>
  </si>
  <si>
    <t>20012-1429</t>
  </si>
  <si>
    <t>Ahlstrom</t>
  </si>
  <si>
    <t xml:space="preserve">33 Scenic Dr </t>
  </si>
  <si>
    <t>01520-1653</t>
  </si>
  <si>
    <t xml:space="preserve">130 Stage Rd </t>
  </si>
  <si>
    <t>West Chesterfield</t>
  </si>
  <si>
    <t>03466-3654</t>
  </si>
  <si>
    <t xml:space="preserve">375 Winding Creek Dr </t>
  </si>
  <si>
    <t>75862-8189</t>
  </si>
  <si>
    <t>Pinter</t>
  </si>
  <si>
    <t xml:space="preserve">200 Riverview Pkwy </t>
  </si>
  <si>
    <t>92071-5821</t>
  </si>
  <si>
    <t>McCanna</t>
  </si>
  <si>
    <t xml:space="preserve">21 1st Ave </t>
  </si>
  <si>
    <t>10003-9404</t>
  </si>
  <si>
    <t xml:space="preserve">10840 SW 124th St </t>
  </si>
  <si>
    <t>33176-4639</t>
  </si>
  <si>
    <t>Aleta</t>
  </si>
  <si>
    <t xml:space="preserve">PO Box 13 </t>
  </si>
  <si>
    <t>50704-0013</t>
  </si>
  <si>
    <t xml:space="preserve">2218 EDWARDS Ave </t>
  </si>
  <si>
    <t>Pike-Dimel</t>
  </si>
  <si>
    <t xml:space="preserve">3190 S 72nd St </t>
  </si>
  <si>
    <t>Daryl</t>
  </si>
  <si>
    <t xml:space="preserve">820 Riverton Park </t>
  </si>
  <si>
    <t xml:space="preserve">8223 Brixton </t>
  </si>
  <si>
    <t>Egen</t>
  </si>
  <si>
    <t xml:space="preserve">3 Pettit Ln </t>
  </si>
  <si>
    <t>Rumage</t>
  </si>
  <si>
    <t xml:space="preserve">8654 NE Boehmer St </t>
  </si>
  <si>
    <t xml:space="preserve">9311 Bianca Ave </t>
  </si>
  <si>
    <t>91325-2407</t>
  </si>
  <si>
    <t>Ajoue</t>
  </si>
  <si>
    <t xml:space="preserve">1735 Oak Grove Dr </t>
  </si>
  <si>
    <t>North Dighton</t>
  </si>
  <si>
    <t>02764-1514</t>
  </si>
  <si>
    <t xml:space="preserve">1000 W 8th St </t>
  </si>
  <si>
    <t>Gard</t>
  </si>
  <si>
    <t xml:space="preserve">1705 Gordon Dr </t>
  </si>
  <si>
    <t>Bilchak</t>
  </si>
  <si>
    <t xml:space="preserve">PO Box 5043 </t>
  </si>
  <si>
    <t xml:space="preserve">WILLOW SPRINGS Dr </t>
  </si>
  <si>
    <t xml:space="preserve">18436 Salem St </t>
  </si>
  <si>
    <t>Angelina</t>
  </si>
  <si>
    <t xml:space="preserve">12 Winding Way </t>
  </si>
  <si>
    <t>Daligcon</t>
  </si>
  <si>
    <t xml:space="preserve">16231 21st Ave SW </t>
  </si>
  <si>
    <t xml:space="preserve">1823 Quail Dr </t>
  </si>
  <si>
    <t>Carr Jr</t>
  </si>
  <si>
    <t>Willie</t>
  </si>
  <si>
    <t xml:space="preserve">252 Yaremich Dr </t>
  </si>
  <si>
    <t>06606-2556</t>
  </si>
  <si>
    <t xml:space="preserve">7623 E 28th Ave Unit 1 </t>
  </si>
  <si>
    <t>Peron</t>
  </si>
  <si>
    <t xml:space="preserve">10220 50th Pl W </t>
  </si>
  <si>
    <t xml:space="preserve">54227 Pine Crest Ave </t>
  </si>
  <si>
    <t>Idyllwild</t>
  </si>
  <si>
    <t>Nedry</t>
  </si>
  <si>
    <t xml:space="preserve">4000 Carman Dr Apt 85 </t>
  </si>
  <si>
    <t>Theron</t>
  </si>
  <si>
    <t xml:space="preserve">5843 Altamont Dr </t>
  </si>
  <si>
    <t xml:space="preserve">725 Grand Ravine Dr Apt 14 </t>
  </si>
  <si>
    <t>Allegan</t>
  </si>
  <si>
    <t>Krull</t>
  </si>
  <si>
    <t xml:space="preserve">PO Box 1380 </t>
  </si>
  <si>
    <t xml:space="preserve">3034 Quincy St NE </t>
  </si>
  <si>
    <t xml:space="preserve">16235 W CR-18E </t>
  </si>
  <si>
    <t xml:space="preserve">3766 Buffalo Ford Rd Lot 16 </t>
  </si>
  <si>
    <t xml:space="preserve">1002 Madison St </t>
  </si>
  <si>
    <t>Oconto</t>
  </si>
  <si>
    <t>Simper</t>
  </si>
  <si>
    <t xml:space="preserve">943 10th Ave </t>
  </si>
  <si>
    <t>Kringen</t>
  </si>
  <si>
    <t>Maureen Kringen</t>
  </si>
  <si>
    <t xml:space="preserve">2530 Lewis Dr </t>
  </si>
  <si>
    <t xml:space="preserve">4550 N Flowing Wells Rd </t>
  </si>
  <si>
    <t>Arkady</t>
  </si>
  <si>
    <t>Champley</t>
  </si>
  <si>
    <t xml:space="preserve">2836 E Yucca St </t>
  </si>
  <si>
    <t>Pennow</t>
  </si>
  <si>
    <t xml:space="preserve">4861 Morris Rd </t>
  </si>
  <si>
    <t>Hiwassee</t>
  </si>
  <si>
    <t>Nungaray</t>
  </si>
  <si>
    <t>Juan</t>
  </si>
  <si>
    <t xml:space="preserve">14035 Astoria St Unit 130 </t>
  </si>
  <si>
    <t xml:space="preserve">101 Abby Ave # B </t>
  </si>
  <si>
    <t>Benton City</t>
  </si>
  <si>
    <t>99320-9703</t>
  </si>
  <si>
    <t>Ader-Steinhauser</t>
  </si>
  <si>
    <t>Shaylene</t>
  </si>
  <si>
    <t xml:space="preserve">965 S 4th Ave </t>
  </si>
  <si>
    <t>60901-4920</t>
  </si>
  <si>
    <t xml:space="preserve">7605 Norcanyon Way </t>
  </si>
  <si>
    <t>92126-1159</t>
  </si>
  <si>
    <t>Posada</t>
  </si>
  <si>
    <t xml:space="preserve">18122 NW 19th St </t>
  </si>
  <si>
    <t>33029-3026</t>
  </si>
  <si>
    <t>Rues</t>
  </si>
  <si>
    <t>66604-1637</t>
  </si>
  <si>
    <t xml:space="preserve">2501 Pickett Rd Apt 4 </t>
  </si>
  <si>
    <t>27705-5600</t>
  </si>
  <si>
    <t xml:space="preserve">1145 N Central Ave Apt 2 </t>
  </si>
  <si>
    <t>91202-2556</t>
  </si>
  <si>
    <t xml:space="preserve">20103 47Th Avenue Ct E </t>
  </si>
  <si>
    <t>98387-6028</t>
  </si>
  <si>
    <t xml:space="preserve">3321 E Little Cottonwood Rd </t>
  </si>
  <si>
    <t>84092-3537</t>
  </si>
  <si>
    <t>Schanilec</t>
  </si>
  <si>
    <t xml:space="preserve">533 Birch Ct Apt 1 </t>
  </si>
  <si>
    <t xml:space="preserve">428 Oliver St </t>
  </si>
  <si>
    <t>Smuda</t>
  </si>
  <si>
    <t xml:space="preserve">Diana Smuda </t>
  </si>
  <si>
    <t>Riddle</t>
  </si>
  <si>
    <t xml:space="preserve">900 E Braker Ln </t>
  </si>
  <si>
    <t>Winner</t>
  </si>
  <si>
    <t xml:space="preserve">204 Baybourne Dr </t>
  </si>
  <si>
    <t xml:space="preserve">3116 S Dose Ter </t>
  </si>
  <si>
    <t>Sraddha</t>
  </si>
  <si>
    <t xml:space="preserve">8311 Quail Hill Rd NE </t>
  </si>
  <si>
    <t>Bernas</t>
  </si>
  <si>
    <t xml:space="preserve">9720 Coalboro Rd </t>
  </si>
  <si>
    <t xml:space="preserve">149 Captain Clark Hwy # H </t>
  </si>
  <si>
    <t xml:space="preserve">417 US HIGHWAY 41 </t>
  </si>
  <si>
    <t>Baraga</t>
  </si>
  <si>
    <t>Steiger</t>
  </si>
  <si>
    <t xml:space="preserve">26796 Redwood Dr </t>
  </si>
  <si>
    <t>Arcure</t>
  </si>
  <si>
    <t xml:space="preserve">588 Glendale Ave </t>
  </si>
  <si>
    <t xml:space="preserve">319 Tulip Ln </t>
  </si>
  <si>
    <t>32901-1923</t>
  </si>
  <si>
    <t>Picone</t>
  </si>
  <si>
    <t xml:space="preserve">5722 Chrystell Ln </t>
  </si>
  <si>
    <t>Plage</t>
  </si>
  <si>
    <t xml:space="preserve">456 Harvest Hills Dr </t>
  </si>
  <si>
    <t>Azarian</t>
  </si>
  <si>
    <t xml:space="preserve">18 Seaview Ave </t>
  </si>
  <si>
    <t>Marblehead</t>
  </si>
  <si>
    <t xml:space="preserve">11018 Mystic Cv Mystic Cv </t>
  </si>
  <si>
    <t xml:space="preserve">3388 Washington St </t>
  </si>
  <si>
    <t>Kamiah</t>
  </si>
  <si>
    <t xml:space="preserve">9205 State Route 96 </t>
  </si>
  <si>
    <t>14847-9779</t>
  </si>
  <si>
    <t>Dickey</t>
  </si>
  <si>
    <t xml:space="preserve">917 Main St # 3L </t>
  </si>
  <si>
    <t>Boonton</t>
  </si>
  <si>
    <t>Filippo</t>
  </si>
  <si>
    <t xml:space="preserve">415 Dairy Rd Ste E318 </t>
  </si>
  <si>
    <t xml:space="preserve">106 MOBILE Ave </t>
  </si>
  <si>
    <t>Royalty</t>
  </si>
  <si>
    <t xml:space="preserve">531 Terrace Lake Dr </t>
  </si>
  <si>
    <t>37601-6646</t>
  </si>
  <si>
    <t>Laprelle</t>
  </si>
  <si>
    <t xml:space="preserve">1804 Pear St NE </t>
  </si>
  <si>
    <t xml:space="preserve">2229 OAK CREEK Dr N 77301 </t>
  </si>
  <si>
    <t xml:space="preserve">1831 Madison Ave Apt 8B </t>
  </si>
  <si>
    <t xml:space="preserve">328 Cowper St # A </t>
  </si>
  <si>
    <t>Rohlicek</t>
  </si>
  <si>
    <t xml:space="preserve">86 Standish Rd </t>
  </si>
  <si>
    <t xml:space="preserve">1715 S Nevada St </t>
  </si>
  <si>
    <t xml:space="preserve">5703 51st Ave NW </t>
  </si>
  <si>
    <t>Kreindler</t>
  </si>
  <si>
    <t>Dorian</t>
  </si>
  <si>
    <t xml:space="preserve">1 Mckenna Ct </t>
  </si>
  <si>
    <t xml:space="preserve">1046 Belridge Rd </t>
  </si>
  <si>
    <t xml:space="preserve">350 Burchett St Apt 233 </t>
  </si>
  <si>
    <t xml:space="preserve">138 Putney Hill Rd </t>
  </si>
  <si>
    <t>Contoocook</t>
  </si>
  <si>
    <t xml:space="preserve">353 Nicholson Creek Rd </t>
  </si>
  <si>
    <t xml:space="preserve">2010 Wissant Ln </t>
  </si>
  <si>
    <t xml:space="preserve">8141 Farnam Dr Apt 328 </t>
  </si>
  <si>
    <t>Felipe</t>
  </si>
  <si>
    <t xml:space="preserve">5406 K St </t>
  </si>
  <si>
    <t>Kaehn</t>
  </si>
  <si>
    <t xml:space="preserve">2132 High St Apt C </t>
  </si>
  <si>
    <t>Mary Eileen</t>
  </si>
  <si>
    <t xml:space="preserve">1208 Park Rd </t>
  </si>
  <si>
    <t>Pasquino</t>
  </si>
  <si>
    <t xml:space="preserve">13270 Saint Clair Dr </t>
  </si>
  <si>
    <t xml:space="preserve">40 Colby Rd </t>
  </si>
  <si>
    <t>Moultonborough</t>
  </si>
  <si>
    <t xml:space="preserve">35 Crooked Creek Dr </t>
  </si>
  <si>
    <t>Yorkville</t>
  </si>
  <si>
    <t>Robnett</t>
  </si>
  <si>
    <t xml:space="preserve">515 Creighton Way </t>
  </si>
  <si>
    <t>Libman</t>
  </si>
  <si>
    <t>Letitia</t>
  </si>
  <si>
    <t xml:space="preserve">612 11th Ave </t>
  </si>
  <si>
    <t xml:space="preserve">12290 SW 16th Ave </t>
  </si>
  <si>
    <t xml:space="preserve">4425 NE Wygant St </t>
  </si>
  <si>
    <t>Zastrow</t>
  </si>
  <si>
    <t xml:space="preserve">230 Summit Ave </t>
  </si>
  <si>
    <t>Laird</t>
  </si>
  <si>
    <t xml:space="preserve">2440 Resolve Ave </t>
  </si>
  <si>
    <t>Oskaloosa</t>
  </si>
  <si>
    <t>Cathcart</t>
  </si>
  <si>
    <t xml:space="preserve">3018 38th Ave S </t>
  </si>
  <si>
    <t xml:space="preserve">419 N Atlantic Blvd </t>
  </si>
  <si>
    <t>MacRae</t>
  </si>
  <si>
    <t xml:space="preserve">322 Summer Pl </t>
  </si>
  <si>
    <t>Peachtree City</t>
  </si>
  <si>
    <t>30269-2801</t>
  </si>
  <si>
    <t>Schmaus</t>
  </si>
  <si>
    <t xml:space="preserve">302 Joseph Ave </t>
  </si>
  <si>
    <t>83555-5033</t>
  </si>
  <si>
    <t>Ivan</t>
  </si>
  <si>
    <t xml:space="preserve">17852 Lavender Ln </t>
  </si>
  <si>
    <t>46356-1498</t>
  </si>
  <si>
    <t xml:space="preserve">15030 Stransbury Ct </t>
  </si>
  <si>
    <t>46530-8257</t>
  </si>
  <si>
    <t>Holahan</t>
  </si>
  <si>
    <t xml:space="preserve">42 Smiling Moon Ln # B </t>
  </si>
  <si>
    <t>Glorieta</t>
  </si>
  <si>
    <t>87535-7030</t>
  </si>
  <si>
    <t>Crowder</t>
  </si>
  <si>
    <t xml:space="preserve">4420 Inwood Ln </t>
  </si>
  <si>
    <t>97405-2052</t>
  </si>
  <si>
    <t>Kaminski</t>
  </si>
  <si>
    <t xml:space="preserve">4631 Mayor Dr </t>
  </si>
  <si>
    <t>90505-4450</t>
  </si>
  <si>
    <t>Cechvala</t>
  </si>
  <si>
    <t xml:space="preserve">2502 E Dayton St </t>
  </si>
  <si>
    <t>53704-4909</t>
  </si>
  <si>
    <t xml:space="preserve">1009 Samuel Dr </t>
  </si>
  <si>
    <t>94952-1857</t>
  </si>
  <si>
    <t>Rentzer</t>
  </si>
  <si>
    <t xml:space="preserve">PO Box 11723 </t>
  </si>
  <si>
    <t xml:space="preserve">501 Morelock Dr </t>
  </si>
  <si>
    <t>23236-3357</t>
  </si>
  <si>
    <t>Riepe</t>
  </si>
  <si>
    <t>Lizabeth</t>
  </si>
  <si>
    <t xml:space="preserve">2034 Grandview Dr </t>
  </si>
  <si>
    <t>34288-6803</t>
  </si>
  <si>
    <t>Garris</t>
  </si>
  <si>
    <t xml:space="preserve">230 Colony Dr </t>
  </si>
  <si>
    <t>78064-4720</t>
  </si>
  <si>
    <t>Kaster</t>
  </si>
  <si>
    <t xml:space="preserve">802 Isbel Ct </t>
  </si>
  <si>
    <t>95060-1600</t>
  </si>
  <si>
    <t>Prudy</t>
  </si>
  <si>
    <t>82009-9003</t>
  </si>
  <si>
    <t>McAuliffe</t>
  </si>
  <si>
    <t xml:space="preserve">6051 Selma Ave </t>
  </si>
  <si>
    <t>90028-6414</t>
  </si>
  <si>
    <t xml:space="preserve">1204 5th Ave </t>
  </si>
  <si>
    <t>Tybee Island</t>
  </si>
  <si>
    <t>31328-9596</t>
  </si>
  <si>
    <t xml:space="preserve">21492 Camino Papal </t>
  </si>
  <si>
    <t>92630-2607</t>
  </si>
  <si>
    <t>Shed</t>
  </si>
  <si>
    <t>Francene</t>
  </si>
  <si>
    <t xml:space="preserve">3217 SD 32ND </t>
  </si>
  <si>
    <t xml:space="preserve">8842 Riderwood Dr </t>
  </si>
  <si>
    <t>91040-2625</t>
  </si>
  <si>
    <t xml:space="preserve">439 W Big Bear Blvd </t>
  </si>
  <si>
    <t>92314-8973</t>
  </si>
  <si>
    <t>Rowles</t>
  </si>
  <si>
    <t xml:space="preserve">2912 W 31st Ave </t>
  </si>
  <si>
    <t>Treadway</t>
  </si>
  <si>
    <t xml:space="preserve">1951 Circle Ln SE </t>
  </si>
  <si>
    <t>98503-2561</t>
  </si>
  <si>
    <t>Lindgren</t>
  </si>
  <si>
    <t xml:space="preserve">2830 L K Wood Blvd Apt B </t>
  </si>
  <si>
    <t>95521-8236</t>
  </si>
  <si>
    <t>Pradetto</t>
  </si>
  <si>
    <t xml:space="preserve">2907 S Santa Fe Ave </t>
  </si>
  <si>
    <t>92069-6051</t>
  </si>
  <si>
    <t xml:space="preserve">3015 Fir Tree Dr SE </t>
  </si>
  <si>
    <t>Ferrio</t>
  </si>
  <si>
    <t xml:space="preserve">310 Larkin Ct </t>
  </si>
  <si>
    <t>06615-7466</t>
  </si>
  <si>
    <t xml:space="preserve">544 E South St </t>
  </si>
  <si>
    <t>54665-2048</t>
  </si>
  <si>
    <t>Van Blargan</t>
  </si>
  <si>
    <t xml:space="preserve">6534 Kenwood Ave </t>
  </si>
  <si>
    <t>75214-3163</t>
  </si>
  <si>
    <t xml:space="preserve">4235 Pickney Dr </t>
  </si>
  <si>
    <t>91302-4819</t>
  </si>
  <si>
    <t xml:space="preserve">5261 Glenroy Dr </t>
  </si>
  <si>
    <t>92649-4514</t>
  </si>
  <si>
    <t>Cranke</t>
  </si>
  <si>
    <t xml:space="preserve">2222 E 41st St </t>
  </si>
  <si>
    <t>50317-3434</t>
  </si>
  <si>
    <t>Oram</t>
  </si>
  <si>
    <t>Nickola</t>
  </si>
  <si>
    <t xml:space="preserve">332 Mcintosh Ct </t>
  </si>
  <si>
    <t>34609-0229</t>
  </si>
  <si>
    <t>Quintel</t>
  </si>
  <si>
    <t xml:space="preserve">4701 N 68th St Unit 103 </t>
  </si>
  <si>
    <t>85251-2024</t>
  </si>
  <si>
    <t xml:space="preserve">1011 Bush Creek Ln </t>
  </si>
  <si>
    <t>49461-1273</t>
  </si>
  <si>
    <t>Wolner</t>
  </si>
  <si>
    <t xml:space="preserve">2467 Via De Cortona </t>
  </si>
  <si>
    <t>89074-6342</t>
  </si>
  <si>
    <t>Houghtaling</t>
  </si>
  <si>
    <t xml:space="preserve">7113 Wortser Ave </t>
  </si>
  <si>
    <t>91605-4813</t>
  </si>
  <si>
    <t xml:space="preserve">110 Terra Nova Ln </t>
  </si>
  <si>
    <t>Cedar Mountain</t>
  </si>
  <si>
    <t>28718-0070</t>
  </si>
  <si>
    <t>Vosti</t>
  </si>
  <si>
    <t xml:space="preserve">8 Calle Miguel </t>
  </si>
  <si>
    <t>87557-7919</t>
  </si>
  <si>
    <t xml:space="preserve">2127 2nd Ave </t>
  </si>
  <si>
    <t>98121-2214</t>
  </si>
  <si>
    <t xml:space="preserve">1229 Veto St </t>
  </si>
  <si>
    <t>15212-4633</t>
  </si>
  <si>
    <t>Lorne</t>
  </si>
  <si>
    <t xml:space="preserve">573 Maxfield Rd </t>
  </si>
  <si>
    <t>48114-9649</t>
  </si>
  <si>
    <t>Kehler</t>
  </si>
  <si>
    <t xml:space="preserve">1135 Irving St Apt 4 </t>
  </si>
  <si>
    <t>94122-2145</t>
  </si>
  <si>
    <t>Roya</t>
  </si>
  <si>
    <t xml:space="preserve">263 Congressional Ln Apt 409 </t>
  </si>
  <si>
    <t>20852-5325</t>
  </si>
  <si>
    <t>Pfaffman</t>
  </si>
  <si>
    <t xml:space="preserve">20 Uncle Dr </t>
  </si>
  <si>
    <t>28806-8912</t>
  </si>
  <si>
    <t>Charley</t>
  </si>
  <si>
    <t xml:space="preserve">21333 Back Alley Rd </t>
  </si>
  <si>
    <t>97702-9637</t>
  </si>
  <si>
    <t>Armour</t>
  </si>
  <si>
    <t xml:space="preserve">41 RT 209 </t>
  </si>
  <si>
    <t>Stone Ridge</t>
  </si>
  <si>
    <t xml:space="preserve">2287 N 700 W </t>
  </si>
  <si>
    <t>84015-6703</t>
  </si>
  <si>
    <t>Barnetson</t>
  </si>
  <si>
    <t xml:space="preserve">10035 Sophia Ave </t>
  </si>
  <si>
    <t>91343-1310</t>
  </si>
  <si>
    <t>Gershanoff</t>
  </si>
  <si>
    <t>Marydana</t>
  </si>
  <si>
    <t xml:space="preserve">4 Grey Stone Path </t>
  </si>
  <si>
    <t>02026-4068</t>
  </si>
  <si>
    <t>Safavi</t>
  </si>
  <si>
    <t>Sahar</t>
  </si>
  <si>
    <t xml:space="preserve">11528 W Potter Rd </t>
  </si>
  <si>
    <t>53226-3655</t>
  </si>
  <si>
    <t xml:space="preserve">12671 SE Where Else Ln </t>
  </si>
  <si>
    <t>97222-6036</t>
  </si>
  <si>
    <t xml:space="preserve">16943 165th Pl SE </t>
  </si>
  <si>
    <t>98058-8200</t>
  </si>
  <si>
    <t>Deluna</t>
  </si>
  <si>
    <t>Marie Claire</t>
  </si>
  <si>
    <t xml:space="preserve">N2927 Banker Rd </t>
  </si>
  <si>
    <t>Fort Atkinson</t>
  </si>
  <si>
    <t>Delgado-Librero</t>
  </si>
  <si>
    <t>Maria-Celeste</t>
  </si>
  <si>
    <t xml:space="preserve">611 S Jefferson St Apt 701 </t>
  </si>
  <si>
    <t>Dimeola</t>
  </si>
  <si>
    <t xml:space="preserve">363 Cranbury Rd Apt C1 </t>
  </si>
  <si>
    <t xml:space="preserve">3249 NEWBURY St </t>
  </si>
  <si>
    <t>Nickel</t>
  </si>
  <si>
    <t xml:space="preserve">193 Carroll Rd </t>
  </si>
  <si>
    <t>Dusti</t>
  </si>
  <si>
    <t xml:space="preserve">9425 Wilcox Dr </t>
  </si>
  <si>
    <t>Lakeview</t>
  </si>
  <si>
    <t xml:space="preserve">503 Colonial Circle Syosset </t>
  </si>
  <si>
    <t>Craft</t>
  </si>
  <si>
    <t>Plain City</t>
  </si>
  <si>
    <t xml:space="preserve">125 8th Ave NW </t>
  </si>
  <si>
    <t>Pollack</t>
  </si>
  <si>
    <t xml:space="preserve">2120 SW Schaeffer Rd </t>
  </si>
  <si>
    <t>Kowalchuk</t>
  </si>
  <si>
    <t xml:space="preserve">5208 Olmstead Bay Pl </t>
  </si>
  <si>
    <t xml:space="preserve">5933 Cedarwood Ln </t>
  </si>
  <si>
    <t>Fairfax Md</t>
  </si>
  <si>
    <t xml:space="preserve">8546 PARK Ave </t>
  </si>
  <si>
    <t xml:space="preserve">132 Main St Apt 2 </t>
  </si>
  <si>
    <t xml:space="preserve">3618 W Washington Blvd </t>
  </si>
  <si>
    <t>Endres</t>
  </si>
  <si>
    <t xml:space="preserve">3473 Scotia Rd </t>
  </si>
  <si>
    <t xml:space="preserve">7392 Is Hwy </t>
  </si>
  <si>
    <t xml:space="preserve">901 E Mcleod Rd </t>
  </si>
  <si>
    <t>Foster Ssnd</t>
  </si>
  <si>
    <t>Elizabeth Mary</t>
  </si>
  <si>
    <t xml:space="preserve">6401 N Charles St </t>
  </si>
  <si>
    <t xml:space="preserve">4401 4th St N </t>
  </si>
  <si>
    <t>Neumark</t>
  </si>
  <si>
    <t xml:space="preserve">307 Chieftan Ln </t>
  </si>
  <si>
    <t>Boonsboro</t>
  </si>
  <si>
    <t>Oure</t>
  </si>
  <si>
    <t>Nsilo</t>
  </si>
  <si>
    <t xml:space="preserve">WOODBRIDGE, VA </t>
  </si>
  <si>
    <t>Mary Anna</t>
  </si>
  <si>
    <t xml:space="preserve">1535 N Franklin St # 39J </t>
  </si>
  <si>
    <t>Escott</t>
  </si>
  <si>
    <t>Keris</t>
  </si>
  <si>
    <t xml:space="preserve">15 -1435 7TH Ave </t>
  </si>
  <si>
    <t xml:space="preserve">Pop Box 3434 </t>
  </si>
  <si>
    <t>Running Springs</t>
  </si>
  <si>
    <t xml:space="preserve">4966 Franklin Ave </t>
  </si>
  <si>
    <t>Josahentara</t>
  </si>
  <si>
    <t>Jyoti</t>
  </si>
  <si>
    <t xml:space="preserve">65 Verde Valley School Rd Apt F1 </t>
  </si>
  <si>
    <t>Tyresha</t>
  </si>
  <si>
    <t xml:space="preserve">6425 S Lowe Ave </t>
  </si>
  <si>
    <t>Woelfle</t>
  </si>
  <si>
    <t xml:space="preserve">8146 Townley Rd </t>
  </si>
  <si>
    <t xml:space="preserve">17723 Old Bb </t>
  </si>
  <si>
    <t xml:space="preserve">2619 Covington Cir </t>
  </si>
  <si>
    <t xml:space="preserve">19650 Shake Ridge Rd </t>
  </si>
  <si>
    <t>Disdier</t>
  </si>
  <si>
    <t xml:space="preserve">1149 14th Ave SE </t>
  </si>
  <si>
    <t>Dagan</t>
  </si>
  <si>
    <t xml:space="preserve">6328 1/2 Orange St </t>
  </si>
  <si>
    <t xml:space="preserve">8 Wintergreen Way </t>
  </si>
  <si>
    <t>Peterson Dadant</t>
  </si>
  <si>
    <t xml:space="preserve">107 S Garth Ave </t>
  </si>
  <si>
    <t xml:space="preserve">125 Blackswoods Rd </t>
  </si>
  <si>
    <t xml:space="preserve">34610 Jensen Rd </t>
  </si>
  <si>
    <t>80470-9721</t>
  </si>
  <si>
    <t>Gcc</t>
  </si>
  <si>
    <t xml:space="preserve">12000 Dessau Rd </t>
  </si>
  <si>
    <t>78754-2084</t>
  </si>
  <si>
    <t>Valerie O</t>
  </si>
  <si>
    <t xml:space="preserve">9444 Water Orchid Ave </t>
  </si>
  <si>
    <t>34711-6636</t>
  </si>
  <si>
    <t xml:space="preserve">14380 Salt Creek Rd </t>
  </si>
  <si>
    <t>97338-9307</t>
  </si>
  <si>
    <t>Minthorn</t>
  </si>
  <si>
    <t xml:space="preserve">400 South St </t>
  </si>
  <si>
    <t>32780-7683</t>
  </si>
  <si>
    <t>Whitt</t>
  </si>
  <si>
    <t xml:space="preserve">509 N Madison Ave </t>
  </si>
  <si>
    <t>91101-1107</t>
  </si>
  <si>
    <t xml:space="preserve">Carolynben Gmailcom </t>
  </si>
  <si>
    <t xml:space="preserve">PO Box 8321 </t>
  </si>
  <si>
    <t>Deogratias</t>
  </si>
  <si>
    <t xml:space="preserve">4435 N Pershing Dr Apt 611 </t>
  </si>
  <si>
    <t xml:space="preserve">4800 Sorani Way # 94546 </t>
  </si>
  <si>
    <t xml:space="preserve">135622 DENSMORE Ave N </t>
  </si>
  <si>
    <t>Curdie</t>
  </si>
  <si>
    <t xml:space="preserve">6402 Mae Anne Ave Apt 183 </t>
  </si>
  <si>
    <t xml:space="preserve">15621 Goshawk St </t>
  </si>
  <si>
    <t>Harkov</t>
  </si>
  <si>
    <t xml:space="preserve">81 Coppermine Rd </t>
  </si>
  <si>
    <t>08540-8602</t>
  </si>
  <si>
    <t>Dotson</t>
  </si>
  <si>
    <t>Ercel</t>
  </si>
  <si>
    <t xml:space="preserve">710 Marthas Chapel Rd </t>
  </si>
  <si>
    <t>27523-5651</t>
  </si>
  <si>
    <t>Camus</t>
  </si>
  <si>
    <t>Nathalie</t>
  </si>
  <si>
    <t xml:space="preserve">8624 Palermo St </t>
  </si>
  <si>
    <t>11423-1220</t>
  </si>
  <si>
    <t>Bradbury</t>
  </si>
  <si>
    <t xml:space="preserve">1109 Alice St </t>
  </si>
  <si>
    <t>77803-4469</t>
  </si>
  <si>
    <t>Merbouh-Bangert</t>
  </si>
  <si>
    <t>Mageda</t>
  </si>
  <si>
    <t xml:space="preserve">34 Graham Dr </t>
  </si>
  <si>
    <t>45701-1478</t>
  </si>
  <si>
    <t xml:space="preserve">5483 E Dry Creek Cir </t>
  </si>
  <si>
    <t>80122-4017</t>
  </si>
  <si>
    <t xml:space="preserve">1906 Voorhees Ave </t>
  </si>
  <si>
    <t>90278-2327</t>
  </si>
  <si>
    <t>Trinkaus</t>
  </si>
  <si>
    <t xml:space="preserve">6038 Lancelot Dr SW </t>
  </si>
  <si>
    <t>98512-1927</t>
  </si>
  <si>
    <t xml:space="preserve">231 N Center St </t>
  </si>
  <si>
    <t>92866-1503</t>
  </si>
  <si>
    <t>Weynand</t>
  </si>
  <si>
    <t xml:space="preserve">122 Meadowood Ln </t>
  </si>
  <si>
    <t>78216-7322</t>
  </si>
  <si>
    <t xml:space="preserve">301 Greenlake Dr </t>
  </si>
  <si>
    <t>94089-2523</t>
  </si>
  <si>
    <t xml:space="preserve">3650 S Wilson Hollow Rd </t>
  </si>
  <si>
    <t>72701-9362</t>
  </si>
  <si>
    <t>Brit</t>
  </si>
  <si>
    <t xml:space="preserve">3126 Shattuck Ave </t>
  </si>
  <si>
    <t>94705-1823</t>
  </si>
  <si>
    <t xml:space="preserve">3120 Rolling Wood Loop </t>
  </si>
  <si>
    <t>80918-4605</t>
  </si>
  <si>
    <t xml:space="preserve">304 Mockingbird Cir </t>
  </si>
  <si>
    <t>95409-6220</t>
  </si>
  <si>
    <t>Sternberg</t>
  </si>
  <si>
    <t xml:space="preserve">1954 Cider Mill Rd </t>
  </si>
  <si>
    <t>05262-9125</t>
  </si>
  <si>
    <t>Zelaznik</t>
  </si>
  <si>
    <t>Rashelle</t>
  </si>
  <si>
    <t xml:space="preserve">10540 Clarkson Rd </t>
  </si>
  <si>
    <t>90064-4316</t>
  </si>
  <si>
    <t>Errichetti</t>
  </si>
  <si>
    <t xml:space="preserve">13156 SW 91st Ct </t>
  </si>
  <si>
    <t>33176-5840</t>
  </si>
  <si>
    <t xml:space="preserve">2724 E 44th Ave Unit D </t>
  </si>
  <si>
    <t>99223-4416</t>
  </si>
  <si>
    <t xml:space="preserve">19 Eastings Way </t>
  </si>
  <si>
    <t>60010-5318</t>
  </si>
  <si>
    <t xml:space="preserve">240 N Constitution Ave </t>
  </si>
  <si>
    <t>New Freedom</t>
  </si>
  <si>
    <t>17349-9014</t>
  </si>
  <si>
    <t xml:space="preserve">836 N Circle Dr </t>
  </si>
  <si>
    <t>45895-1337</t>
  </si>
  <si>
    <t>Esler</t>
  </si>
  <si>
    <t xml:space="preserve">80 W Baltimore Ave </t>
  </si>
  <si>
    <t>19050-2144</t>
  </si>
  <si>
    <t>Madelyn</t>
  </si>
  <si>
    <t xml:space="preserve">3942 SW 5th St </t>
  </si>
  <si>
    <t>33134-2035</t>
  </si>
  <si>
    <t>Porro</t>
  </si>
  <si>
    <t xml:space="preserve">2540 Oak Park Ct </t>
  </si>
  <si>
    <t xml:space="preserve">4812 Overman Ave </t>
  </si>
  <si>
    <t xml:space="preserve">3085 Duplex Rd </t>
  </si>
  <si>
    <t>Kirkpatrick</t>
  </si>
  <si>
    <t>Dyan</t>
  </si>
  <si>
    <t xml:space="preserve">27942 S Highway 211 </t>
  </si>
  <si>
    <t>Estacada</t>
  </si>
  <si>
    <t>Stovall</t>
  </si>
  <si>
    <t xml:space="preserve">2415 Union Rd </t>
  </si>
  <si>
    <t>Borgeson</t>
  </si>
  <si>
    <t xml:space="preserve">36030 Bonnie Lakes Rd </t>
  </si>
  <si>
    <t>Crosslake</t>
  </si>
  <si>
    <t>56442-3081</t>
  </si>
  <si>
    <t xml:space="preserve">3857 Allenwood St </t>
  </si>
  <si>
    <t>34232-1205</t>
  </si>
  <si>
    <t>Pszenyczny</t>
  </si>
  <si>
    <t xml:space="preserve">35625 Ashford Dr </t>
  </si>
  <si>
    <t>48312-3511</t>
  </si>
  <si>
    <t xml:space="preserve">112 Parsons St </t>
  </si>
  <si>
    <t xml:space="preserve">4083 24th St # 460703 </t>
  </si>
  <si>
    <t xml:space="preserve">1807 LAKESHORE Dr </t>
  </si>
  <si>
    <t>Okoboji</t>
  </si>
  <si>
    <t xml:space="preserve">50 Belmont Ave Apt 410 </t>
  </si>
  <si>
    <t>Grimm</t>
  </si>
  <si>
    <t xml:space="preserve">5577 Inverness Ave </t>
  </si>
  <si>
    <t>95404-9724</t>
  </si>
  <si>
    <t>Hinnau</t>
  </si>
  <si>
    <t xml:space="preserve">200 Paseo Terraza Unit 302 </t>
  </si>
  <si>
    <t>Teeler</t>
  </si>
  <si>
    <t xml:space="preserve">2907 Jadewood Ct </t>
  </si>
  <si>
    <t>Zeder</t>
  </si>
  <si>
    <t xml:space="preserve">9019 Isla Bella Cir </t>
  </si>
  <si>
    <t xml:space="preserve">44 Ocean Ave </t>
  </si>
  <si>
    <t>Bonnie L</t>
  </si>
  <si>
    <t xml:space="preserve">4323 SE 28th Ave </t>
  </si>
  <si>
    <t xml:space="preserve">109 Center St </t>
  </si>
  <si>
    <t>Bednarek</t>
  </si>
  <si>
    <t xml:space="preserve">100 Lourdes Hall Saint Marys </t>
  </si>
  <si>
    <t>Notre Dame</t>
  </si>
  <si>
    <t>Crede</t>
  </si>
  <si>
    <t xml:space="preserve">167 Madison Ave </t>
  </si>
  <si>
    <t>Springfield Center</t>
  </si>
  <si>
    <t>Olin</t>
  </si>
  <si>
    <t xml:space="preserve">2757 Apolena Way </t>
  </si>
  <si>
    <t>Palmdale</t>
  </si>
  <si>
    <t xml:space="preserve">5525 244th St SW </t>
  </si>
  <si>
    <t>Denomme</t>
  </si>
  <si>
    <t xml:space="preserve">2922 SW YORK Ln </t>
  </si>
  <si>
    <t xml:space="preserve">505 W Lincoln St </t>
  </si>
  <si>
    <t xml:space="preserve">127 Maple Ave </t>
  </si>
  <si>
    <t>Van Cornelius</t>
  </si>
  <si>
    <t xml:space="preserve">2595 SE 48th St </t>
  </si>
  <si>
    <t xml:space="preserve">8917 Veterans Memorial Pkwy </t>
  </si>
  <si>
    <t xml:space="preserve">120 Earl Ave </t>
  </si>
  <si>
    <t xml:space="preserve">625 Moondale Dr </t>
  </si>
  <si>
    <t xml:space="preserve">1104 Livorno Ct </t>
  </si>
  <si>
    <t xml:space="preserve">721 Hilldale Ave </t>
  </si>
  <si>
    <t xml:space="preserve">1037 Tomlinson Rd </t>
  </si>
  <si>
    <t>Lems</t>
  </si>
  <si>
    <t xml:space="preserve">44 Center Dr </t>
  </si>
  <si>
    <t xml:space="preserve">831 S Milton Ave </t>
  </si>
  <si>
    <t xml:space="preserve">4050 S Jackson Dr Apt 212 </t>
  </si>
  <si>
    <t>Pavlich</t>
  </si>
  <si>
    <t xml:space="preserve">760 Brookfield Ave </t>
  </si>
  <si>
    <t>Byely</t>
  </si>
  <si>
    <t xml:space="preserve">642 N Jefferson Ave </t>
  </si>
  <si>
    <t xml:space="preserve">2505 N Racine Ave </t>
  </si>
  <si>
    <t xml:space="preserve">757 Park Hill Rd </t>
  </si>
  <si>
    <t>Smith Md</t>
  </si>
  <si>
    <t xml:space="preserve">145 W 67th St </t>
  </si>
  <si>
    <t>Bressan</t>
  </si>
  <si>
    <t xml:space="preserve">16 CHEMIN DE VILLEGONGIS </t>
  </si>
  <si>
    <t>Châteauroux</t>
  </si>
  <si>
    <t>Evanson-Isaac</t>
  </si>
  <si>
    <t xml:space="preserve">1815 15th Ave Apt 103 </t>
  </si>
  <si>
    <t xml:space="preserve">500 Merton Woods Way </t>
  </si>
  <si>
    <t>Millersville</t>
  </si>
  <si>
    <t xml:space="preserve">9600 Summer Hill Ln NE </t>
  </si>
  <si>
    <t>Joan G.</t>
  </si>
  <si>
    <t xml:space="preserve">1505 Fountaingrove Pkwy </t>
  </si>
  <si>
    <t>Motamedi</t>
  </si>
  <si>
    <t xml:space="preserve">COTTAGES </t>
  </si>
  <si>
    <t xml:space="preserve">201 WESTVIEW MEADOWS Rd </t>
  </si>
  <si>
    <t>Purdy</t>
  </si>
  <si>
    <t xml:space="preserve">7561 Kilarney Ln </t>
  </si>
  <si>
    <t>Hensel</t>
  </si>
  <si>
    <t xml:space="preserve">501 S 5th </t>
  </si>
  <si>
    <t>Osburn</t>
  </si>
  <si>
    <t>Sabrie</t>
  </si>
  <si>
    <t xml:space="preserve">2010 Seattle Ave </t>
  </si>
  <si>
    <t>Rosenberger</t>
  </si>
  <si>
    <t xml:space="preserve">1239 Pa 113 </t>
  </si>
  <si>
    <t>Blooming Glen</t>
  </si>
  <si>
    <t>Zuzgo</t>
  </si>
  <si>
    <t xml:space="preserve">27 Benedict Ter </t>
  </si>
  <si>
    <t>Longmeadow</t>
  </si>
  <si>
    <t xml:space="preserve">727 Navaronne Way </t>
  </si>
  <si>
    <t xml:space="preserve">1821 5th Ave Apt 125D </t>
  </si>
  <si>
    <t>Brunette</t>
  </si>
  <si>
    <t xml:space="preserve">2176 25th St </t>
  </si>
  <si>
    <t>Rice Lake</t>
  </si>
  <si>
    <t>Chyle</t>
  </si>
  <si>
    <t>Valerian</t>
  </si>
  <si>
    <t xml:space="preserve">12154 State Highway 16 N </t>
  </si>
  <si>
    <t>Venable</t>
  </si>
  <si>
    <t xml:space="preserve">2704 B LLANO St # 144 </t>
  </si>
  <si>
    <t>Bruns</t>
  </si>
  <si>
    <t xml:space="preserve">616 2nd St </t>
  </si>
  <si>
    <t>Baronner</t>
  </si>
  <si>
    <t xml:space="preserve">1011 Floral Ave </t>
  </si>
  <si>
    <t xml:space="preserve">630 S Sunnyside Ave </t>
  </si>
  <si>
    <t xml:space="preserve">1453 La Habra Dr </t>
  </si>
  <si>
    <t>Jenkins And Holmes</t>
  </si>
  <si>
    <t>Eugenie And Brian</t>
  </si>
  <si>
    <t xml:space="preserve">600 W University Pkwy </t>
  </si>
  <si>
    <t xml:space="preserve">821 Dobson St Apt E2 </t>
  </si>
  <si>
    <t>Messenheimer</t>
  </si>
  <si>
    <t>Paulette</t>
  </si>
  <si>
    <t xml:space="preserve">111 Jennifer Ct </t>
  </si>
  <si>
    <t xml:space="preserve">17067 Encina Path </t>
  </si>
  <si>
    <t>Gayatri</t>
  </si>
  <si>
    <t xml:space="preserve">1063 Alta Mira Dr Apt A </t>
  </si>
  <si>
    <t>Cabrera</t>
  </si>
  <si>
    <t xml:space="preserve">135 S Cragmont Ave </t>
  </si>
  <si>
    <t>Hakanson</t>
  </si>
  <si>
    <t xml:space="preserve">PO Box 13658 </t>
  </si>
  <si>
    <t xml:space="preserve">20062 FRUITVALE Ln </t>
  </si>
  <si>
    <t>Markey</t>
  </si>
  <si>
    <t>Sandrine</t>
  </si>
  <si>
    <t xml:space="preserve">29 RUE DU Rôle </t>
  </si>
  <si>
    <t>Brunoy</t>
  </si>
  <si>
    <t>Veldhuis</t>
  </si>
  <si>
    <t xml:space="preserve">2230 Whistle Creek Dr </t>
  </si>
  <si>
    <t xml:space="preserve">1820 Fox Run Rd </t>
  </si>
  <si>
    <t xml:space="preserve">320TH Ave NE </t>
  </si>
  <si>
    <t xml:space="preserve">PO Box 226 </t>
  </si>
  <si>
    <t>Carmel By The Sea</t>
  </si>
  <si>
    <t>Rathmann</t>
  </si>
  <si>
    <t xml:space="preserve">219 N Lieuallen St </t>
  </si>
  <si>
    <t xml:space="preserve">1400 Rabbittown Rd </t>
  </si>
  <si>
    <t xml:space="preserve">140 Antonie Ave N </t>
  </si>
  <si>
    <t>Eatonville</t>
  </si>
  <si>
    <t xml:space="preserve">1405 Donegal Way </t>
  </si>
  <si>
    <t>Emgel</t>
  </si>
  <si>
    <t>Casrolyn</t>
  </si>
  <si>
    <t xml:space="preserve">2612 Hyacinth Dr </t>
  </si>
  <si>
    <t>Naia</t>
  </si>
  <si>
    <t xml:space="preserve">17375 Haleakala Hwy </t>
  </si>
  <si>
    <t xml:space="preserve">2807 Eastwood Dr </t>
  </si>
  <si>
    <t xml:space="preserve">14 N San Francisco St </t>
  </si>
  <si>
    <t>Withers-Julian</t>
  </si>
  <si>
    <t xml:space="preserve">2407 Metts Dr </t>
  </si>
  <si>
    <t>Legge</t>
  </si>
  <si>
    <t xml:space="preserve">4774 N 20th Ave </t>
  </si>
  <si>
    <t xml:space="preserve">5304 La Colonia Dr NW </t>
  </si>
  <si>
    <t>Tylke</t>
  </si>
  <si>
    <t xml:space="preserve">1923 High Glen Ct North High Glen Ct N </t>
  </si>
  <si>
    <t xml:space="preserve">1733 Pacific Dunes Dr </t>
  </si>
  <si>
    <t xml:space="preserve">4379 Robbins St </t>
  </si>
  <si>
    <t>Dragonheart</t>
  </si>
  <si>
    <t xml:space="preserve">72 BELGRAVE STREET MORNINGSIDE </t>
  </si>
  <si>
    <t xml:space="preserve">PO Box 92399 </t>
  </si>
  <si>
    <t xml:space="preserve">30 Fenwick Ln </t>
  </si>
  <si>
    <t xml:space="preserve">7 Anywhere St </t>
  </si>
  <si>
    <t>Brant Rock</t>
  </si>
  <si>
    <t>Muskin</t>
  </si>
  <si>
    <t xml:space="preserve">600 S Willow Ave </t>
  </si>
  <si>
    <t>Buskirk</t>
  </si>
  <si>
    <t xml:space="preserve">307 Crystal St </t>
  </si>
  <si>
    <t>Amory</t>
  </si>
  <si>
    <t xml:space="preserve">1430 Princeton Dr NE </t>
  </si>
  <si>
    <t xml:space="preserve">668 Los Alamos St </t>
  </si>
  <si>
    <t>Damian</t>
  </si>
  <si>
    <t xml:space="preserve">3935 W Myrtle Ave </t>
  </si>
  <si>
    <t>Woodring</t>
  </si>
  <si>
    <t xml:space="preserve">555 N Dexter Ave </t>
  </si>
  <si>
    <t xml:space="preserve">64 ALHAMBRA Rd </t>
  </si>
  <si>
    <t>Malnak</t>
  </si>
  <si>
    <t xml:space="preserve">8980 Palmas Grandes Blvd </t>
  </si>
  <si>
    <t>Fix</t>
  </si>
  <si>
    <t xml:space="preserve">4334 Desert Highlands Dr </t>
  </si>
  <si>
    <t xml:space="preserve">114 Riverview Dr </t>
  </si>
  <si>
    <t>Tornado</t>
  </si>
  <si>
    <t xml:space="preserve">3865 University St </t>
  </si>
  <si>
    <t xml:space="preserve">6753 Kirby Lawn Cv </t>
  </si>
  <si>
    <t>Dinverno</t>
  </si>
  <si>
    <t>Alfredo</t>
  </si>
  <si>
    <t xml:space="preserve">2052 S Hammond Lake Rd </t>
  </si>
  <si>
    <t xml:space="preserve">13050 SW Caddy Pl </t>
  </si>
  <si>
    <t>Cami</t>
  </si>
  <si>
    <t xml:space="preserve">8263 Pebble St </t>
  </si>
  <si>
    <t>Wiersum</t>
  </si>
  <si>
    <t xml:space="preserve">1456 94th Ave </t>
  </si>
  <si>
    <t>St Clair</t>
  </si>
  <si>
    <t xml:space="preserve">111 W Wacker Dr Apt 1805 </t>
  </si>
  <si>
    <t>Lyles</t>
  </si>
  <si>
    <t xml:space="preserve">1602 Belle View Blvd # 740 </t>
  </si>
  <si>
    <t>Tamplin</t>
  </si>
  <si>
    <t xml:space="preserve">15 Oaklands Way </t>
  </si>
  <si>
    <t xml:space="preserve">27 High St </t>
  </si>
  <si>
    <t xml:space="preserve">16 Mariposa Rd </t>
  </si>
  <si>
    <t>87508-8247</t>
  </si>
  <si>
    <t>Pettingill</t>
  </si>
  <si>
    <t xml:space="preserve">3540 Copper St </t>
  </si>
  <si>
    <t>80304-1840</t>
  </si>
  <si>
    <t>Kenin</t>
  </si>
  <si>
    <t xml:space="preserve">21 Rocky Rd </t>
  </si>
  <si>
    <t xml:space="preserve">404 W Day St </t>
  </si>
  <si>
    <t>Paullina</t>
  </si>
  <si>
    <t>51046-1010</t>
  </si>
  <si>
    <t xml:space="preserve">6949 Humphrey Rd </t>
  </si>
  <si>
    <t>98236-9622</t>
  </si>
  <si>
    <t xml:space="preserve">4623 Leathers St </t>
  </si>
  <si>
    <t>92117-2435</t>
  </si>
  <si>
    <t xml:space="preserve">285 Aero Ln </t>
  </si>
  <si>
    <t>Bigfork</t>
  </si>
  <si>
    <t>59911-6521</t>
  </si>
  <si>
    <t xml:space="preserve">320 Bay Vista Ave </t>
  </si>
  <si>
    <t>34229-9576</t>
  </si>
  <si>
    <t>Dameron</t>
  </si>
  <si>
    <t xml:space="preserve">1245 N Hill Dr </t>
  </si>
  <si>
    <t>Lincolnton</t>
  </si>
  <si>
    <t>28092-9656</t>
  </si>
  <si>
    <t>Salih</t>
  </si>
  <si>
    <t xml:space="preserve">5051 Tierney Ct S </t>
  </si>
  <si>
    <t>76112-2829</t>
  </si>
  <si>
    <t>Kelyn</t>
  </si>
  <si>
    <t xml:space="preserve">1192 Park Rd </t>
  </si>
  <si>
    <t>Elverson</t>
  </si>
  <si>
    <t>19520-9506</t>
  </si>
  <si>
    <t>Park</t>
  </si>
  <si>
    <t>Nam Soo</t>
  </si>
  <si>
    <t>Yang</t>
  </si>
  <si>
    <t xml:space="preserve">27 Pleasant Ave </t>
  </si>
  <si>
    <t>11720-4152</t>
  </si>
  <si>
    <t>Makosky</t>
  </si>
  <si>
    <t xml:space="preserve">307 Heller Rd </t>
  </si>
  <si>
    <t>54751-1365</t>
  </si>
  <si>
    <t>Mitro</t>
  </si>
  <si>
    <t xml:space="preserve">3780 King Ranch Rd </t>
  </si>
  <si>
    <t>95482-9200</t>
  </si>
  <si>
    <t xml:space="preserve">5402 Emckellips Rd # 141 </t>
  </si>
  <si>
    <t>Needleman</t>
  </si>
  <si>
    <t xml:space="preserve">6780 Redwood Ave </t>
  </si>
  <si>
    <t xml:space="preserve">413 Myrtle St </t>
  </si>
  <si>
    <t>Nelson-Turner</t>
  </si>
  <si>
    <t>Maddie</t>
  </si>
  <si>
    <t xml:space="preserve">4500 N Via Entrada </t>
  </si>
  <si>
    <t xml:space="preserve">Meyerrw Maccom </t>
  </si>
  <si>
    <t xml:space="preserve">8900 E Pinnacle Peak Rd </t>
  </si>
  <si>
    <t>Brodie</t>
  </si>
  <si>
    <t>Korleen</t>
  </si>
  <si>
    <t xml:space="preserve">5254 Beckford St </t>
  </si>
  <si>
    <t>Michelsen</t>
  </si>
  <si>
    <t xml:space="preserve">88 Erskine Rd </t>
  </si>
  <si>
    <t>Stinstrom</t>
  </si>
  <si>
    <t xml:space="preserve">PO Box 61032 </t>
  </si>
  <si>
    <t>McGhee</t>
  </si>
  <si>
    <t>D.D.</t>
  </si>
  <si>
    <t xml:space="preserve">735 Baxter St SE </t>
  </si>
  <si>
    <t xml:space="preserve">261 S Applegate Rd </t>
  </si>
  <si>
    <t>Ching-Yi</t>
  </si>
  <si>
    <t xml:space="preserve">1686 Carriage Cir </t>
  </si>
  <si>
    <t xml:space="preserve">2447 Flintridge Rd </t>
  </si>
  <si>
    <t>Sister Bay</t>
  </si>
  <si>
    <t>Brisco</t>
  </si>
  <si>
    <t xml:space="preserve">5820 Grass Hill Dr </t>
  </si>
  <si>
    <t xml:space="preserve">295 Maplehurst Dr </t>
  </si>
  <si>
    <t>Thorsen</t>
  </si>
  <si>
    <t>Einar</t>
  </si>
  <si>
    <t xml:space="preserve">217 Dupps Ave </t>
  </si>
  <si>
    <t xml:space="preserve">1450 S Cooper Rd Apt 2120 </t>
  </si>
  <si>
    <t>Kamp</t>
  </si>
  <si>
    <t xml:space="preserve">2640 Summit Dr # U </t>
  </si>
  <si>
    <t xml:space="preserve">402 S Lynnwood Trl </t>
  </si>
  <si>
    <t xml:space="preserve">3609 Tolenas Ct </t>
  </si>
  <si>
    <t xml:space="preserve">23 Graham Rd </t>
  </si>
  <si>
    <t>Karen K</t>
  </si>
  <si>
    <t xml:space="preserve">51 San Juan Dr </t>
  </si>
  <si>
    <t>Mierzejewski</t>
  </si>
  <si>
    <t xml:space="preserve">937 W Whitehall Rd Apt 1 </t>
  </si>
  <si>
    <t xml:space="preserve">1910 Rosecrest Dr </t>
  </si>
  <si>
    <t>Latek</t>
  </si>
  <si>
    <t xml:space="preserve">7235 Saint Roberts Ln </t>
  </si>
  <si>
    <t xml:space="preserve">8759 Route 237 # RT </t>
  </si>
  <si>
    <t xml:space="preserve">MCKIBBIN St </t>
  </si>
  <si>
    <t>Carnahan</t>
  </si>
  <si>
    <t xml:space="preserve">564 Laughbaum Dr </t>
  </si>
  <si>
    <t xml:space="preserve">215 Adams St Brooklyn Brooklyn </t>
  </si>
  <si>
    <t>Mineola</t>
  </si>
  <si>
    <t xml:space="preserve">618 N 6th St </t>
  </si>
  <si>
    <t>Monical</t>
  </si>
  <si>
    <t xml:space="preserve">55854 Hazen Rd </t>
  </si>
  <si>
    <t xml:space="preserve">14 Curtis Rd </t>
  </si>
  <si>
    <t>Deisner</t>
  </si>
  <si>
    <t xml:space="preserve">13260 Cochero Dr </t>
  </si>
  <si>
    <t>Reznick</t>
  </si>
  <si>
    <t xml:space="preserve">5337 Black Oak Dr </t>
  </si>
  <si>
    <t xml:space="preserve">14110 Green Valley Dr </t>
  </si>
  <si>
    <t xml:space="preserve">8314 Tamarind Ave </t>
  </si>
  <si>
    <t xml:space="preserve">121 Pack Horse Ford Dr </t>
  </si>
  <si>
    <t>Shepherdstown</t>
  </si>
  <si>
    <t>Craddock</t>
  </si>
  <si>
    <t xml:space="preserve">2129 Berkeley Ave </t>
  </si>
  <si>
    <t xml:space="preserve">34 BELLVIEW Hts </t>
  </si>
  <si>
    <t>Mullingar</t>
  </si>
  <si>
    <t xml:space="preserve">3230 E State Route 106 </t>
  </si>
  <si>
    <t>Ciccone</t>
  </si>
  <si>
    <t xml:space="preserve">35 Jones Rd </t>
  </si>
  <si>
    <t>10990-2830</t>
  </si>
  <si>
    <t xml:space="preserve">8183 NW 14th St </t>
  </si>
  <si>
    <t>33071-6774</t>
  </si>
  <si>
    <t>Ritter</t>
  </si>
  <si>
    <t xml:space="preserve">4276 Stern Ave </t>
  </si>
  <si>
    <t>91423-4227</t>
  </si>
  <si>
    <t xml:space="preserve">1000 San Pablo Ave </t>
  </si>
  <si>
    <t>94706-2226</t>
  </si>
  <si>
    <t>Hittelman</t>
  </si>
  <si>
    <t>Lena</t>
  </si>
  <si>
    <t xml:space="preserve">1889 Lucretia Ave </t>
  </si>
  <si>
    <t>90026-1807</t>
  </si>
  <si>
    <t xml:space="preserve">822 Road 19 </t>
  </si>
  <si>
    <t>Sedan</t>
  </si>
  <si>
    <t>67361-8631</t>
  </si>
  <si>
    <t>Dolen</t>
  </si>
  <si>
    <t xml:space="preserve">22 Hitching Post Rd </t>
  </si>
  <si>
    <t>01002-1155</t>
  </si>
  <si>
    <t xml:space="preserve">2245 Mundare Dr </t>
  </si>
  <si>
    <t>89002-3709</t>
  </si>
  <si>
    <t>Kram</t>
  </si>
  <si>
    <t xml:space="preserve">4216 Fairfax Dr </t>
  </si>
  <si>
    <t>43220-4583</t>
  </si>
  <si>
    <t>Samson</t>
  </si>
  <si>
    <t xml:space="preserve">6280 Sundance Trl </t>
  </si>
  <si>
    <t>48116-7750</t>
  </si>
  <si>
    <t>Azagoh-Kouadio</t>
  </si>
  <si>
    <t xml:space="preserve">92 Allen Neck Rd </t>
  </si>
  <si>
    <t>South Dartmouth</t>
  </si>
  <si>
    <t>02748-1002</t>
  </si>
  <si>
    <t xml:space="preserve">27560 Evergreen Rd </t>
  </si>
  <si>
    <t>Lathrup Village</t>
  </si>
  <si>
    <t>48076-3247</t>
  </si>
  <si>
    <t>Moy</t>
  </si>
  <si>
    <t xml:space="preserve">819 Grosse Pointe Ct </t>
  </si>
  <si>
    <t>Grosse Pointe</t>
  </si>
  <si>
    <t>48230-1278</t>
  </si>
  <si>
    <t>Gerstley</t>
  </si>
  <si>
    <t xml:space="preserve">1118 3rd St Apt 405 </t>
  </si>
  <si>
    <t>90403-5045</t>
  </si>
  <si>
    <t>De Stefano</t>
  </si>
  <si>
    <t xml:space="preserve">40 Garden Ave </t>
  </si>
  <si>
    <t>07424-3325</t>
  </si>
  <si>
    <t>AU</t>
  </si>
  <si>
    <t xml:space="preserve">719 Alae Rd </t>
  </si>
  <si>
    <t>96790-8961</t>
  </si>
  <si>
    <t>Hindman</t>
  </si>
  <si>
    <t xml:space="preserve">16 Weather Hill Cir </t>
  </si>
  <si>
    <t>27705-1564</t>
  </si>
  <si>
    <t>Head</t>
  </si>
  <si>
    <t xml:space="preserve">12991 Hidden Valley Ranch Rd </t>
  </si>
  <si>
    <t>De Soto</t>
  </si>
  <si>
    <t>63020-4829</t>
  </si>
  <si>
    <t xml:space="preserve">1506 30th Ave </t>
  </si>
  <si>
    <t>94122-3206</t>
  </si>
  <si>
    <t xml:space="preserve">441 Blakely Blvd </t>
  </si>
  <si>
    <t>98382-8183</t>
  </si>
  <si>
    <t>Halstead</t>
  </si>
  <si>
    <t xml:space="preserve">593 Stone Ridge Dr </t>
  </si>
  <si>
    <t>Ponte Vedra</t>
  </si>
  <si>
    <t>32081-6197</t>
  </si>
  <si>
    <t>Way</t>
  </si>
  <si>
    <t xml:space="preserve">2315 Romig Rd </t>
  </si>
  <si>
    <t>19464-2139</t>
  </si>
  <si>
    <t xml:space="preserve">976 E Cedar Terrace Dr </t>
  </si>
  <si>
    <t>84094-0273</t>
  </si>
  <si>
    <t xml:space="preserve">471 Kinsman Rd </t>
  </si>
  <si>
    <t>38120-2744</t>
  </si>
  <si>
    <t>Irv</t>
  </si>
  <si>
    <t xml:space="preserve">16385 Frels Rd </t>
  </si>
  <si>
    <t>Cable</t>
  </si>
  <si>
    <t>54821-4525</t>
  </si>
  <si>
    <t xml:space="preserve">332 Sandalwood Dr </t>
  </si>
  <si>
    <t>62298-1658</t>
  </si>
  <si>
    <t>Cavin</t>
  </si>
  <si>
    <t xml:space="preserve">335 W 2nd Ave Apt 106 </t>
  </si>
  <si>
    <t>97401-2578</t>
  </si>
  <si>
    <t xml:space="preserve">181 Castleford Cir </t>
  </si>
  <si>
    <t>94526-3669</t>
  </si>
  <si>
    <t>Milloy</t>
  </si>
  <si>
    <t xml:space="preserve">PO Box 1243 </t>
  </si>
  <si>
    <t>Vallecitos</t>
  </si>
  <si>
    <t>87581-1243</t>
  </si>
  <si>
    <t>Monika</t>
  </si>
  <si>
    <t xml:space="preserve">215 10th Ave E </t>
  </si>
  <si>
    <t>98102-6127</t>
  </si>
  <si>
    <t xml:space="preserve">8002 Bomke Rd </t>
  </si>
  <si>
    <t>62677-3757</t>
  </si>
  <si>
    <t>Dardarian</t>
  </si>
  <si>
    <t xml:space="preserve">14929 Dickens St Apt 15 </t>
  </si>
  <si>
    <t>91403-3493</t>
  </si>
  <si>
    <t xml:space="preserve">15 Baldwin Dr </t>
  </si>
  <si>
    <t>Sag Harbor</t>
  </si>
  <si>
    <t>11963-1231</t>
  </si>
  <si>
    <t>Dickstein</t>
  </si>
  <si>
    <t xml:space="preserve">4693 Barbados Loop </t>
  </si>
  <si>
    <t>34711-5264</t>
  </si>
  <si>
    <t>Linley</t>
  </si>
  <si>
    <t xml:space="preserve">3754 E Shangri La Rd </t>
  </si>
  <si>
    <t>85028-2817</t>
  </si>
  <si>
    <t>Maruki-Fox</t>
  </si>
  <si>
    <t>Setsuko</t>
  </si>
  <si>
    <t xml:space="preserve">367 ALMAR Rd </t>
  </si>
  <si>
    <t>Geist</t>
  </si>
  <si>
    <t>Caitlyn</t>
  </si>
  <si>
    <t xml:space="preserve">27 Schoolside Ct </t>
  </si>
  <si>
    <t>19468-2670</t>
  </si>
  <si>
    <t xml:space="preserve">416 Cortez Rd </t>
  </si>
  <si>
    <t>91007-6274</t>
  </si>
  <si>
    <t>Fierro-Clarke</t>
  </si>
  <si>
    <t xml:space="preserve">1427 Mcduff St </t>
  </si>
  <si>
    <t>90026-3425</t>
  </si>
  <si>
    <t xml:space="preserve">393 Waters Rd </t>
  </si>
  <si>
    <t>17403-4751</t>
  </si>
  <si>
    <t>Troyer</t>
  </si>
  <si>
    <t xml:space="preserve">3799 Kidron Rd </t>
  </si>
  <si>
    <t>44618-9258</t>
  </si>
  <si>
    <t xml:space="preserve">300 American Legion Rd </t>
  </si>
  <si>
    <t>15650-5239</t>
  </si>
  <si>
    <t>Ogdensburg</t>
  </si>
  <si>
    <t xml:space="preserve">4059 Flint Ct </t>
  </si>
  <si>
    <t>12020-2598</t>
  </si>
  <si>
    <t>Bompensa</t>
  </si>
  <si>
    <t xml:space="preserve">2730 SE Eagle Dr </t>
  </si>
  <si>
    <t>34984-8913</t>
  </si>
  <si>
    <t>Heiler</t>
  </si>
  <si>
    <t xml:space="preserve">4976 Van Dyke Ct </t>
  </si>
  <si>
    <t>95521-4445</t>
  </si>
  <si>
    <t>Reitschky</t>
  </si>
  <si>
    <t xml:space="preserve">6010 Ketchum Rd </t>
  </si>
  <si>
    <t>14424-8929</t>
  </si>
  <si>
    <t>Engell</t>
  </si>
  <si>
    <t xml:space="preserve">13 Upland Ter </t>
  </si>
  <si>
    <t>43050-1419</t>
  </si>
  <si>
    <t>Scout</t>
  </si>
  <si>
    <t xml:space="preserve">86 Corey Rd </t>
  </si>
  <si>
    <t>02135-8113</t>
  </si>
  <si>
    <t>Nailon</t>
  </si>
  <si>
    <t xml:space="preserve">377 Mariner Point Way </t>
  </si>
  <si>
    <t>95831-3740</t>
  </si>
  <si>
    <t xml:space="preserve">48161 Bayshore Dr </t>
  </si>
  <si>
    <t>48111-4602</t>
  </si>
  <si>
    <t>B Erich</t>
  </si>
  <si>
    <t xml:space="preserve">13965 SW Allen Blvd Apt 65 </t>
  </si>
  <si>
    <t>97005-4615</t>
  </si>
  <si>
    <t xml:space="preserve">4514 Scarlet Oak Ln </t>
  </si>
  <si>
    <t>21229-2483</t>
  </si>
  <si>
    <t xml:space="preserve">2521 Carnegie Ln Unit 1 </t>
  </si>
  <si>
    <t>90278-3812</t>
  </si>
  <si>
    <t>Looft</t>
  </si>
  <si>
    <t xml:space="preserve">1 Shilo Rd </t>
  </si>
  <si>
    <t>87508-7004</t>
  </si>
  <si>
    <t>Nolta</t>
  </si>
  <si>
    <t xml:space="preserve">319 Waukegan Rd </t>
  </si>
  <si>
    <t>60093-2719</t>
  </si>
  <si>
    <t>Jd</t>
  </si>
  <si>
    <t xml:space="preserve">201 Rushmore Ave </t>
  </si>
  <si>
    <t>94954-1598</t>
  </si>
  <si>
    <t>Resseguie</t>
  </si>
  <si>
    <t xml:space="preserve">21054 Fleetwood Dr </t>
  </si>
  <si>
    <t>48035-1608</t>
  </si>
  <si>
    <t>Wechselblatt</t>
  </si>
  <si>
    <t>Marylin</t>
  </si>
  <si>
    <t xml:space="preserve">322 Richard Mine Jrd </t>
  </si>
  <si>
    <t>Cleve</t>
  </si>
  <si>
    <t xml:space="preserve">23 Donellan Rd </t>
  </si>
  <si>
    <t>Schoenheinz</t>
  </si>
  <si>
    <t xml:space="preserve">9442 Ciunty Rd # 3 </t>
  </si>
  <si>
    <t>Hungerford</t>
  </si>
  <si>
    <t>Chasity</t>
  </si>
  <si>
    <t xml:space="preserve">9525 NE 149TH St </t>
  </si>
  <si>
    <t xml:space="preserve">PO Box 368 </t>
  </si>
  <si>
    <t>Kalaheo</t>
  </si>
  <si>
    <t xml:space="preserve">1949 Ash St </t>
  </si>
  <si>
    <t>60087-5045</t>
  </si>
  <si>
    <t xml:space="preserve">9742 Larston St </t>
  </si>
  <si>
    <t>Acker</t>
  </si>
  <si>
    <t xml:space="preserve">908 W Juanita Ave </t>
  </si>
  <si>
    <t>Teare</t>
  </si>
  <si>
    <t xml:space="preserve">718 Park St Unit A </t>
  </si>
  <si>
    <t xml:space="preserve">414 Evergreen Rd </t>
  </si>
  <si>
    <t xml:space="preserve">1125 Est Mulberry </t>
  </si>
  <si>
    <t xml:space="preserve">16622 Antioch Rd </t>
  </si>
  <si>
    <t>97503-8557</t>
  </si>
  <si>
    <t>Kulak</t>
  </si>
  <si>
    <t xml:space="preserve">6532 173rd Pl </t>
  </si>
  <si>
    <t>60477-3522</t>
  </si>
  <si>
    <t xml:space="preserve">9850 4 Mile Rd </t>
  </si>
  <si>
    <t>Evart</t>
  </si>
  <si>
    <t>49631-8013</t>
  </si>
  <si>
    <t>Wakeman</t>
  </si>
  <si>
    <t xml:space="preserve">2710 Azalea Dr </t>
  </si>
  <si>
    <t>27407-5920</t>
  </si>
  <si>
    <t xml:space="preserve">4421 Chimney Creek Dr </t>
  </si>
  <si>
    <t>34235-1816</t>
  </si>
  <si>
    <t>61364-2929</t>
  </si>
  <si>
    <t>Casaday</t>
  </si>
  <si>
    <t xml:space="preserve">3740 Black Feather Dr </t>
  </si>
  <si>
    <t>94803-2124</t>
  </si>
  <si>
    <t>Sicotte</t>
  </si>
  <si>
    <t xml:space="preserve">4 Chimney Crest Dr Apt D </t>
  </si>
  <si>
    <t>28806-8725</t>
  </si>
  <si>
    <t xml:space="preserve">2992 River Rd </t>
  </si>
  <si>
    <t>98382-7714</t>
  </si>
  <si>
    <t>Roache</t>
  </si>
  <si>
    <t xml:space="preserve">5525 Dorsett Shoals Ln </t>
  </si>
  <si>
    <t>Douglasville</t>
  </si>
  <si>
    <t>30135-4072</t>
  </si>
  <si>
    <t>Gerber</t>
  </si>
  <si>
    <t>Hera</t>
  </si>
  <si>
    <t xml:space="preserve">13482 Mason Village Ct </t>
  </si>
  <si>
    <t>63131-1011</t>
  </si>
  <si>
    <t>84020-7972</t>
  </si>
  <si>
    <t>Owsiany</t>
  </si>
  <si>
    <t xml:space="preserve">1 Blaho Dr </t>
  </si>
  <si>
    <t>06484-5403</t>
  </si>
  <si>
    <t xml:space="preserve">1357 Steffen Pl </t>
  </si>
  <si>
    <t>98282-5025</t>
  </si>
  <si>
    <t>83706-6102</t>
  </si>
  <si>
    <t>Ceisel</t>
  </si>
  <si>
    <t xml:space="preserve">WILMETTE Ave </t>
  </si>
  <si>
    <t xml:space="preserve">2975 S Wentworth Ave </t>
  </si>
  <si>
    <t>53207-2547</t>
  </si>
  <si>
    <t xml:space="preserve">163 Stonewall Rd </t>
  </si>
  <si>
    <t>94705-1416</t>
  </si>
  <si>
    <t xml:space="preserve">113 W Allens Ln </t>
  </si>
  <si>
    <t>19119-4101</t>
  </si>
  <si>
    <t xml:space="preserve">4092 Pine Dale Ct </t>
  </si>
  <si>
    <t>34607-2951</t>
  </si>
  <si>
    <t xml:space="preserve">1122 W Rural Rd </t>
  </si>
  <si>
    <t>West Jordan</t>
  </si>
  <si>
    <t>84084-5771</t>
  </si>
  <si>
    <t>Locklear</t>
  </si>
  <si>
    <t xml:space="preserve">200 Alva St </t>
  </si>
  <si>
    <t>77520-3003</t>
  </si>
  <si>
    <t xml:space="preserve">218 Donworth St </t>
  </si>
  <si>
    <t>04783-4106</t>
  </si>
  <si>
    <t>Jongbloed</t>
  </si>
  <si>
    <t>Carel</t>
  </si>
  <si>
    <t xml:space="preserve">17 Pheasant Dr </t>
  </si>
  <si>
    <t xml:space="preserve">1441 NW 126th St </t>
  </si>
  <si>
    <t xml:space="preserve">1700 Ayrault Rd </t>
  </si>
  <si>
    <t>Lazenby</t>
  </si>
  <si>
    <t xml:space="preserve">34 Bigelow St Apt C </t>
  </si>
  <si>
    <t>02139-2352</t>
  </si>
  <si>
    <t xml:space="preserve">1751 W North Shore Ave Apt 1 </t>
  </si>
  <si>
    <t>60626-4087</t>
  </si>
  <si>
    <t>Dfs</t>
  </si>
  <si>
    <t>Rdsfd</t>
  </si>
  <si>
    <t xml:space="preserve">FSFDS </t>
  </si>
  <si>
    <t>Fdsfdsfds</t>
  </si>
  <si>
    <t>McBee</t>
  </si>
  <si>
    <t xml:space="preserve">122 New Rd </t>
  </si>
  <si>
    <t xml:space="preserve">7084 Friars Rd </t>
  </si>
  <si>
    <t>Cleffi</t>
  </si>
  <si>
    <t xml:space="preserve">402 E12th St Apt 13 </t>
  </si>
  <si>
    <t>Hindi</t>
  </si>
  <si>
    <t xml:space="preserve">1101 3rd St SW </t>
  </si>
  <si>
    <t xml:space="preserve">1141 RAYMOND Rd </t>
  </si>
  <si>
    <t>Beaman</t>
  </si>
  <si>
    <t xml:space="preserve">2201 Redwood Ave </t>
  </si>
  <si>
    <t>Upper Chichester</t>
  </si>
  <si>
    <t>Campos</t>
  </si>
  <si>
    <t xml:space="preserve">1056 Sherman Ave Apt 2F </t>
  </si>
  <si>
    <t>Morin</t>
  </si>
  <si>
    <t xml:space="preserve">PO Box 1704 </t>
  </si>
  <si>
    <t>Bentrup</t>
  </si>
  <si>
    <t xml:space="preserve">12605 Colony Pl NE </t>
  </si>
  <si>
    <t xml:space="preserve">694 E Pitkin St </t>
  </si>
  <si>
    <t>Micky</t>
  </si>
  <si>
    <t xml:space="preserve">4314 Laguna Dr </t>
  </si>
  <si>
    <t>Mosquera</t>
  </si>
  <si>
    <t xml:space="preserve">PENN Ave N </t>
  </si>
  <si>
    <t>Forked River</t>
  </si>
  <si>
    <t>Bilger</t>
  </si>
  <si>
    <t xml:space="preserve">150 Elm Ct </t>
  </si>
  <si>
    <t xml:space="preserve">4527 S Vista Montana Way </t>
  </si>
  <si>
    <t xml:space="preserve">210 Cheval Ln NE </t>
  </si>
  <si>
    <t xml:space="preserve">31 Milo White Rd </t>
  </si>
  <si>
    <t xml:space="preserve">14790 W Goldwater Ridge Dr Unit 102 </t>
  </si>
  <si>
    <t xml:space="preserve">18 Bedford St </t>
  </si>
  <si>
    <t>Mitley</t>
  </si>
  <si>
    <t xml:space="preserve">2890 Kennedy Rd </t>
  </si>
  <si>
    <t xml:space="preserve">1300 Warren St </t>
  </si>
  <si>
    <t>Tarboro</t>
  </si>
  <si>
    <t xml:space="preserve">5140 Suson Ridge Dr </t>
  </si>
  <si>
    <t xml:space="preserve">10 Rogers Ave </t>
  </si>
  <si>
    <t>Almy</t>
  </si>
  <si>
    <t>Constnace</t>
  </si>
  <si>
    <t xml:space="preserve">4 Gregory St </t>
  </si>
  <si>
    <t>Staley</t>
  </si>
  <si>
    <t xml:space="preserve">6911 Guadalupe Trl NW </t>
  </si>
  <si>
    <t xml:space="preserve">&amp;250 WESTPARK Dr </t>
  </si>
  <si>
    <t>Shy</t>
  </si>
  <si>
    <t xml:space="preserve">1639 Riverside Dr Apt 5 </t>
  </si>
  <si>
    <t>Wynnberry</t>
  </si>
  <si>
    <t xml:space="preserve">2342 YONGE Ave </t>
  </si>
  <si>
    <t>Freitag</t>
  </si>
  <si>
    <t>Dr.</t>
  </si>
  <si>
    <t xml:space="preserve">1825 Curve Crest Blvd W </t>
  </si>
  <si>
    <t xml:space="preserve">4848 Lexington Ave Apt 307 </t>
  </si>
  <si>
    <t xml:space="preserve">17163 Knight Dr </t>
  </si>
  <si>
    <t xml:space="preserve">3001 Wellbrooke Rd </t>
  </si>
  <si>
    <t xml:space="preserve">4430 SW 202nd Ave </t>
  </si>
  <si>
    <t xml:space="preserve">1322 W Adams Ave </t>
  </si>
  <si>
    <t>Roldán</t>
  </si>
  <si>
    <t xml:space="preserve">4809 Eagle Way </t>
  </si>
  <si>
    <t xml:space="preserve">6 Island Hill Ave Apt 404 </t>
  </si>
  <si>
    <t xml:space="preserve">6404 Hopi Dr </t>
  </si>
  <si>
    <t xml:space="preserve">214 Providence Rd </t>
  </si>
  <si>
    <t>Shawna</t>
  </si>
  <si>
    <t xml:space="preserve">22 Caryl Ct </t>
  </si>
  <si>
    <t>Silverado</t>
  </si>
  <si>
    <t>Hogarth</t>
  </si>
  <si>
    <t xml:space="preserve">1143 Gatewood Ave SW </t>
  </si>
  <si>
    <t>Feintech</t>
  </si>
  <si>
    <t xml:space="preserve">332 Coates Dr </t>
  </si>
  <si>
    <t xml:space="preserve">PO Box 482 </t>
  </si>
  <si>
    <t>Tellico Plains</t>
  </si>
  <si>
    <t xml:space="preserve">PO Box 8419 </t>
  </si>
  <si>
    <t>Spring Creek</t>
  </si>
  <si>
    <t xml:space="preserve">10726 Devonshire Cir </t>
  </si>
  <si>
    <t xml:space="preserve">4000 Settlers Way </t>
  </si>
  <si>
    <t>Buer</t>
  </si>
  <si>
    <t xml:space="preserve">23662 Strato Rim Dr </t>
  </si>
  <si>
    <t xml:space="preserve">9145 Bliss Rd </t>
  </si>
  <si>
    <t>Lake Odessa</t>
  </si>
  <si>
    <t xml:space="preserve">457 CO RT 33 </t>
  </si>
  <si>
    <t xml:space="preserve">701 Xenia Ave S </t>
  </si>
  <si>
    <t>Kassner</t>
  </si>
  <si>
    <t>Meri</t>
  </si>
  <si>
    <t xml:space="preserve">11 George St </t>
  </si>
  <si>
    <t>Locust Valley</t>
  </si>
  <si>
    <t>Divide</t>
  </si>
  <si>
    <t>Drodge</t>
  </si>
  <si>
    <t xml:space="preserve">1445 Woodacre Dr </t>
  </si>
  <si>
    <t>Dj</t>
  </si>
  <si>
    <t xml:space="preserve">10829 Huston St </t>
  </si>
  <si>
    <t>N Hollywood</t>
  </si>
  <si>
    <t xml:space="preserve">5 Sidney Lanier Ln </t>
  </si>
  <si>
    <t>Bradell</t>
  </si>
  <si>
    <t xml:space="preserve">139 Market St </t>
  </si>
  <si>
    <t>Heriberto</t>
  </si>
  <si>
    <t xml:space="preserve">2 K10 Calle Carlomagno </t>
  </si>
  <si>
    <t>Ovadias</t>
  </si>
  <si>
    <t>Savas</t>
  </si>
  <si>
    <t xml:space="preserve">62 49TH St </t>
  </si>
  <si>
    <t>Konizeski</t>
  </si>
  <si>
    <t xml:space="preserve">1314 191st Dr SE </t>
  </si>
  <si>
    <t>Fillinger</t>
  </si>
  <si>
    <t xml:space="preserve">4501 E Wild Stallion Trl </t>
  </si>
  <si>
    <t xml:space="preserve">516 Blackberry Dr </t>
  </si>
  <si>
    <t>Blanchette</t>
  </si>
  <si>
    <t xml:space="preserve">PO Box 1089 </t>
  </si>
  <si>
    <t>South Windsor</t>
  </si>
  <si>
    <t xml:space="preserve">PO Box 113 </t>
  </si>
  <si>
    <t xml:space="preserve">6240 N 13th St </t>
  </si>
  <si>
    <t>Crellan</t>
  </si>
  <si>
    <t xml:space="preserve">5 Paper Mill Creek Ct </t>
  </si>
  <si>
    <t xml:space="preserve">5426 35th Ave SW </t>
  </si>
  <si>
    <t xml:space="preserve">13410 Bradbridge Ln </t>
  </si>
  <si>
    <t>Pedro</t>
  </si>
  <si>
    <t xml:space="preserve">601 NW 82nd Ave Apt 631 </t>
  </si>
  <si>
    <t xml:space="preserve">847 N 1st St </t>
  </si>
  <si>
    <t>Cowans</t>
  </si>
  <si>
    <t xml:space="preserve">5729 Fishermans Dr </t>
  </si>
  <si>
    <t xml:space="preserve">1722 Sylvan Rd </t>
  </si>
  <si>
    <t>Fidler</t>
  </si>
  <si>
    <t xml:space="preserve">315 W 106th St Apt 16C </t>
  </si>
  <si>
    <t xml:space="preserve">103 Golden Ash Ct </t>
  </si>
  <si>
    <t xml:space="preserve">2426 N Powhatan St </t>
  </si>
  <si>
    <t>Rarback</t>
  </si>
  <si>
    <t xml:space="preserve">915 W End Ave Apt 407 </t>
  </si>
  <si>
    <t>Jane C.</t>
  </si>
  <si>
    <t xml:space="preserve">31 Stratton Rd </t>
  </si>
  <si>
    <t xml:space="preserve">E 22ND St </t>
  </si>
  <si>
    <t xml:space="preserve">6046 Fairlane Dr </t>
  </si>
  <si>
    <t xml:space="preserve">3211 Shadow Oaks Rd </t>
  </si>
  <si>
    <t>Savopoulos</t>
  </si>
  <si>
    <t xml:space="preserve">35 Calle Careyes </t>
  </si>
  <si>
    <t xml:space="preserve">14 Raymond St </t>
  </si>
  <si>
    <t xml:space="preserve">6225 Exchange St </t>
  </si>
  <si>
    <t>Mc Farland</t>
  </si>
  <si>
    <t xml:space="preserve">2309 SW 120th St </t>
  </si>
  <si>
    <t xml:space="preserve">811 Morse St </t>
  </si>
  <si>
    <t xml:space="preserve">20 Colony Rd </t>
  </si>
  <si>
    <t xml:space="preserve">665 W Warren Detroit </t>
  </si>
  <si>
    <t>Fetch</t>
  </si>
  <si>
    <t>E. M.</t>
  </si>
  <si>
    <t xml:space="preserve">33 Delaware Ln </t>
  </si>
  <si>
    <t>Heicher</t>
  </si>
  <si>
    <t xml:space="preserve">5515 118th St </t>
  </si>
  <si>
    <t>Cio</t>
  </si>
  <si>
    <t xml:space="preserve">JOHNSON St </t>
  </si>
  <si>
    <t xml:space="preserve">3652 Williams Hwy </t>
  </si>
  <si>
    <t>Faith Marandola</t>
  </si>
  <si>
    <t xml:space="preserve">62 Parkside Cir </t>
  </si>
  <si>
    <t>Perles</t>
  </si>
  <si>
    <t xml:space="preserve">40 Edgewood Dr </t>
  </si>
  <si>
    <t>Osso</t>
  </si>
  <si>
    <t xml:space="preserve">2656 Shriver Dr </t>
  </si>
  <si>
    <t xml:space="preserve">2250 Mickle Ave </t>
  </si>
  <si>
    <t xml:space="preserve">2275 Stonefish Dr </t>
  </si>
  <si>
    <t xml:space="preserve">9760 Ninemile Creek Rd </t>
  </si>
  <si>
    <t xml:space="preserve">5379 Beachside Dr </t>
  </si>
  <si>
    <t xml:space="preserve">1825 River Haven Ln </t>
  </si>
  <si>
    <t>Pangburn</t>
  </si>
  <si>
    <t>Bryn</t>
  </si>
  <si>
    <t xml:space="preserve">Impeach Trump </t>
  </si>
  <si>
    <t>Northwood</t>
  </si>
  <si>
    <t xml:space="preserve">3971 E State Route 106 </t>
  </si>
  <si>
    <t>Reizburg</t>
  </si>
  <si>
    <t xml:space="preserve">5090 Nesting Way Apt D </t>
  </si>
  <si>
    <t>Meza</t>
  </si>
  <si>
    <t xml:space="preserve">36820 Serendipity Way </t>
  </si>
  <si>
    <t>Kitchel</t>
  </si>
  <si>
    <t xml:space="preserve">25255 3rd Ave </t>
  </si>
  <si>
    <t>Los Molinos</t>
  </si>
  <si>
    <t>Borenstein</t>
  </si>
  <si>
    <t xml:space="preserve">316 State St </t>
  </si>
  <si>
    <t>Supperstein</t>
  </si>
  <si>
    <t xml:space="preserve">3104 Leslie Dr </t>
  </si>
  <si>
    <t xml:space="preserve">118 Eucalyptus Knoll St </t>
  </si>
  <si>
    <t>94941-2284</t>
  </si>
  <si>
    <t>Fogerson</t>
  </si>
  <si>
    <t xml:space="preserve">47103 Waters Edge Ln </t>
  </si>
  <si>
    <t>48111-3180</t>
  </si>
  <si>
    <t xml:space="preserve">102 S Maple St </t>
  </si>
  <si>
    <t>02019-1662</t>
  </si>
  <si>
    <t>Pottersmith</t>
  </si>
  <si>
    <t xml:space="preserve">211 Summit Cir </t>
  </si>
  <si>
    <t>80026-1802</t>
  </si>
  <si>
    <t xml:space="preserve">5580 Moreno St Spc 84 </t>
  </si>
  <si>
    <t>91763-1636</t>
  </si>
  <si>
    <t>Noto</t>
  </si>
  <si>
    <t>Nonna</t>
  </si>
  <si>
    <t xml:space="preserve">1852 Columbia Rd NW Apt 302 </t>
  </si>
  <si>
    <t>20009-2019</t>
  </si>
  <si>
    <t xml:space="preserve">57 Rancho Vista St </t>
  </si>
  <si>
    <t>94803-1144</t>
  </si>
  <si>
    <t>Gratta</t>
  </si>
  <si>
    <t xml:space="preserve">9 Sheffield Ct </t>
  </si>
  <si>
    <t>Nesconset</t>
  </si>
  <si>
    <t>11767-2264</t>
  </si>
  <si>
    <t>Garlitz</t>
  </si>
  <si>
    <t>Jenifer</t>
  </si>
  <si>
    <t xml:space="preserve">717 Cowles Ave </t>
  </si>
  <si>
    <t>60435-5915</t>
  </si>
  <si>
    <t>Foxx</t>
  </si>
  <si>
    <t xml:space="preserve">1223 Scarlet St Apt E </t>
  </si>
  <si>
    <t>46074-3616</t>
  </si>
  <si>
    <t xml:space="preserve">407 Upson Ln </t>
  </si>
  <si>
    <t>49017-5263</t>
  </si>
  <si>
    <t>Stracciolini</t>
  </si>
  <si>
    <t xml:space="preserve">2210 Cranberry Ln </t>
  </si>
  <si>
    <t>19320-4719</t>
  </si>
  <si>
    <t>Kodumal</t>
  </si>
  <si>
    <t>Gemma</t>
  </si>
  <si>
    <t xml:space="preserve">2027 26th St </t>
  </si>
  <si>
    <t>11105-2915</t>
  </si>
  <si>
    <t xml:space="preserve">555 S Selby Blvd </t>
  </si>
  <si>
    <t>43085-3727</t>
  </si>
  <si>
    <t>Stoy</t>
  </si>
  <si>
    <t xml:space="preserve">2041 Sunburst Way </t>
  </si>
  <si>
    <t>89509-5811</t>
  </si>
  <si>
    <t xml:space="preserve">8175 S Virginia St </t>
  </si>
  <si>
    <t>89511-8922</t>
  </si>
  <si>
    <t>Rausch</t>
  </si>
  <si>
    <t xml:space="preserve">4855 County Road L </t>
  </si>
  <si>
    <t xml:space="preserve">8615 SW 126th Ter </t>
  </si>
  <si>
    <t>Walling</t>
  </si>
  <si>
    <t xml:space="preserve">14100 Linden Ave N Apt 471 </t>
  </si>
  <si>
    <t>Loftus</t>
  </si>
  <si>
    <t xml:space="preserve">750 Orion Rd Apt 133 </t>
  </si>
  <si>
    <t>Wodowski</t>
  </si>
  <si>
    <t>Marzena</t>
  </si>
  <si>
    <t xml:space="preserve">627 Lakeshore Dr </t>
  </si>
  <si>
    <t>Madalyn</t>
  </si>
  <si>
    <t xml:space="preserve">8 Rothermel Lane Ext # 5186108425 </t>
  </si>
  <si>
    <t xml:space="preserve">PO Box 772521 </t>
  </si>
  <si>
    <t>Jimilee</t>
  </si>
  <si>
    <t xml:space="preserve">268 W Cluster St </t>
  </si>
  <si>
    <t>92408-1328</t>
  </si>
  <si>
    <t>Tirzah</t>
  </si>
  <si>
    <t xml:space="preserve">3215 N Shepard Ave </t>
  </si>
  <si>
    <t xml:space="preserve">35 Quince Lndg </t>
  </si>
  <si>
    <t>Trohkimoinen</t>
  </si>
  <si>
    <t xml:space="preserve">3035 S Poplar St </t>
  </si>
  <si>
    <t xml:space="preserve">628 Dorado Pl SE </t>
  </si>
  <si>
    <t xml:space="preserve">6 Baker Hl # 376 </t>
  </si>
  <si>
    <t>Hurleyville</t>
  </si>
  <si>
    <t xml:space="preserve">2006 Pronghorn Lane Colorado Springs 80915 </t>
  </si>
  <si>
    <t xml:space="preserve">5 Heritage Ln # B </t>
  </si>
  <si>
    <t>Mr. Anje'</t>
  </si>
  <si>
    <t>Elias</t>
  </si>
  <si>
    <t>Kerin</t>
  </si>
  <si>
    <t xml:space="preserve">316 E Fremont St Apt 7 </t>
  </si>
  <si>
    <t xml:space="preserve">2249 Spalding Dr </t>
  </si>
  <si>
    <t>Demarais</t>
  </si>
  <si>
    <t xml:space="preserve">15950 Mcelroy Rd </t>
  </si>
  <si>
    <t>Nita</t>
  </si>
  <si>
    <t xml:space="preserve">13149 Davenport St NE </t>
  </si>
  <si>
    <t xml:space="preserve">2031 Locust St Apt 503 </t>
  </si>
  <si>
    <t>Strausberg</t>
  </si>
  <si>
    <t xml:space="preserve">1 Stark Ct </t>
  </si>
  <si>
    <t>West Windsor</t>
  </si>
  <si>
    <t>Eichman</t>
  </si>
  <si>
    <t xml:space="preserve">2770 N 5th St </t>
  </si>
  <si>
    <t>Shafman</t>
  </si>
  <si>
    <t xml:space="preserve">22120 Laramore Ave </t>
  </si>
  <si>
    <t xml:space="preserve">304 Cricklewood Sq Apt L </t>
  </si>
  <si>
    <t>Ellene And Michael</t>
  </si>
  <si>
    <t xml:space="preserve">1010 Finians Rainbow </t>
  </si>
  <si>
    <t>Spoerl</t>
  </si>
  <si>
    <t xml:space="preserve">1943 Whitmore Dr </t>
  </si>
  <si>
    <t>Romeoville</t>
  </si>
  <si>
    <t>Bupp</t>
  </si>
  <si>
    <t xml:space="preserve">2675 Carnegie Rd Apt T3 </t>
  </si>
  <si>
    <t xml:space="preserve">2309 Berkeley Ave </t>
  </si>
  <si>
    <t xml:space="preserve">621 5th St </t>
  </si>
  <si>
    <t>Beard-Thomas</t>
  </si>
  <si>
    <t xml:space="preserve">916 22nd St </t>
  </si>
  <si>
    <t>95816-4731</t>
  </si>
  <si>
    <t xml:space="preserve">6121 Lenore Ave </t>
  </si>
  <si>
    <t>92845-2736</t>
  </si>
  <si>
    <t>Tamimi</t>
  </si>
  <si>
    <t>Nawal</t>
  </si>
  <si>
    <t xml:space="preserve">203 Bayside Ct </t>
  </si>
  <si>
    <t>94804-7461</t>
  </si>
  <si>
    <t>Hauptfuehrer</t>
  </si>
  <si>
    <t xml:space="preserve">7101 Roosevelt Way NE </t>
  </si>
  <si>
    <t>98115-5607</t>
  </si>
  <si>
    <t xml:space="preserve">11090 SW 27th Ave </t>
  </si>
  <si>
    <t>34476-8213</t>
  </si>
  <si>
    <t>33917-3125</t>
  </si>
  <si>
    <t>Susan E.</t>
  </si>
  <si>
    <t xml:space="preserve">340 W 28th St Apt 16E </t>
  </si>
  <si>
    <t>10001-4764</t>
  </si>
  <si>
    <t>Pino Ba Jd</t>
  </si>
  <si>
    <t xml:space="preserve">7200 Wilson Terrace Morton Grv </t>
  </si>
  <si>
    <t>Lahaie</t>
  </si>
  <si>
    <t xml:space="preserve">Mile 2277 Parks Hwy </t>
  </si>
  <si>
    <t>Denali National Park</t>
  </si>
  <si>
    <t>Bromberg</t>
  </si>
  <si>
    <t xml:space="preserve">924 E Dean Keeton St Apt 125 </t>
  </si>
  <si>
    <t>78705-3312</t>
  </si>
  <si>
    <t xml:space="preserve">2509 W Harrison St </t>
  </si>
  <si>
    <t>60612-3469</t>
  </si>
  <si>
    <t>Asche</t>
  </si>
  <si>
    <t xml:space="preserve">235 W 3rd St </t>
  </si>
  <si>
    <t>50438-1203</t>
  </si>
  <si>
    <t>Muzychka</t>
  </si>
  <si>
    <t xml:space="preserve">1348 Holly Heights Dr </t>
  </si>
  <si>
    <t>33304-4713</t>
  </si>
  <si>
    <t xml:space="preserve">46 Andreas Ct </t>
  </si>
  <si>
    <t>94945-1203</t>
  </si>
  <si>
    <t xml:space="preserve">350 Lodge Rd Apt 302 </t>
  </si>
  <si>
    <t>05753-4508</t>
  </si>
  <si>
    <t>Hvizdos</t>
  </si>
  <si>
    <t xml:space="preserve">1619 Butler Ave </t>
  </si>
  <si>
    <t>44509-1106</t>
  </si>
  <si>
    <t>Dvergsdal</t>
  </si>
  <si>
    <t xml:space="preserve">1940 SW Huntington Ave </t>
  </si>
  <si>
    <t>97225-4756</t>
  </si>
  <si>
    <t>97223-2108</t>
  </si>
  <si>
    <t xml:space="preserve">6707 Saint Johns Pkwy </t>
  </si>
  <si>
    <t>14564-9255</t>
  </si>
  <si>
    <t xml:space="preserve">31785 5th Ave </t>
  </si>
  <si>
    <t>92651-6865</t>
  </si>
  <si>
    <t>Willa</t>
  </si>
  <si>
    <t xml:space="preserve">4854 Valley East Blvd Apt 4 </t>
  </si>
  <si>
    <t>95521-4649</t>
  </si>
  <si>
    <t>Bobba</t>
  </si>
  <si>
    <t xml:space="preserve">10120 Waters Ave S </t>
  </si>
  <si>
    <t>98178-2541</t>
  </si>
  <si>
    <t xml:space="preserve">602 Lobos Ave </t>
  </si>
  <si>
    <t>93950-4006</t>
  </si>
  <si>
    <t>28804-9793</t>
  </si>
  <si>
    <t xml:space="preserve">5707 NW 66th Ave </t>
  </si>
  <si>
    <t>50131-1140</t>
  </si>
  <si>
    <t>Tetrault</t>
  </si>
  <si>
    <t xml:space="preserve">15316 Pine Orchard Dr Apt 2G </t>
  </si>
  <si>
    <t xml:space="preserve">3271 Woodcreek Dr </t>
  </si>
  <si>
    <t>22911-6229</t>
  </si>
  <si>
    <t xml:space="preserve">165 WALNUT Way </t>
  </si>
  <si>
    <t>Burkesville</t>
  </si>
  <si>
    <t>Brachel</t>
  </si>
  <si>
    <t>Tiana</t>
  </si>
  <si>
    <t xml:space="preserve">56 Berkeley Pl </t>
  </si>
  <si>
    <t>Cartersville</t>
  </si>
  <si>
    <t>30121-4291</t>
  </si>
  <si>
    <t xml:space="preserve">1725 Warrington Rd NW </t>
  </si>
  <si>
    <t>44646-2866</t>
  </si>
  <si>
    <t>Huddy</t>
  </si>
  <si>
    <t xml:space="preserve">13110 Cleveland Dr </t>
  </si>
  <si>
    <t>20850-3724</t>
  </si>
  <si>
    <t>Tim And Tess</t>
  </si>
  <si>
    <t xml:space="preserve">78 Old County Rd </t>
  </si>
  <si>
    <t>Damariscotta</t>
  </si>
  <si>
    <t>04543-4024</t>
  </si>
  <si>
    <t xml:space="preserve">389 Burgher Ave </t>
  </si>
  <si>
    <t>10305-2318</t>
  </si>
  <si>
    <t xml:space="preserve">4075 Hilldale Rd </t>
  </si>
  <si>
    <t>92116-2015</t>
  </si>
  <si>
    <t>Dodds</t>
  </si>
  <si>
    <t>Kathrin</t>
  </si>
  <si>
    <t xml:space="preserve">6620 Mile 7 Rd </t>
  </si>
  <si>
    <t>78573-6029</t>
  </si>
  <si>
    <t xml:space="preserve">260 Montford Ave </t>
  </si>
  <si>
    <t>94941-3368</t>
  </si>
  <si>
    <t>Rosene</t>
  </si>
  <si>
    <t xml:space="preserve">985 Golden Aspen Pl </t>
  </si>
  <si>
    <t>97520-9128</t>
  </si>
  <si>
    <t>Dimaggio</t>
  </si>
  <si>
    <t>Britta</t>
  </si>
  <si>
    <t xml:space="preserve">1012 Honeysuckle Ln </t>
  </si>
  <si>
    <t>80027-1096</t>
  </si>
  <si>
    <t>Gose</t>
  </si>
  <si>
    <t xml:space="preserve">416 W Hills Rd </t>
  </si>
  <si>
    <t>11747-1024</t>
  </si>
  <si>
    <t xml:space="preserve">1749 N Curlew Ln </t>
  </si>
  <si>
    <t>33035-1015</t>
  </si>
  <si>
    <t>Mertz</t>
  </si>
  <si>
    <t>Leonice</t>
  </si>
  <si>
    <t xml:space="preserve">18 Chapel St </t>
  </si>
  <si>
    <t>13460-9700</t>
  </si>
  <si>
    <t xml:space="preserve">4 MENANDRD </t>
  </si>
  <si>
    <t>Molinelli</t>
  </si>
  <si>
    <t xml:space="preserve">505 E Aliso St </t>
  </si>
  <si>
    <t>Barthelemy</t>
  </si>
  <si>
    <t>Fanny</t>
  </si>
  <si>
    <t>Bagdasarian</t>
  </si>
  <si>
    <t xml:space="preserve">75 Pine St Apt 102 </t>
  </si>
  <si>
    <t>Man</t>
  </si>
  <si>
    <t>Cave</t>
  </si>
  <si>
    <t xml:space="preserve">609 Main </t>
  </si>
  <si>
    <t>Castaneda-Razo</t>
  </si>
  <si>
    <t>Fabbie</t>
  </si>
  <si>
    <t xml:space="preserve">14723 Saddlepeak Dr </t>
  </si>
  <si>
    <t>92336-0197</t>
  </si>
  <si>
    <t xml:space="preserve">705 Carolyn Ct </t>
  </si>
  <si>
    <t>35206-1724</t>
  </si>
  <si>
    <t xml:space="preserve">14055 Shadywood Dr </t>
  </si>
  <si>
    <t>48170-3150</t>
  </si>
  <si>
    <t xml:space="preserve">532 Nathanson Creek Ln </t>
  </si>
  <si>
    <t>95476-6745</t>
  </si>
  <si>
    <t xml:space="preserve">5405 Baltimore Dr Apt 48 </t>
  </si>
  <si>
    <t>91942-2040</t>
  </si>
  <si>
    <t xml:space="preserve">373 W Weatherby Pl </t>
  </si>
  <si>
    <t>85286-7051</t>
  </si>
  <si>
    <t xml:space="preserve">2395 Delaware Ave Spc 16 </t>
  </si>
  <si>
    <t>95060-5719</t>
  </si>
  <si>
    <t>Studzinski</t>
  </si>
  <si>
    <t xml:space="preserve">19998 Oakwood Ln </t>
  </si>
  <si>
    <t>62675-7163</t>
  </si>
  <si>
    <t>Klar</t>
  </si>
  <si>
    <t xml:space="preserve">4104 N Myrtle Ave </t>
  </si>
  <si>
    <t>33603-3118</t>
  </si>
  <si>
    <t xml:space="preserve">2016 W Crystal St Unit 2 </t>
  </si>
  <si>
    <t>60622-3139</t>
  </si>
  <si>
    <t xml:space="preserve">12714 Cypress Pass Loop E </t>
  </si>
  <si>
    <t>77429-2155</t>
  </si>
  <si>
    <t xml:space="preserve">2511 Patricia Ct </t>
  </si>
  <si>
    <t>22043-3233</t>
  </si>
  <si>
    <t>Wellin</t>
  </si>
  <si>
    <t xml:space="preserve">10708 Elderwood Ln </t>
  </si>
  <si>
    <t>92131-1540</t>
  </si>
  <si>
    <t xml:space="preserve">8704 Quarterhorse Dr </t>
  </si>
  <si>
    <t>46256-4327</t>
  </si>
  <si>
    <t xml:space="preserve">629 Gravlee Ln </t>
  </si>
  <si>
    <t>35206-1733</t>
  </si>
  <si>
    <t>Currah</t>
  </si>
  <si>
    <t xml:space="preserve">1511 S Cedar St </t>
  </si>
  <si>
    <t>82601-4140</t>
  </si>
  <si>
    <t>Bruley</t>
  </si>
  <si>
    <t xml:space="preserve">7817 56th Dr NE </t>
  </si>
  <si>
    <t>98270-3903</t>
  </si>
  <si>
    <t>Grabill</t>
  </si>
  <si>
    <t xml:space="preserve">77 Nicholas Rd Apt L </t>
  </si>
  <si>
    <t>01701-3455</t>
  </si>
  <si>
    <t>Rev. Dr. Ronald L.</t>
  </si>
  <si>
    <t xml:space="preserve">168 N Elm St </t>
  </si>
  <si>
    <t>Niangua</t>
  </si>
  <si>
    <t>65713-7527</t>
  </si>
  <si>
    <t>Schwendinger</t>
  </si>
  <si>
    <t xml:space="preserve">3390 Windsor Ave </t>
  </si>
  <si>
    <t>52001-1326</t>
  </si>
  <si>
    <t xml:space="preserve">433 Bostwick Rd </t>
  </si>
  <si>
    <t>14850-9352</t>
  </si>
  <si>
    <t xml:space="preserve">731 Yuba St </t>
  </si>
  <si>
    <t>53545-1725</t>
  </si>
  <si>
    <t xml:space="preserve">185 Sin St </t>
  </si>
  <si>
    <t>Ashby</t>
  </si>
  <si>
    <t>Ron D</t>
  </si>
  <si>
    <t xml:space="preserve">6441 S Marion St </t>
  </si>
  <si>
    <t>Brandy</t>
  </si>
  <si>
    <t xml:space="preserve">3145 Tidewater Pt </t>
  </si>
  <si>
    <t>Ishmael</t>
  </si>
  <si>
    <t xml:space="preserve">11447 Anderson Lakes Parkway Eden Prairie MN </t>
  </si>
  <si>
    <t xml:space="preserve">270 W 261st St # 2 </t>
  </si>
  <si>
    <t>Siegrid</t>
  </si>
  <si>
    <t xml:space="preserve">31 Edgemere Ter </t>
  </si>
  <si>
    <t>07882-4131</t>
  </si>
  <si>
    <t>Andreozzi</t>
  </si>
  <si>
    <t xml:space="preserve">7 Via Las Colinas Apt 9 </t>
  </si>
  <si>
    <t>92270-6024</t>
  </si>
  <si>
    <t xml:space="preserve">945 Mcgown St Apt 1E </t>
  </si>
  <si>
    <t>99701-8102</t>
  </si>
  <si>
    <t>Osorio</t>
  </si>
  <si>
    <t>Garver</t>
  </si>
  <si>
    <t xml:space="preserve">857 Crotona Park N </t>
  </si>
  <si>
    <t>10460-4740</t>
  </si>
  <si>
    <t xml:space="preserve">52 Salem Ln </t>
  </si>
  <si>
    <t>60203-1218</t>
  </si>
  <si>
    <t xml:space="preserve">9 Laurel Ln </t>
  </si>
  <si>
    <t>94965-1869</t>
  </si>
  <si>
    <t xml:space="preserve">1501 17th Ave Apt 806 </t>
  </si>
  <si>
    <t>98122-4104</t>
  </si>
  <si>
    <t xml:space="preserve">607 Pleasant Bay Rd </t>
  </si>
  <si>
    <t>98229-8976</t>
  </si>
  <si>
    <t>McCulley</t>
  </si>
  <si>
    <t xml:space="preserve">6513 Nusser Ln </t>
  </si>
  <si>
    <t>78739-2005</t>
  </si>
  <si>
    <t>Simkin</t>
  </si>
  <si>
    <t xml:space="preserve">4517 N Mozart St </t>
  </si>
  <si>
    <t>60625-3816</t>
  </si>
  <si>
    <t xml:space="preserve">13 Water St </t>
  </si>
  <si>
    <t>03465-2437</t>
  </si>
  <si>
    <t xml:space="preserve">60 Beebe Rd </t>
  </si>
  <si>
    <t>Berne</t>
  </si>
  <si>
    <t>12023-3000</t>
  </si>
  <si>
    <t>Schildhaus</t>
  </si>
  <si>
    <t xml:space="preserve">413 Grenoble Rd </t>
  </si>
  <si>
    <t>93110-1392</t>
  </si>
  <si>
    <t xml:space="preserve">25861 Marguerite Pkwy Apt 201 </t>
  </si>
  <si>
    <t>92692-3112</t>
  </si>
  <si>
    <t>60406-1058</t>
  </si>
  <si>
    <t>Vener-Saavedra</t>
  </si>
  <si>
    <t xml:space="preserve">780 Ridge Rd </t>
  </si>
  <si>
    <t>06517-2139</t>
  </si>
  <si>
    <t xml:space="preserve">1709 Russell St </t>
  </si>
  <si>
    <t>37206-2047</t>
  </si>
  <si>
    <t>94102-5864</t>
  </si>
  <si>
    <t xml:space="preserve">4719 Tee View Ct </t>
  </si>
  <si>
    <t>95405-8756</t>
  </si>
  <si>
    <t xml:space="preserve">325 Edgewood Pl </t>
  </si>
  <si>
    <t>Ferndale</t>
  </si>
  <si>
    <t>48220-2465</t>
  </si>
  <si>
    <t>Lindey</t>
  </si>
  <si>
    <t xml:space="preserve">10816 Paiute Way </t>
  </si>
  <si>
    <t>95670-5624</t>
  </si>
  <si>
    <t>Finchs</t>
  </si>
  <si>
    <t>Suzann</t>
  </si>
  <si>
    <t xml:space="preserve">308 Carolina St </t>
  </si>
  <si>
    <t>98225-4102</t>
  </si>
  <si>
    <t xml:space="preserve">925 New Garden Rd Apt 707 </t>
  </si>
  <si>
    <t>27410-3256</t>
  </si>
  <si>
    <t xml:space="preserve">100 N Arlington Ave </t>
  </si>
  <si>
    <t>89501-1204</t>
  </si>
  <si>
    <t>Axtell</t>
  </si>
  <si>
    <t xml:space="preserve">PO Box 92 </t>
  </si>
  <si>
    <t>MacKinaw City</t>
  </si>
  <si>
    <t xml:space="preserve">447 W Longleaf Dr Apt 1208 </t>
  </si>
  <si>
    <t xml:space="preserve">672 Barg Salt Run Rd </t>
  </si>
  <si>
    <t>Degroot</t>
  </si>
  <si>
    <t xml:space="preserve">665 W 160th St Apt 4G </t>
  </si>
  <si>
    <t>10032-6514</t>
  </si>
  <si>
    <t xml:space="preserve">851 Grant Ave </t>
  </si>
  <si>
    <t>44221-4639</t>
  </si>
  <si>
    <t>Piersanti</t>
  </si>
  <si>
    <t xml:space="preserve">5724 W Wilson Ave </t>
  </si>
  <si>
    <t>60630-3318</t>
  </si>
  <si>
    <t xml:space="preserve">72 Lewisburg Rd </t>
  </si>
  <si>
    <t>07461-3109</t>
  </si>
  <si>
    <t xml:space="preserve">14395 Indian Springs Rd </t>
  </si>
  <si>
    <t xml:space="preserve">1080 Racine Rd </t>
  </si>
  <si>
    <t xml:space="preserve">326 Maxwell Ave SW </t>
  </si>
  <si>
    <t>Myjak</t>
  </si>
  <si>
    <t xml:space="preserve">1600 DOZIER Ave </t>
  </si>
  <si>
    <t>Monteil</t>
  </si>
  <si>
    <t xml:space="preserve">15357 S Springwater Rd </t>
  </si>
  <si>
    <t xml:space="preserve">22 Page Way </t>
  </si>
  <si>
    <t>Leicht</t>
  </si>
  <si>
    <t xml:space="preserve">635 3rd Ave SW Unit 301 </t>
  </si>
  <si>
    <t xml:space="preserve">333 Brockton Pl </t>
  </si>
  <si>
    <t>Schueller</t>
  </si>
  <si>
    <t>Nimmi</t>
  </si>
  <si>
    <t xml:space="preserve">2100 Ferdon Rd </t>
  </si>
  <si>
    <t xml:space="preserve">935 E Arcada St Apt 21 </t>
  </si>
  <si>
    <t xml:space="preserve">33 Leicester Rd </t>
  </si>
  <si>
    <t>Koopmann</t>
  </si>
  <si>
    <t xml:space="preserve">401 Inverrary Unit 9 </t>
  </si>
  <si>
    <t>Sharyn</t>
  </si>
  <si>
    <t xml:space="preserve">269 Chestnut Hill Rd </t>
  </si>
  <si>
    <t>Kitts</t>
  </si>
  <si>
    <t xml:space="preserve">42 RAILWAY Rd </t>
  </si>
  <si>
    <t>Streicher</t>
  </si>
  <si>
    <t xml:space="preserve">7924 S Mason Montgomery Rd </t>
  </si>
  <si>
    <t>Perrin</t>
  </si>
  <si>
    <t xml:space="preserve">2934 Barbara St </t>
  </si>
  <si>
    <t xml:space="preserve">126 NE 17th Ave </t>
  </si>
  <si>
    <t xml:space="preserve">411 Deacon Brook Cir </t>
  </si>
  <si>
    <t>Brannian</t>
  </si>
  <si>
    <t xml:space="preserve">121 Denbigh Dr </t>
  </si>
  <si>
    <t>52246-4911</t>
  </si>
  <si>
    <t xml:space="preserve">5796 Encina Rd Unit 2 </t>
  </si>
  <si>
    <t>Lehrenbaum</t>
  </si>
  <si>
    <t xml:space="preserve">5830 Garfield St </t>
  </si>
  <si>
    <t xml:space="preserve">25 Arrowhead Ln </t>
  </si>
  <si>
    <t>Megg</t>
  </si>
  <si>
    <t xml:space="preserve">200 Presidents Ln </t>
  </si>
  <si>
    <t>Diehl</t>
  </si>
  <si>
    <t>Missy</t>
  </si>
  <si>
    <t xml:space="preserve">901 S Braintree Dr </t>
  </si>
  <si>
    <t xml:space="preserve">650 Ridgefield Rd </t>
  </si>
  <si>
    <t>Steinhauser</t>
  </si>
  <si>
    <t xml:space="preserve">345 E River Pkwy Unit 203 </t>
  </si>
  <si>
    <t>Ote</t>
  </si>
  <si>
    <t xml:space="preserve">3450 Flossmoor Rd </t>
  </si>
  <si>
    <t>Flossmoor</t>
  </si>
  <si>
    <t>Torrieri</t>
  </si>
  <si>
    <t xml:space="preserve">363 Elwood Ave Apt 3 </t>
  </si>
  <si>
    <t>J. Stuart</t>
  </si>
  <si>
    <t xml:space="preserve">614 11th St SW </t>
  </si>
  <si>
    <t>Mrs. C</t>
  </si>
  <si>
    <t xml:space="preserve">237 Colburn St </t>
  </si>
  <si>
    <t>Pellerito</t>
  </si>
  <si>
    <t xml:space="preserve">610 Thicket Ln </t>
  </si>
  <si>
    <t>Lake St Louis</t>
  </si>
  <si>
    <t xml:space="preserve">2425 Hillside Ave </t>
  </si>
  <si>
    <t>Sumser</t>
  </si>
  <si>
    <t xml:space="preserve">1156 Catherine Ave </t>
  </si>
  <si>
    <t>Mizen</t>
  </si>
  <si>
    <t xml:space="preserve">398 Vaughn Cir </t>
  </si>
  <si>
    <t xml:space="preserve">JOHN BEAL Dr </t>
  </si>
  <si>
    <t>Garnet Valley</t>
  </si>
  <si>
    <t>Samos</t>
  </si>
  <si>
    <t xml:space="preserve">PO Box 143 </t>
  </si>
  <si>
    <t xml:space="preserve">1743 Zerega Ave </t>
  </si>
  <si>
    <t xml:space="preserve">11058 W Polk Pl </t>
  </si>
  <si>
    <t>Monier</t>
  </si>
  <si>
    <t xml:space="preserve">NEW YORK No 8 </t>
  </si>
  <si>
    <t>Kiyoshi</t>
  </si>
  <si>
    <t xml:space="preserve">349 San Andreas St </t>
  </si>
  <si>
    <t xml:space="preserve">6000 Ivydene Ter </t>
  </si>
  <si>
    <t xml:space="preserve">18 Billingsley Dr </t>
  </si>
  <si>
    <t xml:space="preserve">2824 Countryside Blvd Apt 314 </t>
  </si>
  <si>
    <t xml:space="preserve">10144 NE 202nd St </t>
  </si>
  <si>
    <t>Thakore</t>
  </si>
  <si>
    <t>Kruti</t>
  </si>
  <si>
    <t xml:space="preserve">60 Melbloum Ln </t>
  </si>
  <si>
    <t xml:space="preserve">4 Terracewood Rd </t>
  </si>
  <si>
    <t>McCloskey</t>
  </si>
  <si>
    <t>Jhea Anne</t>
  </si>
  <si>
    <t xml:space="preserve">370 Melin Ave </t>
  </si>
  <si>
    <t>Scaby</t>
  </si>
  <si>
    <t xml:space="preserve">401 Hyman Ave </t>
  </si>
  <si>
    <t xml:space="preserve">4759 Punta De Vis </t>
  </si>
  <si>
    <t>J Oneil Jr</t>
  </si>
  <si>
    <t xml:space="preserve">5629 Macey Ave Apt W3 </t>
  </si>
  <si>
    <t>Llufrio</t>
  </si>
  <si>
    <t xml:space="preserve">4013 Mapleton Ave </t>
  </si>
  <si>
    <t>Degnis</t>
  </si>
  <si>
    <t xml:space="preserve">61 Penn Ave </t>
  </si>
  <si>
    <t>Liers</t>
  </si>
  <si>
    <t xml:space="preserve">117 S Hobe Rd </t>
  </si>
  <si>
    <t>Oracle</t>
  </si>
  <si>
    <t>Ervin</t>
  </si>
  <si>
    <t xml:space="preserve">1040 Golf View Way </t>
  </si>
  <si>
    <t xml:space="preserve">122 PAYNE Rd </t>
  </si>
  <si>
    <t>Saturna</t>
  </si>
  <si>
    <t xml:space="preserve">4303 NE 14th Ave </t>
  </si>
  <si>
    <t xml:space="preserve">25 Thornton Way Apt 134 </t>
  </si>
  <si>
    <t>Brantley</t>
  </si>
  <si>
    <t xml:space="preserve">9597 E Kokopelli Cir </t>
  </si>
  <si>
    <t>Seibert</t>
  </si>
  <si>
    <t>Mariela</t>
  </si>
  <si>
    <t xml:space="preserve">3243 E 10th St </t>
  </si>
  <si>
    <t>Miles-Birdsey</t>
  </si>
  <si>
    <t xml:space="preserve">PO Box 694 </t>
  </si>
  <si>
    <t xml:space="preserve">97 W Norwalk Rd Apt 6 </t>
  </si>
  <si>
    <t xml:space="preserve">555 Pierce St </t>
  </si>
  <si>
    <t>Esclamado</t>
  </si>
  <si>
    <t xml:space="preserve">104 Berryman St </t>
  </si>
  <si>
    <t xml:space="preserve">3735 Fieldstone Blvd </t>
  </si>
  <si>
    <t>Didditt</t>
  </si>
  <si>
    <t xml:space="preserve">2527 Kiner Ct </t>
  </si>
  <si>
    <t>Gail L</t>
  </si>
  <si>
    <t xml:space="preserve">12 Chelsea Ct </t>
  </si>
  <si>
    <t>Avondale Estates</t>
  </si>
  <si>
    <t>Colesanti</t>
  </si>
  <si>
    <t xml:space="preserve">1716 Lusitana St </t>
  </si>
  <si>
    <t>Landry</t>
  </si>
  <si>
    <t xml:space="preserve">2108 Main St </t>
  </si>
  <si>
    <t>Jeanerette</t>
  </si>
  <si>
    <t xml:space="preserve">2949 Butterfield Rd </t>
  </si>
  <si>
    <t xml:space="preserve">2931 Saint Helen Cir </t>
  </si>
  <si>
    <t>Cunliffe</t>
  </si>
  <si>
    <t xml:space="preserve">490 N Washington Ave </t>
  </si>
  <si>
    <t>Hamer</t>
  </si>
  <si>
    <t xml:space="preserve">240 Regina Dr N </t>
  </si>
  <si>
    <t>Janat</t>
  </si>
  <si>
    <t xml:space="preserve">222 Lovely Ln </t>
  </si>
  <si>
    <t xml:space="preserve">75 -5837 Walua Rd # E333 </t>
  </si>
  <si>
    <t>Perrine</t>
  </si>
  <si>
    <t xml:space="preserve">24 Ledge Wood Dr </t>
  </si>
  <si>
    <t>Woolwich</t>
  </si>
  <si>
    <t>Zeeberg</t>
  </si>
  <si>
    <t>Pee</t>
  </si>
  <si>
    <t xml:space="preserve">5624 SW Riverside Ln Apt 5 </t>
  </si>
  <si>
    <t xml:space="preserve">380 BERRY Ln </t>
  </si>
  <si>
    <t>Engler</t>
  </si>
  <si>
    <t xml:space="preserve">PO Box 9291 # 1B </t>
  </si>
  <si>
    <t>Dal Cero</t>
  </si>
  <si>
    <t xml:space="preserve">2710 Kingdom Ave </t>
  </si>
  <si>
    <t xml:space="preserve">316 Stirewalden Trl </t>
  </si>
  <si>
    <t xml:space="preserve">203 W 81st St Apt 5E </t>
  </si>
  <si>
    <t>Evenson</t>
  </si>
  <si>
    <t xml:space="preserve">4440 Laguna Pl Apt 202 </t>
  </si>
  <si>
    <t>Dr.Susan</t>
  </si>
  <si>
    <t xml:space="preserve">4011 C Loggins Rd </t>
  </si>
  <si>
    <t xml:space="preserve">2047 N Last Chance Gulch # 333 </t>
  </si>
  <si>
    <t xml:space="preserve">1503 31 Rd </t>
  </si>
  <si>
    <t>Guerin</t>
  </si>
  <si>
    <t xml:space="preserve">5747 Lower Mountain Rd </t>
  </si>
  <si>
    <t xml:space="preserve">GARWOOD Ct </t>
  </si>
  <si>
    <t>Madigan</t>
  </si>
  <si>
    <t xml:space="preserve">2641 E Vista Dr </t>
  </si>
  <si>
    <t xml:space="preserve">197 Salzburg Vlg </t>
  </si>
  <si>
    <t>Lafjksdlfa</t>
  </si>
  <si>
    <t>Fjdkalf</t>
  </si>
  <si>
    <t xml:space="preserve">5424 Highbrook Ct </t>
  </si>
  <si>
    <t xml:space="preserve">5934 Watch Chain Way </t>
  </si>
  <si>
    <t>Farmer</t>
  </si>
  <si>
    <t>Marinda</t>
  </si>
  <si>
    <t xml:space="preserve">8209 Fleenor Rd </t>
  </si>
  <si>
    <t>New Paris</t>
  </si>
  <si>
    <t>Atherton</t>
  </si>
  <si>
    <t xml:space="preserve">1161 Amherst Ave Apt 302 </t>
  </si>
  <si>
    <t xml:space="preserve">106 W 14th St Unit 306 </t>
  </si>
  <si>
    <t>Menon</t>
  </si>
  <si>
    <t xml:space="preserve">JUMA </t>
  </si>
  <si>
    <t>Muscat</t>
  </si>
  <si>
    <t xml:space="preserve">103 Brandeis Cir MA2338 </t>
  </si>
  <si>
    <t>Dg</t>
  </si>
  <si>
    <t xml:space="preserve">7918 Altavan Ave </t>
  </si>
  <si>
    <t xml:space="preserve">2403 County Road 7 </t>
  </si>
  <si>
    <t xml:space="preserve">2854 NE 77th Pl </t>
  </si>
  <si>
    <t xml:space="preserve">756 Via Ondulando </t>
  </si>
  <si>
    <t xml:space="preserve">3510 Leavenworth St </t>
  </si>
  <si>
    <t xml:space="preserve">1913 Somerset Ln </t>
  </si>
  <si>
    <t xml:space="preserve">858 County Rd N </t>
  </si>
  <si>
    <t xml:space="preserve">580 Myers Rd </t>
  </si>
  <si>
    <t>Sibson</t>
  </si>
  <si>
    <t xml:space="preserve">421 E Central Blvd </t>
  </si>
  <si>
    <t>32801-1984</t>
  </si>
  <si>
    <t>Stutts</t>
  </si>
  <si>
    <t xml:space="preserve">15815 NW 18th Ave </t>
  </si>
  <si>
    <t>98685-1276</t>
  </si>
  <si>
    <t xml:space="preserve">256 E Betty Elyse Ln </t>
  </si>
  <si>
    <t>85022-3046</t>
  </si>
  <si>
    <t>Spelbring</t>
  </si>
  <si>
    <t xml:space="preserve">4 5 3 Ansley Brook Dr </t>
  </si>
  <si>
    <t>Trager</t>
  </si>
  <si>
    <t xml:space="preserve">1352 Tammy Ln </t>
  </si>
  <si>
    <t>48103-9346</t>
  </si>
  <si>
    <t>Heman</t>
  </si>
  <si>
    <t xml:space="preserve">P0BOX 461 </t>
  </si>
  <si>
    <t xml:space="preserve">133 S Beverly Dr </t>
  </si>
  <si>
    <t>08724-1361</t>
  </si>
  <si>
    <t xml:space="preserve">14121 Buttner Rd </t>
  </si>
  <si>
    <t>95446-9509</t>
  </si>
  <si>
    <t>Tennen</t>
  </si>
  <si>
    <t xml:space="preserve">2905 Monterey Ave </t>
  </si>
  <si>
    <t>55416-5801</t>
  </si>
  <si>
    <t xml:space="preserve">620 Lytle St </t>
  </si>
  <si>
    <t>33405-4530</t>
  </si>
  <si>
    <t>Schuck</t>
  </si>
  <si>
    <t xml:space="preserve">7214 E Galaxy Way </t>
  </si>
  <si>
    <t>86314-3149</t>
  </si>
  <si>
    <t>Eden</t>
  </si>
  <si>
    <t>Iam</t>
  </si>
  <si>
    <t xml:space="preserve">4700 CA Hwy </t>
  </si>
  <si>
    <t xml:space="preserve">4822 Preserve Pkwy </t>
  </si>
  <si>
    <t>Long Grove</t>
  </si>
  <si>
    <t>Lawell</t>
  </si>
  <si>
    <t xml:space="preserve">1414 16th Ave Apt 104 </t>
  </si>
  <si>
    <t>53140-1251</t>
  </si>
  <si>
    <t xml:space="preserve">1749 Dekker Cir </t>
  </si>
  <si>
    <t>80517-7202</t>
  </si>
  <si>
    <t>Shaver</t>
  </si>
  <si>
    <t xml:space="preserve">2325 Gleim Dr </t>
  </si>
  <si>
    <t>Enola</t>
  </si>
  <si>
    <t>Haake</t>
  </si>
  <si>
    <t xml:space="preserve">4813 29th St S </t>
  </si>
  <si>
    <t xml:space="preserve">W HASTINGS </t>
  </si>
  <si>
    <t>Kohls</t>
  </si>
  <si>
    <t xml:space="preserve">1301 Nottingham Rd Apt D212 </t>
  </si>
  <si>
    <t>Jamesville</t>
  </si>
  <si>
    <t xml:space="preserve">7 Norwood Ave Apt 3B </t>
  </si>
  <si>
    <t>19010-2721</t>
  </si>
  <si>
    <t xml:space="preserve">47 Kettle Point Ave </t>
  </si>
  <si>
    <t xml:space="preserve">26 Poplar Rd # 1886 </t>
  </si>
  <si>
    <t xml:space="preserve">N76W14629 Northpoint Dr North Point Dr </t>
  </si>
  <si>
    <t>Misty</t>
  </si>
  <si>
    <t xml:space="preserve">97838 Bathiany Ln </t>
  </si>
  <si>
    <t>Harbor</t>
  </si>
  <si>
    <t xml:space="preserve">150 San Carlos Way </t>
  </si>
  <si>
    <t>Spahn</t>
  </si>
  <si>
    <t xml:space="preserve">4131 Deeboyar Ave Apt 21 </t>
  </si>
  <si>
    <t>Lakeyn</t>
  </si>
  <si>
    <t>Arnie</t>
  </si>
  <si>
    <t xml:space="preserve">9211 E Hillery Way </t>
  </si>
  <si>
    <t xml:space="preserve">255 S Glendora Ave Unit 2154 </t>
  </si>
  <si>
    <t>Magnuson</t>
  </si>
  <si>
    <t>Shan</t>
  </si>
  <si>
    <t xml:space="preserve">915 Carr Ave </t>
  </si>
  <si>
    <t xml:space="preserve">5708 Pheasant Ln </t>
  </si>
  <si>
    <t>Gallant</t>
  </si>
  <si>
    <t>S. Paula</t>
  </si>
  <si>
    <t xml:space="preserve">1133 Summit Pl </t>
  </si>
  <si>
    <t xml:space="preserve">3424 E Geer St </t>
  </si>
  <si>
    <t xml:space="preserve">604 Swashingtonsq Philadelphia Pa </t>
  </si>
  <si>
    <t>Teliski</t>
  </si>
  <si>
    <t xml:space="preserve">4274 Selby Ct </t>
  </si>
  <si>
    <t>Hollaar</t>
  </si>
  <si>
    <t xml:space="preserve">1367 E 100 S </t>
  </si>
  <si>
    <t>Ringler</t>
  </si>
  <si>
    <t xml:space="preserve">3910 Hathaway Ave Apt 958 </t>
  </si>
  <si>
    <t>Vulgamore</t>
  </si>
  <si>
    <t xml:space="preserve">1011 S Mattis Ave Apt 5-4 </t>
  </si>
  <si>
    <t xml:space="preserve">402 Hillside Ave </t>
  </si>
  <si>
    <t>Leonia</t>
  </si>
  <si>
    <t xml:space="preserve">41 Farview Ave </t>
  </si>
  <si>
    <t>Cedar Knolls</t>
  </si>
  <si>
    <t>Ciara</t>
  </si>
  <si>
    <t xml:space="preserve">825 Center St </t>
  </si>
  <si>
    <t>Palenik</t>
  </si>
  <si>
    <t xml:space="preserve">555 South Ave E </t>
  </si>
  <si>
    <t>Rizzo</t>
  </si>
  <si>
    <t xml:space="preserve">628 Prospect Row # B </t>
  </si>
  <si>
    <t xml:space="preserve">37 Johnson Dr </t>
  </si>
  <si>
    <t>Krygier</t>
  </si>
  <si>
    <t xml:space="preserve">321 Woodward Ave </t>
  </si>
  <si>
    <t xml:space="preserve">5 Moriarty Rd </t>
  </si>
  <si>
    <t>Stahl</t>
  </si>
  <si>
    <t xml:space="preserve">11342 Michigan Ave </t>
  </si>
  <si>
    <t>Nunica</t>
  </si>
  <si>
    <t xml:space="preserve">52 Binsted Dr </t>
  </si>
  <si>
    <t>08055-9562</t>
  </si>
  <si>
    <t>Banov</t>
  </si>
  <si>
    <t xml:space="preserve">1055 Saint Johns Pl Apt 5N </t>
  </si>
  <si>
    <t>11213-2692</t>
  </si>
  <si>
    <t xml:space="preserve">2121 17th Ave N </t>
  </si>
  <si>
    <t>Texas City</t>
  </si>
  <si>
    <t>77590-4921</t>
  </si>
  <si>
    <t xml:space="preserve">2276 Wood Acres Ct </t>
  </si>
  <si>
    <t>15237-1524</t>
  </si>
  <si>
    <t>Mahle</t>
  </si>
  <si>
    <t xml:space="preserve">6305 3rd St W </t>
  </si>
  <si>
    <t>Havre</t>
  </si>
  <si>
    <t>59501-6703</t>
  </si>
  <si>
    <t>Arjuna</t>
  </si>
  <si>
    <t xml:space="preserve">130 Rainier Cir </t>
  </si>
  <si>
    <t>95687-3310</t>
  </si>
  <si>
    <t>Chavez</t>
  </si>
  <si>
    <t xml:space="preserve">2112 Ocean Park Blvd Apt 5 </t>
  </si>
  <si>
    <t>90405-5038</t>
  </si>
  <si>
    <t xml:space="preserve">625 56th St </t>
  </si>
  <si>
    <t>94609-1605</t>
  </si>
  <si>
    <t xml:space="preserve">4856 N Santa Monica Blvd </t>
  </si>
  <si>
    <t>53217-5908</t>
  </si>
  <si>
    <t xml:space="preserve">8 Southampton Ct </t>
  </si>
  <si>
    <t>21921-6517</t>
  </si>
  <si>
    <t>Dougherty</t>
  </si>
  <si>
    <t xml:space="preserve">282 Pershing Ave </t>
  </si>
  <si>
    <t>06053-2750</t>
  </si>
  <si>
    <t xml:space="preserve">4432 Susan Dr </t>
  </si>
  <si>
    <t>18017-8748</t>
  </si>
  <si>
    <t>Souders</t>
  </si>
  <si>
    <t xml:space="preserve">3357 Grove Rd </t>
  </si>
  <si>
    <t>33410-2445</t>
  </si>
  <si>
    <t>Cassato</t>
  </si>
  <si>
    <t>Candice</t>
  </si>
  <si>
    <t xml:space="preserve">6417 54th Ave NW </t>
  </si>
  <si>
    <t>98502-9690</t>
  </si>
  <si>
    <t>Pfleger</t>
  </si>
  <si>
    <t xml:space="preserve">3816 76th St SE </t>
  </si>
  <si>
    <t>Clear Lake</t>
  </si>
  <si>
    <t>55319-9635</t>
  </si>
  <si>
    <t>Eyres</t>
  </si>
  <si>
    <t>Saval</t>
  </si>
  <si>
    <t xml:space="preserve">3603 Lajitas </t>
  </si>
  <si>
    <t>78641-3654</t>
  </si>
  <si>
    <t>Duree</t>
  </si>
  <si>
    <t xml:space="preserve">7135 Weston Pl NW </t>
  </si>
  <si>
    <t>87114-3672</t>
  </si>
  <si>
    <t xml:space="preserve">3044 N Elbridge Ave </t>
  </si>
  <si>
    <t>60618-6722</t>
  </si>
  <si>
    <t xml:space="preserve">67 Wodenethe Dr Beacon </t>
  </si>
  <si>
    <t>12508-3912</t>
  </si>
  <si>
    <t xml:space="preserve">15 Abingdon Sq </t>
  </si>
  <si>
    <t>10014-1837</t>
  </si>
  <si>
    <t>Reichmann</t>
  </si>
  <si>
    <t>Sylvie</t>
  </si>
  <si>
    <t xml:space="preserve">PO Box 1292 </t>
  </si>
  <si>
    <t>Oneco</t>
  </si>
  <si>
    <t>34264-1292</t>
  </si>
  <si>
    <t xml:space="preserve">S77W12929 Mcshane Dr Apt C209 </t>
  </si>
  <si>
    <t>Muskego</t>
  </si>
  <si>
    <t>53150-4061</t>
  </si>
  <si>
    <t xml:space="preserve">13232 Devin Ln </t>
  </si>
  <si>
    <t>95949-8707</t>
  </si>
  <si>
    <t>Sitomer</t>
  </si>
  <si>
    <t xml:space="preserve">55 Hemlock Trl </t>
  </si>
  <si>
    <t>06611-3344</t>
  </si>
  <si>
    <t>Devaney</t>
  </si>
  <si>
    <t xml:space="preserve">4113 Beechwood Ln Apt H </t>
  </si>
  <si>
    <t>17112-2808</t>
  </si>
  <si>
    <t xml:space="preserve">1111 1 St </t>
  </si>
  <si>
    <t>Kearneysville</t>
  </si>
  <si>
    <t>Broad Phd</t>
  </si>
  <si>
    <t>Yolanda Stern</t>
  </si>
  <si>
    <t xml:space="preserve">215 N 4th St </t>
  </si>
  <si>
    <t>15701-2018</t>
  </si>
  <si>
    <t xml:space="preserve">1652 W Campbell Ave </t>
  </si>
  <si>
    <t>85015-3827</t>
  </si>
  <si>
    <t>MacLise</t>
  </si>
  <si>
    <t xml:space="preserve">305 E 40th St </t>
  </si>
  <si>
    <t>10016-2189</t>
  </si>
  <si>
    <t xml:space="preserve">1827 21st St Apt C </t>
  </si>
  <si>
    <t>90404-3952</t>
  </si>
  <si>
    <t>Groninga</t>
  </si>
  <si>
    <t xml:space="preserve">210 Territorial St E Apt 206 </t>
  </si>
  <si>
    <t>55388-9257</t>
  </si>
  <si>
    <t xml:space="preserve">1425 Elliston Ln </t>
  </si>
  <si>
    <t>40383-8902</t>
  </si>
  <si>
    <t>Pack</t>
  </si>
  <si>
    <t xml:space="preserve">17528 127th St SE </t>
  </si>
  <si>
    <t>98290-8702</t>
  </si>
  <si>
    <t xml:space="preserve">10241 White Pelican Way </t>
  </si>
  <si>
    <t>New Market</t>
  </si>
  <si>
    <t>21774-2910</t>
  </si>
  <si>
    <t xml:space="preserve">3529 Halleys Dr </t>
  </si>
  <si>
    <t>37127-6512</t>
  </si>
  <si>
    <t>Magidman</t>
  </si>
  <si>
    <t xml:space="preserve">2438 Greensward N </t>
  </si>
  <si>
    <t>18976-2064</t>
  </si>
  <si>
    <t>Liechty</t>
  </si>
  <si>
    <t xml:space="preserve">5024 NE Flanders St </t>
  </si>
  <si>
    <t xml:space="preserve">60 Arrowhead Dr </t>
  </si>
  <si>
    <t>Wager</t>
  </si>
  <si>
    <t xml:space="preserve">109 CRAGMONT </t>
  </si>
  <si>
    <t>Curow</t>
  </si>
  <si>
    <t xml:space="preserve">435 E Van Wagenen St Ste 606 </t>
  </si>
  <si>
    <t xml:space="preserve">11675 La Grange Ave </t>
  </si>
  <si>
    <t>Cervene</t>
  </si>
  <si>
    <t xml:space="preserve">365 W Burgundy St Unit 523 </t>
  </si>
  <si>
    <t>Susan Kelly</t>
  </si>
  <si>
    <t xml:space="preserve">1328 Vine St </t>
  </si>
  <si>
    <t>80206-2012</t>
  </si>
  <si>
    <t xml:space="preserve">214 Bassett St # 1 </t>
  </si>
  <si>
    <t>06051-3421</t>
  </si>
  <si>
    <t>Anaya</t>
  </si>
  <si>
    <t>Yanisa</t>
  </si>
  <si>
    <t xml:space="preserve">81 Holmes Rd </t>
  </si>
  <si>
    <t>12550-1033</t>
  </si>
  <si>
    <t xml:space="preserve">8327 17th St N </t>
  </si>
  <si>
    <t>33702-2843</t>
  </si>
  <si>
    <t xml:space="preserve">4 Whitman Dr </t>
  </si>
  <si>
    <t>07834-1329</t>
  </si>
  <si>
    <t>Susan Hale</t>
  </si>
  <si>
    <t xml:space="preserve">480 22nd St </t>
  </si>
  <si>
    <t>14303-1728</t>
  </si>
  <si>
    <t>Forsht-Tucker</t>
  </si>
  <si>
    <t xml:space="preserve">11804 Mary Catherine Dr </t>
  </si>
  <si>
    <t>20735-1044</t>
  </si>
  <si>
    <t>Batway</t>
  </si>
  <si>
    <t>Jewell</t>
  </si>
  <si>
    <t xml:space="preserve">11301 E Jupiter Dr </t>
  </si>
  <si>
    <t>85120-4318</t>
  </si>
  <si>
    <t>Glasscock</t>
  </si>
  <si>
    <t xml:space="preserve">1443 Bishops Lodge Rd </t>
  </si>
  <si>
    <t>87506-0004</t>
  </si>
  <si>
    <t xml:space="preserve">10882 Catawba Trl </t>
  </si>
  <si>
    <t>Soddy Daisy</t>
  </si>
  <si>
    <t>37379-0002</t>
  </si>
  <si>
    <t>Ocopnick</t>
  </si>
  <si>
    <t xml:space="preserve">311 Glencrest Dr </t>
  </si>
  <si>
    <t xml:space="preserve">11466 NW Jericho Rd </t>
  </si>
  <si>
    <t>97229-5034</t>
  </si>
  <si>
    <t>Krenke</t>
  </si>
  <si>
    <t xml:space="preserve">3744 W Huron River Dr </t>
  </si>
  <si>
    <t>48103-9490</t>
  </si>
  <si>
    <t>Tabor</t>
  </si>
  <si>
    <t xml:space="preserve">138 Belvidere St </t>
  </si>
  <si>
    <t>03246-2432</t>
  </si>
  <si>
    <t>Colwell</t>
  </si>
  <si>
    <t xml:space="preserve">3590 Midland St </t>
  </si>
  <si>
    <t>43123-2525</t>
  </si>
  <si>
    <t xml:space="preserve">4550 SW Archer Rd </t>
  </si>
  <si>
    <t>32608-2281</t>
  </si>
  <si>
    <t>Dimmick</t>
  </si>
  <si>
    <t xml:space="preserve">325 S Towamencin Ave </t>
  </si>
  <si>
    <t>19446-3321</t>
  </si>
  <si>
    <t>Rostamian</t>
  </si>
  <si>
    <t>Maryam</t>
  </si>
  <si>
    <t xml:space="preserve">43119 Autumnwood Sq </t>
  </si>
  <si>
    <t>Broadlands</t>
  </si>
  <si>
    <t>20148-5095</t>
  </si>
  <si>
    <t>Amador</t>
  </si>
  <si>
    <t xml:space="preserve">60281 Latham Trl </t>
  </si>
  <si>
    <t>92252-2810</t>
  </si>
  <si>
    <t>Posdal</t>
  </si>
  <si>
    <t xml:space="preserve">1288 Seabury Cir </t>
  </si>
  <si>
    <t>60188-6027</t>
  </si>
  <si>
    <t xml:space="preserve">1565 1st Ave </t>
  </si>
  <si>
    <t>10028-4003</t>
  </si>
  <si>
    <t xml:space="preserve">120 Junior St </t>
  </si>
  <si>
    <t>Odden</t>
  </si>
  <si>
    <t xml:space="preserve">450 Ford Rd </t>
  </si>
  <si>
    <t>Joswick</t>
  </si>
  <si>
    <t xml:space="preserve">3721 Remuda Way </t>
  </si>
  <si>
    <t>94564-1153</t>
  </si>
  <si>
    <t xml:space="preserve">301 Wood Spring Rd </t>
  </si>
  <si>
    <t>Gwynedd Valley</t>
  </si>
  <si>
    <t>Lili</t>
  </si>
  <si>
    <t xml:space="preserve">PO Box 3508 </t>
  </si>
  <si>
    <t>Hailey</t>
  </si>
  <si>
    <t>83333-3508</t>
  </si>
  <si>
    <t>Stouffer</t>
  </si>
  <si>
    <t xml:space="preserve">10130 County Road K </t>
  </si>
  <si>
    <t>Franksville</t>
  </si>
  <si>
    <t>Aprea</t>
  </si>
  <si>
    <t xml:space="preserve">837 Prospect Pl </t>
  </si>
  <si>
    <t>O'Carroll</t>
  </si>
  <si>
    <t xml:space="preserve">34 Doughty Point Rd </t>
  </si>
  <si>
    <t xml:space="preserve">3387 Williamsburg Rd # 347 </t>
  </si>
  <si>
    <t xml:space="preserve">29222 Rancho Viejo Rd </t>
  </si>
  <si>
    <t>Oviatt</t>
  </si>
  <si>
    <t xml:space="preserve">3112 S 3rd St W </t>
  </si>
  <si>
    <t>Nutting</t>
  </si>
  <si>
    <t xml:space="preserve">3121 Salisbury Dr </t>
  </si>
  <si>
    <t xml:space="preserve">616 Masselin Ave </t>
  </si>
  <si>
    <t>Collom</t>
  </si>
  <si>
    <t xml:space="preserve">7908 376th Ave SE </t>
  </si>
  <si>
    <t>Cummings</t>
  </si>
  <si>
    <t xml:space="preserve">21 Clarissa St </t>
  </si>
  <si>
    <t>Juleson</t>
  </si>
  <si>
    <t xml:space="preserve">1300 Larchmont Pl </t>
  </si>
  <si>
    <t xml:space="preserve">39659 County Road 129 </t>
  </si>
  <si>
    <t xml:space="preserve">265 Colorado Ave Apt D10 </t>
  </si>
  <si>
    <t>Portney</t>
  </si>
  <si>
    <t xml:space="preserve">920 Houndslake Dr </t>
  </si>
  <si>
    <t>Pearlman</t>
  </si>
  <si>
    <t xml:space="preserve">7774 Willoughby Ave </t>
  </si>
  <si>
    <t xml:space="preserve">438 Oxbow Dr </t>
  </si>
  <si>
    <t xml:space="preserve">106 Foxcroft Center Rd </t>
  </si>
  <si>
    <t>04426-4107</t>
  </si>
  <si>
    <t>Cashier</t>
  </si>
  <si>
    <t xml:space="preserve">2876 Apulia Rd </t>
  </si>
  <si>
    <t>La Fayette</t>
  </si>
  <si>
    <t xml:space="preserve">830 Applegate Ave </t>
  </si>
  <si>
    <t>Caaaie</t>
  </si>
  <si>
    <t xml:space="preserve">2709 Girard Ave S # 2 </t>
  </si>
  <si>
    <t>Yendrzeski</t>
  </si>
  <si>
    <t xml:space="preserve">1931 N Cleveland St Apt 210 </t>
  </si>
  <si>
    <t xml:space="preserve">314 25th Ave </t>
  </si>
  <si>
    <t xml:space="preserve">2815 N Beachwood Dr </t>
  </si>
  <si>
    <t>Chua</t>
  </si>
  <si>
    <t xml:space="preserve">3314 E Lansing Way </t>
  </si>
  <si>
    <t>Gabe</t>
  </si>
  <si>
    <t xml:space="preserve">14719 72nd St NE </t>
  </si>
  <si>
    <t>Speers</t>
  </si>
  <si>
    <t xml:space="preserve">1 University Ave </t>
  </si>
  <si>
    <t xml:space="preserve">6366 Melia St </t>
  </si>
  <si>
    <t xml:space="preserve">1274 Old Foothill Rd S </t>
  </si>
  <si>
    <t>Lyric</t>
  </si>
  <si>
    <t xml:space="preserve">2971 S Utica St </t>
  </si>
  <si>
    <t>Reinhardt</t>
  </si>
  <si>
    <t xml:space="preserve">1306 W Roosevelt St </t>
  </si>
  <si>
    <t>Montijo</t>
  </si>
  <si>
    <t>Celine</t>
  </si>
  <si>
    <t xml:space="preserve">9912 Heyfield Dr </t>
  </si>
  <si>
    <t>Brianna</t>
  </si>
  <si>
    <t xml:space="preserve">5865 Rustic Prairie St </t>
  </si>
  <si>
    <t>Leis</t>
  </si>
  <si>
    <t xml:space="preserve">377 Fruitwood Dr </t>
  </si>
  <si>
    <t xml:space="preserve">141 Oxford Pl </t>
  </si>
  <si>
    <t>Dibona</t>
  </si>
  <si>
    <t xml:space="preserve">1304 Branson Dr </t>
  </si>
  <si>
    <t xml:space="preserve">460 South Rd </t>
  </si>
  <si>
    <t>Chebeague Island</t>
  </si>
  <si>
    <t xml:space="preserve">2640 Lake Shore Dr </t>
  </si>
  <si>
    <t xml:space="preserve">1809 California St </t>
  </si>
  <si>
    <t xml:space="preserve">5632 Van Bibber Ct </t>
  </si>
  <si>
    <t xml:space="preserve">839 Eastwind Dr </t>
  </si>
  <si>
    <t>Guyton</t>
  </si>
  <si>
    <t>Isabella</t>
  </si>
  <si>
    <t xml:space="preserve">PO Box 8539 </t>
  </si>
  <si>
    <t xml:space="preserve">6699 Club Villa Rd </t>
  </si>
  <si>
    <t xml:space="preserve">860 Ivy Ave </t>
  </si>
  <si>
    <t>Jusick</t>
  </si>
  <si>
    <t xml:space="preserve">6 N Elm St </t>
  </si>
  <si>
    <t>Armato</t>
  </si>
  <si>
    <t>Beckie</t>
  </si>
  <si>
    <t xml:space="preserve">PO Box 550076 </t>
  </si>
  <si>
    <t>Cogswell</t>
  </si>
  <si>
    <t xml:space="preserve">43 Grove St </t>
  </si>
  <si>
    <t>Elfert</t>
  </si>
  <si>
    <t xml:space="preserve">1320 Addison St Apt C434 </t>
  </si>
  <si>
    <t xml:space="preserve">5 Hialeah Ct </t>
  </si>
  <si>
    <t xml:space="preserve">ARUBA St </t>
  </si>
  <si>
    <t>Lolik</t>
  </si>
  <si>
    <t xml:space="preserve">2938 SE Summerfield Dr </t>
  </si>
  <si>
    <t>Madronna</t>
  </si>
  <si>
    <t xml:space="preserve">3470 Potter St </t>
  </si>
  <si>
    <t xml:space="preserve">2340 Albion Pl </t>
  </si>
  <si>
    <t xml:space="preserve">1017 14th St </t>
  </si>
  <si>
    <t>Transchel</t>
  </si>
  <si>
    <t>Bartolomeo</t>
  </si>
  <si>
    <t xml:space="preserve">86 Cornwell Ave </t>
  </si>
  <si>
    <t xml:space="preserve">10292 Chayla Rd </t>
  </si>
  <si>
    <t>Schwass</t>
  </si>
  <si>
    <t xml:space="preserve">1720 Jefferson St </t>
  </si>
  <si>
    <t>Jurmo</t>
  </si>
  <si>
    <t xml:space="preserve">4202 Palms Rdc </t>
  </si>
  <si>
    <t>Casco</t>
  </si>
  <si>
    <t xml:space="preserve">606 Dewey St </t>
  </si>
  <si>
    <t>Sherback</t>
  </si>
  <si>
    <t xml:space="preserve">2037 Vine St </t>
  </si>
  <si>
    <t xml:space="preserve">227 Horseshoe Dr </t>
  </si>
  <si>
    <t xml:space="preserve">16 Fenmoor St Apt 3 </t>
  </si>
  <si>
    <t>E Providence</t>
  </si>
  <si>
    <t xml:space="preserve">281 Karson Dr </t>
  </si>
  <si>
    <t>Tantivitoon</t>
  </si>
  <si>
    <t xml:space="preserve">1201 N 11th St Apt 4 </t>
  </si>
  <si>
    <t>Baier</t>
  </si>
  <si>
    <t xml:space="preserve">61382 DORSTAN Dr </t>
  </si>
  <si>
    <t xml:space="preserve">31411 Artesian Dr </t>
  </si>
  <si>
    <t xml:space="preserve">4412 Holly Ave # 1713 </t>
  </si>
  <si>
    <t>Dunsmuir</t>
  </si>
  <si>
    <t xml:space="preserve">26 Stonebridge Cir </t>
  </si>
  <si>
    <t>Tomoko</t>
  </si>
  <si>
    <t xml:space="preserve">Nara </t>
  </si>
  <si>
    <t>Perillie</t>
  </si>
  <si>
    <t xml:space="preserve">61 Dogwood Ln </t>
  </si>
  <si>
    <t xml:space="preserve">400 University Park Dr Apt 380 </t>
  </si>
  <si>
    <t>Pinkston</t>
  </si>
  <si>
    <t xml:space="preserve">1890 M St </t>
  </si>
  <si>
    <t>Junker</t>
  </si>
  <si>
    <t xml:space="preserve">6225 Ral Mar Rd </t>
  </si>
  <si>
    <t xml:space="preserve">1031 S Palmetto Ave Apt B9 </t>
  </si>
  <si>
    <t>Chacon</t>
  </si>
  <si>
    <t xml:space="preserve">1781 FM 368 S </t>
  </si>
  <si>
    <t>Iowa Park</t>
  </si>
  <si>
    <t>Van Geest</t>
  </si>
  <si>
    <t>Lida</t>
  </si>
  <si>
    <t xml:space="preserve">9403 SW 80th Ave </t>
  </si>
  <si>
    <t xml:space="preserve">FERN Gln </t>
  </si>
  <si>
    <t xml:space="preserve">5005 Pasture Ct </t>
  </si>
  <si>
    <t>Mica</t>
  </si>
  <si>
    <t xml:space="preserve">PO Box 1854 </t>
  </si>
  <si>
    <t xml:space="preserve">625 Marjorie St </t>
  </si>
  <si>
    <t xml:space="preserve">2501 Bernard St Apt 2 </t>
  </si>
  <si>
    <t>Minsal</t>
  </si>
  <si>
    <t xml:space="preserve">555 Jefferson Dr </t>
  </si>
  <si>
    <t>Rosenzweig</t>
  </si>
  <si>
    <t xml:space="preserve">3715 S 1st St Apt 340 </t>
  </si>
  <si>
    <t xml:space="preserve">12 Williams Ct </t>
  </si>
  <si>
    <t>Kozlowski</t>
  </si>
  <si>
    <t xml:space="preserve">PO Box 1624 </t>
  </si>
  <si>
    <t xml:space="preserve">3 Woodland Pl </t>
  </si>
  <si>
    <t>Truesdale</t>
  </si>
  <si>
    <t xml:space="preserve">8751 Shirley Ave </t>
  </si>
  <si>
    <t xml:space="preserve">5447 W Quail Track Dr </t>
  </si>
  <si>
    <t>Skillicorn</t>
  </si>
  <si>
    <t xml:space="preserve">2747 S Kihei Rd Apt D105 </t>
  </si>
  <si>
    <t>Inglett</t>
  </si>
  <si>
    <t xml:space="preserve">2229 River Plaza Dr </t>
  </si>
  <si>
    <t xml:space="preserve">934 Buena Suerte </t>
  </si>
  <si>
    <t>Milliren</t>
  </si>
  <si>
    <t xml:space="preserve">1840 N Wahanna Rd </t>
  </si>
  <si>
    <t>Etchison</t>
  </si>
  <si>
    <t xml:space="preserve">PO Box 691 </t>
  </si>
  <si>
    <t>Fort Ashby</t>
  </si>
  <si>
    <t>26719-0691</t>
  </si>
  <si>
    <t xml:space="preserve">6413 Merritt Rd </t>
  </si>
  <si>
    <t>82009-3606</t>
  </si>
  <si>
    <t>Sockness</t>
  </si>
  <si>
    <t xml:space="preserve">5285 Pinnacle Ct </t>
  </si>
  <si>
    <t>48108-8658</t>
  </si>
  <si>
    <t>Sharp-Henning</t>
  </si>
  <si>
    <t xml:space="preserve">65 Nottingham Dr </t>
  </si>
  <si>
    <t>03062-2161</t>
  </si>
  <si>
    <t>Sundae</t>
  </si>
  <si>
    <t xml:space="preserve">289 Riverpark Blvd Apt 202 </t>
  </si>
  <si>
    <t>93036-7652</t>
  </si>
  <si>
    <t xml:space="preserve">378 Seabrook Dr </t>
  </si>
  <si>
    <t>14221-1934</t>
  </si>
  <si>
    <t xml:space="preserve">16 Heights Rd </t>
  </si>
  <si>
    <t>05454-9568</t>
  </si>
  <si>
    <t>Palencia</t>
  </si>
  <si>
    <t>Kachina</t>
  </si>
  <si>
    <t xml:space="preserve">3318 Keha Dr # A </t>
  </si>
  <si>
    <t>96753-9323</t>
  </si>
  <si>
    <t>Backman</t>
  </si>
  <si>
    <t xml:space="preserve">110 NW 56th St </t>
  </si>
  <si>
    <t>98107-2023</t>
  </si>
  <si>
    <t xml:space="preserve">223 Doyle Park Dr </t>
  </si>
  <si>
    <t>95405-4511</t>
  </si>
  <si>
    <t>Holverson</t>
  </si>
  <si>
    <t xml:space="preserve">131 Kenwood Ln </t>
  </si>
  <si>
    <t>62234-1906</t>
  </si>
  <si>
    <t>Power</t>
  </si>
  <si>
    <t xml:space="preserve">423 1/2 Jefferson St </t>
  </si>
  <si>
    <t>52601-5319</t>
  </si>
  <si>
    <t>Klugel</t>
  </si>
  <si>
    <t xml:space="preserve">873 County Road 106 </t>
  </si>
  <si>
    <t>Mentone</t>
  </si>
  <si>
    <t>35984-2718</t>
  </si>
  <si>
    <t>Gallardo</t>
  </si>
  <si>
    <t xml:space="preserve">2034 NW Overton St </t>
  </si>
  <si>
    <t>97209-1656</t>
  </si>
  <si>
    <t>Hong</t>
  </si>
  <si>
    <t xml:space="preserve">4758 Cromwell Ave </t>
  </si>
  <si>
    <t>90027-1144</t>
  </si>
  <si>
    <t>Wilcocks</t>
  </si>
  <si>
    <t xml:space="preserve">295 Raven Ln </t>
  </si>
  <si>
    <t>17844-9303</t>
  </si>
  <si>
    <t>Grambauer</t>
  </si>
  <si>
    <t>MacAire</t>
  </si>
  <si>
    <t xml:space="preserve">1635 N Whipple St </t>
  </si>
  <si>
    <t>60647-5024</t>
  </si>
  <si>
    <t>Stelz</t>
  </si>
  <si>
    <t xml:space="preserve">2640 S 218th St W </t>
  </si>
  <si>
    <t>67052-9269</t>
  </si>
  <si>
    <t>Jonny</t>
  </si>
  <si>
    <t xml:space="preserve">1916 Pike Pl Ste 12 </t>
  </si>
  <si>
    <t>98101-1056</t>
  </si>
  <si>
    <t>Lexie</t>
  </si>
  <si>
    <t xml:space="preserve">1563 Longridge Ct </t>
  </si>
  <si>
    <t>91360-2018</t>
  </si>
  <si>
    <t>Kurata</t>
  </si>
  <si>
    <t xml:space="preserve">1001 Bishop St Ste 2685 </t>
  </si>
  <si>
    <t>96813-3404</t>
  </si>
  <si>
    <t>Sinai</t>
  </si>
  <si>
    <t xml:space="preserve">12 Meadow Ln </t>
  </si>
  <si>
    <t>Marlboro</t>
  </si>
  <si>
    <t>07746-1687</t>
  </si>
  <si>
    <t xml:space="preserve">12883 Meadow Ave </t>
  </si>
  <si>
    <t xml:space="preserve">12535 Needham St </t>
  </si>
  <si>
    <t>Bk</t>
  </si>
  <si>
    <t xml:space="preserve">E ALAN BLACK Blvd </t>
  </si>
  <si>
    <t>Loxahatchee</t>
  </si>
  <si>
    <t xml:space="preserve">6769 Angels Ln </t>
  </si>
  <si>
    <t>30084-1302</t>
  </si>
  <si>
    <t xml:space="preserve">2205 W 4th St Apt 6 </t>
  </si>
  <si>
    <t>17701-4361</t>
  </si>
  <si>
    <t>Ciesla</t>
  </si>
  <si>
    <t xml:space="preserve">3734 Red Hawk Ct </t>
  </si>
  <si>
    <t>Munoz</t>
  </si>
  <si>
    <t xml:space="preserve">2815 Sumac Ave </t>
  </si>
  <si>
    <t xml:space="preserve">9745 Spruce Ct </t>
  </si>
  <si>
    <t>Wilhelmsen</t>
  </si>
  <si>
    <t xml:space="preserve">2 Alexi Ct </t>
  </si>
  <si>
    <t>87043-9362</t>
  </si>
  <si>
    <t>Sushoreba</t>
  </si>
  <si>
    <t>Marlys</t>
  </si>
  <si>
    <t xml:space="preserve">PO Box 151 </t>
  </si>
  <si>
    <t>Side Lake</t>
  </si>
  <si>
    <t>Tsitouras</t>
  </si>
  <si>
    <t xml:space="preserve">161 Heritage Vlg # A </t>
  </si>
  <si>
    <t>06488-1433</t>
  </si>
  <si>
    <t xml:space="preserve">37 S Sierra Madre Blvd </t>
  </si>
  <si>
    <t xml:space="preserve">2436 E 8th Ave </t>
  </si>
  <si>
    <t>Warddonahue</t>
  </si>
  <si>
    <t xml:space="preserve">BROOKS RD MIDLAND MIDLAND </t>
  </si>
  <si>
    <t>Reuscher</t>
  </si>
  <si>
    <t>F. Carlene</t>
  </si>
  <si>
    <t xml:space="preserve">1866 Kinglet Ct </t>
  </si>
  <si>
    <t xml:space="preserve">6510 141st St SW </t>
  </si>
  <si>
    <t xml:space="preserve">6155 Plumas St Apt 247 </t>
  </si>
  <si>
    <t>Hohensheldt</t>
  </si>
  <si>
    <t xml:space="preserve">102 Lafayette St </t>
  </si>
  <si>
    <t>Palatine Bridge</t>
  </si>
  <si>
    <t>Falin</t>
  </si>
  <si>
    <t xml:space="preserve">5565 Robinette Valley Rd </t>
  </si>
  <si>
    <t>Duffield</t>
  </si>
  <si>
    <t xml:space="preserve">9 Spy Rock Hill Rd </t>
  </si>
  <si>
    <t>Vicuna</t>
  </si>
  <si>
    <t xml:space="preserve">1800 Wf Irst St </t>
  </si>
  <si>
    <t>Monterey Park</t>
  </si>
  <si>
    <t>Schubert</t>
  </si>
  <si>
    <t xml:space="preserve">725 Noth 5Th St </t>
  </si>
  <si>
    <t xml:space="preserve">26000 SE Stark St </t>
  </si>
  <si>
    <t>Appelbaum Goldman</t>
  </si>
  <si>
    <t xml:space="preserve">10492 NW 56th Dr </t>
  </si>
  <si>
    <t>Keaton</t>
  </si>
  <si>
    <t xml:space="preserve">7409 Ruelouisph 4 4 </t>
  </si>
  <si>
    <t>Eielson</t>
  </si>
  <si>
    <t xml:space="preserve">7886 Terrace Dr </t>
  </si>
  <si>
    <t>Golding</t>
  </si>
  <si>
    <t xml:space="preserve">246 S Stadium Way </t>
  </si>
  <si>
    <t>Mattson</t>
  </si>
  <si>
    <t xml:space="preserve">1112 Columbine Ct </t>
  </si>
  <si>
    <t>Elbow</t>
  </si>
  <si>
    <t xml:space="preserve">700 Andersonville Rd </t>
  </si>
  <si>
    <t>West Glover</t>
  </si>
  <si>
    <t>Puglisi</t>
  </si>
  <si>
    <t>Jeoffery</t>
  </si>
  <si>
    <t xml:space="preserve">420 Crestview Loop </t>
  </si>
  <si>
    <t>Jackson-Rosen</t>
  </si>
  <si>
    <t xml:space="preserve">20 Lane Ave </t>
  </si>
  <si>
    <t>Verwiel</t>
  </si>
  <si>
    <t xml:space="preserve">2129 A N Magnolia Ave </t>
  </si>
  <si>
    <t>Dengler</t>
  </si>
  <si>
    <t xml:space="preserve">4064 London Rd FL32207 </t>
  </si>
  <si>
    <t>McHendry</t>
  </si>
  <si>
    <t xml:space="preserve">381 CHAUNCEY WALKER Lot 105 </t>
  </si>
  <si>
    <t xml:space="preserve">SHELTER ISLAND Dr </t>
  </si>
  <si>
    <t>Spielvogel</t>
  </si>
  <si>
    <t xml:space="preserve">435 E 79th St Apt 11 </t>
  </si>
  <si>
    <t xml:space="preserve">9123 Stonehenge Ct </t>
  </si>
  <si>
    <t xml:space="preserve">210 W Patwood Dr </t>
  </si>
  <si>
    <t>La Habra</t>
  </si>
  <si>
    <t xml:space="preserve">420 Ellis Rd </t>
  </si>
  <si>
    <t xml:space="preserve">2275 Fairfax St </t>
  </si>
  <si>
    <t>Plitt</t>
  </si>
  <si>
    <t xml:space="preserve">1491 NE Alexandria Pl </t>
  </si>
  <si>
    <t xml:space="preserve">2657 Windmill Pkwy # 194 </t>
  </si>
  <si>
    <t xml:space="preserve">834 N Grove Ave </t>
  </si>
  <si>
    <t xml:space="preserve">2215 Lee Ave </t>
  </si>
  <si>
    <t>Picinska</t>
  </si>
  <si>
    <t>Malgorzata</t>
  </si>
  <si>
    <t xml:space="preserve">2255 Evergreen Park Dr </t>
  </si>
  <si>
    <t>Bustamante</t>
  </si>
  <si>
    <t>Alethia</t>
  </si>
  <si>
    <t xml:space="preserve">29 B C29 </t>
  </si>
  <si>
    <t>York Beach</t>
  </si>
  <si>
    <t xml:space="preserve">63 Camino San Lucas </t>
  </si>
  <si>
    <t>Ruben</t>
  </si>
  <si>
    <t xml:space="preserve">14152 E 25th Pl </t>
  </si>
  <si>
    <t>Taroli</t>
  </si>
  <si>
    <t xml:space="preserve">16 Idlewood Dr </t>
  </si>
  <si>
    <t>Jt</t>
  </si>
  <si>
    <t xml:space="preserve">578 Taylor Rd Taylor Rd Taylor Rdd </t>
  </si>
  <si>
    <t xml:space="preserve">339 N Overlook Ter </t>
  </si>
  <si>
    <t>Lombardo</t>
  </si>
  <si>
    <t>Agostina</t>
  </si>
  <si>
    <t xml:space="preserve">2842 Potomac Ave </t>
  </si>
  <si>
    <t xml:space="preserve">800 16th St </t>
  </si>
  <si>
    <t>Krauss</t>
  </si>
  <si>
    <t xml:space="preserve">715 Park Ave </t>
  </si>
  <si>
    <t>Seals</t>
  </si>
  <si>
    <t>Donny</t>
  </si>
  <si>
    <t xml:space="preserve">1117 Marlowe Dr Apt 2 </t>
  </si>
  <si>
    <t>Hengst</t>
  </si>
  <si>
    <t xml:space="preserve">2613 39th St NW Apt 2 </t>
  </si>
  <si>
    <t>Simunek</t>
  </si>
  <si>
    <t>Yadira</t>
  </si>
  <si>
    <t xml:space="preserve">9685 NW 25th Ct </t>
  </si>
  <si>
    <t xml:space="preserve">103 The Fairway Cedar Grv 7009 </t>
  </si>
  <si>
    <t xml:space="preserve">1050 S Lumpkin St Apt 203 </t>
  </si>
  <si>
    <t>Campagna</t>
  </si>
  <si>
    <t xml:space="preserve">2278 Pinnacle Cir N </t>
  </si>
  <si>
    <t>Benshoof</t>
  </si>
  <si>
    <t xml:space="preserve">5948 N Neva Ave </t>
  </si>
  <si>
    <t>Madonna</t>
  </si>
  <si>
    <t xml:space="preserve">145 West St </t>
  </si>
  <si>
    <t xml:space="preserve">1844 Strawberry Ridge Dr </t>
  </si>
  <si>
    <t>Diluzio</t>
  </si>
  <si>
    <t xml:space="preserve">16559 W Torrance Ln </t>
  </si>
  <si>
    <t>McWiggins</t>
  </si>
  <si>
    <t>Harju</t>
  </si>
  <si>
    <t>Merja</t>
  </si>
  <si>
    <t>FI</t>
  </si>
  <si>
    <t>Krouse</t>
  </si>
  <si>
    <t xml:space="preserve">14306 Detroit Ave Apt 533 </t>
  </si>
  <si>
    <t xml:space="preserve">3210 Silver Bell Trce </t>
  </si>
  <si>
    <t xml:space="preserve">962 Signal Ct </t>
  </si>
  <si>
    <t xml:space="preserve">Address </t>
  </si>
  <si>
    <t xml:space="preserve">1650 Maring Way </t>
  </si>
  <si>
    <t>McCollim</t>
  </si>
  <si>
    <t xml:space="preserve">7154 N Downing Pl </t>
  </si>
  <si>
    <t>Stancil</t>
  </si>
  <si>
    <t xml:space="preserve">PO Box 644 </t>
  </si>
  <si>
    <t>Harner</t>
  </si>
  <si>
    <t xml:space="preserve">71 -1662 Puu Napoo Dr # 98 </t>
  </si>
  <si>
    <t>Abajian Md</t>
  </si>
  <si>
    <t xml:space="preserve">2430 Alice St </t>
  </si>
  <si>
    <t xml:space="preserve">NEENAH </t>
  </si>
  <si>
    <t>Neenah</t>
  </si>
  <si>
    <t xml:space="preserve">943 Redway Ln </t>
  </si>
  <si>
    <t xml:space="preserve">135 Sequoia Ln </t>
  </si>
  <si>
    <t xml:space="preserve">4 Hartford Ave N </t>
  </si>
  <si>
    <t>Berte</t>
  </si>
  <si>
    <t xml:space="preserve">25 Cassin Hill Drive Garnet Vly </t>
  </si>
  <si>
    <t xml:space="preserve">169 CENTRE St N </t>
  </si>
  <si>
    <t>Cocherl</t>
  </si>
  <si>
    <t xml:space="preserve">242 Ralph St </t>
  </si>
  <si>
    <t>Natchitoches</t>
  </si>
  <si>
    <t>71457-6220</t>
  </si>
  <si>
    <t>Bridges</t>
  </si>
  <si>
    <t xml:space="preserve">105 Gander Path </t>
  </si>
  <si>
    <t>56001-6932</t>
  </si>
  <si>
    <t xml:space="preserve">12521 74th Ave N # M </t>
  </si>
  <si>
    <t>55369-5282</t>
  </si>
  <si>
    <t>Kiron</t>
  </si>
  <si>
    <t xml:space="preserve">3219 Oliver St NW </t>
  </si>
  <si>
    <t>20015-1656</t>
  </si>
  <si>
    <t xml:space="preserve">7432 Edenwood Ln </t>
  </si>
  <si>
    <t>27615-7607</t>
  </si>
  <si>
    <t xml:space="preserve">47 Hidden Brook Dr </t>
  </si>
  <si>
    <t>06907-1413</t>
  </si>
  <si>
    <t>Wyse</t>
  </si>
  <si>
    <t xml:space="preserve">110 El Otro Lado Rd </t>
  </si>
  <si>
    <t>88049-8081</t>
  </si>
  <si>
    <t xml:space="preserve">20 Robert Ln </t>
  </si>
  <si>
    <t>Ringgold</t>
  </si>
  <si>
    <t>30736-7200</t>
  </si>
  <si>
    <t xml:space="preserve">855 Partridge Dr </t>
  </si>
  <si>
    <t>75230-4657</t>
  </si>
  <si>
    <t xml:space="preserve">5422 Old Franklin Rd </t>
  </si>
  <si>
    <t>48439-8758</t>
  </si>
  <si>
    <t xml:space="preserve">1536 Whitetail Rd </t>
  </si>
  <si>
    <t>Pinckneyville</t>
  </si>
  <si>
    <t>62274-3500</t>
  </si>
  <si>
    <t>Ochs</t>
  </si>
  <si>
    <t xml:space="preserve">E4426 County Road D </t>
  </si>
  <si>
    <t>54751-5446</t>
  </si>
  <si>
    <t>Pruitte</t>
  </si>
  <si>
    <t xml:space="preserve">20 Ridgecrest Dr </t>
  </si>
  <si>
    <t>29609-4917</t>
  </si>
  <si>
    <t xml:space="preserve">1151 Putnam Pike </t>
  </si>
  <si>
    <t>Chepachet</t>
  </si>
  <si>
    <t>02814-7700</t>
  </si>
  <si>
    <t xml:space="preserve">6535 Fenwick Rd </t>
  </si>
  <si>
    <t>48838-9737</t>
  </si>
  <si>
    <t>Milo</t>
  </si>
  <si>
    <t xml:space="preserve">339 W Barry Ave </t>
  </si>
  <si>
    <t>60657-8136</t>
  </si>
  <si>
    <t>Vile</t>
  </si>
  <si>
    <t xml:space="preserve">1167 Adams St </t>
  </si>
  <si>
    <t>60062-7808</t>
  </si>
  <si>
    <t>Crossen</t>
  </si>
  <si>
    <t xml:space="preserve">3581 Roselawn Dr </t>
  </si>
  <si>
    <t>45430-1734</t>
  </si>
  <si>
    <t xml:space="preserve">3430 Rio Rd </t>
  </si>
  <si>
    <t>93923-9021</t>
  </si>
  <si>
    <t>Romans</t>
  </si>
  <si>
    <t>Jennifer Romans</t>
  </si>
  <si>
    <t xml:space="preserve">705 Ascot Ct </t>
  </si>
  <si>
    <t>60048-5238</t>
  </si>
  <si>
    <t xml:space="preserve">1045 Bishop St </t>
  </si>
  <si>
    <t>60002-1501</t>
  </si>
  <si>
    <t>Ridella</t>
  </si>
  <si>
    <t xml:space="preserve">4822 Kathleen Ave </t>
  </si>
  <si>
    <t>94546-2506</t>
  </si>
  <si>
    <t xml:space="preserve">4208 Gloria St </t>
  </si>
  <si>
    <t>48184-2253</t>
  </si>
  <si>
    <t>Harkins</t>
  </si>
  <si>
    <t xml:space="preserve">2006 Duquesne Ave </t>
  </si>
  <si>
    <t>McKeesport</t>
  </si>
  <si>
    <t>15132-5103</t>
  </si>
  <si>
    <t>Schondelmeyer</t>
  </si>
  <si>
    <t xml:space="preserve">30 Winding Stair Way </t>
  </si>
  <si>
    <t>63368-6123</t>
  </si>
  <si>
    <t>Chernes</t>
  </si>
  <si>
    <t xml:space="preserve">90 Sycamore Ct </t>
  </si>
  <si>
    <t xml:space="preserve">2945 NE 19TJ </t>
  </si>
  <si>
    <t xml:space="preserve">5000 SE 31st St </t>
  </si>
  <si>
    <t>97080-9087</t>
  </si>
  <si>
    <t>Oulman</t>
  </si>
  <si>
    <t xml:space="preserve">816 14th St </t>
  </si>
  <si>
    <t>98225-6304</t>
  </si>
  <si>
    <t xml:space="preserve">123 Any </t>
  </si>
  <si>
    <t>Director</t>
  </si>
  <si>
    <t>Z. Vijay</t>
  </si>
  <si>
    <t>28711-0970</t>
  </si>
  <si>
    <t>Sunde</t>
  </si>
  <si>
    <t xml:space="preserve">2319 Francis St </t>
  </si>
  <si>
    <t>64501-2542</t>
  </si>
  <si>
    <t xml:space="preserve">1776 Mooringline Dr Ph B </t>
  </si>
  <si>
    <t>32963-6017</t>
  </si>
  <si>
    <t>Jablonka</t>
  </si>
  <si>
    <t xml:space="preserve">2367 S Tucson Stra </t>
  </si>
  <si>
    <t>85713-3928</t>
  </si>
  <si>
    <t xml:space="preserve">867 Colridge Rd </t>
  </si>
  <si>
    <t>11793-1548</t>
  </si>
  <si>
    <t xml:space="preserve">3242 Kansas St </t>
  </si>
  <si>
    <t>94602-3917</t>
  </si>
  <si>
    <t xml:space="preserve">4537 S Drexel Blvd Apt 701 </t>
  </si>
  <si>
    <t>60653-4245</t>
  </si>
  <si>
    <t xml:space="preserve">413 E Avenue Q7 Apt 202 </t>
  </si>
  <si>
    <t>93550-7110</t>
  </si>
  <si>
    <t>Glassner</t>
  </si>
  <si>
    <t xml:space="preserve">9246 Menard Ave </t>
  </si>
  <si>
    <t>60053-1562</t>
  </si>
  <si>
    <t>Geisler</t>
  </si>
  <si>
    <t xml:space="preserve">2 Lakeview Dr </t>
  </si>
  <si>
    <t>06878-1111</t>
  </si>
  <si>
    <t xml:space="preserve">2527 N Taylor Rd Apt 2 </t>
  </si>
  <si>
    <t>44118-1385</t>
  </si>
  <si>
    <t xml:space="preserve">2039 Wooster Rd </t>
  </si>
  <si>
    <t>44116-2672</t>
  </si>
  <si>
    <t>Spelter</t>
  </si>
  <si>
    <t xml:space="preserve">3609 Sargent St </t>
  </si>
  <si>
    <t>53714-2908</t>
  </si>
  <si>
    <t xml:space="preserve">663 2nd St </t>
  </si>
  <si>
    <t>60417-2041</t>
  </si>
  <si>
    <t xml:space="preserve">8128 Canyon Oak Dr </t>
  </si>
  <si>
    <t>95610-0640</t>
  </si>
  <si>
    <t>Crabtree</t>
  </si>
  <si>
    <t xml:space="preserve">35218 Fir Ave Spc 43 </t>
  </si>
  <si>
    <t>92399-3032</t>
  </si>
  <si>
    <t>Tempesta</t>
  </si>
  <si>
    <t xml:space="preserve">1147 Myrtlewood Ave </t>
  </si>
  <si>
    <t>19083-5202</t>
  </si>
  <si>
    <t>Plaviak</t>
  </si>
  <si>
    <t xml:space="preserve">721 Kenilworth Rd </t>
  </si>
  <si>
    <t>32312-3045</t>
  </si>
  <si>
    <t>Dehra</t>
  </si>
  <si>
    <t xml:space="preserve">2237 Raleigh Ave </t>
  </si>
  <si>
    <t>92627-2908</t>
  </si>
  <si>
    <t xml:space="preserve">950 Willow Valley Lakes Dr </t>
  </si>
  <si>
    <t>Willow Street</t>
  </si>
  <si>
    <t>17584-9663</t>
  </si>
  <si>
    <t>Hestdalen</t>
  </si>
  <si>
    <t xml:space="preserve">3431 28th Ave S </t>
  </si>
  <si>
    <t>Van Camp</t>
  </si>
  <si>
    <t xml:space="preserve">2198 Courtland Pl </t>
  </si>
  <si>
    <t>Ganshaw</t>
  </si>
  <si>
    <t xml:space="preserve">2317 Hennepin Ave Apt 3 </t>
  </si>
  <si>
    <t>Petit</t>
  </si>
  <si>
    <t>Laetitia</t>
  </si>
  <si>
    <t xml:space="preserve">4 RUE DE L ABREUVOIR </t>
  </si>
  <si>
    <t>Gala</t>
  </si>
  <si>
    <t xml:space="preserve">7550 E 99th St </t>
  </si>
  <si>
    <t>64134-1709</t>
  </si>
  <si>
    <t>Schwartz Bock</t>
  </si>
  <si>
    <t xml:space="preserve">11 Riverside Dr Apt 3BE </t>
  </si>
  <si>
    <t>10023-2550</t>
  </si>
  <si>
    <t>Asp</t>
  </si>
  <si>
    <t xml:space="preserve">6136 Tangle Creek Ct </t>
  </si>
  <si>
    <t>46814-8226</t>
  </si>
  <si>
    <t>Monya</t>
  </si>
  <si>
    <t xml:space="preserve">29 Hampden Rd </t>
  </si>
  <si>
    <t>01028-3010</t>
  </si>
  <si>
    <t>Jester</t>
  </si>
  <si>
    <t xml:space="preserve">1202 Far Pond Cir </t>
  </si>
  <si>
    <t>46544-8200</t>
  </si>
  <si>
    <t>Gilford</t>
  </si>
  <si>
    <t>Elfi</t>
  </si>
  <si>
    <t xml:space="preserve">107 Edith St </t>
  </si>
  <si>
    <t>94952-3221</t>
  </si>
  <si>
    <t xml:space="preserve">4809 54th Ave S </t>
  </si>
  <si>
    <t>98118-1516</t>
  </si>
  <si>
    <t xml:space="preserve">1927 Indiana St </t>
  </si>
  <si>
    <t>94590-4712</t>
  </si>
  <si>
    <t>Kaelan</t>
  </si>
  <si>
    <t xml:space="preserve">3270 Celestial Cir </t>
  </si>
  <si>
    <t>92882-8330</t>
  </si>
  <si>
    <t>Bellavia</t>
  </si>
  <si>
    <t xml:space="preserve">2698 California St Apt 209 </t>
  </si>
  <si>
    <t>94115-2642</t>
  </si>
  <si>
    <t xml:space="preserve">850 Front St # 825 </t>
  </si>
  <si>
    <t>95060-4511</t>
  </si>
  <si>
    <t xml:space="preserve">6632 Van Buren Ave </t>
  </si>
  <si>
    <t>46324-1533</t>
  </si>
  <si>
    <t>Westervelt</t>
  </si>
  <si>
    <t xml:space="preserve">7 Highland Dr </t>
  </si>
  <si>
    <t>08050-5440</t>
  </si>
  <si>
    <t xml:space="preserve">2475 6th Ave W </t>
  </si>
  <si>
    <t xml:space="preserve">33 Hickory Ct </t>
  </si>
  <si>
    <t>Calumet City</t>
  </si>
  <si>
    <t>60409-5013</t>
  </si>
  <si>
    <t xml:space="preserve">1944 Milkweed Trce </t>
  </si>
  <si>
    <t>33558-8498</t>
  </si>
  <si>
    <t xml:space="preserve">158 Windmill Trl N </t>
  </si>
  <si>
    <t>87043-8315</t>
  </si>
  <si>
    <t xml:space="preserve">27100 Scoggins Rd </t>
  </si>
  <si>
    <t>Elkmont</t>
  </si>
  <si>
    <t>35620-4634</t>
  </si>
  <si>
    <t xml:space="preserve">612 Dale St </t>
  </si>
  <si>
    <t>78666-2405</t>
  </si>
  <si>
    <t>Cuevas</t>
  </si>
  <si>
    <t xml:space="preserve">4956 SW 151st Ave </t>
  </si>
  <si>
    <t>33331-2819</t>
  </si>
  <si>
    <t xml:space="preserve">312 Koch Ave </t>
  </si>
  <si>
    <t>48103-5422</t>
  </si>
  <si>
    <t>Fey</t>
  </si>
  <si>
    <t xml:space="preserve">71 Ridgeway Dr </t>
  </si>
  <si>
    <t>10533-1841</t>
  </si>
  <si>
    <t>Herrington</t>
  </si>
  <si>
    <t>D.Kristen</t>
  </si>
  <si>
    <t xml:space="preserve">PO Box 484 </t>
  </si>
  <si>
    <t>Salado</t>
  </si>
  <si>
    <t>76571-0484</t>
  </si>
  <si>
    <t xml:space="preserve">110 Walnut St </t>
  </si>
  <si>
    <t>Three Oaks</t>
  </si>
  <si>
    <t>49128-1052</t>
  </si>
  <si>
    <t xml:space="preserve">4550 N Drake Ave Apt 1F </t>
  </si>
  <si>
    <t>60625-5937</t>
  </si>
  <si>
    <t>Erkiletian</t>
  </si>
  <si>
    <t xml:space="preserve">165 Rawson Rd </t>
  </si>
  <si>
    <t>02445-4404</t>
  </si>
  <si>
    <t>Raineri</t>
  </si>
  <si>
    <t xml:space="preserve">386 W Side Rd </t>
  </si>
  <si>
    <t>04606-3023</t>
  </si>
  <si>
    <t>Mallozzi</t>
  </si>
  <si>
    <t xml:space="preserve">168 Speen St </t>
  </si>
  <si>
    <t>01760-2557</t>
  </si>
  <si>
    <t>Kathrynne</t>
  </si>
  <si>
    <t xml:space="preserve">1470 E 310th Rd </t>
  </si>
  <si>
    <t>65724-9600</t>
  </si>
  <si>
    <t xml:space="preserve">204 Mechanic St Apt 26 </t>
  </si>
  <si>
    <t>03766-1526</t>
  </si>
  <si>
    <t>Schoonover</t>
  </si>
  <si>
    <t xml:space="preserve">38 W Water St </t>
  </si>
  <si>
    <t>02370-2445</t>
  </si>
  <si>
    <t>Hollie</t>
  </si>
  <si>
    <t xml:space="preserve">1426 N Montchapel Ln </t>
  </si>
  <si>
    <t>Midway</t>
  </si>
  <si>
    <t>84049-1219</t>
  </si>
  <si>
    <t xml:space="preserve">17606 Grovewood Ave </t>
  </si>
  <si>
    <t>Pash</t>
  </si>
  <si>
    <t xml:space="preserve">373 Degaetano Rd </t>
  </si>
  <si>
    <t>Koester</t>
  </si>
  <si>
    <t xml:space="preserve">10649 Point Pleasant Rd </t>
  </si>
  <si>
    <t>Chisago City</t>
  </si>
  <si>
    <t>55013-9510</t>
  </si>
  <si>
    <t>Langella</t>
  </si>
  <si>
    <t xml:space="preserve">725 Ort Malabar Blvd </t>
  </si>
  <si>
    <t>Hinchey</t>
  </si>
  <si>
    <t xml:space="preserve">117 Gertrude St </t>
  </si>
  <si>
    <t xml:space="preserve">928 SW Bay View Ln </t>
  </si>
  <si>
    <t>Yu</t>
  </si>
  <si>
    <t xml:space="preserve">209 Ben Lomond </t>
  </si>
  <si>
    <t>Preister</t>
  </si>
  <si>
    <t xml:space="preserve">880 Welch St </t>
  </si>
  <si>
    <t xml:space="preserve">7 Cedar Run Apt C </t>
  </si>
  <si>
    <t xml:space="preserve">1430 Bakers Work Rd </t>
  </si>
  <si>
    <t xml:space="preserve">95 Mine Ln </t>
  </si>
  <si>
    <t>Damery</t>
  </si>
  <si>
    <t xml:space="preserve">3185 Dry Creek Rd </t>
  </si>
  <si>
    <t>Valuckas</t>
  </si>
  <si>
    <t xml:space="preserve">153 Porter St </t>
  </si>
  <si>
    <t xml:space="preserve">10 Marlboro Dr </t>
  </si>
  <si>
    <t>Dowd</t>
  </si>
  <si>
    <t xml:space="preserve">808 Gaston Manor Dr </t>
  </si>
  <si>
    <t xml:space="preserve">223 Old Roper Rd </t>
  </si>
  <si>
    <t>Manley</t>
  </si>
  <si>
    <t xml:space="preserve">1220 Rosecrans St # 242 </t>
  </si>
  <si>
    <t>Biagi</t>
  </si>
  <si>
    <t xml:space="preserve">26 James St Ext </t>
  </si>
  <si>
    <t xml:space="preserve">PUTNAM Cir </t>
  </si>
  <si>
    <t xml:space="preserve">50 Appletree Ln </t>
  </si>
  <si>
    <t>Larocca Morrill</t>
  </si>
  <si>
    <t>Phaedra</t>
  </si>
  <si>
    <t xml:space="preserve">12126 Centerville Rd </t>
  </si>
  <si>
    <t>R. Michael</t>
  </si>
  <si>
    <t xml:space="preserve">1710 Herrin St </t>
  </si>
  <si>
    <t>Mortonson</t>
  </si>
  <si>
    <t xml:space="preserve">3301 Creek View Dr </t>
  </si>
  <si>
    <t xml:space="preserve">2267 S Loveland St </t>
  </si>
  <si>
    <t>Stanaway</t>
  </si>
  <si>
    <t xml:space="preserve">2835 Barmettler St </t>
  </si>
  <si>
    <t>Leslie Ann</t>
  </si>
  <si>
    <t xml:space="preserve">WALNUT Crk </t>
  </si>
  <si>
    <t>Sypnier</t>
  </si>
  <si>
    <t xml:space="preserve">3432 Fort Lyon Dr </t>
  </si>
  <si>
    <t xml:space="preserve">1750 2nd St </t>
  </si>
  <si>
    <t xml:space="preserve">28 Peboniwi Ldg </t>
  </si>
  <si>
    <t xml:space="preserve">19 High St </t>
  </si>
  <si>
    <t xml:space="preserve">107 Hebbard Rd </t>
  </si>
  <si>
    <t xml:space="preserve">1109 Radmoor Ln </t>
  </si>
  <si>
    <t xml:space="preserve">6454 Bertrand Ave </t>
  </si>
  <si>
    <t xml:space="preserve">30 Tremont St </t>
  </si>
  <si>
    <t>Shellenbarger</t>
  </si>
  <si>
    <t xml:space="preserve">101 S Fletcher Rd </t>
  </si>
  <si>
    <t xml:space="preserve">14868 Summit Trail Rd </t>
  </si>
  <si>
    <t xml:space="preserve">10431 W El Capitan Cir </t>
  </si>
  <si>
    <t>Benwitz</t>
  </si>
  <si>
    <t xml:space="preserve">2434 Independence Ln </t>
  </si>
  <si>
    <t xml:space="preserve">530 Mt Park Blvd SW </t>
  </si>
  <si>
    <t xml:space="preserve">446 E 20th St </t>
  </si>
  <si>
    <t xml:space="preserve">3514 N Murray Ave </t>
  </si>
  <si>
    <t xml:space="preserve">27147 Guapore Dr </t>
  </si>
  <si>
    <t xml:space="preserve">10140 Lee Ln </t>
  </si>
  <si>
    <t xml:space="preserve">606 S 10th St </t>
  </si>
  <si>
    <t xml:space="preserve">4137 Mount Alifan Pl </t>
  </si>
  <si>
    <t>Cipolla</t>
  </si>
  <si>
    <t xml:space="preserve">4137 Susan Dr </t>
  </si>
  <si>
    <t>Kayl</t>
  </si>
  <si>
    <t xml:space="preserve">31 S Arizona Ave </t>
  </si>
  <si>
    <t>Arews</t>
  </si>
  <si>
    <t xml:space="preserve">67 47 168 St </t>
  </si>
  <si>
    <t>Reyenga</t>
  </si>
  <si>
    <t>Auke</t>
  </si>
  <si>
    <t xml:space="preserve">3029 Eden Valley Rd # HI </t>
  </si>
  <si>
    <t xml:space="preserve">63 Garfield St </t>
  </si>
  <si>
    <t xml:space="preserve">22231 Sands Point Dr </t>
  </si>
  <si>
    <t xml:space="preserve">5576 Pennsylvania Ave </t>
  </si>
  <si>
    <t xml:space="preserve">11990 Market St </t>
  </si>
  <si>
    <t>Stilwell</t>
  </si>
  <si>
    <t xml:space="preserve">427 45th Ave </t>
  </si>
  <si>
    <t>Elsie</t>
  </si>
  <si>
    <t>Huwe</t>
  </si>
  <si>
    <t xml:space="preserve">1000 Highland Ave Apt B </t>
  </si>
  <si>
    <t xml:space="preserve">2800 S Havana St </t>
  </si>
  <si>
    <t>Brewington</t>
  </si>
  <si>
    <t xml:space="preserve">6459 Barclay Ct </t>
  </si>
  <si>
    <t xml:space="preserve">1522 Amherst Ave Apt 104 </t>
  </si>
  <si>
    <t>O'Beirne</t>
  </si>
  <si>
    <t>Ilona</t>
  </si>
  <si>
    <t xml:space="preserve">4 IM ATZELN Est </t>
  </si>
  <si>
    <t>Bad Homburg</t>
  </si>
  <si>
    <t>Bjork</t>
  </si>
  <si>
    <t>Gunilla</t>
  </si>
  <si>
    <t xml:space="preserve">635 Glenwood Ave </t>
  </si>
  <si>
    <t>Devestern</t>
  </si>
  <si>
    <t xml:space="preserve">2250 Heydon Cir W </t>
  </si>
  <si>
    <t xml:space="preserve">9357 N 87th Way </t>
  </si>
  <si>
    <t>MacHenberg</t>
  </si>
  <si>
    <t xml:space="preserve">2104 Daniels Rd </t>
  </si>
  <si>
    <t>Careccia</t>
  </si>
  <si>
    <t xml:space="preserve">842 1/2 N Hayworth Ave </t>
  </si>
  <si>
    <t>Duque</t>
  </si>
  <si>
    <t>Jimena</t>
  </si>
  <si>
    <t xml:space="preserve">12214 56th Ave NW </t>
  </si>
  <si>
    <t xml:space="preserve">26400 Senator Ave </t>
  </si>
  <si>
    <t>Harbor City</t>
  </si>
  <si>
    <t>Hightower</t>
  </si>
  <si>
    <t xml:space="preserve">148 Piney Ridge Rd </t>
  </si>
  <si>
    <t>Ash Flat</t>
  </si>
  <si>
    <t xml:space="preserve">3740 N Halsted St Apt 1409 </t>
  </si>
  <si>
    <t>Benvenutto</t>
  </si>
  <si>
    <t xml:space="preserve">830 Taylor Ave </t>
  </si>
  <si>
    <t>Carricaburu</t>
  </si>
  <si>
    <t xml:space="preserve">1601 N College Ave Lot 293 </t>
  </si>
  <si>
    <t>Castaneda</t>
  </si>
  <si>
    <t>Gus</t>
  </si>
  <si>
    <t xml:space="preserve">Wwwgusfashioncom </t>
  </si>
  <si>
    <t>B Thomas</t>
  </si>
  <si>
    <t xml:space="preserve">405 Zena Lona St NE Unit E </t>
  </si>
  <si>
    <t xml:space="preserve">1935 Duke St </t>
  </si>
  <si>
    <t xml:space="preserve">372 Hawk Ln Apt STEBLDGOPTIONAL </t>
  </si>
  <si>
    <t>Milhaupt</t>
  </si>
  <si>
    <t xml:space="preserve">420 Grand Ct </t>
  </si>
  <si>
    <t>Kaminsky</t>
  </si>
  <si>
    <t xml:space="preserve">101 Middle St </t>
  </si>
  <si>
    <t xml:space="preserve">2700 N 30th St </t>
  </si>
  <si>
    <t>Dinucci</t>
  </si>
  <si>
    <t xml:space="preserve">25 Kensington Cir </t>
  </si>
  <si>
    <t xml:space="preserve">127 Bauer Ln </t>
  </si>
  <si>
    <t>O'Hearn</t>
  </si>
  <si>
    <t xml:space="preserve">MICHAELOH1 Gmailcom </t>
  </si>
  <si>
    <t>Vergne</t>
  </si>
  <si>
    <t xml:space="preserve">7536 Broken Staff </t>
  </si>
  <si>
    <t>Orla</t>
  </si>
  <si>
    <t xml:space="preserve">3201 SE 10th St </t>
  </si>
  <si>
    <t>Suenishi</t>
  </si>
  <si>
    <t xml:space="preserve">1230 Ahiahi St </t>
  </si>
  <si>
    <t xml:space="preserve">W4339 Strange Rd </t>
  </si>
  <si>
    <t>Iron Ridge</t>
  </si>
  <si>
    <t>Gotthardt</t>
  </si>
  <si>
    <t xml:space="preserve">1117 Norton St </t>
  </si>
  <si>
    <t>Mandell</t>
  </si>
  <si>
    <t xml:space="preserve">401 E Las Olas Blvd </t>
  </si>
  <si>
    <t>Demetrio</t>
  </si>
  <si>
    <t xml:space="preserve">PO Box 84 </t>
  </si>
  <si>
    <t>Conejos</t>
  </si>
  <si>
    <t xml:space="preserve">205 Oak Ave </t>
  </si>
  <si>
    <t>Higinbotham</t>
  </si>
  <si>
    <t xml:space="preserve">3 Poplar Pl </t>
  </si>
  <si>
    <t xml:space="preserve">30 Tremont St Apt 18G </t>
  </si>
  <si>
    <t xml:space="preserve">2438 W Estes Ave </t>
  </si>
  <si>
    <t xml:space="preserve">128 Rowell Ave </t>
  </si>
  <si>
    <t>Damiel</t>
  </si>
  <si>
    <t xml:space="preserve">45556 60th St W </t>
  </si>
  <si>
    <t>Kibbee</t>
  </si>
  <si>
    <t xml:space="preserve">1740 Billings St </t>
  </si>
  <si>
    <t>Isenstein</t>
  </si>
  <si>
    <t xml:space="preserve">100 Centre St </t>
  </si>
  <si>
    <t>Wheel</t>
  </si>
  <si>
    <t xml:space="preserve">ROUTE 6 Box 97 </t>
  </si>
  <si>
    <t>Mathias</t>
  </si>
  <si>
    <t xml:space="preserve">3623 Old Charleston Hwy </t>
  </si>
  <si>
    <t xml:space="preserve">2653 S Ritter Ave </t>
  </si>
  <si>
    <t xml:space="preserve">8654 Taylor May Rd </t>
  </si>
  <si>
    <t xml:space="preserve">27263 Popiel Rd </t>
  </si>
  <si>
    <t xml:space="preserve">18 Anchorage Ct </t>
  </si>
  <si>
    <t>Raper</t>
  </si>
  <si>
    <t xml:space="preserve">3614 WOODMONT Dr </t>
  </si>
  <si>
    <t xml:space="preserve">4700 State Highway 49 </t>
  </si>
  <si>
    <t>Kuentzel</t>
  </si>
  <si>
    <t xml:space="preserve">2311 Fox Run Dr </t>
  </si>
  <si>
    <t>Plainsboro</t>
  </si>
  <si>
    <t>Punkay</t>
  </si>
  <si>
    <t xml:space="preserve">142 E Nelson AVE42 E Nelson Ave </t>
  </si>
  <si>
    <t>La Puente</t>
  </si>
  <si>
    <t>Greenley</t>
  </si>
  <si>
    <t xml:space="preserve">609 Saratoga Dr </t>
  </si>
  <si>
    <t>60411-1916</t>
  </si>
  <si>
    <t xml:space="preserve">20 Summer St </t>
  </si>
  <si>
    <t>12401-5414</t>
  </si>
  <si>
    <t xml:space="preserve">1704 Mcauliffe Dr </t>
  </si>
  <si>
    <t>20851-1160</t>
  </si>
  <si>
    <t>Choi</t>
  </si>
  <si>
    <t>R. Leslie</t>
  </si>
  <si>
    <t xml:space="preserve">1345 Daily Cir </t>
  </si>
  <si>
    <t>91208-1719</t>
  </si>
  <si>
    <t>Dahlstrand</t>
  </si>
  <si>
    <t xml:space="preserve">200 Glenwood Cir </t>
  </si>
  <si>
    <t>93940-6741</t>
  </si>
  <si>
    <t>Groll</t>
  </si>
  <si>
    <t xml:space="preserve">1914 Cherry Ct </t>
  </si>
  <si>
    <t>60450-6201</t>
  </si>
  <si>
    <t>Alf</t>
  </si>
  <si>
    <t xml:space="preserve">7105 Knotty Oak Ln </t>
  </si>
  <si>
    <t>20112-3234</t>
  </si>
  <si>
    <t xml:space="preserve">12520 Sugar Ridge Rd </t>
  </si>
  <si>
    <t>43402-9286</t>
  </si>
  <si>
    <t>Check</t>
  </si>
  <si>
    <t xml:space="preserve">237 1/2 CERES Ave </t>
  </si>
  <si>
    <t>Arellanes</t>
  </si>
  <si>
    <t xml:space="preserve">23 Bradley St </t>
  </si>
  <si>
    <t>72022-2848</t>
  </si>
  <si>
    <t xml:space="preserve">45 Crestwood Loop Dr </t>
  </si>
  <si>
    <t>87059-8001</t>
  </si>
  <si>
    <t xml:space="preserve">PO Box 2168 </t>
  </si>
  <si>
    <t>99686-2168</t>
  </si>
  <si>
    <t>Garofalo</t>
  </si>
  <si>
    <t xml:space="preserve">586 Hopping Rd </t>
  </si>
  <si>
    <t>Belford</t>
  </si>
  <si>
    <t>07718-1168</t>
  </si>
  <si>
    <t xml:space="preserve">1180 E Broad St </t>
  </si>
  <si>
    <t>30602-1559</t>
  </si>
  <si>
    <t>Waddell</t>
  </si>
  <si>
    <t>Allegra</t>
  </si>
  <si>
    <t xml:space="preserve">6413 S Kite Dr </t>
  </si>
  <si>
    <t>85757-6828</t>
  </si>
  <si>
    <t xml:space="preserve">27242 Camden Pl </t>
  </si>
  <si>
    <t>91354-2609</t>
  </si>
  <si>
    <t xml:space="preserve">200 Summers Dr </t>
  </si>
  <si>
    <t>Marr</t>
  </si>
  <si>
    <t xml:space="preserve">795 Mittel </t>
  </si>
  <si>
    <t xml:space="preserve">7901 Rouse Dr </t>
  </si>
  <si>
    <t>32534-4466</t>
  </si>
  <si>
    <t>Martindale</t>
  </si>
  <si>
    <t xml:space="preserve">31494 A SW Peach Cove Rd </t>
  </si>
  <si>
    <t>Holbrook</t>
  </si>
  <si>
    <t xml:space="preserve">5690 Creek Hill Rd # 3 </t>
  </si>
  <si>
    <t>24283-2634</t>
  </si>
  <si>
    <t>Bois</t>
  </si>
  <si>
    <t>Myriam</t>
  </si>
  <si>
    <t xml:space="preserve">Ancien Hotel Du Parc Rue Du Longeon Apt 203 </t>
  </si>
  <si>
    <t>East Poland</t>
  </si>
  <si>
    <t>Sandstrom</t>
  </si>
  <si>
    <t xml:space="preserve">3618 SE Salmon St </t>
  </si>
  <si>
    <t>Michelson</t>
  </si>
  <si>
    <t xml:space="preserve">4240 Fulton Ave Unit 102 </t>
  </si>
  <si>
    <t>Poxon</t>
  </si>
  <si>
    <t xml:space="preserve">3207 L St Apt B </t>
  </si>
  <si>
    <t xml:space="preserve">PO Box 726 </t>
  </si>
  <si>
    <t>S.C.</t>
  </si>
  <si>
    <t xml:space="preserve">MCCLOUD St </t>
  </si>
  <si>
    <t>Payton</t>
  </si>
  <si>
    <t xml:space="preserve">814 814 Southeast 12Th Street 12Th St </t>
  </si>
  <si>
    <t>Wendt</t>
  </si>
  <si>
    <t xml:space="preserve">51 County Road 203A </t>
  </si>
  <si>
    <t xml:space="preserve">3772 Central Park Dr </t>
  </si>
  <si>
    <t>Grawn</t>
  </si>
  <si>
    <t xml:space="preserve">13998 165th St </t>
  </si>
  <si>
    <t>Thurston</t>
  </si>
  <si>
    <t xml:space="preserve">PO Box 236 </t>
  </si>
  <si>
    <t>Barzin</t>
  </si>
  <si>
    <t>Philippe</t>
  </si>
  <si>
    <t xml:space="preserve">4228 Madison Dr </t>
  </si>
  <si>
    <t>Broche</t>
  </si>
  <si>
    <t xml:space="preserve">120 Appletree Row </t>
  </si>
  <si>
    <t>Berkeley Heights</t>
  </si>
  <si>
    <t>Hasegawa-Ahrendt</t>
  </si>
  <si>
    <t xml:space="preserve">1405 Syracuse Ln </t>
  </si>
  <si>
    <t xml:space="preserve">7921 Susan Cir </t>
  </si>
  <si>
    <t xml:space="preserve">5168 Downs Run </t>
  </si>
  <si>
    <t>Roseberry</t>
  </si>
  <si>
    <t xml:space="preserve">823 Cathill Rd </t>
  </si>
  <si>
    <t>Sellersville</t>
  </si>
  <si>
    <t>Lister</t>
  </si>
  <si>
    <t>Danyan</t>
  </si>
  <si>
    <t xml:space="preserve">147 Bay St Apt 4 </t>
  </si>
  <si>
    <t>Glens Falls</t>
  </si>
  <si>
    <t xml:space="preserve">4125 Benfield Dr </t>
  </si>
  <si>
    <t>Kuznier</t>
  </si>
  <si>
    <t>Janys</t>
  </si>
  <si>
    <t xml:space="preserve">48 Old Coach Rd </t>
  </si>
  <si>
    <t>Mayes</t>
  </si>
  <si>
    <t xml:space="preserve">18308 W 114th St </t>
  </si>
  <si>
    <t>Positano</t>
  </si>
  <si>
    <t xml:space="preserve">52 Beech Ave </t>
  </si>
  <si>
    <t>Farmingville</t>
  </si>
  <si>
    <t>Millicent</t>
  </si>
  <si>
    <t xml:space="preserve">2632 County Rd 42 </t>
  </si>
  <si>
    <t>Matsumoto</t>
  </si>
  <si>
    <t xml:space="preserve">1720 Broadway </t>
  </si>
  <si>
    <t>Barrera</t>
  </si>
  <si>
    <t xml:space="preserve">4406 Killarmet Dr </t>
  </si>
  <si>
    <t>Comment</t>
  </si>
  <si>
    <t xml:space="preserve">
EPA Docket EPA-HQ-OPP-2009-0361 Please do not re-approve the harmful chemical glyphosate. I urge you to impose serious restrictions on the use of this hazardous weed killer at the very least, before it does even more damage to our health and the health of the planet.
The World Health Organization (WHO) has classified glyphosate as a probable carcinogen, with farmers and farmworkers at particular risk of getting the immune system cancer, non-Hodgkin lymphoma. WHO’s determination is supported by medical scientists, while EPA’s contrary assessment violated the Agency’s guidelines and illegitimately downplayed or dismissed critical evidence of glyphosate’s carcinogenic potential.
Likewise, glyphosate poses an existential threat to monarch butterflies and their epic migration by wiping out their host plant, milkweed, in farm fields. Glyphosate formulations are also extremely toxic to frogs and likely contributing to the worldwide decline of amphibians. 
Glyphosate released from the roots of GMOs can harm beneficial soil bacteria and promote the growth of soil fungi that cause plant disease. Furthermore, glyphosate spraying on Monsanto’s GMO crops has triggered huge populations of glyphosate-resistant “superweeds,” leading to use of even stronger pesticide cocktails sprayed on “next generation” GMOs to eliminate these resistant weeds. This has led to other consequences, as there have been unprecedented levels of drift damage to neighboring crops and wild plants.
I am astounded that your agency issued this proposal without completing assessments of glyphosate’s impacts on endangered species, pollinators, and hormonal systems. I also urge EPA to provide a much fuller assessment of glyphosate formulations that are actually used by farmers and homeowners, which often contain additional ingredients that are themselves toxic or increase the adverse effects of glyphosate.
Our public health, food system, and environment deserve better. I urge you not to re-approve glyphosate. At the very least, enact restrictions to protect human health, the environment, and the interests of farmers. Thank you for your consideration.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</si>
</sst>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973"/>
  <sheetViews>
    <sheetView tabSelected="1" topLeftCell="A2" workbookViewId="0">
      <selection activeCell="S2" sqref="S2"/>
    </sheetView>
  </sheetViews>
  <sheetFormatPr defaultRowHeight="15" x14ac:dyDescent="0.25"/>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34217</v>
      </c>
    </row>
    <row r="2" spans="1:19" x14ac:dyDescent="0.25">
      <c r="A2">
        <v>100608006</v>
      </c>
      <c r="B2" t="s">
        <v>18</v>
      </c>
      <c r="C2" t="s">
        <v>19</v>
      </c>
      <c r="F2" t="str">
        <f>"7075281271"</f>
        <v>7075281271</v>
      </c>
      <c r="G2" t="s">
        <v>20</v>
      </c>
      <c r="H2" t="s">
        <v>21</v>
      </c>
      <c r="I2" t="s">
        <v>22</v>
      </c>
      <c r="J2">
        <v>95404</v>
      </c>
      <c r="K2">
        <v>2917</v>
      </c>
      <c r="L2" t="s">
        <v>23</v>
      </c>
      <c r="M2" t="s">
        <v>20</v>
      </c>
      <c r="N2" t="s">
        <v>21</v>
      </c>
      <c r="O2" t="s">
        <v>22</v>
      </c>
      <c r="P2">
        <v>95404</v>
      </c>
      <c r="Q2">
        <v>2917</v>
      </c>
      <c r="R2" t="s">
        <v>23</v>
      </c>
      <c r="S2" s="1" t="s">
        <v>34218</v>
      </c>
    </row>
    <row r="3" spans="1:19" x14ac:dyDescent="0.25">
      <c r="A3">
        <v>100622805</v>
      </c>
      <c r="B3" t="s">
        <v>24</v>
      </c>
      <c r="C3" t="s">
        <v>25</v>
      </c>
      <c r="F3" t="str">
        <f>"4042913287"</f>
        <v>4042913287</v>
      </c>
      <c r="G3" t="s">
        <v>26</v>
      </c>
      <c r="H3" t="s">
        <v>27</v>
      </c>
      <c r="I3" t="s">
        <v>28</v>
      </c>
      <c r="J3">
        <v>30345</v>
      </c>
      <c r="K3">
        <v>1500</v>
      </c>
      <c r="L3" t="s">
        <v>23</v>
      </c>
      <c r="M3" t="s">
        <v>26</v>
      </c>
      <c r="N3" t="s">
        <v>27</v>
      </c>
      <c r="O3" t="s">
        <v>28</v>
      </c>
      <c r="P3">
        <v>30345</v>
      </c>
      <c r="Q3">
        <v>1500</v>
      </c>
      <c r="R3" t="s">
        <v>23</v>
      </c>
      <c r="S3" s="1" t="s">
        <v>34218</v>
      </c>
    </row>
    <row r="4" spans="1:19" x14ac:dyDescent="0.25">
      <c r="A4">
        <v>100621325</v>
      </c>
      <c r="B4" t="s">
        <v>29</v>
      </c>
      <c r="C4" t="s">
        <v>30</v>
      </c>
      <c r="F4" t="str">
        <f>"6103822740"</f>
        <v>6103822740</v>
      </c>
      <c r="G4" t="s">
        <v>31</v>
      </c>
      <c r="H4" t="s">
        <v>32</v>
      </c>
      <c r="I4" t="s">
        <v>33</v>
      </c>
      <c r="J4">
        <v>19403</v>
      </c>
      <c r="K4">
        <v>5675</v>
      </c>
      <c r="L4" t="s">
        <v>23</v>
      </c>
      <c r="M4" t="s">
        <v>31</v>
      </c>
      <c r="N4" t="s">
        <v>32</v>
      </c>
      <c r="O4" t="s">
        <v>33</v>
      </c>
      <c r="P4">
        <v>19403</v>
      </c>
      <c r="Q4">
        <v>5675</v>
      </c>
      <c r="R4" t="s">
        <v>23</v>
      </c>
      <c r="S4" s="1" t="s">
        <v>34218</v>
      </c>
    </row>
    <row r="5" spans="1:19" x14ac:dyDescent="0.25">
      <c r="A5">
        <v>100820365</v>
      </c>
      <c r="B5" t="s">
        <v>34</v>
      </c>
      <c r="C5" t="s">
        <v>35</v>
      </c>
      <c r="F5" t="str">
        <f>"5126632738"</f>
        <v>5126632738</v>
      </c>
      <c r="G5" t="s">
        <v>36</v>
      </c>
      <c r="H5" t="s">
        <v>37</v>
      </c>
      <c r="I5" t="s">
        <v>38</v>
      </c>
      <c r="J5">
        <v>78746</v>
      </c>
      <c r="K5">
        <v>5075</v>
      </c>
      <c r="L5" t="s">
        <v>23</v>
      </c>
      <c r="M5" t="s">
        <v>36</v>
      </c>
      <c r="N5" t="s">
        <v>37</v>
      </c>
      <c r="O5" t="s">
        <v>38</v>
      </c>
      <c r="P5">
        <v>78746</v>
      </c>
      <c r="Q5">
        <v>5075</v>
      </c>
      <c r="R5" t="s">
        <v>23</v>
      </c>
      <c r="S5" s="1" t="s">
        <v>34218</v>
      </c>
    </row>
    <row r="6" spans="1:19" x14ac:dyDescent="0.25">
      <c r="A6">
        <v>100816358</v>
      </c>
      <c r="B6" t="s">
        <v>39</v>
      </c>
      <c r="C6" t="s">
        <v>40</v>
      </c>
      <c r="F6" t="str">
        <f>"5418082682"</f>
        <v>5418082682</v>
      </c>
      <c r="G6" t="s">
        <v>41</v>
      </c>
      <c r="H6" t="s">
        <v>42</v>
      </c>
      <c r="I6" t="s">
        <v>43</v>
      </c>
      <c r="J6">
        <v>97459</v>
      </c>
      <c r="K6">
        <v>9493</v>
      </c>
      <c r="L6" t="s">
        <v>23</v>
      </c>
      <c r="M6" t="s">
        <v>41</v>
      </c>
      <c r="N6" t="s">
        <v>42</v>
      </c>
      <c r="O6" t="s">
        <v>43</v>
      </c>
      <c r="P6">
        <v>97459</v>
      </c>
      <c r="Q6">
        <v>9493</v>
      </c>
      <c r="R6" t="s">
        <v>23</v>
      </c>
      <c r="S6" s="1" t="s">
        <v>34218</v>
      </c>
    </row>
    <row r="7" spans="1:19" x14ac:dyDescent="0.25">
      <c r="A7">
        <v>100524895</v>
      </c>
      <c r="B7" t="s">
        <v>44</v>
      </c>
      <c r="C7" t="s">
        <v>45</v>
      </c>
      <c r="F7" t="str">
        <f>"5419688035"</f>
        <v>5419688035</v>
      </c>
      <c r="G7" t="s">
        <v>46</v>
      </c>
      <c r="H7" t="s">
        <v>47</v>
      </c>
      <c r="I7" t="s">
        <v>43</v>
      </c>
      <c r="J7">
        <v>97501</v>
      </c>
      <c r="L7" t="s">
        <v>23</v>
      </c>
      <c r="M7" t="s">
        <v>46</v>
      </c>
      <c r="N7" t="s">
        <v>47</v>
      </c>
      <c r="O7" t="s">
        <v>43</v>
      </c>
      <c r="P7">
        <v>97501</v>
      </c>
      <c r="R7" t="s">
        <v>23</v>
      </c>
      <c r="S7" s="1" t="s">
        <v>34218</v>
      </c>
    </row>
    <row r="8" spans="1:19" x14ac:dyDescent="0.25">
      <c r="A8">
        <v>100750007</v>
      </c>
      <c r="B8" t="s">
        <v>48</v>
      </c>
      <c r="C8" t="s">
        <v>49</v>
      </c>
      <c r="F8" t="str">
        <f>"8504546729"</f>
        <v>8504546729</v>
      </c>
      <c r="G8" t="s">
        <v>50</v>
      </c>
      <c r="H8" t="s">
        <v>51</v>
      </c>
      <c r="I8" t="s">
        <v>52</v>
      </c>
      <c r="J8">
        <v>32563</v>
      </c>
      <c r="K8">
        <v>7014</v>
      </c>
      <c r="L8" t="s">
        <v>23</v>
      </c>
      <c r="M8" t="s">
        <v>50</v>
      </c>
      <c r="N8" t="s">
        <v>51</v>
      </c>
      <c r="O8" t="s">
        <v>52</v>
      </c>
      <c r="P8">
        <v>32563</v>
      </c>
      <c r="Q8">
        <v>7014</v>
      </c>
      <c r="R8" t="s">
        <v>23</v>
      </c>
      <c r="S8" s="1" t="s">
        <v>34218</v>
      </c>
    </row>
    <row r="9" spans="1:19" x14ac:dyDescent="0.25">
      <c r="A9">
        <v>100940292</v>
      </c>
      <c r="B9" t="s">
        <v>53</v>
      </c>
      <c r="C9" t="s">
        <v>54</v>
      </c>
      <c r="F9" t="str">
        <f>"2604568425"</f>
        <v>2604568425</v>
      </c>
      <c r="G9" t="s">
        <v>55</v>
      </c>
      <c r="H9" t="s">
        <v>56</v>
      </c>
      <c r="I9" t="s">
        <v>57</v>
      </c>
      <c r="J9">
        <v>46807</v>
      </c>
      <c r="K9">
        <v>2126</v>
      </c>
      <c r="L9" t="s">
        <v>23</v>
      </c>
      <c r="M9" t="s">
        <v>55</v>
      </c>
      <c r="N9" t="s">
        <v>56</v>
      </c>
      <c r="O9" t="s">
        <v>57</v>
      </c>
      <c r="P9">
        <v>46807</v>
      </c>
      <c r="Q9">
        <v>2126</v>
      </c>
      <c r="R9" t="s">
        <v>23</v>
      </c>
      <c r="S9" s="1" t="s">
        <v>34218</v>
      </c>
    </row>
    <row r="10" spans="1:19" x14ac:dyDescent="0.25">
      <c r="A10">
        <v>100724108</v>
      </c>
      <c r="B10" t="s">
        <v>58</v>
      </c>
      <c r="C10" t="s">
        <v>59</v>
      </c>
      <c r="F10" t="str">
        <f>"4052131905"</f>
        <v>4052131905</v>
      </c>
      <c r="G10" t="s">
        <v>60</v>
      </c>
      <c r="H10" t="s">
        <v>61</v>
      </c>
      <c r="I10" t="s">
        <v>62</v>
      </c>
      <c r="J10">
        <v>73122</v>
      </c>
      <c r="K10">
        <v>1020</v>
      </c>
      <c r="L10" t="s">
        <v>23</v>
      </c>
      <c r="M10" t="s">
        <v>60</v>
      </c>
      <c r="N10" t="s">
        <v>61</v>
      </c>
      <c r="O10" t="s">
        <v>62</v>
      </c>
      <c r="P10">
        <v>73122</v>
      </c>
      <c r="Q10">
        <v>1020</v>
      </c>
      <c r="R10" t="s">
        <v>23</v>
      </c>
      <c r="S10" s="1" t="s">
        <v>34218</v>
      </c>
    </row>
    <row r="11" spans="1:19" x14ac:dyDescent="0.25">
      <c r="A11">
        <v>100934102</v>
      </c>
      <c r="B11" t="s">
        <v>63</v>
      </c>
      <c r="C11" t="s">
        <v>64</v>
      </c>
      <c r="F11" t="str">
        <f>"5105275629"</f>
        <v>5105275629</v>
      </c>
      <c r="G11" t="s">
        <v>65</v>
      </c>
      <c r="H11" t="s">
        <v>66</v>
      </c>
      <c r="I11" t="s">
        <v>22</v>
      </c>
      <c r="J11">
        <v>94707</v>
      </c>
      <c r="K11">
        <v>2630</v>
      </c>
      <c r="L11" t="s">
        <v>23</v>
      </c>
      <c r="M11" t="s">
        <v>65</v>
      </c>
      <c r="N11" t="s">
        <v>66</v>
      </c>
      <c r="O11" t="s">
        <v>22</v>
      </c>
      <c r="P11">
        <v>94707</v>
      </c>
      <c r="Q11">
        <v>2630</v>
      </c>
      <c r="R11" t="s">
        <v>23</v>
      </c>
      <c r="S11" s="1" t="s">
        <v>34218</v>
      </c>
    </row>
    <row r="12" spans="1:19" x14ac:dyDescent="0.25">
      <c r="A12">
        <v>100549791</v>
      </c>
      <c r="B12" t="s">
        <v>67</v>
      </c>
      <c r="C12" t="s">
        <v>68</v>
      </c>
      <c r="F12" t="str">
        <f>"3032333276"</f>
        <v>3032333276</v>
      </c>
      <c r="G12" t="s">
        <v>69</v>
      </c>
      <c r="H12" t="s">
        <v>70</v>
      </c>
      <c r="I12" t="s">
        <v>71</v>
      </c>
      <c r="J12">
        <v>80004</v>
      </c>
      <c r="K12">
        <v>2024</v>
      </c>
      <c r="L12" t="s">
        <v>23</v>
      </c>
      <c r="M12" t="s">
        <v>69</v>
      </c>
      <c r="N12" t="s">
        <v>70</v>
      </c>
      <c r="O12" t="s">
        <v>71</v>
      </c>
      <c r="P12">
        <v>80004</v>
      </c>
      <c r="Q12">
        <v>2024</v>
      </c>
      <c r="R12" t="s">
        <v>23</v>
      </c>
      <c r="S12" s="1" t="s">
        <v>34218</v>
      </c>
    </row>
    <row r="13" spans="1:19" x14ac:dyDescent="0.25">
      <c r="A13">
        <v>100567396</v>
      </c>
      <c r="B13" t="s">
        <v>72</v>
      </c>
      <c r="C13" t="s">
        <v>73</v>
      </c>
      <c r="F13" t="str">
        <f>"7076814787"</f>
        <v>7076814787</v>
      </c>
      <c r="G13" t="s">
        <v>74</v>
      </c>
      <c r="H13" t="s">
        <v>75</v>
      </c>
      <c r="I13" t="s">
        <v>22</v>
      </c>
      <c r="J13">
        <v>94558</v>
      </c>
      <c r="K13">
        <v>4037</v>
      </c>
      <c r="L13" t="s">
        <v>23</v>
      </c>
      <c r="M13" t="s">
        <v>74</v>
      </c>
      <c r="N13" t="s">
        <v>75</v>
      </c>
      <c r="O13" t="s">
        <v>22</v>
      </c>
      <c r="P13">
        <v>94558</v>
      </c>
      <c r="Q13">
        <v>4037</v>
      </c>
      <c r="R13" t="s">
        <v>23</v>
      </c>
      <c r="S13" s="1" t="s">
        <v>34218</v>
      </c>
    </row>
    <row r="14" spans="1:19" x14ac:dyDescent="0.25">
      <c r="A14">
        <v>100788073</v>
      </c>
      <c r="B14" t="s">
        <v>76</v>
      </c>
      <c r="C14" t="s">
        <v>77</v>
      </c>
      <c r="F14" t="str">
        <f>"3102731280"</f>
        <v>3102731280</v>
      </c>
      <c r="G14" t="s">
        <v>78</v>
      </c>
      <c r="H14" t="s">
        <v>79</v>
      </c>
      <c r="I14" t="s">
        <v>22</v>
      </c>
      <c r="J14">
        <v>90212</v>
      </c>
      <c r="K14">
        <v>3505</v>
      </c>
      <c r="L14" t="s">
        <v>23</v>
      </c>
      <c r="M14" t="s">
        <v>78</v>
      </c>
      <c r="N14" t="s">
        <v>79</v>
      </c>
      <c r="O14" t="s">
        <v>22</v>
      </c>
      <c r="P14">
        <v>90212</v>
      </c>
      <c r="Q14">
        <v>3505</v>
      </c>
      <c r="R14" t="s">
        <v>23</v>
      </c>
      <c r="S14" s="1" t="s">
        <v>34218</v>
      </c>
    </row>
    <row r="15" spans="1:19" x14ac:dyDescent="0.25">
      <c r="A15">
        <v>100585466</v>
      </c>
      <c r="B15" t="s">
        <v>80</v>
      </c>
      <c r="C15" t="s">
        <v>81</v>
      </c>
      <c r="F15" t="str">
        <f>"3605881046"</f>
        <v>3605881046</v>
      </c>
      <c r="G15" t="s">
        <v>82</v>
      </c>
      <c r="H15" t="s">
        <v>83</v>
      </c>
      <c r="I15" t="s">
        <v>84</v>
      </c>
      <c r="J15">
        <v>98221</v>
      </c>
      <c r="K15">
        <v>3054</v>
      </c>
      <c r="L15" t="s">
        <v>23</v>
      </c>
      <c r="M15" t="s">
        <v>82</v>
      </c>
      <c r="N15" t="s">
        <v>83</v>
      </c>
      <c r="O15" t="s">
        <v>84</v>
      </c>
      <c r="P15">
        <v>98221</v>
      </c>
      <c r="Q15">
        <v>3054</v>
      </c>
      <c r="R15" t="s">
        <v>23</v>
      </c>
      <c r="S15" s="1" t="s">
        <v>34218</v>
      </c>
    </row>
    <row r="16" spans="1:19" x14ac:dyDescent="0.25">
      <c r="A16">
        <v>100602455</v>
      </c>
      <c r="B16" t="s">
        <v>85</v>
      </c>
      <c r="C16" t="s">
        <v>86</v>
      </c>
      <c r="F16" t="str">
        <f>"8885291981"</f>
        <v>8885291981</v>
      </c>
      <c r="G16" t="s">
        <v>87</v>
      </c>
      <c r="H16" t="s">
        <v>88</v>
      </c>
      <c r="I16" t="s">
        <v>22</v>
      </c>
      <c r="J16">
        <v>94610</v>
      </c>
      <c r="K16">
        <v>5007</v>
      </c>
      <c r="L16" t="s">
        <v>23</v>
      </c>
      <c r="M16" t="s">
        <v>87</v>
      </c>
      <c r="N16" t="s">
        <v>88</v>
      </c>
      <c r="O16" t="s">
        <v>22</v>
      </c>
      <c r="P16">
        <v>94610</v>
      </c>
      <c r="Q16">
        <v>5007</v>
      </c>
      <c r="R16" t="s">
        <v>23</v>
      </c>
      <c r="S16" s="1" t="s">
        <v>34218</v>
      </c>
    </row>
    <row r="17" spans="1:19" x14ac:dyDescent="0.25">
      <c r="A17">
        <v>100598312</v>
      </c>
      <c r="B17" t="s">
        <v>89</v>
      </c>
      <c r="C17" t="s">
        <v>90</v>
      </c>
      <c r="F17" t="str">
        <f>"4256413941"</f>
        <v>4256413941</v>
      </c>
      <c r="G17" t="s">
        <v>91</v>
      </c>
      <c r="H17" t="s">
        <v>92</v>
      </c>
      <c r="I17" t="s">
        <v>84</v>
      </c>
      <c r="J17">
        <v>98008</v>
      </c>
      <c r="K17">
        <v>5516</v>
      </c>
      <c r="L17" t="s">
        <v>23</v>
      </c>
      <c r="M17" t="s">
        <v>91</v>
      </c>
      <c r="N17" t="s">
        <v>92</v>
      </c>
      <c r="O17" t="s">
        <v>84</v>
      </c>
      <c r="P17">
        <v>98008</v>
      </c>
      <c r="Q17">
        <v>5516</v>
      </c>
      <c r="R17" t="s">
        <v>23</v>
      </c>
      <c r="S17" s="1" t="s">
        <v>34218</v>
      </c>
    </row>
    <row r="18" spans="1:19" x14ac:dyDescent="0.25">
      <c r="A18">
        <v>100785201</v>
      </c>
      <c r="B18" t="s">
        <v>93</v>
      </c>
      <c r="C18" t="s">
        <v>94</v>
      </c>
      <c r="F18" t="str">
        <f>"8054341242"</f>
        <v>8054341242</v>
      </c>
      <c r="G18" t="s">
        <v>95</v>
      </c>
      <c r="H18" t="s">
        <v>96</v>
      </c>
      <c r="I18" t="s">
        <v>22</v>
      </c>
      <c r="J18">
        <v>93465</v>
      </c>
      <c r="K18">
        <v>4512</v>
      </c>
      <c r="L18" t="s">
        <v>23</v>
      </c>
      <c r="M18" t="s">
        <v>95</v>
      </c>
      <c r="N18" t="s">
        <v>96</v>
      </c>
      <c r="O18" t="s">
        <v>22</v>
      </c>
      <c r="P18">
        <v>93465</v>
      </c>
      <c r="Q18">
        <v>4512</v>
      </c>
      <c r="R18" t="s">
        <v>23</v>
      </c>
      <c r="S18" s="1" t="s">
        <v>34218</v>
      </c>
    </row>
    <row r="19" spans="1:19" x14ac:dyDescent="0.25">
      <c r="A19">
        <v>100797733</v>
      </c>
      <c r="B19" t="s">
        <v>97</v>
      </c>
      <c r="C19" t="s">
        <v>68</v>
      </c>
      <c r="F19" t="str">
        <f>"6087529248"</f>
        <v>6087529248</v>
      </c>
      <c r="G19" t="s">
        <v>98</v>
      </c>
      <c r="H19" t="s">
        <v>99</v>
      </c>
      <c r="I19" t="s">
        <v>100</v>
      </c>
      <c r="J19">
        <v>53545</v>
      </c>
      <c r="K19">
        <v>4003</v>
      </c>
      <c r="L19" t="s">
        <v>23</v>
      </c>
      <c r="M19" t="s">
        <v>98</v>
      </c>
      <c r="N19" t="s">
        <v>99</v>
      </c>
      <c r="O19" t="s">
        <v>100</v>
      </c>
      <c r="P19">
        <v>53545</v>
      </c>
      <c r="Q19">
        <v>4003</v>
      </c>
      <c r="R19" t="s">
        <v>23</v>
      </c>
      <c r="S19" s="1" t="s">
        <v>34218</v>
      </c>
    </row>
    <row r="20" spans="1:19" x14ac:dyDescent="0.25">
      <c r="A20">
        <v>100658346</v>
      </c>
      <c r="B20" t="s">
        <v>101</v>
      </c>
      <c r="C20" t="s">
        <v>102</v>
      </c>
      <c r="F20" t="str">
        <f>"8584861368"</f>
        <v>8584861368</v>
      </c>
      <c r="G20" t="s">
        <v>103</v>
      </c>
      <c r="H20" t="s">
        <v>104</v>
      </c>
      <c r="I20" t="s">
        <v>22</v>
      </c>
      <c r="J20">
        <v>92064</v>
      </c>
      <c r="K20">
        <v>3714</v>
      </c>
      <c r="L20" t="s">
        <v>23</v>
      </c>
      <c r="M20" t="s">
        <v>103</v>
      </c>
      <c r="N20" t="s">
        <v>104</v>
      </c>
      <c r="O20" t="s">
        <v>22</v>
      </c>
      <c r="P20">
        <v>92064</v>
      </c>
      <c r="Q20">
        <v>3714</v>
      </c>
      <c r="R20" t="s">
        <v>23</v>
      </c>
      <c r="S20" s="1" t="s">
        <v>34218</v>
      </c>
    </row>
    <row r="21" spans="1:19" x14ac:dyDescent="0.25">
      <c r="A21">
        <v>101042878</v>
      </c>
      <c r="B21" t="s">
        <v>105</v>
      </c>
      <c r="C21" t="s">
        <v>106</v>
      </c>
      <c r="F21" t="str">
        <f>"8056200418"</f>
        <v>8056200418</v>
      </c>
      <c r="G21" t="s">
        <v>107</v>
      </c>
      <c r="H21" t="s">
        <v>108</v>
      </c>
      <c r="I21" t="s">
        <v>22</v>
      </c>
      <c r="J21">
        <v>93003</v>
      </c>
      <c r="K21">
        <v>5267</v>
      </c>
      <c r="L21" t="s">
        <v>23</v>
      </c>
      <c r="M21" t="s">
        <v>107</v>
      </c>
      <c r="N21" t="s">
        <v>108</v>
      </c>
      <c r="O21" t="s">
        <v>22</v>
      </c>
      <c r="P21">
        <v>93003</v>
      </c>
      <c r="Q21">
        <v>5267</v>
      </c>
      <c r="R21" t="s">
        <v>23</v>
      </c>
      <c r="S21" s="1" t="s">
        <v>34218</v>
      </c>
    </row>
    <row r="22" spans="1:19" x14ac:dyDescent="0.25">
      <c r="A22">
        <v>100635387</v>
      </c>
      <c r="B22" t="s">
        <v>109</v>
      </c>
      <c r="C22" t="s">
        <v>110</v>
      </c>
      <c r="F22" t="str">
        <f>"8059688015"</f>
        <v>8059688015</v>
      </c>
      <c r="G22" t="s">
        <v>111</v>
      </c>
      <c r="H22" t="s">
        <v>112</v>
      </c>
      <c r="I22" t="s">
        <v>22</v>
      </c>
      <c r="J22">
        <v>93117</v>
      </c>
      <c r="K22">
        <v>2435</v>
      </c>
      <c r="L22" t="s">
        <v>23</v>
      </c>
      <c r="M22" t="s">
        <v>111</v>
      </c>
      <c r="N22" t="s">
        <v>112</v>
      </c>
      <c r="O22" t="s">
        <v>22</v>
      </c>
      <c r="P22">
        <v>93117</v>
      </c>
      <c r="Q22">
        <v>2435</v>
      </c>
      <c r="R22" t="s">
        <v>23</v>
      </c>
      <c r="S22" s="1" t="s">
        <v>34218</v>
      </c>
    </row>
    <row r="23" spans="1:19" x14ac:dyDescent="0.25">
      <c r="A23">
        <v>100850599</v>
      </c>
      <c r="B23" t="s">
        <v>113</v>
      </c>
      <c r="C23" t="s">
        <v>114</v>
      </c>
      <c r="F23" t="str">
        <f>"6476073474"</f>
        <v>6476073474</v>
      </c>
      <c r="G23" t="s">
        <v>115</v>
      </c>
      <c r="H23" t="s">
        <v>116</v>
      </c>
      <c r="I23" t="s">
        <v>117</v>
      </c>
      <c r="J23">
        <v>11432</v>
      </c>
      <c r="K23">
        <v>3317</v>
      </c>
      <c r="L23" t="s">
        <v>23</v>
      </c>
      <c r="M23" t="s">
        <v>115</v>
      </c>
      <c r="N23" t="s">
        <v>116</v>
      </c>
      <c r="O23" t="s">
        <v>117</v>
      </c>
      <c r="P23">
        <v>11432</v>
      </c>
      <c r="Q23">
        <v>3317</v>
      </c>
      <c r="R23" t="s">
        <v>23</v>
      </c>
      <c r="S23" s="1" t="s">
        <v>34218</v>
      </c>
    </row>
    <row r="24" spans="1:19" x14ac:dyDescent="0.25">
      <c r="A24">
        <v>100851689</v>
      </c>
      <c r="B24" t="s">
        <v>118</v>
      </c>
      <c r="C24" t="s">
        <v>119</v>
      </c>
      <c r="F24" t="str">
        <f>"5303428005"</f>
        <v>5303428005</v>
      </c>
      <c r="G24" t="s">
        <v>120</v>
      </c>
      <c r="H24" t="s">
        <v>121</v>
      </c>
      <c r="I24" t="s">
        <v>22</v>
      </c>
      <c r="J24">
        <v>95926</v>
      </c>
      <c r="K24">
        <v>9658</v>
      </c>
      <c r="L24" t="s">
        <v>23</v>
      </c>
      <c r="M24" t="s">
        <v>120</v>
      </c>
      <c r="N24" t="s">
        <v>121</v>
      </c>
      <c r="O24" t="s">
        <v>22</v>
      </c>
      <c r="P24">
        <v>95926</v>
      </c>
      <c r="Q24">
        <v>9658</v>
      </c>
      <c r="R24" t="s">
        <v>23</v>
      </c>
      <c r="S24" s="1" t="s">
        <v>34218</v>
      </c>
    </row>
    <row r="25" spans="1:19" x14ac:dyDescent="0.25">
      <c r="A25">
        <v>101082298</v>
      </c>
      <c r="B25" t="s">
        <v>122</v>
      </c>
      <c r="C25" t="s">
        <v>123</v>
      </c>
      <c r="F25" t="str">
        <f>"3143521103"</f>
        <v>3143521103</v>
      </c>
      <c r="G25" t="s">
        <v>124</v>
      </c>
      <c r="H25" t="s">
        <v>125</v>
      </c>
      <c r="I25" t="s">
        <v>126</v>
      </c>
      <c r="J25">
        <v>63116</v>
      </c>
      <c r="K25">
        <v>3006</v>
      </c>
      <c r="L25" t="s">
        <v>23</v>
      </c>
      <c r="M25" t="s">
        <v>124</v>
      </c>
      <c r="N25" t="s">
        <v>125</v>
      </c>
      <c r="O25" t="s">
        <v>126</v>
      </c>
      <c r="P25">
        <v>63116</v>
      </c>
      <c r="Q25">
        <v>3006</v>
      </c>
      <c r="R25" t="s">
        <v>23</v>
      </c>
      <c r="S25" s="1" t="s">
        <v>34218</v>
      </c>
    </row>
    <row r="26" spans="1:19" x14ac:dyDescent="0.25">
      <c r="A26">
        <v>100695471</v>
      </c>
      <c r="B26" t="s">
        <v>127</v>
      </c>
      <c r="C26" t="s">
        <v>128</v>
      </c>
      <c r="F26" t="str">
        <f>"4156651234"</f>
        <v>4156651234</v>
      </c>
      <c r="G26" t="s">
        <v>129</v>
      </c>
      <c r="H26" t="s">
        <v>130</v>
      </c>
      <c r="I26" t="s">
        <v>22</v>
      </c>
      <c r="J26">
        <v>94122</v>
      </c>
      <c r="K26">
        <v>1334</v>
      </c>
      <c r="L26" t="s">
        <v>23</v>
      </c>
      <c r="M26" t="s">
        <v>129</v>
      </c>
      <c r="N26" t="s">
        <v>130</v>
      </c>
      <c r="O26" t="s">
        <v>22</v>
      </c>
      <c r="P26">
        <v>94122</v>
      </c>
      <c r="Q26">
        <v>1334</v>
      </c>
      <c r="R26" t="s">
        <v>23</v>
      </c>
      <c r="S26" s="1" t="s">
        <v>34218</v>
      </c>
    </row>
    <row r="27" spans="1:19" x14ac:dyDescent="0.25">
      <c r="A27">
        <v>101268401</v>
      </c>
      <c r="B27" t="s">
        <v>131</v>
      </c>
      <c r="C27" t="s">
        <v>132</v>
      </c>
      <c r="F27" t="str">
        <f>"7732379873"</f>
        <v>7732379873</v>
      </c>
      <c r="G27" t="s">
        <v>133</v>
      </c>
      <c r="H27" t="s">
        <v>134</v>
      </c>
      <c r="I27" t="s">
        <v>135</v>
      </c>
      <c r="J27">
        <v>60634</v>
      </c>
      <c r="K27">
        <v>4031</v>
      </c>
      <c r="L27" t="s">
        <v>23</v>
      </c>
      <c r="M27" t="s">
        <v>133</v>
      </c>
      <c r="N27" t="s">
        <v>134</v>
      </c>
      <c r="O27" t="s">
        <v>135</v>
      </c>
      <c r="P27">
        <v>60634</v>
      </c>
      <c r="Q27">
        <v>4031</v>
      </c>
      <c r="R27" t="s">
        <v>23</v>
      </c>
      <c r="S27" s="1" t="s">
        <v>34218</v>
      </c>
    </row>
    <row r="28" spans="1:19" x14ac:dyDescent="0.25">
      <c r="A28">
        <v>101269083</v>
      </c>
      <c r="B28" t="s">
        <v>136</v>
      </c>
      <c r="C28" t="s">
        <v>137</v>
      </c>
      <c r="F28" t="str">
        <f>"7343517014"</f>
        <v>7343517014</v>
      </c>
      <c r="G28" t="s">
        <v>138</v>
      </c>
      <c r="H28" t="s">
        <v>139</v>
      </c>
      <c r="I28" t="s">
        <v>140</v>
      </c>
      <c r="J28">
        <v>48188</v>
      </c>
      <c r="K28">
        <v>4007</v>
      </c>
      <c r="L28" t="s">
        <v>23</v>
      </c>
      <c r="M28" t="s">
        <v>138</v>
      </c>
      <c r="N28" t="s">
        <v>139</v>
      </c>
      <c r="O28" t="s">
        <v>140</v>
      </c>
      <c r="P28">
        <v>48188</v>
      </c>
      <c r="Q28">
        <v>4007</v>
      </c>
      <c r="R28" t="s">
        <v>23</v>
      </c>
      <c r="S28" s="1" t="s">
        <v>34218</v>
      </c>
    </row>
    <row r="29" spans="1:19" x14ac:dyDescent="0.25">
      <c r="A29">
        <v>101285462</v>
      </c>
      <c r="B29" t="s">
        <v>141</v>
      </c>
      <c r="C29" t="s">
        <v>30</v>
      </c>
      <c r="F29" t="str">
        <f>"9043370886"</f>
        <v>9043370886</v>
      </c>
      <c r="G29" t="s">
        <v>142</v>
      </c>
      <c r="H29" t="s">
        <v>143</v>
      </c>
      <c r="I29" t="s">
        <v>52</v>
      </c>
      <c r="J29">
        <v>32225</v>
      </c>
      <c r="K29">
        <v>2692</v>
      </c>
      <c r="L29" t="s">
        <v>23</v>
      </c>
      <c r="M29" t="s">
        <v>142</v>
      </c>
      <c r="N29" t="s">
        <v>143</v>
      </c>
      <c r="O29" t="s">
        <v>52</v>
      </c>
      <c r="P29">
        <v>32225</v>
      </c>
      <c r="Q29">
        <v>2692</v>
      </c>
      <c r="R29" t="s">
        <v>23</v>
      </c>
      <c r="S29" s="1" t="s">
        <v>34218</v>
      </c>
    </row>
    <row r="30" spans="1:19" x14ac:dyDescent="0.25">
      <c r="A30">
        <v>100624757</v>
      </c>
      <c r="B30" t="s">
        <v>144</v>
      </c>
      <c r="C30" t="s">
        <v>145</v>
      </c>
      <c r="F30" t="str">
        <f>"4108419380"</f>
        <v>4108419380</v>
      </c>
      <c r="G30" t="s">
        <v>146</v>
      </c>
      <c r="H30" t="s">
        <v>147</v>
      </c>
      <c r="I30" t="s">
        <v>148</v>
      </c>
      <c r="J30">
        <v>21122</v>
      </c>
      <c r="K30">
        <v>5442</v>
      </c>
      <c r="L30" t="s">
        <v>23</v>
      </c>
      <c r="M30" t="s">
        <v>146</v>
      </c>
      <c r="N30" t="s">
        <v>147</v>
      </c>
      <c r="O30" t="s">
        <v>148</v>
      </c>
      <c r="P30">
        <v>21122</v>
      </c>
      <c r="Q30">
        <v>5442</v>
      </c>
      <c r="R30" t="s">
        <v>23</v>
      </c>
      <c r="S30" s="1" t="s">
        <v>34218</v>
      </c>
    </row>
    <row r="31" spans="1:19" x14ac:dyDescent="0.25">
      <c r="A31">
        <v>100540127</v>
      </c>
      <c r="B31" t="s">
        <v>149</v>
      </c>
      <c r="C31" t="s">
        <v>150</v>
      </c>
      <c r="F31" t="str">
        <f>"5048331853"</f>
        <v>5048331853</v>
      </c>
      <c r="G31" t="s">
        <v>151</v>
      </c>
      <c r="H31" t="s">
        <v>152</v>
      </c>
      <c r="I31" t="s">
        <v>153</v>
      </c>
      <c r="J31">
        <v>70005</v>
      </c>
      <c r="K31">
        <v>2111</v>
      </c>
      <c r="L31" t="s">
        <v>23</v>
      </c>
      <c r="M31" t="s">
        <v>151</v>
      </c>
      <c r="N31" t="s">
        <v>152</v>
      </c>
      <c r="O31" t="s">
        <v>153</v>
      </c>
      <c r="P31">
        <v>70005</v>
      </c>
      <c r="Q31">
        <v>2111</v>
      </c>
      <c r="R31" t="s">
        <v>23</v>
      </c>
      <c r="S31" s="1" t="s">
        <v>34218</v>
      </c>
    </row>
    <row r="32" spans="1:19" x14ac:dyDescent="0.25">
      <c r="A32">
        <v>100540713</v>
      </c>
      <c r="B32" t="s">
        <v>154</v>
      </c>
      <c r="C32" t="s">
        <v>155</v>
      </c>
      <c r="F32" t="str">
        <f>"6263981875"</f>
        <v>6263981875</v>
      </c>
      <c r="G32" t="s">
        <v>156</v>
      </c>
      <c r="H32" t="s">
        <v>147</v>
      </c>
      <c r="I32" t="s">
        <v>22</v>
      </c>
      <c r="J32">
        <v>91107</v>
      </c>
      <c r="K32">
        <v>1440</v>
      </c>
      <c r="L32" t="s">
        <v>23</v>
      </c>
      <c r="M32" t="s">
        <v>156</v>
      </c>
      <c r="N32" t="s">
        <v>147</v>
      </c>
      <c r="O32" t="s">
        <v>22</v>
      </c>
      <c r="P32">
        <v>91107</v>
      </c>
      <c r="Q32">
        <v>1440</v>
      </c>
      <c r="R32" t="s">
        <v>23</v>
      </c>
      <c r="S32" s="1" t="s">
        <v>34218</v>
      </c>
    </row>
    <row r="33" spans="1:19" x14ac:dyDescent="0.25">
      <c r="A33">
        <v>100737027</v>
      </c>
      <c r="B33" t="s">
        <v>157</v>
      </c>
      <c r="C33" t="s">
        <v>158</v>
      </c>
      <c r="F33" t="str">
        <f>"2035982318"</f>
        <v>2035982318</v>
      </c>
      <c r="G33" t="s">
        <v>159</v>
      </c>
      <c r="H33" t="s">
        <v>160</v>
      </c>
      <c r="I33" t="s">
        <v>161</v>
      </c>
      <c r="J33">
        <v>6708</v>
      </c>
      <c r="K33">
        <v>2308</v>
      </c>
      <c r="L33" t="s">
        <v>23</v>
      </c>
      <c r="M33" t="s">
        <v>159</v>
      </c>
      <c r="N33" t="s">
        <v>160</v>
      </c>
      <c r="O33" t="s">
        <v>161</v>
      </c>
      <c r="P33">
        <v>6708</v>
      </c>
      <c r="Q33">
        <v>2308</v>
      </c>
      <c r="R33" t="s">
        <v>23</v>
      </c>
      <c r="S33" s="1" t="s">
        <v>34218</v>
      </c>
    </row>
    <row r="34" spans="1:19" x14ac:dyDescent="0.25">
      <c r="A34">
        <v>100941195</v>
      </c>
      <c r="B34" t="s">
        <v>162</v>
      </c>
      <c r="C34" t="s">
        <v>163</v>
      </c>
      <c r="F34" t="str">
        <f>"3016541458"</f>
        <v>3016541458</v>
      </c>
      <c r="G34" t="s">
        <v>164</v>
      </c>
      <c r="H34" t="s">
        <v>165</v>
      </c>
      <c r="I34" t="s">
        <v>148</v>
      </c>
      <c r="J34">
        <v>20815</v>
      </c>
      <c r="K34">
        <v>6233</v>
      </c>
      <c r="L34" t="s">
        <v>23</v>
      </c>
      <c r="M34" t="s">
        <v>164</v>
      </c>
      <c r="N34" t="s">
        <v>165</v>
      </c>
      <c r="O34" t="s">
        <v>148</v>
      </c>
      <c r="P34">
        <v>20815</v>
      </c>
      <c r="Q34">
        <v>6233</v>
      </c>
      <c r="R34" t="s">
        <v>23</v>
      </c>
      <c r="S34" s="1" t="s">
        <v>34218</v>
      </c>
    </row>
    <row r="35" spans="1:19" x14ac:dyDescent="0.25">
      <c r="A35">
        <v>100766556</v>
      </c>
      <c r="B35" t="s">
        <v>166</v>
      </c>
      <c r="C35" t="s">
        <v>167</v>
      </c>
      <c r="F35" t="str">
        <f>"2023629704"</f>
        <v>2023629704</v>
      </c>
      <c r="G35" t="s">
        <v>168</v>
      </c>
      <c r="H35" t="s">
        <v>169</v>
      </c>
      <c r="I35" t="s">
        <v>170</v>
      </c>
      <c r="J35">
        <v>20015</v>
      </c>
      <c r="K35">
        <v>1627</v>
      </c>
      <c r="L35" t="s">
        <v>23</v>
      </c>
      <c r="M35" t="s">
        <v>168</v>
      </c>
      <c r="N35" t="s">
        <v>169</v>
      </c>
      <c r="O35" t="s">
        <v>170</v>
      </c>
      <c r="P35">
        <v>20015</v>
      </c>
      <c r="Q35">
        <v>1627</v>
      </c>
      <c r="R35" t="s">
        <v>23</v>
      </c>
      <c r="S35" s="1" t="s">
        <v>34218</v>
      </c>
    </row>
    <row r="36" spans="1:19" x14ac:dyDescent="0.25">
      <c r="A36">
        <v>100872468</v>
      </c>
      <c r="B36" t="s">
        <v>171</v>
      </c>
      <c r="C36" t="s">
        <v>172</v>
      </c>
      <c r="F36" t="str">
        <f>"8059658619"</f>
        <v>8059658619</v>
      </c>
      <c r="G36" t="s">
        <v>173</v>
      </c>
      <c r="H36" t="s">
        <v>174</v>
      </c>
      <c r="I36" t="s">
        <v>22</v>
      </c>
      <c r="J36">
        <v>93103</v>
      </c>
      <c r="K36">
        <v>2127</v>
      </c>
      <c r="L36" t="s">
        <v>23</v>
      </c>
      <c r="M36" t="s">
        <v>173</v>
      </c>
      <c r="N36" t="s">
        <v>174</v>
      </c>
      <c r="O36" t="s">
        <v>22</v>
      </c>
      <c r="P36">
        <v>93103</v>
      </c>
      <c r="Q36">
        <v>2127</v>
      </c>
      <c r="R36" t="s">
        <v>23</v>
      </c>
      <c r="S36" s="1" t="s">
        <v>34218</v>
      </c>
    </row>
    <row r="37" spans="1:19" x14ac:dyDescent="0.25">
      <c r="A37">
        <v>100882811</v>
      </c>
      <c r="B37" t="s">
        <v>175</v>
      </c>
      <c r="C37" t="s">
        <v>123</v>
      </c>
      <c r="F37" t="str">
        <f>"4192892543"</f>
        <v>4192892543</v>
      </c>
      <c r="G37" t="s">
        <v>176</v>
      </c>
      <c r="H37" t="s">
        <v>177</v>
      </c>
      <c r="I37" t="s">
        <v>178</v>
      </c>
      <c r="J37">
        <v>44805</v>
      </c>
      <c r="K37">
        <v>2124</v>
      </c>
      <c r="L37" t="s">
        <v>23</v>
      </c>
      <c r="M37" t="s">
        <v>176</v>
      </c>
      <c r="N37" t="s">
        <v>177</v>
      </c>
      <c r="O37" t="s">
        <v>178</v>
      </c>
      <c r="P37">
        <v>44805</v>
      </c>
      <c r="Q37">
        <v>2124</v>
      </c>
      <c r="R37" t="s">
        <v>23</v>
      </c>
      <c r="S37" s="1" t="s">
        <v>34218</v>
      </c>
    </row>
    <row r="38" spans="1:19" x14ac:dyDescent="0.25">
      <c r="A38">
        <v>100577863</v>
      </c>
      <c r="B38" t="s">
        <v>179</v>
      </c>
      <c r="C38" t="s">
        <v>180</v>
      </c>
      <c r="F38" t="str">
        <f>"8052340239"</f>
        <v>8052340239</v>
      </c>
      <c r="G38" t="s">
        <v>181</v>
      </c>
      <c r="H38" t="s">
        <v>182</v>
      </c>
      <c r="I38" t="s">
        <v>22</v>
      </c>
      <c r="J38">
        <v>93432</v>
      </c>
      <c r="K38">
        <v>9748</v>
      </c>
      <c r="L38" t="s">
        <v>23</v>
      </c>
      <c r="M38" t="s">
        <v>181</v>
      </c>
      <c r="N38" t="s">
        <v>182</v>
      </c>
      <c r="O38" t="s">
        <v>22</v>
      </c>
      <c r="P38">
        <v>93432</v>
      </c>
      <c r="Q38">
        <v>9748</v>
      </c>
      <c r="R38" t="s">
        <v>23</v>
      </c>
      <c r="S38" s="1" t="s">
        <v>34218</v>
      </c>
    </row>
    <row r="39" spans="1:19" x14ac:dyDescent="0.25">
      <c r="A39">
        <v>100586877</v>
      </c>
      <c r="B39" t="s">
        <v>183</v>
      </c>
      <c r="C39" t="s">
        <v>184</v>
      </c>
      <c r="F39" t="str">
        <f>"9524746992"</f>
        <v>9524746992</v>
      </c>
      <c r="G39" t="s">
        <v>185</v>
      </c>
      <c r="H39" t="s">
        <v>186</v>
      </c>
      <c r="I39" t="s">
        <v>187</v>
      </c>
      <c r="J39">
        <v>55345</v>
      </c>
      <c r="K39">
        <v>2408</v>
      </c>
      <c r="L39" t="s">
        <v>23</v>
      </c>
      <c r="M39" t="s">
        <v>185</v>
      </c>
      <c r="N39" t="s">
        <v>186</v>
      </c>
      <c r="O39" t="s">
        <v>187</v>
      </c>
      <c r="P39">
        <v>55345</v>
      </c>
      <c r="Q39">
        <v>2408</v>
      </c>
      <c r="R39" t="s">
        <v>23</v>
      </c>
      <c r="S39" s="1" t="s">
        <v>34218</v>
      </c>
    </row>
    <row r="40" spans="1:19" x14ac:dyDescent="0.25">
      <c r="A40">
        <v>100598318</v>
      </c>
      <c r="B40" t="s">
        <v>188</v>
      </c>
      <c r="C40" t="s">
        <v>172</v>
      </c>
      <c r="F40" t="str">
        <f>"2073892575"</f>
        <v>2073892575</v>
      </c>
      <c r="G40" t="s">
        <v>189</v>
      </c>
      <c r="H40" t="s">
        <v>190</v>
      </c>
      <c r="I40" t="s">
        <v>191</v>
      </c>
      <c r="J40">
        <v>4562</v>
      </c>
      <c r="K40">
        <v>4585</v>
      </c>
      <c r="L40" t="s">
        <v>23</v>
      </c>
      <c r="M40" t="s">
        <v>189</v>
      </c>
      <c r="N40" t="s">
        <v>190</v>
      </c>
      <c r="O40" t="s">
        <v>191</v>
      </c>
      <c r="P40">
        <v>4562</v>
      </c>
      <c r="Q40">
        <v>4585</v>
      </c>
      <c r="R40" t="s">
        <v>23</v>
      </c>
      <c r="S40" s="1" t="s">
        <v>34218</v>
      </c>
    </row>
    <row r="41" spans="1:19" x14ac:dyDescent="0.25">
      <c r="A41">
        <v>100806571</v>
      </c>
      <c r="B41" t="s">
        <v>192</v>
      </c>
      <c r="C41" t="s">
        <v>193</v>
      </c>
      <c r="F41" t="str">
        <f>"8314791874"</f>
        <v>8314791874</v>
      </c>
      <c r="G41" t="s">
        <v>194</v>
      </c>
      <c r="H41" t="s">
        <v>195</v>
      </c>
      <c r="I41" t="s">
        <v>22</v>
      </c>
      <c r="J41">
        <v>95073</v>
      </c>
      <c r="K41">
        <v>2815</v>
      </c>
      <c r="L41" t="s">
        <v>23</v>
      </c>
      <c r="M41" t="s">
        <v>194</v>
      </c>
      <c r="N41" t="s">
        <v>195</v>
      </c>
      <c r="O41" t="s">
        <v>22</v>
      </c>
      <c r="P41">
        <v>95073</v>
      </c>
      <c r="Q41">
        <v>2815</v>
      </c>
      <c r="R41" t="s">
        <v>23</v>
      </c>
      <c r="S41" s="1" t="s">
        <v>34218</v>
      </c>
    </row>
    <row r="42" spans="1:19" x14ac:dyDescent="0.25">
      <c r="A42">
        <v>101025798</v>
      </c>
      <c r="B42" t="s">
        <v>196</v>
      </c>
      <c r="C42" t="s">
        <v>119</v>
      </c>
      <c r="F42" t="str">
        <f>"8582743866"</f>
        <v>8582743866</v>
      </c>
      <c r="G42" t="s">
        <v>197</v>
      </c>
      <c r="H42" t="s">
        <v>198</v>
      </c>
      <c r="I42" t="s">
        <v>22</v>
      </c>
      <c r="J42">
        <v>92109</v>
      </c>
      <c r="K42">
        <v>2802</v>
      </c>
      <c r="L42" t="s">
        <v>23</v>
      </c>
      <c r="M42" t="s">
        <v>197</v>
      </c>
      <c r="N42" t="s">
        <v>198</v>
      </c>
      <c r="O42" t="s">
        <v>22</v>
      </c>
      <c r="P42">
        <v>92109</v>
      </c>
      <c r="Q42">
        <v>2802</v>
      </c>
      <c r="R42" t="s">
        <v>23</v>
      </c>
      <c r="S42" s="1" t="s">
        <v>34218</v>
      </c>
    </row>
    <row r="43" spans="1:19" x14ac:dyDescent="0.25">
      <c r="A43">
        <v>101031387</v>
      </c>
      <c r="B43" t="s">
        <v>199</v>
      </c>
      <c r="C43" t="s">
        <v>200</v>
      </c>
      <c r="F43" t="str">
        <f>"3076847765"</f>
        <v>3076847765</v>
      </c>
      <c r="G43" t="s">
        <v>201</v>
      </c>
      <c r="H43" t="s">
        <v>202</v>
      </c>
      <c r="I43" t="s">
        <v>203</v>
      </c>
      <c r="J43">
        <v>82834</v>
      </c>
      <c r="K43">
        <v>9411</v>
      </c>
      <c r="L43" t="s">
        <v>23</v>
      </c>
      <c r="M43" t="s">
        <v>201</v>
      </c>
      <c r="N43" t="s">
        <v>202</v>
      </c>
      <c r="O43" t="s">
        <v>203</v>
      </c>
      <c r="P43">
        <v>82834</v>
      </c>
      <c r="Q43">
        <v>9411</v>
      </c>
      <c r="R43" t="s">
        <v>23</v>
      </c>
      <c r="S43" s="1" t="s">
        <v>34218</v>
      </c>
    </row>
    <row r="44" spans="1:19" x14ac:dyDescent="0.25">
      <c r="A44">
        <v>101030221</v>
      </c>
      <c r="B44" t="s">
        <v>204</v>
      </c>
      <c r="C44" t="s">
        <v>205</v>
      </c>
      <c r="F44" t="str">
        <f>"5592439375"</f>
        <v>5592439375</v>
      </c>
      <c r="G44" t="s">
        <v>206</v>
      </c>
      <c r="H44" t="s">
        <v>207</v>
      </c>
      <c r="I44" t="s">
        <v>22</v>
      </c>
      <c r="J44">
        <v>93703</v>
      </c>
      <c r="K44">
        <v>1239</v>
      </c>
      <c r="L44" t="s">
        <v>23</v>
      </c>
      <c r="M44" t="s">
        <v>206</v>
      </c>
      <c r="N44" t="s">
        <v>207</v>
      </c>
      <c r="O44" t="s">
        <v>22</v>
      </c>
      <c r="P44">
        <v>93703</v>
      </c>
      <c r="Q44">
        <v>1239</v>
      </c>
      <c r="R44" t="s">
        <v>23</v>
      </c>
      <c r="S44" s="1" t="s">
        <v>34218</v>
      </c>
    </row>
    <row r="45" spans="1:19" x14ac:dyDescent="0.25">
      <c r="A45">
        <v>100629371</v>
      </c>
      <c r="B45" t="s">
        <v>208</v>
      </c>
      <c r="C45" t="s">
        <v>209</v>
      </c>
      <c r="F45" t="str">
        <f>"9206756372"</f>
        <v>9206756372</v>
      </c>
      <c r="G45" t="s">
        <v>210</v>
      </c>
      <c r="H45" t="s">
        <v>211</v>
      </c>
      <c r="I45" t="s">
        <v>100</v>
      </c>
      <c r="J45">
        <v>53190</v>
      </c>
      <c r="K45">
        <v>1411</v>
      </c>
      <c r="L45" t="s">
        <v>23</v>
      </c>
      <c r="M45" t="s">
        <v>210</v>
      </c>
      <c r="N45" t="s">
        <v>211</v>
      </c>
      <c r="O45" t="s">
        <v>100</v>
      </c>
      <c r="P45">
        <v>53190</v>
      </c>
      <c r="Q45">
        <v>1411</v>
      </c>
      <c r="R45" t="s">
        <v>23</v>
      </c>
      <c r="S45" s="1" t="s">
        <v>34218</v>
      </c>
    </row>
    <row r="46" spans="1:19" x14ac:dyDescent="0.25">
      <c r="A46">
        <v>100637226</v>
      </c>
      <c r="B46" t="s">
        <v>212</v>
      </c>
      <c r="C46" t="s">
        <v>213</v>
      </c>
      <c r="F46" t="str">
        <f>"8304466567"</f>
        <v>8304466567</v>
      </c>
      <c r="G46" t="s">
        <v>214</v>
      </c>
      <c r="H46" t="s">
        <v>215</v>
      </c>
      <c r="I46" t="s">
        <v>38</v>
      </c>
      <c r="J46">
        <v>78006</v>
      </c>
      <c r="K46">
        <v>8536</v>
      </c>
      <c r="L46" t="s">
        <v>23</v>
      </c>
      <c r="M46" t="s">
        <v>214</v>
      </c>
      <c r="N46" t="s">
        <v>215</v>
      </c>
      <c r="O46" t="s">
        <v>38</v>
      </c>
      <c r="P46">
        <v>78006</v>
      </c>
      <c r="Q46">
        <v>8536</v>
      </c>
      <c r="R46" t="s">
        <v>23</v>
      </c>
      <c r="S46" s="1" t="s">
        <v>34218</v>
      </c>
    </row>
    <row r="47" spans="1:19" x14ac:dyDescent="0.25">
      <c r="A47">
        <v>100715521</v>
      </c>
      <c r="B47" t="s">
        <v>216</v>
      </c>
      <c r="C47" t="s">
        <v>217</v>
      </c>
      <c r="F47" t="str">
        <f>"8452972503"</f>
        <v>8452972503</v>
      </c>
      <c r="G47" t="s">
        <v>218</v>
      </c>
      <c r="H47" t="s">
        <v>219</v>
      </c>
      <c r="I47" t="s">
        <v>117</v>
      </c>
      <c r="J47">
        <v>12590</v>
      </c>
      <c r="K47">
        <v>3016</v>
      </c>
      <c r="L47" t="s">
        <v>23</v>
      </c>
      <c r="M47" t="s">
        <v>218</v>
      </c>
      <c r="N47" t="s">
        <v>219</v>
      </c>
      <c r="O47" t="s">
        <v>117</v>
      </c>
      <c r="P47">
        <v>12590</v>
      </c>
      <c r="Q47">
        <v>3016</v>
      </c>
      <c r="R47" t="s">
        <v>23</v>
      </c>
      <c r="S47" s="1" t="s">
        <v>34218</v>
      </c>
    </row>
    <row r="48" spans="1:19" x14ac:dyDescent="0.25">
      <c r="A48">
        <v>100726726</v>
      </c>
      <c r="B48" t="s">
        <v>220</v>
      </c>
      <c r="C48" t="s">
        <v>221</v>
      </c>
      <c r="F48" t="str">
        <f>"5106322112"</f>
        <v>5106322112</v>
      </c>
      <c r="G48" t="s">
        <v>222</v>
      </c>
      <c r="H48" t="s">
        <v>223</v>
      </c>
      <c r="I48" t="s">
        <v>22</v>
      </c>
      <c r="J48">
        <v>94577</v>
      </c>
      <c r="K48">
        <v>3023</v>
      </c>
      <c r="L48" t="s">
        <v>23</v>
      </c>
      <c r="M48" t="s">
        <v>222</v>
      </c>
      <c r="N48" t="s">
        <v>223</v>
      </c>
      <c r="O48" t="s">
        <v>22</v>
      </c>
      <c r="P48">
        <v>94577</v>
      </c>
      <c r="Q48">
        <v>3023</v>
      </c>
      <c r="R48" t="s">
        <v>23</v>
      </c>
      <c r="S48" s="1" t="s">
        <v>34218</v>
      </c>
    </row>
    <row r="49" spans="1:19" x14ac:dyDescent="0.25">
      <c r="A49">
        <v>100917311</v>
      </c>
      <c r="B49" t="s">
        <v>224</v>
      </c>
      <c r="C49" t="s">
        <v>225</v>
      </c>
      <c r="F49" t="str">
        <f>"5032491015"</f>
        <v>5032491015</v>
      </c>
      <c r="G49" t="s">
        <v>226</v>
      </c>
      <c r="H49" t="s">
        <v>227</v>
      </c>
      <c r="I49" t="s">
        <v>43</v>
      </c>
      <c r="J49">
        <v>97211</v>
      </c>
      <c r="K49">
        <v>7010</v>
      </c>
      <c r="L49" t="s">
        <v>23</v>
      </c>
      <c r="M49" t="s">
        <v>226</v>
      </c>
      <c r="N49" t="s">
        <v>227</v>
      </c>
      <c r="O49" t="s">
        <v>43</v>
      </c>
      <c r="P49">
        <v>97211</v>
      </c>
      <c r="Q49">
        <v>7010</v>
      </c>
      <c r="R49" t="s">
        <v>23</v>
      </c>
      <c r="S49" s="1" t="s">
        <v>34218</v>
      </c>
    </row>
    <row r="50" spans="1:19" x14ac:dyDescent="0.25">
      <c r="A50">
        <v>100921198</v>
      </c>
      <c r="B50" t="s">
        <v>228</v>
      </c>
      <c r="C50" t="s">
        <v>229</v>
      </c>
      <c r="F50" t="str">
        <f>"2073592122"</f>
        <v>2073592122</v>
      </c>
      <c r="G50" t="s">
        <v>230</v>
      </c>
      <c r="H50" t="s">
        <v>231</v>
      </c>
      <c r="I50" t="s">
        <v>191</v>
      </c>
      <c r="J50">
        <v>4616</v>
      </c>
      <c r="K50">
        <v>184</v>
      </c>
      <c r="L50" t="s">
        <v>23</v>
      </c>
      <c r="M50" t="s">
        <v>230</v>
      </c>
      <c r="N50" t="s">
        <v>231</v>
      </c>
      <c r="O50" t="s">
        <v>191</v>
      </c>
      <c r="P50">
        <v>4616</v>
      </c>
      <c r="Q50">
        <v>184</v>
      </c>
      <c r="R50" t="s">
        <v>23</v>
      </c>
      <c r="S50" s="1" t="s">
        <v>34218</v>
      </c>
    </row>
    <row r="51" spans="1:19" x14ac:dyDescent="0.25">
      <c r="A51">
        <v>101103364</v>
      </c>
      <c r="B51" t="s">
        <v>232</v>
      </c>
      <c r="C51" t="s">
        <v>233</v>
      </c>
      <c r="F51" t="str">
        <f>"7812868744"</f>
        <v>7812868744</v>
      </c>
      <c r="G51" t="s">
        <v>234</v>
      </c>
      <c r="H51" t="s">
        <v>235</v>
      </c>
      <c r="I51" t="s">
        <v>236</v>
      </c>
      <c r="J51">
        <v>2151</v>
      </c>
      <c r="K51">
        <v>4112</v>
      </c>
      <c r="L51" t="s">
        <v>23</v>
      </c>
      <c r="M51" t="s">
        <v>234</v>
      </c>
      <c r="N51" t="s">
        <v>235</v>
      </c>
      <c r="O51" t="s">
        <v>236</v>
      </c>
      <c r="P51">
        <v>2151</v>
      </c>
      <c r="Q51">
        <v>4112</v>
      </c>
      <c r="R51" t="s">
        <v>23</v>
      </c>
      <c r="S51" s="1" t="s">
        <v>34218</v>
      </c>
    </row>
    <row r="52" spans="1:19" x14ac:dyDescent="0.25">
      <c r="A52">
        <v>101050729</v>
      </c>
      <c r="B52" t="s">
        <v>237</v>
      </c>
      <c r="C52" t="s">
        <v>238</v>
      </c>
      <c r="F52" t="str">
        <f>"9132089963"</f>
        <v>9132089963</v>
      </c>
      <c r="G52" t="s">
        <v>239</v>
      </c>
      <c r="H52" t="s">
        <v>240</v>
      </c>
      <c r="I52" t="s">
        <v>241</v>
      </c>
      <c r="J52">
        <v>66223</v>
      </c>
      <c r="K52">
        <v>2862</v>
      </c>
      <c r="L52" t="s">
        <v>23</v>
      </c>
      <c r="M52" t="s">
        <v>239</v>
      </c>
      <c r="N52" t="s">
        <v>240</v>
      </c>
      <c r="O52" t="s">
        <v>241</v>
      </c>
      <c r="P52">
        <v>66223</v>
      </c>
      <c r="Q52">
        <v>2862</v>
      </c>
      <c r="R52" t="s">
        <v>23</v>
      </c>
      <c r="S52" s="1" t="s">
        <v>34218</v>
      </c>
    </row>
    <row r="53" spans="1:19" x14ac:dyDescent="0.25">
      <c r="A53">
        <v>101269038</v>
      </c>
      <c r="B53" t="s">
        <v>242</v>
      </c>
      <c r="C53" t="s">
        <v>243</v>
      </c>
      <c r="F53" t="str">
        <f>"4409150565"</f>
        <v>4409150565</v>
      </c>
      <c r="G53" t="s">
        <v>244</v>
      </c>
      <c r="H53" t="s">
        <v>245</v>
      </c>
      <c r="I53" t="s">
        <v>178</v>
      </c>
      <c r="J53">
        <v>44138</v>
      </c>
      <c r="K53">
        <v>2140</v>
      </c>
      <c r="L53" t="s">
        <v>23</v>
      </c>
      <c r="M53" t="s">
        <v>244</v>
      </c>
      <c r="N53" t="s">
        <v>245</v>
      </c>
      <c r="O53" t="s">
        <v>178</v>
      </c>
      <c r="P53">
        <v>44138</v>
      </c>
      <c r="Q53">
        <v>2140</v>
      </c>
      <c r="R53" t="s">
        <v>23</v>
      </c>
      <c r="S53" s="1" t="s">
        <v>34218</v>
      </c>
    </row>
    <row r="54" spans="1:19" x14ac:dyDescent="0.25">
      <c r="A54">
        <v>101284915</v>
      </c>
      <c r="B54" t="s">
        <v>246</v>
      </c>
      <c r="C54" t="s">
        <v>247</v>
      </c>
      <c r="F54" t="str">
        <f>"9738396441"</f>
        <v>9738396441</v>
      </c>
      <c r="G54" t="s">
        <v>248</v>
      </c>
      <c r="H54" t="s">
        <v>249</v>
      </c>
      <c r="I54" t="s">
        <v>250</v>
      </c>
      <c r="J54">
        <v>7456</v>
      </c>
      <c r="K54">
        <v>2002</v>
      </c>
      <c r="L54" t="s">
        <v>23</v>
      </c>
      <c r="M54" t="s">
        <v>248</v>
      </c>
      <c r="N54" t="s">
        <v>249</v>
      </c>
      <c r="O54" t="s">
        <v>250</v>
      </c>
      <c r="P54">
        <v>7456</v>
      </c>
      <c r="Q54">
        <v>2002</v>
      </c>
      <c r="R54" t="s">
        <v>23</v>
      </c>
      <c r="S54" s="1" t="s">
        <v>34218</v>
      </c>
    </row>
    <row r="55" spans="1:19" x14ac:dyDescent="0.25">
      <c r="A55">
        <v>100968732</v>
      </c>
      <c r="B55" t="s">
        <v>251</v>
      </c>
      <c r="C55" t="s">
        <v>252</v>
      </c>
      <c r="F55" t="str">
        <f>"4343058180"</f>
        <v>4343058180</v>
      </c>
      <c r="G55" t="s">
        <v>253</v>
      </c>
      <c r="H55" t="s">
        <v>254</v>
      </c>
      <c r="I55" t="s">
        <v>255</v>
      </c>
      <c r="J55">
        <v>22901</v>
      </c>
      <c r="K55">
        <v>2518</v>
      </c>
      <c r="L55" t="s">
        <v>23</v>
      </c>
      <c r="M55" t="s">
        <v>253</v>
      </c>
      <c r="N55" t="s">
        <v>254</v>
      </c>
      <c r="O55" t="s">
        <v>255</v>
      </c>
      <c r="P55">
        <v>22901</v>
      </c>
      <c r="Q55">
        <v>2518</v>
      </c>
      <c r="R55" t="s">
        <v>23</v>
      </c>
      <c r="S55" s="1" t="s">
        <v>34218</v>
      </c>
    </row>
    <row r="56" spans="1:19" x14ac:dyDescent="0.25">
      <c r="A56">
        <v>100982816</v>
      </c>
      <c r="B56" t="s">
        <v>256</v>
      </c>
      <c r="C56" t="s">
        <v>257</v>
      </c>
      <c r="F56" t="str">
        <f>"5038929614"</f>
        <v>5038929614</v>
      </c>
      <c r="G56" t="s">
        <v>258</v>
      </c>
      <c r="H56" t="s">
        <v>227</v>
      </c>
      <c r="I56" t="s">
        <v>43</v>
      </c>
      <c r="J56">
        <v>97219</v>
      </c>
      <c r="K56">
        <v>6578</v>
      </c>
      <c r="L56" t="s">
        <v>23</v>
      </c>
      <c r="M56" t="s">
        <v>258</v>
      </c>
      <c r="N56" t="s">
        <v>227</v>
      </c>
      <c r="O56" t="s">
        <v>43</v>
      </c>
      <c r="P56">
        <v>97219</v>
      </c>
      <c r="Q56">
        <v>6578</v>
      </c>
      <c r="R56" t="s">
        <v>23</v>
      </c>
      <c r="S56" s="1" t="s">
        <v>34218</v>
      </c>
    </row>
    <row r="57" spans="1:19" x14ac:dyDescent="0.25">
      <c r="A57">
        <v>101193819</v>
      </c>
      <c r="B57" t="s">
        <v>259</v>
      </c>
      <c r="C57" t="s">
        <v>193</v>
      </c>
      <c r="F57" t="str">
        <f>"6093331060"</f>
        <v>6093331060</v>
      </c>
      <c r="G57" t="s">
        <v>260</v>
      </c>
      <c r="H57" t="s">
        <v>261</v>
      </c>
      <c r="I57" t="s">
        <v>250</v>
      </c>
      <c r="J57">
        <v>8525</v>
      </c>
      <c r="K57">
        <v>2709</v>
      </c>
      <c r="L57" t="s">
        <v>23</v>
      </c>
      <c r="M57" t="s">
        <v>260</v>
      </c>
      <c r="N57" t="s">
        <v>261</v>
      </c>
      <c r="O57" t="s">
        <v>250</v>
      </c>
      <c r="P57">
        <v>8525</v>
      </c>
      <c r="Q57">
        <v>2709</v>
      </c>
      <c r="R57" t="s">
        <v>23</v>
      </c>
      <c r="S57" s="1" t="s">
        <v>34218</v>
      </c>
    </row>
    <row r="58" spans="1:19" x14ac:dyDescent="0.25">
      <c r="A58">
        <v>100948679</v>
      </c>
      <c r="B58" t="s">
        <v>262</v>
      </c>
      <c r="C58" t="s">
        <v>247</v>
      </c>
      <c r="F58" t="str">
        <f>"6073420864"</f>
        <v>6073420864</v>
      </c>
      <c r="G58" t="s">
        <v>263</v>
      </c>
      <c r="H58" t="s">
        <v>264</v>
      </c>
      <c r="I58" t="s">
        <v>117</v>
      </c>
      <c r="J58">
        <v>14850</v>
      </c>
      <c r="K58">
        <v>4211</v>
      </c>
      <c r="L58" t="s">
        <v>23</v>
      </c>
      <c r="M58" t="s">
        <v>263</v>
      </c>
      <c r="N58" t="s">
        <v>264</v>
      </c>
      <c r="O58" t="s">
        <v>117</v>
      </c>
      <c r="P58">
        <v>14850</v>
      </c>
      <c r="Q58">
        <v>4211</v>
      </c>
      <c r="R58" t="s">
        <v>23</v>
      </c>
      <c r="S58" s="1" t="s">
        <v>34218</v>
      </c>
    </row>
    <row r="59" spans="1:19" x14ac:dyDescent="0.25">
      <c r="A59">
        <v>101040366</v>
      </c>
      <c r="B59" t="s">
        <v>265</v>
      </c>
      <c r="C59" t="s">
        <v>266</v>
      </c>
      <c r="F59" t="str">
        <f>"8458077395"</f>
        <v>8458077395</v>
      </c>
      <c r="G59" t="s">
        <v>267</v>
      </c>
      <c r="H59" t="s">
        <v>268</v>
      </c>
      <c r="I59" t="s">
        <v>117</v>
      </c>
      <c r="J59">
        <v>12779</v>
      </c>
      <c r="K59">
        <v>5222</v>
      </c>
      <c r="L59" t="s">
        <v>23</v>
      </c>
      <c r="M59" t="s">
        <v>267</v>
      </c>
      <c r="N59" t="s">
        <v>268</v>
      </c>
      <c r="O59" t="s">
        <v>117</v>
      </c>
      <c r="P59">
        <v>12779</v>
      </c>
      <c r="Q59">
        <v>5222</v>
      </c>
      <c r="R59" t="s">
        <v>23</v>
      </c>
      <c r="S59" s="1" t="s">
        <v>34218</v>
      </c>
    </row>
    <row r="60" spans="1:19" x14ac:dyDescent="0.25">
      <c r="A60">
        <v>100534603</v>
      </c>
      <c r="B60" t="s">
        <v>269</v>
      </c>
      <c r="C60" t="s">
        <v>270</v>
      </c>
      <c r="F60" t="str">
        <f>"6175225335"</f>
        <v>6175225335</v>
      </c>
      <c r="G60" t="s">
        <v>271</v>
      </c>
      <c r="H60" t="s">
        <v>272</v>
      </c>
      <c r="I60" t="s">
        <v>236</v>
      </c>
      <c r="J60">
        <v>2130</v>
      </c>
      <c r="K60">
        <v>4624</v>
      </c>
      <c r="L60" t="s">
        <v>23</v>
      </c>
      <c r="M60" t="s">
        <v>271</v>
      </c>
      <c r="N60" t="s">
        <v>272</v>
      </c>
      <c r="O60" t="s">
        <v>236</v>
      </c>
      <c r="P60">
        <v>2130</v>
      </c>
      <c r="Q60">
        <v>4624</v>
      </c>
      <c r="R60" t="s">
        <v>23</v>
      </c>
      <c r="S60" s="1" t="s">
        <v>34218</v>
      </c>
    </row>
    <row r="61" spans="1:19" x14ac:dyDescent="0.25">
      <c r="A61">
        <v>100538992</v>
      </c>
      <c r="B61" t="s">
        <v>273</v>
      </c>
      <c r="C61" t="s">
        <v>274</v>
      </c>
      <c r="F61" t="str">
        <f>"5307561796"</f>
        <v>5307561796</v>
      </c>
      <c r="G61" t="s">
        <v>275</v>
      </c>
      <c r="H61" t="s">
        <v>276</v>
      </c>
      <c r="I61" t="s">
        <v>22</v>
      </c>
      <c r="J61">
        <v>95616</v>
      </c>
      <c r="K61">
        <v>3523</v>
      </c>
      <c r="L61" t="s">
        <v>23</v>
      </c>
      <c r="M61" t="s">
        <v>275</v>
      </c>
      <c r="N61" t="s">
        <v>276</v>
      </c>
      <c r="O61" t="s">
        <v>22</v>
      </c>
      <c r="P61">
        <v>95616</v>
      </c>
      <c r="Q61">
        <v>3523</v>
      </c>
      <c r="R61" t="s">
        <v>23</v>
      </c>
      <c r="S61" s="1" t="s">
        <v>34218</v>
      </c>
    </row>
    <row r="62" spans="1:19" x14ac:dyDescent="0.25">
      <c r="A62">
        <v>100742179</v>
      </c>
      <c r="B62" t="s">
        <v>277</v>
      </c>
      <c r="C62" t="s">
        <v>278</v>
      </c>
      <c r="F62" t="str">
        <f>"8459999999"</f>
        <v>8459999999</v>
      </c>
      <c r="G62" t="s">
        <v>279</v>
      </c>
      <c r="H62" t="s">
        <v>280</v>
      </c>
      <c r="I62" t="s">
        <v>117</v>
      </c>
      <c r="J62">
        <v>12561</v>
      </c>
      <c r="K62">
        <v>2634</v>
      </c>
      <c r="L62" t="s">
        <v>23</v>
      </c>
      <c r="M62" t="s">
        <v>279</v>
      </c>
      <c r="N62" t="s">
        <v>280</v>
      </c>
      <c r="O62" t="s">
        <v>117</v>
      </c>
      <c r="P62">
        <v>12561</v>
      </c>
      <c r="Q62">
        <v>2634</v>
      </c>
      <c r="R62" t="s">
        <v>23</v>
      </c>
      <c r="S62" s="1" t="s">
        <v>34218</v>
      </c>
    </row>
    <row r="63" spans="1:19" x14ac:dyDescent="0.25">
      <c r="A63">
        <v>100605991</v>
      </c>
      <c r="B63" t="s">
        <v>281</v>
      </c>
      <c r="C63" t="s">
        <v>282</v>
      </c>
      <c r="F63" t="str">
        <f>"6099808382"</f>
        <v>6099808382</v>
      </c>
      <c r="G63" t="s">
        <v>283</v>
      </c>
      <c r="H63" t="s">
        <v>284</v>
      </c>
      <c r="I63" t="s">
        <v>33</v>
      </c>
      <c r="J63">
        <v>19468</v>
      </c>
      <c r="K63">
        <v>1366</v>
      </c>
      <c r="L63" t="s">
        <v>23</v>
      </c>
      <c r="M63" t="s">
        <v>283</v>
      </c>
      <c r="N63" t="s">
        <v>284</v>
      </c>
      <c r="O63" t="s">
        <v>33</v>
      </c>
      <c r="P63">
        <v>19468</v>
      </c>
      <c r="Q63">
        <v>1366</v>
      </c>
      <c r="R63" t="s">
        <v>23</v>
      </c>
      <c r="S63" s="1" t="s">
        <v>34218</v>
      </c>
    </row>
    <row r="64" spans="1:19" x14ac:dyDescent="0.25">
      <c r="A64">
        <v>100607941</v>
      </c>
      <c r="B64" t="s">
        <v>285</v>
      </c>
      <c r="C64" t="s">
        <v>286</v>
      </c>
      <c r="F64" t="str">
        <f>"5417280634"</f>
        <v>5417280634</v>
      </c>
      <c r="G64" t="s">
        <v>287</v>
      </c>
      <c r="H64" t="s">
        <v>288</v>
      </c>
      <c r="I64" t="s">
        <v>43</v>
      </c>
      <c r="J64">
        <v>97415</v>
      </c>
      <c r="K64">
        <v>9384</v>
      </c>
      <c r="L64" t="s">
        <v>23</v>
      </c>
      <c r="M64" t="s">
        <v>287</v>
      </c>
      <c r="N64" t="s">
        <v>288</v>
      </c>
      <c r="O64" t="s">
        <v>43</v>
      </c>
      <c r="P64">
        <v>97415</v>
      </c>
      <c r="Q64">
        <v>9384</v>
      </c>
      <c r="R64" t="s">
        <v>23</v>
      </c>
      <c r="S64" s="1" t="s">
        <v>34218</v>
      </c>
    </row>
    <row r="65" spans="1:19" x14ac:dyDescent="0.25">
      <c r="A65">
        <v>100611411</v>
      </c>
      <c r="B65" t="s">
        <v>289</v>
      </c>
      <c r="C65" t="s">
        <v>290</v>
      </c>
      <c r="F65" t="str">
        <f>"6104615262"</f>
        <v>6104615262</v>
      </c>
      <c r="G65" t="s">
        <v>291</v>
      </c>
      <c r="H65" t="s">
        <v>292</v>
      </c>
      <c r="I65" t="s">
        <v>33</v>
      </c>
      <c r="J65">
        <v>19033</v>
      </c>
      <c r="K65">
        <v>2606</v>
      </c>
      <c r="L65" t="s">
        <v>23</v>
      </c>
      <c r="M65" t="s">
        <v>291</v>
      </c>
      <c r="N65" t="s">
        <v>292</v>
      </c>
      <c r="O65" t="s">
        <v>33</v>
      </c>
      <c r="P65">
        <v>19033</v>
      </c>
      <c r="Q65">
        <v>2606</v>
      </c>
      <c r="R65" t="s">
        <v>23</v>
      </c>
      <c r="S65" s="1" t="s">
        <v>34218</v>
      </c>
    </row>
    <row r="66" spans="1:19" x14ac:dyDescent="0.25">
      <c r="A66">
        <v>100544988</v>
      </c>
      <c r="B66" t="s">
        <v>293</v>
      </c>
      <c r="C66" t="s">
        <v>294</v>
      </c>
      <c r="F66" t="str">
        <f>"7274740448"</f>
        <v>7274740448</v>
      </c>
      <c r="G66" t="s">
        <v>295</v>
      </c>
      <c r="H66" t="s">
        <v>296</v>
      </c>
      <c r="I66" t="s">
        <v>52</v>
      </c>
      <c r="J66">
        <v>33773</v>
      </c>
      <c r="K66">
        <v>3585</v>
      </c>
      <c r="L66" t="s">
        <v>23</v>
      </c>
      <c r="M66" t="s">
        <v>295</v>
      </c>
      <c r="N66" t="s">
        <v>296</v>
      </c>
      <c r="O66" t="s">
        <v>52</v>
      </c>
      <c r="P66">
        <v>33773</v>
      </c>
      <c r="Q66">
        <v>3585</v>
      </c>
      <c r="R66" t="s">
        <v>23</v>
      </c>
      <c r="S66" s="1" t="s">
        <v>34218</v>
      </c>
    </row>
    <row r="67" spans="1:19" x14ac:dyDescent="0.25">
      <c r="A67">
        <v>100565907</v>
      </c>
      <c r="B67" t="s">
        <v>297</v>
      </c>
      <c r="C67" t="s">
        <v>40</v>
      </c>
      <c r="F67" t="str">
        <f>"3104704482"</f>
        <v>3104704482</v>
      </c>
      <c r="G67" t="s">
        <v>298</v>
      </c>
      <c r="H67" t="s">
        <v>299</v>
      </c>
      <c r="I67" t="s">
        <v>22</v>
      </c>
      <c r="J67">
        <v>90024</v>
      </c>
      <c r="K67">
        <v>3113</v>
      </c>
      <c r="L67" t="s">
        <v>23</v>
      </c>
      <c r="M67" t="s">
        <v>298</v>
      </c>
      <c r="N67" t="s">
        <v>299</v>
      </c>
      <c r="O67" t="s">
        <v>22</v>
      </c>
      <c r="P67">
        <v>90024</v>
      </c>
      <c r="Q67">
        <v>3113</v>
      </c>
      <c r="R67" t="s">
        <v>23</v>
      </c>
      <c r="S67" s="1" t="s">
        <v>34218</v>
      </c>
    </row>
    <row r="68" spans="1:19" x14ac:dyDescent="0.25">
      <c r="A68">
        <v>100784858</v>
      </c>
      <c r="B68" t="s">
        <v>300</v>
      </c>
      <c r="C68" t="s">
        <v>301</v>
      </c>
      <c r="F68" t="str">
        <f>"5173954988"</f>
        <v>5173954988</v>
      </c>
      <c r="G68" t="s">
        <v>302</v>
      </c>
      <c r="H68" t="s">
        <v>303</v>
      </c>
      <c r="I68" t="s">
        <v>140</v>
      </c>
      <c r="J68">
        <v>49201</v>
      </c>
      <c r="K68">
        <v>9607</v>
      </c>
      <c r="L68" t="s">
        <v>23</v>
      </c>
      <c r="M68" t="s">
        <v>302</v>
      </c>
      <c r="N68" t="s">
        <v>303</v>
      </c>
      <c r="O68" t="s">
        <v>140</v>
      </c>
      <c r="P68">
        <v>49201</v>
      </c>
      <c r="Q68">
        <v>9607</v>
      </c>
      <c r="R68" t="s">
        <v>23</v>
      </c>
      <c r="S68" s="1" t="s">
        <v>34218</v>
      </c>
    </row>
    <row r="69" spans="1:19" x14ac:dyDescent="0.25">
      <c r="A69">
        <v>100815385</v>
      </c>
      <c r="B69" t="s">
        <v>304</v>
      </c>
      <c r="C69" t="s">
        <v>305</v>
      </c>
      <c r="F69" t="str">
        <f>"8024177430"</f>
        <v>8024177430</v>
      </c>
      <c r="H69" t="s">
        <v>306</v>
      </c>
      <c r="I69" t="s">
        <v>307</v>
      </c>
      <c r="J69">
        <v>5031</v>
      </c>
      <c r="L69" t="s">
        <v>23</v>
      </c>
      <c r="N69" t="s">
        <v>306</v>
      </c>
      <c r="O69" t="s">
        <v>307</v>
      </c>
      <c r="P69">
        <v>5031</v>
      </c>
      <c r="R69" t="s">
        <v>23</v>
      </c>
      <c r="S69" s="1" t="s">
        <v>34218</v>
      </c>
    </row>
    <row r="70" spans="1:19" x14ac:dyDescent="0.25">
      <c r="A70">
        <v>100879668</v>
      </c>
      <c r="B70" t="s">
        <v>308</v>
      </c>
      <c r="C70" t="s">
        <v>309</v>
      </c>
      <c r="F70" t="str">
        <f>"5625677547"</f>
        <v>5625677547</v>
      </c>
      <c r="G70" t="s">
        <v>310</v>
      </c>
      <c r="H70" t="s">
        <v>311</v>
      </c>
      <c r="I70" t="s">
        <v>22</v>
      </c>
      <c r="J70">
        <v>90815</v>
      </c>
      <c r="K70">
        <v>2929</v>
      </c>
      <c r="L70" t="s">
        <v>23</v>
      </c>
      <c r="M70" t="s">
        <v>310</v>
      </c>
      <c r="N70" t="s">
        <v>311</v>
      </c>
      <c r="O70" t="s">
        <v>22</v>
      </c>
      <c r="P70">
        <v>90815</v>
      </c>
      <c r="Q70">
        <v>2929</v>
      </c>
      <c r="R70" t="s">
        <v>23</v>
      </c>
      <c r="S70" s="1" t="s">
        <v>34218</v>
      </c>
    </row>
    <row r="71" spans="1:19" x14ac:dyDescent="0.25">
      <c r="A71">
        <v>100639143</v>
      </c>
      <c r="B71" t="s">
        <v>312</v>
      </c>
      <c r="C71" t="s">
        <v>313</v>
      </c>
      <c r="F71" t="str">
        <f>"8054663494"</f>
        <v>8054663494</v>
      </c>
      <c r="G71" t="s">
        <v>314</v>
      </c>
      <c r="H71" t="s">
        <v>315</v>
      </c>
      <c r="I71" t="s">
        <v>22</v>
      </c>
      <c r="J71">
        <v>93422</v>
      </c>
      <c r="K71">
        <v>4916</v>
      </c>
      <c r="L71" t="s">
        <v>23</v>
      </c>
      <c r="M71" t="s">
        <v>314</v>
      </c>
      <c r="N71" t="s">
        <v>315</v>
      </c>
      <c r="O71" t="s">
        <v>22</v>
      </c>
      <c r="P71">
        <v>93422</v>
      </c>
      <c r="Q71">
        <v>4916</v>
      </c>
      <c r="R71" t="s">
        <v>23</v>
      </c>
      <c r="S71" s="1" t="s">
        <v>34218</v>
      </c>
    </row>
    <row r="72" spans="1:19" x14ac:dyDescent="0.25">
      <c r="A72">
        <v>100857567</v>
      </c>
      <c r="B72" t="s">
        <v>316</v>
      </c>
      <c r="C72" t="s">
        <v>317</v>
      </c>
      <c r="F72" t="str">
        <f>"7603333333"</f>
        <v>7603333333</v>
      </c>
      <c r="G72" t="s">
        <v>318</v>
      </c>
      <c r="H72" t="s">
        <v>319</v>
      </c>
      <c r="I72" t="s">
        <v>22</v>
      </c>
      <c r="J72">
        <v>92203</v>
      </c>
      <c r="K72">
        <v>9778</v>
      </c>
      <c r="L72" t="s">
        <v>23</v>
      </c>
      <c r="M72" t="s">
        <v>318</v>
      </c>
      <c r="N72" t="s">
        <v>319</v>
      </c>
      <c r="O72" t="s">
        <v>22</v>
      </c>
      <c r="P72">
        <v>92203</v>
      </c>
      <c r="Q72">
        <v>9778</v>
      </c>
      <c r="R72" t="s">
        <v>23</v>
      </c>
      <c r="S72" s="1" t="s">
        <v>34218</v>
      </c>
    </row>
    <row r="73" spans="1:19" x14ac:dyDescent="0.25">
      <c r="A73">
        <v>101078682</v>
      </c>
      <c r="B73" t="s">
        <v>320</v>
      </c>
      <c r="C73" t="s">
        <v>321</v>
      </c>
      <c r="F73" t="str">
        <f>"2096325284"</f>
        <v>2096325284</v>
      </c>
      <c r="G73" t="s">
        <v>322</v>
      </c>
      <c r="H73" t="s">
        <v>323</v>
      </c>
      <c r="I73" t="s">
        <v>22</v>
      </c>
      <c r="J73">
        <v>95380</v>
      </c>
      <c r="K73">
        <v>3524</v>
      </c>
      <c r="L73" t="s">
        <v>23</v>
      </c>
      <c r="M73" t="s">
        <v>322</v>
      </c>
      <c r="N73" t="s">
        <v>323</v>
      </c>
      <c r="O73" t="s">
        <v>22</v>
      </c>
      <c r="P73">
        <v>95380</v>
      </c>
      <c r="Q73">
        <v>3524</v>
      </c>
      <c r="R73" t="s">
        <v>23</v>
      </c>
      <c r="S73" s="1" t="s">
        <v>34218</v>
      </c>
    </row>
    <row r="74" spans="1:19" x14ac:dyDescent="0.25">
      <c r="A74">
        <v>101075440</v>
      </c>
      <c r="B74" t="s">
        <v>324</v>
      </c>
      <c r="C74" t="s">
        <v>321</v>
      </c>
      <c r="F74" t="str">
        <f>"3042626986"</f>
        <v>3042626986</v>
      </c>
      <c r="G74" t="s">
        <v>325</v>
      </c>
      <c r="H74" t="s">
        <v>326</v>
      </c>
      <c r="I74" t="s">
        <v>327</v>
      </c>
      <c r="J74">
        <v>25405</v>
      </c>
      <c r="K74">
        <v>6333</v>
      </c>
      <c r="L74" t="s">
        <v>23</v>
      </c>
      <c r="M74" t="s">
        <v>325</v>
      </c>
      <c r="N74" t="s">
        <v>326</v>
      </c>
      <c r="O74" t="s">
        <v>327</v>
      </c>
      <c r="P74">
        <v>25405</v>
      </c>
      <c r="Q74">
        <v>6333</v>
      </c>
      <c r="R74" t="s">
        <v>23</v>
      </c>
      <c r="S74" s="1" t="s">
        <v>34218</v>
      </c>
    </row>
    <row r="75" spans="1:19" x14ac:dyDescent="0.25">
      <c r="A75">
        <v>101085213</v>
      </c>
      <c r="B75" t="s">
        <v>328</v>
      </c>
      <c r="C75" t="s">
        <v>329</v>
      </c>
      <c r="F75" t="str">
        <f>"8018090935"</f>
        <v>8018090935</v>
      </c>
      <c r="G75" t="s">
        <v>330</v>
      </c>
      <c r="H75" t="s">
        <v>331</v>
      </c>
      <c r="I75" t="s">
        <v>332</v>
      </c>
      <c r="J75">
        <v>84116</v>
      </c>
      <c r="K75">
        <v>2749</v>
      </c>
      <c r="L75" t="s">
        <v>23</v>
      </c>
      <c r="M75" t="s">
        <v>330</v>
      </c>
      <c r="N75" t="s">
        <v>331</v>
      </c>
      <c r="O75" t="s">
        <v>332</v>
      </c>
      <c r="P75">
        <v>84116</v>
      </c>
      <c r="Q75">
        <v>2749</v>
      </c>
      <c r="R75" t="s">
        <v>23</v>
      </c>
      <c r="S75" s="1" t="s">
        <v>34218</v>
      </c>
    </row>
    <row r="76" spans="1:19" x14ac:dyDescent="0.25">
      <c r="A76">
        <v>100681114</v>
      </c>
      <c r="B76" t="s">
        <v>333</v>
      </c>
      <c r="C76" t="s">
        <v>334</v>
      </c>
      <c r="F76" t="str">
        <f>"7323095531"</f>
        <v>7323095531</v>
      </c>
      <c r="G76" t="s">
        <v>335</v>
      </c>
      <c r="H76" t="s">
        <v>336</v>
      </c>
      <c r="I76" t="s">
        <v>250</v>
      </c>
      <c r="J76">
        <v>8801</v>
      </c>
      <c r="K76">
        <v>4021</v>
      </c>
      <c r="L76" t="s">
        <v>23</v>
      </c>
      <c r="M76" t="s">
        <v>335</v>
      </c>
      <c r="N76" t="s">
        <v>336</v>
      </c>
      <c r="O76" t="s">
        <v>250</v>
      </c>
      <c r="P76">
        <v>8801</v>
      </c>
      <c r="Q76">
        <v>4021</v>
      </c>
      <c r="R76" t="s">
        <v>23</v>
      </c>
      <c r="S76" s="1" t="s">
        <v>34218</v>
      </c>
    </row>
    <row r="77" spans="1:19" x14ac:dyDescent="0.25">
      <c r="A77">
        <v>100693699</v>
      </c>
      <c r="B77" t="s">
        <v>337</v>
      </c>
      <c r="C77" t="s">
        <v>338</v>
      </c>
      <c r="F77" t="str">
        <f>"3162591538"</f>
        <v>3162591538</v>
      </c>
      <c r="G77" t="s">
        <v>339</v>
      </c>
      <c r="H77" t="s">
        <v>340</v>
      </c>
      <c r="I77" t="s">
        <v>241</v>
      </c>
      <c r="J77">
        <v>67205</v>
      </c>
      <c r="K77">
        <v>1923</v>
      </c>
      <c r="L77" t="s">
        <v>23</v>
      </c>
      <c r="M77" t="s">
        <v>339</v>
      </c>
      <c r="N77" t="s">
        <v>340</v>
      </c>
      <c r="O77" t="s">
        <v>241</v>
      </c>
      <c r="P77">
        <v>67205</v>
      </c>
      <c r="Q77">
        <v>1923</v>
      </c>
      <c r="R77" t="s">
        <v>23</v>
      </c>
      <c r="S77" s="1" t="s">
        <v>34218</v>
      </c>
    </row>
    <row r="78" spans="1:19" x14ac:dyDescent="0.25">
      <c r="A78">
        <v>101099935</v>
      </c>
      <c r="B78" t="s">
        <v>341</v>
      </c>
      <c r="C78" t="s">
        <v>342</v>
      </c>
      <c r="F78" t="str">
        <f>"7709985000"</f>
        <v>7709985000</v>
      </c>
      <c r="G78" t="s">
        <v>343</v>
      </c>
      <c r="H78" t="s">
        <v>344</v>
      </c>
      <c r="I78" t="s">
        <v>28</v>
      </c>
      <c r="J78">
        <v>30075</v>
      </c>
      <c r="K78">
        <v>3087</v>
      </c>
      <c r="L78" t="s">
        <v>23</v>
      </c>
      <c r="M78" t="s">
        <v>343</v>
      </c>
      <c r="N78" t="s">
        <v>344</v>
      </c>
      <c r="O78" t="s">
        <v>28</v>
      </c>
      <c r="P78">
        <v>30075</v>
      </c>
      <c r="Q78">
        <v>3087</v>
      </c>
      <c r="R78" t="s">
        <v>23</v>
      </c>
      <c r="S78" s="1" t="s">
        <v>34218</v>
      </c>
    </row>
    <row r="79" spans="1:19" x14ac:dyDescent="0.25">
      <c r="A79">
        <v>101093664</v>
      </c>
      <c r="B79" t="s">
        <v>345</v>
      </c>
      <c r="C79" t="s">
        <v>305</v>
      </c>
      <c r="F79" t="str">
        <f>"6262853750"</f>
        <v>6262853750</v>
      </c>
      <c r="G79" t="s">
        <v>346</v>
      </c>
      <c r="H79" t="s">
        <v>347</v>
      </c>
      <c r="I79" t="s">
        <v>348</v>
      </c>
      <c r="J79">
        <v>83686</v>
      </c>
      <c r="K79">
        <v>5674</v>
      </c>
      <c r="L79" t="s">
        <v>23</v>
      </c>
      <c r="M79" t="s">
        <v>346</v>
      </c>
      <c r="N79" t="s">
        <v>347</v>
      </c>
      <c r="O79" t="s">
        <v>348</v>
      </c>
      <c r="P79">
        <v>83686</v>
      </c>
      <c r="Q79">
        <v>5674</v>
      </c>
      <c r="R79" t="s">
        <v>23</v>
      </c>
      <c r="S79" s="1" t="s">
        <v>34218</v>
      </c>
    </row>
    <row r="80" spans="1:19" x14ac:dyDescent="0.25">
      <c r="A80">
        <v>100934715</v>
      </c>
      <c r="B80" t="s">
        <v>349</v>
      </c>
      <c r="C80" t="s">
        <v>350</v>
      </c>
      <c r="F80" t="str">
        <f>"6032448537"</f>
        <v>6032448537</v>
      </c>
      <c r="G80" t="s">
        <v>351</v>
      </c>
      <c r="H80" t="s">
        <v>352</v>
      </c>
      <c r="I80" t="s">
        <v>353</v>
      </c>
      <c r="J80">
        <v>3874</v>
      </c>
      <c r="K80">
        <v>4108</v>
      </c>
      <c r="L80" t="s">
        <v>23</v>
      </c>
      <c r="M80" t="s">
        <v>351</v>
      </c>
      <c r="N80" t="s">
        <v>352</v>
      </c>
      <c r="O80" t="s">
        <v>353</v>
      </c>
      <c r="P80">
        <v>3874</v>
      </c>
      <c r="Q80">
        <v>4108</v>
      </c>
      <c r="R80" t="s">
        <v>23</v>
      </c>
      <c r="S80" s="1" t="s">
        <v>34218</v>
      </c>
    </row>
    <row r="81" spans="1:19" x14ac:dyDescent="0.25">
      <c r="A81">
        <v>101146811</v>
      </c>
      <c r="B81" t="s">
        <v>354</v>
      </c>
      <c r="C81" t="s">
        <v>355</v>
      </c>
      <c r="F81" t="str">
        <f>"7037803054"</f>
        <v>7037803054</v>
      </c>
      <c r="G81" t="s">
        <v>356</v>
      </c>
      <c r="H81" t="s">
        <v>357</v>
      </c>
      <c r="I81" t="s">
        <v>255</v>
      </c>
      <c r="J81">
        <v>22309</v>
      </c>
      <c r="K81">
        <v>2516</v>
      </c>
      <c r="L81" t="s">
        <v>23</v>
      </c>
      <c r="M81" t="s">
        <v>356</v>
      </c>
      <c r="N81" t="s">
        <v>357</v>
      </c>
      <c r="O81" t="s">
        <v>255</v>
      </c>
      <c r="P81">
        <v>22309</v>
      </c>
      <c r="Q81">
        <v>2516</v>
      </c>
      <c r="R81" t="s">
        <v>23</v>
      </c>
      <c r="S81" s="1" t="s">
        <v>34218</v>
      </c>
    </row>
    <row r="82" spans="1:19" x14ac:dyDescent="0.25">
      <c r="A82">
        <v>101164908</v>
      </c>
      <c r="B82" t="s">
        <v>358</v>
      </c>
      <c r="C82" t="s">
        <v>208</v>
      </c>
      <c r="F82" t="str">
        <f>"4087362322"</f>
        <v>4087362322</v>
      </c>
      <c r="G82" t="s">
        <v>359</v>
      </c>
      <c r="H82" t="s">
        <v>360</v>
      </c>
      <c r="I82" t="s">
        <v>22</v>
      </c>
      <c r="J82">
        <v>94087</v>
      </c>
      <c r="K82">
        <v>4456</v>
      </c>
      <c r="L82" t="s">
        <v>23</v>
      </c>
      <c r="M82" t="s">
        <v>359</v>
      </c>
      <c r="N82" t="s">
        <v>360</v>
      </c>
      <c r="O82" t="s">
        <v>22</v>
      </c>
      <c r="P82">
        <v>94087</v>
      </c>
      <c r="Q82">
        <v>4456</v>
      </c>
      <c r="R82" t="s">
        <v>23</v>
      </c>
      <c r="S82" s="1" t="s">
        <v>34218</v>
      </c>
    </row>
    <row r="83" spans="1:19" x14ac:dyDescent="0.25">
      <c r="A83">
        <v>100829108</v>
      </c>
      <c r="B83" t="s">
        <v>361</v>
      </c>
      <c r="C83" t="s">
        <v>362</v>
      </c>
      <c r="F83" t="str">
        <f>"5555555555"</f>
        <v>5555555555</v>
      </c>
      <c r="G83" t="s">
        <v>363</v>
      </c>
      <c r="H83" t="s">
        <v>364</v>
      </c>
      <c r="I83" t="s">
        <v>365</v>
      </c>
      <c r="J83">
        <v>86314</v>
      </c>
      <c r="K83">
        <v>1727</v>
      </c>
      <c r="L83" t="s">
        <v>23</v>
      </c>
      <c r="M83" t="s">
        <v>363</v>
      </c>
      <c r="N83" t="s">
        <v>364</v>
      </c>
      <c r="O83" t="s">
        <v>365</v>
      </c>
      <c r="P83">
        <v>86314</v>
      </c>
      <c r="Q83">
        <v>1727</v>
      </c>
      <c r="R83" t="s">
        <v>23</v>
      </c>
      <c r="S83" s="1" t="s">
        <v>34218</v>
      </c>
    </row>
    <row r="84" spans="1:19" x14ac:dyDescent="0.25">
      <c r="A84">
        <v>100997003</v>
      </c>
      <c r="B84" t="s">
        <v>366</v>
      </c>
      <c r="C84" t="s">
        <v>367</v>
      </c>
      <c r="F84" t="str">
        <f>"4027706257"</f>
        <v>4027706257</v>
      </c>
      <c r="G84" t="s">
        <v>368</v>
      </c>
      <c r="H84" t="s">
        <v>369</v>
      </c>
      <c r="I84" t="s">
        <v>370</v>
      </c>
      <c r="J84">
        <v>68528</v>
      </c>
      <c r="K84">
        <v>2143</v>
      </c>
      <c r="L84" t="s">
        <v>23</v>
      </c>
      <c r="M84" t="s">
        <v>368</v>
      </c>
      <c r="N84" t="s">
        <v>369</v>
      </c>
      <c r="O84" t="s">
        <v>370</v>
      </c>
      <c r="P84">
        <v>68528</v>
      </c>
      <c r="Q84">
        <v>2143</v>
      </c>
      <c r="R84" t="s">
        <v>23</v>
      </c>
      <c r="S84" s="1" t="s">
        <v>34218</v>
      </c>
    </row>
    <row r="85" spans="1:19" x14ac:dyDescent="0.25">
      <c r="A85">
        <v>101061589</v>
      </c>
      <c r="B85" t="s">
        <v>371</v>
      </c>
      <c r="C85" t="s">
        <v>132</v>
      </c>
      <c r="F85" t="str">
        <f>"7326576334"</f>
        <v>7326576334</v>
      </c>
      <c r="G85" t="s">
        <v>372</v>
      </c>
      <c r="H85" t="s">
        <v>373</v>
      </c>
      <c r="I85" t="s">
        <v>250</v>
      </c>
      <c r="J85">
        <v>8759</v>
      </c>
      <c r="K85">
        <v>6272</v>
      </c>
      <c r="L85" t="s">
        <v>23</v>
      </c>
      <c r="M85" t="s">
        <v>372</v>
      </c>
      <c r="N85" t="s">
        <v>373</v>
      </c>
      <c r="O85" t="s">
        <v>250</v>
      </c>
      <c r="P85">
        <v>8759</v>
      </c>
      <c r="Q85">
        <v>6272</v>
      </c>
      <c r="R85" t="s">
        <v>23</v>
      </c>
      <c r="S85" s="1" t="s">
        <v>34218</v>
      </c>
    </row>
    <row r="86" spans="1:19" x14ac:dyDescent="0.25">
      <c r="A86">
        <v>101270506</v>
      </c>
      <c r="B86" t="s">
        <v>374</v>
      </c>
      <c r="C86" t="s">
        <v>294</v>
      </c>
      <c r="F86" t="str">
        <f>"7703339537"</f>
        <v>7703339537</v>
      </c>
      <c r="G86" t="s">
        <v>375</v>
      </c>
      <c r="H86" t="s">
        <v>376</v>
      </c>
      <c r="I86" t="s">
        <v>28</v>
      </c>
      <c r="J86">
        <v>30080</v>
      </c>
      <c r="K86">
        <v>5683</v>
      </c>
      <c r="L86" t="s">
        <v>23</v>
      </c>
      <c r="M86" t="s">
        <v>375</v>
      </c>
      <c r="N86" t="s">
        <v>376</v>
      </c>
      <c r="O86" t="s">
        <v>28</v>
      </c>
      <c r="P86">
        <v>30080</v>
      </c>
      <c r="Q86">
        <v>5683</v>
      </c>
      <c r="R86" t="s">
        <v>23</v>
      </c>
      <c r="S86" s="1" t="s">
        <v>34218</v>
      </c>
    </row>
    <row r="87" spans="1:19" x14ac:dyDescent="0.25">
      <c r="A87">
        <v>101265656</v>
      </c>
      <c r="B87" t="s">
        <v>377</v>
      </c>
      <c r="C87" t="s">
        <v>378</v>
      </c>
      <c r="F87" t="str">
        <f>"5706746374"</f>
        <v>5706746374</v>
      </c>
      <c r="G87" t="s">
        <v>379</v>
      </c>
      <c r="H87" t="s">
        <v>380</v>
      </c>
      <c r="I87" t="s">
        <v>33</v>
      </c>
      <c r="J87">
        <v>18612</v>
      </c>
      <c r="K87">
        <v>9082</v>
      </c>
      <c r="L87" t="s">
        <v>23</v>
      </c>
      <c r="M87" t="s">
        <v>379</v>
      </c>
      <c r="N87" t="s">
        <v>380</v>
      </c>
      <c r="O87" t="s">
        <v>33</v>
      </c>
      <c r="P87">
        <v>18612</v>
      </c>
      <c r="Q87">
        <v>9082</v>
      </c>
      <c r="R87" t="s">
        <v>23</v>
      </c>
      <c r="S87" s="1" t="s">
        <v>34218</v>
      </c>
    </row>
    <row r="88" spans="1:19" x14ac:dyDescent="0.25">
      <c r="A88">
        <v>100615056</v>
      </c>
      <c r="B88" t="s">
        <v>381</v>
      </c>
      <c r="C88" t="s">
        <v>382</v>
      </c>
      <c r="D88" t="s">
        <v>383</v>
      </c>
      <c r="F88" t="str">
        <f>"3605993372"</f>
        <v>3605993372</v>
      </c>
      <c r="G88" t="s">
        <v>384</v>
      </c>
      <c r="H88" t="s">
        <v>385</v>
      </c>
      <c r="I88" t="s">
        <v>84</v>
      </c>
      <c r="J88">
        <v>98266</v>
      </c>
      <c r="K88">
        <v>2004</v>
      </c>
      <c r="L88" t="s">
        <v>23</v>
      </c>
      <c r="M88" t="s">
        <v>384</v>
      </c>
      <c r="N88" t="s">
        <v>385</v>
      </c>
      <c r="O88" t="s">
        <v>84</v>
      </c>
      <c r="P88">
        <v>98266</v>
      </c>
      <c r="Q88">
        <v>2004</v>
      </c>
      <c r="R88" t="s">
        <v>23</v>
      </c>
      <c r="S88" s="1" t="s">
        <v>34218</v>
      </c>
    </row>
    <row r="89" spans="1:19" x14ac:dyDescent="0.25">
      <c r="A89">
        <v>100625889</v>
      </c>
      <c r="B89" t="s">
        <v>386</v>
      </c>
      <c r="C89" t="s">
        <v>387</v>
      </c>
      <c r="F89" t="str">
        <f>"4146725081"</f>
        <v>4146725081</v>
      </c>
      <c r="G89" t="s">
        <v>388</v>
      </c>
      <c r="H89" t="s">
        <v>389</v>
      </c>
      <c r="I89" t="s">
        <v>100</v>
      </c>
      <c r="J89">
        <v>53215</v>
      </c>
      <c r="K89">
        <v>3713</v>
      </c>
      <c r="L89" t="s">
        <v>23</v>
      </c>
      <c r="M89" t="s">
        <v>388</v>
      </c>
      <c r="N89" t="s">
        <v>389</v>
      </c>
      <c r="O89" t="s">
        <v>100</v>
      </c>
      <c r="P89">
        <v>53215</v>
      </c>
      <c r="Q89">
        <v>3713</v>
      </c>
      <c r="R89" t="s">
        <v>23</v>
      </c>
      <c r="S89" s="1" t="s">
        <v>34218</v>
      </c>
    </row>
    <row r="90" spans="1:19" x14ac:dyDescent="0.25">
      <c r="A90">
        <v>100870059</v>
      </c>
      <c r="B90" t="s">
        <v>390</v>
      </c>
      <c r="C90" t="s">
        <v>391</v>
      </c>
      <c r="F90" t="str">
        <f>"3034822665"</f>
        <v>3034822665</v>
      </c>
      <c r="G90" t="s">
        <v>392</v>
      </c>
      <c r="H90" t="s">
        <v>393</v>
      </c>
      <c r="I90" t="s">
        <v>71</v>
      </c>
      <c r="J90">
        <v>80238</v>
      </c>
      <c r="K90">
        <v>2906</v>
      </c>
      <c r="L90" t="s">
        <v>23</v>
      </c>
      <c r="M90" t="s">
        <v>392</v>
      </c>
      <c r="N90" t="s">
        <v>393</v>
      </c>
      <c r="O90" t="s">
        <v>71</v>
      </c>
      <c r="P90">
        <v>80238</v>
      </c>
      <c r="Q90">
        <v>2906</v>
      </c>
      <c r="R90" t="s">
        <v>23</v>
      </c>
      <c r="S90" s="1" t="s">
        <v>34218</v>
      </c>
    </row>
    <row r="91" spans="1:19" x14ac:dyDescent="0.25">
      <c r="A91">
        <v>100872648</v>
      </c>
      <c r="B91" t="s">
        <v>394</v>
      </c>
      <c r="C91" t="s">
        <v>395</v>
      </c>
      <c r="F91" t="str">
        <f>"5854829968"</f>
        <v>5854829968</v>
      </c>
      <c r="G91" t="s">
        <v>396</v>
      </c>
      <c r="H91" t="s">
        <v>397</v>
      </c>
      <c r="I91" t="s">
        <v>117</v>
      </c>
      <c r="J91">
        <v>14534</v>
      </c>
      <c r="K91">
        <v>3006</v>
      </c>
      <c r="L91" t="s">
        <v>23</v>
      </c>
      <c r="M91" t="s">
        <v>396</v>
      </c>
      <c r="N91" t="s">
        <v>397</v>
      </c>
      <c r="O91" t="s">
        <v>117</v>
      </c>
      <c r="P91">
        <v>14534</v>
      </c>
      <c r="Q91">
        <v>3006</v>
      </c>
      <c r="R91" t="s">
        <v>23</v>
      </c>
      <c r="S91" s="1" t="s">
        <v>34218</v>
      </c>
    </row>
    <row r="92" spans="1:19" x14ac:dyDescent="0.25">
      <c r="A92">
        <v>100878923</v>
      </c>
      <c r="B92" t="s">
        <v>398</v>
      </c>
      <c r="C92" t="s">
        <v>399</v>
      </c>
      <c r="F92" t="str">
        <f>"6035779902"</f>
        <v>6035779902</v>
      </c>
      <c r="G92" t="s">
        <v>400</v>
      </c>
      <c r="H92" t="s">
        <v>401</v>
      </c>
      <c r="I92" t="s">
        <v>353</v>
      </c>
      <c r="J92">
        <v>3051</v>
      </c>
      <c r="K92">
        <v>3134</v>
      </c>
      <c r="L92" t="s">
        <v>23</v>
      </c>
      <c r="M92" t="s">
        <v>400</v>
      </c>
      <c r="N92" t="s">
        <v>401</v>
      </c>
      <c r="O92" t="s">
        <v>353</v>
      </c>
      <c r="P92">
        <v>3051</v>
      </c>
      <c r="Q92">
        <v>3134</v>
      </c>
      <c r="R92" t="s">
        <v>23</v>
      </c>
      <c r="S92" s="1" t="s">
        <v>34218</v>
      </c>
    </row>
    <row r="93" spans="1:19" x14ac:dyDescent="0.25">
      <c r="A93">
        <v>100544634</v>
      </c>
      <c r="B93" t="s">
        <v>402</v>
      </c>
      <c r="C93" t="s">
        <v>403</v>
      </c>
      <c r="F93" t="str">
        <f>"5124438080"</f>
        <v>5124438080</v>
      </c>
      <c r="G93" t="s">
        <v>404</v>
      </c>
      <c r="H93" t="s">
        <v>37</v>
      </c>
      <c r="I93" t="s">
        <v>38</v>
      </c>
      <c r="J93">
        <v>78704</v>
      </c>
      <c r="K93">
        <v>1136</v>
      </c>
      <c r="L93" t="s">
        <v>23</v>
      </c>
      <c r="M93" t="s">
        <v>404</v>
      </c>
      <c r="N93" t="s">
        <v>37</v>
      </c>
      <c r="O93" t="s">
        <v>38</v>
      </c>
      <c r="P93">
        <v>78704</v>
      </c>
      <c r="Q93">
        <v>1136</v>
      </c>
      <c r="R93" t="s">
        <v>23</v>
      </c>
      <c r="S93" s="1" t="s">
        <v>34218</v>
      </c>
    </row>
    <row r="94" spans="1:19" x14ac:dyDescent="0.25">
      <c r="A94">
        <v>100740135</v>
      </c>
      <c r="B94" t="s">
        <v>405</v>
      </c>
      <c r="C94" t="s">
        <v>406</v>
      </c>
      <c r="F94" t="str">
        <f>"5745338298"</f>
        <v>5745338298</v>
      </c>
      <c r="G94" t="s">
        <v>407</v>
      </c>
      <c r="H94" t="s">
        <v>408</v>
      </c>
      <c r="I94" t="s">
        <v>57</v>
      </c>
      <c r="J94">
        <v>46528</v>
      </c>
      <c r="K94">
        <v>2656</v>
      </c>
      <c r="L94" t="s">
        <v>23</v>
      </c>
      <c r="M94" t="s">
        <v>407</v>
      </c>
      <c r="N94" t="s">
        <v>408</v>
      </c>
      <c r="O94" t="s">
        <v>57</v>
      </c>
      <c r="P94">
        <v>46528</v>
      </c>
      <c r="Q94">
        <v>2656</v>
      </c>
      <c r="R94" t="s">
        <v>23</v>
      </c>
      <c r="S94" s="1" t="s">
        <v>34218</v>
      </c>
    </row>
    <row r="95" spans="1:19" x14ac:dyDescent="0.25">
      <c r="A95">
        <v>100747748</v>
      </c>
      <c r="B95" t="s">
        <v>409</v>
      </c>
      <c r="C95" t="s">
        <v>410</v>
      </c>
      <c r="F95" t="str">
        <f>"7184344375"</f>
        <v>7184344375</v>
      </c>
      <c r="G95" t="s">
        <v>411</v>
      </c>
      <c r="H95" t="s">
        <v>412</v>
      </c>
      <c r="I95" t="s">
        <v>117</v>
      </c>
      <c r="J95">
        <v>11230</v>
      </c>
      <c r="K95">
        <v>1902</v>
      </c>
      <c r="L95" t="s">
        <v>23</v>
      </c>
      <c r="M95" t="s">
        <v>411</v>
      </c>
      <c r="N95" t="s">
        <v>412</v>
      </c>
      <c r="O95" t="s">
        <v>117</v>
      </c>
      <c r="P95">
        <v>11230</v>
      </c>
      <c r="Q95">
        <v>1902</v>
      </c>
      <c r="R95" t="s">
        <v>23</v>
      </c>
      <c r="S95" s="1" t="s">
        <v>34218</v>
      </c>
    </row>
    <row r="96" spans="1:19" x14ac:dyDescent="0.25">
      <c r="A96">
        <v>100525031</v>
      </c>
      <c r="B96" t="s">
        <v>413</v>
      </c>
      <c r="C96" t="s">
        <v>403</v>
      </c>
      <c r="F96" t="str">
        <f>"5555555555"</f>
        <v>5555555555</v>
      </c>
      <c r="G96" t="s">
        <v>414</v>
      </c>
      <c r="H96" t="s">
        <v>415</v>
      </c>
      <c r="I96" t="s">
        <v>178</v>
      </c>
      <c r="J96">
        <v>43085</v>
      </c>
      <c r="K96">
        <v>3219</v>
      </c>
      <c r="L96" t="s">
        <v>23</v>
      </c>
      <c r="M96" t="s">
        <v>414</v>
      </c>
      <c r="N96" t="s">
        <v>415</v>
      </c>
      <c r="O96" t="s">
        <v>178</v>
      </c>
      <c r="P96">
        <v>43085</v>
      </c>
      <c r="Q96">
        <v>3219</v>
      </c>
      <c r="R96" t="s">
        <v>23</v>
      </c>
      <c r="S96" s="1" t="s">
        <v>34218</v>
      </c>
    </row>
    <row r="97" spans="1:19" x14ac:dyDescent="0.25">
      <c r="A97">
        <v>100722957</v>
      </c>
      <c r="B97" t="s">
        <v>416</v>
      </c>
      <c r="C97" t="s">
        <v>417</v>
      </c>
      <c r="F97" t="str">
        <f>"8173793019"</f>
        <v>8173793019</v>
      </c>
      <c r="G97" t="s">
        <v>418</v>
      </c>
      <c r="H97" t="s">
        <v>419</v>
      </c>
      <c r="I97" t="s">
        <v>38</v>
      </c>
      <c r="J97">
        <v>76244</v>
      </c>
      <c r="K97">
        <v>7102</v>
      </c>
      <c r="L97" t="s">
        <v>23</v>
      </c>
      <c r="M97" t="s">
        <v>418</v>
      </c>
      <c r="N97" t="s">
        <v>419</v>
      </c>
      <c r="O97" t="s">
        <v>38</v>
      </c>
      <c r="P97">
        <v>76244</v>
      </c>
      <c r="Q97">
        <v>7102</v>
      </c>
      <c r="R97" t="s">
        <v>23</v>
      </c>
      <c r="S97" s="1" t="s">
        <v>34218</v>
      </c>
    </row>
    <row r="98" spans="1:19" x14ac:dyDescent="0.25">
      <c r="A98">
        <v>100558986</v>
      </c>
      <c r="B98" t="s">
        <v>420</v>
      </c>
      <c r="C98" t="s">
        <v>421</v>
      </c>
      <c r="F98" t="str">
        <f>"3035545831"</f>
        <v>3035545831</v>
      </c>
      <c r="G98" t="s">
        <v>422</v>
      </c>
      <c r="H98" t="s">
        <v>423</v>
      </c>
      <c r="I98" t="s">
        <v>71</v>
      </c>
      <c r="J98">
        <v>80303</v>
      </c>
      <c r="K98">
        <v>3218</v>
      </c>
      <c r="L98" t="s">
        <v>23</v>
      </c>
      <c r="M98" t="s">
        <v>422</v>
      </c>
      <c r="N98" t="s">
        <v>423</v>
      </c>
      <c r="O98" t="s">
        <v>71</v>
      </c>
      <c r="P98">
        <v>80303</v>
      </c>
      <c r="Q98">
        <v>3218</v>
      </c>
      <c r="R98" t="s">
        <v>23</v>
      </c>
      <c r="S98" s="1" t="s">
        <v>34218</v>
      </c>
    </row>
    <row r="99" spans="1:19" x14ac:dyDescent="0.25">
      <c r="A99">
        <v>100560743</v>
      </c>
      <c r="B99" t="s">
        <v>424</v>
      </c>
      <c r="C99" t="s">
        <v>54</v>
      </c>
      <c r="F99" t="str">
        <f>"3047251992"</f>
        <v>3047251992</v>
      </c>
      <c r="G99" t="s">
        <v>425</v>
      </c>
      <c r="H99" t="s">
        <v>426</v>
      </c>
      <c r="I99" t="s">
        <v>327</v>
      </c>
      <c r="J99">
        <v>25430</v>
      </c>
      <c r="K99">
        <v>5601</v>
      </c>
      <c r="L99" t="s">
        <v>23</v>
      </c>
      <c r="M99" t="s">
        <v>425</v>
      </c>
      <c r="N99" t="s">
        <v>426</v>
      </c>
      <c r="O99" t="s">
        <v>327</v>
      </c>
      <c r="P99">
        <v>25430</v>
      </c>
      <c r="Q99">
        <v>5601</v>
      </c>
      <c r="R99" t="s">
        <v>23</v>
      </c>
      <c r="S99" s="1" t="s">
        <v>34218</v>
      </c>
    </row>
    <row r="100" spans="1:19" x14ac:dyDescent="0.25">
      <c r="A100">
        <v>100571975</v>
      </c>
      <c r="B100" t="s">
        <v>427</v>
      </c>
      <c r="C100" t="s">
        <v>428</v>
      </c>
      <c r="F100" t="str">
        <f>"6313603444"</f>
        <v>6313603444</v>
      </c>
      <c r="G100" t="s">
        <v>429</v>
      </c>
      <c r="H100" t="s">
        <v>430</v>
      </c>
      <c r="I100" t="s">
        <v>117</v>
      </c>
      <c r="J100">
        <v>11787</v>
      </c>
      <c r="K100">
        <v>4440</v>
      </c>
      <c r="L100" t="s">
        <v>23</v>
      </c>
      <c r="M100" t="s">
        <v>429</v>
      </c>
      <c r="N100" t="s">
        <v>430</v>
      </c>
      <c r="O100" t="s">
        <v>117</v>
      </c>
      <c r="P100">
        <v>11787</v>
      </c>
      <c r="Q100">
        <v>4440</v>
      </c>
      <c r="R100" t="s">
        <v>23</v>
      </c>
      <c r="S100" s="1" t="s">
        <v>34218</v>
      </c>
    </row>
    <row r="101" spans="1:19" x14ac:dyDescent="0.25">
      <c r="A101">
        <v>100783357</v>
      </c>
      <c r="B101" t="s">
        <v>431</v>
      </c>
      <c r="C101" t="s">
        <v>432</v>
      </c>
      <c r="F101" t="str">
        <f>"9495827694"</f>
        <v>9495827694</v>
      </c>
      <c r="G101" t="s">
        <v>433</v>
      </c>
      <c r="H101" t="s">
        <v>434</v>
      </c>
      <c r="I101" t="s">
        <v>22</v>
      </c>
      <c r="J101">
        <v>92651</v>
      </c>
      <c r="K101">
        <v>1547</v>
      </c>
      <c r="L101" t="s">
        <v>23</v>
      </c>
      <c r="M101" t="s">
        <v>433</v>
      </c>
      <c r="N101" t="s">
        <v>434</v>
      </c>
      <c r="O101" t="s">
        <v>22</v>
      </c>
      <c r="P101">
        <v>92651</v>
      </c>
      <c r="Q101">
        <v>1547</v>
      </c>
      <c r="R101" t="s">
        <v>23</v>
      </c>
      <c r="S101" s="1" t="s">
        <v>34218</v>
      </c>
    </row>
    <row r="102" spans="1:19" x14ac:dyDescent="0.25">
      <c r="A102">
        <v>100779265</v>
      </c>
      <c r="B102" t="s">
        <v>435</v>
      </c>
      <c r="C102" t="s">
        <v>436</v>
      </c>
      <c r="F102" t="str">
        <f>"3036846723"</f>
        <v>3036846723</v>
      </c>
      <c r="G102" t="s">
        <v>437</v>
      </c>
      <c r="H102" t="s">
        <v>438</v>
      </c>
      <c r="I102" t="s">
        <v>71</v>
      </c>
      <c r="J102">
        <v>80504</v>
      </c>
      <c r="K102">
        <v>3908</v>
      </c>
      <c r="L102" t="s">
        <v>23</v>
      </c>
      <c r="M102" t="s">
        <v>437</v>
      </c>
      <c r="N102" t="s">
        <v>438</v>
      </c>
      <c r="O102" t="s">
        <v>71</v>
      </c>
      <c r="P102">
        <v>80504</v>
      </c>
      <c r="Q102">
        <v>3908</v>
      </c>
      <c r="R102" t="s">
        <v>23</v>
      </c>
      <c r="S102" s="1" t="s">
        <v>34218</v>
      </c>
    </row>
    <row r="103" spans="1:19" x14ac:dyDescent="0.25">
      <c r="A103">
        <v>100976595</v>
      </c>
      <c r="B103" t="s">
        <v>439</v>
      </c>
      <c r="C103" t="s">
        <v>440</v>
      </c>
      <c r="F103" t="str">
        <f>"8107934558"</f>
        <v>8107934558</v>
      </c>
      <c r="G103" t="s">
        <v>441</v>
      </c>
      <c r="H103" t="s">
        <v>442</v>
      </c>
      <c r="I103" t="s">
        <v>140</v>
      </c>
      <c r="J103">
        <v>48421</v>
      </c>
      <c r="K103">
        <v>8808</v>
      </c>
      <c r="L103" t="s">
        <v>23</v>
      </c>
      <c r="M103" t="s">
        <v>441</v>
      </c>
      <c r="N103" t="s">
        <v>442</v>
      </c>
      <c r="O103" t="s">
        <v>140</v>
      </c>
      <c r="P103">
        <v>48421</v>
      </c>
      <c r="Q103">
        <v>8808</v>
      </c>
      <c r="R103" t="s">
        <v>23</v>
      </c>
      <c r="S103" s="1" t="s">
        <v>34218</v>
      </c>
    </row>
    <row r="104" spans="1:19" x14ac:dyDescent="0.25">
      <c r="A104">
        <v>100598945</v>
      </c>
      <c r="B104" t="s">
        <v>443</v>
      </c>
      <c r="C104" t="s">
        <v>282</v>
      </c>
      <c r="F104" t="str">
        <f>"8285455968"</f>
        <v>8285455968</v>
      </c>
      <c r="G104" t="s">
        <v>444</v>
      </c>
      <c r="H104" t="s">
        <v>445</v>
      </c>
      <c r="I104" t="s">
        <v>446</v>
      </c>
      <c r="J104">
        <v>28804</v>
      </c>
      <c r="K104">
        <v>3327</v>
      </c>
      <c r="L104" t="s">
        <v>23</v>
      </c>
      <c r="M104" t="s">
        <v>444</v>
      </c>
      <c r="N104" t="s">
        <v>445</v>
      </c>
      <c r="O104" t="s">
        <v>446</v>
      </c>
      <c r="P104">
        <v>28804</v>
      </c>
      <c r="Q104">
        <v>3327</v>
      </c>
      <c r="R104" t="s">
        <v>23</v>
      </c>
      <c r="S104" s="1" t="s">
        <v>34218</v>
      </c>
    </row>
    <row r="105" spans="1:19" x14ac:dyDescent="0.25">
      <c r="A105">
        <v>100793716</v>
      </c>
      <c r="B105" t="s">
        <v>447</v>
      </c>
      <c r="C105" t="s">
        <v>448</v>
      </c>
      <c r="F105" t="str">
        <f>"6039782292"</f>
        <v>6039782292</v>
      </c>
      <c r="G105" t="s">
        <v>449</v>
      </c>
      <c r="H105" t="s">
        <v>450</v>
      </c>
      <c r="I105" t="s">
        <v>191</v>
      </c>
      <c r="J105">
        <v>3901</v>
      </c>
      <c r="K105">
        <v>2501</v>
      </c>
      <c r="L105" t="s">
        <v>23</v>
      </c>
      <c r="M105" t="s">
        <v>449</v>
      </c>
      <c r="N105" t="s">
        <v>450</v>
      </c>
      <c r="O105" t="s">
        <v>191</v>
      </c>
      <c r="P105">
        <v>3901</v>
      </c>
      <c r="Q105">
        <v>2501</v>
      </c>
      <c r="R105" t="s">
        <v>23</v>
      </c>
      <c r="S105" s="1" t="s">
        <v>34218</v>
      </c>
    </row>
    <row r="106" spans="1:19" x14ac:dyDescent="0.25">
      <c r="A106">
        <v>100801505</v>
      </c>
      <c r="B106" t="s">
        <v>451</v>
      </c>
      <c r="C106" t="s">
        <v>452</v>
      </c>
      <c r="F106" t="str">
        <f>"8059901560"</f>
        <v>8059901560</v>
      </c>
      <c r="G106" t="s">
        <v>453</v>
      </c>
      <c r="H106" t="s">
        <v>454</v>
      </c>
      <c r="I106" t="s">
        <v>22</v>
      </c>
      <c r="J106">
        <v>93063</v>
      </c>
      <c r="K106">
        <v>6409</v>
      </c>
      <c r="L106" t="s">
        <v>23</v>
      </c>
      <c r="M106" t="s">
        <v>453</v>
      </c>
      <c r="N106" t="s">
        <v>454</v>
      </c>
      <c r="O106" t="s">
        <v>22</v>
      </c>
      <c r="P106">
        <v>93063</v>
      </c>
      <c r="Q106">
        <v>6409</v>
      </c>
      <c r="R106" t="s">
        <v>23</v>
      </c>
      <c r="S106" s="1" t="s">
        <v>34218</v>
      </c>
    </row>
    <row r="107" spans="1:19" x14ac:dyDescent="0.25">
      <c r="A107">
        <v>100894897</v>
      </c>
      <c r="B107" t="s">
        <v>455</v>
      </c>
      <c r="C107" t="s">
        <v>456</v>
      </c>
      <c r="F107" t="str">
        <f>"5419162554"</f>
        <v>5419162554</v>
      </c>
      <c r="G107" t="s">
        <v>457</v>
      </c>
      <c r="H107" t="s">
        <v>458</v>
      </c>
      <c r="I107" t="s">
        <v>43</v>
      </c>
      <c r="J107">
        <v>97527</v>
      </c>
      <c r="K107">
        <v>9471</v>
      </c>
      <c r="L107" t="s">
        <v>23</v>
      </c>
      <c r="M107" t="s">
        <v>457</v>
      </c>
      <c r="N107" t="s">
        <v>458</v>
      </c>
      <c r="O107" t="s">
        <v>43</v>
      </c>
      <c r="P107">
        <v>97527</v>
      </c>
      <c r="Q107">
        <v>9471</v>
      </c>
      <c r="R107" t="s">
        <v>23</v>
      </c>
      <c r="S107" s="1" t="s">
        <v>34218</v>
      </c>
    </row>
    <row r="108" spans="1:19" x14ac:dyDescent="0.25">
      <c r="A108">
        <v>100632580</v>
      </c>
      <c r="B108" t="s">
        <v>459</v>
      </c>
      <c r="C108" t="s">
        <v>180</v>
      </c>
      <c r="F108" t="str">
        <f>"7084470153"</f>
        <v>7084470153</v>
      </c>
      <c r="G108" t="s">
        <v>460</v>
      </c>
      <c r="H108" t="s">
        <v>461</v>
      </c>
      <c r="I108" t="s">
        <v>135</v>
      </c>
      <c r="J108">
        <v>60546</v>
      </c>
      <c r="K108">
        <v>2032</v>
      </c>
      <c r="L108" t="s">
        <v>23</v>
      </c>
      <c r="M108" t="s">
        <v>460</v>
      </c>
      <c r="N108" t="s">
        <v>461</v>
      </c>
      <c r="O108" t="s">
        <v>135</v>
      </c>
      <c r="P108">
        <v>60546</v>
      </c>
      <c r="Q108">
        <v>2032</v>
      </c>
      <c r="R108" t="s">
        <v>23</v>
      </c>
      <c r="S108" s="1" t="s">
        <v>34218</v>
      </c>
    </row>
    <row r="109" spans="1:19" x14ac:dyDescent="0.25">
      <c r="A109">
        <v>100650725</v>
      </c>
      <c r="B109" t="s">
        <v>462</v>
      </c>
      <c r="C109" t="s">
        <v>217</v>
      </c>
      <c r="F109" t="str">
        <f>"6316105150"</f>
        <v>6316105150</v>
      </c>
      <c r="G109" t="s">
        <v>463</v>
      </c>
      <c r="H109" t="s">
        <v>464</v>
      </c>
      <c r="I109" t="s">
        <v>117</v>
      </c>
      <c r="J109">
        <v>11940</v>
      </c>
      <c r="K109">
        <v>1413</v>
      </c>
      <c r="L109" t="s">
        <v>23</v>
      </c>
      <c r="M109" t="s">
        <v>463</v>
      </c>
      <c r="N109" t="s">
        <v>464</v>
      </c>
      <c r="O109" t="s">
        <v>117</v>
      </c>
      <c r="P109">
        <v>11940</v>
      </c>
      <c r="Q109">
        <v>1413</v>
      </c>
      <c r="R109" t="s">
        <v>23</v>
      </c>
      <c r="S109" s="1" t="s">
        <v>34218</v>
      </c>
    </row>
    <row r="110" spans="1:19" x14ac:dyDescent="0.25">
      <c r="A110">
        <v>100847759</v>
      </c>
      <c r="B110" t="s">
        <v>465</v>
      </c>
      <c r="C110" t="s">
        <v>466</v>
      </c>
      <c r="F110" t="str">
        <f>"9514368984"</f>
        <v>9514368984</v>
      </c>
      <c r="G110" t="s">
        <v>467</v>
      </c>
      <c r="H110" t="s">
        <v>468</v>
      </c>
      <c r="I110" t="s">
        <v>22</v>
      </c>
      <c r="J110">
        <v>91335</v>
      </c>
      <c r="K110">
        <v>6429</v>
      </c>
      <c r="L110" t="s">
        <v>23</v>
      </c>
      <c r="M110" t="s">
        <v>467</v>
      </c>
      <c r="N110" t="s">
        <v>468</v>
      </c>
      <c r="O110" t="s">
        <v>22</v>
      </c>
      <c r="P110">
        <v>91335</v>
      </c>
      <c r="Q110">
        <v>6429</v>
      </c>
      <c r="R110" t="s">
        <v>23</v>
      </c>
      <c r="S110" s="1" t="s">
        <v>34218</v>
      </c>
    </row>
    <row r="111" spans="1:19" x14ac:dyDescent="0.25">
      <c r="A111">
        <v>101077055</v>
      </c>
      <c r="B111" t="s">
        <v>469</v>
      </c>
      <c r="C111" t="s">
        <v>362</v>
      </c>
      <c r="F111" t="str">
        <f>"4806882140"</f>
        <v>4806882140</v>
      </c>
      <c r="G111" t="s">
        <v>470</v>
      </c>
      <c r="H111" t="s">
        <v>471</v>
      </c>
      <c r="I111" t="s">
        <v>365</v>
      </c>
      <c r="J111">
        <v>85266</v>
      </c>
      <c r="K111">
        <v>8812</v>
      </c>
      <c r="L111" t="s">
        <v>23</v>
      </c>
      <c r="M111" t="s">
        <v>470</v>
      </c>
      <c r="N111" t="s">
        <v>471</v>
      </c>
      <c r="O111" t="s">
        <v>365</v>
      </c>
      <c r="P111">
        <v>85266</v>
      </c>
      <c r="Q111">
        <v>8812</v>
      </c>
      <c r="R111" t="s">
        <v>23</v>
      </c>
      <c r="S111" s="1" t="s">
        <v>34218</v>
      </c>
    </row>
    <row r="112" spans="1:19" x14ac:dyDescent="0.25">
      <c r="A112">
        <v>100686449</v>
      </c>
      <c r="B112" t="s">
        <v>377</v>
      </c>
      <c r="C112" t="s">
        <v>472</v>
      </c>
      <c r="F112" t="str">
        <f>"5555555555"</f>
        <v>5555555555</v>
      </c>
      <c r="G112" t="s">
        <v>473</v>
      </c>
      <c r="H112" t="s">
        <v>182</v>
      </c>
      <c r="I112" t="s">
        <v>22</v>
      </c>
      <c r="J112">
        <v>93432</v>
      </c>
      <c r="K112">
        <v>9773</v>
      </c>
      <c r="L112" t="s">
        <v>23</v>
      </c>
      <c r="M112" t="s">
        <v>473</v>
      </c>
      <c r="N112" t="s">
        <v>182</v>
      </c>
      <c r="O112" t="s">
        <v>22</v>
      </c>
      <c r="P112">
        <v>93432</v>
      </c>
      <c r="Q112">
        <v>9773</v>
      </c>
      <c r="R112" t="s">
        <v>23</v>
      </c>
      <c r="S112" s="1" t="s">
        <v>34218</v>
      </c>
    </row>
    <row r="113" spans="1:19" x14ac:dyDescent="0.25">
      <c r="A113">
        <v>100689369</v>
      </c>
      <c r="B113" t="s">
        <v>474</v>
      </c>
      <c r="C113" t="s">
        <v>475</v>
      </c>
      <c r="F113" t="str">
        <f>"3043008460"</f>
        <v>3043008460</v>
      </c>
      <c r="G113" t="s">
        <v>476</v>
      </c>
      <c r="H113" t="s">
        <v>477</v>
      </c>
      <c r="I113" t="s">
        <v>52</v>
      </c>
      <c r="J113">
        <v>32569</v>
      </c>
      <c r="K113">
        <v>2226</v>
      </c>
      <c r="L113" t="s">
        <v>23</v>
      </c>
      <c r="M113" t="s">
        <v>476</v>
      </c>
      <c r="N113" t="s">
        <v>477</v>
      </c>
      <c r="O113" t="s">
        <v>52</v>
      </c>
      <c r="P113">
        <v>32569</v>
      </c>
      <c r="Q113">
        <v>2226</v>
      </c>
      <c r="R113" t="s">
        <v>23</v>
      </c>
      <c r="S113" s="1" t="s">
        <v>34218</v>
      </c>
    </row>
    <row r="114" spans="1:19" x14ac:dyDescent="0.25">
      <c r="A114">
        <v>101102824</v>
      </c>
      <c r="B114" t="s">
        <v>478</v>
      </c>
      <c r="C114" t="s">
        <v>479</v>
      </c>
      <c r="F114" t="str">
        <f>"4082248441"</f>
        <v>4082248441</v>
      </c>
      <c r="G114" t="s">
        <v>480</v>
      </c>
      <c r="H114" t="s">
        <v>481</v>
      </c>
      <c r="I114" t="s">
        <v>22</v>
      </c>
      <c r="J114">
        <v>95123</v>
      </c>
      <c r="K114">
        <v>2639</v>
      </c>
      <c r="L114" t="s">
        <v>23</v>
      </c>
      <c r="M114" t="s">
        <v>480</v>
      </c>
      <c r="N114" t="s">
        <v>481</v>
      </c>
      <c r="O114" t="s">
        <v>22</v>
      </c>
      <c r="P114">
        <v>95123</v>
      </c>
      <c r="Q114">
        <v>2639</v>
      </c>
      <c r="R114" t="s">
        <v>23</v>
      </c>
      <c r="S114" s="1" t="s">
        <v>34218</v>
      </c>
    </row>
    <row r="115" spans="1:19" x14ac:dyDescent="0.25">
      <c r="A115">
        <v>100886361</v>
      </c>
      <c r="B115" t="s">
        <v>482</v>
      </c>
      <c r="C115" t="s">
        <v>483</v>
      </c>
      <c r="F115" t="str">
        <f>"8034484175"</f>
        <v>8034484175</v>
      </c>
      <c r="G115" t="s">
        <v>484</v>
      </c>
      <c r="H115" t="s">
        <v>485</v>
      </c>
      <c r="I115" t="s">
        <v>446</v>
      </c>
      <c r="J115">
        <v>28173</v>
      </c>
      <c r="K115">
        <v>7859</v>
      </c>
      <c r="L115" t="s">
        <v>23</v>
      </c>
      <c r="M115" t="s">
        <v>484</v>
      </c>
      <c r="N115" t="s">
        <v>485</v>
      </c>
      <c r="O115" t="s">
        <v>446</v>
      </c>
      <c r="P115">
        <v>28173</v>
      </c>
      <c r="Q115">
        <v>7859</v>
      </c>
      <c r="R115" t="s">
        <v>23</v>
      </c>
      <c r="S115" s="1" t="s">
        <v>34218</v>
      </c>
    </row>
    <row r="116" spans="1:19" x14ac:dyDescent="0.25">
      <c r="A116">
        <v>101067063</v>
      </c>
      <c r="B116" t="s">
        <v>486</v>
      </c>
      <c r="C116" t="s">
        <v>286</v>
      </c>
      <c r="F116" t="str">
        <f>"2037706523"</f>
        <v>2037706523</v>
      </c>
      <c r="G116" t="s">
        <v>487</v>
      </c>
      <c r="H116" t="s">
        <v>488</v>
      </c>
      <c r="I116" t="s">
        <v>161</v>
      </c>
      <c r="J116">
        <v>6804</v>
      </c>
      <c r="K116">
        <v>1327</v>
      </c>
      <c r="L116" t="s">
        <v>23</v>
      </c>
      <c r="M116" t="s">
        <v>487</v>
      </c>
      <c r="N116" t="s">
        <v>488</v>
      </c>
      <c r="O116" t="s">
        <v>161</v>
      </c>
      <c r="P116">
        <v>6804</v>
      </c>
      <c r="Q116">
        <v>1327</v>
      </c>
      <c r="R116" t="s">
        <v>23</v>
      </c>
      <c r="S116" s="1" t="s">
        <v>34218</v>
      </c>
    </row>
    <row r="117" spans="1:19" x14ac:dyDescent="0.25">
      <c r="A117">
        <v>100537961</v>
      </c>
      <c r="B117" t="s">
        <v>489</v>
      </c>
      <c r="C117" t="s">
        <v>490</v>
      </c>
      <c r="F117" t="str">
        <f>"4128243098"</f>
        <v>4128243098</v>
      </c>
      <c r="G117" t="s">
        <v>491</v>
      </c>
      <c r="H117" t="s">
        <v>492</v>
      </c>
      <c r="I117" t="s">
        <v>33</v>
      </c>
      <c r="J117">
        <v>15137</v>
      </c>
      <c r="K117">
        <v>2521</v>
      </c>
      <c r="L117" t="s">
        <v>23</v>
      </c>
      <c r="M117" t="s">
        <v>491</v>
      </c>
      <c r="N117" t="s">
        <v>492</v>
      </c>
      <c r="O117" t="s">
        <v>33</v>
      </c>
      <c r="P117">
        <v>15137</v>
      </c>
      <c r="Q117">
        <v>2521</v>
      </c>
      <c r="R117" t="s">
        <v>23</v>
      </c>
      <c r="S117" s="1" t="s">
        <v>34218</v>
      </c>
    </row>
    <row r="118" spans="1:19" x14ac:dyDescent="0.25">
      <c r="A118">
        <v>100538786</v>
      </c>
      <c r="B118" t="s">
        <v>493</v>
      </c>
      <c r="C118" t="s">
        <v>494</v>
      </c>
      <c r="F118" t="str">
        <f>"4154972051"</f>
        <v>4154972051</v>
      </c>
      <c r="G118" t="s">
        <v>495</v>
      </c>
      <c r="H118" t="s">
        <v>496</v>
      </c>
      <c r="I118" t="s">
        <v>22</v>
      </c>
      <c r="J118">
        <v>94954</v>
      </c>
      <c r="K118">
        <v>3834</v>
      </c>
      <c r="L118" t="s">
        <v>23</v>
      </c>
      <c r="M118" t="s">
        <v>495</v>
      </c>
      <c r="N118" t="s">
        <v>496</v>
      </c>
      <c r="O118" t="s">
        <v>22</v>
      </c>
      <c r="P118">
        <v>94954</v>
      </c>
      <c r="Q118">
        <v>3834</v>
      </c>
      <c r="R118" t="s">
        <v>23</v>
      </c>
      <c r="S118" s="1" t="s">
        <v>34218</v>
      </c>
    </row>
    <row r="119" spans="1:19" x14ac:dyDescent="0.25">
      <c r="A119">
        <v>100750371</v>
      </c>
      <c r="B119" t="s">
        <v>497</v>
      </c>
      <c r="C119" t="s">
        <v>498</v>
      </c>
      <c r="F119" t="str">
        <f>"2199269155"</f>
        <v>2199269155</v>
      </c>
      <c r="G119" t="s">
        <v>499</v>
      </c>
      <c r="H119" t="s">
        <v>500</v>
      </c>
      <c r="I119" t="s">
        <v>57</v>
      </c>
      <c r="J119">
        <v>46304</v>
      </c>
      <c r="K119">
        <v>3394</v>
      </c>
      <c r="L119" t="s">
        <v>23</v>
      </c>
      <c r="M119" t="s">
        <v>499</v>
      </c>
      <c r="N119" t="s">
        <v>500</v>
      </c>
      <c r="O119" t="s">
        <v>57</v>
      </c>
      <c r="P119">
        <v>46304</v>
      </c>
      <c r="Q119">
        <v>3394</v>
      </c>
      <c r="R119" t="s">
        <v>23</v>
      </c>
      <c r="S119" s="1" t="s">
        <v>34218</v>
      </c>
    </row>
    <row r="120" spans="1:19" x14ac:dyDescent="0.25">
      <c r="A120">
        <v>100752885</v>
      </c>
      <c r="B120" t="s">
        <v>501</v>
      </c>
      <c r="C120" t="s">
        <v>502</v>
      </c>
      <c r="F120" t="str">
        <f>"3605793735"</f>
        <v>3605793735</v>
      </c>
      <c r="G120" t="s">
        <v>503</v>
      </c>
      <c r="H120" t="s">
        <v>504</v>
      </c>
      <c r="I120" t="s">
        <v>84</v>
      </c>
      <c r="J120">
        <v>98236</v>
      </c>
      <c r="K120">
        <v>9768</v>
      </c>
      <c r="L120" t="s">
        <v>23</v>
      </c>
      <c r="M120" t="s">
        <v>503</v>
      </c>
      <c r="N120" t="s">
        <v>504</v>
      </c>
      <c r="O120" t="s">
        <v>84</v>
      </c>
      <c r="P120">
        <v>98236</v>
      </c>
      <c r="Q120">
        <v>9768</v>
      </c>
      <c r="R120" t="s">
        <v>23</v>
      </c>
      <c r="S120" s="1" t="s">
        <v>34218</v>
      </c>
    </row>
    <row r="121" spans="1:19" x14ac:dyDescent="0.25">
      <c r="A121">
        <v>100550890</v>
      </c>
      <c r="B121" t="s">
        <v>497</v>
      </c>
      <c r="C121" t="s">
        <v>505</v>
      </c>
      <c r="F121" t="str">
        <f>"8144744551"</f>
        <v>8144744551</v>
      </c>
      <c r="G121" t="s">
        <v>506</v>
      </c>
      <c r="H121" t="s">
        <v>507</v>
      </c>
      <c r="I121" t="s">
        <v>33</v>
      </c>
      <c r="J121">
        <v>16415</v>
      </c>
      <c r="K121">
        <v>2056</v>
      </c>
      <c r="L121" t="s">
        <v>23</v>
      </c>
      <c r="M121" t="s">
        <v>506</v>
      </c>
      <c r="N121" t="s">
        <v>507</v>
      </c>
      <c r="O121" t="s">
        <v>33</v>
      </c>
      <c r="P121">
        <v>16415</v>
      </c>
      <c r="Q121">
        <v>2056</v>
      </c>
      <c r="R121" t="s">
        <v>23</v>
      </c>
      <c r="S121" s="1" t="s">
        <v>34218</v>
      </c>
    </row>
    <row r="122" spans="1:19" x14ac:dyDescent="0.25">
      <c r="A122">
        <v>100551904</v>
      </c>
      <c r="B122" t="s">
        <v>508</v>
      </c>
      <c r="C122" t="s">
        <v>509</v>
      </c>
      <c r="F122" t="str">
        <f>"8146515810"</f>
        <v>8146515810</v>
      </c>
      <c r="G122" t="s">
        <v>510</v>
      </c>
      <c r="H122" t="s">
        <v>511</v>
      </c>
      <c r="I122" t="s">
        <v>33</v>
      </c>
      <c r="J122">
        <v>16509</v>
      </c>
      <c r="K122">
        <v>5520</v>
      </c>
      <c r="L122" t="s">
        <v>23</v>
      </c>
      <c r="M122" t="s">
        <v>510</v>
      </c>
      <c r="N122" t="s">
        <v>511</v>
      </c>
      <c r="O122" t="s">
        <v>33</v>
      </c>
      <c r="P122">
        <v>16509</v>
      </c>
      <c r="Q122">
        <v>5520</v>
      </c>
      <c r="R122" t="s">
        <v>23</v>
      </c>
      <c r="S122" s="1" t="s">
        <v>34218</v>
      </c>
    </row>
    <row r="123" spans="1:19" x14ac:dyDescent="0.25">
      <c r="A123">
        <v>100555513</v>
      </c>
      <c r="B123" t="s">
        <v>512</v>
      </c>
      <c r="C123" t="s">
        <v>513</v>
      </c>
      <c r="F123" t="str">
        <f>"3104461904"</f>
        <v>3104461904</v>
      </c>
      <c r="G123" t="s">
        <v>514</v>
      </c>
      <c r="H123" t="s">
        <v>299</v>
      </c>
      <c r="I123" t="s">
        <v>22</v>
      </c>
      <c r="J123">
        <v>90025</v>
      </c>
      <c r="K123">
        <v>5920</v>
      </c>
      <c r="L123" t="s">
        <v>23</v>
      </c>
      <c r="M123" t="s">
        <v>514</v>
      </c>
      <c r="N123" t="s">
        <v>299</v>
      </c>
      <c r="O123" t="s">
        <v>22</v>
      </c>
      <c r="P123">
        <v>90025</v>
      </c>
      <c r="Q123">
        <v>5920</v>
      </c>
      <c r="R123" t="s">
        <v>23</v>
      </c>
      <c r="S123" s="1" t="s">
        <v>34218</v>
      </c>
    </row>
    <row r="124" spans="1:19" x14ac:dyDescent="0.25">
      <c r="A124">
        <v>100777873</v>
      </c>
      <c r="B124" t="s">
        <v>515</v>
      </c>
      <c r="C124" t="s">
        <v>516</v>
      </c>
      <c r="F124" t="str">
        <f>"7076669032"</f>
        <v>7076669032</v>
      </c>
      <c r="G124" t="s">
        <v>517</v>
      </c>
      <c r="H124" t="s">
        <v>21</v>
      </c>
      <c r="I124" t="s">
        <v>22</v>
      </c>
      <c r="J124">
        <v>95403</v>
      </c>
      <c r="K124">
        <v>8154</v>
      </c>
      <c r="L124" t="s">
        <v>23</v>
      </c>
      <c r="M124" t="s">
        <v>517</v>
      </c>
      <c r="N124" t="s">
        <v>21</v>
      </c>
      <c r="O124" t="s">
        <v>22</v>
      </c>
      <c r="P124">
        <v>95403</v>
      </c>
      <c r="Q124">
        <v>8154</v>
      </c>
      <c r="R124" t="s">
        <v>23</v>
      </c>
      <c r="S124" s="1" t="s">
        <v>34218</v>
      </c>
    </row>
    <row r="125" spans="1:19" x14ac:dyDescent="0.25">
      <c r="A125">
        <v>100646009</v>
      </c>
      <c r="B125" t="s">
        <v>518</v>
      </c>
      <c r="C125" t="s">
        <v>519</v>
      </c>
      <c r="F125" t="str">
        <f>"7154624322"</f>
        <v>7154624322</v>
      </c>
      <c r="G125" t="s">
        <v>520</v>
      </c>
      <c r="H125" t="s">
        <v>521</v>
      </c>
      <c r="I125" t="s">
        <v>100</v>
      </c>
      <c r="J125">
        <v>54843</v>
      </c>
      <c r="K125">
        <v>4093</v>
      </c>
      <c r="L125" t="s">
        <v>23</v>
      </c>
      <c r="M125" t="s">
        <v>520</v>
      </c>
      <c r="N125" t="s">
        <v>521</v>
      </c>
      <c r="O125" t="s">
        <v>100</v>
      </c>
      <c r="P125">
        <v>54843</v>
      </c>
      <c r="Q125">
        <v>4093</v>
      </c>
      <c r="R125" t="s">
        <v>23</v>
      </c>
      <c r="S125" s="1" t="s">
        <v>34218</v>
      </c>
    </row>
    <row r="126" spans="1:19" x14ac:dyDescent="0.25">
      <c r="A126">
        <v>100655670</v>
      </c>
      <c r="B126" t="s">
        <v>497</v>
      </c>
      <c r="C126" t="s">
        <v>522</v>
      </c>
      <c r="F126" t="str">
        <f>"8055226056"</f>
        <v>8055226056</v>
      </c>
      <c r="G126" t="s">
        <v>523</v>
      </c>
      <c r="H126" t="s">
        <v>454</v>
      </c>
      <c r="I126" t="s">
        <v>22</v>
      </c>
      <c r="J126">
        <v>93063</v>
      </c>
      <c r="K126">
        <v>2840</v>
      </c>
      <c r="L126" t="s">
        <v>23</v>
      </c>
      <c r="M126" t="s">
        <v>523</v>
      </c>
      <c r="N126" t="s">
        <v>454</v>
      </c>
      <c r="O126" t="s">
        <v>22</v>
      </c>
      <c r="P126">
        <v>93063</v>
      </c>
      <c r="Q126">
        <v>2840</v>
      </c>
      <c r="R126" t="s">
        <v>23</v>
      </c>
      <c r="S126" s="1" t="s">
        <v>34218</v>
      </c>
    </row>
    <row r="127" spans="1:19" x14ac:dyDescent="0.25">
      <c r="A127">
        <v>100855890</v>
      </c>
      <c r="B127" t="s">
        <v>524</v>
      </c>
      <c r="C127" t="s">
        <v>158</v>
      </c>
      <c r="F127" t="str">
        <f>"5555555555"</f>
        <v>5555555555</v>
      </c>
      <c r="G127" t="s">
        <v>525</v>
      </c>
      <c r="H127" t="s">
        <v>526</v>
      </c>
      <c r="I127" t="s">
        <v>236</v>
      </c>
      <c r="J127">
        <v>2339</v>
      </c>
      <c r="K127">
        <v>2307</v>
      </c>
      <c r="L127" t="s">
        <v>23</v>
      </c>
      <c r="M127" t="s">
        <v>525</v>
      </c>
      <c r="N127" t="s">
        <v>526</v>
      </c>
      <c r="O127" t="s">
        <v>236</v>
      </c>
      <c r="P127">
        <v>2339</v>
      </c>
      <c r="Q127">
        <v>2307</v>
      </c>
      <c r="R127" t="s">
        <v>23</v>
      </c>
      <c r="S127" s="1" t="s">
        <v>34218</v>
      </c>
    </row>
    <row r="128" spans="1:19" x14ac:dyDescent="0.25">
      <c r="A128">
        <v>100863361</v>
      </c>
      <c r="B128" t="s">
        <v>527</v>
      </c>
      <c r="C128" t="s">
        <v>262</v>
      </c>
      <c r="F128" t="str">
        <f>"9702171564"</f>
        <v>9702171564</v>
      </c>
      <c r="G128" t="s">
        <v>528</v>
      </c>
      <c r="H128" t="s">
        <v>529</v>
      </c>
      <c r="I128" t="s">
        <v>71</v>
      </c>
      <c r="J128">
        <v>80538</v>
      </c>
      <c r="K128">
        <v>1453</v>
      </c>
      <c r="L128" t="s">
        <v>23</v>
      </c>
      <c r="M128" t="s">
        <v>528</v>
      </c>
      <c r="N128" t="s">
        <v>529</v>
      </c>
      <c r="O128" t="s">
        <v>71</v>
      </c>
      <c r="P128">
        <v>80538</v>
      </c>
      <c r="Q128">
        <v>1453</v>
      </c>
      <c r="R128" t="s">
        <v>23</v>
      </c>
      <c r="S128" s="1" t="s">
        <v>34218</v>
      </c>
    </row>
    <row r="129" spans="1:19" x14ac:dyDescent="0.25">
      <c r="A129">
        <v>100578759</v>
      </c>
      <c r="B129" t="s">
        <v>530</v>
      </c>
      <c r="C129" t="s">
        <v>531</v>
      </c>
      <c r="F129" t="str">
        <f>"2699259760"</f>
        <v>2699259760</v>
      </c>
      <c r="G129" t="s">
        <v>532</v>
      </c>
      <c r="H129" t="s">
        <v>533</v>
      </c>
      <c r="I129" t="s">
        <v>140</v>
      </c>
      <c r="J129">
        <v>49022</v>
      </c>
      <c r="K129">
        <v>7030</v>
      </c>
      <c r="L129" t="s">
        <v>23</v>
      </c>
      <c r="M129" t="s">
        <v>532</v>
      </c>
      <c r="N129" t="s">
        <v>533</v>
      </c>
      <c r="O129" t="s">
        <v>140</v>
      </c>
      <c r="P129">
        <v>49022</v>
      </c>
      <c r="Q129">
        <v>7030</v>
      </c>
      <c r="R129" t="s">
        <v>23</v>
      </c>
      <c r="S129" s="1" t="s">
        <v>34218</v>
      </c>
    </row>
    <row r="130" spans="1:19" x14ac:dyDescent="0.25">
      <c r="A130">
        <v>100583901</v>
      </c>
      <c r="B130" t="s">
        <v>534</v>
      </c>
      <c r="C130" t="s">
        <v>535</v>
      </c>
      <c r="F130" t="str">
        <f>"6174361809"</f>
        <v>6174361809</v>
      </c>
      <c r="G130" t="s">
        <v>536</v>
      </c>
      <c r="H130" t="s">
        <v>537</v>
      </c>
      <c r="I130" t="s">
        <v>52</v>
      </c>
      <c r="J130">
        <v>32080</v>
      </c>
      <c r="K130">
        <v>8341</v>
      </c>
      <c r="L130" t="s">
        <v>23</v>
      </c>
      <c r="M130" t="s">
        <v>536</v>
      </c>
      <c r="N130" t="s">
        <v>537</v>
      </c>
      <c r="O130" t="s">
        <v>52</v>
      </c>
      <c r="P130">
        <v>32080</v>
      </c>
      <c r="Q130">
        <v>8341</v>
      </c>
      <c r="R130" t="s">
        <v>23</v>
      </c>
      <c r="S130" s="1" t="s">
        <v>34218</v>
      </c>
    </row>
    <row r="131" spans="1:19" x14ac:dyDescent="0.25">
      <c r="A131">
        <v>100589158</v>
      </c>
      <c r="B131" t="s">
        <v>538</v>
      </c>
      <c r="C131" t="s">
        <v>539</v>
      </c>
      <c r="F131" t="str">
        <f>"5708976907"</f>
        <v>5708976907</v>
      </c>
      <c r="G131" t="s">
        <v>540</v>
      </c>
      <c r="H131" t="s">
        <v>541</v>
      </c>
      <c r="I131" t="s">
        <v>33</v>
      </c>
      <c r="J131">
        <v>18343</v>
      </c>
      <c r="K131">
        <v>6038</v>
      </c>
      <c r="L131" t="s">
        <v>23</v>
      </c>
      <c r="M131" t="s">
        <v>540</v>
      </c>
      <c r="N131" t="s">
        <v>541</v>
      </c>
      <c r="O131" t="s">
        <v>33</v>
      </c>
      <c r="P131">
        <v>18343</v>
      </c>
      <c r="Q131">
        <v>6038</v>
      </c>
      <c r="R131" t="s">
        <v>23</v>
      </c>
      <c r="S131" s="1" t="s">
        <v>34218</v>
      </c>
    </row>
    <row r="132" spans="1:19" x14ac:dyDescent="0.25">
      <c r="A132">
        <v>101026895</v>
      </c>
      <c r="B132" t="s">
        <v>542</v>
      </c>
      <c r="C132" t="s">
        <v>543</v>
      </c>
      <c r="F132" t="str">
        <f>"7655329073"</f>
        <v>7655329073</v>
      </c>
      <c r="G132" t="s">
        <v>544</v>
      </c>
      <c r="H132" t="s">
        <v>545</v>
      </c>
      <c r="I132" t="s">
        <v>57</v>
      </c>
      <c r="J132">
        <v>47906</v>
      </c>
      <c r="K132">
        <v>5748</v>
      </c>
      <c r="L132" t="s">
        <v>23</v>
      </c>
      <c r="M132" t="s">
        <v>544</v>
      </c>
      <c r="N132" t="s">
        <v>545</v>
      </c>
      <c r="O132" t="s">
        <v>57</v>
      </c>
      <c r="P132">
        <v>47906</v>
      </c>
      <c r="Q132">
        <v>5748</v>
      </c>
      <c r="R132" t="s">
        <v>23</v>
      </c>
      <c r="S132" s="1" t="s">
        <v>34218</v>
      </c>
    </row>
    <row r="133" spans="1:19" x14ac:dyDescent="0.25">
      <c r="A133">
        <v>100659279</v>
      </c>
      <c r="B133" t="s">
        <v>546</v>
      </c>
      <c r="C133" t="s">
        <v>547</v>
      </c>
      <c r="F133" t="str">
        <f>"8042993160"</f>
        <v>8042993160</v>
      </c>
      <c r="G133" t="s">
        <v>548</v>
      </c>
      <c r="H133" t="s">
        <v>177</v>
      </c>
      <c r="I133" t="s">
        <v>255</v>
      </c>
      <c r="J133">
        <v>23005</v>
      </c>
      <c r="K133">
        <v>2455</v>
      </c>
      <c r="L133" t="s">
        <v>23</v>
      </c>
      <c r="M133" t="s">
        <v>548</v>
      </c>
      <c r="N133" t="s">
        <v>177</v>
      </c>
      <c r="O133" t="s">
        <v>255</v>
      </c>
      <c r="P133">
        <v>23005</v>
      </c>
      <c r="Q133">
        <v>2455</v>
      </c>
      <c r="R133" t="s">
        <v>23</v>
      </c>
      <c r="S133" s="1" t="s">
        <v>34218</v>
      </c>
    </row>
    <row r="134" spans="1:19" x14ac:dyDescent="0.25">
      <c r="A134">
        <v>100865216</v>
      </c>
      <c r="B134" t="s">
        <v>549</v>
      </c>
      <c r="C134" t="s">
        <v>550</v>
      </c>
      <c r="F134" t="str">
        <f>"5167942353"</f>
        <v>5167942353</v>
      </c>
      <c r="G134" t="s">
        <v>551</v>
      </c>
      <c r="H134" t="s">
        <v>552</v>
      </c>
      <c r="I134" t="s">
        <v>117</v>
      </c>
      <c r="J134">
        <v>11554</v>
      </c>
      <c r="K134">
        <v>4052</v>
      </c>
      <c r="L134" t="s">
        <v>23</v>
      </c>
      <c r="M134" t="s">
        <v>551</v>
      </c>
      <c r="N134" t="s">
        <v>552</v>
      </c>
      <c r="O134" t="s">
        <v>117</v>
      </c>
      <c r="P134">
        <v>11554</v>
      </c>
      <c r="Q134">
        <v>4052</v>
      </c>
      <c r="R134" t="s">
        <v>23</v>
      </c>
      <c r="S134" s="1" t="s">
        <v>34218</v>
      </c>
    </row>
    <row r="135" spans="1:19" x14ac:dyDescent="0.25">
      <c r="A135">
        <v>100911158</v>
      </c>
      <c r="B135" t="s">
        <v>553</v>
      </c>
      <c r="C135" t="s">
        <v>554</v>
      </c>
      <c r="F135" t="str">
        <f>"8313355492"</f>
        <v>8313355492</v>
      </c>
      <c r="G135" t="s">
        <v>555</v>
      </c>
      <c r="H135" t="s">
        <v>556</v>
      </c>
      <c r="I135" t="s">
        <v>22</v>
      </c>
      <c r="J135">
        <v>95018</v>
      </c>
      <c r="K135">
        <v>9267</v>
      </c>
      <c r="L135" t="s">
        <v>23</v>
      </c>
      <c r="M135" t="s">
        <v>555</v>
      </c>
      <c r="N135" t="s">
        <v>556</v>
      </c>
      <c r="O135" t="s">
        <v>22</v>
      </c>
      <c r="P135">
        <v>95018</v>
      </c>
      <c r="Q135">
        <v>9267</v>
      </c>
      <c r="R135" t="s">
        <v>23</v>
      </c>
      <c r="S135" s="1" t="s">
        <v>34218</v>
      </c>
    </row>
    <row r="136" spans="1:19" x14ac:dyDescent="0.25">
      <c r="A136">
        <v>100924727</v>
      </c>
      <c r="B136" t="s">
        <v>557</v>
      </c>
      <c r="C136" t="s">
        <v>558</v>
      </c>
      <c r="F136" t="str">
        <f>"3013409013"</f>
        <v>3013409013</v>
      </c>
      <c r="G136" t="s">
        <v>559</v>
      </c>
      <c r="H136" t="s">
        <v>560</v>
      </c>
      <c r="I136" t="s">
        <v>148</v>
      </c>
      <c r="J136">
        <v>20850</v>
      </c>
      <c r="K136">
        <v>1929</v>
      </c>
      <c r="L136" t="s">
        <v>23</v>
      </c>
      <c r="M136" t="s">
        <v>559</v>
      </c>
      <c r="N136" t="s">
        <v>560</v>
      </c>
      <c r="O136" t="s">
        <v>148</v>
      </c>
      <c r="P136">
        <v>20850</v>
      </c>
      <c r="Q136">
        <v>1929</v>
      </c>
      <c r="R136" t="s">
        <v>23</v>
      </c>
      <c r="S136" s="1" t="s">
        <v>34218</v>
      </c>
    </row>
    <row r="137" spans="1:19" x14ac:dyDescent="0.25">
      <c r="A137">
        <v>100937698</v>
      </c>
      <c r="B137" t="s">
        <v>561</v>
      </c>
      <c r="C137" t="s">
        <v>562</v>
      </c>
      <c r="F137" t="str">
        <f>"3192398890"</f>
        <v>3192398890</v>
      </c>
      <c r="G137" t="s">
        <v>563</v>
      </c>
      <c r="H137" t="s">
        <v>564</v>
      </c>
      <c r="I137" t="s">
        <v>565</v>
      </c>
      <c r="J137">
        <v>50660</v>
      </c>
      <c r="K137">
        <v>8564</v>
      </c>
      <c r="L137" t="s">
        <v>23</v>
      </c>
      <c r="M137" t="s">
        <v>563</v>
      </c>
      <c r="N137" t="s">
        <v>564</v>
      </c>
      <c r="O137" t="s">
        <v>565</v>
      </c>
      <c r="P137">
        <v>50660</v>
      </c>
      <c r="Q137">
        <v>8564</v>
      </c>
      <c r="R137" t="s">
        <v>23</v>
      </c>
      <c r="S137" s="1" t="s">
        <v>34218</v>
      </c>
    </row>
    <row r="138" spans="1:19" x14ac:dyDescent="0.25">
      <c r="A138">
        <v>101070590</v>
      </c>
      <c r="B138" t="s">
        <v>566</v>
      </c>
      <c r="C138" t="s">
        <v>567</v>
      </c>
      <c r="F138" t="str">
        <f>"7635191455"</f>
        <v>7635191455</v>
      </c>
      <c r="G138" t="s">
        <v>568</v>
      </c>
      <c r="H138" t="s">
        <v>569</v>
      </c>
      <c r="I138" t="s">
        <v>187</v>
      </c>
      <c r="J138">
        <v>55442</v>
      </c>
      <c r="K138">
        <v>3162</v>
      </c>
      <c r="L138" t="s">
        <v>23</v>
      </c>
      <c r="M138" t="s">
        <v>568</v>
      </c>
      <c r="N138" t="s">
        <v>569</v>
      </c>
      <c r="O138" t="s">
        <v>187</v>
      </c>
      <c r="P138">
        <v>55442</v>
      </c>
      <c r="Q138">
        <v>3162</v>
      </c>
      <c r="R138" t="s">
        <v>23</v>
      </c>
      <c r="S138" s="1" t="s">
        <v>34218</v>
      </c>
    </row>
    <row r="139" spans="1:19" x14ac:dyDescent="0.25">
      <c r="A139">
        <v>100900868</v>
      </c>
      <c r="B139" t="s">
        <v>570</v>
      </c>
      <c r="C139" t="s">
        <v>571</v>
      </c>
      <c r="F139" t="str">
        <f>"2673725700"</f>
        <v>2673725700</v>
      </c>
      <c r="G139" t="s">
        <v>572</v>
      </c>
      <c r="H139" t="s">
        <v>573</v>
      </c>
      <c r="I139" t="s">
        <v>33</v>
      </c>
      <c r="J139">
        <v>19123</v>
      </c>
      <c r="K139">
        <v>3038</v>
      </c>
      <c r="L139" t="s">
        <v>23</v>
      </c>
      <c r="M139" t="s">
        <v>572</v>
      </c>
      <c r="N139" t="s">
        <v>573</v>
      </c>
      <c r="O139" t="s">
        <v>33</v>
      </c>
      <c r="P139">
        <v>19123</v>
      </c>
      <c r="Q139">
        <v>3038</v>
      </c>
      <c r="R139" t="s">
        <v>23</v>
      </c>
      <c r="S139" s="1" t="s">
        <v>34218</v>
      </c>
    </row>
    <row r="140" spans="1:19" x14ac:dyDescent="0.25">
      <c r="A140">
        <v>101108433</v>
      </c>
      <c r="B140" t="s">
        <v>574</v>
      </c>
      <c r="C140" t="s">
        <v>575</v>
      </c>
      <c r="F140" t="str">
        <f>"2034389045"</f>
        <v>2034389045</v>
      </c>
      <c r="G140" t="s">
        <v>576</v>
      </c>
      <c r="H140" t="s">
        <v>577</v>
      </c>
      <c r="I140" t="s">
        <v>161</v>
      </c>
      <c r="J140">
        <v>6877</v>
      </c>
      <c r="K140">
        <v>3707</v>
      </c>
      <c r="L140" t="s">
        <v>23</v>
      </c>
      <c r="M140" t="s">
        <v>576</v>
      </c>
      <c r="N140" t="s">
        <v>577</v>
      </c>
      <c r="O140" t="s">
        <v>161</v>
      </c>
      <c r="P140">
        <v>6877</v>
      </c>
      <c r="Q140">
        <v>3707</v>
      </c>
      <c r="R140" t="s">
        <v>23</v>
      </c>
      <c r="S140" s="1" t="s">
        <v>34218</v>
      </c>
    </row>
    <row r="141" spans="1:19" x14ac:dyDescent="0.25">
      <c r="A141">
        <v>101339666</v>
      </c>
      <c r="B141" t="s">
        <v>578</v>
      </c>
      <c r="C141" t="s">
        <v>579</v>
      </c>
      <c r="F141" t="str">
        <f>"5032970725"</f>
        <v>5032970725</v>
      </c>
      <c r="G141" t="s">
        <v>580</v>
      </c>
      <c r="H141" t="s">
        <v>227</v>
      </c>
      <c r="I141" t="s">
        <v>43</v>
      </c>
      <c r="J141">
        <v>97229</v>
      </c>
      <c r="K141">
        <v>7505</v>
      </c>
      <c r="L141" t="s">
        <v>23</v>
      </c>
      <c r="M141" t="s">
        <v>580</v>
      </c>
      <c r="N141" t="s">
        <v>227</v>
      </c>
      <c r="O141" t="s">
        <v>43</v>
      </c>
      <c r="P141">
        <v>97229</v>
      </c>
      <c r="Q141">
        <v>7505</v>
      </c>
      <c r="R141" t="s">
        <v>23</v>
      </c>
      <c r="S141" s="1" t="s">
        <v>34218</v>
      </c>
    </row>
    <row r="142" spans="1:19" x14ac:dyDescent="0.25">
      <c r="A142">
        <v>100987564</v>
      </c>
      <c r="B142" t="s">
        <v>581</v>
      </c>
      <c r="C142" t="s">
        <v>582</v>
      </c>
      <c r="F142" t="str">
        <f>"3235555555"</f>
        <v>3235555555</v>
      </c>
      <c r="G142" t="s">
        <v>583</v>
      </c>
      <c r="H142" t="s">
        <v>299</v>
      </c>
      <c r="I142" t="s">
        <v>22</v>
      </c>
      <c r="J142">
        <v>90027</v>
      </c>
      <c r="K142">
        <v>3722</v>
      </c>
      <c r="L142" t="s">
        <v>23</v>
      </c>
      <c r="M142" t="s">
        <v>583</v>
      </c>
      <c r="N142" t="s">
        <v>299</v>
      </c>
      <c r="O142" t="s">
        <v>22</v>
      </c>
      <c r="P142">
        <v>90027</v>
      </c>
      <c r="Q142">
        <v>3722</v>
      </c>
      <c r="R142" t="s">
        <v>23</v>
      </c>
      <c r="S142" s="1" t="s">
        <v>34218</v>
      </c>
    </row>
    <row r="143" spans="1:19" x14ac:dyDescent="0.25">
      <c r="A143">
        <v>101163486</v>
      </c>
      <c r="B143" t="s">
        <v>584</v>
      </c>
      <c r="C143" t="s">
        <v>585</v>
      </c>
      <c r="F143" t="str">
        <f>"7732663317"</f>
        <v>7732663317</v>
      </c>
      <c r="G143" t="s">
        <v>586</v>
      </c>
      <c r="H143" t="s">
        <v>134</v>
      </c>
      <c r="I143" t="s">
        <v>135</v>
      </c>
      <c r="J143" t="s">
        <v>587</v>
      </c>
      <c r="K143">
        <v>2169</v>
      </c>
      <c r="L143" t="s">
        <v>23</v>
      </c>
      <c r="M143" t="s">
        <v>586</v>
      </c>
      <c r="N143" t="s">
        <v>134</v>
      </c>
      <c r="O143" t="s">
        <v>135</v>
      </c>
      <c r="P143" t="s">
        <v>587</v>
      </c>
      <c r="Q143">
        <v>2169</v>
      </c>
      <c r="R143" t="s">
        <v>23</v>
      </c>
      <c r="S143" s="1" t="s">
        <v>34218</v>
      </c>
    </row>
    <row r="144" spans="1:19" x14ac:dyDescent="0.25">
      <c r="A144">
        <v>101162591</v>
      </c>
      <c r="B144" t="s">
        <v>588</v>
      </c>
      <c r="C144" t="s">
        <v>589</v>
      </c>
      <c r="F144" t="str">
        <f>"3603121876"</f>
        <v>3603121876</v>
      </c>
      <c r="G144" t="s">
        <v>590</v>
      </c>
      <c r="H144" t="s">
        <v>591</v>
      </c>
      <c r="I144" t="s">
        <v>84</v>
      </c>
      <c r="J144">
        <v>98226</v>
      </c>
      <c r="K144">
        <v>9204</v>
      </c>
      <c r="L144" t="s">
        <v>23</v>
      </c>
      <c r="M144" t="s">
        <v>590</v>
      </c>
      <c r="N144" t="s">
        <v>591</v>
      </c>
      <c r="O144" t="s">
        <v>84</v>
      </c>
      <c r="P144">
        <v>98226</v>
      </c>
      <c r="Q144">
        <v>9204</v>
      </c>
      <c r="R144" t="s">
        <v>23</v>
      </c>
      <c r="S144" s="1" t="s">
        <v>34218</v>
      </c>
    </row>
    <row r="145" spans="1:19" x14ac:dyDescent="0.25">
      <c r="A145">
        <v>100529902</v>
      </c>
      <c r="B145" t="s">
        <v>592</v>
      </c>
      <c r="C145" t="s">
        <v>593</v>
      </c>
      <c r="F145" t="str">
        <f>"5106572534"</f>
        <v>5106572534</v>
      </c>
      <c r="G145" t="s">
        <v>594</v>
      </c>
      <c r="H145" t="s">
        <v>595</v>
      </c>
      <c r="I145" t="s">
        <v>22</v>
      </c>
      <c r="J145">
        <v>94539</v>
      </c>
      <c r="K145">
        <v>5253</v>
      </c>
      <c r="L145" t="s">
        <v>23</v>
      </c>
      <c r="M145" t="s">
        <v>594</v>
      </c>
      <c r="N145" t="s">
        <v>595</v>
      </c>
      <c r="O145" t="s">
        <v>22</v>
      </c>
      <c r="P145">
        <v>94539</v>
      </c>
      <c r="Q145">
        <v>5253</v>
      </c>
      <c r="R145" t="s">
        <v>23</v>
      </c>
      <c r="S145" s="1" t="s">
        <v>34218</v>
      </c>
    </row>
    <row r="146" spans="1:19" x14ac:dyDescent="0.25">
      <c r="A146">
        <v>101084569</v>
      </c>
      <c r="B146" t="s">
        <v>596</v>
      </c>
      <c r="C146" t="s">
        <v>597</v>
      </c>
      <c r="F146" t="str">
        <f>"4142084234"</f>
        <v>4142084234</v>
      </c>
      <c r="G146" t="s">
        <v>598</v>
      </c>
      <c r="H146" t="s">
        <v>389</v>
      </c>
      <c r="I146" t="s">
        <v>100</v>
      </c>
      <c r="J146">
        <v>53212</v>
      </c>
      <c r="K146">
        <v>4308</v>
      </c>
      <c r="L146" t="s">
        <v>23</v>
      </c>
      <c r="M146" t="s">
        <v>598</v>
      </c>
      <c r="N146" t="s">
        <v>389</v>
      </c>
      <c r="O146" t="s">
        <v>100</v>
      </c>
      <c r="P146">
        <v>53212</v>
      </c>
      <c r="Q146">
        <v>4308</v>
      </c>
      <c r="R146" t="s">
        <v>23</v>
      </c>
      <c r="S146" s="1" t="s">
        <v>34218</v>
      </c>
    </row>
    <row r="147" spans="1:19" x14ac:dyDescent="0.25">
      <c r="A147">
        <v>100626852</v>
      </c>
      <c r="B147" t="s">
        <v>599</v>
      </c>
      <c r="C147" t="s">
        <v>600</v>
      </c>
      <c r="F147" t="str">
        <f>"3035550100"</f>
        <v>3035550100</v>
      </c>
      <c r="G147" t="s">
        <v>601</v>
      </c>
      <c r="H147" t="s">
        <v>602</v>
      </c>
      <c r="I147" t="s">
        <v>71</v>
      </c>
      <c r="J147">
        <v>80031</v>
      </c>
      <c r="K147">
        <v>2021</v>
      </c>
      <c r="L147" t="s">
        <v>23</v>
      </c>
      <c r="M147" t="s">
        <v>601</v>
      </c>
      <c r="N147" t="s">
        <v>602</v>
      </c>
      <c r="O147" t="s">
        <v>71</v>
      </c>
      <c r="P147">
        <v>80031</v>
      </c>
      <c r="Q147">
        <v>2021</v>
      </c>
      <c r="R147" t="s">
        <v>23</v>
      </c>
      <c r="S147" s="1" t="s">
        <v>34218</v>
      </c>
    </row>
    <row r="148" spans="1:19" x14ac:dyDescent="0.25">
      <c r="A148">
        <v>100675133</v>
      </c>
      <c r="B148" t="s">
        <v>603</v>
      </c>
      <c r="C148" t="s">
        <v>579</v>
      </c>
      <c r="F148" t="str">
        <f>"8187893246"</f>
        <v>8187893246</v>
      </c>
      <c r="G148" t="s">
        <v>604</v>
      </c>
      <c r="H148" t="s">
        <v>605</v>
      </c>
      <c r="I148" t="s">
        <v>22</v>
      </c>
      <c r="J148">
        <v>91436</v>
      </c>
      <c r="K148">
        <v>3836</v>
      </c>
      <c r="L148" t="s">
        <v>23</v>
      </c>
      <c r="M148" t="s">
        <v>604</v>
      </c>
      <c r="N148" t="s">
        <v>605</v>
      </c>
      <c r="O148" t="s">
        <v>22</v>
      </c>
      <c r="P148">
        <v>91436</v>
      </c>
      <c r="Q148">
        <v>3836</v>
      </c>
      <c r="R148" t="s">
        <v>23</v>
      </c>
      <c r="S148" s="1" t="s">
        <v>34218</v>
      </c>
    </row>
    <row r="149" spans="1:19" x14ac:dyDescent="0.25">
      <c r="A149">
        <v>100681608</v>
      </c>
      <c r="B149" t="s">
        <v>606</v>
      </c>
      <c r="C149" t="s">
        <v>575</v>
      </c>
      <c r="F149" t="str">
        <f>"6263583997"</f>
        <v>6263583997</v>
      </c>
      <c r="G149" t="s">
        <v>607</v>
      </c>
      <c r="H149" t="s">
        <v>608</v>
      </c>
      <c r="I149" t="s">
        <v>22</v>
      </c>
      <c r="J149">
        <v>91006</v>
      </c>
      <c r="K149">
        <v>2501</v>
      </c>
      <c r="L149" t="s">
        <v>23</v>
      </c>
      <c r="M149" t="s">
        <v>607</v>
      </c>
      <c r="N149" t="s">
        <v>608</v>
      </c>
      <c r="O149" t="s">
        <v>22</v>
      </c>
      <c r="P149">
        <v>91006</v>
      </c>
      <c r="Q149">
        <v>2501</v>
      </c>
      <c r="R149" t="s">
        <v>23</v>
      </c>
      <c r="S149" s="1" t="s">
        <v>34218</v>
      </c>
    </row>
    <row r="150" spans="1:19" x14ac:dyDescent="0.25">
      <c r="A150">
        <v>100913625</v>
      </c>
      <c r="B150" t="s">
        <v>609</v>
      </c>
      <c r="C150" t="s">
        <v>102</v>
      </c>
      <c r="F150" t="str">
        <f>"6303838410"</f>
        <v>6303838410</v>
      </c>
      <c r="G150" t="s">
        <v>610</v>
      </c>
      <c r="H150" t="s">
        <v>611</v>
      </c>
      <c r="I150" t="s">
        <v>135</v>
      </c>
      <c r="J150">
        <v>60051</v>
      </c>
      <c r="K150">
        <v>3277</v>
      </c>
      <c r="L150" t="s">
        <v>23</v>
      </c>
      <c r="M150" t="s">
        <v>610</v>
      </c>
      <c r="N150" t="s">
        <v>611</v>
      </c>
      <c r="O150" t="s">
        <v>135</v>
      </c>
      <c r="P150">
        <v>60051</v>
      </c>
      <c r="Q150">
        <v>3277</v>
      </c>
      <c r="R150" t="s">
        <v>23</v>
      </c>
      <c r="S150" s="1" t="s">
        <v>34218</v>
      </c>
    </row>
    <row r="151" spans="1:19" x14ac:dyDescent="0.25">
      <c r="A151">
        <v>100915312</v>
      </c>
      <c r="B151" t="s">
        <v>612</v>
      </c>
      <c r="C151" t="s">
        <v>613</v>
      </c>
      <c r="F151" t="str">
        <f>"9093768757"</f>
        <v>9093768757</v>
      </c>
      <c r="G151" t="s">
        <v>614</v>
      </c>
      <c r="H151" t="s">
        <v>615</v>
      </c>
      <c r="I151" t="s">
        <v>22</v>
      </c>
      <c r="J151">
        <v>92404</v>
      </c>
      <c r="K151">
        <v>3015</v>
      </c>
      <c r="L151" t="s">
        <v>23</v>
      </c>
      <c r="M151" t="s">
        <v>614</v>
      </c>
      <c r="N151" t="s">
        <v>615</v>
      </c>
      <c r="O151" t="s">
        <v>22</v>
      </c>
      <c r="P151">
        <v>92404</v>
      </c>
      <c r="Q151">
        <v>3015</v>
      </c>
      <c r="R151" t="s">
        <v>23</v>
      </c>
      <c r="S151" s="1" t="s">
        <v>34218</v>
      </c>
    </row>
    <row r="152" spans="1:19" x14ac:dyDescent="0.25">
      <c r="A152">
        <v>100574963</v>
      </c>
      <c r="B152" t="s">
        <v>616</v>
      </c>
      <c r="C152" t="s">
        <v>617</v>
      </c>
      <c r="F152" t="str">
        <f>"6096476691"</f>
        <v>6096476691</v>
      </c>
      <c r="G152" t="s">
        <v>618</v>
      </c>
      <c r="H152" t="s">
        <v>619</v>
      </c>
      <c r="I152" t="s">
        <v>250</v>
      </c>
      <c r="J152">
        <v>8077</v>
      </c>
      <c r="K152">
        <v>1422</v>
      </c>
      <c r="L152" t="s">
        <v>23</v>
      </c>
      <c r="M152" t="s">
        <v>618</v>
      </c>
      <c r="N152" t="s">
        <v>619</v>
      </c>
      <c r="O152" t="s">
        <v>250</v>
      </c>
      <c r="P152">
        <v>8077</v>
      </c>
      <c r="Q152">
        <v>1422</v>
      </c>
      <c r="R152" t="s">
        <v>23</v>
      </c>
      <c r="S152" s="1" t="s">
        <v>34218</v>
      </c>
    </row>
    <row r="153" spans="1:19" x14ac:dyDescent="0.25">
      <c r="A153">
        <v>100588503</v>
      </c>
      <c r="B153" t="s">
        <v>620</v>
      </c>
      <c r="C153" t="s">
        <v>621</v>
      </c>
      <c r="F153" t="str">
        <f>"5032324266"</f>
        <v>5032324266</v>
      </c>
      <c r="G153" t="s">
        <v>622</v>
      </c>
      <c r="H153" t="s">
        <v>227</v>
      </c>
      <c r="I153" t="s">
        <v>43</v>
      </c>
      <c r="J153">
        <v>97214</v>
      </c>
      <c r="K153">
        <v>5038</v>
      </c>
      <c r="L153" t="s">
        <v>23</v>
      </c>
      <c r="M153" t="s">
        <v>622</v>
      </c>
      <c r="N153" t="s">
        <v>227</v>
      </c>
      <c r="O153" t="s">
        <v>43</v>
      </c>
      <c r="P153">
        <v>97214</v>
      </c>
      <c r="Q153">
        <v>5038</v>
      </c>
      <c r="R153" t="s">
        <v>23</v>
      </c>
      <c r="S153" s="1" t="s">
        <v>34218</v>
      </c>
    </row>
    <row r="154" spans="1:19" x14ac:dyDescent="0.25">
      <c r="A154">
        <v>100799745</v>
      </c>
      <c r="B154" t="s">
        <v>623</v>
      </c>
      <c r="C154" t="s">
        <v>30</v>
      </c>
      <c r="F154" t="str">
        <f>"4803579120"</f>
        <v>4803579120</v>
      </c>
      <c r="G154" t="s">
        <v>624</v>
      </c>
      <c r="H154" t="s">
        <v>625</v>
      </c>
      <c r="I154" t="s">
        <v>365</v>
      </c>
      <c r="J154">
        <v>85207</v>
      </c>
      <c r="K154">
        <v>2200</v>
      </c>
      <c r="L154" t="s">
        <v>23</v>
      </c>
      <c r="M154" t="s">
        <v>624</v>
      </c>
      <c r="N154" t="s">
        <v>625</v>
      </c>
      <c r="O154" t="s">
        <v>365</v>
      </c>
      <c r="P154">
        <v>85207</v>
      </c>
      <c r="Q154">
        <v>2200</v>
      </c>
      <c r="R154" t="s">
        <v>23</v>
      </c>
      <c r="S154" s="1" t="s">
        <v>34218</v>
      </c>
    </row>
    <row r="155" spans="1:19" x14ac:dyDescent="0.25">
      <c r="A155">
        <v>100809448</v>
      </c>
      <c r="B155" t="s">
        <v>626</v>
      </c>
      <c r="C155" t="s">
        <v>627</v>
      </c>
      <c r="F155" t="str">
        <f>"7735559948"</f>
        <v>7735559948</v>
      </c>
      <c r="G155" t="s">
        <v>628</v>
      </c>
      <c r="H155" t="s">
        <v>134</v>
      </c>
      <c r="I155" t="s">
        <v>135</v>
      </c>
      <c r="J155">
        <v>60656</v>
      </c>
      <c r="K155">
        <v>2634</v>
      </c>
      <c r="L155" t="s">
        <v>23</v>
      </c>
      <c r="M155" t="s">
        <v>628</v>
      </c>
      <c r="N155" t="s">
        <v>134</v>
      </c>
      <c r="O155" t="s">
        <v>135</v>
      </c>
      <c r="P155">
        <v>60656</v>
      </c>
      <c r="Q155">
        <v>2634</v>
      </c>
      <c r="R155" t="s">
        <v>23</v>
      </c>
      <c r="S155" s="1" t="s">
        <v>34218</v>
      </c>
    </row>
    <row r="156" spans="1:19" x14ac:dyDescent="0.25">
      <c r="A156">
        <v>101148569</v>
      </c>
      <c r="B156" t="s">
        <v>629</v>
      </c>
      <c r="C156" t="s">
        <v>575</v>
      </c>
      <c r="F156" t="str">
        <f>"4153826587"</f>
        <v>4153826587</v>
      </c>
      <c r="G156" t="s">
        <v>630</v>
      </c>
      <c r="H156" t="s">
        <v>631</v>
      </c>
      <c r="I156" t="s">
        <v>22</v>
      </c>
      <c r="J156">
        <v>94949</v>
      </c>
      <c r="K156">
        <v>6627</v>
      </c>
      <c r="L156" t="s">
        <v>23</v>
      </c>
      <c r="M156" t="s">
        <v>630</v>
      </c>
      <c r="N156" t="s">
        <v>631</v>
      </c>
      <c r="O156" t="s">
        <v>22</v>
      </c>
      <c r="P156">
        <v>94949</v>
      </c>
      <c r="Q156">
        <v>6627</v>
      </c>
      <c r="R156" t="s">
        <v>23</v>
      </c>
      <c r="S156" s="1" t="s">
        <v>34218</v>
      </c>
    </row>
    <row r="157" spans="1:19" x14ac:dyDescent="0.25">
      <c r="A157">
        <v>101284283</v>
      </c>
      <c r="B157" t="s">
        <v>632</v>
      </c>
      <c r="C157" t="s">
        <v>575</v>
      </c>
      <c r="F157" t="str">
        <f>"9513027943"</f>
        <v>9513027943</v>
      </c>
      <c r="G157" t="s">
        <v>633</v>
      </c>
      <c r="H157" t="s">
        <v>634</v>
      </c>
      <c r="I157" t="s">
        <v>22</v>
      </c>
      <c r="J157">
        <v>92592</v>
      </c>
      <c r="K157">
        <v>3805</v>
      </c>
      <c r="L157" t="s">
        <v>23</v>
      </c>
      <c r="M157" t="s">
        <v>633</v>
      </c>
      <c r="N157" t="s">
        <v>634</v>
      </c>
      <c r="O157" t="s">
        <v>22</v>
      </c>
      <c r="P157">
        <v>92592</v>
      </c>
      <c r="Q157">
        <v>3805</v>
      </c>
      <c r="R157" t="s">
        <v>23</v>
      </c>
      <c r="S157" s="1" t="s">
        <v>34218</v>
      </c>
    </row>
    <row r="158" spans="1:19" x14ac:dyDescent="0.25">
      <c r="A158">
        <v>101293230</v>
      </c>
      <c r="B158" t="s">
        <v>635</v>
      </c>
      <c r="C158" t="s">
        <v>636</v>
      </c>
      <c r="F158" t="str">
        <f>"5052554406"</f>
        <v>5052554406</v>
      </c>
      <c r="G158" t="s">
        <v>637</v>
      </c>
      <c r="H158" t="s">
        <v>638</v>
      </c>
      <c r="I158" t="s">
        <v>639</v>
      </c>
      <c r="J158">
        <v>87198</v>
      </c>
      <c r="K158">
        <v>2913</v>
      </c>
      <c r="L158" t="s">
        <v>23</v>
      </c>
      <c r="M158" t="s">
        <v>637</v>
      </c>
      <c r="N158" t="s">
        <v>638</v>
      </c>
      <c r="O158" t="s">
        <v>639</v>
      </c>
      <c r="P158">
        <v>87198</v>
      </c>
      <c r="Q158">
        <v>2913</v>
      </c>
      <c r="R158" t="s">
        <v>23</v>
      </c>
      <c r="S158" s="1" t="s">
        <v>34218</v>
      </c>
    </row>
    <row r="159" spans="1:19" x14ac:dyDescent="0.25">
      <c r="A159">
        <v>101323617</v>
      </c>
      <c r="B159" t="s">
        <v>640</v>
      </c>
      <c r="C159" t="s">
        <v>641</v>
      </c>
      <c r="F159" t="str">
        <f>"7735880024"</f>
        <v>7735880024</v>
      </c>
      <c r="G159" t="s">
        <v>642</v>
      </c>
      <c r="H159" t="s">
        <v>134</v>
      </c>
      <c r="I159" t="s">
        <v>135</v>
      </c>
      <c r="J159">
        <v>60625</v>
      </c>
      <c r="K159">
        <v>5202</v>
      </c>
      <c r="L159" t="s">
        <v>23</v>
      </c>
      <c r="M159" t="s">
        <v>642</v>
      </c>
      <c r="N159" t="s">
        <v>134</v>
      </c>
      <c r="O159" t="s">
        <v>135</v>
      </c>
      <c r="P159">
        <v>60625</v>
      </c>
      <c r="Q159">
        <v>5202</v>
      </c>
      <c r="R159" t="s">
        <v>23</v>
      </c>
      <c r="S159" s="1" t="s">
        <v>34218</v>
      </c>
    </row>
    <row r="160" spans="1:19" x14ac:dyDescent="0.25">
      <c r="A160">
        <v>101337504</v>
      </c>
      <c r="B160" t="s">
        <v>643</v>
      </c>
      <c r="C160" t="s">
        <v>644</v>
      </c>
      <c r="F160" t="str">
        <f>"7403931285"</f>
        <v>7403931285</v>
      </c>
      <c r="G160" t="s">
        <v>645</v>
      </c>
      <c r="H160" t="s">
        <v>646</v>
      </c>
      <c r="I160" t="s">
        <v>178</v>
      </c>
      <c r="J160">
        <v>43050</v>
      </c>
      <c r="K160">
        <v>4755</v>
      </c>
      <c r="L160" t="s">
        <v>23</v>
      </c>
      <c r="M160" t="s">
        <v>645</v>
      </c>
      <c r="N160" t="s">
        <v>646</v>
      </c>
      <c r="O160" t="s">
        <v>178</v>
      </c>
      <c r="P160">
        <v>43050</v>
      </c>
      <c r="Q160">
        <v>4755</v>
      </c>
      <c r="R160" t="s">
        <v>23</v>
      </c>
      <c r="S160" s="1" t="s">
        <v>34218</v>
      </c>
    </row>
    <row r="161" spans="1:19" x14ac:dyDescent="0.25">
      <c r="A161">
        <v>100708712</v>
      </c>
      <c r="B161" t="s">
        <v>647</v>
      </c>
      <c r="C161" t="s">
        <v>648</v>
      </c>
      <c r="F161" t="str">
        <f>"9165496788"</f>
        <v>9165496788</v>
      </c>
      <c r="G161" t="s">
        <v>649</v>
      </c>
      <c r="H161" t="s">
        <v>650</v>
      </c>
      <c r="I161" t="s">
        <v>22</v>
      </c>
      <c r="J161">
        <v>95811</v>
      </c>
      <c r="K161">
        <v>1026</v>
      </c>
      <c r="L161" t="s">
        <v>23</v>
      </c>
      <c r="M161" t="s">
        <v>649</v>
      </c>
      <c r="N161" t="s">
        <v>650</v>
      </c>
      <c r="O161" t="s">
        <v>22</v>
      </c>
      <c r="P161">
        <v>95811</v>
      </c>
      <c r="Q161">
        <v>1026</v>
      </c>
      <c r="R161" t="s">
        <v>23</v>
      </c>
      <c r="S161" s="1" t="s">
        <v>34218</v>
      </c>
    </row>
    <row r="162" spans="1:19" x14ac:dyDescent="0.25">
      <c r="A162">
        <v>100901530</v>
      </c>
      <c r="B162" t="s">
        <v>651</v>
      </c>
      <c r="C162" t="s">
        <v>30</v>
      </c>
      <c r="F162" t="str">
        <f>"2127498402"</f>
        <v>2127498402</v>
      </c>
      <c r="G162" t="s">
        <v>652</v>
      </c>
      <c r="H162" t="s">
        <v>653</v>
      </c>
      <c r="I162" t="s">
        <v>117</v>
      </c>
      <c r="J162">
        <v>10025</v>
      </c>
      <c r="K162">
        <v>5279</v>
      </c>
      <c r="L162" t="s">
        <v>23</v>
      </c>
      <c r="M162" t="s">
        <v>652</v>
      </c>
      <c r="N162" t="s">
        <v>653</v>
      </c>
      <c r="O162" t="s">
        <v>117</v>
      </c>
      <c r="P162">
        <v>10025</v>
      </c>
      <c r="Q162">
        <v>5279</v>
      </c>
      <c r="R162" t="s">
        <v>23</v>
      </c>
      <c r="S162" s="1" t="s">
        <v>34218</v>
      </c>
    </row>
    <row r="163" spans="1:19" x14ac:dyDescent="0.25">
      <c r="A163">
        <v>100906017</v>
      </c>
      <c r="B163" t="s">
        <v>654</v>
      </c>
      <c r="C163" t="s">
        <v>655</v>
      </c>
      <c r="F163" t="str">
        <f>"5072433774"</f>
        <v>5072433774</v>
      </c>
      <c r="G163" t="s">
        <v>656</v>
      </c>
      <c r="H163" t="s">
        <v>657</v>
      </c>
      <c r="I163" t="s">
        <v>187</v>
      </c>
      <c r="J163">
        <v>56063</v>
      </c>
      <c r="K163">
        <v>2046</v>
      </c>
      <c r="L163" t="s">
        <v>23</v>
      </c>
      <c r="M163" t="s">
        <v>656</v>
      </c>
      <c r="N163" t="s">
        <v>657</v>
      </c>
      <c r="O163" t="s">
        <v>187</v>
      </c>
      <c r="P163">
        <v>56063</v>
      </c>
      <c r="Q163">
        <v>2046</v>
      </c>
      <c r="R163" t="s">
        <v>23</v>
      </c>
      <c r="S163" s="1" t="s">
        <v>34218</v>
      </c>
    </row>
    <row r="164" spans="1:19" x14ac:dyDescent="0.25">
      <c r="A164">
        <v>101121425</v>
      </c>
      <c r="B164" t="s">
        <v>658</v>
      </c>
      <c r="C164" t="s">
        <v>659</v>
      </c>
      <c r="F164" t="str">
        <f>"4016886688"</f>
        <v>4016886688</v>
      </c>
      <c r="G164" t="s">
        <v>660</v>
      </c>
      <c r="H164" t="s">
        <v>661</v>
      </c>
      <c r="I164" t="s">
        <v>662</v>
      </c>
      <c r="J164">
        <v>2839</v>
      </c>
      <c r="K164">
        <v>1178</v>
      </c>
      <c r="L164" t="s">
        <v>23</v>
      </c>
      <c r="M164" t="s">
        <v>660</v>
      </c>
      <c r="N164" t="s">
        <v>661</v>
      </c>
      <c r="O164" t="s">
        <v>662</v>
      </c>
      <c r="P164">
        <v>2839</v>
      </c>
      <c r="Q164">
        <v>1178</v>
      </c>
      <c r="R164" t="s">
        <v>23</v>
      </c>
      <c r="S164" s="1" t="s">
        <v>34218</v>
      </c>
    </row>
    <row r="165" spans="1:19" x14ac:dyDescent="0.25">
      <c r="A165">
        <v>101174804</v>
      </c>
      <c r="B165" t="s">
        <v>663</v>
      </c>
      <c r="C165" t="s">
        <v>664</v>
      </c>
      <c r="F165" t="str">
        <f>"2173345259"</f>
        <v>2173345259</v>
      </c>
      <c r="G165" t="s">
        <v>665</v>
      </c>
      <c r="H165" t="s">
        <v>666</v>
      </c>
      <c r="I165" t="s">
        <v>135</v>
      </c>
      <c r="J165">
        <v>62320</v>
      </c>
      <c r="K165">
        <v>2305</v>
      </c>
      <c r="L165" t="s">
        <v>23</v>
      </c>
      <c r="M165" t="s">
        <v>665</v>
      </c>
      <c r="N165" t="s">
        <v>666</v>
      </c>
      <c r="O165" t="s">
        <v>135</v>
      </c>
      <c r="P165">
        <v>62320</v>
      </c>
      <c r="Q165">
        <v>2305</v>
      </c>
      <c r="R165" t="s">
        <v>23</v>
      </c>
      <c r="S165" s="1" t="s">
        <v>34218</v>
      </c>
    </row>
    <row r="166" spans="1:19" x14ac:dyDescent="0.25">
      <c r="A166">
        <v>101349368</v>
      </c>
      <c r="B166" t="s">
        <v>667</v>
      </c>
      <c r="C166" t="s">
        <v>668</v>
      </c>
      <c r="F166" t="str">
        <f>"5052379104"</f>
        <v>5052379104</v>
      </c>
      <c r="G166" t="s">
        <v>669</v>
      </c>
      <c r="H166" t="s">
        <v>638</v>
      </c>
      <c r="I166" t="s">
        <v>639</v>
      </c>
      <c r="J166">
        <v>87106</v>
      </c>
      <c r="K166">
        <v>1511</v>
      </c>
      <c r="L166" t="s">
        <v>23</v>
      </c>
      <c r="M166" t="s">
        <v>669</v>
      </c>
      <c r="N166" t="s">
        <v>638</v>
      </c>
      <c r="O166" t="s">
        <v>639</v>
      </c>
      <c r="P166">
        <v>87106</v>
      </c>
      <c r="Q166">
        <v>1511</v>
      </c>
      <c r="R166" t="s">
        <v>23</v>
      </c>
      <c r="S166" s="1" t="s">
        <v>34218</v>
      </c>
    </row>
    <row r="167" spans="1:19" x14ac:dyDescent="0.25">
      <c r="A167">
        <v>100873637</v>
      </c>
      <c r="B167" t="s">
        <v>670</v>
      </c>
      <c r="C167" t="s">
        <v>671</v>
      </c>
      <c r="F167" t="str">
        <f>"6039186572"</f>
        <v>6039186572</v>
      </c>
      <c r="G167">
        <v>3862</v>
      </c>
      <c r="H167" t="s">
        <v>672</v>
      </c>
      <c r="I167" t="s">
        <v>353</v>
      </c>
      <c r="J167">
        <v>3862</v>
      </c>
      <c r="L167" t="s">
        <v>23</v>
      </c>
      <c r="M167">
        <v>3862</v>
      </c>
      <c r="N167" t="s">
        <v>672</v>
      </c>
      <c r="O167" t="s">
        <v>353</v>
      </c>
      <c r="P167">
        <v>3862</v>
      </c>
      <c r="R167" t="s">
        <v>23</v>
      </c>
      <c r="S167" s="1" t="s">
        <v>34218</v>
      </c>
    </row>
    <row r="168" spans="1:19" x14ac:dyDescent="0.25">
      <c r="A168">
        <v>100821141</v>
      </c>
      <c r="B168" t="s">
        <v>673</v>
      </c>
      <c r="C168" t="s">
        <v>674</v>
      </c>
      <c r="F168" t="str">
        <f>"4013337912"</f>
        <v>4013337912</v>
      </c>
      <c r="G168" t="s">
        <v>675</v>
      </c>
      <c r="H168" t="s">
        <v>676</v>
      </c>
      <c r="I168" t="s">
        <v>662</v>
      </c>
      <c r="J168">
        <v>2864</v>
      </c>
      <c r="K168">
        <v>6223</v>
      </c>
      <c r="L168" t="s">
        <v>23</v>
      </c>
      <c r="M168" t="s">
        <v>675</v>
      </c>
      <c r="N168" t="s">
        <v>676</v>
      </c>
      <c r="O168" t="s">
        <v>662</v>
      </c>
      <c r="P168">
        <v>2864</v>
      </c>
      <c r="Q168">
        <v>6223</v>
      </c>
      <c r="R168" t="s">
        <v>23</v>
      </c>
      <c r="S168" s="1" t="s">
        <v>34218</v>
      </c>
    </row>
    <row r="169" spans="1:19" x14ac:dyDescent="0.25">
      <c r="A169">
        <v>100994827</v>
      </c>
      <c r="B169" t="s">
        <v>677</v>
      </c>
      <c r="C169" t="s">
        <v>90</v>
      </c>
      <c r="F169" t="str">
        <f>"5165680189"</f>
        <v>5165680189</v>
      </c>
      <c r="G169" t="s">
        <v>678</v>
      </c>
      <c r="H169" t="s">
        <v>679</v>
      </c>
      <c r="I169" t="s">
        <v>117</v>
      </c>
      <c r="J169">
        <v>11580</v>
      </c>
      <c r="K169">
        <v>3620</v>
      </c>
      <c r="L169" t="s">
        <v>23</v>
      </c>
      <c r="M169" t="s">
        <v>678</v>
      </c>
      <c r="N169" t="s">
        <v>679</v>
      </c>
      <c r="O169" t="s">
        <v>117</v>
      </c>
      <c r="P169">
        <v>11580</v>
      </c>
      <c r="Q169">
        <v>3620</v>
      </c>
      <c r="R169" t="s">
        <v>23</v>
      </c>
      <c r="S169" s="1" t="s">
        <v>34218</v>
      </c>
    </row>
    <row r="170" spans="1:19" x14ac:dyDescent="0.25">
      <c r="A170">
        <v>101132860</v>
      </c>
      <c r="B170" t="s">
        <v>680</v>
      </c>
      <c r="C170" t="s">
        <v>421</v>
      </c>
      <c r="F170" t="str">
        <f>"4803993734"</f>
        <v>4803993734</v>
      </c>
      <c r="G170" t="s">
        <v>681</v>
      </c>
      <c r="H170" t="s">
        <v>682</v>
      </c>
      <c r="I170" t="s">
        <v>365</v>
      </c>
      <c r="J170">
        <v>85022</v>
      </c>
      <c r="K170">
        <v>6288</v>
      </c>
      <c r="L170" t="s">
        <v>23</v>
      </c>
      <c r="M170" t="s">
        <v>681</v>
      </c>
      <c r="N170" t="s">
        <v>682</v>
      </c>
      <c r="O170" t="s">
        <v>365</v>
      </c>
      <c r="P170">
        <v>85022</v>
      </c>
      <c r="Q170">
        <v>6288</v>
      </c>
      <c r="R170" t="s">
        <v>23</v>
      </c>
      <c r="S170" s="1" t="s">
        <v>34218</v>
      </c>
    </row>
    <row r="171" spans="1:19" x14ac:dyDescent="0.25">
      <c r="A171">
        <v>101133434</v>
      </c>
      <c r="B171" t="s">
        <v>683</v>
      </c>
      <c r="C171" t="s">
        <v>641</v>
      </c>
      <c r="F171" t="str">
        <f>"6128675814"</f>
        <v>6128675814</v>
      </c>
      <c r="G171" t="s">
        <v>684</v>
      </c>
      <c r="H171" t="s">
        <v>685</v>
      </c>
      <c r="I171" t="s">
        <v>187</v>
      </c>
      <c r="J171">
        <v>55431</v>
      </c>
      <c r="K171">
        <v>1713</v>
      </c>
      <c r="L171" t="s">
        <v>23</v>
      </c>
      <c r="M171" t="s">
        <v>684</v>
      </c>
      <c r="N171" t="s">
        <v>685</v>
      </c>
      <c r="O171" t="s">
        <v>187</v>
      </c>
      <c r="P171">
        <v>55431</v>
      </c>
      <c r="Q171">
        <v>1713</v>
      </c>
      <c r="R171" t="s">
        <v>23</v>
      </c>
      <c r="S171" s="1" t="s">
        <v>34218</v>
      </c>
    </row>
    <row r="172" spans="1:19" x14ac:dyDescent="0.25">
      <c r="A172">
        <v>100973469</v>
      </c>
      <c r="B172" t="s">
        <v>686</v>
      </c>
      <c r="C172" t="s">
        <v>329</v>
      </c>
      <c r="F172" t="str">
        <f>"5857436996"</f>
        <v>5857436996</v>
      </c>
      <c r="G172" t="s">
        <v>687</v>
      </c>
      <c r="H172" t="s">
        <v>688</v>
      </c>
      <c r="I172" t="s">
        <v>117</v>
      </c>
      <c r="J172">
        <v>14620</v>
      </c>
      <c r="K172">
        <v>4050</v>
      </c>
      <c r="L172" t="s">
        <v>23</v>
      </c>
      <c r="M172" t="s">
        <v>687</v>
      </c>
      <c r="N172" t="s">
        <v>688</v>
      </c>
      <c r="O172" t="s">
        <v>117</v>
      </c>
      <c r="P172">
        <v>14620</v>
      </c>
      <c r="Q172">
        <v>4050</v>
      </c>
      <c r="R172" t="s">
        <v>23</v>
      </c>
      <c r="S172" s="1" t="s">
        <v>34218</v>
      </c>
    </row>
    <row r="173" spans="1:19" x14ac:dyDescent="0.25">
      <c r="A173">
        <v>100570185</v>
      </c>
      <c r="B173" t="s">
        <v>689</v>
      </c>
      <c r="C173" t="s">
        <v>690</v>
      </c>
      <c r="F173" t="str">
        <f>"5032813708"</f>
        <v>5032813708</v>
      </c>
      <c r="G173" t="s">
        <v>691</v>
      </c>
      <c r="H173" t="s">
        <v>227</v>
      </c>
      <c r="I173" t="s">
        <v>43</v>
      </c>
      <c r="J173">
        <v>97213</v>
      </c>
      <c r="K173">
        <v>5826</v>
      </c>
      <c r="L173" t="s">
        <v>23</v>
      </c>
      <c r="M173" t="s">
        <v>691</v>
      </c>
      <c r="N173" t="s">
        <v>227</v>
      </c>
      <c r="O173" t="s">
        <v>43</v>
      </c>
      <c r="P173">
        <v>97213</v>
      </c>
      <c r="Q173">
        <v>5826</v>
      </c>
      <c r="R173" t="s">
        <v>23</v>
      </c>
      <c r="S173" s="1" t="s">
        <v>34218</v>
      </c>
    </row>
    <row r="174" spans="1:19" x14ac:dyDescent="0.25">
      <c r="A174">
        <v>100784265</v>
      </c>
      <c r="B174" t="s">
        <v>692</v>
      </c>
      <c r="C174" t="s">
        <v>90</v>
      </c>
      <c r="F174" t="str">
        <f>"6305963409"</f>
        <v>6305963409</v>
      </c>
      <c r="G174" t="s">
        <v>693</v>
      </c>
      <c r="H174" t="s">
        <v>694</v>
      </c>
      <c r="I174" t="s">
        <v>135</v>
      </c>
      <c r="J174">
        <v>60565</v>
      </c>
      <c r="K174">
        <v>2006</v>
      </c>
      <c r="L174" t="s">
        <v>23</v>
      </c>
      <c r="M174" t="s">
        <v>693</v>
      </c>
      <c r="N174" t="s">
        <v>694</v>
      </c>
      <c r="O174" t="s">
        <v>135</v>
      </c>
      <c r="P174">
        <v>60565</v>
      </c>
      <c r="Q174">
        <v>2006</v>
      </c>
      <c r="R174" t="s">
        <v>23</v>
      </c>
      <c r="S174" s="1" t="s">
        <v>34218</v>
      </c>
    </row>
    <row r="175" spans="1:19" x14ac:dyDescent="0.25">
      <c r="A175">
        <v>100785125</v>
      </c>
      <c r="B175" t="s">
        <v>695</v>
      </c>
      <c r="C175" t="s">
        <v>387</v>
      </c>
      <c r="F175" t="str">
        <f>"7195966053"</f>
        <v>7195966053</v>
      </c>
      <c r="G175" t="s">
        <v>696</v>
      </c>
      <c r="H175" t="s">
        <v>697</v>
      </c>
      <c r="I175" t="s">
        <v>71</v>
      </c>
      <c r="J175">
        <v>80915</v>
      </c>
      <c r="K175">
        <v>3153</v>
      </c>
      <c r="L175" t="s">
        <v>23</v>
      </c>
      <c r="M175" t="s">
        <v>696</v>
      </c>
      <c r="N175" t="s">
        <v>697</v>
      </c>
      <c r="O175" t="s">
        <v>71</v>
      </c>
      <c r="P175">
        <v>80915</v>
      </c>
      <c r="Q175">
        <v>3153</v>
      </c>
      <c r="R175" t="s">
        <v>23</v>
      </c>
      <c r="S175" s="1" t="s">
        <v>34218</v>
      </c>
    </row>
    <row r="176" spans="1:19" x14ac:dyDescent="0.25">
      <c r="A176">
        <v>100790747</v>
      </c>
      <c r="B176" t="s">
        <v>698</v>
      </c>
      <c r="C176" t="s">
        <v>699</v>
      </c>
      <c r="F176" t="str">
        <f>"7023210502"</f>
        <v>7023210502</v>
      </c>
      <c r="G176" t="s">
        <v>700</v>
      </c>
      <c r="H176" t="s">
        <v>701</v>
      </c>
      <c r="I176" t="s">
        <v>702</v>
      </c>
      <c r="J176">
        <v>89031</v>
      </c>
      <c r="K176">
        <v>7234</v>
      </c>
      <c r="L176" t="s">
        <v>23</v>
      </c>
      <c r="M176" t="s">
        <v>700</v>
      </c>
      <c r="N176" t="s">
        <v>701</v>
      </c>
      <c r="O176" t="s">
        <v>702</v>
      </c>
      <c r="P176">
        <v>89031</v>
      </c>
      <c r="Q176">
        <v>7234</v>
      </c>
      <c r="R176" t="s">
        <v>23</v>
      </c>
      <c r="S176" s="1" t="s">
        <v>34218</v>
      </c>
    </row>
    <row r="177" spans="1:19" x14ac:dyDescent="0.25">
      <c r="A177">
        <v>101024743</v>
      </c>
      <c r="B177" t="s">
        <v>703</v>
      </c>
      <c r="C177" t="s">
        <v>475</v>
      </c>
      <c r="F177" t="str">
        <f>"7076944154"</f>
        <v>7076944154</v>
      </c>
      <c r="G177" t="s">
        <v>704</v>
      </c>
      <c r="H177" t="s">
        <v>705</v>
      </c>
      <c r="I177" t="s">
        <v>22</v>
      </c>
      <c r="J177">
        <v>94501</v>
      </c>
      <c r="K177">
        <v>1442</v>
      </c>
      <c r="L177" t="s">
        <v>23</v>
      </c>
      <c r="M177" t="s">
        <v>704</v>
      </c>
      <c r="N177" t="s">
        <v>705</v>
      </c>
      <c r="O177" t="s">
        <v>22</v>
      </c>
      <c r="P177">
        <v>94501</v>
      </c>
      <c r="Q177">
        <v>1442</v>
      </c>
      <c r="R177" t="s">
        <v>23</v>
      </c>
      <c r="S177" s="1" t="s">
        <v>34218</v>
      </c>
    </row>
    <row r="178" spans="1:19" x14ac:dyDescent="0.25">
      <c r="A178">
        <v>100876732</v>
      </c>
      <c r="B178" t="s">
        <v>706</v>
      </c>
      <c r="C178" t="s">
        <v>707</v>
      </c>
      <c r="F178" t="str">
        <f>"3193581136"</f>
        <v>3193581136</v>
      </c>
      <c r="G178" t="s">
        <v>708</v>
      </c>
      <c r="H178" t="s">
        <v>709</v>
      </c>
      <c r="I178" t="s">
        <v>565</v>
      </c>
      <c r="J178">
        <v>52240</v>
      </c>
      <c r="K178">
        <v>5824</v>
      </c>
      <c r="L178" t="s">
        <v>23</v>
      </c>
      <c r="M178" t="s">
        <v>708</v>
      </c>
      <c r="N178" t="s">
        <v>709</v>
      </c>
      <c r="O178" t="s">
        <v>565</v>
      </c>
      <c r="P178">
        <v>52240</v>
      </c>
      <c r="Q178">
        <v>5824</v>
      </c>
      <c r="R178" t="s">
        <v>23</v>
      </c>
      <c r="S178" s="1" t="s">
        <v>34218</v>
      </c>
    </row>
    <row r="179" spans="1:19" x14ac:dyDescent="0.25">
      <c r="A179">
        <v>100876748</v>
      </c>
      <c r="B179" t="s">
        <v>710</v>
      </c>
      <c r="C179" t="s">
        <v>711</v>
      </c>
      <c r="F179" t="str">
        <f>"3104551922"</f>
        <v>3104551922</v>
      </c>
      <c r="G179" t="s">
        <v>712</v>
      </c>
      <c r="H179" t="s">
        <v>713</v>
      </c>
      <c r="I179" t="s">
        <v>22</v>
      </c>
      <c r="J179">
        <v>90290</v>
      </c>
      <c r="K179">
        <v>3508</v>
      </c>
      <c r="L179" t="s">
        <v>23</v>
      </c>
      <c r="M179" t="s">
        <v>712</v>
      </c>
      <c r="N179" t="s">
        <v>713</v>
      </c>
      <c r="O179" t="s">
        <v>22</v>
      </c>
      <c r="P179">
        <v>90290</v>
      </c>
      <c r="Q179">
        <v>3508</v>
      </c>
      <c r="R179" t="s">
        <v>23</v>
      </c>
      <c r="S179" s="1" t="s">
        <v>34218</v>
      </c>
    </row>
    <row r="180" spans="1:19" x14ac:dyDescent="0.25">
      <c r="A180">
        <v>101053142</v>
      </c>
      <c r="B180" t="s">
        <v>714</v>
      </c>
      <c r="C180" t="s">
        <v>715</v>
      </c>
      <c r="F180" t="str">
        <f>"9172399623"</f>
        <v>9172399623</v>
      </c>
      <c r="G180" t="s">
        <v>716</v>
      </c>
      <c r="H180" t="s">
        <v>412</v>
      </c>
      <c r="I180" t="s">
        <v>117</v>
      </c>
      <c r="J180">
        <v>11230</v>
      </c>
      <c r="K180">
        <v>3269</v>
      </c>
      <c r="L180" t="s">
        <v>23</v>
      </c>
      <c r="M180" t="s">
        <v>716</v>
      </c>
      <c r="N180" t="s">
        <v>412</v>
      </c>
      <c r="O180" t="s">
        <v>117</v>
      </c>
      <c r="P180">
        <v>11230</v>
      </c>
      <c r="Q180">
        <v>3269</v>
      </c>
      <c r="R180" t="s">
        <v>23</v>
      </c>
      <c r="S180" s="1" t="s">
        <v>34218</v>
      </c>
    </row>
    <row r="181" spans="1:19" x14ac:dyDescent="0.25">
      <c r="A181">
        <v>101054925</v>
      </c>
      <c r="B181" t="s">
        <v>717</v>
      </c>
      <c r="C181" t="s">
        <v>718</v>
      </c>
      <c r="F181" t="str">
        <f>"4198775347"</f>
        <v>4198775347</v>
      </c>
      <c r="G181" t="s">
        <v>719</v>
      </c>
      <c r="H181" t="s">
        <v>720</v>
      </c>
      <c r="I181" t="s">
        <v>178</v>
      </c>
      <c r="J181">
        <v>43571</v>
      </c>
      <c r="K181">
        <v>9693</v>
      </c>
      <c r="L181" t="s">
        <v>23</v>
      </c>
      <c r="M181" t="s">
        <v>719</v>
      </c>
      <c r="N181" t="s">
        <v>720</v>
      </c>
      <c r="O181" t="s">
        <v>178</v>
      </c>
      <c r="P181">
        <v>43571</v>
      </c>
      <c r="Q181">
        <v>9693</v>
      </c>
      <c r="R181" t="s">
        <v>23</v>
      </c>
      <c r="S181" s="1" t="s">
        <v>34218</v>
      </c>
    </row>
    <row r="182" spans="1:19" x14ac:dyDescent="0.25">
      <c r="A182">
        <v>100787982</v>
      </c>
      <c r="B182" t="s">
        <v>721</v>
      </c>
      <c r="C182" t="s">
        <v>585</v>
      </c>
      <c r="F182" t="str">
        <f>"6194492281"</f>
        <v>6194492281</v>
      </c>
      <c r="G182" t="s">
        <v>722</v>
      </c>
      <c r="H182" t="s">
        <v>723</v>
      </c>
      <c r="I182" t="s">
        <v>365</v>
      </c>
      <c r="J182">
        <v>86301</v>
      </c>
      <c r="K182">
        <v>5844</v>
      </c>
      <c r="L182" t="s">
        <v>23</v>
      </c>
      <c r="M182" t="s">
        <v>722</v>
      </c>
      <c r="N182" t="s">
        <v>723</v>
      </c>
      <c r="O182" t="s">
        <v>365</v>
      </c>
      <c r="P182">
        <v>86301</v>
      </c>
      <c r="Q182">
        <v>5844</v>
      </c>
      <c r="R182" t="s">
        <v>23</v>
      </c>
      <c r="S182" s="1" t="s">
        <v>34218</v>
      </c>
    </row>
    <row r="183" spans="1:19" x14ac:dyDescent="0.25">
      <c r="A183">
        <v>100646202</v>
      </c>
      <c r="B183" t="s">
        <v>724</v>
      </c>
      <c r="C183" t="s">
        <v>247</v>
      </c>
      <c r="F183" t="str">
        <f>"4242720866"</f>
        <v>4242720866</v>
      </c>
      <c r="G183" t="s">
        <v>725</v>
      </c>
      <c r="H183" t="s">
        <v>726</v>
      </c>
      <c r="I183" t="s">
        <v>22</v>
      </c>
      <c r="J183">
        <v>90401</v>
      </c>
      <c r="K183">
        <v>2314</v>
      </c>
      <c r="L183" t="s">
        <v>23</v>
      </c>
      <c r="M183" t="s">
        <v>725</v>
      </c>
      <c r="N183" t="s">
        <v>726</v>
      </c>
      <c r="O183" t="s">
        <v>22</v>
      </c>
      <c r="P183">
        <v>90401</v>
      </c>
      <c r="Q183">
        <v>2314</v>
      </c>
      <c r="R183" t="s">
        <v>23</v>
      </c>
      <c r="S183" s="1" t="s">
        <v>34218</v>
      </c>
    </row>
    <row r="184" spans="1:19" x14ac:dyDescent="0.25">
      <c r="A184">
        <v>100690980</v>
      </c>
      <c r="B184" t="s">
        <v>727</v>
      </c>
      <c r="C184" t="s">
        <v>728</v>
      </c>
      <c r="F184" t="str">
        <f>"2139358140"</f>
        <v>2139358140</v>
      </c>
      <c r="G184" t="s">
        <v>729</v>
      </c>
      <c r="H184" t="s">
        <v>299</v>
      </c>
      <c r="I184" t="s">
        <v>22</v>
      </c>
      <c r="J184">
        <v>90012</v>
      </c>
      <c r="K184">
        <v>2581</v>
      </c>
      <c r="L184" t="s">
        <v>23</v>
      </c>
      <c r="M184" t="s">
        <v>729</v>
      </c>
      <c r="N184" t="s">
        <v>299</v>
      </c>
      <c r="O184" t="s">
        <v>22</v>
      </c>
      <c r="P184">
        <v>90012</v>
      </c>
      <c r="Q184">
        <v>2581</v>
      </c>
      <c r="R184" t="s">
        <v>23</v>
      </c>
      <c r="S184" s="1" t="s">
        <v>34218</v>
      </c>
    </row>
    <row r="185" spans="1:19" x14ac:dyDescent="0.25">
      <c r="A185">
        <v>100894593</v>
      </c>
      <c r="B185" t="s">
        <v>730</v>
      </c>
      <c r="C185" t="s">
        <v>731</v>
      </c>
      <c r="F185" t="str">
        <f>"7275790548"</f>
        <v>7275790548</v>
      </c>
      <c r="G185" t="s">
        <v>732</v>
      </c>
      <c r="H185" t="s">
        <v>733</v>
      </c>
      <c r="I185" t="s">
        <v>52</v>
      </c>
      <c r="J185">
        <v>33702</v>
      </c>
      <c r="K185">
        <v>3358</v>
      </c>
      <c r="L185" t="s">
        <v>23</v>
      </c>
      <c r="M185" t="s">
        <v>732</v>
      </c>
      <c r="N185" t="s">
        <v>733</v>
      </c>
      <c r="O185" t="s">
        <v>52</v>
      </c>
      <c r="P185">
        <v>33702</v>
      </c>
      <c r="Q185">
        <v>3358</v>
      </c>
      <c r="R185" t="s">
        <v>23</v>
      </c>
      <c r="S185" s="1" t="s">
        <v>34218</v>
      </c>
    </row>
    <row r="186" spans="1:19" x14ac:dyDescent="0.25">
      <c r="A186">
        <v>100902858</v>
      </c>
      <c r="B186" t="s">
        <v>734</v>
      </c>
      <c r="C186" t="s">
        <v>735</v>
      </c>
      <c r="F186" t="str">
        <f>"7574262570"</f>
        <v>7574262570</v>
      </c>
      <c r="G186" t="s">
        <v>736</v>
      </c>
      <c r="H186" t="s">
        <v>737</v>
      </c>
      <c r="I186" t="s">
        <v>255</v>
      </c>
      <c r="J186">
        <v>23456</v>
      </c>
      <c r="K186">
        <v>4024</v>
      </c>
      <c r="L186" t="s">
        <v>23</v>
      </c>
      <c r="M186" t="s">
        <v>736</v>
      </c>
      <c r="N186" t="s">
        <v>737</v>
      </c>
      <c r="O186" t="s">
        <v>255</v>
      </c>
      <c r="P186">
        <v>23456</v>
      </c>
      <c r="Q186">
        <v>4024</v>
      </c>
      <c r="R186" t="s">
        <v>23</v>
      </c>
      <c r="S186" s="1" t="s">
        <v>34218</v>
      </c>
    </row>
    <row r="187" spans="1:19" x14ac:dyDescent="0.25">
      <c r="A187">
        <v>101307706</v>
      </c>
      <c r="B187" t="s">
        <v>738</v>
      </c>
      <c r="C187" t="s">
        <v>739</v>
      </c>
      <c r="F187" t="str">
        <f>"8185551234"</f>
        <v>8185551234</v>
      </c>
      <c r="G187" t="s">
        <v>740</v>
      </c>
      <c r="H187" t="s">
        <v>741</v>
      </c>
      <c r="I187" t="s">
        <v>22</v>
      </c>
      <c r="J187">
        <v>91364</v>
      </c>
      <c r="K187">
        <v>2935</v>
      </c>
      <c r="L187" t="s">
        <v>23</v>
      </c>
      <c r="M187" t="s">
        <v>740</v>
      </c>
      <c r="N187" t="s">
        <v>741</v>
      </c>
      <c r="O187" t="s">
        <v>22</v>
      </c>
      <c r="P187">
        <v>91364</v>
      </c>
      <c r="Q187">
        <v>2935</v>
      </c>
      <c r="R187" t="s">
        <v>23</v>
      </c>
      <c r="S187" s="1" t="s">
        <v>34218</v>
      </c>
    </row>
    <row r="188" spans="1:19" x14ac:dyDescent="0.25">
      <c r="A188">
        <v>101303584</v>
      </c>
      <c r="B188" t="s">
        <v>742</v>
      </c>
      <c r="C188" t="s">
        <v>274</v>
      </c>
      <c r="F188" t="str">
        <f>"4154121473"</f>
        <v>4154121473</v>
      </c>
      <c r="G188" t="s">
        <v>743</v>
      </c>
      <c r="H188" t="s">
        <v>88</v>
      </c>
      <c r="I188" t="s">
        <v>22</v>
      </c>
      <c r="J188">
        <v>94619</v>
      </c>
      <c r="K188">
        <v>2580</v>
      </c>
      <c r="L188" t="s">
        <v>23</v>
      </c>
      <c r="M188" t="s">
        <v>743</v>
      </c>
      <c r="N188" t="s">
        <v>88</v>
      </c>
      <c r="O188" t="s">
        <v>22</v>
      </c>
      <c r="P188">
        <v>94619</v>
      </c>
      <c r="Q188">
        <v>2580</v>
      </c>
      <c r="R188" t="s">
        <v>23</v>
      </c>
      <c r="S188" s="1" t="s">
        <v>34218</v>
      </c>
    </row>
    <row r="189" spans="1:19" x14ac:dyDescent="0.25">
      <c r="A189">
        <v>101305556</v>
      </c>
      <c r="B189" t="s">
        <v>744</v>
      </c>
      <c r="C189" t="s">
        <v>40</v>
      </c>
      <c r="F189" t="str">
        <f>"7034559025"</f>
        <v>7034559025</v>
      </c>
      <c r="G189" t="s">
        <v>745</v>
      </c>
      <c r="H189" t="s">
        <v>746</v>
      </c>
      <c r="I189" t="s">
        <v>255</v>
      </c>
      <c r="J189">
        <v>22153</v>
      </c>
      <c r="K189">
        <v>1326</v>
      </c>
      <c r="L189" t="s">
        <v>23</v>
      </c>
      <c r="M189" t="s">
        <v>745</v>
      </c>
      <c r="N189" t="s">
        <v>746</v>
      </c>
      <c r="O189" t="s">
        <v>255</v>
      </c>
      <c r="P189">
        <v>22153</v>
      </c>
      <c r="Q189">
        <v>1326</v>
      </c>
      <c r="R189" t="s">
        <v>23</v>
      </c>
      <c r="S189" s="1" t="s">
        <v>34218</v>
      </c>
    </row>
    <row r="190" spans="1:19" x14ac:dyDescent="0.25">
      <c r="A190">
        <v>101316905</v>
      </c>
      <c r="B190" t="s">
        <v>747</v>
      </c>
      <c r="C190" t="s">
        <v>748</v>
      </c>
      <c r="F190" t="str">
        <f>"8018575816"</f>
        <v>8018575816</v>
      </c>
      <c r="G190" t="s">
        <v>749</v>
      </c>
      <c r="H190" t="s">
        <v>331</v>
      </c>
      <c r="I190" t="s">
        <v>332</v>
      </c>
      <c r="J190">
        <v>84123</v>
      </c>
      <c r="K190">
        <v>4254</v>
      </c>
      <c r="L190" t="s">
        <v>23</v>
      </c>
      <c r="M190" t="s">
        <v>749</v>
      </c>
      <c r="N190" t="s">
        <v>331</v>
      </c>
      <c r="O190" t="s">
        <v>332</v>
      </c>
      <c r="P190">
        <v>84123</v>
      </c>
      <c r="Q190">
        <v>4254</v>
      </c>
      <c r="R190" t="s">
        <v>23</v>
      </c>
      <c r="S190" s="1" t="s">
        <v>34218</v>
      </c>
    </row>
    <row r="191" spans="1:19" x14ac:dyDescent="0.25">
      <c r="A191">
        <v>101112898</v>
      </c>
      <c r="B191" t="s">
        <v>750</v>
      </c>
      <c r="C191" t="s">
        <v>522</v>
      </c>
      <c r="F191" t="str">
        <f>"5104365475"</f>
        <v>5104365475</v>
      </c>
      <c r="G191" t="s">
        <v>751</v>
      </c>
      <c r="H191" t="s">
        <v>88</v>
      </c>
      <c r="I191" t="s">
        <v>22</v>
      </c>
      <c r="J191">
        <v>94619</v>
      </c>
      <c r="K191">
        <v>3203</v>
      </c>
      <c r="L191" t="s">
        <v>23</v>
      </c>
      <c r="M191" t="s">
        <v>751</v>
      </c>
      <c r="N191" t="s">
        <v>88</v>
      </c>
      <c r="O191" t="s">
        <v>22</v>
      </c>
      <c r="P191">
        <v>94619</v>
      </c>
      <c r="Q191">
        <v>3203</v>
      </c>
      <c r="R191" t="s">
        <v>23</v>
      </c>
      <c r="S191" s="1" t="s">
        <v>34218</v>
      </c>
    </row>
    <row r="192" spans="1:19" x14ac:dyDescent="0.25">
      <c r="A192">
        <v>101348877</v>
      </c>
      <c r="B192" t="s">
        <v>752</v>
      </c>
      <c r="C192" t="s">
        <v>123</v>
      </c>
      <c r="F192" t="str">
        <f>"9062494496"</f>
        <v>9062494496</v>
      </c>
      <c r="G192" t="s">
        <v>753</v>
      </c>
      <c r="H192" t="s">
        <v>277</v>
      </c>
      <c r="I192" t="s">
        <v>140</v>
      </c>
      <c r="J192">
        <v>49855</v>
      </c>
      <c r="K192">
        <v>9552</v>
      </c>
      <c r="L192" t="s">
        <v>23</v>
      </c>
      <c r="M192" t="s">
        <v>753</v>
      </c>
      <c r="N192" t="s">
        <v>277</v>
      </c>
      <c r="O192" t="s">
        <v>140</v>
      </c>
      <c r="P192">
        <v>49855</v>
      </c>
      <c r="Q192">
        <v>9552</v>
      </c>
      <c r="R192" t="s">
        <v>23</v>
      </c>
      <c r="S192" s="1" t="s">
        <v>34218</v>
      </c>
    </row>
    <row r="193" spans="1:19" x14ac:dyDescent="0.25">
      <c r="A193">
        <v>101356905</v>
      </c>
      <c r="B193" t="s">
        <v>754</v>
      </c>
      <c r="C193" t="s">
        <v>30</v>
      </c>
      <c r="F193" t="str">
        <f>"2128769273"</f>
        <v>2128769273</v>
      </c>
      <c r="G193" t="s">
        <v>755</v>
      </c>
      <c r="H193" t="s">
        <v>653</v>
      </c>
      <c r="I193" t="s">
        <v>117</v>
      </c>
      <c r="J193">
        <v>10128</v>
      </c>
      <c r="K193">
        <v>788</v>
      </c>
      <c r="L193" t="s">
        <v>23</v>
      </c>
      <c r="M193" t="s">
        <v>755</v>
      </c>
      <c r="N193" t="s">
        <v>653</v>
      </c>
      <c r="O193" t="s">
        <v>117</v>
      </c>
      <c r="P193">
        <v>10128</v>
      </c>
      <c r="Q193">
        <v>788</v>
      </c>
      <c r="R193" t="s">
        <v>23</v>
      </c>
      <c r="S193" s="1" t="s">
        <v>34218</v>
      </c>
    </row>
    <row r="194" spans="1:19" x14ac:dyDescent="0.25">
      <c r="A194">
        <v>101365543</v>
      </c>
      <c r="B194" t="s">
        <v>756</v>
      </c>
      <c r="C194" t="s">
        <v>668</v>
      </c>
      <c r="F194" t="str">
        <f>"3012336070"</f>
        <v>3012336070</v>
      </c>
      <c r="G194" t="s">
        <v>757</v>
      </c>
      <c r="H194" t="s">
        <v>758</v>
      </c>
      <c r="I194" t="s">
        <v>148</v>
      </c>
      <c r="J194">
        <v>20910</v>
      </c>
      <c r="K194">
        <v>4132</v>
      </c>
      <c r="L194" t="s">
        <v>23</v>
      </c>
      <c r="M194" t="s">
        <v>757</v>
      </c>
      <c r="N194" t="s">
        <v>758</v>
      </c>
      <c r="O194" t="s">
        <v>148</v>
      </c>
      <c r="P194">
        <v>20910</v>
      </c>
      <c r="Q194">
        <v>4132</v>
      </c>
      <c r="R194" t="s">
        <v>23</v>
      </c>
      <c r="S194" s="1" t="s">
        <v>34218</v>
      </c>
    </row>
    <row r="195" spans="1:19" x14ac:dyDescent="0.25">
      <c r="A195">
        <v>100979653</v>
      </c>
      <c r="B195" t="s">
        <v>759</v>
      </c>
      <c r="C195" t="s">
        <v>403</v>
      </c>
      <c r="F195" t="str">
        <f>"4349932122"</f>
        <v>4349932122</v>
      </c>
      <c r="G195" t="s">
        <v>760</v>
      </c>
      <c r="H195" t="s">
        <v>761</v>
      </c>
      <c r="I195" t="s">
        <v>255</v>
      </c>
      <c r="J195">
        <v>24538</v>
      </c>
      <c r="K195">
        <v>2035</v>
      </c>
      <c r="L195" t="s">
        <v>23</v>
      </c>
      <c r="M195" t="s">
        <v>760</v>
      </c>
      <c r="N195" t="s">
        <v>761</v>
      </c>
      <c r="O195" t="s">
        <v>255</v>
      </c>
      <c r="P195">
        <v>24538</v>
      </c>
      <c r="Q195">
        <v>2035</v>
      </c>
      <c r="R195" t="s">
        <v>23</v>
      </c>
      <c r="S195" s="1" t="s">
        <v>34218</v>
      </c>
    </row>
    <row r="196" spans="1:19" x14ac:dyDescent="0.25">
      <c r="A196">
        <v>101194197</v>
      </c>
      <c r="B196" t="s">
        <v>762</v>
      </c>
      <c r="C196" t="s">
        <v>763</v>
      </c>
      <c r="F196" t="str">
        <f>"6367425366"</f>
        <v>6367425366</v>
      </c>
      <c r="G196" t="s">
        <v>764</v>
      </c>
      <c r="H196" t="s">
        <v>765</v>
      </c>
      <c r="I196" t="s">
        <v>126</v>
      </c>
      <c r="J196">
        <v>63089</v>
      </c>
      <c r="K196">
        <v>1987</v>
      </c>
      <c r="L196" t="s">
        <v>23</v>
      </c>
      <c r="M196" t="s">
        <v>764</v>
      </c>
      <c r="N196" t="s">
        <v>765</v>
      </c>
      <c r="O196" t="s">
        <v>126</v>
      </c>
      <c r="P196">
        <v>63089</v>
      </c>
      <c r="Q196">
        <v>1987</v>
      </c>
      <c r="R196" t="s">
        <v>23</v>
      </c>
      <c r="S196" s="1" t="s">
        <v>34218</v>
      </c>
    </row>
    <row r="197" spans="1:19" x14ac:dyDescent="0.25">
      <c r="A197">
        <v>101065153</v>
      </c>
      <c r="B197" t="s">
        <v>766</v>
      </c>
      <c r="C197" t="s">
        <v>137</v>
      </c>
      <c r="F197" t="str">
        <f>"8128417540"</f>
        <v>8128417540</v>
      </c>
      <c r="G197" t="s">
        <v>767</v>
      </c>
      <c r="H197" t="s">
        <v>768</v>
      </c>
      <c r="I197" t="s">
        <v>57</v>
      </c>
      <c r="J197">
        <v>47803</v>
      </c>
      <c r="K197">
        <v>9686</v>
      </c>
      <c r="L197" t="s">
        <v>23</v>
      </c>
      <c r="M197" t="s">
        <v>767</v>
      </c>
      <c r="N197" t="s">
        <v>768</v>
      </c>
      <c r="O197" t="s">
        <v>57</v>
      </c>
      <c r="P197">
        <v>47803</v>
      </c>
      <c r="Q197">
        <v>9686</v>
      </c>
      <c r="R197" t="s">
        <v>23</v>
      </c>
      <c r="S197" s="1" t="s">
        <v>34218</v>
      </c>
    </row>
    <row r="198" spans="1:19" x14ac:dyDescent="0.25">
      <c r="A198">
        <v>101125041</v>
      </c>
      <c r="B198" t="s">
        <v>769</v>
      </c>
      <c r="C198" t="s">
        <v>770</v>
      </c>
      <c r="F198" t="str">
        <f>"4014476512"</f>
        <v>4014476512</v>
      </c>
      <c r="G198" t="s">
        <v>771</v>
      </c>
      <c r="H198" t="s">
        <v>676</v>
      </c>
      <c r="I198" t="s">
        <v>662</v>
      </c>
      <c r="J198">
        <v>2864</v>
      </c>
      <c r="K198">
        <v>1308</v>
      </c>
      <c r="L198" t="s">
        <v>23</v>
      </c>
      <c r="M198" t="s">
        <v>771</v>
      </c>
      <c r="N198" t="s">
        <v>676</v>
      </c>
      <c r="O198" t="s">
        <v>662</v>
      </c>
      <c r="P198">
        <v>2864</v>
      </c>
      <c r="Q198">
        <v>1308</v>
      </c>
      <c r="R198" t="s">
        <v>23</v>
      </c>
      <c r="S198" s="1" t="s">
        <v>34218</v>
      </c>
    </row>
    <row r="199" spans="1:19" x14ac:dyDescent="0.25">
      <c r="A199">
        <v>101138413</v>
      </c>
      <c r="B199" t="s">
        <v>772</v>
      </c>
      <c r="C199" t="s">
        <v>773</v>
      </c>
      <c r="F199" t="str">
        <f>"8315365075"</f>
        <v>8315365075</v>
      </c>
      <c r="G199" t="s">
        <v>774</v>
      </c>
      <c r="H199" t="s">
        <v>775</v>
      </c>
      <c r="I199" t="s">
        <v>22</v>
      </c>
      <c r="J199">
        <v>95076</v>
      </c>
      <c r="K199">
        <v>2801</v>
      </c>
      <c r="L199" t="s">
        <v>23</v>
      </c>
      <c r="M199" t="s">
        <v>774</v>
      </c>
      <c r="N199" t="s">
        <v>775</v>
      </c>
      <c r="O199" t="s">
        <v>22</v>
      </c>
      <c r="P199">
        <v>95076</v>
      </c>
      <c r="Q199">
        <v>2801</v>
      </c>
      <c r="R199" t="s">
        <v>23</v>
      </c>
      <c r="S199" s="1" t="s">
        <v>34218</v>
      </c>
    </row>
    <row r="200" spans="1:19" x14ac:dyDescent="0.25">
      <c r="A200">
        <v>101396006</v>
      </c>
      <c r="B200" t="s">
        <v>776</v>
      </c>
      <c r="C200" t="s">
        <v>777</v>
      </c>
      <c r="F200" t="str">
        <f>"7084856725"</f>
        <v>7084856725</v>
      </c>
      <c r="G200" t="s">
        <v>778</v>
      </c>
      <c r="H200" t="s">
        <v>488</v>
      </c>
      <c r="I200" t="s">
        <v>135</v>
      </c>
      <c r="J200">
        <v>60513</v>
      </c>
      <c r="K200">
        <v>2413</v>
      </c>
      <c r="L200" t="s">
        <v>23</v>
      </c>
      <c r="M200" t="s">
        <v>778</v>
      </c>
      <c r="N200" t="s">
        <v>488</v>
      </c>
      <c r="O200" t="s">
        <v>135</v>
      </c>
      <c r="P200">
        <v>60513</v>
      </c>
      <c r="Q200">
        <v>2413</v>
      </c>
      <c r="R200" t="s">
        <v>23</v>
      </c>
      <c r="S200" s="1" t="s">
        <v>34218</v>
      </c>
    </row>
    <row r="201" spans="1:19" x14ac:dyDescent="0.25">
      <c r="A201">
        <v>100531441</v>
      </c>
      <c r="B201" t="s">
        <v>779</v>
      </c>
      <c r="C201" t="s">
        <v>780</v>
      </c>
      <c r="F201" t="str">
        <f>"9146317981"</f>
        <v>9146317981</v>
      </c>
      <c r="G201" t="s">
        <v>781</v>
      </c>
      <c r="H201" t="s">
        <v>782</v>
      </c>
      <c r="I201" t="s">
        <v>117</v>
      </c>
      <c r="J201">
        <v>10591</v>
      </c>
      <c r="K201">
        <v>3033</v>
      </c>
      <c r="L201" t="s">
        <v>23</v>
      </c>
      <c r="M201" t="s">
        <v>781</v>
      </c>
      <c r="N201" t="s">
        <v>782</v>
      </c>
      <c r="O201" t="s">
        <v>117</v>
      </c>
      <c r="P201">
        <v>10591</v>
      </c>
      <c r="Q201">
        <v>3033</v>
      </c>
      <c r="R201" t="s">
        <v>23</v>
      </c>
      <c r="S201" s="1" t="s">
        <v>34218</v>
      </c>
    </row>
    <row r="202" spans="1:19" x14ac:dyDescent="0.25">
      <c r="A202">
        <v>100738992</v>
      </c>
      <c r="B202" t="s">
        <v>783</v>
      </c>
      <c r="C202" t="s">
        <v>90</v>
      </c>
      <c r="F202" t="str">
        <f>"6305551212"</f>
        <v>6305551212</v>
      </c>
      <c r="G202" t="s">
        <v>784</v>
      </c>
      <c r="H202" t="s">
        <v>785</v>
      </c>
      <c r="I202" t="s">
        <v>135</v>
      </c>
      <c r="J202">
        <v>60139</v>
      </c>
      <c r="K202">
        <v>1976</v>
      </c>
      <c r="L202" t="s">
        <v>23</v>
      </c>
      <c r="M202" t="s">
        <v>784</v>
      </c>
      <c r="N202" t="s">
        <v>785</v>
      </c>
      <c r="O202" t="s">
        <v>135</v>
      </c>
      <c r="P202">
        <v>60139</v>
      </c>
      <c r="Q202">
        <v>1976</v>
      </c>
      <c r="R202" t="s">
        <v>23</v>
      </c>
      <c r="S202" s="1" t="s">
        <v>34218</v>
      </c>
    </row>
    <row r="203" spans="1:19" x14ac:dyDescent="0.25">
      <c r="A203">
        <v>100741053</v>
      </c>
      <c r="B203" t="s">
        <v>786</v>
      </c>
      <c r="C203" t="s">
        <v>787</v>
      </c>
      <c r="F203" t="str">
        <f>"5122607477"</f>
        <v>5122607477</v>
      </c>
      <c r="G203" t="s">
        <v>788</v>
      </c>
      <c r="H203" t="s">
        <v>789</v>
      </c>
      <c r="I203" t="s">
        <v>38</v>
      </c>
      <c r="J203">
        <v>78628</v>
      </c>
      <c r="K203">
        <v>7188</v>
      </c>
      <c r="L203" t="s">
        <v>23</v>
      </c>
      <c r="M203" t="s">
        <v>788</v>
      </c>
      <c r="N203" t="s">
        <v>789</v>
      </c>
      <c r="O203" t="s">
        <v>38</v>
      </c>
      <c r="P203">
        <v>78628</v>
      </c>
      <c r="Q203">
        <v>7188</v>
      </c>
      <c r="R203" t="s">
        <v>23</v>
      </c>
      <c r="S203" s="1" t="s">
        <v>34218</v>
      </c>
    </row>
    <row r="204" spans="1:19" x14ac:dyDescent="0.25">
      <c r="A204">
        <v>100622683</v>
      </c>
      <c r="B204" t="s">
        <v>790</v>
      </c>
      <c r="C204" t="s">
        <v>102</v>
      </c>
      <c r="F204" t="str">
        <f>"9209220458"</f>
        <v>9209220458</v>
      </c>
      <c r="G204" t="s">
        <v>791</v>
      </c>
      <c r="H204" t="s">
        <v>792</v>
      </c>
      <c r="I204" t="s">
        <v>100</v>
      </c>
      <c r="J204">
        <v>54935</v>
      </c>
      <c r="K204">
        <v>9743</v>
      </c>
      <c r="L204" t="s">
        <v>23</v>
      </c>
      <c r="M204" t="s">
        <v>791</v>
      </c>
      <c r="N204" t="s">
        <v>792</v>
      </c>
      <c r="O204" t="s">
        <v>100</v>
      </c>
      <c r="P204">
        <v>54935</v>
      </c>
      <c r="Q204">
        <v>9743</v>
      </c>
      <c r="R204" t="s">
        <v>23</v>
      </c>
      <c r="S204" s="1" t="s">
        <v>34218</v>
      </c>
    </row>
    <row r="205" spans="1:19" x14ac:dyDescent="0.25">
      <c r="A205">
        <v>100785666</v>
      </c>
      <c r="B205" t="s">
        <v>793</v>
      </c>
      <c r="C205" t="s">
        <v>114</v>
      </c>
      <c r="F205" t="str">
        <f>"9062980941"</f>
        <v>9062980941</v>
      </c>
      <c r="G205" t="s">
        <v>794</v>
      </c>
      <c r="H205" t="s">
        <v>795</v>
      </c>
      <c r="I205" t="s">
        <v>140</v>
      </c>
      <c r="J205">
        <v>49781</v>
      </c>
      <c r="K205">
        <v>1425</v>
      </c>
      <c r="L205" t="s">
        <v>23</v>
      </c>
      <c r="M205" t="s">
        <v>794</v>
      </c>
      <c r="N205" t="s">
        <v>795</v>
      </c>
      <c r="O205" t="s">
        <v>140</v>
      </c>
      <c r="P205">
        <v>49781</v>
      </c>
      <c r="Q205">
        <v>1425</v>
      </c>
      <c r="R205" t="s">
        <v>23</v>
      </c>
      <c r="S205" s="1" t="s">
        <v>34218</v>
      </c>
    </row>
    <row r="206" spans="1:19" x14ac:dyDescent="0.25">
      <c r="A206">
        <v>100801247</v>
      </c>
      <c r="B206" t="s">
        <v>796</v>
      </c>
      <c r="C206" t="s">
        <v>797</v>
      </c>
      <c r="F206" t="str">
        <f>"2198641621"</f>
        <v>2198641621</v>
      </c>
      <c r="G206" t="s">
        <v>798</v>
      </c>
      <c r="H206" t="s">
        <v>799</v>
      </c>
      <c r="I206" t="s">
        <v>57</v>
      </c>
      <c r="J206">
        <v>46311</v>
      </c>
      <c r="K206">
        <v>2686</v>
      </c>
      <c r="L206" t="s">
        <v>23</v>
      </c>
      <c r="M206" t="s">
        <v>798</v>
      </c>
      <c r="N206" t="s">
        <v>799</v>
      </c>
      <c r="O206" t="s">
        <v>57</v>
      </c>
      <c r="P206">
        <v>46311</v>
      </c>
      <c r="Q206">
        <v>2686</v>
      </c>
      <c r="R206" t="s">
        <v>23</v>
      </c>
      <c r="S206" s="1" t="s">
        <v>34218</v>
      </c>
    </row>
    <row r="207" spans="1:19" x14ac:dyDescent="0.25">
      <c r="A207">
        <v>100634375</v>
      </c>
      <c r="B207" t="s">
        <v>800</v>
      </c>
      <c r="C207" t="s">
        <v>119</v>
      </c>
      <c r="F207" t="str">
        <f>"5036597765"</f>
        <v>5036597765</v>
      </c>
      <c r="G207" t="s">
        <v>801</v>
      </c>
      <c r="H207" t="s">
        <v>227</v>
      </c>
      <c r="I207" t="s">
        <v>43</v>
      </c>
      <c r="J207">
        <v>97222</v>
      </c>
      <c r="K207">
        <v>6166</v>
      </c>
      <c r="L207" t="s">
        <v>23</v>
      </c>
      <c r="M207" t="s">
        <v>801</v>
      </c>
      <c r="N207" t="s">
        <v>227</v>
      </c>
      <c r="O207" t="s">
        <v>43</v>
      </c>
      <c r="P207">
        <v>97222</v>
      </c>
      <c r="Q207">
        <v>6166</v>
      </c>
      <c r="R207" t="s">
        <v>23</v>
      </c>
      <c r="S207" s="1" t="s">
        <v>34218</v>
      </c>
    </row>
    <row r="208" spans="1:19" x14ac:dyDescent="0.25">
      <c r="A208">
        <v>100640933</v>
      </c>
      <c r="B208" t="s">
        <v>802</v>
      </c>
      <c r="C208" t="s">
        <v>803</v>
      </c>
      <c r="F208" t="str">
        <f>"8129414297"</f>
        <v>8129414297</v>
      </c>
      <c r="G208" t="s">
        <v>804</v>
      </c>
      <c r="H208" t="s">
        <v>805</v>
      </c>
      <c r="I208" t="s">
        <v>57</v>
      </c>
      <c r="J208">
        <v>47150</v>
      </c>
      <c r="K208">
        <v>1858</v>
      </c>
      <c r="L208" t="s">
        <v>23</v>
      </c>
      <c r="M208" t="s">
        <v>804</v>
      </c>
      <c r="N208" t="s">
        <v>805</v>
      </c>
      <c r="O208" t="s">
        <v>57</v>
      </c>
      <c r="P208">
        <v>47150</v>
      </c>
      <c r="Q208">
        <v>1858</v>
      </c>
      <c r="R208" t="s">
        <v>23</v>
      </c>
      <c r="S208" s="1" t="s">
        <v>34218</v>
      </c>
    </row>
    <row r="209" spans="1:19" x14ac:dyDescent="0.25">
      <c r="A209">
        <v>100654985</v>
      </c>
      <c r="B209" t="s">
        <v>806</v>
      </c>
      <c r="C209" t="s">
        <v>406</v>
      </c>
      <c r="F209" t="str">
        <f>"5058656502"</f>
        <v>5058656502</v>
      </c>
      <c r="G209" t="s">
        <v>807</v>
      </c>
      <c r="H209" t="s">
        <v>808</v>
      </c>
      <c r="I209" t="s">
        <v>639</v>
      </c>
      <c r="J209">
        <v>87031</v>
      </c>
      <c r="K209">
        <v>7473</v>
      </c>
      <c r="L209" t="s">
        <v>23</v>
      </c>
      <c r="M209" t="s">
        <v>807</v>
      </c>
      <c r="N209" t="s">
        <v>808</v>
      </c>
      <c r="O209" t="s">
        <v>639</v>
      </c>
      <c r="P209">
        <v>87031</v>
      </c>
      <c r="Q209">
        <v>7473</v>
      </c>
      <c r="R209" t="s">
        <v>23</v>
      </c>
      <c r="S209" s="1" t="s">
        <v>34218</v>
      </c>
    </row>
    <row r="210" spans="1:19" x14ac:dyDescent="0.25">
      <c r="A210">
        <v>100855822</v>
      </c>
      <c r="B210" t="s">
        <v>809</v>
      </c>
      <c r="C210" t="s">
        <v>810</v>
      </c>
      <c r="F210" t="str">
        <f>"8172375317"</f>
        <v>8172375317</v>
      </c>
      <c r="G210" t="s">
        <v>811</v>
      </c>
      <c r="H210" t="s">
        <v>419</v>
      </c>
      <c r="I210" t="s">
        <v>38</v>
      </c>
      <c r="J210">
        <v>76135</v>
      </c>
      <c r="K210">
        <v>1736</v>
      </c>
      <c r="L210" t="s">
        <v>23</v>
      </c>
      <c r="M210" t="s">
        <v>811</v>
      </c>
      <c r="N210" t="s">
        <v>419</v>
      </c>
      <c r="O210" t="s">
        <v>38</v>
      </c>
      <c r="P210">
        <v>76135</v>
      </c>
      <c r="Q210">
        <v>1736</v>
      </c>
      <c r="R210" t="s">
        <v>23</v>
      </c>
      <c r="S210" s="1" t="s">
        <v>34218</v>
      </c>
    </row>
    <row r="211" spans="1:19" x14ac:dyDescent="0.25">
      <c r="A211">
        <v>100861490</v>
      </c>
      <c r="B211" t="s">
        <v>812</v>
      </c>
      <c r="C211" t="s">
        <v>406</v>
      </c>
      <c r="F211" t="str">
        <f>"8459785644"</f>
        <v>8459785644</v>
      </c>
      <c r="G211" t="s">
        <v>813</v>
      </c>
      <c r="H211" t="s">
        <v>814</v>
      </c>
      <c r="I211" t="s">
        <v>117</v>
      </c>
      <c r="J211">
        <v>10940</v>
      </c>
      <c r="K211">
        <v>7450</v>
      </c>
      <c r="L211" t="s">
        <v>23</v>
      </c>
      <c r="M211" t="s">
        <v>813</v>
      </c>
      <c r="N211" t="s">
        <v>814</v>
      </c>
      <c r="O211" t="s">
        <v>117</v>
      </c>
      <c r="P211">
        <v>10940</v>
      </c>
      <c r="Q211">
        <v>7450</v>
      </c>
      <c r="R211" t="s">
        <v>23</v>
      </c>
      <c r="S211" s="1" t="s">
        <v>34218</v>
      </c>
    </row>
    <row r="212" spans="1:19" x14ac:dyDescent="0.25">
      <c r="A212">
        <v>100522448</v>
      </c>
      <c r="B212" t="s">
        <v>815</v>
      </c>
      <c r="C212" t="s">
        <v>816</v>
      </c>
      <c r="F212" t="str">
        <f>"5036457331"</f>
        <v>5036457331</v>
      </c>
      <c r="G212" t="s">
        <v>817</v>
      </c>
      <c r="H212" t="s">
        <v>818</v>
      </c>
      <c r="I212" t="s">
        <v>43</v>
      </c>
      <c r="J212">
        <v>97006</v>
      </c>
      <c r="K212">
        <v>4938</v>
      </c>
      <c r="L212" t="s">
        <v>23</v>
      </c>
      <c r="M212" t="s">
        <v>817</v>
      </c>
      <c r="N212" t="s">
        <v>818</v>
      </c>
      <c r="O212" t="s">
        <v>43</v>
      </c>
      <c r="P212">
        <v>97006</v>
      </c>
      <c r="Q212">
        <v>4938</v>
      </c>
      <c r="R212" t="s">
        <v>23</v>
      </c>
      <c r="S212" s="1" t="s">
        <v>34218</v>
      </c>
    </row>
    <row r="213" spans="1:19" x14ac:dyDescent="0.25">
      <c r="A213">
        <v>100527897</v>
      </c>
      <c r="B213" t="s">
        <v>819</v>
      </c>
      <c r="C213" t="s">
        <v>820</v>
      </c>
      <c r="F213" t="str">
        <f>"7084744295"</f>
        <v>7084744295</v>
      </c>
      <c r="G213" t="s">
        <v>821</v>
      </c>
      <c r="H213" t="s">
        <v>822</v>
      </c>
      <c r="I213" t="s">
        <v>135</v>
      </c>
      <c r="J213">
        <v>60438</v>
      </c>
      <c r="K213">
        <v>2824</v>
      </c>
      <c r="L213" t="s">
        <v>23</v>
      </c>
      <c r="M213" t="s">
        <v>821</v>
      </c>
      <c r="N213" t="s">
        <v>822</v>
      </c>
      <c r="O213" t="s">
        <v>135</v>
      </c>
      <c r="P213">
        <v>60438</v>
      </c>
      <c r="Q213">
        <v>2824</v>
      </c>
      <c r="R213" t="s">
        <v>23</v>
      </c>
      <c r="S213" s="1" t="s">
        <v>34218</v>
      </c>
    </row>
    <row r="214" spans="1:19" x14ac:dyDescent="0.25">
      <c r="A214">
        <v>100707281</v>
      </c>
      <c r="B214" t="s">
        <v>823</v>
      </c>
      <c r="C214" t="s">
        <v>25</v>
      </c>
      <c r="F214" t="str">
        <f>"7204433606"</f>
        <v>7204433606</v>
      </c>
      <c r="G214" t="s">
        <v>824</v>
      </c>
      <c r="H214" t="s">
        <v>825</v>
      </c>
      <c r="I214" t="s">
        <v>71</v>
      </c>
      <c r="J214">
        <v>80446</v>
      </c>
      <c r="K214">
        <v>1185</v>
      </c>
      <c r="L214" t="s">
        <v>23</v>
      </c>
      <c r="M214" t="s">
        <v>824</v>
      </c>
      <c r="N214" t="s">
        <v>825</v>
      </c>
      <c r="O214" t="s">
        <v>71</v>
      </c>
      <c r="P214">
        <v>80446</v>
      </c>
      <c r="Q214">
        <v>1185</v>
      </c>
      <c r="R214" t="s">
        <v>23</v>
      </c>
      <c r="S214" s="1" t="s">
        <v>34218</v>
      </c>
    </row>
    <row r="215" spans="1:19" x14ac:dyDescent="0.25">
      <c r="A215">
        <v>100920363</v>
      </c>
      <c r="B215" t="s">
        <v>826</v>
      </c>
      <c r="C215" t="s">
        <v>216</v>
      </c>
      <c r="F215" t="str">
        <f>"6022309953"</f>
        <v>6022309953</v>
      </c>
      <c r="G215" t="s">
        <v>827</v>
      </c>
      <c r="H215" t="s">
        <v>682</v>
      </c>
      <c r="I215" t="s">
        <v>365</v>
      </c>
      <c r="J215">
        <v>85014</v>
      </c>
      <c r="K215">
        <v>1712</v>
      </c>
      <c r="L215" t="s">
        <v>23</v>
      </c>
      <c r="M215" t="s">
        <v>827</v>
      </c>
      <c r="N215" t="s">
        <v>682</v>
      </c>
      <c r="O215" t="s">
        <v>365</v>
      </c>
      <c r="P215">
        <v>85014</v>
      </c>
      <c r="Q215">
        <v>1712</v>
      </c>
      <c r="R215" t="s">
        <v>23</v>
      </c>
      <c r="S215" s="1" t="s">
        <v>34218</v>
      </c>
    </row>
    <row r="216" spans="1:19" x14ac:dyDescent="0.25">
      <c r="A216">
        <v>100925733</v>
      </c>
      <c r="B216" t="s">
        <v>828</v>
      </c>
      <c r="C216" t="s">
        <v>829</v>
      </c>
      <c r="F216" t="str">
        <f>"8044810378"</f>
        <v>8044810378</v>
      </c>
      <c r="G216" t="s">
        <v>830</v>
      </c>
      <c r="H216" t="s">
        <v>831</v>
      </c>
      <c r="I216" t="s">
        <v>255</v>
      </c>
      <c r="J216">
        <v>23842</v>
      </c>
      <c r="K216">
        <v>6803</v>
      </c>
      <c r="L216" t="s">
        <v>23</v>
      </c>
      <c r="M216" t="s">
        <v>830</v>
      </c>
      <c r="N216" t="s">
        <v>831</v>
      </c>
      <c r="O216" t="s">
        <v>255</v>
      </c>
      <c r="P216">
        <v>23842</v>
      </c>
      <c r="Q216">
        <v>6803</v>
      </c>
      <c r="R216" t="s">
        <v>23</v>
      </c>
      <c r="S216" s="1" t="s">
        <v>34218</v>
      </c>
    </row>
    <row r="217" spans="1:19" x14ac:dyDescent="0.25">
      <c r="A217">
        <v>100934889</v>
      </c>
      <c r="B217" t="s">
        <v>832</v>
      </c>
      <c r="C217" t="s">
        <v>193</v>
      </c>
      <c r="F217" t="str">
        <f>"3102546670"</f>
        <v>3102546670</v>
      </c>
      <c r="G217" t="s">
        <v>833</v>
      </c>
      <c r="H217" t="s">
        <v>79</v>
      </c>
      <c r="I217" t="s">
        <v>22</v>
      </c>
      <c r="J217">
        <v>90212</v>
      </c>
      <c r="K217">
        <v>3725</v>
      </c>
      <c r="L217" t="s">
        <v>23</v>
      </c>
      <c r="M217" t="s">
        <v>833</v>
      </c>
      <c r="N217" t="s">
        <v>79</v>
      </c>
      <c r="O217" t="s">
        <v>22</v>
      </c>
      <c r="P217">
        <v>90212</v>
      </c>
      <c r="Q217">
        <v>3725</v>
      </c>
      <c r="R217" t="s">
        <v>23</v>
      </c>
      <c r="S217" s="1" t="s">
        <v>34218</v>
      </c>
    </row>
    <row r="218" spans="1:19" x14ac:dyDescent="0.25">
      <c r="A218">
        <v>100604909</v>
      </c>
      <c r="B218" t="s">
        <v>834</v>
      </c>
      <c r="C218" t="s">
        <v>158</v>
      </c>
      <c r="F218" t="str">
        <f>"4105555555"</f>
        <v>4105555555</v>
      </c>
      <c r="G218" t="s">
        <v>835</v>
      </c>
      <c r="H218" t="s">
        <v>836</v>
      </c>
      <c r="I218" t="s">
        <v>148</v>
      </c>
      <c r="J218">
        <v>21029</v>
      </c>
      <c r="K218">
        <v>2908</v>
      </c>
      <c r="L218" t="s">
        <v>23</v>
      </c>
      <c r="M218" t="s">
        <v>835</v>
      </c>
      <c r="N218" t="s">
        <v>836</v>
      </c>
      <c r="O218" t="s">
        <v>148</v>
      </c>
      <c r="P218">
        <v>21029</v>
      </c>
      <c r="Q218">
        <v>2908</v>
      </c>
      <c r="R218" t="s">
        <v>23</v>
      </c>
      <c r="S218" s="1" t="s">
        <v>34218</v>
      </c>
    </row>
    <row r="219" spans="1:19" x14ac:dyDescent="0.25">
      <c r="A219">
        <v>100668943</v>
      </c>
      <c r="B219" t="s">
        <v>837</v>
      </c>
      <c r="C219" t="s">
        <v>838</v>
      </c>
      <c r="F219" t="str">
        <f>"9853511515"</f>
        <v>9853511515</v>
      </c>
      <c r="G219" t="s">
        <v>839</v>
      </c>
      <c r="H219" t="s">
        <v>840</v>
      </c>
      <c r="I219" t="s">
        <v>153</v>
      </c>
      <c r="J219">
        <v>70131</v>
      </c>
      <c r="K219">
        <v>3838</v>
      </c>
      <c r="L219" t="s">
        <v>23</v>
      </c>
      <c r="M219" t="s">
        <v>839</v>
      </c>
      <c r="N219" t="s">
        <v>840</v>
      </c>
      <c r="O219" t="s">
        <v>153</v>
      </c>
      <c r="P219">
        <v>70131</v>
      </c>
      <c r="Q219">
        <v>3838</v>
      </c>
      <c r="R219" t="s">
        <v>23</v>
      </c>
      <c r="S219" s="1" t="s">
        <v>34218</v>
      </c>
    </row>
    <row r="220" spans="1:19" x14ac:dyDescent="0.25">
      <c r="A220">
        <v>100873683</v>
      </c>
      <c r="B220" t="s">
        <v>841</v>
      </c>
      <c r="C220" t="s">
        <v>842</v>
      </c>
      <c r="F220" t="str">
        <f>"4193523153"</f>
        <v>4193523153</v>
      </c>
      <c r="G220" t="s">
        <v>843</v>
      </c>
      <c r="H220" t="s">
        <v>844</v>
      </c>
      <c r="I220" t="s">
        <v>178</v>
      </c>
      <c r="J220">
        <v>43402</v>
      </c>
      <c r="K220">
        <v>9180</v>
      </c>
      <c r="L220" t="s">
        <v>23</v>
      </c>
      <c r="M220" t="s">
        <v>843</v>
      </c>
      <c r="N220" t="s">
        <v>844</v>
      </c>
      <c r="O220" t="s">
        <v>178</v>
      </c>
      <c r="P220">
        <v>43402</v>
      </c>
      <c r="Q220">
        <v>9180</v>
      </c>
      <c r="R220" t="s">
        <v>23</v>
      </c>
      <c r="S220" s="1" t="s">
        <v>34218</v>
      </c>
    </row>
    <row r="221" spans="1:19" x14ac:dyDescent="0.25">
      <c r="A221">
        <v>100881290</v>
      </c>
      <c r="B221" t="s">
        <v>845</v>
      </c>
      <c r="C221" t="s">
        <v>846</v>
      </c>
      <c r="F221" t="str">
        <f>"2489324158"</f>
        <v>2489324158</v>
      </c>
      <c r="G221" t="s">
        <v>847</v>
      </c>
      <c r="H221" t="s">
        <v>848</v>
      </c>
      <c r="I221" t="s">
        <v>140</v>
      </c>
      <c r="J221">
        <v>48301</v>
      </c>
      <c r="K221">
        <v>2939</v>
      </c>
      <c r="L221" t="s">
        <v>23</v>
      </c>
      <c r="M221" t="s">
        <v>847</v>
      </c>
      <c r="N221" t="s">
        <v>848</v>
      </c>
      <c r="O221" t="s">
        <v>140</v>
      </c>
      <c r="P221">
        <v>48301</v>
      </c>
      <c r="Q221">
        <v>2939</v>
      </c>
      <c r="R221" t="s">
        <v>23</v>
      </c>
      <c r="S221" s="1" t="s">
        <v>34218</v>
      </c>
    </row>
    <row r="222" spans="1:19" x14ac:dyDescent="0.25">
      <c r="A222">
        <v>101173295</v>
      </c>
      <c r="B222" t="s">
        <v>849</v>
      </c>
      <c r="C222" t="s">
        <v>850</v>
      </c>
      <c r="F222" t="str">
        <f>"3374534341"</f>
        <v>3374534341</v>
      </c>
      <c r="G222" t="s">
        <v>851</v>
      </c>
      <c r="H222" t="s">
        <v>852</v>
      </c>
      <c r="I222" t="s">
        <v>148</v>
      </c>
      <c r="J222">
        <v>20619</v>
      </c>
      <c r="K222">
        <v>4175</v>
      </c>
      <c r="L222" t="s">
        <v>23</v>
      </c>
      <c r="M222" t="s">
        <v>851</v>
      </c>
      <c r="N222" t="s">
        <v>852</v>
      </c>
      <c r="O222" t="s">
        <v>148</v>
      </c>
      <c r="P222">
        <v>20619</v>
      </c>
      <c r="Q222">
        <v>4175</v>
      </c>
      <c r="R222" t="s">
        <v>23</v>
      </c>
      <c r="S222" s="1" t="s">
        <v>34218</v>
      </c>
    </row>
    <row r="223" spans="1:19" x14ac:dyDescent="0.25">
      <c r="A223">
        <v>101053239</v>
      </c>
      <c r="B223" t="s">
        <v>853</v>
      </c>
      <c r="C223" t="s">
        <v>123</v>
      </c>
      <c r="F223" t="str">
        <f>"3603799010"</f>
        <v>3603799010</v>
      </c>
      <c r="G223" t="s">
        <v>854</v>
      </c>
      <c r="H223" t="s">
        <v>855</v>
      </c>
      <c r="I223" t="s">
        <v>84</v>
      </c>
      <c r="J223">
        <v>98368</v>
      </c>
      <c r="K223">
        <v>3058</v>
      </c>
      <c r="L223" t="s">
        <v>23</v>
      </c>
      <c r="M223" t="s">
        <v>854</v>
      </c>
      <c r="N223" t="s">
        <v>855</v>
      </c>
      <c r="O223" t="s">
        <v>84</v>
      </c>
      <c r="P223">
        <v>98368</v>
      </c>
      <c r="Q223">
        <v>3058</v>
      </c>
      <c r="R223" t="s">
        <v>23</v>
      </c>
      <c r="S223" s="1" t="s">
        <v>34218</v>
      </c>
    </row>
    <row r="224" spans="1:19" x14ac:dyDescent="0.25">
      <c r="A224">
        <v>101053796</v>
      </c>
      <c r="B224" t="s">
        <v>856</v>
      </c>
      <c r="C224" t="s">
        <v>387</v>
      </c>
      <c r="F224" t="str">
        <f>"7068632324"</f>
        <v>7068632324</v>
      </c>
      <c r="G224" t="s">
        <v>857</v>
      </c>
      <c r="H224" t="s">
        <v>858</v>
      </c>
      <c r="I224" t="s">
        <v>28</v>
      </c>
      <c r="J224">
        <v>30907</v>
      </c>
      <c r="K224">
        <v>4506</v>
      </c>
      <c r="L224" t="s">
        <v>23</v>
      </c>
      <c r="M224" t="s">
        <v>857</v>
      </c>
      <c r="N224" t="s">
        <v>858</v>
      </c>
      <c r="O224" t="s">
        <v>28</v>
      </c>
      <c r="P224">
        <v>30907</v>
      </c>
      <c r="Q224">
        <v>4506</v>
      </c>
      <c r="R224" t="s">
        <v>23</v>
      </c>
      <c r="S224" s="1" t="s">
        <v>34218</v>
      </c>
    </row>
    <row r="225" spans="1:19" x14ac:dyDescent="0.25">
      <c r="A225">
        <v>101275121</v>
      </c>
      <c r="B225" t="s">
        <v>859</v>
      </c>
      <c r="C225" t="s">
        <v>382</v>
      </c>
      <c r="F225" t="str">
        <f>"6106477768"</f>
        <v>6106477768</v>
      </c>
      <c r="G225" t="s">
        <v>860</v>
      </c>
      <c r="H225" t="s">
        <v>861</v>
      </c>
      <c r="I225" t="s">
        <v>33</v>
      </c>
      <c r="J225">
        <v>19355</v>
      </c>
      <c r="K225">
        <v>3007</v>
      </c>
      <c r="L225" t="s">
        <v>23</v>
      </c>
      <c r="M225" t="s">
        <v>860</v>
      </c>
      <c r="N225" t="s">
        <v>861</v>
      </c>
      <c r="O225" t="s">
        <v>33</v>
      </c>
      <c r="P225">
        <v>19355</v>
      </c>
      <c r="Q225">
        <v>3007</v>
      </c>
      <c r="R225" t="s">
        <v>23</v>
      </c>
      <c r="S225" s="1" t="s">
        <v>34218</v>
      </c>
    </row>
    <row r="226" spans="1:19" x14ac:dyDescent="0.25">
      <c r="A226">
        <v>101288507</v>
      </c>
      <c r="B226" t="s">
        <v>862</v>
      </c>
      <c r="C226" t="s">
        <v>59</v>
      </c>
      <c r="F226" t="str">
        <f>"5052685031"</f>
        <v>5052685031</v>
      </c>
      <c r="G226" t="s">
        <v>863</v>
      </c>
      <c r="H226" t="s">
        <v>638</v>
      </c>
      <c r="I226" t="s">
        <v>639</v>
      </c>
      <c r="J226">
        <v>87108</v>
      </c>
      <c r="K226">
        <v>3204</v>
      </c>
      <c r="L226" t="s">
        <v>23</v>
      </c>
      <c r="M226" t="s">
        <v>863</v>
      </c>
      <c r="N226" t="s">
        <v>638</v>
      </c>
      <c r="O226" t="s">
        <v>639</v>
      </c>
      <c r="P226">
        <v>87108</v>
      </c>
      <c r="Q226">
        <v>3204</v>
      </c>
      <c r="R226" t="s">
        <v>23</v>
      </c>
      <c r="S226" s="1" t="s">
        <v>34218</v>
      </c>
    </row>
    <row r="227" spans="1:19" x14ac:dyDescent="0.25">
      <c r="A227">
        <v>101081551</v>
      </c>
      <c r="B227" t="s">
        <v>864</v>
      </c>
      <c r="C227" t="s">
        <v>865</v>
      </c>
      <c r="F227" t="str">
        <f>"4809223747"</f>
        <v>4809223747</v>
      </c>
      <c r="G227" t="s">
        <v>866</v>
      </c>
      <c r="H227" t="s">
        <v>471</v>
      </c>
      <c r="I227" t="s">
        <v>365</v>
      </c>
      <c r="J227">
        <v>85258</v>
      </c>
      <c r="K227">
        <v>2747</v>
      </c>
      <c r="L227" t="s">
        <v>23</v>
      </c>
      <c r="M227" t="s">
        <v>866</v>
      </c>
      <c r="N227" t="s">
        <v>471</v>
      </c>
      <c r="O227" t="s">
        <v>365</v>
      </c>
      <c r="P227">
        <v>85258</v>
      </c>
      <c r="Q227">
        <v>2747</v>
      </c>
      <c r="R227" t="s">
        <v>23</v>
      </c>
      <c r="S227" s="1" t="s">
        <v>34218</v>
      </c>
    </row>
    <row r="228" spans="1:19" x14ac:dyDescent="0.25">
      <c r="A228">
        <v>101128184</v>
      </c>
      <c r="B228" t="s">
        <v>34</v>
      </c>
      <c r="C228" t="s">
        <v>867</v>
      </c>
      <c r="F228" t="str">
        <f>"3052381975"</f>
        <v>3052381975</v>
      </c>
      <c r="G228" t="s">
        <v>868</v>
      </c>
      <c r="H228" t="s">
        <v>869</v>
      </c>
      <c r="I228" t="s">
        <v>52</v>
      </c>
      <c r="J228">
        <v>33177</v>
      </c>
      <c r="K228">
        <v>4444</v>
      </c>
      <c r="L228" t="s">
        <v>23</v>
      </c>
      <c r="M228" t="s">
        <v>868</v>
      </c>
      <c r="N228" t="s">
        <v>869</v>
      </c>
      <c r="O228" t="s">
        <v>52</v>
      </c>
      <c r="P228">
        <v>33177</v>
      </c>
      <c r="Q228">
        <v>4444</v>
      </c>
      <c r="R228" t="s">
        <v>23</v>
      </c>
      <c r="S228" s="1" t="s">
        <v>34218</v>
      </c>
    </row>
    <row r="229" spans="1:19" x14ac:dyDescent="0.25">
      <c r="A229">
        <v>101130874</v>
      </c>
      <c r="B229" t="s">
        <v>870</v>
      </c>
      <c r="C229" t="s">
        <v>274</v>
      </c>
      <c r="F229" t="str">
        <f>"7724800047"</f>
        <v>7724800047</v>
      </c>
      <c r="G229" t="s">
        <v>871</v>
      </c>
      <c r="H229" t="s">
        <v>872</v>
      </c>
      <c r="I229" t="s">
        <v>52</v>
      </c>
      <c r="J229">
        <v>34951</v>
      </c>
      <c r="K229">
        <v>4902</v>
      </c>
      <c r="L229" t="s">
        <v>23</v>
      </c>
      <c r="M229" t="s">
        <v>871</v>
      </c>
      <c r="N229" t="s">
        <v>872</v>
      </c>
      <c r="O229" t="s">
        <v>52</v>
      </c>
      <c r="P229">
        <v>34951</v>
      </c>
      <c r="Q229">
        <v>4902</v>
      </c>
      <c r="R229" t="s">
        <v>23</v>
      </c>
      <c r="S229" s="1" t="s">
        <v>34218</v>
      </c>
    </row>
    <row r="230" spans="1:19" x14ac:dyDescent="0.25">
      <c r="A230">
        <v>101286947</v>
      </c>
      <c r="B230" t="s">
        <v>873</v>
      </c>
      <c r="C230" t="s">
        <v>874</v>
      </c>
      <c r="F230" t="str">
        <f>"9178265041"</f>
        <v>9178265041</v>
      </c>
      <c r="G230" t="s">
        <v>875</v>
      </c>
      <c r="H230" t="s">
        <v>397</v>
      </c>
      <c r="I230" t="s">
        <v>117</v>
      </c>
      <c r="J230">
        <v>14534</v>
      </c>
      <c r="K230">
        <v>2406</v>
      </c>
      <c r="L230" t="s">
        <v>23</v>
      </c>
      <c r="M230" t="s">
        <v>875</v>
      </c>
      <c r="N230" t="s">
        <v>397</v>
      </c>
      <c r="O230" t="s">
        <v>117</v>
      </c>
      <c r="P230">
        <v>14534</v>
      </c>
      <c r="Q230">
        <v>2406</v>
      </c>
      <c r="R230" t="s">
        <v>23</v>
      </c>
      <c r="S230" s="1" t="s">
        <v>34218</v>
      </c>
    </row>
    <row r="231" spans="1:19" x14ac:dyDescent="0.25">
      <c r="A231">
        <v>101311453</v>
      </c>
      <c r="B231" t="s">
        <v>876</v>
      </c>
      <c r="C231" t="s">
        <v>877</v>
      </c>
      <c r="F231" t="str">
        <f>"6464690986"</f>
        <v>6464690986</v>
      </c>
      <c r="G231" t="s">
        <v>878</v>
      </c>
      <c r="H231" t="s">
        <v>412</v>
      </c>
      <c r="I231" t="s">
        <v>117</v>
      </c>
      <c r="J231">
        <v>11220</v>
      </c>
      <c r="K231">
        <v>5759</v>
      </c>
      <c r="L231" t="s">
        <v>23</v>
      </c>
      <c r="M231" t="s">
        <v>878</v>
      </c>
      <c r="N231" t="s">
        <v>412</v>
      </c>
      <c r="O231" t="s">
        <v>117</v>
      </c>
      <c r="P231">
        <v>11220</v>
      </c>
      <c r="Q231">
        <v>5759</v>
      </c>
      <c r="R231" t="s">
        <v>23</v>
      </c>
      <c r="S231" s="1" t="s">
        <v>34218</v>
      </c>
    </row>
    <row r="232" spans="1:19" x14ac:dyDescent="0.25">
      <c r="A232">
        <v>101319123</v>
      </c>
      <c r="B232" t="s">
        <v>879</v>
      </c>
      <c r="C232" t="s">
        <v>880</v>
      </c>
      <c r="F232" t="str">
        <f>"6316051242"</f>
        <v>6316051242</v>
      </c>
      <c r="G232" t="s">
        <v>881</v>
      </c>
      <c r="H232" t="s">
        <v>116</v>
      </c>
      <c r="I232" t="s">
        <v>117</v>
      </c>
      <c r="J232">
        <v>11432</v>
      </c>
      <c r="K232">
        <v>6057</v>
      </c>
      <c r="L232" t="s">
        <v>23</v>
      </c>
      <c r="M232" t="s">
        <v>881</v>
      </c>
      <c r="N232" t="s">
        <v>116</v>
      </c>
      <c r="O232" t="s">
        <v>117</v>
      </c>
      <c r="P232">
        <v>11432</v>
      </c>
      <c r="Q232">
        <v>6057</v>
      </c>
      <c r="R232" t="s">
        <v>23</v>
      </c>
      <c r="S232" s="1" t="s">
        <v>34218</v>
      </c>
    </row>
    <row r="233" spans="1:19" x14ac:dyDescent="0.25">
      <c r="A233">
        <v>101122080</v>
      </c>
      <c r="B233" t="s">
        <v>882</v>
      </c>
      <c r="C233" t="s">
        <v>883</v>
      </c>
      <c r="F233" t="str">
        <f>"6267313463"</f>
        <v>6267313463</v>
      </c>
      <c r="G233" t="s">
        <v>884</v>
      </c>
      <c r="H233" t="s">
        <v>885</v>
      </c>
      <c r="I233" t="s">
        <v>22</v>
      </c>
      <c r="J233">
        <v>91792</v>
      </c>
      <c r="K233">
        <v>1008</v>
      </c>
      <c r="L233" t="s">
        <v>23</v>
      </c>
      <c r="M233" t="s">
        <v>884</v>
      </c>
      <c r="N233" t="s">
        <v>885</v>
      </c>
      <c r="O233" t="s">
        <v>22</v>
      </c>
      <c r="P233">
        <v>91792</v>
      </c>
      <c r="Q233">
        <v>1008</v>
      </c>
      <c r="R233" t="s">
        <v>23</v>
      </c>
      <c r="S233" s="1" t="s">
        <v>34218</v>
      </c>
    </row>
    <row r="234" spans="1:19" x14ac:dyDescent="0.25">
      <c r="A234">
        <v>101354124</v>
      </c>
      <c r="B234" t="s">
        <v>886</v>
      </c>
      <c r="C234" t="s">
        <v>123</v>
      </c>
      <c r="F234" t="str">
        <f>"3603763423"</f>
        <v>3603763423</v>
      </c>
      <c r="G234" t="s">
        <v>887</v>
      </c>
      <c r="H234" t="s">
        <v>888</v>
      </c>
      <c r="I234" t="s">
        <v>84</v>
      </c>
      <c r="J234">
        <v>98279</v>
      </c>
      <c r="K234">
        <v>9316</v>
      </c>
      <c r="L234" t="s">
        <v>23</v>
      </c>
      <c r="M234" t="s">
        <v>887</v>
      </c>
      <c r="N234" t="s">
        <v>888</v>
      </c>
      <c r="O234" t="s">
        <v>84</v>
      </c>
      <c r="P234">
        <v>98279</v>
      </c>
      <c r="Q234">
        <v>9316</v>
      </c>
      <c r="R234" t="s">
        <v>23</v>
      </c>
      <c r="S234" s="1" t="s">
        <v>34218</v>
      </c>
    </row>
    <row r="235" spans="1:19" x14ac:dyDescent="0.25">
      <c r="A235">
        <v>101360740</v>
      </c>
      <c r="B235" t="s">
        <v>889</v>
      </c>
      <c r="C235" t="s">
        <v>890</v>
      </c>
      <c r="F235" t="str">
        <f>"2176537934"</f>
        <v>2176537934</v>
      </c>
      <c r="G235" t="s">
        <v>891</v>
      </c>
      <c r="H235" t="s">
        <v>892</v>
      </c>
      <c r="I235" t="s">
        <v>135</v>
      </c>
      <c r="J235">
        <v>62301</v>
      </c>
      <c r="K235">
        <v>2302</v>
      </c>
      <c r="L235" t="s">
        <v>23</v>
      </c>
      <c r="M235" t="s">
        <v>891</v>
      </c>
      <c r="N235" t="s">
        <v>892</v>
      </c>
      <c r="O235" t="s">
        <v>135</v>
      </c>
      <c r="P235">
        <v>62301</v>
      </c>
      <c r="Q235">
        <v>2302</v>
      </c>
      <c r="R235" t="s">
        <v>23</v>
      </c>
      <c r="S235" s="1" t="s">
        <v>34218</v>
      </c>
    </row>
    <row r="236" spans="1:19" x14ac:dyDescent="0.25">
      <c r="A236">
        <v>101361964</v>
      </c>
      <c r="B236" t="s">
        <v>893</v>
      </c>
      <c r="C236" t="s">
        <v>894</v>
      </c>
      <c r="F236" t="str">
        <f>"9092678848"</f>
        <v>9092678848</v>
      </c>
      <c r="G236" t="s">
        <v>895</v>
      </c>
      <c r="H236" t="s">
        <v>896</v>
      </c>
      <c r="I236" t="s">
        <v>22</v>
      </c>
      <c r="J236">
        <v>91801</v>
      </c>
      <c r="K236">
        <v>6817</v>
      </c>
      <c r="L236" t="s">
        <v>23</v>
      </c>
      <c r="M236" t="s">
        <v>895</v>
      </c>
      <c r="N236" t="s">
        <v>896</v>
      </c>
      <c r="O236" t="s">
        <v>22</v>
      </c>
      <c r="P236">
        <v>91801</v>
      </c>
      <c r="Q236">
        <v>6817</v>
      </c>
      <c r="R236" t="s">
        <v>23</v>
      </c>
      <c r="S236" s="1" t="s">
        <v>34218</v>
      </c>
    </row>
    <row r="237" spans="1:19" x14ac:dyDescent="0.25">
      <c r="A237">
        <v>101178614</v>
      </c>
      <c r="B237" t="s">
        <v>897</v>
      </c>
      <c r="C237" t="s">
        <v>158</v>
      </c>
      <c r="F237" t="str">
        <f>"3125938843"</f>
        <v>3125938843</v>
      </c>
      <c r="G237" t="s">
        <v>898</v>
      </c>
      <c r="H237" t="s">
        <v>899</v>
      </c>
      <c r="I237" t="s">
        <v>135</v>
      </c>
      <c r="J237">
        <v>60491</v>
      </c>
      <c r="K237">
        <v>7553</v>
      </c>
      <c r="L237" t="s">
        <v>23</v>
      </c>
      <c r="M237" t="s">
        <v>898</v>
      </c>
      <c r="N237" t="s">
        <v>899</v>
      </c>
      <c r="O237" t="s">
        <v>135</v>
      </c>
      <c r="P237">
        <v>60491</v>
      </c>
      <c r="Q237">
        <v>7553</v>
      </c>
      <c r="R237" t="s">
        <v>23</v>
      </c>
      <c r="S237" s="1" t="s">
        <v>34218</v>
      </c>
    </row>
    <row r="238" spans="1:19" x14ac:dyDescent="0.25">
      <c r="A238">
        <v>101291474</v>
      </c>
      <c r="B238" t="s">
        <v>900</v>
      </c>
      <c r="C238" t="s">
        <v>664</v>
      </c>
      <c r="F238" t="str">
        <f>"5105344370"</f>
        <v>5105344370</v>
      </c>
      <c r="G238" t="s">
        <v>901</v>
      </c>
      <c r="H238" t="s">
        <v>88</v>
      </c>
      <c r="I238" t="s">
        <v>22</v>
      </c>
      <c r="J238">
        <v>94619</v>
      </c>
      <c r="K238">
        <v>3350</v>
      </c>
      <c r="L238" t="s">
        <v>23</v>
      </c>
      <c r="M238" t="s">
        <v>901</v>
      </c>
      <c r="N238" t="s">
        <v>88</v>
      </c>
      <c r="O238" t="s">
        <v>22</v>
      </c>
      <c r="P238">
        <v>94619</v>
      </c>
      <c r="Q238">
        <v>3350</v>
      </c>
      <c r="R238" t="s">
        <v>23</v>
      </c>
      <c r="S238" s="1" t="s">
        <v>34218</v>
      </c>
    </row>
    <row r="239" spans="1:19" x14ac:dyDescent="0.25">
      <c r="A239">
        <v>101301281</v>
      </c>
      <c r="B239" t="s">
        <v>902</v>
      </c>
      <c r="C239" t="s">
        <v>903</v>
      </c>
      <c r="F239" t="str">
        <f>"5303672867"</f>
        <v>5303672867</v>
      </c>
      <c r="G239" t="s">
        <v>904</v>
      </c>
      <c r="H239" t="s">
        <v>905</v>
      </c>
      <c r="I239" t="s">
        <v>22</v>
      </c>
      <c r="J239">
        <v>95631</v>
      </c>
      <c r="K239">
        <v>9203</v>
      </c>
      <c r="L239" t="s">
        <v>23</v>
      </c>
      <c r="M239" t="s">
        <v>904</v>
      </c>
      <c r="N239" t="s">
        <v>905</v>
      </c>
      <c r="O239" t="s">
        <v>22</v>
      </c>
      <c r="P239">
        <v>95631</v>
      </c>
      <c r="Q239">
        <v>9203</v>
      </c>
      <c r="R239" t="s">
        <v>23</v>
      </c>
      <c r="S239" s="1" t="s">
        <v>34218</v>
      </c>
    </row>
    <row r="240" spans="1:19" x14ac:dyDescent="0.25">
      <c r="A240">
        <v>101300022</v>
      </c>
      <c r="B240" t="s">
        <v>906</v>
      </c>
      <c r="C240" t="s">
        <v>907</v>
      </c>
      <c r="F240" t="str">
        <f>"8562340042"</f>
        <v>8562340042</v>
      </c>
      <c r="G240" t="s">
        <v>908</v>
      </c>
      <c r="H240" t="s">
        <v>909</v>
      </c>
      <c r="I240" t="s">
        <v>250</v>
      </c>
      <c r="J240">
        <v>8034</v>
      </c>
      <c r="K240">
        <v>2906</v>
      </c>
      <c r="L240" t="s">
        <v>23</v>
      </c>
      <c r="M240" t="s">
        <v>908</v>
      </c>
      <c r="N240" t="s">
        <v>909</v>
      </c>
      <c r="O240" t="s">
        <v>250</v>
      </c>
      <c r="P240">
        <v>8034</v>
      </c>
      <c r="Q240">
        <v>2906</v>
      </c>
      <c r="R240" t="s">
        <v>23</v>
      </c>
      <c r="S240" s="1" t="s">
        <v>34218</v>
      </c>
    </row>
    <row r="241" spans="1:19" x14ac:dyDescent="0.25">
      <c r="A241">
        <v>101303498</v>
      </c>
      <c r="B241" t="s">
        <v>910</v>
      </c>
      <c r="C241" t="s">
        <v>911</v>
      </c>
      <c r="F241" t="str">
        <f>"6153850651"</f>
        <v>6153850651</v>
      </c>
      <c r="G241" t="s">
        <v>912</v>
      </c>
      <c r="H241" t="s">
        <v>913</v>
      </c>
      <c r="I241" t="s">
        <v>914</v>
      </c>
      <c r="J241">
        <v>37204</v>
      </c>
      <c r="K241">
        <v>3940</v>
      </c>
      <c r="L241" t="s">
        <v>23</v>
      </c>
      <c r="M241" t="s">
        <v>912</v>
      </c>
      <c r="N241" t="s">
        <v>913</v>
      </c>
      <c r="O241" t="s">
        <v>914</v>
      </c>
      <c r="P241">
        <v>37204</v>
      </c>
      <c r="Q241">
        <v>3940</v>
      </c>
      <c r="R241" t="s">
        <v>23</v>
      </c>
      <c r="S241" s="1" t="s">
        <v>34218</v>
      </c>
    </row>
    <row r="242" spans="1:19" x14ac:dyDescent="0.25">
      <c r="A242">
        <v>101300161</v>
      </c>
      <c r="B242" t="s">
        <v>915</v>
      </c>
      <c r="C242" t="s">
        <v>916</v>
      </c>
      <c r="F242" t="str">
        <f>"7572856092"</f>
        <v>7572856092</v>
      </c>
      <c r="G242" t="s">
        <v>917</v>
      </c>
      <c r="H242" t="s">
        <v>737</v>
      </c>
      <c r="I242" t="s">
        <v>255</v>
      </c>
      <c r="J242">
        <v>23464</v>
      </c>
      <c r="K242">
        <v>5439</v>
      </c>
      <c r="L242" t="s">
        <v>23</v>
      </c>
      <c r="M242" t="s">
        <v>917</v>
      </c>
      <c r="N242" t="s">
        <v>737</v>
      </c>
      <c r="O242" t="s">
        <v>255</v>
      </c>
      <c r="P242">
        <v>23464</v>
      </c>
      <c r="Q242">
        <v>5439</v>
      </c>
      <c r="R242" t="s">
        <v>23</v>
      </c>
      <c r="S242" s="1" t="s">
        <v>34218</v>
      </c>
    </row>
    <row r="243" spans="1:19" x14ac:dyDescent="0.25">
      <c r="A243">
        <v>101185360</v>
      </c>
      <c r="B243" t="s">
        <v>918</v>
      </c>
      <c r="C243" t="s">
        <v>919</v>
      </c>
      <c r="F243" t="str">
        <f>"6362346530"</f>
        <v>6362346530</v>
      </c>
      <c r="G243" t="s">
        <v>920</v>
      </c>
      <c r="H243" t="s">
        <v>921</v>
      </c>
      <c r="I243" t="s">
        <v>135</v>
      </c>
      <c r="J243">
        <v>62052</v>
      </c>
      <c r="K243">
        <v>1551</v>
      </c>
      <c r="L243" t="s">
        <v>23</v>
      </c>
      <c r="M243" t="s">
        <v>920</v>
      </c>
      <c r="N243" t="s">
        <v>921</v>
      </c>
      <c r="O243" t="s">
        <v>135</v>
      </c>
      <c r="P243">
        <v>62052</v>
      </c>
      <c r="Q243">
        <v>1551</v>
      </c>
      <c r="R243" t="s">
        <v>23</v>
      </c>
      <c r="S243" s="1" t="s">
        <v>34218</v>
      </c>
    </row>
    <row r="244" spans="1:19" x14ac:dyDescent="0.25">
      <c r="A244">
        <v>101169317</v>
      </c>
      <c r="B244" t="s">
        <v>922</v>
      </c>
      <c r="C244" t="s">
        <v>286</v>
      </c>
      <c r="F244" t="str">
        <f>"8476570566"</f>
        <v>8476570566</v>
      </c>
      <c r="G244" t="s">
        <v>923</v>
      </c>
      <c r="H244" t="s">
        <v>924</v>
      </c>
      <c r="I244" t="s">
        <v>135</v>
      </c>
      <c r="J244">
        <v>60025</v>
      </c>
      <c r="K244">
        <v>3455</v>
      </c>
      <c r="L244" t="s">
        <v>23</v>
      </c>
      <c r="M244" t="s">
        <v>923</v>
      </c>
      <c r="N244" t="s">
        <v>924</v>
      </c>
      <c r="O244" t="s">
        <v>135</v>
      </c>
      <c r="P244">
        <v>60025</v>
      </c>
      <c r="Q244">
        <v>3455</v>
      </c>
      <c r="R244" t="s">
        <v>23</v>
      </c>
      <c r="S244" s="1" t="s">
        <v>34218</v>
      </c>
    </row>
    <row r="245" spans="1:19" x14ac:dyDescent="0.25">
      <c r="A245">
        <v>100740797</v>
      </c>
      <c r="B245" t="s">
        <v>925</v>
      </c>
      <c r="C245" t="s">
        <v>90</v>
      </c>
      <c r="F245" t="str">
        <f>"7199414404"</f>
        <v>7199414404</v>
      </c>
      <c r="G245" t="s">
        <v>926</v>
      </c>
      <c r="H245" t="s">
        <v>927</v>
      </c>
      <c r="I245" t="s">
        <v>71</v>
      </c>
      <c r="J245">
        <v>81020</v>
      </c>
      <c r="L245" t="s">
        <v>23</v>
      </c>
      <c r="M245" t="s">
        <v>926</v>
      </c>
      <c r="N245" t="s">
        <v>927</v>
      </c>
      <c r="O245" t="s">
        <v>71</v>
      </c>
      <c r="P245">
        <v>81020</v>
      </c>
      <c r="R245" t="s">
        <v>23</v>
      </c>
      <c r="S245" s="1" t="s">
        <v>34218</v>
      </c>
    </row>
    <row r="246" spans="1:19" x14ac:dyDescent="0.25">
      <c r="A246">
        <v>101128770</v>
      </c>
      <c r="B246" t="s">
        <v>928</v>
      </c>
      <c r="C246" t="s">
        <v>929</v>
      </c>
      <c r="F246" t="str">
        <f>"4089636691"</f>
        <v>4089636691</v>
      </c>
      <c r="G246" t="s">
        <v>930</v>
      </c>
      <c r="H246" t="s">
        <v>931</v>
      </c>
      <c r="I246" t="s">
        <v>22</v>
      </c>
      <c r="J246">
        <v>95032</v>
      </c>
      <c r="K246">
        <v>1803</v>
      </c>
      <c r="L246" t="s">
        <v>23</v>
      </c>
      <c r="M246" t="s">
        <v>930</v>
      </c>
      <c r="N246" t="s">
        <v>931</v>
      </c>
      <c r="O246" t="s">
        <v>22</v>
      </c>
      <c r="P246">
        <v>95032</v>
      </c>
      <c r="Q246">
        <v>1803</v>
      </c>
      <c r="R246" t="s">
        <v>23</v>
      </c>
      <c r="S246" s="1" t="s">
        <v>34218</v>
      </c>
    </row>
    <row r="247" spans="1:19" x14ac:dyDescent="0.25">
      <c r="A247">
        <v>101386645</v>
      </c>
      <c r="B247" t="s">
        <v>932</v>
      </c>
      <c r="C247" t="s">
        <v>933</v>
      </c>
      <c r="F247" t="str">
        <f>"7073229828"</f>
        <v>7073229828</v>
      </c>
      <c r="G247" t="s">
        <v>934</v>
      </c>
      <c r="H247" t="s">
        <v>935</v>
      </c>
      <c r="I247" t="s">
        <v>22</v>
      </c>
      <c r="J247">
        <v>95497</v>
      </c>
      <c r="K247">
        <v>142</v>
      </c>
      <c r="L247" t="s">
        <v>23</v>
      </c>
      <c r="M247" t="s">
        <v>934</v>
      </c>
      <c r="N247" t="s">
        <v>935</v>
      </c>
      <c r="O247" t="s">
        <v>22</v>
      </c>
      <c r="P247">
        <v>95497</v>
      </c>
      <c r="Q247">
        <v>142</v>
      </c>
      <c r="R247" t="s">
        <v>23</v>
      </c>
      <c r="S247" s="1" t="s">
        <v>34218</v>
      </c>
    </row>
    <row r="248" spans="1:19" x14ac:dyDescent="0.25">
      <c r="A248">
        <v>101400833</v>
      </c>
      <c r="B248" t="s">
        <v>936</v>
      </c>
      <c r="C248" t="s">
        <v>644</v>
      </c>
      <c r="F248" t="str">
        <f>"2606278823"</f>
        <v>2606278823</v>
      </c>
      <c r="G248" t="s">
        <v>937</v>
      </c>
      <c r="H248" t="s">
        <v>938</v>
      </c>
      <c r="I248" t="s">
        <v>57</v>
      </c>
      <c r="J248">
        <v>46765</v>
      </c>
      <c r="L248" t="s">
        <v>23</v>
      </c>
      <c r="M248" t="s">
        <v>937</v>
      </c>
      <c r="N248" t="s">
        <v>938</v>
      </c>
      <c r="O248" t="s">
        <v>57</v>
      </c>
      <c r="P248">
        <v>46765</v>
      </c>
      <c r="R248" t="s">
        <v>23</v>
      </c>
      <c r="S248" s="1" t="s">
        <v>34218</v>
      </c>
    </row>
    <row r="249" spans="1:19" x14ac:dyDescent="0.25">
      <c r="A249">
        <v>101416661</v>
      </c>
      <c r="B249" t="s">
        <v>939</v>
      </c>
      <c r="C249" t="s">
        <v>940</v>
      </c>
      <c r="F249" t="str">
        <f>"8456140085"</f>
        <v>8456140085</v>
      </c>
      <c r="G249" t="s">
        <v>941</v>
      </c>
      <c r="H249" t="s">
        <v>942</v>
      </c>
      <c r="I249" t="s">
        <v>117</v>
      </c>
      <c r="J249">
        <v>10992</v>
      </c>
      <c r="K249">
        <v>2268</v>
      </c>
      <c r="L249" t="s">
        <v>23</v>
      </c>
      <c r="M249" t="s">
        <v>941</v>
      </c>
      <c r="N249" t="s">
        <v>942</v>
      </c>
      <c r="O249" t="s">
        <v>117</v>
      </c>
      <c r="P249">
        <v>10992</v>
      </c>
      <c r="Q249">
        <v>2268</v>
      </c>
      <c r="R249" t="s">
        <v>23</v>
      </c>
      <c r="S249" s="1" t="s">
        <v>34218</v>
      </c>
    </row>
    <row r="250" spans="1:19" x14ac:dyDescent="0.25">
      <c r="A250">
        <v>101340473</v>
      </c>
      <c r="B250" t="s">
        <v>943</v>
      </c>
      <c r="C250" t="s">
        <v>770</v>
      </c>
      <c r="F250" t="str">
        <f>"2535888402"</f>
        <v>2535888402</v>
      </c>
      <c r="G250" t="s">
        <v>944</v>
      </c>
      <c r="H250" t="s">
        <v>945</v>
      </c>
      <c r="I250" t="s">
        <v>84</v>
      </c>
      <c r="J250">
        <v>98388</v>
      </c>
      <c r="K250">
        <v>1028</v>
      </c>
      <c r="L250" t="s">
        <v>23</v>
      </c>
      <c r="M250" t="s">
        <v>944</v>
      </c>
      <c r="N250" t="s">
        <v>945</v>
      </c>
      <c r="O250" t="s">
        <v>84</v>
      </c>
      <c r="P250">
        <v>98388</v>
      </c>
      <c r="Q250">
        <v>1028</v>
      </c>
      <c r="R250" t="s">
        <v>23</v>
      </c>
      <c r="S250" s="1" t="s">
        <v>34218</v>
      </c>
    </row>
    <row r="251" spans="1:19" x14ac:dyDescent="0.25">
      <c r="A251">
        <v>101340634</v>
      </c>
      <c r="B251" t="s">
        <v>946</v>
      </c>
      <c r="C251" t="s">
        <v>102</v>
      </c>
      <c r="F251" t="str">
        <f>"2679073249"</f>
        <v>2679073249</v>
      </c>
      <c r="G251" t="s">
        <v>947</v>
      </c>
      <c r="H251" t="s">
        <v>948</v>
      </c>
      <c r="I251" t="s">
        <v>33</v>
      </c>
      <c r="J251">
        <v>19047</v>
      </c>
      <c r="K251">
        <v>5673</v>
      </c>
      <c r="L251" t="s">
        <v>23</v>
      </c>
      <c r="M251" t="s">
        <v>947</v>
      </c>
      <c r="N251" t="s">
        <v>948</v>
      </c>
      <c r="O251" t="s">
        <v>33</v>
      </c>
      <c r="P251">
        <v>19047</v>
      </c>
      <c r="Q251">
        <v>5673</v>
      </c>
      <c r="R251" t="s">
        <v>23</v>
      </c>
      <c r="S251" s="1" t="s">
        <v>34218</v>
      </c>
    </row>
    <row r="252" spans="1:19" x14ac:dyDescent="0.25">
      <c r="A252">
        <v>100835172</v>
      </c>
      <c r="B252" t="s">
        <v>949</v>
      </c>
      <c r="C252" t="s">
        <v>950</v>
      </c>
      <c r="F252" t="str">
        <f>"5555555555"</f>
        <v>5555555555</v>
      </c>
      <c r="G252" t="s">
        <v>951</v>
      </c>
      <c r="H252" t="s">
        <v>116</v>
      </c>
      <c r="I252" t="s">
        <v>117</v>
      </c>
      <c r="J252">
        <v>11432</v>
      </c>
      <c r="K252">
        <v>2898</v>
      </c>
      <c r="L252" t="s">
        <v>23</v>
      </c>
      <c r="M252" t="s">
        <v>951</v>
      </c>
      <c r="N252" t="s">
        <v>116</v>
      </c>
      <c r="O252" t="s">
        <v>117</v>
      </c>
      <c r="P252">
        <v>11432</v>
      </c>
      <c r="Q252">
        <v>2898</v>
      </c>
      <c r="R252" t="s">
        <v>23</v>
      </c>
      <c r="S252" s="1" t="s">
        <v>34218</v>
      </c>
    </row>
    <row r="253" spans="1:19" x14ac:dyDescent="0.25">
      <c r="A253">
        <v>101228992</v>
      </c>
      <c r="B253" t="s">
        <v>952</v>
      </c>
      <c r="C253" t="s">
        <v>846</v>
      </c>
      <c r="F253" t="str">
        <f>"5702888572"</f>
        <v>5702888572</v>
      </c>
      <c r="G253" t="s">
        <v>953</v>
      </c>
      <c r="H253" t="s">
        <v>954</v>
      </c>
      <c r="I253" t="s">
        <v>33</v>
      </c>
      <c r="J253">
        <v>18704</v>
      </c>
      <c r="K253">
        <v>1607</v>
      </c>
      <c r="L253" t="s">
        <v>23</v>
      </c>
      <c r="M253" t="s">
        <v>953</v>
      </c>
      <c r="N253" t="s">
        <v>954</v>
      </c>
      <c r="O253" t="s">
        <v>33</v>
      </c>
      <c r="P253">
        <v>18704</v>
      </c>
      <c r="Q253">
        <v>1607</v>
      </c>
      <c r="R253" t="s">
        <v>23</v>
      </c>
      <c r="S253" s="1" t="s">
        <v>34218</v>
      </c>
    </row>
    <row r="254" spans="1:19" x14ac:dyDescent="0.25">
      <c r="A254">
        <v>100804312</v>
      </c>
      <c r="B254" t="s">
        <v>955</v>
      </c>
      <c r="C254" t="s">
        <v>956</v>
      </c>
      <c r="F254" t="str">
        <f>"2147389966"</f>
        <v>2147389966</v>
      </c>
      <c r="G254" t="s">
        <v>957</v>
      </c>
      <c r="H254" t="s">
        <v>958</v>
      </c>
      <c r="I254" t="s">
        <v>38</v>
      </c>
      <c r="J254">
        <v>75072</v>
      </c>
      <c r="K254">
        <v>5815</v>
      </c>
      <c r="L254" t="s">
        <v>23</v>
      </c>
      <c r="M254" t="s">
        <v>957</v>
      </c>
      <c r="N254" t="s">
        <v>958</v>
      </c>
      <c r="O254" t="s">
        <v>38</v>
      </c>
      <c r="P254">
        <v>75072</v>
      </c>
      <c r="Q254">
        <v>5815</v>
      </c>
      <c r="R254" t="s">
        <v>23</v>
      </c>
      <c r="S254" s="1" t="s">
        <v>34218</v>
      </c>
    </row>
    <row r="255" spans="1:19" x14ac:dyDescent="0.25">
      <c r="A255">
        <v>101232566</v>
      </c>
      <c r="B255" t="s">
        <v>208</v>
      </c>
      <c r="C255" t="s">
        <v>959</v>
      </c>
      <c r="F255" t="str">
        <f>"5703863011"</f>
        <v>5703863011</v>
      </c>
      <c r="G255" t="s">
        <v>960</v>
      </c>
      <c r="H255" t="s">
        <v>961</v>
      </c>
      <c r="I255" t="s">
        <v>33</v>
      </c>
      <c r="J255">
        <v>18235</v>
      </c>
      <c r="K255">
        <v>9608</v>
      </c>
      <c r="L255" t="s">
        <v>23</v>
      </c>
      <c r="M255" t="s">
        <v>960</v>
      </c>
      <c r="N255" t="s">
        <v>961</v>
      </c>
      <c r="O255" t="s">
        <v>33</v>
      </c>
      <c r="P255">
        <v>18235</v>
      </c>
      <c r="Q255">
        <v>9608</v>
      </c>
      <c r="R255" t="s">
        <v>23</v>
      </c>
      <c r="S255" s="1" t="s">
        <v>34218</v>
      </c>
    </row>
    <row r="256" spans="1:19" x14ac:dyDescent="0.25">
      <c r="A256">
        <v>101236080</v>
      </c>
      <c r="B256" t="s">
        <v>962</v>
      </c>
      <c r="C256" t="s">
        <v>699</v>
      </c>
      <c r="F256" t="str">
        <f>"5169659756"</f>
        <v>5169659756</v>
      </c>
      <c r="G256" t="s">
        <v>963</v>
      </c>
      <c r="H256" t="s">
        <v>964</v>
      </c>
      <c r="I256" t="s">
        <v>117</v>
      </c>
      <c r="J256">
        <v>11426</v>
      </c>
      <c r="K256">
        <v>1139</v>
      </c>
      <c r="L256" t="s">
        <v>23</v>
      </c>
      <c r="M256" t="s">
        <v>963</v>
      </c>
      <c r="N256" t="s">
        <v>964</v>
      </c>
      <c r="O256" t="s">
        <v>117</v>
      </c>
      <c r="P256">
        <v>11426</v>
      </c>
      <c r="Q256">
        <v>1139</v>
      </c>
      <c r="R256" t="s">
        <v>23</v>
      </c>
      <c r="S256" s="1" t="s">
        <v>34218</v>
      </c>
    </row>
    <row r="257" spans="1:19" x14ac:dyDescent="0.25">
      <c r="A257">
        <v>101261905</v>
      </c>
      <c r="B257" t="s">
        <v>965</v>
      </c>
      <c r="C257" t="s">
        <v>966</v>
      </c>
      <c r="F257" t="str">
        <f>"2095263247"</f>
        <v>2095263247</v>
      </c>
      <c r="G257" t="s">
        <v>967</v>
      </c>
      <c r="H257" t="s">
        <v>968</v>
      </c>
      <c r="I257" t="s">
        <v>22</v>
      </c>
      <c r="J257">
        <v>95350</v>
      </c>
      <c r="K257">
        <v>3942</v>
      </c>
      <c r="L257" t="s">
        <v>23</v>
      </c>
      <c r="M257" t="s">
        <v>967</v>
      </c>
      <c r="N257" t="s">
        <v>968</v>
      </c>
      <c r="O257" t="s">
        <v>22</v>
      </c>
      <c r="P257">
        <v>95350</v>
      </c>
      <c r="Q257">
        <v>3942</v>
      </c>
      <c r="R257" t="s">
        <v>23</v>
      </c>
      <c r="S257" s="1" t="s">
        <v>34218</v>
      </c>
    </row>
    <row r="258" spans="1:19" x14ac:dyDescent="0.25">
      <c r="A258">
        <v>100827366</v>
      </c>
      <c r="B258" t="s">
        <v>969</v>
      </c>
      <c r="C258" t="s">
        <v>970</v>
      </c>
      <c r="F258" t="str">
        <f>"3124931973"</f>
        <v>3124931973</v>
      </c>
      <c r="G258" t="s">
        <v>971</v>
      </c>
      <c r="H258" t="s">
        <v>972</v>
      </c>
      <c r="I258" t="s">
        <v>135</v>
      </c>
      <c r="J258">
        <v>60068</v>
      </c>
      <c r="K258">
        <v>1827</v>
      </c>
      <c r="L258" t="s">
        <v>23</v>
      </c>
      <c r="M258" t="s">
        <v>971</v>
      </c>
      <c r="N258" t="s">
        <v>972</v>
      </c>
      <c r="O258" t="s">
        <v>135</v>
      </c>
      <c r="P258">
        <v>60068</v>
      </c>
      <c r="Q258">
        <v>1827</v>
      </c>
      <c r="R258" t="s">
        <v>23</v>
      </c>
      <c r="S258" s="1" t="s">
        <v>34218</v>
      </c>
    </row>
    <row r="259" spans="1:19" x14ac:dyDescent="0.25">
      <c r="A259">
        <v>100835470</v>
      </c>
      <c r="B259" t="s">
        <v>973</v>
      </c>
      <c r="C259" t="s">
        <v>974</v>
      </c>
      <c r="F259" t="str">
        <f>"9728219818"</f>
        <v>9728219818</v>
      </c>
      <c r="G259" t="s">
        <v>975</v>
      </c>
      <c r="H259" t="s">
        <v>976</v>
      </c>
      <c r="I259" t="s">
        <v>140</v>
      </c>
      <c r="J259">
        <v>48108</v>
      </c>
      <c r="K259">
        <v>3017</v>
      </c>
      <c r="L259" t="s">
        <v>23</v>
      </c>
      <c r="M259" t="s">
        <v>975</v>
      </c>
      <c r="N259" t="s">
        <v>976</v>
      </c>
      <c r="O259" t="s">
        <v>140</v>
      </c>
      <c r="P259">
        <v>48108</v>
      </c>
      <c r="Q259">
        <v>3017</v>
      </c>
      <c r="R259" t="s">
        <v>23</v>
      </c>
      <c r="S259" s="1" t="s">
        <v>34218</v>
      </c>
    </row>
    <row r="260" spans="1:19" x14ac:dyDescent="0.25">
      <c r="A260">
        <v>101008869</v>
      </c>
      <c r="B260" t="s">
        <v>977</v>
      </c>
      <c r="C260" t="s">
        <v>874</v>
      </c>
      <c r="F260" t="str">
        <f>"3023551722"</f>
        <v>3023551722</v>
      </c>
      <c r="G260" t="s">
        <v>978</v>
      </c>
      <c r="H260" t="s">
        <v>979</v>
      </c>
      <c r="I260" t="s">
        <v>84</v>
      </c>
      <c r="J260">
        <v>99353</v>
      </c>
      <c r="K260">
        <v>7405</v>
      </c>
      <c r="L260" t="s">
        <v>23</v>
      </c>
      <c r="M260" t="s">
        <v>978</v>
      </c>
      <c r="N260" t="s">
        <v>979</v>
      </c>
      <c r="O260" t="s">
        <v>84</v>
      </c>
      <c r="P260">
        <v>99353</v>
      </c>
      <c r="Q260">
        <v>7405</v>
      </c>
      <c r="R260" t="s">
        <v>23</v>
      </c>
      <c r="S260" s="1" t="s">
        <v>34218</v>
      </c>
    </row>
    <row r="261" spans="1:19" x14ac:dyDescent="0.25">
      <c r="A261">
        <v>101009422</v>
      </c>
      <c r="B261" t="s">
        <v>980</v>
      </c>
      <c r="C261" t="s">
        <v>981</v>
      </c>
      <c r="F261" t="str">
        <f>"8083064156"</f>
        <v>8083064156</v>
      </c>
      <c r="G261" t="s">
        <v>982</v>
      </c>
      <c r="H261" t="s">
        <v>983</v>
      </c>
      <c r="I261" t="s">
        <v>984</v>
      </c>
      <c r="J261">
        <v>96786</v>
      </c>
      <c r="K261">
        <v>8563</v>
      </c>
      <c r="L261" t="s">
        <v>23</v>
      </c>
      <c r="M261" t="s">
        <v>982</v>
      </c>
      <c r="N261" t="s">
        <v>983</v>
      </c>
      <c r="O261" t="s">
        <v>984</v>
      </c>
      <c r="P261">
        <v>96786</v>
      </c>
      <c r="Q261">
        <v>8563</v>
      </c>
      <c r="R261" t="s">
        <v>23</v>
      </c>
      <c r="S261" s="1" t="s">
        <v>34218</v>
      </c>
    </row>
    <row r="262" spans="1:19" x14ac:dyDescent="0.25">
      <c r="A262">
        <v>101205504</v>
      </c>
      <c r="B262" t="s">
        <v>985</v>
      </c>
      <c r="C262" t="s">
        <v>986</v>
      </c>
      <c r="F262" t="str">
        <f>"5555555555"</f>
        <v>5555555555</v>
      </c>
      <c r="G262" t="s">
        <v>987</v>
      </c>
      <c r="H262" t="s">
        <v>198</v>
      </c>
      <c r="I262" t="s">
        <v>22</v>
      </c>
      <c r="J262">
        <v>92104</v>
      </c>
      <c r="K262">
        <v>4600</v>
      </c>
      <c r="L262" t="s">
        <v>23</v>
      </c>
      <c r="M262" t="s">
        <v>987</v>
      </c>
      <c r="N262" t="s">
        <v>198</v>
      </c>
      <c r="O262" t="s">
        <v>22</v>
      </c>
      <c r="P262">
        <v>92104</v>
      </c>
      <c r="Q262">
        <v>4600</v>
      </c>
      <c r="R262" t="s">
        <v>23</v>
      </c>
      <c r="S262" s="1" t="s">
        <v>34218</v>
      </c>
    </row>
    <row r="263" spans="1:19" x14ac:dyDescent="0.25">
      <c r="A263">
        <v>101033957</v>
      </c>
      <c r="B263" t="s">
        <v>988</v>
      </c>
      <c r="C263" t="s">
        <v>989</v>
      </c>
      <c r="F263" t="str">
        <f>"6604762644"</f>
        <v>6604762644</v>
      </c>
      <c r="G263" t="s">
        <v>990</v>
      </c>
      <c r="H263" t="s">
        <v>991</v>
      </c>
      <c r="I263" t="s">
        <v>126</v>
      </c>
      <c r="J263">
        <v>64724</v>
      </c>
      <c r="K263">
        <v>1107</v>
      </c>
      <c r="L263" t="s">
        <v>23</v>
      </c>
      <c r="M263" t="s">
        <v>990</v>
      </c>
      <c r="N263" t="s">
        <v>991</v>
      </c>
      <c r="O263" t="s">
        <v>126</v>
      </c>
      <c r="P263">
        <v>64724</v>
      </c>
      <c r="Q263">
        <v>1107</v>
      </c>
      <c r="R263" t="s">
        <v>23</v>
      </c>
      <c r="S263" s="1" t="s">
        <v>34218</v>
      </c>
    </row>
    <row r="264" spans="1:19" x14ac:dyDescent="0.25">
      <c r="A264">
        <v>101335386</v>
      </c>
      <c r="B264" t="s">
        <v>992</v>
      </c>
      <c r="C264" t="s">
        <v>993</v>
      </c>
      <c r="F264" t="str">
        <f>"5412150514"</f>
        <v>5412150514</v>
      </c>
      <c r="G264" t="s">
        <v>994</v>
      </c>
      <c r="H264" t="s">
        <v>995</v>
      </c>
      <c r="I264" t="s">
        <v>43</v>
      </c>
      <c r="J264">
        <v>97801</v>
      </c>
      <c r="K264">
        <v>4452</v>
      </c>
      <c r="L264" t="s">
        <v>23</v>
      </c>
      <c r="M264" t="s">
        <v>994</v>
      </c>
      <c r="N264" t="s">
        <v>995</v>
      </c>
      <c r="O264" t="s">
        <v>43</v>
      </c>
      <c r="P264">
        <v>97801</v>
      </c>
      <c r="Q264">
        <v>4452</v>
      </c>
      <c r="R264" t="s">
        <v>23</v>
      </c>
      <c r="S264" s="1" t="s">
        <v>34218</v>
      </c>
    </row>
    <row r="265" spans="1:19" x14ac:dyDescent="0.25">
      <c r="A265">
        <v>100942635</v>
      </c>
      <c r="B265" t="s">
        <v>996</v>
      </c>
      <c r="C265" t="s">
        <v>997</v>
      </c>
      <c r="F265" t="str">
        <f>"4067282895"</f>
        <v>4067282895</v>
      </c>
      <c r="G265" t="s">
        <v>998</v>
      </c>
      <c r="H265" t="s">
        <v>999</v>
      </c>
      <c r="I265" t="s">
        <v>1000</v>
      </c>
      <c r="J265">
        <v>59801</v>
      </c>
      <c r="K265">
        <v>1404</v>
      </c>
      <c r="L265" t="s">
        <v>23</v>
      </c>
      <c r="M265" t="s">
        <v>998</v>
      </c>
      <c r="N265" t="s">
        <v>999</v>
      </c>
      <c r="O265" t="s">
        <v>1000</v>
      </c>
      <c r="P265">
        <v>59801</v>
      </c>
      <c r="Q265">
        <v>1404</v>
      </c>
      <c r="R265" t="s">
        <v>23</v>
      </c>
      <c r="S265" s="1" t="s">
        <v>34218</v>
      </c>
    </row>
    <row r="266" spans="1:19" x14ac:dyDescent="0.25">
      <c r="A266">
        <v>101160323</v>
      </c>
      <c r="B266" t="s">
        <v>1001</v>
      </c>
      <c r="C266" t="s">
        <v>1002</v>
      </c>
      <c r="F266" t="str">
        <f>"8285053393"</f>
        <v>8285053393</v>
      </c>
      <c r="G266" t="s">
        <v>1003</v>
      </c>
      <c r="H266" t="s">
        <v>445</v>
      </c>
      <c r="I266" t="s">
        <v>446</v>
      </c>
      <c r="J266">
        <v>28805</v>
      </c>
      <c r="K266">
        <v>1736</v>
      </c>
      <c r="L266" t="s">
        <v>23</v>
      </c>
      <c r="M266" t="s">
        <v>1003</v>
      </c>
      <c r="N266" t="s">
        <v>445</v>
      </c>
      <c r="O266" t="s">
        <v>446</v>
      </c>
      <c r="P266">
        <v>28805</v>
      </c>
      <c r="Q266">
        <v>1736</v>
      </c>
      <c r="R266" t="s">
        <v>23</v>
      </c>
      <c r="S266" s="1" t="s">
        <v>34218</v>
      </c>
    </row>
    <row r="267" spans="1:19" x14ac:dyDescent="0.25">
      <c r="A267">
        <v>101111742</v>
      </c>
      <c r="B267" t="s">
        <v>1004</v>
      </c>
      <c r="C267" t="s">
        <v>535</v>
      </c>
      <c r="F267" t="str">
        <f>"9783418837"</f>
        <v>9783418837</v>
      </c>
      <c r="G267" t="s">
        <v>1005</v>
      </c>
      <c r="H267" t="s">
        <v>761</v>
      </c>
      <c r="I267" t="s">
        <v>236</v>
      </c>
      <c r="J267">
        <v>1742</v>
      </c>
      <c r="K267">
        <v>4167</v>
      </c>
      <c r="L267" t="s">
        <v>23</v>
      </c>
      <c r="M267" t="s">
        <v>1005</v>
      </c>
      <c r="N267" t="s">
        <v>761</v>
      </c>
      <c r="O267" t="s">
        <v>236</v>
      </c>
      <c r="P267">
        <v>1742</v>
      </c>
      <c r="Q267">
        <v>4167</v>
      </c>
      <c r="R267" t="s">
        <v>23</v>
      </c>
      <c r="S267" s="1" t="s">
        <v>34218</v>
      </c>
    </row>
    <row r="268" spans="1:19" x14ac:dyDescent="0.25">
      <c r="A268">
        <v>101115464</v>
      </c>
      <c r="B268" t="s">
        <v>1006</v>
      </c>
      <c r="C268" t="s">
        <v>1007</v>
      </c>
      <c r="F268" t="str">
        <f>"7144994666"</f>
        <v>7144994666</v>
      </c>
      <c r="G268" t="s">
        <v>1008</v>
      </c>
      <c r="H268" t="s">
        <v>1009</v>
      </c>
      <c r="I268" t="s">
        <v>22</v>
      </c>
      <c r="J268">
        <v>92780</v>
      </c>
      <c r="K268">
        <v>7011</v>
      </c>
      <c r="L268" t="s">
        <v>23</v>
      </c>
      <c r="M268" t="s">
        <v>1008</v>
      </c>
      <c r="N268" t="s">
        <v>1009</v>
      </c>
      <c r="O268" t="s">
        <v>22</v>
      </c>
      <c r="P268">
        <v>92780</v>
      </c>
      <c r="Q268">
        <v>7011</v>
      </c>
      <c r="R268" t="s">
        <v>23</v>
      </c>
      <c r="S268" s="1" t="s">
        <v>34218</v>
      </c>
    </row>
    <row r="269" spans="1:19" x14ac:dyDescent="0.25">
      <c r="A269">
        <v>101346871</v>
      </c>
      <c r="B269" t="s">
        <v>1010</v>
      </c>
      <c r="C269" t="s">
        <v>1011</v>
      </c>
      <c r="F269" t="str">
        <f>"3059819603"</f>
        <v>3059819603</v>
      </c>
      <c r="G269" t="s">
        <v>1012</v>
      </c>
      <c r="H269" t="s">
        <v>1013</v>
      </c>
      <c r="I269" t="s">
        <v>52</v>
      </c>
      <c r="J269">
        <v>33161</v>
      </c>
      <c r="K269">
        <v>5622</v>
      </c>
      <c r="L269" t="s">
        <v>23</v>
      </c>
      <c r="M269" t="s">
        <v>1012</v>
      </c>
      <c r="N269" t="s">
        <v>1013</v>
      </c>
      <c r="O269" t="s">
        <v>52</v>
      </c>
      <c r="P269">
        <v>33161</v>
      </c>
      <c r="Q269">
        <v>5622</v>
      </c>
      <c r="R269" t="s">
        <v>23</v>
      </c>
      <c r="S269" s="1" t="s">
        <v>34218</v>
      </c>
    </row>
    <row r="270" spans="1:19" x14ac:dyDescent="0.25">
      <c r="A270">
        <v>100936114</v>
      </c>
      <c r="B270" t="s">
        <v>1014</v>
      </c>
      <c r="C270" t="s">
        <v>1015</v>
      </c>
      <c r="F270" t="str">
        <f>"2123392821"</f>
        <v>2123392821</v>
      </c>
      <c r="G270" t="s">
        <v>1016</v>
      </c>
      <c r="H270" t="s">
        <v>653</v>
      </c>
      <c r="I270" t="s">
        <v>117</v>
      </c>
      <c r="J270">
        <v>10044</v>
      </c>
      <c r="K270">
        <v>353</v>
      </c>
      <c r="L270" t="s">
        <v>23</v>
      </c>
      <c r="M270" t="s">
        <v>1016</v>
      </c>
      <c r="N270" t="s">
        <v>653</v>
      </c>
      <c r="O270" t="s">
        <v>117</v>
      </c>
      <c r="P270">
        <v>10044</v>
      </c>
      <c r="Q270">
        <v>353</v>
      </c>
      <c r="R270" t="s">
        <v>23</v>
      </c>
      <c r="S270" s="1" t="s">
        <v>34218</v>
      </c>
    </row>
    <row r="271" spans="1:19" x14ac:dyDescent="0.25">
      <c r="A271">
        <v>101129508</v>
      </c>
      <c r="B271" t="s">
        <v>1017</v>
      </c>
      <c r="C271" t="s">
        <v>718</v>
      </c>
      <c r="F271" t="str">
        <f>"4258273804"</f>
        <v>4258273804</v>
      </c>
      <c r="G271" t="s">
        <v>1018</v>
      </c>
      <c r="H271" t="s">
        <v>1019</v>
      </c>
      <c r="I271" t="s">
        <v>84</v>
      </c>
      <c r="J271">
        <v>98033</v>
      </c>
      <c r="K271">
        <v>4818</v>
      </c>
      <c r="L271" t="s">
        <v>23</v>
      </c>
      <c r="M271" t="s">
        <v>1018</v>
      </c>
      <c r="N271" t="s">
        <v>1019</v>
      </c>
      <c r="O271" t="s">
        <v>84</v>
      </c>
      <c r="P271">
        <v>98033</v>
      </c>
      <c r="Q271">
        <v>4818</v>
      </c>
      <c r="R271" t="s">
        <v>23</v>
      </c>
      <c r="S271" s="1" t="s">
        <v>34218</v>
      </c>
    </row>
    <row r="272" spans="1:19" x14ac:dyDescent="0.25">
      <c r="A272">
        <v>101138728</v>
      </c>
      <c r="B272" t="s">
        <v>1020</v>
      </c>
      <c r="C272" t="s">
        <v>25</v>
      </c>
      <c r="F272" t="str">
        <f>"8482291029"</f>
        <v>8482291029</v>
      </c>
      <c r="G272" t="s">
        <v>1021</v>
      </c>
      <c r="H272" t="s">
        <v>1022</v>
      </c>
      <c r="I272" t="s">
        <v>250</v>
      </c>
      <c r="J272">
        <v>8830</v>
      </c>
      <c r="K272">
        <v>2865</v>
      </c>
      <c r="L272" t="s">
        <v>23</v>
      </c>
      <c r="M272" t="s">
        <v>1021</v>
      </c>
      <c r="N272" t="s">
        <v>1022</v>
      </c>
      <c r="O272" t="s">
        <v>250</v>
      </c>
      <c r="P272">
        <v>8830</v>
      </c>
      <c r="Q272">
        <v>2865</v>
      </c>
      <c r="R272" t="s">
        <v>23</v>
      </c>
      <c r="S272" s="1" t="s">
        <v>34218</v>
      </c>
    </row>
    <row r="273" spans="1:19" x14ac:dyDescent="0.25">
      <c r="A273">
        <v>101391707</v>
      </c>
      <c r="B273" t="s">
        <v>1023</v>
      </c>
      <c r="C273" t="s">
        <v>1024</v>
      </c>
      <c r="F273" t="str">
        <f>"6504000081"</f>
        <v>6504000081</v>
      </c>
      <c r="G273" t="s">
        <v>1025</v>
      </c>
      <c r="H273" t="s">
        <v>1026</v>
      </c>
      <c r="I273" t="s">
        <v>135</v>
      </c>
      <c r="J273">
        <v>60010</v>
      </c>
      <c r="K273">
        <v>4311</v>
      </c>
      <c r="L273" t="s">
        <v>23</v>
      </c>
      <c r="M273" t="s">
        <v>1025</v>
      </c>
      <c r="N273" t="s">
        <v>1026</v>
      </c>
      <c r="O273" t="s">
        <v>135</v>
      </c>
      <c r="P273">
        <v>60010</v>
      </c>
      <c r="Q273">
        <v>4311</v>
      </c>
      <c r="R273" t="s">
        <v>23</v>
      </c>
      <c r="S273" s="1" t="s">
        <v>34218</v>
      </c>
    </row>
    <row r="274" spans="1:19" x14ac:dyDescent="0.25">
      <c r="A274">
        <v>101388642</v>
      </c>
      <c r="B274" t="s">
        <v>497</v>
      </c>
      <c r="C274" t="s">
        <v>1027</v>
      </c>
      <c r="F274" t="str">
        <f>"8476398869"</f>
        <v>8476398869</v>
      </c>
      <c r="G274" t="s">
        <v>1028</v>
      </c>
      <c r="H274" t="s">
        <v>1026</v>
      </c>
      <c r="I274" t="s">
        <v>135</v>
      </c>
      <c r="J274">
        <v>60010</v>
      </c>
      <c r="K274">
        <v>2506</v>
      </c>
      <c r="L274" t="s">
        <v>23</v>
      </c>
      <c r="M274" t="s">
        <v>1028</v>
      </c>
      <c r="N274" t="s">
        <v>1026</v>
      </c>
      <c r="O274" t="s">
        <v>135</v>
      </c>
      <c r="P274">
        <v>60010</v>
      </c>
      <c r="Q274">
        <v>2506</v>
      </c>
      <c r="R274" t="s">
        <v>23</v>
      </c>
      <c r="S274" s="1" t="s">
        <v>34218</v>
      </c>
    </row>
    <row r="275" spans="1:19" x14ac:dyDescent="0.25">
      <c r="A275">
        <v>101395127</v>
      </c>
      <c r="B275" t="s">
        <v>1029</v>
      </c>
      <c r="C275" t="s">
        <v>1030</v>
      </c>
      <c r="F275" t="str">
        <f>"3012510139"</f>
        <v>3012510139</v>
      </c>
      <c r="G275" t="s">
        <v>1031</v>
      </c>
      <c r="H275" t="s">
        <v>560</v>
      </c>
      <c r="I275" t="s">
        <v>148</v>
      </c>
      <c r="J275">
        <v>20851</v>
      </c>
      <c r="K275">
        <v>1446</v>
      </c>
      <c r="L275" t="s">
        <v>23</v>
      </c>
      <c r="M275" t="s">
        <v>1031</v>
      </c>
      <c r="N275" t="s">
        <v>560</v>
      </c>
      <c r="O275" t="s">
        <v>148</v>
      </c>
      <c r="P275">
        <v>20851</v>
      </c>
      <c r="Q275">
        <v>1446</v>
      </c>
      <c r="R275" t="s">
        <v>23</v>
      </c>
      <c r="S275" s="1" t="s">
        <v>34218</v>
      </c>
    </row>
    <row r="276" spans="1:19" x14ac:dyDescent="0.25">
      <c r="A276">
        <v>101395559</v>
      </c>
      <c r="B276" t="s">
        <v>1032</v>
      </c>
      <c r="C276" t="s">
        <v>466</v>
      </c>
      <c r="F276" t="str">
        <f>"7608734320"</f>
        <v>7608734320</v>
      </c>
      <c r="G276" t="s">
        <v>1033</v>
      </c>
      <c r="H276" t="s">
        <v>1034</v>
      </c>
      <c r="I276" t="s">
        <v>22</v>
      </c>
      <c r="J276">
        <v>93514</v>
      </c>
      <c r="K276">
        <v>2138</v>
      </c>
      <c r="L276" t="s">
        <v>23</v>
      </c>
      <c r="M276" t="s">
        <v>1033</v>
      </c>
      <c r="N276" t="s">
        <v>1034</v>
      </c>
      <c r="O276" t="s">
        <v>22</v>
      </c>
      <c r="P276">
        <v>93514</v>
      </c>
      <c r="Q276">
        <v>2138</v>
      </c>
      <c r="R276" t="s">
        <v>23</v>
      </c>
      <c r="S276" s="1" t="s">
        <v>34218</v>
      </c>
    </row>
    <row r="277" spans="1:19" x14ac:dyDescent="0.25">
      <c r="A277">
        <v>101291551</v>
      </c>
      <c r="B277" t="s">
        <v>1035</v>
      </c>
      <c r="C277" t="s">
        <v>1036</v>
      </c>
      <c r="F277" t="str">
        <f>"4146901714"</f>
        <v>4146901714</v>
      </c>
      <c r="G277" t="s">
        <v>1037</v>
      </c>
      <c r="H277" t="s">
        <v>1038</v>
      </c>
      <c r="I277" t="s">
        <v>100</v>
      </c>
      <c r="J277">
        <v>53235</v>
      </c>
      <c r="K277">
        <v>4876</v>
      </c>
      <c r="L277" t="s">
        <v>23</v>
      </c>
      <c r="M277" t="s">
        <v>1037</v>
      </c>
      <c r="N277" t="s">
        <v>1038</v>
      </c>
      <c r="O277" t="s">
        <v>100</v>
      </c>
      <c r="P277">
        <v>53235</v>
      </c>
      <c r="Q277">
        <v>4876</v>
      </c>
      <c r="R277" t="s">
        <v>23</v>
      </c>
      <c r="S277" s="1" t="s">
        <v>34218</v>
      </c>
    </row>
    <row r="278" spans="1:19" x14ac:dyDescent="0.25">
      <c r="A278">
        <v>101296013</v>
      </c>
      <c r="B278" t="s">
        <v>1039</v>
      </c>
      <c r="C278" t="s">
        <v>252</v>
      </c>
      <c r="F278" t="str">
        <f>"2145551417"</f>
        <v>2145551417</v>
      </c>
      <c r="G278" t="s">
        <v>1040</v>
      </c>
      <c r="H278" t="s">
        <v>1041</v>
      </c>
      <c r="I278" t="s">
        <v>38</v>
      </c>
      <c r="J278">
        <v>76207</v>
      </c>
      <c r="K278">
        <v>7649</v>
      </c>
      <c r="L278" t="s">
        <v>23</v>
      </c>
      <c r="M278" t="s">
        <v>1040</v>
      </c>
      <c r="N278" t="s">
        <v>1041</v>
      </c>
      <c r="O278" t="s">
        <v>38</v>
      </c>
      <c r="P278">
        <v>76207</v>
      </c>
      <c r="Q278">
        <v>7649</v>
      </c>
      <c r="R278" t="s">
        <v>23</v>
      </c>
      <c r="S278" s="1" t="s">
        <v>34218</v>
      </c>
    </row>
    <row r="279" spans="1:19" x14ac:dyDescent="0.25">
      <c r="A279">
        <v>101299125</v>
      </c>
      <c r="B279" t="s">
        <v>1042</v>
      </c>
      <c r="C279" t="s">
        <v>1043</v>
      </c>
      <c r="F279" t="str">
        <f>"9544748054"</f>
        <v>9544748054</v>
      </c>
      <c r="G279" t="s">
        <v>1044</v>
      </c>
      <c r="H279" t="s">
        <v>1045</v>
      </c>
      <c r="I279" t="s">
        <v>52</v>
      </c>
      <c r="J279">
        <v>33324</v>
      </c>
      <c r="K279">
        <v>6960</v>
      </c>
      <c r="L279" t="s">
        <v>23</v>
      </c>
      <c r="M279" t="s">
        <v>1044</v>
      </c>
      <c r="N279" t="s">
        <v>1045</v>
      </c>
      <c r="O279" t="s">
        <v>52</v>
      </c>
      <c r="P279">
        <v>33324</v>
      </c>
      <c r="Q279">
        <v>6960</v>
      </c>
      <c r="R279" t="s">
        <v>23</v>
      </c>
      <c r="S279" s="1" t="s">
        <v>34218</v>
      </c>
    </row>
    <row r="280" spans="1:19" x14ac:dyDescent="0.25">
      <c r="A280">
        <v>101307219</v>
      </c>
      <c r="B280" t="s">
        <v>1046</v>
      </c>
      <c r="C280" t="s">
        <v>252</v>
      </c>
      <c r="F280" t="str">
        <f>"8286927956"</f>
        <v>8286927956</v>
      </c>
      <c r="G280" t="s">
        <v>1047</v>
      </c>
      <c r="H280" t="s">
        <v>1048</v>
      </c>
      <c r="I280" t="s">
        <v>446</v>
      </c>
      <c r="J280">
        <v>28791</v>
      </c>
      <c r="K280">
        <v>1322</v>
      </c>
      <c r="L280" t="s">
        <v>23</v>
      </c>
      <c r="M280" t="s">
        <v>1047</v>
      </c>
      <c r="N280" t="s">
        <v>1048</v>
      </c>
      <c r="O280" t="s">
        <v>446</v>
      </c>
      <c r="P280">
        <v>28791</v>
      </c>
      <c r="Q280">
        <v>1322</v>
      </c>
      <c r="R280" t="s">
        <v>23</v>
      </c>
      <c r="S280" s="1" t="s">
        <v>34218</v>
      </c>
    </row>
    <row r="281" spans="1:19" x14ac:dyDescent="0.25">
      <c r="A281">
        <v>100842513</v>
      </c>
      <c r="B281" t="s">
        <v>1049</v>
      </c>
      <c r="C281" t="s">
        <v>1050</v>
      </c>
      <c r="F281" t="str">
        <f>"5105246460"</f>
        <v>5105246460</v>
      </c>
      <c r="G281" t="s">
        <v>1051</v>
      </c>
      <c r="H281" t="s">
        <v>1052</v>
      </c>
      <c r="I281" t="s">
        <v>22</v>
      </c>
      <c r="J281">
        <v>94706</v>
      </c>
      <c r="K281">
        <v>1813</v>
      </c>
      <c r="L281" t="s">
        <v>23</v>
      </c>
      <c r="M281" t="s">
        <v>1051</v>
      </c>
      <c r="N281" t="s">
        <v>1052</v>
      </c>
      <c r="O281" t="s">
        <v>22</v>
      </c>
      <c r="P281">
        <v>94706</v>
      </c>
      <c r="Q281">
        <v>1813</v>
      </c>
      <c r="R281" t="s">
        <v>23</v>
      </c>
      <c r="S281" s="1" t="s">
        <v>34218</v>
      </c>
    </row>
    <row r="282" spans="1:19" x14ac:dyDescent="0.25">
      <c r="A282">
        <v>101410419</v>
      </c>
      <c r="B282" t="s">
        <v>1053</v>
      </c>
      <c r="C282" t="s">
        <v>1054</v>
      </c>
      <c r="F282" t="str">
        <f>"3212438047"</f>
        <v>3212438047</v>
      </c>
      <c r="G282" t="s">
        <v>1055</v>
      </c>
      <c r="H282" t="s">
        <v>1056</v>
      </c>
      <c r="I282" t="s">
        <v>52</v>
      </c>
      <c r="J282">
        <v>32931</v>
      </c>
      <c r="K282">
        <v>4815</v>
      </c>
      <c r="L282" t="s">
        <v>23</v>
      </c>
      <c r="M282" t="s">
        <v>1055</v>
      </c>
      <c r="N282" t="s">
        <v>1056</v>
      </c>
      <c r="O282" t="s">
        <v>52</v>
      </c>
      <c r="P282">
        <v>32931</v>
      </c>
      <c r="Q282">
        <v>4815</v>
      </c>
      <c r="R282" t="s">
        <v>23</v>
      </c>
      <c r="S282" s="1" t="s">
        <v>34218</v>
      </c>
    </row>
    <row r="283" spans="1:19" x14ac:dyDescent="0.25">
      <c r="A283">
        <v>101415331</v>
      </c>
      <c r="B283" t="s">
        <v>1057</v>
      </c>
      <c r="C283" t="s">
        <v>1058</v>
      </c>
      <c r="F283" t="str">
        <f>"8057864750"</f>
        <v>8057864750</v>
      </c>
      <c r="G283" t="s">
        <v>1059</v>
      </c>
      <c r="H283" t="s">
        <v>1060</v>
      </c>
      <c r="I283" t="s">
        <v>22</v>
      </c>
      <c r="J283">
        <v>93405</v>
      </c>
      <c r="K283">
        <v>6243</v>
      </c>
      <c r="L283" t="s">
        <v>23</v>
      </c>
      <c r="M283" t="s">
        <v>1059</v>
      </c>
      <c r="N283" t="s">
        <v>1060</v>
      </c>
      <c r="O283" t="s">
        <v>22</v>
      </c>
      <c r="P283">
        <v>93405</v>
      </c>
      <c r="Q283">
        <v>6243</v>
      </c>
      <c r="R283" t="s">
        <v>23</v>
      </c>
      <c r="S283" s="1" t="s">
        <v>34218</v>
      </c>
    </row>
    <row r="284" spans="1:19" x14ac:dyDescent="0.25">
      <c r="A284">
        <v>101465325</v>
      </c>
      <c r="B284" t="s">
        <v>1061</v>
      </c>
      <c r="C284" t="s">
        <v>1062</v>
      </c>
      <c r="F284" t="str">
        <f>"3016574568"</f>
        <v>3016574568</v>
      </c>
      <c r="G284" t="s">
        <v>1063</v>
      </c>
      <c r="H284" t="s">
        <v>165</v>
      </c>
      <c r="I284" t="s">
        <v>148</v>
      </c>
      <c r="J284">
        <v>20814</v>
      </c>
      <c r="K284">
        <v>3735</v>
      </c>
      <c r="L284" t="s">
        <v>23</v>
      </c>
      <c r="M284" t="s">
        <v>1063</v>
      </c>
      <c r="N284" t="s">
        <v>165</v>
      </c>
      <c r="O284" t="s">
        <v>148</v>
      </c>
      <c r="P284">
        <v>20814</v>
      </c>
      <c r="Q284">
        <v>3735</v>
      </c>
      <c r="R284" t="s">
        <v>23</v>
      </c>
      <c r="S284" s="1" t="s">
        <v>34218</v>
      </c>
    </row>
    <row r="285" spans="1:19" x14ac:dyDescent="0.25">
      <c r="A285">
        <v>100724843</v>
      </c>
      <c r="B285" t="s">
        <v>1064</v>
      </c>
      <c r="C285" t="s">
        <v>1065</v>
      </c>
      <c r="F285" t="str">
        <f>"8139961962"</f>
        <v>8139961962</v>
      </c>
      <c r="G285" t="s">
        <v>1066</v>
      </c>
      <c r="H285" t="s">
        <v>1067</v>
      </c>
      <c r="I285" t="s">
        <v>52</v>
      </c>
      <c r="J285">
        <v>34639</v>
      </c>
      <c r="K285">
        <v>6787</v>
      </c>
      <c r="L285" t="s">
        <v>23</v>
      </c>
      <c r="M285" t="s">
        <v>1066</v>
      </c>
      <c r="N285" t="s">
        <v>1067</v>
      </c>
      <c r="O285" t="s">
        <v>52</v>
      </c>
      <c r="P285">
        <v>34639</v>
      </c>
      <c r="Q285">
        <v>6787</v>
      </c>
      <c r="R285" t="s">
        <v>23</v>
      </c>
      <c r="S285" s="1" t="s">
        <v>34218</v>
      </c>
    </row>
    <row r="286" spans="1:19" x14ac:dyDescent="0.25">
      <c r="A286">
        <v>101446503</v>
      </c>
      <c r="B286" t="s">
        <v>1068</v>
      </c>
      <c r="C286" t="s">
        <v>1069</v>
      </c>
      <c r="F286" t="str">
        <f>"8587591116"</f>
        <v>8587591116</v>
      </c>
      <c r="G286" t="s">
        <v>1070</v>
      </c>
      <c r="H286" t="s">
        <v>1071</v>
      </c>
      <c r="I286" t="s">
        <v>22</v>
      </c>
      <c r="J286">
        <v>92067</v>
      </c>
      <c r="K286">
        <v>3602</v>
      </c>
      <c r="L286" t="s">
        <v>23</v>
      </c>
      <c r="M286" t="s">
        <v>1070</v>
      </c>
      <c r="N286" t="s">
        <v>1071</v>
      </c>
      <c r="O286" t="s">
        <v>22</v>
      </c>
      <c r="P286">
        <v>92067</v>
      </c>
      <c r="Q286">
        <v>3602</v>
      </c>
      <c r="R286" t="s">
        <v>23</v>
      </c>
      <c r="S286" s="1" t="s">
        <v>34218</v>
      </c>
    </row>
    <row r="287" spans="1:19" x14ac:dyDescent="0.25">
      <c r="A287">
        <v>100954277</v>
      </c>
      <c r="B287" t="s">
        <v>1072</v>
      </c>
      <c r="C287" t="s">
        <v>350</v>
      </c>
      <c r="F287" t="str">
        <f>"6037602993"</f>
        <v>6037602993</v>
      </c>
      <c r="G287" t="s">
        <v>1073</v>
      </c>
      <c r="H287" t="s">
        <v>352</v>
      </c>
      <c r="I287" t="s">
        <v>353</v>
      </c>
      <c r="J287">
        <v>3874</v>
      </c>
      <c r="K287">
        <v>4180</v>
      </c>
      <c r="L287" t="s">
        <v>23</v>
      </c>
      <c r="M287" t="s">
        <v>1073</v>
      </c>
      <c r="N287" t="s">
        <v>352</v>
      </c>
      <c r="O287" t="s">
        <v>353</v>
      </c>
      <c r="P287">
        <v>3874</v>
      </c>
      <c r="Q287">
        <v>4180</v>
      </c>
      <c r="R287" t="s">
        <v>23</v>
      </c>
      <c r="S287" s="1" t="s">
        <v>34218</v>
      </c>
    </row>
    <row r="288" spans="1:19" x14ac:dyDescent="0.25">
      <c r="A288">
        <v>100955947</v>
      </c>
      <c r="B288" t="s">
        <v>1074</v>
      </c>
      <c r="C288" t="s">
        <v>1075</v>
      </c>
      <c r="F288" t="str">
        <f>"5104200354"</f>
        <v>5104200354</v>
      </c>
      <c r="G288" t="s">
        <v>1076</v>
      </c>
      <c r="H288" t="s">
        <v>88</v>
      </c>
      <c r="I288" t="s">
        <v>22</v>
      </c>
      <c r="J288">
        <v>94618</v>
      </c>
      <c r="K288">
        <v>1354</v>
      </c>
      <c r="L288" t="s">
        <v>23</v>
      </c>
      <c r="M288" t="s">
        <v>1076</v>
      </c>
      <c r="N288" t="s">
        <v>88</v>
      </c>
      <c r="O288" t="s">
        <v>22</v>
      </c>
      <c r="P288">
        <v>94618</v>
      </c>
      <c r="Q288">
        <v>1354</v>
      </c>
      <c r="R288" t="s">
        <v>23</v>
      </c>
      <c r="S288" s="1" t="s">
        <v>34218</v>
      </c>
    </row>
    <row r="289" spans="1:19" x14ac:dyDescent="0.25">
      <c r="A289">
        <v>101143966</v>
      </c>
      <c r="B289" t="s">
        <v>1077</v>
      </c>
      <c r="C289" t="s">
        <v>1078</v>
      </c>
      <c r="F289" t="str">
        <f>"5088756098"</f>
        <v>5088756098</v>
      </c>
      <c r="G289" t="s">
        <v>1079</v>
      </c>
      <c r="H289" t="s">
        <v>1080</v>
      </c>
      <c r="I289" t="s">
        <v>236</v>
      </c>
      <c r="J289">
        <v>1702</v>
      </c>
      <c r="K289">
        <v>6133</v>
      </c>
      <c r="L289" t="s">
        <v>23</v>
      </c>
      <c r="M289" t="s">
        <v>1079</v>
      </c>
      <c r="N289" t="s">
        <v>1080</v>
      </c>
      <c r="O289" t="s">
        <v>236</v>
      </c>
      <c r="P289">
        <v>1702</v>
      </c>
      <c r="Q289">
        <v>6133</v>
      </c>
      <c r="R289" t="s">
        <v>23</v>
      </c>
      <c r="S289" s="1" t="s">
        <v>34218</v>
      </c>
    </row>
    <row r="290" spans="1:19" x14ac:dyDescent="0.25">
      <c r="A290">
        <v>101154658</v>
      </c>
      <c r="B290" t="s">
        <v>1081</v>
      </c>
      <c r="C290" t="s">
        <v>1082</v>
      </c>
      <c r="F290" t="str">
        <f>"6503554568"</f>
        <v>6503554568</v>
      </c>
      <c r="G290" t="s">
        <v>1083</v>
      </c>
      <c r="H290" t="s">
        <v>1084</v>
      </c>
      <c r="I290" t="s">
        <v>22</v>
      </c>
      <c r="J290">
        <v>94044</v>
      </c>
      <c r="K290">
        <v>4027</v>
      </c>
      <c r="L290" t="s">
        <v>23</v>
      </c>
      <c r="M290" t="s">
        <v>1083</v>
      </c>
      <c r="N290" t="s">
        <v>1084</v>
      </c>
      <c r="O290" t="s">
        <v>22</v>
      </c>
      <c r="P290">
        <v>94044</v>
      </c>
      <c r="Q290">
        <v>4027</v>
      </c>
      <c r="R290" t="s">
        <v>23</v>
      </c>
      <c r="S290" s="1" t="s">
        <v>34218</v>
      </c>
    </row>
    <row r="291" spans="1:19" x14ac:dyDescent="0.25">
      <c r="A291">
        <v>101163198</v>
      </c>
      <c r="B291" t="s">
        <v>1085</v>
      </c>
      <c r="C291" t="s">
        <v>1086</v>
      </c>
      <c r="F291" t="str">
        <f>"3014048639"</f>
        <v>3014048639</v>
      </c>
      <c r="G291" t="s">
        <v>1087</v>
      </c>
      <c r="H291" t="s">
        <v>1088</v>
      </c>
      <c r="I291" t="s">
        <v>327</v>
      </c>
      <c r="J291">
        <v>25425</v>
      </c>
      <c r="K291">
        <v>4763</v>
      </c>
      <c r="L291" t="s">
        <v>23</v>
      </c>
      <c r="M291" t="s">
        <v>1087</v>
      </c>
      <c r="N291" t="s">
        <v>1088</v>
      </c>
      <c r="O291" t="s">
        <v>327</v>
      </c>
      <c r="P291">
        <v>25425</v>
      </c>
      <c r="Q291">
        <v>4763</v>
      </c>
      <c r="R291" t="s">
        <v>23</v>
      </c>
      <c r="S291" s="1" t="s">
        <v>34218</v>
      </c>
    </row>
    <row r="292" spans="1:19" x14ac:dyDescent="0.25">
      <c r="A292">
        <v>101296498</v>
      </c>
      <c r="B292" t="s">
        <v>1089</v>
      </c>
      <c r="C292" t="s">
        <v>90</v>
      </c>
      <c r="F292" t="str">
        <f>"9285541317"</f>
        <v>9285541317</v>
      </c>
      <c r="G292" t="s">
        <v>1090</v>
      </c>
      <c r="H292" t="s">
        <v>1091</v>
      </c>
      <c r="I292" t="s">
        <v>365</v>
      </c>
      <c r="J292">
        <v>86336</v>
      </c>
      <c r="K292">
        <v>3833</v>
      </c>
      <c r="L292" t="s">
        <v>23</v>
      </c>
      <c r="M292" t="s">
        <v>1090</v>
      </c>
      <c r="N292" t="s">
        <v>1091</v>
      </c>
      <c r="O292" t="s">
        <v>365</v>
      </c>
      <c r="P292">
        <v>86336</v>
      </c>
      <c r="Q292">
        <v>3833</v>
      </c>
      <c r="R292" t="s">
        <v>23</v>
      </c>
      <c r="S292" s="1" t="s">
        <v>34218</v>
      </c>
    </row>
    <row r="293" spans="1:19" x14ac:dyDescent="0.25">
      <c r="A293">
        <v>101301026</v>
      </c>
      <c r="B293" t="s">
        <v>1092</v>
      </c>
      <c r="C293" t="s">
        <v>119</v>
      </c>
      <c r="F293" t="str">
        <f>"5105253142"</f>
        <v>5105253142</v>
      </c>
      <c r="G293" t="s">
        <v>1093</v>
      </c>
      <c r="H293" t="s">
        <v>88</v>
      </c>
      <c r="I293" t="s">
        <v>22</v>
      </c>
      <c r="J293">
        <v>94619</v>
      </c>
      <c r="K293">
        <v>2817</v>
      </c>
      <c r="L293" t="s">
        <v>23</v>
      </c>
      <c r="M293" t="s">
        <v>1093</v>
      </c>
      <c r="N293" t="s">
        <v>88</v>
      </c>
      <c r="O293" t="s">
        <v>22</v>
      </c>
      <c r="P293">
        <v>94619</v>
      </c>
      <c r="Q293">
        <v>2817</v>
      </c>
      <c r="R293" t="s">
        <v>23</v>
      </c>
      <c r="S293" s="1" t="s">
        <v>34218</v>
      </c>
    </row>
    <row r="294" spans="1:19" x14ac:dyDescent="0.25">
      <c r="A294">
        <v>101296860</v>
      </c>
      <c r="B294" t="s">
        <v>1094</v>
      </c>
      <c r="C294" t="s">
        <v>40</v>
      </c>
      <c r="F294" t="str">
        <f>"5024594683"</f>
        <v>5024594683</v>
      </c>
      <c r="G294" t="s">
        <v>1095</v>
      </c>
      <c r="H294" t="s">
        <v>1096</v>
      </c>
      <c r="I294" t="s">
        <v>1097</v>
      </c>
      <c r="J294">
        <v>40205</v>
      </c>
      <c r="K294">
        <v>2137</v>
      </c>
      <c r="L294" t="s">
        <v>23</v>
      </c>
      <c r="M294" t="s">
        <v>1095</v>
      </c>
      <c r="N294" t="s">
        <v>1096</v>
      </c>
      <c r="O294" t="s">
        <v>1097</v>
      </c>
      <c r="P294">
        <v>40205</v>
      </c>
      <c r="Q294">
        <v>2137</v>
      </c>
      <c r="R294" t="s">
        <v>23</v>
      </c>
      <c r="S294" s="1" t="s">
        <v>34218</v>
      </c>
    </row>
    <row r="295" spans="1:19" x14ac:dyDescent="0.25">
      <c r="A295">
        <v>101298753</v>
      </c>
      <c r="B295" t="s">
        <v>1098</v>
      </c>
      <c r="C295" t="s">
        <v>45</v>
      </c>
      <c r="F295" t="str">
        <f>"5624314561"</f>
        <v>5624314561</v>
      </c>
      <c r="G295" t="s">
        <v>1099</v>
      </c>
      <c r="H295" t="s">
        <v>311</v>
      </c>
      <c r="I295" t="s">
        <v>22</v>
      </c>
      <c r="J295">
        <v>90815</v>
      </c>
      <c r="K295">
        <v>2434</v>
      </c>
      <c r="L295" t="s">
        <v>23</v>
      </c>
      <c r="M295" t="s">
        <v>1099</v>
      </c>
      <c r="N295" t="s">
        <v>311</v>
      </c>
      <c r="O295" t="s">
        <v>22</v>
      </c>
      <c r="P295">
        <v>90815</v>
      </c>
      <c r="Q295">
        <v>2434</v>
      </c>
      <c r="R295" t="s">
        <v>23</v>
      </c>
      <c r="S295" s="1" t="s">
        <v>34218</v>
      </c>
    </row>
    <row r="296" spans="1:19" x14ac:dyDescent="0.25">
      <c r="A296">
        <v>101300049</v>
      </c>
      <c r="B296" t="s">
        <v>1100</v>
      </c>
      <c r="C296" t="s">
        <v>938</v>
      </c>
      <c r="F296" t="str">
        <f>"5109159141"</f>
        <v>5109159141</v>
      </c>
      <c r="G296" t="s">
        <v>1101</v>
      </c>
      <c r="H296" t="s">
        <v>130</v>
      </c>
      <c r="I296" t="s">
        <v>22</v>
      </c>
      <c r="J296">
        <v>94110</v>
      </c>
      <c r="K296">
        <v>1222</v>
      </c>
      <c r="L296" t="s">
        <v>23</v>
      </c>
      <c r="M296" t="s">
        <v>1101</v>
      </c>
      <c r="N296" t="s">
        <v>130</v>
      </c>
      <c r="O296" t="s">
        <v>22</v>
      </c>
      <c r="P296">
        <v>94110</v>
      </c>
      <c r="Q296">
        <v>1222</v>
      </c>
      <c r="R296" t="s">
        <v>23</v>
      </c>
      <c r="S296" s="1" t="s">
        <v>34218</v>
      </c>
    </row>
    <row r="297" spans="1:19" x14ac:dyDescent="0.25">
      <c r="A297">
        <v>101297235</v>
      </c>
      <c r="B297" t="s">
        <v>1102</v>
      </c>
      <c r="C297" t="s">
        <v>1103</v>
      </c>
      <c r="F297" t="str">
        <f>"7183333333"</f>
        <v>7183333333</v>
      </c>
      <c r="G297" t="s">
        <v>1104</v>
      </c>
      <c r="H297" t="s">
        <v>1105</v>
      </c>
      <c r="I297" t="s">
        <v>117</v>
      </c>
      <c r="J297">
        <v>10453</v>
      </c>
      <c r="K297">
        <v>4407</v>
      </c>
      <c r="L297" t="s">
        <v>23</v>
      </c>
      <c r="M297" t="s">
        <v>1104</v>
      </c>
      <c r="N297" t="s">
        <v>1105</v>
      </c>
      <c r="O297" t="s">
        <v>117</v>
      </c>
      <c r="P297">
        <v>10453</v>
      </c>
      <c r="Q297">
        <v>4407</v>
      </c>
      <c r="R297" t="s">
        <v>23</v>
      </c>
      <c r="S297" s="1" t="s">
        <v>34218</v>
      </c>
    </row>
    <row r="298" spans="1:19" x14ac:dyDescent="0.25">
      <c r="A298">
        <v>101175012</v>
      </c>
      <c r="B298" t="s">
        <v>1106</v>
      </c>
      <c r="C298" t="s">
        <v>1107</v>
      </c>
      <c r="F298" t="str">
        <f>"7078953820"</f>
        <v>7078953820</v>
      </c>
      <c r="G298" t="s">
        <v>1108</v>
      </c>
      <c r="H298" t="s">
        <v>1109</v>
      </c>
      <c r="I298" t="s">
        <v>22</v>
      </c>
      <c r="J298">
        <v>95415</v>
      </c>
      <c r="L298" t="s">
        <v>23</v>
      </c>
      <c r="M298" t="s">
        <v>1108</v>
      </c>
      <c r="N298" t="s">
        <v>1109</v>
      </c>
      <c r="O298" t="s">
        <v>22</v>
      </c>
      <c r="P298">
        <v>95415</v>
      </c>
      <c r="R298" t="s">
        <v>23</v>
      </c>
      <c r="S298" s="1" t="s">
        <v>34218</v>
      </c>
    </row>
    <row r="299" spans="1:19" x14ac:dyDescent="0.25">
      <c r="A299">
        <v>101406377</v>
      </c>
      <c r="B299" t="s">
        <v>1110</v>
      </c>
      <c r="C299" t="s">
        <v>1111</v>
      </c>
      <c r="F299" t="str">
        <f>"9288638628"</f>
        <v>9288638628</v>
      </c>
      <c r="G299" t="s">
        <v>1112</v>
      </c>
      <c r="H299" t="s">
        <v>1113</v>
      </c>
      <c r="I299" t="s">
        <v>365</v>
      </c>
      <c r="J299">
        <v>86005</v>
      </c>
      <c r="K299">
        <v>9549</v>
      </c>
      <c r="L299" t="s">
        <v>23</v>
      </c>
      <c r="M299" t="s">
        <v>1112</v>
      </c>
      <c r="N299" t="s">
        <v>1113</v>
      </c>
      <c r="O299" t="s">
        <v>365</v>
      </c>
      <c r="P299">
        <v>86005</v>
      </c>
      <c r="Q299">
        <v>9549</v>
      </c>
      <c r="R299" t="s">
        <v>23</v>
      </c>
      <c r="S299" s="1" t="s">
        <v>34218</v>
      </c>
    </row>
    <row r="300" spans="1:19" x14ac:dyDescent="0.25">
      <c r="A300">
        <v>101313247</v>
      </c>
      <c r="B300" t="s">
        <v>1114</v>
      </c>
      <c r="C300" t="s">
        <v>102</v>
      </c>
      <c r="F300" t="str">
        <f>"5176480722"</f>
        <v>5176480722</v>
      </c>
      <c r="G300" t="s">
        <v>1115</v>
      </c>
      <c r="H300" t="s">
        <v>822</v>
      </c>
      <c r="I300" t="s">
        <v>140</v>
      </c>
      <c r="J300">
        <v>48933</v>
      </c>
      <c r="K300">
        <v>2415</v>
      </c>
      <c r="L300" t="s">
        <v>23</v>
      </c>
      <c r="M300" t="s">
        <v>1115</v>
      </c>
      <c r="N300" t="s">
        <v>822</v>
      </c>
      <c r="O300" t="s">
        <v>140</v>
      </c>
      <c r="P300">
        <v>48933</v>
      </c>
      <c r="Q300">
        <v>2415</v>
      </c>
      <c r="R300" t="s">
        <v>23</v>
      </c>
      <c r="S300" s="1" t="s">
        <v>34218</v>
      </c>
    </row>
    <row r="301" spans="1:19" x14ac:dyDescent="0.25">
      <c r="A301">
        <v>101338735</v>
      </c>
      <c r="B301" t="s">
        <v>1116</v>
      </c>
      <c r="C301" t="s">
        <v>1117</v>
      </c>
      <c r="F301" t="str">
        <f>"9252469966"</f>
        <v>9252469966</v>
      </c>
      <c r="G301" t="s">
        <v>1118</v>
      </c>
      <c r="H301" t="s">
        <v>761</v>
      </c>
      <c r="I301" t="s">
        <v>22</v>
      </c>
      <c r="J301">
        <v>94519</v>
      </c>
      <c r="K301">
        <v>1402</v>
      </c>
      <c r="L301" t="s">
        <v>23</v>
      </c>
      <c r="M301" t="s">
        <v>1118</v>
      </c>
      <c r="N301" t="s">
        <v>761</v>
      </c>
      <c r="O301" t="s">
        <v>22</v>
      </c>
      <c r="P301">
        <v>94519</v>
      </c>
      <c r="Q301">
        <v>1402</v>
      </c>
      <c r="R301" t="s">
        <v>23</v>
      </c>
      <c r="S301" s="1" t="s">
        <v>34218</v>
      </c>
    </row>
    <row r="302" spans="1:19" x14ac:dyDescent="0.25">
      <c r="A302">
        <v>100835517</v>
      </c>
      <c r="B302" t="s">
        <v>1119</v>
      </c>
      <c r="C302" t="s">
        <v>1120</v>
      </c>
      <c r="F302" t="str">
        <f>"8165373465"</f>
        <v>8165373465</v>
      </c>
      <c r="G302" t="s">
        <v>1121</v>
      </c>
      <c r="H302" t="s">
        <v>1122</v>
      </c>
      <c r="I302" t="s">
        <v>126</v>
      </c>
      <c r="J302">
        <v>64082</v>
      </c>
      <c r="K302">
        <v>4162</v>
      </c>
      <c r="L302" t="s">
        <v>23</v>
      </c>
      <c r="M302" t="s">
        <v>1121</v>
      </c>
      <c r="N302" t="s">
        <v>1122</v>
      </c>
      <c r="O302" t="s">
        <v>126</v>
      </c>
      <c r="P302">
        <v>64082</v>
      </c>
      <c r="Q302">
        <v>4162</v>
      </c>
      <c r="R302" t="s">
        <v>23</v>
      </c>
      <c r="S302" s="1" t="s">
        <v>34218</v>
      </c>
    </row>
    <row r="303" spans="1:19" x14ac:dyDescent="0.25">
      <c r="A303">
        <v>101224331</v>
      </c>
      <c r="B303" t="s">
        <v>1123</v>
      </c>
      <c r="C303" t="s">
        <v>1124</v>
      </c>
      <c r="F303" t="str">
        <f>"2486735370"</f>
        <v>2486735370</v>
      </c>
      <c r="G303" t="s">
        <v>1125</v>
      </c>
      <c r="H303" t="s">
        <v>1126</v>
      </c>
      <c r="I303" t="s">
        <v>140</v>
      </c>
      <c r="J303">
        <v>48329</v>
      </c>
      <c r="K303">
        <v>3959</v>
      </c>
      <c r="L303" t="s">
        <v>23</v>
      </c>
      <c r="M303" t="s">
        <v>1125</v>
      </c>
      <c r="N303" t="s">
        <v>1126</v>
      </c>
      <c r="O303" t="s">
        <v>140</v>
      </c>
      <c r="P303">
        <v>48329</v>
      </c>
      <c r="Q303">
        <v>3959</v>
      </c>
      <c r="R303" t="s">
        <v>23</v>
      </c>
      <c r="S303" s="1" t="s">
        <v>34218</v>
      </c>
    </row>
    <row r="304" spans="1:19" x14ac:dyDescent="0.25">
      <c r="A304">
        <v>100658119</v>
      </c>
      <c r="B304" t="s">
        <v>1127</v>
      </c>
      <c r="C304" t="s">
        <v>1128</v>
      </c>
      <c r="F304" t="str">
        <f>"9095704339"</f>
        <v>9095704339</v>
      </c>
      <c r="G304" t="s">
        <v>1129</v>
      </c>
      <c r="H304" t="s">
        <v>1130</v>
      </c>
      <c r="I304" t="s">
        <v>22</v>
      </c>
      <c r="J304">
        <v>92399</v>
      </c>
      <c r="L304" t="s">
        <v>23</v>
      </c>
      <c r="M304" t="s">
        <v>1129</v>
      </c>
      <c r="N304" t="s">
        <v>1130</v>
      </c>
      <c r="O304" t="s">
        <v>22</v>
      </c>
      <c r="P304">
        <v>92399</v>
      </c>
      <c r="R304" t="s">
        <v>23</v>
      </c>
      <c r="S304" s="1" t="s">
        <v>34218</v>
      </c>
    </row>
    <row r="305" spans="1:19" x14ac:dyDescent="0.25">
      <c r="A305">
        <v>101246378</v>
      </c>
      <c r="B305" t="s">
        <v>1131</v>
      </c>
      <c r="C305" t="s">
        <v>30</v>
      </c>
      <c r="F305" t="str">
        <f>"7406792048"</f>
        <v>7406792048</v>
      </c>
      <c r="G305" t="s">
        <v>1132</v>
      </c>
      <c r="H305" t="s">
        <v>1133</v>
      </c>
      <c r="I305" t="s">
        <v>178</v>
      </c>
      <c r="J305">
        <v>43773</v>
      </c>
      <c r="K305">
        <v>9690</v>
      </c>
      <c r="L305" t="s">
        <v>23</v>
      </c>
      <c r="M305" t="s">
        <v>1132</v>
      </c>
      <c r="N305" t="s">
        <v>1133</v>
      </c>
      <c r="O305" t="s">
        <v>178</v>
      </c>
      <c r="P305">
        <v>43773</v>
      </c>
      <c r="Q305">
        <v>9690</v>
      </c>
      <c r="R305" t="s">
        <v>23</v>
      </c>
      <c r="S305" s="1" t="s">
        <v>34218</v>
      </c>
    </row>
    <row r="306" spans="1:19" x14ac:dyDescent="0.25">
      <c r="A306">
        <v>101245015</v>
      </c>
      <c r="B306" t="s">
        <v>1134</v>
      </c>
      <c r="C306" t="s">
        <v>1135</v>
      </c>
      <c r="F306" t="str">
        <f>"8595856564"</f>
        <v>8595856564</v>
      </c>
      <c r="G306" t="s">
        <v>1136</v>
      </c>
      <c r="H306" t="s">
        <v>1137</v>
      </c>
      <c r="I306" t="s">
        <v>1097</v>
      </c>
      <c r="J306">
        <v>40322</v>
      </c>
      <c r="K306">
        <v>8863</v>
      </c>
      <c r="L306" t="s">
        <v>23</v>
      </c>
      <c r="M306" t="s">
        <v>1136</v>
      </c>
      <c r="N306" t="s">
        <v>1137</v>
      </c>
      <c r="O306" t="s">
        <v>1097</v>
      </c>
      <c r="P306">
        <v>40322</v>
      </c>
      <c r="Q306">
        <v>8863</v>
      </c>
      <c r="R306" t="s">
        <v>23</v>
      </c>
      <c r="S306" s="1" t="s">
        <v>34218</v>
      </c>
    </row>
    <row r="307" spans="1:19" x14ac:dyDescent="0.25">
      <c r="A307">
        <v>101261790</v>
      </c>
      <c r="B307" t="s">
        <v>858</v>
      </c>
      <c r="C307" t="s">
        <v>916</v>
      </c>
      <c r="F307" t="str">
        <f>"9254392575"</f>
        <v>9254392575</v>
      </c>
      <c r="G307" t="s">
        <v>1138</v>
      </c>
      <c r="H307" t="s">
        <v>1139</v>
      </c>
      <c r="I307" t="s">
        <v>22</v>
      </c>
      <c r="J307">
        <v>94565</v>
      </c>
      <c r="K307">
        <v>5935</v>
      </c>
      <c r="L307" t="s">
        <v>23</v>
      </c>
      <c r="M307" t="s">
        <v>1138</v>
      </c>
      <c r="N307" t="s">
        <v>1139</v>
      </c>
      <c r="O307" t="s">
        <v>22</v>
      </c>
      <c r="P307">
        <v>94565</v>
      </c>
      <c r="Q307">
        <v>5935</v>
      </c>
      <c r="R307" t="s">
        <v>23</v>
      </c>
      <c r="S307" s="1" t="s">
        <v>34218</v>
      </c>
    </row>
    <row r="308" spans="1:19" x14ac:dyDescent="0.25">
      <c r="A308">
        <v>101292373</v>
      </c>
      <c r="B308" t="s">
        <v>1140</v>
      </c>
      <c r="C308" t="s">
        <v>1141</v>
      </c>
      <c r="F308" t="str">
        <f>"5086542529"</f>
        <v>5086542529</v>
      </c>
      <c r="G308" t="s">
        <v>1142</v>
      </c>
      <c r="H308" t="s">
        <v>504</v>
      </c>
      <c r="I308" t="s">
        <v>236</v>
      </c>
      <c r="J308" t="s">
        <v>1143</v>
      </c>
      <c r="K308">
        <v>1443</v>
      </c>
      <c r="L308" t="s">
        <v>23</v>
      </c>
      <c r="M308" t="s">
        <v>1142</v>
      </c>
      <c r="N308" t="s">
        <v>504</v>
      </c>
      <c r="O308" t="s">
        <v>236</v>
      </c>
      <c r="P308" t="s">
        <v>1143</v>
      </c>
      <c r="Q308">
        <v>1443</v>
      </c>
      <c r="R308" t="s">
        <v>23</v>
      </c>
      <c r="S308" s="1" t="s">
        <v>34218</v>
      </c>
    </row>
    <row r="309" spans="1:19" x14ac:dyDescent="0.25">
      <c r="A309">
        <v>101318176</v>
      </c>
      <c r="B309" t="s">
        <v>1144</v>
      </c>
      <c r="C309" t="s">
        <v>554</v>
      </c>
      <c r="F309" t="str">
        <f>"5107947065"</f>
        <v>5107947065</v>
      </c>
      <c r="H309" t="s">
        <v>1145</v>
      </c>
      <c r="I309" t="s">
        <v>332</v>
      </c>
      <c r="J309">
        <v>84536</v>
      </c>
      <c r="L309" t="s">
        <v>23</v>
      </c>
      <c r="N309" t="s">
        <v>1145</v>
      </c>
      <c r="O309" t="s">
        <v>332</v>
      </c>
      <c r="P309">
        <v>84536</v>
      </c>
      <c r="R309" t="s">
        <v>23</v>
      </c>
      <c r="S309" s="1" t="s">
        <v>34218</v>
      </c>
    </row>
    <row r="310" spans="1:19" x14ac:dyDescent="0.25">
      <c r="A310">
        <v>100749027</v>
      </c>
      <c r="B310" t="s">
        <v>1146</v>
      </c>
      <c r="C310" t="s">
        <v>1147</v>
      </c>
      <c r="F310" t="str">
        <f>"6512466873"</f>
        <v>6512466873</v>
      </c>
      <c r="G310" t="s">
        <v>1148</v>
      </c>
      <c r="H310" t="s">
        <v>364</v>
      </c>
      <c r="I310" t="s">
        <v>365</v>
      </c>
      <c r="J310">
        <v>86314</v>
      </c>
      <c r="K310">
        <v>7209</v>
      </c>
      <c r="L310" t="s">
        <v>23</v>
      </c>
      <c r="M310" t="s">
        <v>1148</v>
      </c>
      <c r="N310" t="s">
        <v>364</v>
      </c>
      <c r="O310" t="s">
        <v>365</v>
      </c>
      <c r="P310">
        <v>86314</v>
      </c>
      <c r="Q310">
        <v>7209</v>
      </c>
      <c r="R310" t="s">
        <v>23</v>
      </c>
      <c r="S310" s="1" t="s">
        <v>34218</v>
      </c>
    </row>
    <row r="311" spans="1:19" x14ac:dyDescent="0.25">
      <c r="A311">
        <v>100536045</v>
      </c>
      <c r="B311" t="s">
        <v>1149</v>
      </c>
      <c r="C311" t="s">
        <v>403</v>
      </c>
      <c r="F311" t="str">
        <f>"5036664461"</f>
        <v>5036664461</v>
      </c>
      <c r="G311" t="s">
        <v>1150</v>
      </c>
      <c r="H311" t="s">
        <v>1151</v>
      </c>
      <c r="I311" t="s">
        <v>43</v>
      </c>
      <c r="J311">
        <v>97030</v>
      </c>
      <c r="L311" t="s">
        <v>23</v>
      </c>
      <c r="M311" t="s">
        <v>1150</v>
      </c>
      <c r="N311" t="s">
        <v>1151</v>
      </c>
      <c r="O311" t="s">
        <v>43</v>
      </c>
      <c r="P311">
        <v>97030</v>
      </c>
      <c r="R311" t="s">
        <v>23</v>
      </c>
      <c r="S311" s="1" t="s">
        <v>34218</v>
      </c>
    </row>
    <row r="312" spans="1:19" x14ac:dyDescent="0.25">
      <c r="A312">
        <v>101289292</v>
      </c>
      <c r="B312" t="s">
        <v>1152</v>
      </c>
      <c r="C312" t="s">
        <v>1153</v>
      </c>
      <c r="F312" t="str">
        <f>"5089512440"</f>
        <v>5089512440</v>
      </c>
      <c r="G312" t="s">
        <v>1154</v>
      </c>
      <c r="H312" t="s">
        <v>1155</v>
      </c>
      <c r="I312" t="s">
        <v>236</v>
      </c>
      <c r="J312">
        <v>2769</v>
      </c>
      <c r="K312">
        <v>2332</v>
      </c>
      <c r="L312" t="s">
        <v>23</v>
      </c>
      <c r="M312" t="s">
        <v>1154</v>
      </c>
      <c r="N312" t="s">
        <v>1155</v>
      </c>
      <c r="O312" t="s">
        <v>236</v>
      </c>
      <c r="P312">
        <v>2769</v>
      </c>
      <c r="Q312">
        <v>2332</v>
      </c>
      <c r="R312" t="s">
        <v>23</v>
      </c>
      <c r="S312" s="1" t="s">
        <v>34218</v>
      </c>
    </row>
    <row r="313" spans="1:19" x14ac:dyDescent="0.25">
      <c r="A313">
        <v>101216988</v>
      </c>
      <c r="B313" t="s">
        <v>1156</v>
      </c>
      <c r="C313" t="s">
        <v>1157</v>
      </c>
      <c r="F313" t="str">
        <f>"5098526694"</f>
        <v>5098526694</v>
      </c>
      <c r="G313" t="s">
        <v>1158</v>
      </c>
      <c r="H313" t="s">
        <v>1159</v>
      </c>
      <c r="I313" t="s">
        <v>84</v>
      </c>
      <c r="J313">
        <v>98947</v>
      </c>
      <c r="L313" t="s">
        <v>23</v>
      </c>
      <c r="M313" t="s">
        <v>1158</v>
      </c>
      <c r="N313" t="s">
        <v>1159</v>
      </c>
      <c r="O313" t="s">
        <v>84</v>
      </c>
      <c r="P313">
        <v>98947</v>
      </c>
      <c r="R313" t="s">
        <v>23</v>
      </c>
      <c r="S313" s="1" t="s">
        <v>34218</v>
      </c>
    </row>
    <row r="314" spans="1:19" x14ac:dyDescent="0.25">
      <c r="A314">
        <v>100737389</v>
      </c>
      <c r="B314" t="s">
        <v>1160</v>
      </c>
      <c r="C314" t="s">
        <v>1161</v>
      </c>
      <c r="F314" t="str">
        <f>"7182370853"</f>
        <v>7182370853</v>
      </c>
      <c r="G314" t="s">
        <v>1162</v>
      </c>
      <c r="H314" t="s">
        <v>412</v>
      </c>
      <c r="I314" t="s">
        <v>117</v>
      </c>
      <c r="J314" t="s">
        <v>1163</v>
      </c>
      <c r="K314">
        <v>4814</v>
      </c>
      <c r="L314" t="s">
        <v>23</v>
      </c>
      <c r="M314" t="s">
        <v>1162</v>
      </c>
      <c r="N314" t="s">
        <v>412</v>
      </c>
      <c r="O314" t="s">
        <v>117</v>
      </c>
      <c r="P314" t="s">
        <v>1163</v>
      </c>
      <c r="Q314">
        <v>4814</v>
      </c>
      <c r="R314" t="s">
        <v>23</v>
      </c>
      <c r="S314" s="1" t="s">
        <v>34218</v>
      </c>
    </row>
    <row r="315" spans="1:19" x14ac:dyDescent="0.25">
      <c r="A315">
        <v>101139464</v>
      </c>
      <c r="B315" t="s">
        <v>1164</v>
      </c>
      <c r="C315" t="s">
        <v>30</v>
      </c>
      <c r="F315" t="str">
        <f>"9529297740"</f>
        <v>9529297740</v>
      </c>
      <c r="G315" t="s">
        <v>1165</v>
      </c>
      <c r="H315" t="s">
        <v>1166</v>
      </c>
      <c r="I315" t="s">
        <v>178</v>
      </c>
      <c r="J315">
        <v>43551</v>
      </c>
      <c r="K315">
        <v>5715</v>
      </c>
      <c r="L315" t="s">
        <v>23</v>
      </c>
      <c r="M315" t="s">
        <v>1165</v>
      </c>
      <c r="N315" t="s">
        <v>1166</v>
      </c>
      <c r="O315" t="s">
        <v>178</v>
      </c>
      <c r="P315">
        <v>43551</v>
      </c>
      <c r="Q315">
        <v>5715</v>
      </c>
      <c r="R315" t="s">
        <v>23</v>
      </c>
      <c r="S315" s="1" t="s">
        <v>34218</v>
      </c>
    </row>
    <row r="316" spans="1:19" x14ac:dyDescent="0.25">
      <c r="A316">
        <v>101143051</v>
      </c>
      <c r="B316" t="s">
        <v>1167</v>
      </c>
      <c r="C316" t="s">
        <v>1168</v>
      </c>
      <c r="F316" t="str">
        <f>"6307950717"</f>
        <v>6307950717</v>
      </c>
      <c r="G316" t="s">
        <v>1169</v>
      </c>
      <c r="H316" t="s">
        <v>1170</v>
      </c>
      <c r="I316" t="s">
        <v>135</v>
      </c>
      <c r="J316">
        <v>60516</v>
      </c>
      <c r="K316">
        <v>2032</v>
      </c>
      <c r="L316" t="s">
        <v>23</v>
      </c>
      <c r="M316" t="s">
        <v>1169</v>
      </c>
      <c r="N316" t="s">
        <v>1170</v>
      </c>
      <c r="O316" t="s">
        <v>135</v>
      </c>
      <c r="P316">
        <v>60516</v>
      </c>
      <c r="Q316">
        <v>2032</v>
      </c>
      <c r="R316" t="s">
        <v>23</v>
      </c>
      <c r="S316" s="1" t="s">
        <v>34218</v>
      </c>
    </row>
    <row r="317" spans="1:19" x14ac:dyDescent="0.25">
      <c r="A317">
        <v>101396858</v>
      </c>
      <c r="B317" t="s">
        <v>1171</v>
      </c>
      <c r="C317" t="s">
        <v>1172</v>
      </c>
      <c r="F317" t="str">
        <f>"8282649316"</f>
        <v>8282649316</v>
      </c>
      <c r="G317" t="s">
        <v>1173</v>
      </c>
      <c r="H317" t="s">
        <v>1174</v>
      </c>
      <c r="I317" t="s">
        <v>446</v>
      </c>
      <c r="J317">
        <v>28607</v>
      </c>
      <c r="K317">
        <v>8134</v>
      </c>
      <c r="L317" t="s">
        <v>23</v>
      </c>
      <c r="M317" t="s">
        <v>1173</v>
      </c>
      <c r="N317" t="s">
        <v>1174</v>
      </c>
      <c r="O317" t="s">
        <v>446</v>
      </c>
      <c r="P317">
        <v>28607</v>
      </c>
      <c r="Q317">
        <v>8134</v>
      </c>
      <c r="R317" t="s">
        <v>23</v>
      </c>
      <c r="S317" s="1" t="s">
        <v>34218</v>
      </c>
    </row>
    <row r="318" spans="1:19" x14ac:dyDescent="0.25">
      <c r="A318">
        <v>101114117</v>
      </c>
      <c r="B318" t="s">
        <v>1175</v>
      </c>
      <c r="C318" t="s">
        <v>1176</v>
      </c>
      <c r="F318" t="str">
        <f>"3148358764"</f>
        <v>3148358764</v>
      </c>
      <c r="G318" t="s">
        <v>1177</v>
      </c>
      <c r="H318" t="s">
        <v>125</v>
      </c>
      <c r="I318" t="s">
        <v>126</v>
      </c>
      <c r="J318">
        <v>63128</v>
      </c>
      <c r="K318">
        <v>4025</v>
      </c>
      <c r="L318" t="s">
        <v>23</v>
      </c>
      <c r="M318" t="s">
        <v>1177</v>
      </c>
      <c r="N318" t="s">
        <v>125</v>
      </c>
      <c r="O318" t="s">
        <v>126</v>
      </c>
      <c r="P318">
        <v>63128</v>
      </c>
      <c r="Q318">
        <v>4025</v>
      </c>
      <c r="R318" t="s">
        <v>23</v>
      </c>
      <c r="S318" s="1" t="s">
        <v>34218</v>
      </c>
    </row>
    <row r="319" spans="1:19" x14ac:dyDescent="0.25">
      <c r="A319">
        <v>101115576</v>
      </c>
      <c r="B319" t="s">
        <v>1178</v>
      </c>
      <c r="C319" t="s">
        <v>1179</v>
      </c>
      <c r="F319" t="str">
        <f>"5555555555"</f>
        <v>5555555555</v>
      </c>
      <c r="G319" t="s">
        <v>1180</v>
      </c>
      <c r="H319" t="s">
        <v>1181</v>
      </c>
      <c r="I319" t="s">
        <v>22</v>
      </c>
      <c r="J319">
        <v>93402</v>
      </c>
      <c r="K319">
        <v>1863</v>
      </c>
      <c r="L319" t="s">
        <v>23</v>
      </c>
      <c r="M319" t="s">
        <v>1180</v>
      </c>
      <c r="N319" t="s">
        <v>1181</v>
      </c>
      <c r="O319" t="s">
        <v>22</v>
      </c>
      <c r="P319">
        <v>93402</v>
      </c>
      <c r="Q319">
        <v>1863</v>
      </c>
      <c r="R319" t="s">
        <v>23</v>
      </c>
      <c r="S319" s="1" t="s">
        <v>34218</v>
      </c>
    </row>
    <row r="320" spans="1:19" x14ac:dyDescent="0.25">
      <c r="A320">
        <v>101371909</v>
      </c>
      <c r="B320" t="s">
        <v>1182</v>
      </c>
      <c r="C320" t="s">
        <v>627</v>
      </c>
      <c r="F320" t="str">
        <f>"6192262626"</f>
        <v>6192262626</v>
      </c>
      <c r="G320" t="s">
        <v>1183</v>
      </c>
      <c r="H320" t="s">
        <v>198</v>
      </c>
      <c r="I320" t="s">
        <v>22</v>
      </c>
      <c r="J320">
        <v>92166</v>
      </c>
      <c r="K320">
        <v>8279</v>
      </c>
      <c r="L320" t="s">
        <v>23</v>
      </c>
      <c r="M320" t="s">
        <v>1183</v>
      </c>
      <c r="N320" t="s">
        <v>198</v>
      </c>
      <c r="O320" t="s">
        <v>22</v>
      </c>
      <c r="P320">
        <v>92166</v>
      </c>
      <c r="Q320">
        <v>8279</v>
      </c>
      <c r="R320" t="s">
        <v>23</v>
      </c>
      <c r="S320" s="1" t="s">
        <v>34218</v>
      </c>
    </row>
    <row r="321" spans="1:19" x14ac:dyDescent="0.25">
      <c r="A321">
        <v>100973166</v>
      </c>
      <c r="B321" t="s">
        <v>1184</v>
      </c>
      <c r="C321" t="s">
        <v>30</v>
      </c>
      <c r="F321" t="str">
        <f>"6317541360"</f>
        <v>6317541360</v>
      </c>
      <c r="G321" t="s">
        <v>1185</v>
      </c>
      <c r="H321" t="s">
        <v>1186</v>
      </c>
      <c r="I321" t="s">
        <v>117</v>
      </c>
      <c r="J321">
        <v>11768</v>
      </c>
      <c r="K321">
        <v>3021</v>
      </c>
      <c r="L321" t="s">
        <v>23</v>
      </c>
      <c r="M321" t="s">
        <v>1185</v>
      </c>
      <c r="N321" t="s">
        <v>1186</v>
      </c>
      <c r="O321" t="s">
        <v>117</v>
      </c>
      <c r="P321">
        <v>11768</v>
      </c>
      <c r="Q321">
        <v>3021</v>
      </c>
      <c r="R321" t="s">
        <v>23</v>
      </c>
      <c r="S321" s="1" t="s">
        <v>34218</v>
      </c>
    </row>
    <row r="322" spans="1:19" x14ac:dyDescent="0.25">
      <c r="A322">
        <v>101179671</v>
      </c>
      <c r="B322" t="s">
        <v>1187</v>
      </c>
      <c r="C322" t="s">
        <v>664</v>
      </c>
      <c r="F322" t="str">
        <f>"9375842616"</f>
        <v>9375842616</v>
      </c>
      <c r="G322" t="s">
        <v>1188</v>
      </c>
      <c r="H322" t="s">
        <v>1189</v>
      </c>
      <c r="I322" t="s">
        <v>178</v>
      </c>
      <c r="J322">
        <v>45169</v>
      </c>
      <c r="K322">
        <v>1236</v>
      </c>
      <c r="L322" t="s">
        <v>23</v>
      </c>
      <c r="M322" t="s">
        <v>1188</v>
      </c>
      <c r="N322" t="s">
        <v>1189</v>
      </c>
      <c r="O322" t="s">
        <v>178</v>
      </c>
      <c r="P322">
        <v>45169</v>
      </c>
      <c r="Q322">
        <v>1236</v>
      </c>
      <c r="R322" t="s">
        <v>23</v>
      </c>
      <c r="S322" s="1" t="s">
        <v>34218</v>
      </c>
    </row>
    <row r="323" spans="1:19" x14ac:dyDescent="0.25">
      <c r="A323">
        <v>101299259</v>
      </c>
      <c r="B323" t="s">
        <v>1190</v>
      </c>
      <c r="C323" t="s">
        <v>286</v>
      </c>
      <c r="F323" t="str">
        <f>"5555555555"</f>
        <v>5555555555</v>
      </c>
      <c r="G323" t="s">
        <v>1191</v>
      </c>
      <c r="H323" t="s">
        <v>264</v>
      </c>
      <c r="I323" t="s">
        <v>117</v>
      </c>
      <c r="J323">
        <v>14850</v>
      </c>
      <c r="K323">
        <v>4136</v>
      </c>
      <c r="L323" t="s">
        <v>23</v>
      </c>
      <c r="M323" t="s">
        <v>1191</v>
      </c>
      <c r="N323" t="s">
        <v>264</v>
      </c>
      <c r="O323" t="s">
        <v>117</v>
      </c>
      <c r="P323">
        <v>14850</v>
      </c>
      <c r="Q323">
        <v>4136</v>
      </c>
      <c r="R323" t="s">
        <v>23</v>
      </c>
      <c r="S323" s="1" t="s">
        <v>34218</v>
      </c>
    </row>
    <row r="324" spans="1:19" x14ac:dyDescent="0.25">
      <c r="A324">
        <v>101296601</v>
      </c>
      <c r="B324" t="s">
        <v>683</v>
      </c>
      <c r="C324" t="s">
        <v>582</v>
      </c>
      <c r="F324" t="str">
        <f>"6364862214"</f>
        <v>6364862214</v>
      </c>
      <c r="G324" t="s">
        <v>1192</v>
      </c>
      <c r="H324" t="s">
        <v>1193</v>
      </c>
      <c r="I324" t="s">
        <v>126</v>
      </c>
      <c r="J324">
        <v>63304</v>
      </c>
      <c r="K324">
        <v>6974</v>
      </c>
      <c r="L324" t="s">
        <v>23</v>
      </c>
      <c r="M324" t="s">
        <v>1192</v>
      </c>
      <c r="N324" t="s">
        <v>1193</v>
      </c>
      <c r="O324" t="s">
        <v>126</v>
      </c>
      <c r="P324">
        <v>63304</v>
      </c>
      <c r="Q324">
        <v>6974</v>
      </c>
      <c r="R324" t="s">
        <v>23</v>
      </c>
      <c r="S324" s="1" t="s">
        <v>34218</v>
      </c>
    </row>
    <row r="325" spans="1:19" x14ac:dyDescent="0.25">
      <c r="A325">
        <v>101300102</v>
      </c>
      <c r="B325" t="s">
        <v>1194</v>
      </c>
      <c r="C325" t="s">
        <v>25</v>
      </c>
      <c r="F325" t="str">
        <f>"8502162357"</f>
        <v>8502162357</v>
      </c>
      <c r="G325" t="s">
        <v>1195</v>
      </c>
      <c r="H325" t="s">
        <v>1196</v>
      </c>
      <c r="I325" t="s">
        <v>52</v>
      </c>
      <c r="J325">
        <v>32309</v>
      </c>
      <c r="K325">
        <v>9662</v>
      </c>
      <c r="L325" t="s">
        <v>23</v>
      </c>
      <c r="M325" t="s">
        <v>1195</v>
      </c>
      <c r="N325" t="s">
        <v>1196</v>
      </c>
      <c r="O325" t="s">
        <v>52</v>
      </c>
      <c r="P325">
        <v>32309</v>
      </c>
      <c r="Q325">
        <v>9662</v>
      </c>
      <c r="R325" t="s">
        <v>23</v>
      </c>
      <c r="S325" s="1" t="s">
        <v>34218</v>
      </c>
    </row>
    <row r="326" spans="1:19" x14ac:dyDescent="0.25">
      <c r="A326">
        <v>101454440</v>
      </c>
      <c r="B326" t="s">
        <v>1197</v>
      </c>
      <c r="C326" t="s">
        <v>1198</v>
      </c>
      <c r="F326" t="str">
        <f>"5752249430"</f>
        <v>5752249430</v>
      </c>
      <c r="G326" t="s">
        <v>1199</v>
      </c>
      <c r="H326" t="s">
        <v>1200</v>
      </c>
      <c r="I326" t="s">
        <v>639</v>
      </c>
      <c r="J326">
        <v>87529</v>
      </c>
      <c r="K326">
        <v>1432</v>
      </c>
      <c r="L326" t="s">
        <v>23</v>
      </c>
      <c r="M326" t="s">
        <v>1199</v>
      </c>
      <c r="N326" t="s">
        <v>1200</v>
      </c>
      <c r="O326" t="s">
        <v>639</v>
      </c>
      <c r="P326">
        <v>87529</v>
      </c>
      <c r="Q326">
        <v>1432</v>
      </c>
      <c r="R326" t="s">
        <v>23</v>
      </c>
      <c r="S326" s="1" t="s">
        <v>34218</v>
      </c>
    </row>
    <row r="327" spans="1:19" x14ac:dyDescent="0.25">
      <c r="A327">
        <v>101003822</v>
      </c>
      <c r="B327" t="s">
        <v>1201</v>
      </c>
      <c r="C327" t="s">
        <v>180</v>
      </c>
      <c r="F327" t="str">
        <f>"9736686735"</f>
        <v>9736686735</v>
      </c>
      <c r="G327" t="s">
        <v>1202</v>
      </c>
      <c r="H327" t="s">
        <v>1203</v>
      </c>
      <c r="I327" t="s">
        <v>250</v>
      </c>
      <c r="J327">
        <v>7403</v>
      </c>
      <c r="K327">
        <v>1426</v>
      </c>
      <c r="L327" t="s">
        <v>23</v>
      </c>
      <c r="M327" t="s">
        <v>1202</v>
      </c>
      <c r="N327" t="s">
        <v>1203</v>
      </c>
      <c r="O327" t="s">
        <v>250</v>
      </c>
      <c r="P327">
        <v>7403</v>
      </c>
      <c r="Q327">
        <v>1426</v>
      </c>
      <c r="R327" t="s">
        <v>23</v>
      </c>
      <c r="S327" s="1" t="s">
        <v>34218</v>
      </c>
    </row>
    <row r="328" spans="1:19" x14ac:dyDescent="0.25">
      <c r="A328">
        <v>101410734</v>
      </c>
      <c r="B328" t="s">
        <v>1204</v>
      </c>
      <c r="C328" t="s">
        <v>1205</v>
      </c>
      <c r="F328" t="str">
        <f>"8318181870"</f>
        <v>8318181870</v>
      </c>
      <c r="G328" t="s">
        <v>1206</v>
      </c>
      <c r="H328" t="s">
        <v>1207</v>
      </c>
      <c r="I328" t="s">
        <v>22</v>
      </c>
      <c r="J328">
        <v>95067</v>
      </c>
      <c r="K328">
        <v>6616</v>
      </c>
      <c r="L328" t="s">
        <v>23</v>
      </c>
      <c r="M328" t="s">
        <v>1206</v>
      </c>
      <c r="N328" t="s">
        <v>1207</v>
      </c>
      <c r="O328" t="s">
        <v>22</v>
      </c>
      <c r="P328">
        <v>95067</v>
      </c>
      <c r="Q328">
        <v>6616</v>
      </c>
      <c r="R328" t="s">
        <v>23</v>
      </c>
      <c r="S328" s="1" t="s">
        <v>34218</v>
      </c>
    </row>
    <row r="329" spans="1:19" x14ac:dyDescent="0.25">
      <c r="A329">
        <v>101415099</v>
      </c>
      <c r="B329" t="s">
        <v>281</v>
      </c>
      <c r="C329" t="s">
        <v>1208</v>
      </c>
      <c r="F329" t="str">
        <f>"7064838474"</f>
        <v>7064838474</v>
      </c>
      <c r="G329" t="s">
        <v>1209</v>
      </c>
      <c r="H329" t="s">
        <v>1210</v>
      </c>
      <c r="I329" t="s">
        <v>28</v>
      </c>
      <c r="J329">
        <v>30720</v>
      </c>
      <c r="K329">
        <v>8777</v>
      </c>
      <c r="L329" t="s">
        <v>23</v>
      </c>
      <c r="M329" t="s">
        <v>1209</v>
      </c>
      <c r="N329" t="s">
        <v>1210</v>
      </c>
      <c r="O329" t="s">
        <v>28</v>
      </c>
      <c r="P329">
        <v>30720</v>
      </c>
      <c r="Q329">
        <v>8777</v>
      </c>
      <c r="R329" t="s">
        <v>23</v>
      </c>
      <c r="S329" s="1" t="s">
        <v>34218</v>
      </c>
    </row>
    <row r="330" spans="1:19" x14ac:dyDescent="0.25">
      <c r="A330">
        <v>100594374</v>
      </c>
      <c r="B330" t="s">
        <v>1211</v>
      </c>
      <c r="C330" t="s">
        <v>1212</v>
      </c>
      <c r="F330" t="str">
        <f>"4103537328"</f>
        <v>4103537328</v>
      </c>
      <c r="G330" t="s">
        <v>1213</v>
      </c>
      <c r="H330" t="s">
        <v>1214</v>
      </c>
      <c r="I330" t="s">
        <v>140</v>
      </c>
      <c r="J330">
        <v>48312</v>
      </c>
      <c r="K330">
        <v>6433</v>
      </c>
      <c r="L330" t="s">
        <v>23</v>
      </c>
      <c r="M330" t="s">
        <v>1213</v>
      </c>
      <c r="N330" t="s">
        <v>1214</v>
      </c>
      <c r="O330" t="s">
        <v>140</v>
      </c>
      <c r="P330">
        <v>48312</v>
      </c>
      <c r="Q330">
        <v>6433</v>
      </c>
      <c r="R330" t="s">
        <v>23</v>
      </c>
      <c r="S330" s="1" t="s">
        <v>34218</v>
      </c>
    </row>
    <row r="331" spans="1:19" x14ac:dyDescent="0.25">
      <c r="A331">
        <v>100854140</v>
      </c>
      <c r="B331" t="s">
        <v>1215</v>
      </c>
      <c r="C331" t="s">
        <v>252</v>
      </c>
      <c r="F331" t="str">
        <f>"8017792550"</f>
        <v>8017792550</v>
      </c>
      <c r="G331" t="s">
        <v>1216</v>
      </c>
      <c r="H331" t="s">
        <v>1217</v>
      </c>
      <c r="I331" t="s">
        <v>332</v>
      </c>
      <c r="J331">
        <v>84401</v>
      </c>
      <c r="K331">
        <v>6957</v>
      </c>
      <c r="L331" t="s">
        <v>23</v>
      </c>
      <c r="M331" t="s">
        <v>1216</v>
      </c>
      <c r="N331" t="s">
        <v>1217</v>
      </c>
      <c r="O331" t="s">
        <v>332</v>
      </c>
      <c r="P331">
        <v>84401</v>
      </c>
      <c r="Q331">
        <v>6957</v>
      </c>
      <c r="R331" t="s">
        <v>23</v>
      </c>
      <c r="S331" s="1" t="s">
        <v>34218</v>
      </c>
    </row>
    <row r="332" spans="1:19" x14ac:dyDescent="0.25">
      <c r="A332">
        <v>100555504</v>
      </c>
      <c r="B332" t="s">
        <v>1164</v>
      </c>
      <c r="C332" t="s">
        <v>1218</v>
      </c>
      <c r="F332" t="str">
        <f>"6095567226"</f>
        <v>6095567226</v>
      </c>
      <c r="G332" t="s">
        <v>1219</v>
      </c>
      <c r="H332" t="s">
        <v>1220</v>
      </c>
      <c r="I332" t="s">
        <v>250</v>
      </c>
      <c r="J332" t="s">
        <v>1221</v>
      </c>
      <c r="K332">
        <v>3251</v>
      </c>
      <c r="L332" t="s">
        <v>23</v>
      </c>
      <c r="M332" t="s">
        <v>1219</v>
      </c>
      <c r="N332" t="s">
        <v>1220</v>
      </c>
      <c r="O332" t="s">
        <v>250</v>
      </c>
      <c r="P332" t="s">
        <v>1221</v>
      </c>
      <c r="Q332">
        <v>3251</v>
      </c>
      <c r="R332" t="s">
        <v>23</v>
      </c>
      <c r="S332" s="1" t="s">
        <v>34218</v>
      </c>
    </row>
    <row r="333" spans="1:19" x14ac:dyDescent="0.25">
      <c r="A333">
        <v>101251137</v>
      </c>
      <c r="B333" t="s">
        <v>1222</v>
      </c>
      <c r="C333" t="s">
        <v>1223</v>
      </c>
      <c r="F333" t="str">
        <f>"6017981860"</f>
        <v>6017981860</v>
      </c>
      <c r="G333" t="s">
        <v>1224</v>
      </c>
      <c r="H333" t="s">
        <v>1225</v>
      </c>
      <c r="I333" t="s">
        <v>1226</v>
      </c>
      <c r="J333">
        <v>39466</v>
      </c>
      <c r="K333">
        <v>2525</v>
      </c>
      <c r="L333" t="s">
        <v>23</v>
      </c>
      <c r="M333" t="s">
        <v>1224</v>
      </c>
      <c r="N333" t="s">
        <v>1225</v>
      </c>
      <c r="O333" t="s">
        <v>1226</v>
      </c>
      <c r="P333">
        <v>39466</v>
      </c>
      <c r="Q333">
        <v>2525</v>
      </c>
      <c r="R333" t="s">
        <v>23</v>
      </c>
      <c r="S333" s="1" t="s">
        <v>34218</v>
      </c>
    </row>
    <row r="334" spans="1:19" x14ac:dyDescent="0.25">
      <c r="A334">
        <v>101264989</v>
      </c>
      <c r="B334" t="s">
        <v>1227</v>
      </c>
      <c r="C334" t="s">
        <v>1050</v>
      </c>
      <c r="F334" t="str">
        <f>"5125785448"</f>
        <v>5125785448</v>
      </c>
      <c r="G334" t="s">
        <v>1228</v>
      </c>
      <c r="H334" t="s">
        <v>1229</v>
      </c>
      <c r="I334" t="s">
        <v>38</v>
      </c>
      <c r="J334">
        <v>78213</v>
      </c>
      <c r="K334">
        <v>1221</v>
      </c>
      <c r="L334" t="s">
        <v>23</v>
      </c>
      <c r="M334" t="s">
        <v>1228</v>
      </c>
      <c r="N334" t="s">
        <v>1229</v>
      </c>
      <c r="O334" t="s">
        <v>38</v>
      </c>
      <c r="P334">
        <v>78213</v>
      </c>
      <c r="Q334">
        <v>1221</v>
      </c>
      <c r="R334" t="s">
        <v>23</v>
      </c>
      <c r="S334" s="1" t="s">
        <v>34218</v>
      </c>
    </row>
    <row r="335" spans="1:19" x14ac:dyDescent="0.25">
      <c r="A335">
        <v>100559661</v>
      </c>
      <c r="B335" t="s">
        <v>1230</v>
      </c>
      <c r="C335" t="s">
        <v>1231</v>
      </c>
      <c r="F335" t="str">
        <f>"9284766492"</f>
        <v>9284766492</v>
      </c>
      <c r="G335" t="s">
        <v>1232</v>
      </c>
      <c r="H335" t="s">
        <v>1233</v>
      </c>
      <c r="I335" t="s">
        <v>365</v>
      </c>
      <c r="J335">
        <v>85541</v>
      </c>
      <c r="K335">
        <v>4243</v>
      </c>
      <c r="L335" t="s">
        <v>23</v>
      </c>
      <c r="M335" t="s">
        <v>1232</v>
      </c>
      <c r="N335" t="s">
        <v>1233</v>
      </c>
      <c r="O335" t="s">
        <v>365</v>
      </c>
      <c r="P335">
        <v>85541</v>
      </c>
      <c r="Q335">
        <v>4243</v>
      </c>
      <c r="R335" t="s">
        <v>23</v>
      </c>
      <c r="S335" s="1" t="s">
        <v>34218</v>
      </c>
    </row>
    <row r="336" spans="1:19" x14ac:dyDescent="0.25">
      <c r="A336">
        <v>101313691</v>
      </c>
      <c r="B336" t="s">
        <v>1234</v>
      </c>
      <c r="C336" t="s">
        <v>1235</v>
      </c>
      <c r="F336" t="str">
        <f>"3106510338"</f>
        <v>3106510338</v>
      </c>
      <c r="G336" t="s">
        <v>1236</v>
      </c>
      <c r="H336" t="s">
        <v>299</v>
      </c>
      <c r="I336" t="s">
        <v>22</v>
      </c>
      <c r="J336" t="s">
        <v>1237</v>
      </c>
      <c r="K336">
        <v>2020</v>
      </c>
      <c r="L336" t="s">
        <v>23</v>
      </c>
      <c r="M336" t="s">
        <v>1236</v>
      </c>
      <c r="N336" t="s">
        <v>299</v>
      </c>
      <c r="O336" t="s">
        <v>22</v>
      </c>
      <c r="P336" t="s">
        <v>1237</v>
      </c>
      <c r="Q336">
        <v>2020</v>
      </c>
      <c r="R336" t="s">
        <v>23</v>
      </c>
      <c r="S336" s="1" t="s">
        <v>34218</v>
      </c>
    </row>
    <row r="337" spans="1:19" x14ac:dyDescent="0.25">
      <c r="A337">
        <v>100876072</v>
      </c>
      <c r="B337" t="s">
        <v>1238</v>
      </c>
      <c r="C337" t="s">
        <v>1239</v>
      </c>
      <c r="F337" t="str">
        <f>"3314727113"</f>
        <v>3314727113</v>
      </c>
      <c r="G337" t="s">
        <v>1240</v>
      </c>
      <c r="H337" t="s">
        <v>130</v>
      </c>
      <c r="I337" t="s">
        <v>22</v>
      </c>
      <c r="J337">
        <v>94115</v>
      </c>
      <c r="K337">
        <v>2518</v>
      </c>
      <c r="L337" t="s">
        <v>23</v>
      </c>
      <c r="M337" t="s">
        <v>1240</v>
      </c>
      <c r="N337" t="s">
        <v>130</v>
      </c>
      <c r="O337" t="s">
        <v>22</v>
      </c>
      <c r="P337">
        <v>94115</v>
      </c>
      <c r="Q337">
        <v>2518</v>
      </c>
      <c r="R337" t="s">
        <v>23</v>
      </c>
      <c r="S337" s="1" t="s">
        <v>34218</v>
      </c>
    </row>
    <row r="338" spans="1:19" x14ac:dyDescent="0.25">
      <c r="A338">
        <v>101104791</v>
      </c>
      <c r="B338" t="s">
        <v>1241</v>
      </c>
      <c r="C338" t="s">
        <v>1242</v>
      </c>
      <c r="F338" t="str">
        <f>"8438611271"</f>
        <v>8438611271</v>
      </c>
      <c r="G338" t="s">
        <v>1243</v>
      </c>
      <c r="H338" t="s">
        <v>299</v>
      </c>
      <c r="I338" t="s">
        <v>22</v>
      </c>
      <c r="J338">
        <v>90027</v>
      </c>
      <c r="K338">
        <v>5711</v>
      </c>
      <c r="L338" t="s">
        <v>23</v>
      </c>
      <c r="M338" t="s">
        <v>1243</v>
      </c>
      <c r="N338" t="s">
        <v>299</v>
      </c>
      <c r="O338" t="s">
        <v>22</v>
      </c>
      <c r="P338">
        <v>90027</v>
      </c>
      <c r="Q338">
        <v>5711</v>
      </c>
      <c r="R338" t="s">
        <v>23</v>
      </c>
      <c r="S338" s="1" t="s">
        <v>34218</v>
      </c>
    </row>
    <row r="339" spans="1:19" x14ac:dyDescent="0.25">
      <c r="A339">
        <v>101413511</v>
      </c>
      <c r="B339" t="s">
        <v>1244</v>
      </c>
      <c r="C339" t="s">
        <v>49</v>
      </c>
      <c r="F339" t="str">
        <f>"5866040353"</f>
        <v>5866040353</v>
      </c>
      <c r="G339" t="s">
        <v>1245</v>
      </c>
      <c r="H339" t="s">
        <v>1246</v>
      </c>
      <c r="I339" t="s">
        <v>140</v>
      </c>
      <c r="J339">
        <v>49507</v>
      </c>
      <c r="K339">
        <v>3060</v>
      </c>
      <c r="L339" t="s">
        <v>23</v>
      </c>
      <c r="M339" t="s">
        <v>1245</v>
      </c>
      <c r="N339" t="s">
        <v>1246</v>
      </c>
      <c r="O339" t="s">
        <v>140</v>
      </c>
      <c r="P339">
        <v>49507</v>
      </c>
      <c r="Q339">
        <v>3060</v>
      </c>
      <c r="R339" t="s">
        <v>23</v>
      </c>
      <c r="S339" s="1" t="s">
        <v>34218</v>
      </c>
    </row>
    <row r="340" spans="1:19" x14ac:dyDescent="0.25">
      <c r="A340">
        <v>100798886</v>
      </c>
      <c r="B340" t="s">
        <v>1247</v>
      </c>
      <c r="C340" t="s">
        <v>1248</v>
      </c>
      <c r="F340" t="str">
        <f>"3526204708"</f>
        <v>3526204708</v>
      </c>
      <c r="G340" t="s">
        <v>1249</v>
      </c>
      <c r="H340" t="s">
        <v>1250</v>
      </c>
      <c r="I340" t="s">
        <v>52</v>
      </c>
      <c r="J340">
        <v>34480</v>
      </c>
      <c r="K340">
        <v>8122</v>
      </c>
      <c r="L340" t="s">
        <v>23</v>
      </c>
      <c r="M340" t="s">
        <v>1249</v>
      </c>
      <c r="N340" t="s">
        <v>1250</v>
      </c>
      <c r="O340" t="s">
        <v>52</v>
      </c>
      <c r="P340">
        <v>34480</v>
      </c>
      <c r="Q340">
        <v>8122</v>
      </c>
      <c r="R340" t="s">
        <v>23</v>
      </c>
      <c r="S340" s="1" t="s">
        <v>34218</v>
      </c>
    </row>
    <row r="341" spans="1:19" x14ac:dyDescent="0.25">
      <c r="A341">
        <v>100770657</v>
      </c>
      <c r="B341" t="s">
        <v>1251</v>
      </c>
      <c r="C341" t="s">
        <v>1252</v>
      </c>
      <c r="F341" t="str">
        <f>"7723619405"</f>
        <v>7723619405</v>
      </c>
      <c r="G341" t="s">
        <v>1253</v>
      </c>
      <c r="H341" t="s">
        <v>1254</v>
      </c>
      <c r="I341" t="s">
        <v>52</v>
      </c>
      <c r="J341">
        <v>33460</v>
      </c>
      <c r="K341">
        <v>3810</v>
      </c>
      <c r="L341" t="s">
        <v>23</v>
      </c>
      <c r="M341" t="s">
        <v>1253</v>
      </c>
      <c r="N341" t="s">
        <v>1254</v>
      </c>
      <c r="O341" t="s">
        <v>52</v>
      </c>
      <c r="P341">
        <v>33460</v>
      </c>
      <c r="Q341">
        <v>3810</v>
      </c>
      <c r="R341" t="s">
        <v>23</v>
      </c>
      <c r="S341" s="1" t="s">
        <v>34218</v>
      </c>
    </row>
    <row r="342" spans="1:19" x14ac:dyDescent="0.25">
      <c r="A342">
        <v>100677231</v>
      </c>
      <c r="B342" t="s">
        <v>1255</v>
      </c>
      <c r="C342" t="s">
        <v>644</v>
      </c>
      <c r="F342" t="str">
        <f>"9259845185"</f>
        <v>9259845185</v>
      </c>
      <c r="G342" t="s">
        <v>1256</v>
      </c>
      <c r="H342" t="s">
        <v>1257</v>
      </c>
      <c r="I342" t="s">
        <v>365</v>
      </c>
      <c r="J342">
        <v>85248</v>
      </c>
      <c r="K342">
        <v>6626</v>
      </c>
      <c r="L342" t="s">
        <v>23</v>
      </c>
      <c r="M342" t="s">
        <v>1256</v>
      </c>
      <c r="N342" t="s">
        <v>1257</v>
      </c>
      <c r="O342" t="s">
        <v>365</v>
      </c>
      <c r="P342">
        <v>85248</v>
      </c>
      <c r="Q342">
        <v>6626</v>
      </c>
      <c r="R342" t="s">
        <v>23</v>
      </c>
      <c r="S342" s="1" t="s">
        <v>34218</v>
      </c>
    </row>
    <row r="343" spans="1:19" x14ac:dyDescent="0.25">
      <c r="A343">
        <v>100983867</v>
      </c>
      <c r="B343" t="s">
        <v>1258</v>
      </c>
      <c r="C343" t="s">
        <v>1259</v>
      </c>
      <c r="F343" t="str">
        <f>"5555555555"</f>
        <v>5555555555</v>
      </c>
      <c r="G343" t="s">
        <v>1260</v>
      </c>
      <c r="H343" t="s">
        <v>1261</v>
      </c>
      <c r="I343" t="s">
        <v>22</v>
      </c>
      <c r="J343">
        <v>95503</v>
      </c>
      <c r="K343">
        <v>5402</v>
      </c>
      <c r="L343" t="s">
        <v>23</v>
      </c>
      <c r="M343" t="s">
        <v>1260</v>
      </c>
      <c r="N343" t="s">
        <v>1261</v>
      </c>
      <c r="O343" t="s">
        <v>22</v>
      </c>
      <c r="P343">
        <v>95503</v>
      </c>
      <c r="Q343">
        <v>5402</v>
      </c>
      <c r="R343" t="s">
        <v>23</v>
      </c>
      <c r="S343" s="1" t="s">
        <v>34218</v>
      </c>
    </row>
    <row r="344" spans="1:19" x14ac:dyDescent="0.25">
      <c r="A344">
        <v>101101229</v>
      </c>
      <c r="B344" t="s">
        <v>1262</v>
      </c>
      <c r="C344" t="s">
        <v>172</v>
      </c>
      <c r="F344" t="str">
        <f>"5406360767"</f>
        <v>5406360767</v>
      </c>
      <c r="G344" t="s">
        <v>1263</v>
      </c>
      <c r="H344" t="s">
        <v>1264</v>
      </c>
      <c r="I344" t="s">
        <v>255</v>
      </c>
      <c r="J344">
        <v>22630</v>
      </c>
      <c r="K344">
        <v>3109</v>
      </c>
      <c r="L344" t="s">
        <v>23</v>
      </c>
      <c r="M344" t="s">
        <v>1263</v>
      </c>
      <c r="N344" t="s">
        <v>1264</v>
      </c>
      <c r="O344" t="s">
        <v>255</v>
      </c>
      <c r="P344">
        <v>22630</v>
      </c>
      <c r="Q344">
        <v>3109</v>
      </c>
      <c r="R344" t="s">
        <v>23</v>
      </c>
      <c r="S344" s="1" t="s">
        <v>34218</v>
      </c>
    </row>
    <row r="345" spans="1:19" x14ac:dyDescent="0.25">
      <c r="A345">
        <v>101121248</v>
      </c>
      <c r="B345" t="s">
        <v>1265</v>
      </c>
      <c r="C345" t="s">
        <v>102</v>
      </c>
      <c r="F345" t="str">
        <f>"7346658083"</f>
        <v>7346658083</v>
      </c>
      <c r="G345" t="s">
        <v>1266</v>
      </c>
      <c r="H345" t="s">
        <v>976</v>
      </c>
      <c r="I345" t="s">
        <v>140</v>
      </c>
      <c r="J345">
        <v>48103</v>
      </c>
      <c r="K345">
        <v>9337</v>
      </c>
      <c r="L345" t="s">
        <v>23</v>
      </c>
      <c r="M345" t="s">
        <v>1266</v>
      </c>
      <c r="N345" t="s">
        <v>976</v>
      </c>
      <c r="O345" t="s">
        <v>140</v>
      </c>
      <c r="P345">
        <v>48103</v>
      </c>
      <c r="Q345">
        <v>9337</v>
      </c>
      <c r="R345" t="s">
        <v>23</v>
      </c>
      <c r="S345" s="1" t="s">
        <v>34218</v>
      </c>
    </row>
    <row r="346" spans="1:19" x14ac:dyDescent="0.25">
      <c r="A346">
        <v>101351562</v>
      </c>
      <c r="B346" t="s">
        <v>1267</v>
      </c>
      <c r="C346" t="s">
        <v>1268</v>
      </c>
      <c r="F346" t="str">
        <f>"8179951067"</f>
        <v>8179951067</v>
      </c>
      <c r="G346" t="s">
        <v>1269</v>
      </c>
      <c r="H346" t="s">
        <v>1270</v>
      </c>
      <c r="I346" t="s">
        <v>126</v>
      </c>
      <c r="J346">
        <v>64444</v>
      </c>
      <c r="K346">
        <v>9025</v>
      </c>
      <c r="L346" t="s">
        <v>23</v>
      </c>
      <c r="M346" t="s">
        <v>1269</v>
      </c>
      <c r="N346" t="s">
        <v>1270</v>
      </c>
      <c r="O346" t="s">
        <v>126</v>
      </c>
      <c r="P346">
        <v>64444</v>
      </c>
      <c r="Q346">
        <v>9025</v>
      </c>
      <c r="R346" t="s">
        <v>23</v>
      </c>
      <c r="S346" s="1" t="s">
        <v>34218</v>
      </c>
    </row>
    <row r="347" spans="1:19" x14ac:dyDescent="0.25">
      <c r="A347">
        <v>101364201</v>
      </c>
      <c r="B347" t="s">
        <v>1271</v>
      </c>
      <c r="C347" t="s">
        <v>123</v>
      </c>
      <c r="F347" t="str">
        <f>"3865854162"</f>
        <v>3865854162</v>
      </c>
      <c r="G347" t="s">
        <v>1272</v>
      </c>
      <c r="H347" t="s">
        <v>1273</v>
      </c>
      <c r="I347" t="s">
        <v>52</v>
      </c>
      <c r="J347">
        <v>32164</v>
      </c>
      <c r="K347">
        <v>7915</v>
      </c>
      <c r="L347" t="s">
        <v>23</v>
      </c>
      <c r="M347" t="s">
        <v>1272</v>
      </c>
      <c r="N347" t="s">
        <v>1273</v>
      </c>
      <c r="O347" t="s">
        <v>52</v>
      </c>
      <c r="P347">
        <v>32164</v>
      </c>
      <c r="Q347">
        <v>7915</v>
      </c>
      <c r="R347" t="s">
        <v>23</v>
      </c>
      <c r="S347" s="1" t="s">
        <v>34218</v>
      </c>
    </row>
    <row r="348" spans="1:19" x14ac:dyDescent="0.25">
      <c r="A348">
        <v>101112900</v>
      </c>
      <c r="B348" t="s">
        <v>1274</v>
      </c>
      <c r="C348" t="s">
        <v>1179</v>
      </c>
      <c r="F348" t="str">
        <f>"9842340550"</f>
        <v>9842340550</v>
      </c>
      <c r="G348" t="s">
        <v>1275</v>
      </c>
      <c r="H348" t="s">
        <v>1276</v>
      </c>
      <c r="I348" t="s">
        <v>446</v>
      </c>
      <c r="J348">
        <v>27516</v>
      </c>
      <c r="K348">
        <v>3708</v>
      </c>
      <c r="L348" t="s">
        <v>23</v>
      </c>
      <c r="M348" t="s">
        <v>1275</v>
      </c>
      <c r="N348" t="s">
        <v>1276</v>
      </c>
      <c r="O348" t="s">
        <v>446</v>
      </c>
      <c r="P348">
        <v>27516</v>
      </c>
      <c r="Q348">
        <v>3708</v>
      </c>
      <c r="R348" t="s">
        <v>23</v>
      </c>
      <c r="S348" s="1" t="s">
        <v>34218</v>
      </c>
    </row>
    <row r="349" spans="1:19" x14ac:dyDescent="0.25">
      <c r="A349">
        <v>101301109</v>
      </c>
      <c r="B349" t="s">
        <v>1277</v>
      </c>
      <c r="C349" t="s">
        <v>1278</v>
      </c>
      <c r="F349" t="str">
        <f>"8319201581"</f>
        <v>8319201581</v>
      </c>
      <c r="G349" t="s">
        <v>1279</v>
      </c>
      <c r="H349" t="s">
        <v>1280</v>
      </c>
      <c r="I349" t="s">
        <v>22</v>
      </c>
      <c r="J349">
        <v>93950</v>
      </c>
      <c r="K349">
        <v>2450</v>
      </c>
      <c r="L349" t="s">
        <v>23</v>
      </c>
      <c r="M349" t="s">
        <v>1279</v>
      </c>
      <c r="N349" t="s">
        <v>1280</v>
      </c>
      <c r="O349" t="s">
        <v>22</v>
      </c>
      <c r="P349">
        <v>93950</v>
      </c>
      <c r="Q349">
        <v>2450</v>
      </c>
      <c r="R349" t="s">
        <v>23</v>
      </c>
      <c r="S349" s="1" t="s">
        <v>34218</v>
      </c>
    </row>
    <row r="350" spans="1:19" x14ac:dyDescent="0.25">
      <c r="A350">
        <v>101297208</v>
      </c>
      <c r="B350" t="s">
        <v>1281</v>
      </c>
      <c r="C350" t="s">
        <v>1027</v>
      </c>
      <c r="F350" t="str">
        <f>"8452251111"</f>
        <v>8452251111</v>
      </c>
      <c r="G350" t="s">
        <v>1282</v>
      </c>
      <c r="H350" t="s">
        <v>1283</v>
      </c>
      <c r="I350" t="s">
        <v>117</v>
      </c>
      <c r="J350">
        <v>10512</v>
      </c>
      <c r="K350">
        <v>3050</v>
      </c>
      <c r="L350" t="s">
        <v>23</v>
      </c>
      <c r="M350" t="s">
        <v>1282</v>
      </c>
      <c r="N350" t="s">
        <v>1283</v>
      </c>
      <c r="O350" t="s">
        <v>117</v>
      </c>
      <c r="P350">
        <v>10512</v>
      </c>
      <c r="Q350">
        <v>3050</v>
      </c>
      <c r="R350" t="s">
        <v>23</v>
      </c>
      <c r="S350" s="1" t="s">
        <v>34218</v>
      </c>
    </row>
    <row r="351" spans="1:19" x14ac:dyDescent="0.25">
      <c r="A351">
        <v>100937946</v>
      </c>
      <c r="B351" t="s">
        <v>1284</v>
      </c>
      <c r="C351" t="s">
        <v>1285</v>
      </c>
      <c r="F351" t="str">
        <f>"3473745988"</f>
        <v>3473745988</v>
      </c>
      <c r="G351" t="s">
        <v>1286</v>
      </c>
      <c r="H351" t="s">
        <v>1287</v>
      </c>
      <c r="I351" t="s">
        <v>117</v>
      </c>
      <c r="J351">
        <v>11377</v>
      </c>
      <c r="K351">
        <v>7324</v>
      </c>
      <c r="L351" t="s">
        <v>23</v>
      </c>
      <c r="M351" t="s">
        <v>1286</v>
      </c>
      <c r="N351" t="s">
        <v>1287</v>
      </c>
      <c r="O351" t="s">
        <v>117</v>
      </c>
      <c r="P351">
        <v>11377</v>
      </c>
      <c r="Q351">
        <v>7324</v>
      </c>
      <c r="R351" t="s">
        <v>23</v>
      </c>
      <c r="S351" s="1" t="s">
        <v>34218</v>
      </c>
    </row>
    <row r="352" spans="1:19" x14ac:dyDescent="0.25">
      <c r="A352">
        <v>101395870</v>
      </c>
      <c r="B352" t="s">
        <v>1288</v>
      </c>
      <c r="C352" t="s">
        <v>290</v>
      </c>
      <c r="F352" t="str">
        <f>"5746334583"</f>
        <v>5746334583</v>
      </c>
      <c r="G352" t="s">
        <v>1289</v>
      </c>
      <c r="H352" t="s">
        <v>1290</v>
      </c>
      <c r="I352" t="s">
        <v>57</v>
      </c>
      <c r="J352">
        <v>46573</v>
      </c>
      <c r="K352">
        <v>9407</v>
      </c>
      <c r="L352" t="s">
        <v>23</v>
      </c>
      <c r="M352" t="s">
        <v>1289</v>
      </c>
      <c r="N352" t="s">
        <v>1290</v>
      </c>
      <c r="O352" t="s">
        <v>57</v>
      </c>
      <c r="P352">
        <v>46573</v>
      </c>
      <c r="Q352">
        <v>9407</v>
      </c>
      <c r="R352" t="s">
        <v>23</v>
      </c>
      <c r="S352" s="1" t="s">
        <v>34218</v>
      </c>
    </row>
    <row r="353" spans="1:19" x14ac:dyDescent="0.25">
      <c r="A353">
        <v>101081907</v>
      </c>
      <c r="B353" t="s">
        <v>1291</v>
      </c>
      <c r="C353" t="s">
        <v>209</v>
      </c>
      <c r="F353" t="str">
        <f>"8314583602"</f>
        <v>8314583602</v>
      </c>
      <c r="G353" t="s">
        <v>1292</v>
      </c>
      <c r="H353" t="s">
        <v>1293</v>
      </c>
      <c r="I353" t="s">
        <v>22</v>
      </c>
      <c r="J353">
        <v>95060</v>
      </c>
      <c r="K353">
        <v>2244</v>
      </c>
      <c r="L353" t="s">
        <v>23</v>
      </c>
      <c r="M353" t="s">
        <v>1292</v>
      </c>
      <c r="N353" t="s">
        <v>1293</v>
      </c>
      <c r="O353" t="s">
        <v>22</v>
      </c>
      <c r="P353">
        <v>95060</v>
      </c>
      <c r="Q353">
        <v>2244</v>
      </c>
      <c r="R353" t="s">
        <v>23</v>
      </c>
      <c r="S353" s="1" t="s">
        <v>34218</v>
      </c>
    </row>
    <row r="354" spans="1:19" x14ac:dyDescent="0.25">
      <c r="A354">
        <v>101086341</v>
      </c>
      <c r="B354" t="s">
        <v>1294</v>
      </c>
      <c r="C354" t="s">
        <v>1295</v>
      </c>
      <c r="F354" t="str">
        <f>"5028028350"</f>
        <v>5028028350</v>
      </c>
      <c r="G354" t="s">
        <v>1296</v>
      </c>
      <c r="H354" t="s">
        <v>1096</v>
      </c>
      <c r="I354" t="s">
        <v>1097</v>
      </c>
      <c r="J354">
        <v>40207</v>
      </c>
      <c r="K354">
        <v>3829</v>
      </c>
      <c r="L354" t="s">
        <v>23</v>
      </c>
      <c r="M354" t="s">
        <v>1296</v>
      </c>
      <c r="N354" t="s">
        <v>1096</v>
      </c>
      <c r="O354" t="s">
        <v>1097</v>
      </c>
      <c r="P354">
        <v>40207</v>
      </c>
      <c r="Q354">
        <v>3829</v>
      </c>
      <c r="R354" t="s">
        <v>23</v>
      </c>
      <c r="S354" s="1" t="s">
        <v>34218</v>
      </c>
    </row>
    <row r="355" spans="1:19" x14ac:dyDescent="0.25">
      <c r="A355">
        <v>101097308</v>
      </c>
      <c r="B355" t="s">
        <v>1297</v>
      </c>
      <c r="C355" t="s">
        <v>1298</v>
      </c>
      <c r="F355" t="str">
        <f>"8567847297"</f>
        <v>8567847297</v>
      </c>
      <c r="G355" t="s">
        <v>1299</v>
      </c>
      <c r="H355" t="s">
        <v>1300</v>
      </c>
      <c r="I355" t="s">
        <v>250</v>
      </c>
      <c r="J355">
        <v>8083</v>
      </c>
      <c r="K355">
        <v>1704</v>
      </c>
      <c r="L355" t="s">
        <v>23</v>
      </c>
      <c r="M355" t="s">
        <v>1299</v>
      </c>
      <c r="N355" t="s">
        <v>1300</v>
      </c>
      <c r="O355" t="s">
        <v>250</v>
      </c>
      <c r="P355">
        <v>8083</v>
      </c>
      <c r="Q355">
        <v>1704</v>
      </c>
      <c r="R355" t="s">
        <v>23</v>
      </c>
      <c r="S355" s="1" t="s">
        <v>34218</v>
      </c>
    </row>
    <row r="356" spans="1:19" x14ac:dyDescent="0.25">
      <c r="A356">
        <v>101306947</v>
      </c>
      <c r="B356" t="s">
        <v>744</v>
      </c>
      <c r="C356" t="s">
        <v>1301</v>
      </c>
      <c r="F356" t="str">
        <f>"5105251584"</f>
        <v>5105251584</v>
      </c>
      <c r="G356" t="s">
        <v>1302</v>
      </c>
      <c r="H356" t="s">
        <v>66</v>
      </c>
      <c r="I356" t="s">
        <v>22</v>
      </c>
      <c r="J356">
        <v>94708</v>
      </c>
      <c r="K356">
        <v>1628</v>
      </c>
      <c r="L356" t="s">
        <v>23</v>
      </c>
      <c r="M356" t="s">
        <v>1302</v>
      </c>
      <c r="N356" t="s">
        <v>66</v>
      </c>
      <c r="O356" t="s">
        <v>22</v>
      </c>
      <c r="P356">
        <v>94708</v>
      </c>
      <c r="Q356">
        <v>1628</v>
      </c>
      <c r="R356" t="s">
        <v>23</v>
      </c>
      <c r="S356" s="1" t="s">
        <v>34218</v>
      </c>
    </row>
    <row r="357" spans="1:19" x14ac:dyDescent="0.25">
      <c r="A357">
        <v>101315482</v>
      </c>
      <c r="B357" t="s">
        <v>1303</v>
      </c>
      <c r="C357" t="s">
        <v>668</v>
      </c>
      <c r="F357" t="str">
        <f>"9287681423"</f>
        <v>9287681423</v>
      </c>
      <c r="G357" t="s">
        <v>1304</v>
      </c>
      <c r="H357" t="s">
        <v>1305</v>
      </c>
      <c r="I357" t="s">
        <v>365</v>
      </c>
      <c r="J357">
        <v>86426</v>
      </c>
      <c r="K357">
        <v>6107</v>
      </c>
      <c r="L357" t="s">
        <v>23</v>
      </c>
      <c r="M357" t="s">
        <v>1304</v>
      </c>
      <c r="N357" t="s">
        <v>1305</v>
      </c>
      <c r="O357" t="s">
        <v>365</v>
      </c>
      <c r="P357">
        <v>86426</v>
      </c>
      <c r="Q357">
        <v>6107</v>
      </c>
      <c r="R357" t="s">
        <v>23</v>
      </c>
      <c r="S357" s="1" t="s">
        <v>34218</v>
      </c>
    </row>
    <row r="358" spans="1:19" x14ac:dyDescent="0.25">
      <c r="A358">
        <v>101312642</v>
      </c>
      <c r="B358" t="s">
        <v>744</v>
      </c>
      <c r="C358" t="s">
        <v>1306</v>
      </c>
      <c r="F358" t="str">
        <f>"6077275842"</f>
        <v>6077275842</v>
      </c>
      <c r="G358" t="s">
        <v>1307</v>
      </c>
      <c r="H358" t="s">
        <v>1308</v>
      </c>
      <c r="I358" t="s">
        <v>117</v>
      </c>
      <c r="J358">
        <v>13905</v>
      </c>
      <c r="K358">
        <v>4514</v>
      </c>
      <c r="L358" t="s">
        <v>23</v>
      </c>
      <c r="M358" t="s">
        <v>1307</v>
      </c>
      <c r="N358" t="s">
        <v>1308</v>
      </c>
      <c r="O358" t="s">
        <v>117</v>
      </c>
      <c r="P358">
        <v>13905</v>
      </c>
      <c r="Q358">
        <v>4514</v>
      </c>
      <c r="R358" t="s">
        <v>23</v>
      </c>
      <c r="S358" s="1" t="s">
        <v>34218</v>
      </c>
    </row>
    <row r="359" spans="1:19" x14ac:dyDescent="0.25">
      <c r="A359">
        <v>101336070</v>
      </c>
      <c r="B359" t="s">
        <v>465</v>
      </c>
      <c r="C359" t="s">
        <v>1309</v>
      </c>
      <c r="F359" t="str">
        <f>"6603621201"</f>
        <v>6603621201</v>
      </c>
      <c r="G359" t="s">
        <v>1310</v>
      </c>
      <c r="H359" t="s">
        <v>1311</v>
      </c>
      <c r="I359" t="s">
        <v>126</v>
      </c>
      <c r="J359">
        <v>64093</v>
      </c>
      <c r="K359">
        <v>7403</v>
      </c>
      <c r="L359" t="s">
        <v>23</v>
      </c>
      <c r="M359" t="s">
        <v>1310</v>
      </c>
      <c r="N359" t="s">
        <v>1311</v>
      </c>
      <c r="O359" t="s">
        <v>126</v>
      </c>
      <c r="P359">
        <v>64093</v>
      </c>
      <c r="Q359">
        <v>7403</v>
      </c>
      <c r="R359" t="s">
        <v>23</v>
      </c>
      <c r="S359" s="1" t="s">
        <v>34218</v>
      </c>
    </row>
    <row r="360" spans="1:19" x14ac:dyDescent="0.25">
      <c r="A360">
        <v>101206472</v>
      </c>
      <c r="B360" t="s">
        <v>727</v>
      </c>
      <c r="C360" t="s">
        <v>172</v>
      </c>
      <c r="F360" t="str">
        <f>"5052551128"</f>
        <v>5052551128</v>
      </c>
      <c r="G360" t="s">
        <v>1312</v>
      </c>
      <c r="H360" t="s">
        <v>638</v>
      </c>
      <c r="I360" t="s">
        <v>639</v>
      </c>
      <c r="J360">
        <v>87107</v>
      </c>
      <c r="K360">
        <v>1530</v>
      </c>
      <c r="L360" t="s">
        <v>23</v>
      </c>
      <c r="M360" t="s">
        <v>1312</v>
      </c>
      <c r="N360" t="s">
        <v>638</v>
      </c>
      <c r="O360" t="s">
        <v>639</v>
      </c>
      <c r="P360">
        <v>87107</v>
      </c>
      <c r="Q360">
        <v>1530</v>
      </c>
      <c r="R360" t="s">
        <v>23</v>
      </c>
      <c r="S360" s="1" t="s">
        <v>34218</v>
      </c>
    </row>
    <row r="361" spans="1:19" x14ac:dyDescent="0.25">
      <c r="A361">
        <v>101278204</v>
      </c>
      <c r="B361" t="s">
        <v>1313</v>
      </c>
      <c r="C361" t="s">
        <v>403</v>
      </c>
      <c r="F361" t="str">
        <f>"6108678282"</f>
        <v>6108678282</v>
      </c>
      <c r="G361" t="s">
        <v>1314</v>
      </c>
      <c r="H361" t="s">
        <v>1315</v>
      </c>
      <c r="I361" t="s">
        <v>33</v>
      </c>
      <c r="J361">
        <v>18018</v>
      </c>
      <c r="K361">
        <v>5511</v>
      </c>
      <c r="L361" t="s">
        <v>23</v>
      </c>
      <c r="M361" t="s">
        <v>1314</v>
      </c>
      <c r="N361" t="s">
        <v>1315</v>
      </c>
      <c r="O361" t="s">
        <v>33</v>
      </c>
      <c r="P361">
        <v>18018</v>
      </c>
      <c r="Q361">
        <v>5511</v>
      </c>
      <c r="R361" t="s">
        <v>23</v>
      </c>
      <c r="S361" s="1" t="s">
        <v>34218</v>
      </c>
    </row>
    <row r="362" spans="1:19" x14ac:dyDescent="0.25">
      <c r="A362">
        <v>101237214</v>
      </c>
      <c r="B362" t="s">
        <v>1316</v>
      </c>
      <c r="C362" t="s">
        <v>68</v>
      </c>
      <c r="F362" t="str">
        <f>"9252392402"</f>
        <v>9252392402</v>
      </c>
      <c r="G362" t="s">
        <v>1317</v>
      </c>
      <c r="H362" t="s">
        <v>1318</v>
      </c>
      <c r="I362" t="s">
        <v>22</v>
      </c>
      <c r="J362">
        <v>94595</v>
      </c>
      <c r="K362">
        <v>3012</v>
      </c>
      <c r="L362" t="s">
        <v>23</v>
      </c>
      <c r="M362" t="s">
        <v>1317</v>
      </c>
      <c r="N362" t="s">
        <v>1318</v>
      </c>
      <c r="O362" t="s">
        <v>22</v>
      </c>
      <c r="P362">
        <v>94595</v>
      </c>
      <c r="Q362">
        <v>3012</v>
      </c>
      <c r="R362" t="s">
        <v>23</v>
      </c>
      <c r="S362" s="1" t="s">
        <v>34218</v>
      </c>
    </row>
    <row r="363" spans="1:19" x14ac:dyDescent="0.25">
      <c r="A363">
        <v>101246459</v>
      </c>
      <c r="B363" t="s">
        <v>1319</v>
      </c>
      <c r="C363" t="s">
        <v>522</v>
      </c>
      <c r="F363" t="str">
        <f>"9193879588"</f>
        <v>9193879588</v>
      </c>
      <c r="G363" t="s">
        <v>1320</v>
      </c>
      <c r="H363" t="s">
        <v>1321</v>
      </c>
      <c r="I363" t="s">
        <v>446</v>
      </c>
      <c r="J363">
        <v>27502</v>
      </c>
      <c r="K363">
        <v>2250</v>
      </c>
      <c r="L363" t="s">
        <v>23</v>
      </c>
      <c r="M363" t="s">
        <v>1320</v>
      </c>
      <c r="N363" t="s">
        <v>1321</v>
      </c>
      <c r="O363" t="s">
        <v>446</v>
      </c>
      <c r="P363">
        <v>27502</v>
      </c>
      <c r="Q363">
        <v>2250</v>
      </c>
      <c r="R363" t="s">
        <v>23</v>
      </c>
      <c r="S363" s="1" t="s">
        <v>34218</v>
      </c>
    </row>
    <row r="364" spans="1:19" x14ac:dyDescent="0.25">
      <c r="A364">
        <v>100731452</v>
      </c>
      <c r="B364" t="s">
        <v>1322</v>
      </c>
      <c r="C364" t="s">
        <v>1323</v>
      </c>
      <c r="F364" t="str">
        <f>"3153958646"</f>
        <v>3153958646</v>
      </c>
      <c r="G364" t="s">
        <v>1324</v>
      </c>
      <c r="H364" t="s">
        <v>1325</v>
      </c>
      <c r="I364" t="s">
        <v>22</v>
      </c>
      <c r="J364">
        <v>94301</v>
      </c>
      <c r="K364">
        <v>4055</v>
      </c>
      <c r="L364" t="s">
        <v>23</v>
      </c>
      <c r="M364" t="s">
        <v>1324</v>
      </c>
      <c r="N364" t="s">
        <v>1325</v>
      </c>
      <c r="O364" t="s">
        <v>22</v>
      </c>
      <c r="P364">
        <v>94301</v>
      </c>
      <c r="Q364">
        <v>4055</v>
      </c>
      <c r="R364" t="s">
        <v>23</v>
      </c>
      <c r="S364" s="1" t="s">
        <v>34218</v>
      </c>
    </row>
    <row r="365" spans="1:19" x14ac:dyDescent="0.25">
      <c r="A365">
        <v>101168321</v>
      </c>
      <c r="B365" t="s">
        <v>1326</v>
      </c>
      <c r="C365" t="s">
        <v>1327</v>
      </c>
      <c r="F365" t="str">
        <f>"9496077015"</f>
        <v>9496077015</v>
      </c>
      <c r="G365" t="s">
        <v>1328</v>
      </c>
      <c r="H365" t="s">
        <v>434</v>
      </c>
      <c r="I365" t="s">
        <v>22</v>
      </c>
      <c r="J365" t="s">
        <v>1329</v>
      </c>
      <c r="K365">
        <v>1870</v>
      </c>
      <c r="L365" t="s">
        <v>23</v>
      </c>
      <c r="M365" t="s">
        <v>1328</v>
      </c>
      <c r="N365" t="s">
        <v>434</v>
      </c>
      <c r="O365" t="s">
        <v>22</v>
      </c>
      <c r="P365" t="s">
        <v>1329</v>
      </c>
      <c r="Q365">
        <v>1870</v>
      </c>
      <c r="R365" t="s">
        <v>23</v>
      </c>
      <c r="S365" s="1" t="s">
        <v>34218</v>
      </c>
    </row>
    <row r="366" spans="1:19" x14ac:dyDescent="0.25">
      <c r="A366">
        <v>101265580</v>
      </c>
      <c r="B366" t="s">
        <v>1330</v>
      </c>
      <c r="C366" t="s">
        <v>1331</v>
      </c>
      <c r="F366" t="str">
        <f>"8283284745"</f>
        <v>8283284745</v>
      </c>
      <c r="G366" t="s">
        <v>1332</v>
      </c>
      <c r="H366" t="s">
        <v>1333</v>
      </c>
      <c r="I366" t="s">
        <v>446</v>
      </c>
      <c r="J366" t="s">
        <v>1334</v>
      </c>
      <c r="K366">
        <v>5244</v>
      </c>
      <c r="L366" t="s">
        <v>23</v>
      </c>
      <c r="M366" t="s">
        <v>1332</v>
      </c>
      <c r="N366" t="s">
        <v>1333</v>
      </c>
      <c r="O366" t="s">
        <v>446</v>
      </c>
      <c r="P366" t="s">
        <v>1334</v>
      </c>
      <c r="Q366">
        <v>5244</v>
      </c>
      <c r="R366" t="s">
        <v>23</v>
      </c>
      <c r="S366" s="1" t="s">
        <v>34218</v>
      </c>
    </row>
    <row r="367" spans="1:19" x14ac:dyDescent="0.25">
      <c r="A367">
        <v>101242423</v>
      </c>
      <c r="B367" t="s">
        <v>1335</v>
      </c>
      <c r="C367" t="s">
        <v>252</v>
      </c>
      <c r="F367" t="str">
        <f>"7195430803"</f>
        <v>7195430803</v>
      </c>
      <c r="G367" t="s">
        <v>1336</v>
      </c>
      <c r="H367" t="s">
        <v>1337</v>
      </c>
      <c r="I367" t="s">
        <v>71</v>
      </c>
      <c r="J367" t="s">
        <v>1338</v>
      </c>
      <c r="K367">
        <v>4030</v>
      </c>
      <c r="L367" t="s">
        <v>23</v>
      </c>
      <c r="M367" t="s">
        <v>1336</v>
      </c>
      <c r="N367" t="s">
        <v>1337</v>
      </c>
      <c r="O367" t="s">
        <v>71</v>
      </c>
      <c r="P367" t="s">
        <v>1338</v>
      </c>
      <c r="Q367">
        <v>4030</v>
      </c>
      <c r="R367" t="s">
        <v>23</v>
      </c>
      <c r="S367" s="1" t="s">
        <v>34218</v>
      </c>
    </row>
    <row r="368" spans="1:19" x14ac:dyDescent="0.25">
      <c r="A368">
        <v>100885519</v>
      </c>
      <c r="B368" t="s">
        <v>1339</v>
      </c>
      <c r="C368" t="s">
        <v>440</v>
      </c>
      <c r="F368" t="str">
        <f>"5038050620"</f>
        <v>5038050620</v>
      </c>
      <c r="G368" t="s">
        <v>1340</v>
      </c>
      <c r="H368" t="s">
        <v>1151</v>
      </c>
      <c r="I368" t="s">
        <v>43</v>
      </c>
      <c r="J368">
        <v>97030</v>
      </c>
      <c r="K368">
        <v>5500</v>
      </c>
      <c r="L368" t="s">
        <v>23</v>
      </c>
      <c r="M368" t="s">
        <v>1340</v>
      </c>
      <c r="N368" t="s">
        <v>1151</v>
      </c>
      <c r="O368" t="s">
        <v>43</v>
      </c>
      <c r="P368">
        <v>97030</v>
      </c>
      <c r="Q368">
        <v>5500</v>
      </c>
      <c r="R368" t="s">
        <v>23</v>
      </c>
      <c r="S368" s="1" t="s">
        <v>34218</v>
      </c>
    </row>
    <row r="369" spans="1:19" x14ac:dyDescent="0.25">
      <c r="A369">
        <v>100961857</v>
      </c>
      <c r="B369" t="s">
        <v>1341</v>
      </c>
      <c r="C369" t="s">
        <v>1342</v>
      </c>
      <c r="F369" t="str">
        <f>"8087144420"</f>
        <v>8087144420</v>
      </c>
      <c r="G369" t="s">
        <v>1343</v>
      </c>
      <c r="H369" t="s">
        <v>1344</v>
      </c>
      <c r="I369" t="s">
        <v>984</v>
      </c>
      <c r="J369">
        <v>96778</v>
      </c>
      <c r="K369">
        <v>2201</v>
      </c>
      <c r="L369" t="s">
        <v>23</v>
      </c>
      <c r="M369" t="s">
        <v>1343</v>
      </c>
      <c r="N369" t="s">
        <v>1344</v>
      </c>
      <c r="O369" t="s">
        <v>984</v>
      </c>
      <c r="P369">
        <v>96778</v>
      </c>
      <c r="Q369">
        <v>2201</v>
      </c>
      <c r="R369" t="s">
        <v>23</v>
      </c>
      <c r="S369" s="1" t="s">
        <v>34218</v>
      </c>
    </row>
    <row r="370" spans="1:19" x14ac:dyDescent="0.25">
      <c r="A370">
        <v>101078933</v>
      </c>
      <c r="B370" t="s">
        <v>1345</v>
      </c>
      <c r="C370" t="s">
        <v>1346</v>
      </c>
      <c r="F370" t="str">
        <f>"5027972922"</f>
        <v>5027972922</v>
      </c>
      <c r="G370" t="s">
        <v>1347</v>
      </c>
      <c r="H370" t="s">
        <v>1096</v>
      </c>
      <c r="I370" t="s">
        <v>1097</v>
      </c>
      <c r="J370" t="s">
        <v>1348</v>
      </c>
      <c r="K370">
        <v>1645</v>
      </c>
      <c r="L370" t="s">
        <v>23</v>
      </c>
      <c r="M370" t="s">
        <v>1347</v>
      </c>
      <c r="N370" t="s">
        <v>1096</v>
      </c>
      <c r="O370" t="s">
        <v>1097</v>
      </c>
      <c r="P370" t="s">
        <v>1348</v>
      </c>
      <c r="Q370">
        <v>1645</v>
      </c>
      <c r="R370" t="s">
        <v>23</v>
      </c>
      <c r="S370" s="1" t="s">
        <v>34218</v>
      </c>
    </row>
    <row r="371" spans="1:19" x14ac:dyDescent="0.25">
      <c r="A371">
        <v>101057562</v>
      </c>
      <c r="B371" t="s">
        <v>1349</v>
      </c>
      <c r="C371" t="s">
        <v>1350</v>
      </c>
      <c r="F371" t="str">
        <f>"7607077140"</f>
        <v>7607077140</v>
      </c>
      <c r="G371" t="s">
        <v>1351</v>
      </c>
      <c r="H371" t="s">
        <v>1352</v>
      </c>
      <c r="I371" t="s">
        <v>22</v>
      </c>
      <c r="J371">
        <v>92009</v>
      </c>
      <c r="K371">
        <v>2916</v>
      </c>
      <c r="L371" t="s">
        <v>23</v>
      </c>
      <c r="M371" t="s">
        <v>1351</v>
      </c>
      <c r="N371" t="s">
        <v>1352</v>
      </c>
      <c r="O371" t="s">
        <v>22</v>
      </c>
      <c r="P371">
        <v>92009</v>
      </c>
      <c r="Q371">
        <v>2916</v>
      </c>
      <c r="R371" t="s">
        <v>23</v>
      </c>
      <c r="S371" s="1" t="s">
        <v>34218</v>
      </c>
    </row>
    <row r="372" spans="1:19" x14ac:dyDescent="0.25">
      <c r="A372">
        <v>101272543</v>
      </c>
      <c r="B372" t="s">
        <v>1353</v>
      </c>
      <c r="C372" t="s">
        <v>403</v>
      </c>
      <c r="F372" t="str">
        <f>"4349293885"</f>
        <v>4349293885</v>
      </c>
      <c r="G372" t="s">
        <v>1354</v>
      </c>
      <c r="H372" t="s">
        <v>1355</v>
      </c>
      <c r="I372" t="s">
        <v>255</v>
      </c>
      <c r="J372">
        <v>24574</v>
      </c>
      <c r="K372">
        <v>2122</v>
      </c>
      <c r="L372" t="s">
        <v>23</v>
      </c>
      <c r="M372" t="s">
        <v>1354</v>
      </c>
      <c r="N372" t="s">
        <v>1355</v>
      </c>
      <c r="O372" t="s">
        <v>255</v>
      </c>
      <c r="P372">
        <v>24574</v>
      </c>
      <c r="Q372">
        <v>2122</v>
      </c>
      <c r="R372" t="s">
        <v>23</v>
      </c>
      <c r="S372" s="1" t="s">
        <v>34218</v>
      </c>
    </row>
    <row r="373" spans="1:19" x14ac:dyDescent="0.25">
      <c r="A373">
        <v>100994809</v>
      </c>
      <c r="B373" t="s">
        <v>1356</v>
      </c>
      <c r="C373" t="s">
        <v>25</v>
      </c>
      <c r="F373" t="str">
        <f>"6513981514"</f>
        <v>6513981514</v>
      </c>
      <c r="G373" t="s">
        <v>1357</v>
      </c>
      <c r="H373" t="s">
        <v>1358</v>
      </c>
      <c r="I373" t="s">
        <v>100</v>
      </c>
      <c r="J373">
        <v>54022</v>
      </c>
      <c r="K373">
        <v>2778</v>
      </c>
      <c r="L373" t="s">
        <v>23</v>
      </c>
      <c r="M373" t="s">
        <v>1357</v>
      </c>
      <c r="N373" t="s">
        <v>1358</v>
      </c>
      <c r="O373" t="s">
        <v>100</v>
      </c>
      <c r="P373">
        <v>54022</v>
      </c>
      <c r="Q373">
        <v>2778</v>
      </c>
      <c r="R373" t="s">
        <v>23</v>
      </c>
      <c r="S373" s="1" t="s">
        <v>34218</v>
      </c>
    </row>
    <row r="374" spans="1:19" x14ac:dyDescent="0.25">
      <c r="A374">
        <v>101012913</v>
      </c>
      <c r="B374" t="s">
        <v>1359</v>
      </c>
      <c r="C374" t="s">
        <v>535</v>
      </c>
      <c r="F374" t="str">
        <f>"8479616678"</f>
        <v>8479616678</v>
      </c>
      <c r="G374" t="s">
        <v>1360</v>
      </c>
      <c r="H374" t="s">
        <v>1361</v>
      </c>
      <c r="I374" t="s">
        <v>135</v>
      </c>
      <c r="J374">
        <v>60142</v>
      </c>
      <c r="K374">
        <v>7670</v>
      </c>
      <c r="L374" t="s">
        <v>23</v>
      </c>
      <c r="M374" t="s">
        <v>1360</v>
      </c>
      <c r="N374" t="s">
        <v>1361</v>
      </c>
      <c r="O374" t="s">
        <v>135</v>
      </c>
      <c r="P374">
        <v>60142</v>
      </c>
      <c r="Q374">
        <v>7670</v>
      </c>
      <c r="R374" t="s">
        <v>23</v>
      </c>
      <c r="S374" s="1" t="s">
        <v>34218</v>
      </c>
    </row>
    <row r="375" spans="1:19" x14ac:dyDescent="0.25">
      <c r="A375">
        <v>101211963</v>
      </c>
      <c r="B375" t="s">
        <v>1362</v>
      </c>
      <c r="C375" t="s">
        <v>1363</v>
      </c>
      <c r="F375" t="str">
        <f>"8313333333"</f>
        <v>8313333333</v>
      </c>
      <c r="G375" t="s">
        <v>1364</v>
      </c>
      <c r="H375" t="s">
        <v>556</v>
      </c>
      <c r="I375" t="s">
        <v>22</v>
      </c>
      <c r="J375">
        <v>95018</v>
      </c>
      <c r="K375">
        <v>9094</v>
      </c>
      <c r="L375" t="s">
        <v>23</v>
      </c>
      <c r="M375" t="s">
        <v>1364</v>
      </c>
      <c r="N375" t="s">
        <v>556</v>
      </c>
      <c r="O375" t="s">
        <v>22</v>
      </c>
      <c r="P375">
        <v>95018</v>
      </c>
      <c r="Q375">
        <v>9094</v>
      </c>
      <c r="R375" t="s">
        <v>23</v>
      </c>
      <c r="S375" s="1" t="s">
        <v>34218</v>
      </c>
    </row>
    <row r="376" spans="1:19" x14ac:dyDescent="0.25">
      <c r="A376">
        <v>101042638</v>
      </c>
      <c r="B376" t="s">
        <v>1365</v>
      </c>
      <c r="C376" t="s">
        <v>208</v>
      </c>
      <c r="F376" t="str">
        <f>"4403170222"</f>
        <v>4403170222</v>
      </c>
      <c r="G376" t="s">
        <v>1366</v>
      </c>
      <c r="H376" t="s">
        <v>1367</v>
      </c>
      <c r="I376" t="s">
        <v>178</v>
      </c>
      <c r="J376">
        <v>44146</v>
      </c>
      <c r="K376">
        <v>2153</v>
      </c>
      <c r="L376" t="s">
        <v>23</v>
      </c>
      <c r="M376" t="s">
        <v>1366</v>
      </c>
      <c r="N376" t="s">
        <v>1367</v>
      </c>
      <c r="O376" t="s">
        <v>178</v>
      </c>
      <c r="P376">
        <v>44146</v>
      </c>
      <c r="Q376">
        <v>2153</v>
      </c>
      <c r="R376" t="s">
        <v>23</v>
      </c>
      <c r="S376" s="1" t="s">
        <v>34218</v>
      </c>
    </row>
    <row r="377" spans="1:19" x14ac:dyDescent="0.25">
      <c r="A377">
        <v>101256743</v>
      </c>
      <c r="B377" t="s">
        <v>1368</v>
      </c>
      <c r="C377" t="s">
        <v>575</v>
      </c>
      <c r="F377" t="str">
        <f>"5555555555"</f>
        <v>5555555555</v>
      </c>
      <c r="G377" t="s">
        <v>1369</v>
      </c>
      <c r="H377" t="s">
        <v>1086</v>
      </c>
      <c r="I377" t="s">
        <v>446</v>
      </c>
      <c r="J377">
        <v>28269</v>
      </c>
      <c r="K377">
        <v>2124</v>
      </c>
      <c r="L377" t="s">
        <v>23</v>
      </c>
      <c r="M377" t="s">
        <v>1369</v>
      </c>
      <c r="N377" t="s">
        <v>1086</v>
      </c>
      <c r="O377" t="s">
        <v>446</v>
      </c>
      <c r="P377">
        <v>28269</v>
      </c>
      <c r="Q377">
        <v>2124</v>
      </c>
      <c r="R377" t="s">
        <v>23</v>
      </c>
      <c r="S377" s="1" t="s">
        <v>34218</v>
      </c>
    </row>
    <row r="378" spans="1:19" x14ac:dyDescent="0.25">
      <c r="A378">
        <v>101199944</v>
      </c>
      <c r="B378" t="s">
        <v>1370</v>
      </c>
      <c r="C378" t="s">
        <v>110</v>
      </c>
      <c r="F378" t="str">
        <f>"7048969629"</f>
        <v>7048969629</v>
      </c>
      <c r="G378" t="s">
        <v>1371</v>
      </c>
      <c r="H378" t="s">
        <v>1372</v>
      </c>
      <c r="I378" t="s">
        <v>446</v>
      </c>
      <c r="J378">
        <v>28031</v>
      </c>
      <c r="L378" t="s">
        <v>23</v>
      </c>
      <c r="M378" t="s">
        <v>1371</v>
      </c>
      <c r="N378" t="s">
        <v>1372</v>
      </c>
      <c r="O378" t="s">
        <v>446</v>
      </c>
      <c r="P378">
        <v>28031</v>
      </c>
      <c r="R378" t="s">
        <v>23</v>
      </c>
      <c r="S378" s="1" t="s">
        <v>34218</v>
      </c>
    </row>
    <row r="379" spans="1:19" x14ac:dyDescent="0.25">
      <c r="A379">
        <v>101130889</v>
      </c>
      <c r="B379" t="s">
        <v>1373</v>
      </c>
      <c r="C379" t="s">
        <v>1374</v>
      </c>
      <c r="F379" t="str">
        <f>"5123010838"</f>
        <v>5123010838</v>
      </c>
      <c r="G379" t="s">
        <v>1375</v>
      </c>
      <c r="H379" t="s">
        <v>37</v>
      </c>
      <c r="I379" t="s">
        <v>38</v>
      </c>
      <c r="J379">
        <v>78737</v>
      </c>
      <c r="K379">
        <v>8618</v>
      </c>
      <c r="L379" t="s">
        <v>23</v>
      </c>
      <c r="M379" t="s">
        <v>1375</v>
      </c>
      <c r="N379" t="s">
        <v>37</v>
      </c>
      <c r="O379" t="s">
        <v>38</v>
      </c>
      <c r="P379">
        <v>78737</v>
      </c>
      <c r="Q379">
        <v>8618</v>
      </c>
      <c r="R379" t="s">
        <v>23</v>
      </c>
      <c r="S379" s="1" t="s">
        <v>34218</v>
      </c>
    </row>
    <row r="380" spans="1:19" x14ac:dyDescent="0.25">
      <c r="A380">
        <v>101131592</v>
      </c>
      <c r="B380" t="s">
        <v>1376</v>
      </c>
      <c r="C380" t="s">
        <v>1377</v>
      </c>
      <c r="F380" t="str">
        <f>"2563152003"</f>
        <v>2563152003</v>
      </c>
      <c r="G380" t="s">
        <v>1378</v>
      </c>
      <c r="H380" t="s">
        <v>1250</v>
      </c>
      <c r="I380" t="s">
        <v>52</v>
      </c>
      <c r="J380">
        <v>34476</v>
      </c>
      <c r="K380">
        <v>4000</v>
      </c>
      <c r="L380" t="s">
        <v>23</v>
      </c>
      <c r="M380" t="s">
        <v>1378</v>
      </c>
      <c r="N380" t="s">
        <v>1250</v>
      </c>
      <c r="O380" t="s">
        <v>52</v>
      </c>
      <c r="P380">
        <v>34476</v>
      </c>
      <c r="Q380">
        <v>4000</v>
      </c>
      <c r="R380" t="s">
        <v>23</v>
      </c>
      <c r="S380" s="1" t="s">
        <v>34218</v>
      </c>
    </row>
    <row r="381" spans="1:19" x14ac:dyDescent="0.25">
      <c r="A381">
        <v>101386291</v>
      </c>
      <c r="B381" t="s">
        <v>1379</v>
      </c>
      <c r="C381" t="s">
        <v>128</v>
      </c>
      <c r="F381" t="str">
        <f>"9108758308"</f>
        <v>9108758308</v>
      </c>
      <c r="G381" t="s">
        <v>1380</v>
      </c>
      <c r="H381" t="s">
        <v>1381</v>
      </c>
      <c r="I381" t="s">
        <v>446</v>
      </c>
      <c r="J381">
        <v>28377</v>
      </c>
      <c r="K381">
        <v>8665</v>
      </c>
      <c r="L381" t="s">
        <v>23</v>
      </c>
      <c r="M381" t="s">
        <v>1380</v>
      </c>
      <c r="N381" t="s">
        <v>1381</v>
      </c>
      <c r="O381" t="s">
        <v>446</v>
      </c>
      <c r="P381">
        <v>28377</v>
      </c>
      <c r="Q381">
        <v>8665</v>
      </c>
      <c r="R381" t="s">
        <v>23</v>
      </c>
      <c r="S381" s="1" t="s">
        <v>34218</v>
      </c>
    </row>
    <row r="382" spans="1:19" x14ac:dyDescent="0.25">
      <c r="A382">
        <v>101405389</v>
      </c>
      <c r="B382" t="s">
        <v>144</v>
      </c>
      <c r="C382" t="s">
        <v>1382</v>
      </c>
      <c r="F382" t="str">
        <f>"7168745609"</f>
        <v>7168745609</v>
      </c>
      <c r="G382" t="s">
        <v>1383</v>
      </c>
      <c r="H382" t="s">
        <v>202</v>
      </c>
      <c r="I382" t="s">
        <v>117</v>
      </c>
      <c r="J382">
        <v>14223</v>
      </c>
      <c r="K382">
        <v>1207</v>
      </c>
      <c r="L382" t="s">
        <v>23</v>
      </c>
      <c r="M382" t="s">
        <v>1383</v>
      </c>
      <c r="N382" t="s">
        <v>202</v>
      </c>
      <c r="O382" t="s">
        <v>117</v>
      </c>
      <c r="P382">
        <v>14223</v>
      </c>
      <c r="Q382">
        <v>1207</v>
      </c>
      <c r="R382" t="s">
        <v>23</v>
      </c>
      <c r="S382" s="1" t="s">
        <v>34218</v>
      </c>
    </row>
    <row r="383" spans="1:19" x14ac:dyDescent="0.25">
      <c r="A383">
        <v>101405349</v>
      </c>
      <c r="B383" t="s">
        <v>216</v>
      </c>
      <c r="C383" t="s">
        <v>1384</v>
      </c>
      <c r="F383" t="str">
        <f>"2055340249"</f>
        <v>2055340249</v>
      </c>
      <c r="G383" t="s">
        <v>1385</v>
      </c>
      <c r="H383" t="s">
        <v>1386</v>
      </c>
      <c r="I383" t="s">
        <v>1387</v>
      </c>
      <c r="J383">
        <v>35404</v>
      </c>
      <c r="K383">
        <v>5199</v>
      </c>
      <c r="L383" t="s">
        <v>23</v>
      </c>
      <c r="M383" t="s">
        <v>1385</v>
      </c>
      <c r="N383" t="s">
        <v>1386</v>
      </c>
      <c r="O383" t="s">
        <v>1387</v>
      </c>
      <c r="P383">
        <v>35404</v>
      </c>
      <c r="Q383">
        <v>5199</v>
      </c>
      <c r="R383" t="s">
        <v>23</v>
      </c>
      <c r="S383" s="1" t="s">
        <v>34218</v>
      </c>
    </row>
    <row r="384" spans="1:19" x14ac:dyDescent="0.25">
      <c r="A384">
        <v>101405437</v>
      </c>
      <c r="B384" t="s">
        <v>1388</v>
      </c>
      <c r="C384" t="s">
        <v>158</v>
      </c>
      <c r="F384" t="str">
        <f>"6182341218"</f>
        <v>6182341218</v>
      </c>
      <c r="G384" t="s">
        <v>1389</v>
      </c>
      <c r="H384" t="s">
        <v>1390</v>
      </c>
      <c r="I384" t="s">
        <v>135</v>
      </c>
      <c r="J384">
        <v>62226</v>
      </c>
      <c r="K384">
        <v>6335</v>
      </c>
      <c r="L384" t="s">
        <v>23</v>
      </c>
      <c r="M384" t="s">
        <v>1389</v>
      </c>
      <c r="N384" t="s">
        <v>1390</v>
      </c>
      <c r="O384" t="s">
        <v>135</v>
      </c>
      <c r="P384">
        <v>62226</v>
      </c>
      <c r="Q384">
        <v>6335</v>
      </c>
      <c r="R384" t="s">
        <v>23</v>
      </c>
      <c r="S384" s="1" t="s">
        <v>34218</v>
      </c>
    </row>
    <row r="385" spans="1:19" x14ac:dyDescent="0.25">
      <c r="A385">
        <v>101160904</v>
      </c>
      <c r="B385" t="s">
        <v>1391</v>
      </c>
      <c r="C385" t="s">
        <v>193</v>
      </c>
      <c r="F385" t="str">
        <f>"7072577435"</f>
        <v>7072577435</v>
      </c>
      <c r="G385" t="s">
        <v>1392</v>
      </c>
      <c r="H385" t="s">
        <v>75</v>
      </c>
      <c r="I385" t="s">
        <v>22</v>
      </c>
      <c r="J385">
        <v>94559</v>
      </c>
      <c r="K385">
        <v>3920</v>
      </c>
      <c r="L385" t="s">
        <v>23</v>
      </c>
      <c r="M385" t="s">
        <v>1392</v>
      </c>
      <c r="N385" t="s">
        <v>75</v>
      </c>
      <c r="O385" t="s">
        <v>22</v>
      </c>
      <c r="P385">
        <v>94559</v>
      </c>
      <c r="Q385">
        <v>3920</v>
      </c>
      <c r="R385" t="s">
        <v>23</v>
      </c>
      <c r="S385" s="1" t="s">
        <v>34218</v>
      </c>
    </row>
    <row r="386" spans="1:19" x14ac:dyDescent="0.25">
      <c r="A386">
        <v>101333188</v>
      </c>
      <c r="B386" t="s">
        <v>1393</v>
      </c>
      <c r="C386" t="s">
        <v>1394</v>
      </c>
      <c r="F386" t="str">
        <f>"3059781965"</f>
        <v>3059781965</v>
      </c>
      <c r="G386" t="s">
        <v>1395</v>
      </c>
      <c r="H386" t="s">
        <v>1396</v>
      </c>
      <c r="I386" t="s">
        <v>22</v>
      </c>
      <c r="J386">
        <v>95602</v>
      </c>
      <c r="K386">
        <v>9505</v>
      </c>
      <c r="L386" t="s">
        <v>23</v>
      </c>
      <c r="M386" t="s">
        <v>1395</v>
      </c>
      <c r="N386" t="s">
        <v>1396</v>
      </c>
      <c r="O386" t="s">
        <v>22</v>
      </c>
      <c r="P386">
        <v>95602</v>
      </c>
      <c r="Q386">
        <v>9505</v>
      </c>
      <c r="R386" t="s">
        <v>23</v>
      </c>
      <c r="S386" s="1" t="s">
        <v>34218</v>
      </c>
    </row>
    <row r="387" spans="1:19" x14ac:dyDescent="0.25">
      <c r="A387">
        <v>101342406</v>
      </c>
      <c r="B387" t="s">
        <v>1397</v>
      </c>
      <c r="C387" t="s">
        <v>1398</v>
      </c>
      <c r="F387" t="str">
        <f>"6613322807"</f>
        <v>6613322807</v>
      </c>
      <c r="G387" t="s">
        <v>1399</v>
      </c>
      <c r="H387" t="s">
        <v>1400</v>
      </c>
      <c r="I387" t="s">
        <v>22</v>
      </c>
      <c r="J387">
        <v>93309</v>
      </c>
      <c r="K387">
        <v>9315</v>
      </c>
      <c r="L387" t="s">
        <v>23</v>
      </c>
      <c r="M387" t="s">
        <v>1399</v>
      </c>
      <c r="N387" t="s">
        <v>1400</v>
      </c>
      <c r="O387" t="s">
        <v>22</v>
      </c>
      <c r="P387">
        <v>93309</v>
      </c>
      <c r="Q387">
        <v>9315</v>
      </c>
      <c r="R387" t="s">
        <v>23</v>
      </c>
      <c r="S387" s="1" t="s">
        <v>34218</v>
      </c>
    </row>
    <row r="388" spans="1:19" x14ac:dyDescent="0.25">
      <c r="A388">
        <v>101217860</v>
      </c>
      <c r="B388" t="s">
        <v>29</v>
      </c>
      <c r="C388" t="s">
        <v>102</v>
      </c>
      <c r="F388" t="str">
        <f>"7137762418"</f>
        <v>7137762418</v>
      </c>
      <c r="G388" t="s">
        <v>1401</v>
      </c>
      <c r="H388" t="s">
        <v>1402</v>
      </c>
      <c r="I388" t="s">
        <v>38</v>
      </c>
      <c r="J388">
        <v>77074</v>
      </c>
      <c r="K388">
        <v>2705</v>
      </c>
      <c r="L388" t="s">
        <v>23</v>
      </c>
      <c r="M388" t="s">
        <v>1401</v>
      </c>
      <c r="N388" t="s">
        <v>1402</v>
      </c>
      <c r="O388" t="s">
        <v>38</v>
      </c>
      <c r="P388">
        <v>77074</v>
      </c>
      <c r="Q388">
        <v>2705</v>
      </c>
      <c r="R388" t="s">
        <v>23</v>
      </c>
      <c r="S388" s="1" t="s">
        <v>34218</v>
      </c>
    </row>
    <row r="389" spans="1:19" x14ac:dyDescent="0.25">
      <c r="A389">
        <v>101228204</v>
      </c>
      <c r="B389" t="s">
        <v>1403</v>
      </c>
      <c r="C389" t="s">
        <v>19</v>
      </c>
      <c r="F389" t="str">
        <f>"6516659084"</f>
        <v>6516659084</v>
      </c>
      <c r="G389" t="s">
        <v>1404</v>
      </c>
      <c r="H389" t="s">
        <v>1405</v>
      </c>
      <c r="I389" t="s">
        <v>187</v>
      </c>
      <c r="J389">
        <v>55105</v>
      </c>
      <c r="K389">
        <v>2787</v>
      </c>
      <c r="L389" t="s">
        <v>23</v>
      </c>
      <c r="M389" t="s">
        <v>1404</v>
      </c>
      <c r="N389" t="s">
        <v>1405</v>
      </c>
      <c r="O389" t="s">
        <v>187</v>
      </c>
      <c r="P389">
        <v>55105</v>
      </c>
      <c r="Q389">
        <v>2787</v>
      </c>
      <c r="R389" t="s">
        <v>23</v>
      </c>
      <c r="S389" s="1" t="s">
        <v>34218</v>
      </c>
    </row>
    <row r="390" spans="1:19" x14ac:dyDescent="0.25">
      <c r="A390">
        <v>101228912</v>
      </c>
      <c r="B390" t="s">
        <v>1406</v>
      </c>
      <c r="C390" t="s">
        <v>123</v>
      </c>
      <c r="F390" t="str">
        <f>"9705760571"</f>
        <v>9705760571</v>
      </c>
      <c r="G390" t="s">
        <v>1407</v>
      </c>
      <c r="H390" t="s">
        <v>1408</v>
      </c>
      <c r="I390" t="s">
        <v>71</v>
      </c>
      <c r="J390">
        <v>80631</v>
      </c>
      <c r="K390">
        <v>8742</v>
      </c>
      <c r="L390" t="s">
        <v>23</v>
      </c>
      <c r="M390" t="s">
        <v>1407</v>
      </c>
      <c r="N390" t="s">
        <v>1408</v>
      </c>
      <c r="O390" t="s">
        <v>71</v>
      </c>
      <c r="P390">
        <v>80631</v>
      </c>
      <c r="Q390">
        <v>8742</v>
      </c>
      <c r="R390" t="s">
        <v>23</v>
      </c>
      <c r="S390" s="1" t="s">
        <v>34218</v>
      </c>
    </row>
    <row r="391" spans="1:19" x14ac:dyDescent="0.25">
      <c r="A391">
        <v>100747353</v>
      </c>
      <c r="B391" t="s">
        <v>1409</v>
      </c>
      <c r="C391" t="s">
        <v>1410</v>
      </c>
      <c r="F391" t="str">
        <f>"9546255560"</f>
        <v>9546255560</v>
      </c>
      <c r="G391" t="s">
        <v>1411</v>
      </c>
      <c r="H391" t="s">
        <v>1412</v>
      </c>
      <c r="I391" t="s">
        <v>52</v>
      </c>
      <c r="J391">
        <v>32828</v>
      </c>
      <c r="K391">
        <v>5840</v>
      </c>
      <c r="L391" t="s">
        <v>23</v>
      </c>
      <c r="M391" t="s">
        <v>1411</v>
      </c>
      <c r="N391" t="s">
        <v>1412</v>
      </c>
      <c r="O391" t="s">
        <v>52</v>
      </c>
      <c r="P391">
        <v>32828</v>
      </c>
      <c r="Q391">
        <v>5840</v>
      </c>
      <c r="R391" t="s">
        <v>23</v>
      </c>
      <c r="S391" s="1" t="s">
        <v>34218</v>
      </c>
    </row>
    <row r="392" spans="1:19" x14ac:dyDescent="0.25">
      <c r="A392">
        <v>101333157</v>
      </c>
      <c r="B392" t="s">
        <v>1413</v>
      </c>
      <c r="C392" t="s">
        <v>846</v>
      </c>
      <c r="F392" t="str">
        <f>"6032291959"</f>
        <v>6032291959</v>
      </c>
      <c r="G392" t="s">
        <v>1414</v>
      </c>
      <c r="H392" t="s">
        <v>761</v>
      </c>
      <c r="I392" t="s">
        <v>353</v>
      </c>
      <c r="J392">
        <v>3301</v>
      </c>
      <c r="K392">
        <v>4631</v>
      </c>
      <c r="L392" t="s">
        <v>23</v>
      </c>
      <c r="M392" t="s">
        <v>1414</v>
      </c>
      <c r="N392" t="s">
        <v>761</v>
      </c>
      <c r="O392" t="s">
        <v>353</v>
      </c>
      <c r="P392">
        <v>3301</v>
      </c>
      <c r="Q392">
        <v>4631</v>
      </c>
      <c r="R392" t="s">
        <v>23</v>
      </c>
      <c r="S392" s="1" t="s">
        <v>34218</v>
      </c>
    </row>
    <row r="393" spans="1:19" x14ac:dyDescent="0.25">
      <c r="A393">
        <v>101266589</v>
      </c>
      <c r="B393" t="s">
        <v>1415</v>
      </c>
      <c r="C393" t="s">
        <v>1416</v>
      </c>
      <c r="F393" t="str">
        <f>"6159445329"</f>
        <v>6159445329</v>
      </c>
      <c r="G393" t="s">
        <v>1417</v>
      </c>
      <c r="H393" t="s">
        <v>913</v>
      </c>
      <c r="I393" t="s">
        <v>914</v>
      </c>
      <c r="J393">
        <v>37215</v>
      </c>
      <c r="K393">
        <v>2907</v>
      </c>
      <c r="L393" t="s">
        <v>23</v>
      </c>
      <c r="M393" t="s">
        <v>1417</v>
      </c>
      <c r="N393" t="s">
        <v>913</v>
      </c>
      <c r="O393" t="s">
        <v>914</v>
      </c>
      <c r="P393">
        <v>37215</v>
      </c>
      <c r="Q393">
        <v>2907</v>
      </c>
      <c r="R393" t="s">
        <v>23</v>
      </c>
      <c r="S393" s="1" t="s">
        <v>34218</v>
      </c>
    </row>
    <row r="394" spans="1:19" x14ac:dyDescent="0.25">
      <c r="A394">
        <v>100626265</v>
      </c>
      <c r="B394" t="s">
        <v>1418</v>
      </c>
      <c r="C394" t="s">
        <v>1419</v>
      </c>
      <c r="F394" t="str">
        <f>"8587556667"</f>
        <v>8587556667</v>
      </c>
      <c r="G394" t="s">
        <v>1420</v>
      </c>
      <c r="H394" t="s">
        <v>1421</v>
      </c>
      <c r="I394" t="s">
        <v>22</v>
      </c>
      <c r="J394">
        <v>92014</v>
      </c>
      <c r="K394">
        <v>3745</v>
      </c>
      <c r="L394" t="s">
        <v>23</v>
      </c>
      <c r="M394" t="s">
        <v>1420</v>
      </c>
      <c r="N394" t="s">
        <v>1421</v>
      </c>
      <c r="O394" t="s">
        <v>22</v>
      </c>
      <c r="P394">
        <v>92014</v>
      </c>
      <c r="Q394">
        <v>3745</v>
      </c>
      <c r="R394" t="s">
        <v>23</v>
      </c>
      <c r="S394" s="1" t="s">
        <v>34218</v>
      </c>
    </row>
    <row r="395" spans="1:19" x14ac:dyDescent="0.25">
      <c r="A395">
        <v>100819788</v>
      </c>
      <c r="B395" t="s">
        <v>1164</v>
      </c>
      <c r="C395" t="s">
        <v>1422</v>
      </c>
      <c r="F395" t="str">
        <f>"9733742474"</f>
        <v>9733742474</v>
      </c>
      <c r="G395" t="s">
        <v>1423</v>
      </c>
      <c r="H395" t="s">
        <v>1424</v>
      </c>
      <c r="I395" t="s">
        <v>250</v>
      </c>
      <c r="J395">
        <v>7111</v>
      </c>
      <c r="K395">
        <v>2018</v>
      </c>
      <c r="L395" t="s">
        <v>23</v>
      </c>
      <c r="M395" t="s">
        <v>1423</v>
      </c>
      <c r="N395" t="s">
        <v>1424</v>
      </c>
      <c r="O395" t="s">
        <v>250</v>
      </c>
      <c r="P395">
        <v>7111</v>
      </c>
      <c r="Q395">
        <v>2018</v>
      </c>
      <c r="R395" t="s">
        <v>23</v>
      </c>
      <c r="S395" s="1" t="s">
        <v>34218</v>
      </c>
    </row>
    <row r="396" spans="1:19" x14ac:dyDescent="0.25">
      <c r="A396">
        <v>100825037</v>
      </c>
      <c r="B396" t="s">
        <v>1425</v>
      </c>
      <c r="C396" t="s">
        <v>1426</v>
      </c>
      <c r="F396" t="str">
        <f>"2123719907"</f>
        <v>2123719907</v>
      </c>
      <c r="G396" t="s">
        <v>1427</v>
      </c>
      <c r="H396" t="s">
        <v>653</v>
      </c>
      <c r="I396" t="s">
        <v>117</v>
      </c>
      <c r="J396">
        <v>10028</v>
      </c>
      <c r="K396">
        <v>60</v>
      </c>
      <c r="L396" t="s">
        <v>23</v>
      </c>
      <c r="M396" t="s">
        <v>1427</v>
      </c>
      <c r="N396" t="s">
        <v>653</v>
      </c>
      <c r="O396" t="s">
        <v>117</v>
      </c>
      <c r="P396">
        <v>10028</v>
      </c>
      <c r="Q396">
        <v>60</v>
      </c>
      <c r="R396" t="s">
        <v>23</v>
      </c>
      <c r="S396" s="1" t="s">
        <v>34218</v>
      </c>
    </row>
    <row r="397" spans="1:19" x14ac:dyDescent="0.25">
      <c r="A397">
        <v>100535716</v>
      </c>
      <c r="B397" t="s">
        <v>1428</v>
      </c>
      <c r="C397" t="s">
        <v>1429</v>
      </c>
      <c r="F397" t="str">
        <f>"5054288733"</f>
        <v>5054288733</v>
      </c>
      <c r="G397" t="s">
        <v>1430</v>
      </c>
      <c r="H397" t="s">
        <v>1431</v>
      </c>
      <c r="I397" t="s">
        <v>639</v>
      </c>
      <c r="J397">
        <v>87507</v>
      </c>
      <c r="K397">
        <v>3028</v>
      </c>
      <c r="L397" t="s">
        <v>23</v>
      </c>
      <c r="M397" t="s">
        <v>1430</v>
      </c>
      <c r="N397" t="s">
        <v>1431</v>
      </c>
      <c r="O397" t="s">
        <v>639</v>
      </c>
      <c r="P397">
        <v>87507</v>
      </c>
      <c r="Q397">
        <v>3028</v>
      </c>
      <c r="R397" t="s">
        <v>23</v>
      </c>
      <c r="S397" s="1" t="s">
        <v>34218</v>
      </c>
    </row>
    <row r="398" spans="1:19" x14ac:dyDescent="0.25">
      <c r="A398">
        <v>100727194</v>
      </c>
      <c r="B398" t="s">
        <v>1432</v>
      </c>
      <c r="C398" t="s">
        <v>217</v>
      </c>
      <c r="F398" t="str">
        <f>"7078943298"</f>
        <v>7078943298</v>
      </c>
      <c r="G398" t="s">
        <v>1433</v>
      </c>
      <c r="H398" t="s">
        <v>1434</v>
      </c>
      <c r="I398" t="s">
        <v>22</v>
      </c>
      <c r="J398">
        <v>95425</v>
      </c>
      <c r="K398">
        <v>3168</v>
      </c>
      <c r="L398" t="s">
        <v>23</v>
      </c>
      <c r="M398" t="s">
        <v>1433</v>
      </c>
      <c r="N398" t="s">
        <v>1434</v>
      </c>
      <c r="O398" t="s">
        <v>22</v>
      </c>
      <c r="P398">
        <v>95425</v>
      </c>
      <c r="Q398">
        <v>3168</v>
      </c>
      <c r="R398" t="s">
        <v>23</v>
      </c>
      <c r="S398" s="1" t="s">
        <v>34218</v>
      </c>
    </row>
    <row r="399" spans="1:19" x14ac:dyDescent="0.25">
      <c r="A399">
        <v>100914535</v>
      </c>
      <c r="B399" t="s">
        <v>1435</v>
      </c>
      <c r="C399" t="s">
        <v>199</v>
      </c>
      <c r="F399" t="str">
        <f>"5127977625"</f>
        <v>5127977625</v>
      </c>
      <c r="G399" t="s">
        <v>1436</v>
      </c>
      <c r="H399" t="s">
        <v>37</v>
      </c>
      <c r="I399" t="s">
        <v>38</v>
      </c>
      <c r="J399">
        <v>78723</v>
      </c>
      <c r="K399">
        <v>5463</v>
      </c>
      <c r="L399" t="s">
        <v>23</v>
      </c>
      <c r="M399" t="s">
        <v>1436</v>
      </c>
      <c r="N399" t="s">
        <v>37</v>
      </c>
      <c r="O399" t="s">
        <v>38</v>
      </c>
      <c r="P399">
        <v>78723</v>
      </c>
      <c r="Q399">
        <v>5463</v>
      </c>
      <c r="R399" t="s">
        <v>23</v>
      </c>
      <c r="S399" s="1" t="s">
        <v>34218</v>
      </c>
    </row>
    <row r="400" spans="1:19" x14ac:dyDescent="0.25">
      <c r="A400">
        <v>100924788</v>
      </c>
      <c r="B400" t="s">
        <v>1437</v>
      </c>
      <c r="C400" t="s">
        <v>68</v>
      </c>
      <c r="F400" t="str">
        <f>"5203257426"</f>
        <v>5203257426</v>
      </c>
      <c r="G400" t="s">
        <v>1438</v>
      </c>
      <c r="H400" t="s">
        <v>1439</v>
      </c>
      <c r="I400" t="s">
        <v>365</v>
      </c>
      <c r="J400">
        <v>85713</v>
      </c>
      <c r="K400">
        <v>2431</v>
      </c>
      <c r="L400" t="s">
        <v>23</v>
      </c>
      <c r="M400" t="s">
        <v>1438</v>
      </c>
      <c r="N400" t="s">
        <v>1439</v>
      </c>
      <c r="O400" t="s">
        <v>365</v>
      </c>
      <c r="P400">
        <v>85713</v>
      </c>
      <c r="Q400">
        <v>2431</v>
      </c>
      <c r="R400" t="s">
        <v>23</v>
      </c>
      <c r="S400" s="1" t="s">
        <v>34218</v>
      </c>
    </row>
    <row r="401" spans="1:19" x14ac:dyDescent="0.25">
      <c r="A401">
        <v>100552781</v>
      </c>
      <c r="B401" t="s">
        <v>1440</v>
      </c>
      <c r="C401" t="s">
        <v>1441</v>
      </c>
      <c r="F401" t="str">
        <f>"2243534915"</f>
        <v>2243534915</v>
      </c>
      <c r="G401" t="s">
        <v>1442</v>
      </c>
      <c r="H401" t="s">
        <v>1203</v>
      </c>
      <c r="I401" t="s">
        <v>135</v>
      </c>
      <c r="J401">
        <v>60108</v>
      </c>
      <c r="K401">
        <v>1062</v>
      </c>
      <c r="L401" t="s">
        <v>23</v>
      </c>
      <c r="M401" t="s">
        <v>1442</v>
      </c>
      <c r="N401" t="s">
        <v>1203</v>
      </c>
      <c r="O401" t="s">
        <v>135</v>
      </c>
      <c r="P401">
        <v>60108</v>
      </c>
      <c r="Q401">
        <v>1062</v>
      </c>
      <c r="R401" t="s">
        <v>23</v>
      </c>
      <c r="S401" s="1" t="s">
        <v>34218</v>
      </c>
    </row>
    <row r="402" spans="1:19" x14ac:dyDescent="0.25">
      <c r="A402">
        <v>100558089</v>
      </c>
      <c r="B402" t="s">
        <v>1443</v>
      </c>
      <c r="C402" t="s">
        <v>1444</v>
      </c>
      <c r="F402" t="str">
        <f>"3693798943"</f>
        <v>3693798943</v>
      </c>
      <c r="G402" t="s">
        <v>1445</v>
      </c>
      <c r="H402" t="s">
        <v>855</v>
      </c>
      <c r="I402" t="s">
        <v>84</v>
      </c>
      <c r="J402">
        <v>98368</v>
      </c>
      <c r="K402">
        <v>9237</v>
      </c>
      <c r="L402" t="s">
        <v>23</v>
      </c>
      <c r="M402" t="s">
        <v>1445</v>
      </c>
      <c r="N402" t="s">
        <v>855</v>
      </c>
      <c r="O402" t="s">
        <v>84</v>
      </c>
      <c r="P402">
        <v>98368</v>
      </c>
      <c r="Q402">
        <v>9237</v>
      </c>
      <c r="R402" t="s">
        <v>23</v>
      </c>
      <c r="S402" s="1" t="s">
        <v>34218</v>
      </c>
    </row>
    <row r="403" spans="1:19" x14ac:dyDescent="0.25">
      <c r="A403">
        <v>100565558</v>
      </c>
      <c r="B403" t="s">
        <v>1446</v>
      </c>
      <c r="C403" t="s">
        <v>410</v>
      </c>
      <c r="F403" t="str">
        <f>"6106493393"</f>
        <v>6106493393</v>
      </c>
      <c r="G403" t="s">
        <v>1447</v>
      </c>
      <c r="H403" t="s">
        <v>1448</v>
      </c>
      <c r="I403" t="s">
        <v>33</v>
      </c>
      <c r="J403">
        <v>19096</v>
      </c>
      <c r="K403">
        <v>2208</v>
      </c>
      <c r="L403" t="s">
        <v>23</v>
      </c>
      <c r="M403" t="s">
        <v>1447</v>
      </c>
      <c r="N403" t="s">
        <v>1448</v>
      </c>
      <c r="O403" t="s">
        <v>33</v>
      </c>
      <c r="P403">
        <v>19096</v>
      </c>
      <c r="Q403">
        <v>2208</v>
      </c>
      <c r="R403" t="s">
        <v>23</v>
      </c>
      <c r="S403" s="1" t="s">
        <v>34218</v>
      </c>
    </row>
    <row r="404" spans="1:19" x14ac:dyDescent="0.25">
      <c r="A404">
        <v>100793681</v>
      </c>
      <c r="B404" t="s">
        <v>1449</v>
      </c>
      <c r="C404" t="s">
        <v>1450</v>
      </c>
      <c r="F404" t="str">
        <f>"5414637534"</f>
        <v>5414637534</v>
      </c>
      <c r="G404" t="s">
        <v>1451</v>
      </c>
      <c r="H404" t="s">
        <v>1452</v>
      </c>
      <c r="I404" t="s">
        <v>43</v>
      </c>
      <c r="J404">
        <v>97402</v>
      </c>
      <c r="K404">
        <v>8725</v>
      </c>
      <c r="L404" t="s">
        <v>23</v>
      </c>
      <c r="M404" t="s">
        <v>1451</v>
      </c>
      <c r="N404" t="s">
        <v>1452</v>
      </c>
      <c r="O404" t="s">
        <v>43</v>
      </c>
      <c r="P404">
        <v>97402</v>
      </c>
      <c r="Q404">
        <v>8725</v>
      </c>
      <c r="R404" t="s">
        <v>23</v>
      </c>
      <c r="S404" s="1" t="s">
        <v>34218</v>
      </c>
    </row>
    <row r="405" spans="1:19" x14ac:dyDescent="0.25">
      <c r="A405">
        <v>100656946</v>
      </c>
      <c r="B405" t="s">
        <v>1453</v>
      </c>
      <c r="C405" t="s">
        <v>1454</v>
      </c>
      <c r="F405" t="str">
        <f>"4258219717"</f>
        <v>4258219717</v>
      </c>
      <c r="G405" t="s">
        <v>1455</v>
      </c>
      <c r="H405" t="s">
        <v>1456</v>
      </c>
      <c r="I405" t="s">
        <v>84</v>
      </c>
      <c r="J405">
        <v>98021</v>
      </c>
      <c r="K405">
        <v>8353</v>
      </c>
      <c r="L405" t="s">
        <v>23</v>
      </c>
      <c r="M405" t="s">
        <v>1455</v>
      </c>
      <c r="N405" t="s">
        <v>1456</v>
      </c>
      <c r="O405" t="s">
        <v>84</v>
      </c>
      <c r="P405">
        <v>98021</v>
      </c>
      <c r="Q405">
        <v>8353</v>
      </c>
      <c r="R405" t="s">
        <v>23</v>
      </c>
      <c r="S405" s="1" t="s">
        <v>34218</v>
      </c>
    </row>
    <row r="406" spans="1:19" x14ac:dyDescent="0.25">
      <c r="A406">
        <v>100675211</v>
      </c>
      <c r="B406" t="s">
        <v>1457</v>
      </c>
      <c r="C406" t="s">
        <v>114</v>
      </c>
      <c r="F406" t="str">
        <f>"7326885637"</f>
        <v>7326885637</v>
      </c>
      <c r="G406" t="s">
        <v>1458</v>
      </c>
      <c r="H406" t="s">
        <v>1459</v>
      </c>
      <c r="I406" t="s">
        <v>250</v>
      </c>
      <c r="J406">
        <v>7753</v>
      </c>
      <c r="K406">
        <v>5632</v>
      </c>
      <c r="L406" t="s">
        <v>23</v>
      </c>
      <c r="M406" t="s">
        <v>1458</v>
      </c>
      <c r="N406" t="s">
        <v>1459</v>
      </c>
      <c r="O406" t="s">
        <v>250</v>
      </c>
      <c r="P406">
        <v>7753</v>
      </c>
      <c r="Q406">
        <v>5632</v>
      </c>
      <c r="R406" t="s">
        <v>23</v>
      </c>
      <c r="S406" s="1" t="s">
        <v>34218</v>
      </c>
    </row>
    <row r="407" spans="1:19" x14ac:dyDescent="0.25">
      <c r="A407">
        <v>100863675</v>
      </c>
      <c r="B407" t="s">
        <v>166</v>
      </c>
      <c r="C407" t="s">
        <v>1460</v>
      </c>
      <c r="F407" t="str">
        <f>"8314762802"</f>
        <v>8314762802</v>
      </c>
      <c r="G407" t="s">
        <v>1461</v>
      </c>
      <c r="H407" t="s">
        <v>556</v>
      </c>
      <c r="I407" t="s">
        <v>22</v>
      </c>
      <c r="J407">
        <v>95018</v>
      </c>
      <c r="K407">
        <v>9432</v>
      </c>
      <c r="L407" t="s">
        <v>23</v>
      </c>
      <c r="M407" t="s">
        <v>1461</v>
      </c>
      <c r="N407" t="s">
        <v>556</v>
      </c>
      <c r="O407" t="s">
        <v>22</v>
      </c>
      <c r="P407">
        <v>95018</v>
      </c>
      <c r="Q407">
        <v>9432</v>
      </c>
      <c r="R407" t="s">
        <v>23</v>
      </c>
      <c r="S407" s="1" t="s">
        <v>34218</v>
      </c>
    </row>
    <row r="408" spans="1:19" x14ac:dyDescent="0.25">
      <c r="A408">
        <v>100636981</v>
      </c>
      <c r="B408" t="s">
        <v>1462</v>
      </c>
      <c r="C408" t="s">
        <v>1463</v>
      </c>
      <c r="F408" t="str">
        <f>"5555555555"</f>
        <v>5555555555</v>
      </c>
      <c r="G408" t="s">
        <v>1464</v>
      </c>
      <c r="H408" t="s">
        <v>1465</v>
      </c>
      <c r="I408" t="s">
        <v>236</v>
      </c>
      <c r="J408">
        <v>1007</v>
      </c>
      <c r="K408">
        <v>9751</v>
      </c>
      <c r="L408" t="s">
        <v>23</v>
      </c>
      <c r="M408" t="s">
        <v>1464</v>
      </c>
      <c r="N408" t="s">
        <v>1465</v>
      </c>
      <c r="O408" t="s">
        <v>236</v>
      </c>
      <c r="P408">
        <v>1007</v>
      </c>
      <c r="Q408">
        <v>9751</v>
      </c>
      <c r="R408" t="s">
        <v>23</v>
      </c>
      <c r="S408" s="1" t="s">
        <v>34218</v>
      </c>
    </row>
    <row r="409" spans="1:19" x14ac:dyDescent="0.25">
      <c r="A409">
        <v>100656522</v>
      </c>
      <c r="B409" t="s">
        <v>1466</v>
      </c>
      <c r="C409" t="s">
        <v>1467</v>
      </c>
      <c r="F409" t="str">
        <f>"9497159705"</f>
        <v>9497159705</v>
      </c>
      <c r="G409" t="s">
        <v>1468</v>
      </c>
      <c r="H409" t="s">
        <v>434</v>
      </c>
      <c r="I409" t="s">
        <v>22</v>
      </c>
      <c r="J409">
        <v>92651</v>
      </c>
      <c r="K409">
        <v>4122</v>
      </c>
      <c r="L409" t="s">
        <v>23</v>
      </c>
      <c r="M409" t="s">
        <v>1468</v>
      </c>
      <c r="N409" t="s">
        <v>434</v>
      </c>
      <c r="O409" t="s">
        <v>22</v>
      </c>
      <c r="P409">
        <v>92651</v>
      </c>
      <c r="Q409">
        <v>4122</v>
      </c>
      <c r="R409" t="s">
        <v>23</v>
      </c>
      <c r="S409" s="1" t="s">
        <v>34218</v>
      </c>
    </row>
    <row r="410" spans="1:19" x14ac:dyDescent="0.25">
      <c r="A410">
        <v>100849901</v>
      </c>
      <c r="B410" t="s">
        <v>1469</v>
      </c>
      <c r="C410" t="s">
        <v>1470</v>
      </c>
      <c r="F410" t="str">
        <f>"6039885786"</f>
        <v>6039885786</v>
      </c>
      <c r="G410" t="s">
        <v>1471</v>
      </c>
      <c r="H410" t="s">
        <v>1026</v>
      </c>
      <c r="I410" t="s">
        <v>353</v>
      </c>
      <c r="J410">
        <v>3825</v>
      </c>
      <c r="K410">
        <v>319</v>
      </c>
      <c r="L410" t="s">
        <v>23</v>
      </c>
      <c r="M410" t="s">
        <v>1471</v>
      </c>
      <c r="N410" t="s">
        <v>1026</v>
      </c>
      <c r="O410" t="s">
        <v>353</v>
      </c>
      <c r="P410">
        <v>3825</v>
      </c>
      <c r="Q410">
        <v>319</v>
      </c>
      <c r="R410" t="s">
        <v>23</v>
      </c>
      <c r="S410" s="1" t="s">
        <v>34218</v>
      </c>
    </row>
    <row r="411" spans="1:19" x14ac:dyDescent="0.25">
      <c r="A411">
        <v>100886251</v>
      </c>
      <c r="B411" t="s">
        <v>1472</v>
      </c>
      <c r="C411" t="s">
        <v>644</v>
      </c>
      <c r="F411" t="str">
        <f>"4356744527"</f>
        <v>4356744527</v>
      </c>
      <c r="G411" t="s">
        <v>1473</v>
      </c>
      <c r="H411" t="s">
        <v>1474</v>
      </c>
      <c r="I411" t="s">
        <v>332</v>
      </c>
      <c r="J411">
        <v>84790</v>
      </c>
      <c r="K411">
        <v>8305</v>
      </c>
      <c r="L411" t="s">
        <v>23</v>
      </c>
      <c r="M411" t="s">
        <v>1473</v>
      </c>
      <c r="N411" t="s">
        <v>1474</v>
      </c>
      <c r="O411" t="s">
        <v>332</v>
      </c>
      <c r="P411">
        <v>84790</v>
      </c>
      <c r="Q411">
        <v>8305</v>
      </c>
      <c r="R411" t="s">
        <v>23</v>
      </c>
      <c r="S411" s="1" t="s">
        <v>34218</v>
      </c>
    </row>
    <row r="412" spans="1:19" x14ac:dyDescent="0.25">
      <c r="A412">
        <v>100891910</v>
      </c>
      <c r="B412" t="s">
        <v>1475</v>
      </c>
      <c r="C412" t="s">
        <v>1062</v>
      </c>
      <c r="F412" t="str">
        <f>"4253060147"</f>
        <v>4253060147</v>
      </c>
      <c r="G412" t="s">
        <v>1476</v>
      </c>
      <c r="H412" t="s">
        <v>1477</v>
      </c>
      <c r="I412" t="s">
        <v>84</v>
      </c>
      <c r="J412">
        <v>98059</v>
      </c>
      <c r="K412">
        <v>3932</v>
      </c>
      <c r="L412" t="s">
        <v>23</v>
      </c>
      <c r="M412" t="s">
        <v>1476</v>
      </c>
      <c r="N412" t="s">
        <v>1477</v>
      </c>
      <c r="O412" t="s">
        <v>84</v>
      </c>
      <c r="P412">
        <v>98059</v>
      </c>
      <c r="Q412">
        <v>3932</v>
      </c>
      <c r="R412" t="s">
        <v>23</v>
      </c>
      <c r="S412" s="1" t="s">
        <v>34218</v>
      </c>
    </row>
    <row r="413" spans="1:19" x14ac:dyDescent="0.25">
      <c r="A413">
        <v>100894966</v>
      </c>
      <c r="B413" t="s">
        <v>1478</v>
      </c>
      <c r="C413" t="s">
        <v>1479</v>
      </c>
      <c r="F413" t="str">
        <f>"8438864393"</f>
        <v>8438864393</v>
      </c>
      <c r="G413" t="s">
        <v>1480</v>
      </c>
      <c r="H413" t="s">
        <v>1481</v>
      </c>
      <c r="I413" t="s">
        <v>1482</v>
      </c>
      <c r="J413">
        <v>29451</v>
      </c>
      <c r="K413">
        <v>2629</v>
      </c>
      <c r="L413" t="s">
        <v>23</v>
      </c>
      <c r="M413" t="s">
        <v>1480</v>
      </c>
      <c r="N413" t="s">
        <v>1481</v>
      </c>
      <c r="O413" t="s">
        <v>1482</v>
      </c>
      <c r="P413">
        <v>29451</v>
      </c>
      <c r="Q413">
        <v>2629</v>
      </c>
      <c r="R413" t="s">
        <v>23</v>
      </c>
      <c r="S413" s="1" t="s">
        <v>34218</v>
      </c>
    </row>
    <row r="414" spans="1:19" x14ac:dyDescent="0.25">
      <c r="A414">
        <v>100905927</v>
      </c>
      <c r="B414" t="s">
        <v>1483</v>
      </c>
      <c r="C414" t="s">
        <v>1484</v>
      </c>
      <c r="F414" t="str">
        <f>"9256864966"</f>
        <v>9256864966</v>
      </c>
      <c r="G414" t="s">
        <v>1485</v>
      </c>
      <c r="H414" t="s">
        <v>761</v>
      </c>
      <c r="I414" t="s">
        <v>22</v>
      </c>
      <c r="J414">
        <v>94521</v>
      </c>
      <c r="K414">
        <v>2910</v>
      </c>
      <c r="L414" t="s">
        <v>23</v>
      </c>
      <c r="M414" t="s">
        <v>1485</v>
      </c>
      <c r="N414" t="s">
        <v>761</v>
      </c>
      <c r="O414" t="s">
        <v>22</v>
      </c>
      <c r="P414">
        <v>94521</v>
      </c>
      <c r="Q414">
        <v>2910</v>
      </c>
      <c r="R414" t="s">
        <v>23</v>
      </c>
      <c r="S414" s="1" t="s">
        <v>34218</v>
      </c>
    </row>
    <row r="415" spans="1:19" x14ac:dyDescent="0.25">
      <c r="A415">
        <v>101280662</v>
      </c>
      <c r="B415" t="s">
        <v>1486</v>
      </c>
      <c r="C415" t="s">
        <v>1487</v>
      </c>
      <c r="F415" t="str">
        <f>"9188128941"</f>
        <v>9188128941</v>
      </c>
      <c r="G415" t="s">
        <v>1488</v>
      </c>
      <c r="H415" t="s">
        <v>1489</v>
      </c>
      <c r="I415" t="s">
        <v>62</v>
      </c>
      <c r="J415">
        <v>74129</v>
      </c>
      <c r="K415">
        <v>8233</v>
      </c>
      <c r="L415" t="s">
        <v>23</v>
      </c>
      <c r="M415" t="s">
        <v>1488</v>
      </c>
      <c r="N415" t="s">
        <v>1489</v>
      </c>
      <c r="O415" t="s">
        <v>62</v>
      </c>
      <c r="P415">
        <v>74129</v>
      </c>
      <c r="Q415">
        <v>8233</v>
      </c>
      <c r="R415" t="s">
        <v>23</v>
      </c>
      <c r="S415" s="1" t="s">
        <v>34218</v>
      </c>
    </row>
    <row r="416" spans="1:19" x14ac:dyDescent="0.25">
      <c r="A416">
        <v>101286213</v>
      </c>
      <c r="B416" t="s">
        <v>1490</v>
      </c>
      <c r="C416" t="s">
        <v>1327</v>
      </c>
      <c r="F416" t="str">
        <f>"3145551212"</f>
        <v>3145551212</v>
      </c>
      <c r="G416" t="s">
        <v>1491</v>
      </c>
      <c r="H416" t="s">
        <v>125</v>
      </c>
      <c r="I416" t="s">
        <v>126</v>
      </c>
      <c r="J416">
        <v>63129</v>
      </c>
      <c r="K416">
        <v>4820</v>
      </c>
      <c r="L416" t="s">
        <v>23</v>
      </c>
      <c r="M416" t="s">
        <v>1491</v>
      </c>
      <c r="N416" t="s">
        <v>125</v>
      </c>
      <c r="O416" t="s">
        <v>126</v>
      </c>
      <c r="P416">
        <v>63129</v>
      </c>
      <c r="Q416">
        <v>4820</v>
      </c>
      <c r="R416" t="s">
        <v>23</v>
      </c>
      <c r="S416" s="1" t="s">
        <v>34218</v>
      </c>
    </row>
    <row r="417" spans="1:19" x14ac:dyDescent="0.25">
      <c r="A417">
        <v>101278385</v>
      </c>
      <c r="B417" t="s">
        <v>320</v>
      </c>
      <c r="C417" t="s">
        <v>1492</v>
      </c>
      <c r="F417" t="str">
        <f>"5207304762"</f>
        <v>5207304762</v>
      </c>
      <c r="G417" t="s">
        <v>1493</v>
      </c>
      <c r="H417" t="s">
        <v>1439</v>
      </c>
      <c r="I417" t="s">
        <v>365</v>
      </c>
      <c r="J417">
        <v>85712</v>
      </c>
      <c r="K417">
        <v>4651</v>
      </c>
      <c r="L417" t="s">
        <v>23</v>
      </c>
      <c r="M417" t="s">
        <v>1493</v>
      </c>
      <c r="N417" t="s">
        <v>1439</v>
      </c>
      <c r="O417" t="s">
        <v>365</v>
      </c>
      <c r="P417">
        <v>85712</v>
      </c>
      <c r="Q417">
        <v>4651</v>
      </c>
      <c r="R417" t="s">
        <v>23</v>
      </c>
      <c r="S417" s="1" t="s">
        <v>34218</v>
      </c>
    </row>
    <row r="418" spans="1:19" x14ac:dyDescent="0.25">
      <c r="A418">
        <v>101304191</v>
      </c>
      <c r="B418" t="s">
        <v>1494</v>
      </c>
      <c r="C418" t="s">
        <v>1208</v>
      </c>
      <c r="F418" t="str">
        <f>"9192703043"</f>
        <v>9192703043</v>
      </c>
      <c r="G418" t="s">
        <v>1495</v>
      </c>
      <c r="H418" t="s">
        <v>567</v>
      </c>
      <c r="I418" t="s">
        <v>446</v>
      </c>
      <c r="J418">
        <v>27612</v>
      </c>
      <c r="K418">
        <v>6913</v>
      </c>
      <c r="L418" t="s">
        <v>23</v>
      </c>
      <c r="M418" t="s">
        <v>1495</v>
      </c>
      <c r="N418" t="s">
        <v>567</v>
      </c>
      <c r="O418" t="s">
        <v>446</v>
      </c>
      <c r="P418">
        <v>27612</v>
      </c>
      <c r="Q418">
        <v>6913</v>
      </c>
      <c r="R418" t="s">
        <v>23</v>
      </c>
      <c r="S418" s="1" t="s">
        <v>34218</v>
      </c>
    </row>
    <row r="419" spans="1:19" x14ac:dyDescent="0.25">
      <c r="A419">
        <v>101310269</v>
      </c>
      <c r="B419" t="s">
        <v>1496</v>
      </c>
      <c r="C419" t="s">
        <v>362</v>
      </c>
      <c r="F419" t="str">
        <f>"9199423995"</f>
        <v>9199423995</v>
      </c>
      <c r="G419" t="s">
        <v>1497</v>
      </c>
      <c r="H419" t="s">
        <v>1276</v>
      </c>
      <c r="I419" t="s">
        <v>446</v>
      </c>
      <c r="J419">
        <v>27514</v>
      </c>
      <c r="K419">
        <v>1640</v>
      </c>
      <c r="L419" t="s">
        <v>23</v>
      </c>
      <c r="M419" t="s">
        <v>1497</v>
      </c>
      <c r="N419" t="s">
        <v>1276</v>
      </c>
      <c r="O419" t="s">
        <v>446</v>
      </c>
      <c r="P419">
        <v>27514</v>
      </c>
      <c r="Q419">
        <v>1640</v>
      </c>
      <c r="R419" t="s">
        <v>23</v>
      </c>
      <c r="S419" s="1" t="s">
        <v>34218</v>
      </c>
    </row>
    <row r="420" spans="1:19" x14ac:dyDescent="0.25">
      <c r="A420">
        <v>101322687</v>
      </c>
      <c r="B420" t="s">
        <v>1498</v>
      </c>
      <c r="C420" t="s">
        <v>1327</v>
      </c>
      <c r="F420" t="str">
        <f>"3604492400"</f>
        <v>3604492400</v>
      </c>
      <c r="G420" t="s">
        <v>1499</v>
      </c>
      <c r="H420" t="s">
        <v>1500</v>
      </c>
      <c r="I420" t="s">
        <v>84</v>
      </c>
      <c r="J420">
        <v>98626</v>
      </c>
      <c r="K420">
        <v>9831</v>
      </c>
      <c r="L420" t="s">
        <v>23</v>
      </c>
      <c r="M420" t="s">
        <v>1499</v>
      </c>
      <c r="N420" t="s">
        <v>1500</v>
      </c>
      <c r="O420" t="s">
        <v>84</v>
      </c>
      <c r="P420">
        <v>98626</v>
      </c>
      <c r="Q420">
        <v>9831</v>
      </c>
      <c r="R420" t="s">
        <v>23</v>
      </c>
      <c r="S420" s="1" t="s">
        <v>34218</v>
      </c>
    </row>
    <row r="421" spans="1:19" x14ac:dyDescent="0.25">
      <c r="A421">
        <v>101314389</v>
      </c>
      <c r="B421" t="s">
        <v>1501</v>
      </c>
      <c r="C421" t="s">
        <v>1502</v>
      </c>
      <c r="F421" t="str">
        <f>"2403080734"</f>
        <v>2403080734</v>
      </c>
      <c r="G421" t="s">
        <v>1503</v>
      </c>
      <c r="H421" t="s">
        <v>1504</v>
      </c>
      <c r="I421" t="s">
        <v>148</v>
      </c>
      <c r="J421">
        <v>20871</v>
      </c>
      <c r="K421">
        <v>9623</v>
      </c>
      <c r="L421" t="s">
        <v>23</v>
      </c>
      <c r="M421" t="s">
        <v>1503</v>
      </c>
      <c r="N421" t="s">
        <v>1504</v>
      </c>
      <c r="O421" t="s">
        <v>148</v>
      </c>
      <c r="P421">
        <v>20871</v>
      </c>
      <c r="Q421">
        <v>9623</v>
      </c>
      <c r="R421" t="s">
        <v>23</v>
      </c>
      <c r="S421" s="1" t="s">
        <v>34218</v>
      </c>
    </row>
    <row r="422" spans="1:19" x14ac:dyDescent="0.25">
      <c r="A422">
        <v>101327368</v>
      </c>
      <c r="B422" t="s">
        <v>1505</v>
      </c>
      <c r="C422" t="s">
        <v>1506</v>
      </c>
      <c r="F422" t="str">
        <f>"9517073836"</f>
        <v>9517073836</v>
      </c>
      <c r="G422" t="s">
        <v>1507</v>
      </c>
      <c r="H422" t="s">
        <v>461</v>
      </c>
      <c r="I422" t="s">
        <v>22</v>
      </c>
      <c r="J422">
        <v>92505</v>
      </c>
      <c r="K422">
        <v>2221</v>
      </c>
      <c r="L422" t="s">
        <v>23</v>
      </c>
      <c r="M422" t="s">
        <v>1507</v>
      </c>
      <c r="N422" t="s">
        <v>461</v>
      </c>
      <c r="O422" t="s">
        <v>22</v>
      </c>
      <c r="P422">
        <v>92505</v>
      </c>
      <c r="Q422">
        <v>2221</v>
      </c>
      <c r="R422" t="s">
        <v>23</v>
      </c>
      <c r="S422" s="1" t="s">
        <v>34218</v>
      </c>
    </row>
    <row r="423" spans="1:19" x14ac:dyDescent="0.25">
      <c r="A423">
        <v>100623000</v>
      </c>
      <c r="B423" t="s">
        <v>1508</v>
      </c>
      <c r="C423" t="s">
        <v>247</v>
      </c>
      <c r="F423" t="str">
        <f>"5403810148"</f>
        <v>5403810148</v>
      </c>
      <c r="G423" t="s">
        <v>1509</v>
      </c>
      <c r="H423" t="s">
        <v>1510</v>
      </c>
      <c r="I423" t="s">
        <v>255</v>
      </c>
      <c r="J423">
        <v>24073</v>
      </c>
      <c r="K423">
        <v>4457</v>
      </c>
      <c r="L423" t="s">
        <v>23</v>
      </c>
      <c r="M423" t="s">
        <v>1509</v>
      </c>
      <c r="N423" t="s">
        <v>1510</v>
      </c>
      <c r="O423" t="s">
        <v>255</v>
      </c>
      <c r="P423">
        <v>24073</v>
      </c>
      <c r="Q423">
        <v>4457</v>
      </c>
      <c r="R423" t="s">
        <v>23</v>
      </c>
      <c r="S423" s="1" t="s">
        <v>34218</v>
      </c>
    </row>
    <row r="424" spans="1:19" x14ac:dyDescent="0.25">
      <c r="A424">
        <v>100624443</v>
      </c>
      <c r="B424" t="s">
        <v>1511</v>
      </c>
      <c r="C424" t="s">
        <v>1512</v>
      </c>
      <c r="F424" t="str">
        <f>"2018358094"</f>
        <v>2018358094</v>
      </c>
      <c r="G424" t="s">
        <v>1513</v>
      </c>
      <c r="H424" t="s">
        <v>1514</v>
      </c>
      <c r="I424" t="s">
        <v>250</v>
      </c>
      <c r="J424">
        <v>7747</v>
      </c>
      <c r="K424">
        <v>1820</v>
      </c>
      <c r="L424" t="s">
        <v>23</v>
      </c>
      <c r="M424" t="s">
        <v>1513</v>
      </c>
      <c r="N424" t="s">
        <v>1514</v>
      </c>
      <c r="O424" t="s">
        <v>250</v>
      </c>
      <c r="P424">
        <v>7747</v>
      </c>
      <c r="Q424">
        <v>1820</v>
      </c>
      <c r="R424" t="s">
        <v>23</v>
      </c>
      <c r="S424" s="1" t="s">
        <v>34218</v>
      </c>
    </row>
    <row r="425" spans="1:19" x14ac:dyDescent="0.25">
      <c r="A425">
        <v>100820482</v>
      </c>
      <c r="B425" t="s">
        <v>1515</v>
      </c>
      <c r="C425" t="s">
        <v>644</v>
      </c>
      <c r="F425" t="str">
        <f>"5032845377"</f>
        <v>5032845377</v>
      </c>
      <c r="G425" t="s">
        <v>1516</v>
      </c>
      <c r="H425" t="s">
        <v>227</v>
      </c>
      <c r="I425" t="s">
        <v>43</v>
      </c>
      <c r="J425">
        <v>97212</v>
      </c>
      <c r="K425">
        <v>2524</v>
      </c>
      <c r="L425" t="s">
        <v>23</v>
      </c>
      <c r="M425" t="s">
        <v>1516</v>
      </c>
      <c r="N425" t="s">
        <v>227</v>
      </c>
      <c r="O425" t="s">
        <v>43</v>
      </c>
      <c r="P425">
        <v>97212</v>
      </c>
      <c r="Q425">
        <v>2524</v>
      </c>
      <c r="R425" t="s">
        <v>23</v>
      </c>
      <c r="S425" s="1" t="s">
        <v>34218</v>
      </c>
    </row>
    <row r="426" spans="1:19" x14ac:dyDescent="0.25">
      <c r="A426">
        <v>100536313</v>
      </c>
      <c r="B426" t="s">
        <v>1517</v>
      </c>
      <c r="C426" t="s">
        <v>448</v>
      </c>
      <c r="F426" t="str">
        <f>"5134030896"</f>
        <v>5134030896</v>
      </c>
      <c r="G426" t="s">
        <v>1518</v>
      </c>
      <c r="H426" t="s">
        <v>1519</v>
      </c>
      <c r="I426" t="s">
        <v>178</v>
      </c>
      <c r="J426">
        <v>45242</v>
      </c>
      <c r="K426">
        <v>7089</v>
      </c>
      <c r="L426" t="s">
        <v>23</v>
      </c>
      <c r="M426" t="s">
        <v>1518</v>
      </c>
      <c r="N426" t="s">
        <v>1519</v>
      </c>
      <c r="O426" t="s">
        <v>178</v>
      </c>
      <c r="P426">
        <v>45242</v>
      </c>
      <c r="Q426">
        <v>7089</v>
      </c>
      <c r="R426" t="s">
        <v>23</v>
      </c>
      <c r="S426" s="1" t="s">
        <v>34218</v>
      </c>
    </row>
    <row r="427" spans="1:19" x14ac:dyDescent="0.25">
      <c r="A427">
        <v>100545260</v>
      </c>
      <c r="B427" t="s">
        <v>1520</v>
      </c>
      <c r="C427" t="s">
        <v>773</v>
      </c>
      <c r="F427" t="str">
        <f>"9164223777"</f>
        <v>9164223777</v>
      </c>
      <c r="G427" t="s">
        <v>1521</v>
      </c>
      <c r="H427" t="s">
        <v>650</v>
      </c>
      <c r="I427" t="s">
        <v>22</v>
      </c>
      <c r="J427">
        <v>95831</v>
      </c>
      <c r="K427">
        <v>5817</v>
      </c>
      <c r="L427" t="s">
        <v>23</v>
      </c>
      <c r="M427" t="s">
        <v>1521</v>
      </c>
      <c r="N427" t="s">
        <v>650</v>
      </c>
      <c r="O427" t="s">
        <v>22</v>
      </c>
      <c r="P427">
        <v>95831</v>
      </c>
      <c r="Q427">
        <v>5817</v>
      </c>
      <c r="R427" t="s">
        <v>23</v>
      </c>
      <c r="S427" s="1" t="s">
        <v>34218</v>
      </c>
    </row>
    <row r="428" spans="1:19" x14ac:dyDescent="0.25">
      <c r="A428">
        <v>100964713</v>
      </c>
      <c r="B428" t="s">
        <v>1522</v>
      </c>
      <c r="C428" t="s">
        <v>1523</v>
      </c>
      <c r="F428" t="str">
        <f>"5203265380"</f>
        <v>5203265380</v>
      </c>
      <c r="G428" t="s">
        <v>1524</v>
      </c>
      <c r="H428" t="s">
        <v>1439</v>
      </c>
      <c r="I428" t="s">
        <v>365</v>
      </c>
      <c r="J428">
        <v>85712</v>
      </c>
      <c r="K428">
        <v>1106</v>
      </c>
      <c r="L428" t="s">
        <v>23</v>
      </c>
      <c r="M428" t="s">
        <v>1524</v>
      </c>
      <c r="N428" t="s">
        <v>1439</v>
      </c>
      <c r="O428" t="s">
        <v>365</v>
      </c>
      <c r="P428">
        <v>85712</v>
      </c>
      <c r="Q428">
        <v>1106</v>
      </c>
      <c r="R428" t="s">
        <v>23</v>
      </c>
      <c r="S428" s="1" t="s">
        <v>34218</v>
      </c>
    </row>
    <row r="429" spans="1:19" x14ac:dyDescent="0.25">
      <c r="A429">
        <v>100658141</v>
      </c>
      <c r="B429" t="s">
        <v>1525</v>
      </c>
      <c r="C429" t="s">
        <v>1526</v>
      </c>
      <c r="F429" t="str">
        <f>"5175550134"</f>
        <v>5175550134</v>
      </c>
      <c r="G429" t="s">
        <v>1527</v>
      </c>
      <c r="H429" t="s">
        <v>822</v>
      </c>
      <c r="I429" t="s">
        <v>140</v>
      </c>
      <c r="J429">
        <v>48906</v>
      </c>
      <c r="K429">
        <v>1895</v>
      </c>
      <c r="L429" t="s">
        <v>23</v>
      </c>
      <c r="M429" t="s">
        <v>1527</v>
      </c>
      <c r="N429" t="s">
        <v>822</v>
      </c>
      <c r="O429" t="s">
        <v>140</v>
      </c>
      <c r="P429">
        <v>48906</v>
      </c>
      <c r="Q429">
        <v>1895</v>
      </c>
      <c r="R429" t="s">
        <v>23</v>
      </c>
      <c r="S429" s="1" t="s">
        <v>34218</v>
      </c>
    </row>
    <row r="430" spans="1:19" x14ac:dyDescent="0.25">
      <c r="A430">
        <v>100591560</v>
      </c>
      <c r="B430" t="s">
        <v>1528</v>
      </c>
      <c r="C430" t="s">
        <v>1529</v>
      </c>
      <c r="F430" t="str">
        <f>"2067906403"</f>
        <v>2067906403</v>
      </c>
      <c r="G430" t="s">
        <v>1530</v>
      </c>
      <c r="H430" t="s">
        <v>1531</v>
      </c>
      <c r="I430" t="s">
        <v>84</v>
      </c>
      <c r="J430">
        <v>98199</v>
      </c>
      <c r="K430">
        <v>2912</v>
      </c>
      <c r="L430" t="s">
        <v>23</v>
      </c>
      <c r="M430" t="s">
        <v>1530</v>
      </c>
      <c r="N430" t="s">
        <v>1531</v>
      </c>
      <c r="O430" t="s">
        <v>84</v>
      </c>
      <c r="P430">
        <v>98199</v>
      </c>
      <c r="Q430">
        <v>2912</v>
      </c>
      <c r="R430" t="s">
        <v>23</v>
      </c>
      <c r="S430" s="1" t="s">
        <v>34218</v>
      </c>
    </row>
    <row r="431" spans="1:19" x14ac:dyDescent="0.25">
      <c r="A431">
        <v>100797270</v>
      </c>
      <c r="B431" t="s">
        <v>1532</v>
      </c>
      <c r="C431" t="s">
        <v>1533</v>
      </c>
      <c r="F431" t="str">
        <f>"4153836098"</f>
        <v>4153836098</v>
      </c>
      <c r="G431" t="s">
        <v>1534</v>
      </c>
      <c r="H431" t="s">
        <v>1535</v>
      </c>
      <c r="I431" t="s">
        <v>22</v>
      </c>
      <c r="J431">
        <v>94941</v>
      </c>
      <c r="K431">
        <v>1032</v>
      </c>
      <c r="L431" t="s">
        <v>23</v>
      </c>
      <c r="M431" t="s">
        <v>1534</v>
      </c>
      <c r="N431" t="s">
        <v>1535</v>
      </c>
      <c r="O431" t="s">
        <v>22</v>
      </c>
      <c r="P431">
        <v>94941</v>
      </c>
      <c r="Q431">
        <v>1032</v>
      </c>
      <c r="R431" t="s">
        <v>23</v>
      </c>
      <c r="S431" s="1" t="s">
        <v>34218</v>
      </c>
    </row>
    <row r="432" spans="1:19" x14ac:dyDescent="0.25">
      <c r="A432">
        <v>100657560</v>
      </c>
      <c r="B432" t="s">
        <v>1536</v>
      </c>
      <c r="C432" t="s">
        <v>180</v>
      </c>
      <c r="F432" t="str">
        <f>"8187899944"</f>
        <v>8187899944</v>
      </c>
      <c r="G432" t="s">
        <v>1537</v>
      </c>
      <c r="H432" t="s">
        <v>1538</v>
      </c>
      <c r="I432" t="s">
        <v>22</v>
      </c>
      <c r="J432">
        <v>91423</v>
      </c>
      <c r="K432">
        <v>4017</v>
      </c>
      <c r="L432" t="s">
        <v>23</v>
      </c>
      <c r="M432" t="s">
        <v>1537</v>
      </c>
      <c r="N432" t="s">
        <v>1538</v>
      </c>
      <c r="O432" t="s">
        <v>22</v>
      </c>
      <c r="P432">
        <v>91423</v>
      </c>
      <c r="Q432">
        <v>4017</v>
      </c>
      <c r="R432" t="s">
        <v>23</v>
      </c>
      <c r="S432" s="1" t="s">
        <v>34218</v>
      </c>
    </row>
    <row r="433" spans="1:19" x14ac:dyDescent="0.25">
      <c r="A433">
        <v>100848490</v>
      </c>
      <c r="B433" t="s">
        <v>29</v>
      </c>
      <c r="C433" t="s">
        <v>274</v>
      </c>
      <c r="F433" t="str">
        <f>"3075275757"</f>
        <v>3075275757</v>
      </c>
      <c r="G433" t="s">
        <v>1539</v>
      </c>
      <c r="H433" t="s">
        <v>1540</v>
      </c>
      <c r="I433" t="s">
        <v>203</v>
      </c>
      <c r="J433">
        <v>82414</v>
      </c>
      <c r="K433">
        <v>4801</v>
      </c>
      <c r="L433" t="s">
        <v>23</v>
      </c>
      <c r="M433" t="s">
        <v>1539</v>
      </c>
      <c r="N433" t="s">
        <v>1540</v>
      </c>
      <c r="O433" t="s">
        <v>203</v>
      </c>
      <c r="P433">
        <v>82414</v>
      </c>
      <c r="Q433">
        <v>4801</v>
      </c>
      <c r="R433" t="s">
        <v>23</v>
      </c>
      <c r="S433" s="1" t="s">
        <v>34218</v>
      </c>
    </row>
    <row r="434" spans="1:19" x14ac:dyDescent="0.25">
      <c r="A434">
        <v>100529064</v>
      </c>
      <c r="B434" t="s">
        <v>1541</v>
      </c>
      <c r="C434" t="s">
        <v>1542</v>
      </c>
      <c r="F434" t="str">
        <f>"6176979011"</f>
        <v>6176979011</v>
      </c>
      <c r="G434" t="s">
        <v>1543</v>
      </c>
      <c r="H434" t="s">
        <v>1544</v>
      </c>
      <c r="I434" t="s">
        <v>236</v>
      </c>
      <c r="J434">
        <v>2134</v>
      </c>
      <c r="K434">
        <v>5000</v>
      </c>
      <c r="L434" t="s">
        <v>23</v>
      </c>
      <c r="M434" t="s">
        <v>1543</v>
      </c>
      <c r="N434" t="s">
        <v>1544</v>
      </c>
      <c r="O434" t="s">
        <v>236</v>
      </c>
      <c r="P434">
        <v>2134</v>
      </c>
      <c r="Q434">
        <v>5000</v>
      </c>
      <c r="R434" t="s">
        <v>23</v>
      </c>
      <c r="S434" s="1" t="s">
        <v>34218</v>
      </c>
    </row>
    <row r="435" spans="1:19" x14ac:dyDescent="0.25">
      <c r="A435">
        <v>100718682</v>
      </c>
      <c r="B435" t="s">
        <v>1545</v>
      </c>
      <c r="C435" t="s">
        <v>1546</v>
      </c>
      <c r="F435" t="str">
        <f>"3102030162"</f>
        <v>3102030162</v>
      </c>
      <c r="G435" t="s">
        <v>1547</v>
      </c>
      <c r="H435" t="s">
        <v>299</v>
      </c>
      <c r="I435" t="s">
        <v>22</v>
      </c>
      <c r="J435">
        <v>90035</v>
      </c>
      <c r="K435">
        <v>3314</v>
      </c>
      <c r="L435" t="s">
        <v>23</v>
      </c>
      <c r="M435" t="s">
        <v>1547</v>
      </c>
      <c r="N435" t="s">
        <v>299</v>
      </c>
      <c r="O435" t="s">
        <v>22</v>
      </c>
      <c r="P435">
        <v>90035</v>
      </c>
      <c r="Q435">
        <v>3314</v>
      </c>
      <c r="R435" t="s">
        <v>23</v>
      </c>
      <c r="S435" s="1" t="s">
        <v>34218</v>
      </c>
    </row>
    <row r="436" spans="1:19" x14ac:dyDescent="0.25">
      <c r="A436">
        <v>100682195</v>
      </c>
      <c r="B436" t="s">
        <v>1548</v>
      </c>
      <c r="C436" t="s">
        <v>1549</v>
      </c>
      <c r="F436" t="str">
        <f>"5103324695"</f>
        <v>5103324695</v>
      </c>
      <c r="G436" t="s">
        <v>1550</v>
      </c>
      <c r="H436" t="s">
        <v>227</v>
      </c>
      <c r="I436" t="s">
        <v>43</v>
      </c>
      <c r="J436">
        <v>97206</v>
      </c>
      <c r="K436">
        <v>2116</v>
      </c>
      <c r="L436" t="s">
        <v>23</v>
      </c>
      <c r="M436" t="s">
        <v>1550</v>
      </c>
      <c r="N436" t="s">
        <v>227</v>
      </c>
      <c r="O436" t="s">
        <v>43</v>
      </c>
      <c r="P436">
        <v>97206</v>
      </c>
      <c r="Q436">
        <v>2116</v>
      </c>
      <c r="R436" t="s">
        <v>23</v>
      </c>
      <c r="S436" s="1" t="s">
        <v>34218</v>
      </c>
    </row>
    <row r="437" spans="1:19" x14ac:dyDescent="0.25">
      <c r="A437">
        <v>100686896</v>
      </c>
      <c r="B437" t="s">
        <v>1551</v>
      </c>
      <c r="C437" t="s">
        <v>585</v>
      </c>
      <c r="F437" t="str">
        <f>"6036738448"</f>
        <v>6036738448</v>
      </c>
      <c r="G437" t="s">
        <v>1552</v>
      </c>
      <c r="H437" t="s">
        <v>1553</v>
      </c>
      <c r="I437" t="s">
        <v>353</v>
      </c>
      <c r="J437">
        <v>3031</v>
      </c>
      <c r="K437">
        <v>1746</v>
      </c>
      <c r="L437" t="s">
        <v>23</v>
      </c>
      <c r="M437" t="s">
        <v>1552</v>
      </c>
      <c r="N437" t="s">
        <v>1553</v>
      </c>
      <c r="O437" t="s">
        <v>353</v>
      </c>
      <c r="P437">
        <v>3031</v>
      </c>
      <c r="Q437">
        <v>1746</v>
      </c>
      <c r="R437" t="s">
        <v>23</v>
      </c>
      <c r="S437" s="1" t="s">
        <v>34218</v>
      </c>
    </row>
    <row r="438" spans="1:19" x14ac:dyDescent="0.25">
      <c r="A438">
        <v>100693777</v>
      </c>
      <c r="B438" t="s">
        <v>1554</v>
      </c>
      <c r="C438" t="s">
        <v>1555</v>
      </c>
      <c r="F438" t="str">
        <f>"9314326680"</f>
        <v>9314326680</v>
      </c>
      <c r="G438" t="s">
        <v>1556</v>
      </c>
      <c r="H438" t="s">
        <v>1557</v>
      </c>
      <c r="I438" t="s">
        <v>914</v>
      </c>
      <c r="J438">
        <v>38506</v>
      </c>
      <c r="K438">
        <v>4146</v>
      </c>
      <c r="L438" t="s">
        <v>23</v>
      </c>
      <c r="M438" t="s">
        <v>1556</v>
      </c>
      <c r="N438" t="s">
        <v>1557</v>
      </c>
      <c r="O438" t="s">
        <v>914</v>
      </c>
      <c r="P438">
        <v>38506</v>
      </c>
      <c r="Q438">
        <v>4146</v>
      </c>
      <c r="R438" t="s">
        <v>23</v>
      </c>
      <c r="S438" s="1" t="s">
        <v>34218</v>
      </c>
    </row>
    <row r="439" spans="1:19" x14ac:dyDescent="0.25">
      <c r="A439">
        <v>101059203</v>
      </c>
      <c r="B439" t="s">
        <v>1558</v>
      </c>
      <c r="C439" t="s">
        <v>123</v>
      </c>
      <c r="F439" t="str">
        <f>"2077672917"</f>
        <v>2077672917</v>
      </c>
      <c r="G439" t="s">
        <v>1559</v>
      </c>
      <c r="H439" t="s">
        <v>1560</v>
      </c>
      <c r="I439" t="s">
        <v>191</v>
      </c>
      <c r="J439">
        <v>4106</v>
      </c>
      <c r="K439">
        <v>2727</v>
      </c>
      <c r="L439" t="s">
        <v>23</v>
      </c>
      <c r="M439" t="s">
        <v>1559</v>
      </c>
      <c r="N439" t="s">
        <v>1560</v>
      </c>
      <c r="O439" t="s">
        <v>191</v>
      </c>
      <c r="P439">
        <v>4106</v>
      </c>
      <c r="Q439">
        <v>2727</v>
      </c>
      <c r="R439" t="s">
        <v>23</v>
      </c>
      <c r="S439" s="1" t="s">
        <v>34218</v>
      </c>
    </row>
    <row r="440" spans="1:19" x14ac:dyDescent="0.25">
      <c r="A440">
        <v>101064662</v>
      </c>
      <c r="B440" t="s">
        <v>1561</v>
      </c>
      <c r="C440" t="s">
        <v>25</v>
      </c>
      <c r="F440" t="str">
        <f>"6104698903"</f>
        <v>6104698903</v>
      </c>
      <c r="G440" t="s">
        <v>1562</v>
      </c>
      <c r="H440" t="s">
        <v>1563</v>
      </c>
      <c r="I440" t="s">
        <v>33</v>
      </c>
      <c r="J440">
        <v>19465</v>
      </c>
      <c r="K440">
        <v>7567</v>
      </c>
      <c r="L440" t="s">
        <v>23</v>
      </c>
      <c r="M440" t="s">
        <v>1562</v>
      </c>
      <c r="N440" t="s">
        <v>1563</v>
      </c>
      <c r="O440" t="s">
        <v>33</v>
      </c>
      <c r="P440">
        <v>19465</v>
      </c>
      <c r="Q440">
        <v>7567</v>
      </c>
      <c r="R440" t="s">
        <v>23</v>
      </c>
      <c r="S440" s="1" t="s">
        <v>34218</v>
      </c>
    </row>
    <row r="441" spans="1:19" x14ac:dyDescent="0.25">
      <c r="A441">
        <v>101265784</v>
      </c>
      <c r="B441" t="s">
        <v>1564</v>
      </c>
      <c r="C441" t="s">
        <v>180</v>
      </c>
      <c r="F441" t="str">
        <f>"7073575316"</f>
        <v>7073575316</v>
      </c>
      <c r="G441" t="s">
        <v>1565</v>
      </c>
      <c r="H441" t="s">
        <v>1566</v>
      </c>
      <c r="I441" t="s">
        <v>178</v>
      </c>
      <c r="J441">
        <v>44142</v>
      </c>
      <c r="K441">
        <v>2635</v>
      </c>
      <c r="L441" t="s">
        <v>23</v>
      </c>
      <c r="M441" t="s">
        <v>1565</v>
      </c>
      <c r="N441" t="s">
        <v>1566</v>
      </c>
      <c r="O441" t="s">
        <v>178</v>
      </c>
      <c r="P441">
        <v>44142</v>
      </c>
      <c r="Q441">
        <v>2635</v>
      </c>
      <c r="R441" t="s">
        <v>23</v>
      </c>
      <c r="S441" s="1" t="s">
        <v>34218</v>
      </c>
    </row>
    <row r="442" spans="1:19" x14ac:dyDescent="0.25">
      <c r="A442">
        <v>101084134</v>
      </c>
      <c r="B442" t="s">
        <v>1567</v>
      </c>
      <c r="C442" t="s">
        <v>483</v>
      </c>
      <c r="F442" t="str">
        <f>"7737777618"</f>
        <v>7737777618</v>
      </c>
      <c r="G442" t="s">
        <v>1568</v>
      </c>
      <c r="H442" t="s">
        <v>134</v>
      </c>
      <c r="I442" t="s">
        <v>135</v>
      </c>
      <c r="J442">
        <v>60634</v>
      </c>
      <c r="K442">
        <v>2651</v>
      </c>
      <c r="L442" t="s">
        <v>23</v>
      </c>
      <c r="M442" t="s">
        <v>1568</v>
      </c>
      <c r="N442" t="s">
        <v>134</v>
      </c>
      <c r="O442" t="s">
        <v>135</v>
      </c>
      <c r="P442">
        <v>60634</v>
      </c>
      <c r="Q442">
        <v>2651</v>
      </c>
      <c r="R442" t="s">
        <v>23</v>
      </c>
      <c r="S442" s="1" t="s">
        <v>34218</v>
      </c>
    </row>
    <row r="443" spans="1:19" x14ac:dyDescent="0.25">
      <c r="A443">
        <v>101088329</v>
      </c>
      <c r="B443" t="s">
        <v>1569</v>
      </c>
      <c r="C443" t="s">
        <v>208</v>
      </c>
      <c r="F443" t="str">
        <f>"8139442061"</f>
        <v>8139442061</v>
      </c>
      <c r="G443" t="s">
        <v>1570</v>
      </c>
      <c r="H443" t="s">
        <v>1571</v>
      </c>
      <c r="I443" t="s">
        <v>52</v>
      </c>
      <c r="J443">
        <v>33707</v>
      </c>
      <c r="K443">
        <v>5351</v>
      </c>
      <c r="L443" t="s">
        <v>23</v>
      </c>
      <c r="M443" t="s">
        <v>1570</v>
      </c>
      <c r="N443" t="s">
        <v>1571</v>
      </c>
      <c r="O443" t="s">
        <v>52</v>
      </c>
      <c r="P443">
        <v>33707</v>
      </c>
      <c r="Q443">
        <v>5351</v>
      </c>
      <c r="R443" t="s">
        <v>23</v>
      </c>
      <c r="S443" s="1" t="s">
        <v>34218</v>
      </c>
    </row>
    <row r="444" spans="1:19" x14ac:dyDescent="0.25">
      <c r="A444">
        <v>101310560</v>
      </c>
      <c r="B444" t="s">
        <v>1572</v>
      </c>
      <c r="C444" t="s">
        <v>1573</v>
      </c>
      <c r="F444" t="str">
        <f>"9169157381"</f>
        <v>9169157381</v>
      </c>
      <c r="G444" t="s">
        <v>1574</v>
      </c>
      <c r="H444" t="s">
        <v>169</v>
      </c>
      <c r="I444" t="s">
        <v>565</v>
      </c>
      <c r="J444">
        <v>52353</v>
      </c>
      <c r="K444">
        <v>1445</v>
      </c>
      <c r="L444" t="s">
        <v>23</v>
      </c>
      <c r="M444" t="s">
        <v>1574</v>
      </c>
      <c r="N444" t="s">
        <v>169</v>
      </c>
      <c r="O444" t="s">
        <v>565</v>
      </c>
      <c r="P444">
        <v>52353</v>
      </c>
      <c r="Q444">
        <v>1445</v>
      </c>
      <c r="R444" t="s">
        <v>23</v>
      </c>
      <c r="S444" s="1" t="s">
        <v>34218</v>
      </c>
    </row>
    <row r="445" spans="1:19" x14ac:dyDescent="0.25">
      <c r="A445">
        <v>101318252</v>
      </c>
      <c r="B445" t="s">
        <v>744</v>
      </c>
      <c r="C445" t="s">
        <v>1575</v>
      </c>
      <c r="F445" t="str">
        <f>"8316553739"</f>
        <v>8316553739</v>
      </c>
      <c r="G445" t="s">
        <v>1576</v>
      </c>
      <c r="H445" t="s">
        <v>1280</v>
      </c>
      <c r="I445" t="s">
        <v>22</v>
      </c>
      <c r="J445">
        <v>93950</v>
      </c>
      <c r="K445">
        <v>7204</v>
      </c>
      <c r="L445" t="s">
        <v>23</v>
      </c>
      <c r="M445" t="s">
        <v>1576</v>
      </c>
      <c r="N445" t="s">
        <v>1280</v>
      </c>
      <c r="O445" t="s">
        <v>22</v>
      </c>
      <c r="P445">
        <v>93950</v>
      </c>
      <c r="Q445">
        <v>7204</v>
      </c>
      <c r="R445" t="s">
        <v>23</v>
      </c>
      <c r="S445" s="1" t="s">
        <v>34218</v>
      </c>
    </row>
    <row r="446" spans="1:19" x14ac:dyDescent="0.25">
      <c r="A446">
        <v>101186890</v>
      </c>
      <c r="B446" t="s">
        <v>1577</v>
      </c>
      <c r="C446" t="s">
        <v>728</v>
      </c>
      <c r="F446" t="str">
        <f>"6307238521"</f>
        <v>6307238521</v>
      </c>
      <c r="G446" t="s">
        <v>1578</v>
      </c>
      <c r="H446" t="s">
        <v>1579</v>
      </c>
      <c r="I446" t="s">
        <v>135</v>
      </c>
      <c r="J446" t="s">
        <v>1580</v>
      </c>
      <c r="K446">
        <v>1546</v>
      </c>
      <c r="L446" t="s">
        <v>23</v>
      </c>
      <c r="M446" t="s">
        <v>1578</v>
      </c>
      <c r="N446" t="s">
        <v>1579</v>
      </c>
      <c r="O446" t="s">
        <v>135</v>
      </c>
      <c r="P446" t="s">
        <v>1580</v>
      </c>
      <c r="Q446">
        <v>1546</v>
      </c>
      <c r="R446" t="s">
        <v>23</v>
      </c>
      <c r="S446" s="1" t="s">
        <v>34218</v>
      </c>
    </row>
    <row r="447" spans="1:19" x14ac:dyDescent="0.25">
      <c r="A447">
        <v>100959608</v>
      </c>
      <c r="B447" t="s">
        <v>1581</v>
      </c>
      <c r="C447" t="s">
        <v>1582</v>
      </c>
      <c r="F447" t="str">
        <f>"3144167450"</f>
        <v>3144167450</v>
      </c>
      <c r="G447" t="s">
        <v>1583</v>
      </c>
      <c r="H447" t="s">
        <v>125</v>
      </c>
      <c r="I447" t="s">
        <v>126</v>
      </c>
      <c r="J447">
        <v>63129</v>
      </c>
      <c r="K447">
        <v>6716</v>
      </c>
      <c r="L447" t="s">
        <v>23</v>
      </c>
      <c r="M447" t="s">
        <v>1583</v>
      </c>
      <c r="N447" t="s">
        <v>125</v>
      </c>
      <c r="O447" t="s">
        <v>126</v>
      </c>
      <c r="P447">
        <v>63129</v>
      </c>
      <c r="Q447">
        <v>6716</v>
      </c>
      <c r="R447" t="s">
        <v>23</v>
      </c>
      <c r="S447" s="1" t="s">
        <v>34218</v>
      </c>
    </row>
    <row r="448" spans="1:19" x14ac:dyDescent="0.25">
      <c r="A448">
        <v>100961604</v>
      </c>
      <c r="B448" t="s">
        <v>1584</v>
      </c>
      <c r="C448" t="s">
        <v>49</v>
      </c>
      <c r="F448" t="str">
        <f>"7184588832"</f>
        <v>7184588832</v>
      </c>
      <c r="G448" t="s">
        <v>1585</v>
      </c>
      <c r="H448" t="s">
        <v>1586</v>
      </c>
      <c r="I448" t="s">
        <v>117</v>
      </c>
      <c r="J448">
        <v>11372</v>
      </c>
      <c r="K448">
        <v>2518</v>
      </c>
      <c r="L448" t="s">
        <v>23</v>
      </c>
      <c r="M448" t="s">
        <v>1585</v>
      </c>
      <c r="N448" t="s">
        <v>1586</v>
      </c>
      <c r="O448" t="s">
        <v>117</v>
      </c>
      <c r="P448">
        <v>11372</v>
      </c>
      <c r="Q448">
        <v>2518</v>
      </c>
      <c r="R448" t="s">
        <v>23</v>
      </c>
      <c r="S448" s="1" t="s">
        <v>34218</v>
      </c>
    </row>
    <row r="449" spans="1:19" x14ac:dyDescent="0.25">
      <c r="A449">
        <v>101154678</v>
      </c>
      <c r="B449" t="s">
        <v>1587</v>
      </c>
      <c r="C449" t="s">
        <v>1588</v>
      </c>
      <c r="F449" t="str">
        <f>"6462216082"</f>
        <v>6462216082</v>
      </c>
      <c r="G449" t="s">
        <v>1589</v>
      </c>
      <c r="H449" t="s">
        <v>412</v>
      </c>
      <c r="I449" t="s">
        <v>117</v>
      </c>
      <c r="J449">
        <v>11215</v>
      </c>
      <c r="K449">
        <v>6746</v>
      </c>
      <c r="L449" t="s">
        <v>23</v>
      </c>
      <c r="M449" t="s">
        <v>1589</v>
      </c>
      <c r="N449" t="s">
        <v>412</v>
      </c>
      <c r="O449" t="s">
        <v>117</v>
      </c>
      <c r="P449">
        <v>11215</v>
      </c>
      <c r="Q449">
        <v>6746</v>
      </c>
      <c r="R449" t="s">
        <v>23</v>
      </c>
      <c r="S449" s="1" t="s">
        <v>34218</v>
      </c>
    </row>
    <row r="450" spans="1:19" x14ac:dyDescent="0.25">
      <c r="A450">
        <v>101165876</v>
      </c>
      <c r="B450" t="s">
        <v>1590</v>
      </c>
      <c r="C450" t="s">
        <v>1591</v>
      </c>
      <c r="F450" t="str">
        <f>"9723866723"</f>
        <v>9723866723</v>
      </c>
      <c r="G450" t="s">
        <v>1592</v>
      </c>
      <c r="H450" t="s">
        <v>380</v>
      </c>
      <c r="I450" t="s">
        <v>38</v>
      </c>
      <c r="J450">
        <v>75230</v>
      </c>
      <c r="K450">
        <v>2137</v>
      </c>
      <c r="L450" t="s">
        <v>23</v>
      </c>
      <c r="M450" t="s">
        <v>1592</v>
      </c>
      <c r="N450" t="s">
        <v>380</v>
      </c>
      <c r="O450" t="s">
        <v>38</v>
      </c>
      <c r="P450">
        <v>75230</v>
      </c>
      <c r="Q450">
        <v>2137</v>
      </c>
      <c r="R450" t="s">
        <v>23</v>
      </c>
      <c r="S450" s="1" t="s">
        <v>34218</v>
      </c>
    </row>
    <row r="451" spans="1:19" x14ac:dyDescent="0.25">
      <c r="A451">
        <v>101283710</v>
      </c>
      <c r="B451" t="s">
        <v>497</v>
      </c>
      <c r="C451" t="s">
        <v>668</v>
      </c>
      <c r="F451" t="str">
        <f>"3604919093"</f>
        <v>3604919093</v>
      </c>
      <c r="G451" t="s">
        <v>1593</v>
      </c>
      <c r="H451" t="s">
        <v>1594</v>
      </c>
      <c r="I451" t="s">
        <v>84</v>
      </c>
      <c r="J451">
        <v>98503</v>
      </c>
      <c r="K451">
        <v>2723</v>
      </c>
      <c r="L451" t="s">
        <v>23</v>
      </c>
      <c r="M451" t="s">
        <v>1593</v>
      </c>
      <c r="N451" t="s">
        <v>1594</v>
      </c>
      <c r="O451" t="s">
        <v>84</v>
      </c>
      <c r="P451">
        <v>98503</v>
      </c>
      <c r="Q451">
        <v>2723</v>
      </c>
      <c r="R451" t="s">
        <v>23</v>
      </c>
      <c r="S451" s="1" t="s">
        <v>34218</v>
      </c>
    </row>
    <row r="452" spans="1:19" x14ac:dyDescent="0.25">
      <c r="A452">
        <v>100740389</v>
      </c>
      <c r="B452" t="s">
        <v>1595</v>
      </c>
      <c r="C452" t="s">
        <v>350</v>
      </c>
      <c r="F452" t="str">
        <f>"3034672182"</f>
        <v>3034672182</v>
      </c>
      <c r="G452" t="s">
        <v>1596</v>
      </c>
      <c r="H452" t="s">
        <v>1597</v>
      </c>
      <c r="I452" t="s">
        <v>71</v>
      </c>
      <c r="J452">
        <v>80033</v>
      </c>
      <c r="K452">
        <v>4336</v>
      </c>
      <c r="L452" t="s">
        <v>23</v>
      </c>
      <c r="M452" t="s">
        <v>1596</v>
      </c>
      <c r="N452" t="s">
        <v>1597</v>
      </c>
      <c r="O452" t="s">
        <v>71</v>
      </c>
      <c r="P452">
        <v>80033</v>
      </c>
      <c r="Q452">
        <v>4336</v>
      </c>
      <c r="R452" t="s">
        <v>23</v>
      </c>
      <c r="S452" s="1" t="s">
        <v>34218</v>
      </c>
    </row>
    <row r="453" spans="1:19" x14ac:dyDescent="0.25">
      <c r="A453">
        <v>100745116</v>
      </c>
      <c r="B453" t="s">
        <v>166</v>
      </c>
      <c r="C453" t="s">
        <v>1598</v>
      </c>
      <c r="F453" t="str">
        <f>"7704907189"</f>
        <v>7704907189</v>
      </c>
      <c r="G453" t="s">
        <v>1599</v>
      </c>
      <c r="H453" t="s">
        <v>1600</v>
      </c>
      <c r="I453" t="s">
        <v>28</v>
      </c>
      <c r="J453">
        <v>30066</v>
      </c>
      <c r="K453">
        <v>2010</v>
      </c>
      <c r="L453" t="s">
        <v>23</v>
      </c>
      <c r="M453" t="s">
        <v>1599</v>
      </c>
      <c r="N453" t="s">
        <v>1600</v>
      </c>
      <c r="O453" t="s">
        <v>28</v>
      </c>
      <c r="P453">
        <v>30066</v>
      </c>
      <c r="Q453">
        <v>2010</v>
      </c>
      <c r="R453" t="s">
        <v>23</v>
      </c>
      <c r="S453" s="1" t="s">
        <v>34218</v>
      </c>
    </row>
    <row r="454" spans="1:19" x14ac:dyDescent="0.25">
      <c r="A454">
        <v>101440829</v>
      </c>
      <c r="B454" t="s">
        <v>1601</v>
      </c>
      <c r="C454" t="s">
        <v>1602</v>
      </c>
      <c r="F454" t="str">
        <f>"4434725699"</f>
        <v>4434725699</v>
      </c>
      <c r="G454" t="s">
        <v>1603</v>
      </c>
      <c r="H454" t="s">
        <v>1604</v>
      </c>
      <c r="I454" t="s">
        <v>148</v>
      </c>
      <c r="J454">
        <v>21045</v>
      </c>
      <c r="K454">
        <v>4407</v>
      </c>
      <c r="L454" t="s">
        <v>23</v>
      </c>
      <c r="M454" t="s">
        <v>1603</v>
      </c>
      <c r="N454" t="s">
        <v>1604</v>
      </c>
      <c r="O454" t="s">
        <v>148</v>
      </c>
      <c r="P454">
        <v>21045</v>
      </c>
      <c r="Q454">
        <v>4407</v>
      </c>
      <c r="R454" t="s">
        <v>23</v>
      </c>
      <c r="S454" s="1" t="s">
        <v>34218</v>
      </c>
    </row>
    <row r="455" spans="1:19" x14ac:dyDescent="0.25">
      <c r="A455">
        <v>100814860</v>
      </c>
      <c r="B455" t="s">
        <v>1605</v>
      </c>
      <c r="C455" t="s">
        <v>1606</v>
      </c>
      <c r="F455" t="str">
        <f>"5103820314"</f>
        <v>5103820314</v>
      </c>
      <c r="G455" t="s">
        <v>1607</v>
      </c>
      <c r="H455" t="s">
        <v>88</v>
      </c>
      <c r="I455" t="s">
        <v>22</v>
      </c>
      <c r="J455">
        <v>94605</v>
      </c>
      <c r="K455">
        <v>4125</v>
      </c>
      <c r="L455" t="s">
        <v>23</v>
      </c>
      <c r="M455" t="s">
        <v>1607</v>
      </c>
      <c r="N455" t="s">
        <v>88</v>
      </c>
      <c r="O455" t="s">
        <v>22</v>
      </c>
      <c r="P455">
        <v>94605</v>
      </c>
      <c r="Q455">
        <v>4125</v>
      </c>
      <c r="R455" t="s">
        <v>23</v>
      </c>
      <c r="S455" s="1" t="s">
        <v>34218</v>
      </c>
    </row>
    <row r="456" spans="1:19" x14ac:dyDescent="0.25">
      <c r="A456">
        <v>100661750</v>
      </c>
      <c r="B456" t="s">
        <v>1608</v>
      </c>
      <c r="C456" t="s">
        <v>403</v>
      </c>
      <c r="F456" t="str">
        <f>"9147407232"</f>
        <v>9147407232</v>
      </c>
      <c r="G456" t="s">
        <v>1609</v>
      </c>
      <c r="H456" t="s">
        <v>1610</v>
      </c>
      <c r="I456" t="s">
        <v>117</v>
      </c>
      <c r="J456">
        <v>10805</v>
      </c>
      <c r="K456">
        <v>2838</v>
      </c>
      <c r="L456" t="s">
        <v>23</v>
      </c>
      <c r="M456" t="s">
        <v>1609</v>
      </c>
      <c r="N456" t="s">
        <v>1610</v>
      </c>
      <c r="O456" t="s">
        <v>117</v>
      </c>
      <c r="P456">
        <v>10805</v>
      </c>
      <c r="Q456">
        <v>2838</v>
      </c>
      <c r="R456" t="s">
        <v>23</v>
      </c>
      <c r="S456" s="1" t="s">
        <v>34218</v>
      </c>
    </row>
    <row r="457" spans="1:19" x14ac:dyDescent="0.25">
      <c r="A457">
        <v>100873976</v>
      </c>
      <c r="B457" t="s">
        <v>1611</v>
      </c>
      <c r="C457" t="s">
        <v>1612</v>
      </c>
      <c r="F457" t="str">
        <f>"7609999999"</f>
        <v>7609999999</v>
      </c>
      <c r="G457" t="s">
        <v>1613</v>
      </c>
      <c r="H457" t="s">
        <v>1614</v>
      </c>
      <c r="I457" t="s">
        <v>22</v>
      </c>
      <c r="J457">
        <v>92057</v>
      </c>
      <c r="K457">
        <v>7012</v>
      </c>
      <c r="L457" t="s">
        <v>23</v>
      </c>
      <c r="M457" t="s">
        <v>1613</v>
      </c>
      <c r="N457" t="s">
        <v>1614</v>
      </c>
      <c r="O457" t="s">
        <v>22</v>
      </c>
      <c r="P457">
        <v>92057</v>
      </c>
      <c r="Q457">
        <v>7012</v>
      </c>
      <c r="R457" t="s">
        <v>23</v>
      </c>
      <c r="S457" s="1" t="s">
        <v>34218</v>
      </c>
    </row>
    <row r="458" spans="1:19" x14ac:dyDescent="0.25">
      <c r="A458">
        <v>100523054</v>
      </c>
      <c r="B458" t="s">
        <v>1581</v>
      </c>
      <c r="C458" t="s">
        <v>155</v>
      </c>
      <c r="F458" t="str">
        <f>"3017770914"</f>
        <v>3017770914</v>
      </c>
      <c r="G458" t="s">
        <v>1615</v>
      </c>
      <c r="H458" t="s">
        <v>676</v>
      </c>
      <c r="I458" t="s">
        <v>148</v>
      </c>
      <c r="J458">
        <v>21502</v>
      </c>
      <c r="K458">
        <v>1513</v>
      </c>
      <c r="L458" t="s">
        <v>23</v>
      </c>
      <c r="M458" t="s">
        <v>1615</v>
      </c>
      <c r="N458" t="s">
        <v>676</v>
      </c>
      <c r="O458" t="s">
        <v>148</v>
      </c>
      <c r="P458">
        <v>21502</v>
      </c>
      <c r="Q458">
        <v>1513</v>
      </c>
      <c r="R458" t="s">
        <v>23</v>
      </c>
      <c r="S458" s="1" t="s">
        <v>34218</v>
      </c>
    </row>
    <row r="459" spans="1:19" x14ac:dyDescent="0.25">
      <c r="A459">
        <v>100711444</v>
      </c>
      <c r="B459" t="s">
        <v>144</v>
      </c>
      <c r="C459" t="s">
        <v>1616</v>
      </c>
      <c r="F459" t="str">
        <f>"3042585594"</f>
        <v>3042585594</v>
      </c>
      <c r="G459" t="s">
        <v>1617</v>
      </c>
      <c r="H459" t="s">
        <v>1618</v>
      </c>
      <c r="I459" t="s">
        <v>327</v>
      </c>
      <c r="J459">
        <v>25427</v>
      </c>
      <c r="K459">
        <v>3345</v>
      </c>
      <c r="L459" t="s">
        <v>23</v>
      </c>
      <c r="M459" t="s">
        <v>1617</v>
      </c>
      <c r="N459" t="s">
        <v>1618</v>
      </c>
      <c r="O459" t="s">
        <v>327</v>
      </c>
      <c r="P459">
        <v>25427</v>
      </c>
      <c r="Q459">
        <v>3345</v>
      </c>
      <c r="R459" t="s">
        <v>23</v>
      </c>
      <c r="S459" s="1" t="s">
        <v>34218</v>
      </c>
    </row>
    <row r="460" spans="1:19" x14ac:dyDescent="0.25">
      <c r="A460">
        <v>100720183</v>
      </c>
      <c r="B460" t="s">
        <v>1619</v>
      </c>
      <c r="C460" t="s">
        <v>54</v>
      </c>
      <c r="F460" t="str">
        <f>"9285653978"</f>
        <v>9285653978</v>
      </c>
      <c r="G460" t="s">
        <v>1620</v>
      </c>
      <c r="H460" t="s">
        <v>1621</v>
      </c>
      <c r="I460" t="s">
        <v>365</v>
      </c>
      <c r="J460">
        <v>86413</v>
      </c>
      <c r="K460">
        <v>9164</v>
      </c>
      <c r="L460" t="s">
        <v>23</v>
      </c>
      <c r="M460" t="s">
        <v>1620</v>
      </c>
      <c r="N460" t="s">
        <v>1621</v>
      </c>
      <c r="O460" t="s">
        <v>365</v>
      </c>
      <c r="P460">
        <v>86413</v>
      </c>
      <c r="Q460">
        <v>9164</v>
      </c>
      <c r="R460" t="s">
        <v>23</v>
      </c>
      <c r="S460" s="1" t="s">
        <v>34218</v>
      </c>
    </row>
    <row r="461" spans="1:19" x14ac:dyDescent="0.25">
      <c r="A461">
        <v>100576289</v>
      </c>
      <c r="B461" t="s">
        <v>1622</v>
      </c>
      <c r="C461" t="s">
        <v>1623</v>
      </c>
      <c r="F461" t="str">
        <f>"7024551212"</f>
        <v>7024551212</v>
      </c>
      <c r="G461" t="s">
        <v>1624</v>
      </c>
      <c r="H461" t="s">
        <v>1625</v>
      </c>
      <c r="I461" t="s">
        <v>702</v>
      </c>
      <c r="J461">
        <v>89052</v>
      </c>
      <c r="K461">
        <v>2982</v>
      </c>
      <c r="L461" t="s">
        <v>23</v>
      </c>
      <c r="M461" t="s">
        <v>1624</v>
      </c>
      <c r="N461" t="s">
        <v>1625</v>
      </c>
      <c r="O461" t="s">
        <v>702</v>
      </c>
      <c r="P461">
        <v>89052</v>
      </c>
      <c r="Q461">
        <v>2982</v>
      </c>
      <c r="R461" t="s">
        <v>23</v>
      </c>
      <c r="S461" s="1" t="s">
        <v>34218</v>
      </c>
    </row>
    <row r="462" spans="1:19" x14ac:dyDescent="0.25">
      <c r="A462">
        <v>100775561</v>
      </c>
      <c r="B462" t="s">
        <v>1626</v>
      </c>
      <c r="C462" t="s">
        <v>641</v>
      </c>
      <c r="F462" t="str">
        <f>"4062225859"</f>
        <v>4062225859</v>
      </c>
      <c r="G462" t="s">
        <v>1627</v>
      </c>
      <c r="H462" t="s">
        <v>1628</v>
      </c>
      <c r="I462" t="s">
        <v>1000</v>
      </c>
      <c r="J462">
        <v>59047</v>
      </c>
      <c r="K462">
        <v>1503</v>
      </c>
      <c r="L462" t="s">
        <v>23</v>
      </c>
      <c r="M462" t="s">
        <v>1627</v>
      </c>
      <c r="N462" t="s">
        <v>1628</v>
      </c>
      <c r="O462" t="s">
        <v>1000</v>
      </c>
      <c r="P462">
        <v>59047</v>
      </c>
      <c r="Q462">
        <v>1503</v>
      </c>
      <c r="R462" t="s">
        <v>23</v>
      </c>
      <c r="S462" s="1" t="s">
        <v>34218</v>
      </c>
    </row>
    <row r="463" spans="1:19" x14ac:dyDescent="0.25">
      <c r="A463">
        <v>100588522</v>
      </c>
      <c r="B463" t="s">
        <v>640</v>
      </c>
      <c r="C463" t="s">
        <v>387</v>
      </c>
      <c r="F463" t="str">
        <f>"6412099494"</f>
        <v>6412099494</v>
      </c>
      <c r="G463" t="s">
        <v>1629</v>
      </c>
      <c r="H463" t="s">
        <v>1630</v>
      </c>
      <c r="I463" t="s">
        <v>327</v>
      </c>
      <c r="J463">
        <v>26757</v>
      </c>
      <c r="K463">
        <v>5016</v>
      </c>
      <c r="L463" t="s">
        <v>23</v>
      </c>
      <c r="M463" t="s">
        <v>1629</v>
      </c>
      <c r="N463" t="s">
        <v>1630</v>
      </c>
      <c r="O463" t="s">
        <v>327</v>
      </c>
      <c r="P463">
        <v>26757</v>
      </c>
      <c r="Q463">
        <v>5016</v>
      </c>
      <c r="R463" t="s">
        <v>23</v>
      </c>
      <c r="S463" s="1" t="s">
        <v>34218</v>
      </c>
    </row>
    <row r="464" spans="1:19" x14ac:dyDescent="0.25">
      <c r="A464">
        <v>100793717</v>
      </c>
      <c r="B464" t="s">
        <v>1631</v>
      </c>
      <c r="C464" t="s">
        <v>1632</v>
      </c>
      <c r="F464" t="str">
        <f>"5419288508"</f>
        <v>5419288508</v>
      </c>
      <c r="G464" t="s">
        <v>1633</v>
      </c>
      <c r="H464" t="s">
        <v>1052</v>
      </c>
      <c r="I464" t="s">
        <v>43</v>
      </c>
      <c r="J464">
        <v>97322</v>
      </c>
      <c r="K464">
        <v>4177</v>
      </c>
      <c r="L464" t="s">
        <v>23</v>
      </c>
      <c r="M464" t="s">
        <v>1633</v>
      </c>
      <c r="N464" t="s">
        <v>1052</v>
      </c>
      <c r="O464" t="s">
        <v>43</v>
      </c>
      <c r="P464">
        <v>97322</v>
      </c>
      <c r="Q464">
        <v>4177</v>
      </c>
      <c r="R464" t="s">
        <v>23</v>
      </c>
      <c r="S464" s="1" t="s">
        <v>34218</v>
      </c>
    </row>
    <row r="465" spans="1:19" x14ac:dyDescent="0.25">
      <c r="A465">
        <v>100629137</v>
      </c>
      <c r="B465" t="s">
        <v>1634</v>
      </c>
      <c r="C465" t="s">
        <v>582</v>
      </c>
      <c r="F465" t="str">
        <f>"8314490322"</f>
        <v>8314490322</v>
      </c>
      <c r="G465" t="s">
        <v>1635</v>
      </c>
      <c r="H465" t="s">
        <v>1636</v>
      </c>
      <c r="I465" t="s">
        <v>22</v>
      </c>
      <c r="J465">
        <v>93906</v>
      </c>
      <c r="K465">
        <v>2605</v>
      </c>
      <c r="L465" t="s">
        <v>23</v>
      </c>
      <c r="M465" t="s">
        <v>1635</v>
      </c>
      <c r="N465" t="s">
        <v>1636</v>
      </c>
      <c r="O465" t="s">
        <v>22</v>
      </c>
      <c r="P465">
        <v>93906</v>
      </c>
      <c r="Q465">
        <v>2605</v>
      </c>
      <c r="R465" t="s">
        <v>23</v>
      </c>
      <c r="S465" s="1" t="s">
        <v>34218</v>
      </c>
    </row>
    <row r="466" spans="1:19" x14ac:dyDescent="0.25">
      <c r="A466">
        <v>100854103</v>
      </c>
      <c r="B466" t="s">
        <v>1637</v>
      </c>
      <c r="C466" t="s">
        <v>1638</v>
      </c>
      <c r="F466" t="str">
        <f>"3018437545"</f>
        <v>3018437545</v>
      </c>
      <c r="G466" t="s">
        <v>1639</v>
      </c>
      <c r="H466" t="s">
        <v>1640</v>
      </c>
      <c r="I466" t="s">
        <v>148</v>
      </c>
      <c r="J466">
        <v>20601</v>
      </c>
      <c r="K466">
        <v>3322</v>
      </c>
      <c r="L466" t="s">
        <v>23</v>
      </c>
      <c r="M466" t="s">
        <v>1639</v>
      </c>
      <c r="N466" t="s">
        <v>1640</v>
      </c>
      <c r="O466" t="s">
        <v>148</v>
      </c>
      <c r="P466">
        <v>20601</v>
      </c>
      <c r="Q466">
        <v>3322</v>
      </c>
      <c r="R466" t="s">
        <v>23</v>
      </c>
      <c r="S466" s="1" t="s">
        <v>34218</v>
      </c>
    </row>
    <row r="467" spans="1:19" x14ac:dyDescent="0.25">
      <c r="A467">
        <v>100858062</v>
      </c>
      <c r="B467" t="s">
        <v>1641</v>
      </c>
      <c r="C467" t="s">
        <v>829</v>
      </c>
      <c r="F467" t="str">
        <f>"5555555555"</f>
        <v>5555555555</v>
      </c>
      <c r="G467" t="s">
        <v>1642</v>
      </c>
      <c r="H467" t="s">
        <v>66</v>
      </c>
      <c r="I467" t="s">
        <v>22</v>
      </c>
      <c r="J467">
        <v>94705</v>
      </c>
      <c r="K467">
        <v>1948</v>
      </c>
      <c r="L467" t="s">
        <v>23</v>
      </c>
      <c r="M467" t="s">
        <v>1642</v>
      </c>
      <c r="N467" t="s">
        <v>66</v>
      </c>
      <c r="O467" t="s">
        <v>22</v>
      </c>
      <c r="P467">
        <v>94705</v>
      </c>
      <c r="Q467">
        <v>1948</v>
      </c>
      <c r="R467" t="s">
        <v>23</v>
      </c>
      <c r="S467" s="1" t="s">
        <v>34218</v>
      </c>
    </row>
    <row r="468" spans="1:19" x14ac:dyDescent="0.25">
      <c r="A468">
        <v>100858124</v>
      </c>
      <c r="B468" t="s">
        <v>1643</v>
      </c>
      <c r="C468" t="s">
        <v>383</v>
      </c>
      <c r="F468" t="str">
        <f>"9728247678"</f>
        <v>9728247678</v>
      </c>
      <c r="G468" t="s">
        <v>1644</v>
      </c>
      <c r="H468" t="s">
        <v>1645</v>
      </c>
      <c r="I468" t="s">
        <v>38</v>
      </c>
      <c r="J468">
        <v>75006</v>
      </c>
      <c r="K468">
        <v>2801</v>
      </c>
      <c r="L468" t="s">
        <v>23</v>
      </c>
      <c r="M468" t="s">
        <v>1644</v>
      </c>
      <c r="N468" t="s">
        <v>1645</v>
      </c>
      <c r="O468" t="s">
        <v>38</v>
      </c>
      <c r="P468">
        <v>75006</v>
      </c>
      <c r="Q468">
        <v>2801</v>
      </c>
      <c r="R468" t="s">
        <v>23</v>
      </c>
      <c r="S468" s="1" t="s">
        <v>34218</v>
      </c>
    </row>
    <row r="469" spans="1:19" x14ac:dyDescent="0.25">
      <c r="A469">
        <v>101077798</v>
      </c>
      <c r="B469" t="s">
        <v>1646</v>
      </c>
      <c r="C469" t="s">
        <v>1647</v>
      </c>
      <c r="F469" t="str">
        <f>"8052206101"</f>
        <v>8052206101</v>
      </c>
      <c r="G469" t="s">
        <v>1648</v>
      </c>
      <c r="H469" t="s">
        <v>1649</v>
      </c>
      <c r="I469" t="s">
        <v>22</v>
      </c>
      <c r="J469">
        <v>93013</v>
      </c>
      <c r="K469">
        <v>2539</v>
      </c>
      <c r="L469" t="s">
        <v>23</v>
      </c>
      <c r="M469" t="s">
        <v>1648</v>
      </c>
      <c r="N469" t="s">
        <v>1649</v>
      </c>
      <c r="O469" t="s">
        <v>22</v>
      </c>
      <c r="P469">
        <v>93013</v>
      </c>
      <c r="Q469">
        <v>2539</v>
      </c>
      <c r="R469" t="s">
        <v>23</v>
      </c>
      <c r="S469" s="1" t="s">
        <v>34218</v>
      </c>
    </row>
    <row r="470" spans="1:19" x14ac:dyDescent="0.25">
      <c r="A470">
        <v>101076416</v>
      </c>
      <c r="B470" t="s">
        <v>1650</v>
      </c>
      <c r="C470" t="s">
        <v>1327</v>
      </c>
      <c r="F470" t="str">
        <f>"5624342520"</f>
        <v>5624342520</v>
      </c>
      <c r="G470" t="s">
        <v>1651</v>
      </c>
      <c r="H470" t="s">
        <v>311</v>
      </c>
      <c r="I470" t="s">
        <v>22</v>
      </c>
      <c r="J470">
        <v>90803</v>
      </c>
      <c r="K470">
        <v>8239</v>
      </c>
      <c r="L470" t="s">
        <v>23</v>
      </c>
      <c r="M470" t="s">
        <v>1651</v>
      </c>
      <c r="N470" t="s">
        <v>311</v>
      </c>
      <c r="O470" t="s">
        <v>22</v>
      </c>
      <c r="P470">
        <v>90803</v>
      </c>
      <c r="Q470">
        <v>8239</v>
      </c>
      <c r="R470" t="s">
        <v>23</v>
      </c>
      <c r="S470" s="1" t="s">
        <v>34218</v>
      </c>
    </row>
    <row r="471" spans="1:19" x14ac:dyDescent="0.25">
      <c r="A471">
        <v>101081460</v>
      </c>
      <c r="B471" t="s">
        <v>1652</v>
      </c>
      <c r="C471" t="s">
        <v>403</v>
      </c>
      <c r="F471" t="str">
        <f>"2485412954"</f>
        <v>2485412954</v>
      </c>
      <c r="G471" t="s">
        <v>1653</v>
      </c>
      <c r="H471" t="s">
        <v>1654</v>
      </c>
      <c r="I471" t="s">
        <v>140</v>
      </c>
      <c r="J471">
        <v>48069</v>
      </c>
      <c r="K471">
        <v>1242</v>
      </c>
      <c r="L471" t="s">
        <v>23</v>
      </c>
      <c r="M471" t="s">
        <v>1653</v>
      </c>
      <c r="N471" t="s">
        <v>1654</v>
      </c>
      <c r="O471" t="s">
        <v>140</v>
      </c>
      <c r="P471">
        <v>48069</v>
      </c>
      <c r="Q471">
        <v>1242</v>
      </c>
      <c r="R471" t="s">
        <v>23</v>
      </c>
      <c r="S471" s="1" t="s">
        <v>34218</v>
      </c>
    </row>
    <row r="472" spans="1:19" x14ac:dyDescent="0.25">
      <c r="A472">
        <v>101087994</v>
      </c>
      <c r="B472" t="s">
        <v>1595</v>
      </c>
      <c r="C472" t="s">
        <v>1655</v>
      </c>
      <c r="F472" t="str">
        <f>"5126930293"</f>
        <v>5126930293</v>
      </c>
      <c r="G472" t="s">
        <v>1656</v>
      </c>
      <c r="H472" t="s">
        <v>37</v>
      </c>
      <c r="I472" t="s">
        <v>38</v>
      </c>
      <c r="J472">
        <v>78745</v>
      </c>
      <c r="K472">
        <v>4351</v>
      </c>
      <c r="L472" t="s">
        <v>23</v>
      </c>
      <c r="M472" t="s">
        <v>1656</v>
      </c>
      <c r="N472" t="s">
        <v>37</v>
      </c>
      <c r="O472" t="s">
        <v>38</v>
      </c>
      <c r="P472">
        <v>78745</v>
      </c>
      <c r="Q472">
        <v>4351</v>
      </c>
      <c r="R472" t="s">
        <v>23</v>
      </c>
      <c r="S472" s="1" t="s">
        <v>34218</v>
      </c>
    </row>
    <row r="473" spans="1:19" x14ac:dyDescent="0.25">
      <c r="A473">
        <v>100956717</v>
      </c>
      <c r="B473" t="s">
        <v>1657</v>
      </c>
      <c r="C473" t="s">
        <v>1658</v>
      </c>
      <c r="F473" t="str">
        <f>"7186723181"</f>
        <v>7186723181</v>
      </c>
      <c r="G473" t="s">
        <v>1659</v>
      </c>
      <c r="H473" t="s">
        <v>1287</v>
      </c>
      <c r="I473" t="s">
        <v>117</v>
      </c>
      <c r="J473">
        <v>11377</v>
      </c>
      <c r="K473">
        <v>3923</v>
      </c>
      <c r="L473" t="s">
        <v>23</v>
      </c>
      <c r="M473" t="s">
        <v>1659</v>
      </c>
      <c r="N473" t="s">
        <v>1287</v>
      </c>
      <c r="O473" t="s">
        <v>117</v>
      </c>
      <c r="P473">
        <v>11377</v>
      </c>
      <c r="Q473">
        <v>3923</v>
      </c>
      <c r="R473" t="s">
        <v>23</v>
      </c>
      <c r="S473" s="1" t="s">
        <v>34218</v>
      </c>
    </row>
    <row r="474" spans="1:19" x14ac:dyDescent="0.25">
      <c r="A474">
        <v>100961017</v>
      </c>
      <c r="B474" t="s">
        <v>1660</v>
      </c>
      <c r="C474" t="s">
        <v>1298</v>
      </c>
      <c r="F474" t="str">
        <f>"8155827009"</f>
        <v>8155827009</v>
      </c>
      <c r="G474" t="s">
        <v>1661</v>
      </c>
      <c r="H474" t="s">
        <v>1170</v>
      </c>
      <c r="I474" t="s">
        <v>135</v>
      </c>
      <c r="J474">
        <v>60516</v>
      </c>
      <c r="K474">
        <v>2350</v>
      </c>
      <c r="L474" t="s">
        <v>23</v>
      </c>
      <c r="M474" t="s">
        <v>1661</v>
      </c>
      <c r="N474" t="s">
        <v>1170</v>
      </c>
      <c r="O474" t="s">
        <v>135</v>
      </c>
      <c r="P474">
        <v>60516</v>
      </c>
      <c r="Q474">
        <v>2350</v>
      </c>
      <c r="R474" t="s">
        <v>23</v>
      </c>
      <c r="S474" s="1" t="s">
        <v>34218</v>
      </c>
    </row>
    <row r="475" spans="1:19" x14ac:dyDescent="0.25">
      <c r="A475">
        <v>101150925</v>
      </c>
      <c r="B475" t="s">
        <v>1662</v>
      </c>
      <c r="C475" t="s">
        <v>102</v>
      </c>
      <c r="F475" t="str">
        <f>"5555555555"</f>
        <v>5555555555</v>
      </c>
      <c r="G475" t="s">
        <v>1663</v>
      </c>
      <c r="H475" t="s">
        <v>1664</v>
      </c>
      <c r="I475" t="s">
        <v>33</v>
      </c>
      <c r="J475">
        <v>16669</v>
      </c>
      <c r="K475">
        <v>3819</v>
      </c>
      <c r="L475" t="s">
        <v>23</v>
      </c>
      <c r="M475" t="s">
        <v>1663</v>
      </c>
      <c r="N475" t="s">
        <v>1664</v>
      </c>
      <c r="O475" t="s">
        <v>33</v>
      </c>
      <c r="P475">
        <v>16669</v>
      </c>
      <c r="Q475">
        <v>3819</v>
      </c>
      <c r="R475" t="s">
        <v>23</v>
      </c>
      <c r="S475" s="1" t="s">
        <v>34218</v>
      </c>
    </row>
    <row r="476" spans="1:19" x14ac:dyDescent="0.25">
      <c r="A476">
        <v>101149485</v>
      </c>
      <c r="B476" t="s">
        <v>1665</v>
      </c>
      <c r="C476" t="s">
        <v>123</v>
      </c>
      <c r="F476" t="str">
        <f>"6096300058"</f>
        <v>6096300058</v>
      </c>
      <c r="G476" t="s">
        <v>1666</v>
      </c>
      <c r="H476" t="s">
        <v>1667</v>
      </c>
      <c r="I476" t="s">
        <v>250</v>
      </c>
      <c r="J476">
        <v>8690</v>
      </c>
      <c r="K476">
        <v>3815</v>
      </c>
      <c r="L476" t="s">
        <v>23</v>
      </c>
      <c r="M476" t="s">
        <v>1666</v>
      </c>
      <c r="N476" t="s">
        <v>1667</v>
      </c>
      <c r="O476" t="s">
        <v>250</v>
      </c>
      <c r="P476">
        <v>8690</v>
      </c>
      <c r="Q476">
        <v>3815</v>
      </c>
      <c r="R476" t="s">
        <v>23</v>
      </c>
      <c r="S476" s="1" t="s">
        <v>34218</v>
      </c>
    </row>
    <row r="477" spans="1:19" x14ac:dyDescent="0.25">
      <c r="A477">
        <v>101164849</v>
      </c>
      <c r="B477" t="s">
        <v>1668</v>
      </c>
      <c r="C477" t="s">
        <v>1669</v>
      </c>
      <c r="F477" t="str">
        <f>"5414822166"</f>
        <v>5414822166</v>
      </c>
      <c r="G477" t="s">
        <v>1670</v>
      </c>
      <c r="H477" t="s">
        <v>177</v>
      </c>
      <c r="I477" t="s">
        <v>43</v>
      </c>
      <c r="J477">
        <v>97520</v>
      </c>
      <c r="K477">
        <v>2778</v>
      </c>
      <c r="L477" t="s">
        <v>23</v>
      </c>
      <c r="M477" t="s">
        <v>1670</v>
      </c>
      <c r="N477" t="s">
        <v>177</v>
      </c>
      <c r="O477" t="s">
        <v>43</v>
      </c>
      <c r="P477">
        <v>97520</v>
      </c>
      <c r="Q477">
        <v>2778</v>
      </c>
      <c r="R477" t="s">
        <v>23</v>
      </c>
      <c r="S477" s="1" t="s">
        <v>34218</v>
      </c>
    </row>
    <row r="478" spans="1:19" x14ac:dyDescent="0.25">
      <c r="A478">
        <v>101059320</v>
      </c>
      <c r="B478" t="s">
        <v>1671</v>
      </c>
      <c r="C478" t="s">
        <v>1672</v>
      </c>
      <c r="F478" t="str">
        <f>"8185627576"</f>
        <v>8185627576</v>
      </c>
      <c r="G478" t="s">
        <v>1673</v>
      </c>
      <c r="H478" t="s">
        <v>1674</v>
      </c>
      <c r="I478" t="s">
        <v>22</v>
      </c>
      <c r="J478">
        <v>91504</v>
      </c>
      <c r="K478">
        <v>2702</v>
      </c>
      <c r="L478" t="s">
        <v>23</v>
      </c>
      <c r="M478" t="s">
        <v>1673</v>
      </c>
      <c r="N478" t="s">
        <v>1674</v>
      </c>
      <c r="O478" t="s">
        <v>22</v>
      </c>
      <c r="P478">
        <v>91504</v>
      </c>
      <c r="Q478">
        <v>2702</v>
      </c>
      <c r="R478" t="s">
        <v>23</v>
      </c>
      <c r="S478" s="1" t="s">
        <v>34218</v>
      </c>
    </row>
    <row r="479" spans="1:19" x14ac:dyDescent="0.25">
      <c r="A479">
        <v>100613584</v>
      </c>
      <c r="B479" t="s">
        <v>1675</v>
      </c>
      <c r="C479" t="s">
        <v>1676</v>
      </c>
      <c r="F479" t="str">
        <f>"7314793818"</f>
        <v>7314793818</v>
      </c>
      <c r="G479" t="s">
        <v>1677</v>
      </c>
      <c r="H479" t="s">
        <v>1678</v>
      </c>
      <c r="I479" t="s">
        <v>914</v>
      </c>
      <c r="J479">
        <v>38257</v>
      </c>
      <c r="K479">
        <v>2704</v>
      </c>
      <c r="L479" t="s">
        <v>23</v>
      </c>
      <c r="M479" t="s">
        <v>1677</v>
      </c>
      <c r="N479" t="s">
        <v>1678</v>
      </c>
      <c r="O479" t="s">
        <v>914</v>
      </c>
      <c r="P479">
        <v>38257</v>
      </c>
      <c r="Q479">
        <v>2704</v>
      </c>
      <c r="R479" t="s">
        <v>23</v>
      </c>
      <c r="S479" s="1" t="s">
        <v>34218</v>
      </c>
    </row>
    <row r="480" spans="1:19" x14ac:dyDescent="0.25">
      <c r="A480">
        <v>100622761</v>
      </c>
      <c r="B480" t="s">
        <v>144</v>
      </c>
      <c r="C480" t="s">
        <v>1679</v>
      </c>
      <c r="F480" t="str">
        <f>"4155630554"</f>
        <v>4155630554</v>
      </c>
      <c r="G480" t="s">
        <v>1680</v>
      </c>
      <c r="H480" t="s">
        <v>130</v>
      </c>
      <c r="I480" t="s">
        <v>22</v>
      </c>
      <c r="J480">
        <v>94109</v>
      </c>
      <c r="K480">
        <v>5317</v>
      </c>
      <c r="L480" t="s">
        <v>23</v>
      </c>
      <c r="M480" t="s">
        <v>1680</v>
      </c>
      <c r="N480" t="s">
        <v>130</v>
      </c>
      <c r="O480" t="s">
        <v>22</v>
      </c>
      <c r="P480">
        <v>94109</v>
      </c>
      <c r="Q480">
        <v>5317</v>
      </c>
      <c r="R480" t="s">
        <v>23</v>
      </c>
      <c r="S480" s="1" t="s">
        <v>34218</v>
      </c>
    </row>
    <row r="481" spans="1:19" x14ac:dyDescent="0.25">
      <c r="A481">
        <v>100658248</v>
      </c>
      <c r="B481" t="s">
        <v>1681</v>
      </c>
      <c r="C481" t="s">
        <v>1467</v>
      </c>
      <c r="F481" t="str">
        <f>"6034882315"</f>
        <v>6034882315</v>
      </c>
      <c r="G481" t="s">
        <v>1682</v>
      </c>
      <c r="H481" t="s">
        <v>1367</v>
      </c>
      <c r="I481" t="s">
        <v>353</v>
      </c>
      <c r="J481">
        <v>3110</v>
      </c>
      <c r="K481">
        <v>4657</v>
      </c>
      <c r="L481" t="s">
        <v>23</v>
      </c>
      <c r="M481" t="s">
        <v>1682</v>
      </c>
      <c r="N481" t="s">
        <v>1367</v>
      </c>
      <c r="O481" t="s">
        <v>353</v>
      </c>
      <c r="P481">
        <v>3110</v>
      </c>
      <c r="Q481">
        <v>4657</v>
      </c>
      <c r="R481" t="s">
        <v>23</v>
      </c>
      <c r="S481" s="1" t="s">
        <v>34218</v>
      </c>
    </row>
    <row r="482" spans="1:19" x14ac:dyDescent="0.25">
      <c r="A482">
        <v>100739930</v>
      </c>
      <c r="B482" t="s">
        <v>1683</v>
      </c>
      <c r="C482" t="s">
        <v>1054</v>
      </c>
      <c r="F482" t="str">
        <f>"7033823248"</f>
        <v>7033823248</v>
      </c>
      <c r="G482" t="s">
        <v>1684</v>
      </c>
      <c r="H482" t="s">
        <v>746</v>
      </c>
      <c r="I482" t="s">
        <v>255</v>
      </c>
      <c r="J482">
        <v>22153</v>
      </c>
      <c r="K482">
        <v>2021</v>
      </c>
      <c r="L482" t="s">
        <v>23</v>
      </c>
      <c r="M482" t="s">
        <v>1684</v>
      </c>
      <c r="N482" t="s">
        <v>746</v>
      </c>
      <c r="O482" t="s">
        <v>255</v>
      </c>
      <c r="P482">
        <v>22153</v>
      </c>
      <c r="Q482">
        <v>2021</v>
      </c>
      <c r="R482" t="s">
        <v>23</v>
      </c>
      <c r="S482" s="1" t="s">
        <v>34218</v>
      </c>
    </row>
    <row r="483" spans="1:19" x14ac:dyDescent="0.25">
      <c r="A483">
        <v>100523224</v>
      </c>
      <c r="B483" t="s">
        <v>1685</v>
      </c>
      <c r="C483" t="s">
        <v>641</v>
      </c>
      <c r="F483" t="str">
        <f>"9168499369"</f>
        <v>9168499369</v>
      </c>
      <c r="G483" t="s">
        <v>1686</v>
      </c>
      <c r="H483" t="s">
        <v>1687</v>
      </c>
      <c r="I483" t="s">
        <v>22</v>
      </c>
      <c r="J483">
        <v>95628</v>
      </c>
      <c r="K483">
        <v>3444</v>
      </c>
      <c r="L483" t="s">
        <v>23</v>
      </c>
      <c r="M483" t="s">
        <v>1686</v>
      </c>
      <c r="N483" t="s">
        <v>1687</v>
      </c>
      <c r="O483" t="s">
        <v>22</v>
      </c>
      <c r="P483">
        <v>95628</v>
      </c>
      <c r="Q483">
        <v>3444</v>
      </c>
      <c r="R483" t="s">
        <v>23</v>
      </c>
      <c r="S483" s="1" t="s">
        <v>34218</v>
      </c>
    </row>
    <row r="484" spans="1:19" x14ac:dyDescent="0.25">
      <c r="A484">
        <v>100731159</v>
      </c>
      <c r="B484" t="s">
        <v>1688</v>
      </c>
      <c r="C484" t="s">
        <v>522</v>
      </c>
      <c r="F484" t="str">
        <f>"8284942083"</f>
        <v>8284942083</v>
      </c>
      <c r="G484" t="s">
        <v>1689</v>
      </c>
      <c r="H484" t="s">
        <v>93</v>
      </c>
      <c r="I484" t="s">
        <v>446</v>
      </c>
      <c r="J484">
        <v>28906</v>
      </c>
      <c r="K484">
        <v>1949</v>
      </c>
      <c r="L484" t="s">
        <v>23</v>
      </c>
      <c r="M484" t="s">
        <v>1689</v>
      </c>
      <c r="N484" t="s">
        <v>93</v>
      </c>
      <c r="O484" t="s">
        <v>446</v>
      </c>
      <c r="P484">
        <v>28906</v>
      </c>
      <c r="Q484">
        <v>1949</v>
      </c>
      <c r="R484" t="s">
        <v>23</v>
      </c>
      <c r="S484" s="1" t="s">
        <v>34218</v>
      </c>
    </row>
    <row r="485" spans="1:19" x14ac:dyDescent="0.25">
      <c r="A485">
        <v>100732920</v>
      </c>
      <c r="B485" t="s">
        <v>1690</v>
      </c>
      <c r="C485" t="s">
        <v>1363</v>
      </c>
      <c r="F485" t="str">
        <f>"5209079471"</f>
        <v>5209079471</v>
      </c>
      <c r="G485" t="s">
        <v>1691</v>
      </c>
      <c r="H485" t="s">
        <v>1439</v>
      </c>
      <c r="I485" t="s">
        <v>365</v>
      </c>
      <c r="J485">
        <v>85754</v>
      </c>
      <c r="K485">
        <v>7704</v>
      </c>
      <c r="L485" t="s">
        <v>23</v>
      </c>
      <c r="M485" t="s">
        <v>1691</v>
      </c>
      <c r="N485" t="s">
        <v>1439</v>
      </c>
      <c r="O485" t="s">
        <v>365</v>
      </c>
      <c r="P485">
        <v>85754</v>
      </c>
      <c r="Q485">
        <v>7704</v>
      </c>
      <c r="R485" t="s">
        <v>23</v>
      </c>
      <c r="S485" s="1" t="s">
        <v>34218</v>
      </c>
    </row>
    <row r="486" spans="1:19" x14ac:dyDescent="0.25">
      <c r="A486">
        <v>100918114</v>
      </c>
      <c r="B486" t="s">
        <v>793</v>
      </c>
      <c r="C486" t="s">
        <v>119</v>
      </c>
      <c r="F486" t="str">
        <f>"3613343908"</f>
        <v>3613343908</v>
      </c>
      <c r="G486" t="s">
        <v>1692</v>
      </c>
      <c r="H486" t="s">
        <v>1693</v>
      </c>
      <c r="I486" t="s">
        <v>38</v>
      </c>
      <c r="J486">
        <v>78411</v>
      </c>
      <c r="K486">
        <v>1709</v>
      </c>
      <c r="L486" t="s">
        <v>23</v>
      </c>
      <c r="M486" t="s">
        <v>1692</v>
      </c>
      <c r="N486" t="s">
        <v>1693</v>
      </c>
      <c r="O486" t="s">
        <v>38</v>
      </c>
      <c r="P486">
        <v>78411</v>
      </c>
      <c r="Q486">
        <v>1709</v>
      </c>
      <c r="R486" t="s">
        <v>23</v>
      </c>
      <c r="S486" s="1" t="s">
        <v>34218</v>
      </c>
    </row>
    <row r="487" spans="1:19" x14ac:dyDescent="0.25">
      <c r="A487">
        <v>100918562</v>
      </c>
      <c r="B487" t="s">
        <v>1694</v>
      </c>
      <c r="C487" t="s">
        <v>432</v>
      </c>
      <c r="F487" t="str">
        <f>"2316759752"</f>
        <v>2316759752</v>
      </c>
      <c r="G487" t="s">
        <v>1695</v>
      </c>
      <c r="H487" t="s">
        <v>1696</v>
      </c>
      <c r="I487" t="s">
        <v>140</v>
      </c>
      <c r="J487">
        <v>49713</v>
      </c>
      <c r="K487">
        <v>8602</v>
      </c>
      <c r="L487" t="s">
        <v>23</v>
      </c>
      <c r="M487" t="s">
        <v>1695</v>
      </c>
      <c r="N487" t="s">
        <v>1696</v>
      </c>
      <c r="O487" t="s">
        <v>140</v>
      </c>
      <c r="P487">
        <v>49713</v>
      </c>
      <c r="Q487">
        <v>8602</v>
      </c>
      <c r="R487" t="s">
        <v>23</v>
      </c>
      <c r="S487" s="1" t="s">
        <v>34218</v>
      </c>
    </row>
    <row r="488" spans="1:19" x14ac:dyDescent="0.25">
      <c r="A488">
        <v>100927973</v>
      </c>
      <c r="B488" t="s">
        <v>1697</v>
      </c>
      <c r="C488" t="s">
        <v>1698</v>
      </c>
      <c r="F488" t="str">
        <f>"4082887768"</f>
        <v>4082887768</v>
      </c>
      <c r="G488" t="s">
        <v>1699</v>
      </c>
      <c r="H488" t="s">
        <v>481</v>
      </c>
      <c r="I488" t="s">
        <v>22</v>
      </c>
      <c r="J488">
        <v>95125</v>
      </c>
      <c r="K488">
        <v>3114</v>
      </c>
      <c r="L488" t="s">
        <v>23</v>
      </c>
      <c r="M488" t="s">
        <v>1699</v>
      </c>
      <c r="N488" t="s">
        <v>481</v>
      </c>
      <c r="O488" t="s">
        <v>22</v>
      </c>
      <c r="P488">
        <v>95125</v>
      </c>
      <c r="Q488">
        <v>3114</v>
      </c>
      <c r="R488" t="s">
        <v>23</v>
      </c>
      <c r="S488" s="1" t="s">
        <v>34218</v>
      </c>
    </row>
    <row r="489" spans="1:19" x14ac:dyDescent="0.25">
      <c r="A489">
        <v>100932652</v>
      </c>
      <c r="B489" t="s">
        <v>1698</v>
      </c>
      <c r="C489" t="s">
        <v>664</v>
      </c>
      <c r="F489" t="str">
        <f>"3605924208"</f>
        <v>3605924208</v>
      </c>
      <c r="G489" t="s">
        <v>1700</v>
      </c>
      <c r="H489" t="s">
        <v>1701</v>
      </c>
      <c r="I489" t="s">
        <v>84</v>
      </c>
      <c r="J489">
        <v>98244</v>
      </c>
      <c r="K489">
        <v>9513</v>
      </c>
      <c r="L489" t="s">
        <v>23</v>
      </c>
      <c r="M489" t="s">
        <v>1700</v>
      </c>
      <c r="N489" t="s">
        <v>1701</v>
      </c>
      <c r="O489" t="s">
        <v>84</v>
      </c>
      <c r="P489">
        <v>98244</v>
      </c>
      <c r="Q489">
        <v>9513</v>
      </c>
      <c r="R489" t="s">
        <v>23</v>
      </c>
      <c r="S489" s="1" t="s">
        <v>34218</v>
      </c>
    </row>
    <row r="490" spans="1:19" x14ac:dyDescent="0.25">
      <c r="A490">
        <v>100577783</v>
      </c>
      <c r="B490" t="s">
        <v>1702</v>
      </c>
      <c r="C490" t="s">
        <v>1703</v>
      </c>
      <c r="F490" t="str">
        <f>"2484201191"</f>
        <v>2484201191</v>
      </c>
      <c r="G490" t="s">
        <v>1704</v>
      </c>
      <c r="H490" t="s">
        <v>1705</v>
      </c>
      <c r="I490" t="s">
        <v>140</v>
      </c>
      <c r="J490">
        <v>48067</v>
      </c>
      <c r="K490">
        <v>3638</v>
      </c>
      <c r="L490" t="s">
        <v>23</v>
      </c>
      <c r="M490" t="s">
        <v>1704</v>
      </c>
      <c r="N490" t="s">
        <v>1705</v>
      </c>
      <c r="O490" t="s">
        <v>140</v>
      </c>
      <c r="P490">
        <v>48067</v>
      </c>
      <c r="Q490">
        <v>3638</v>
      </c>
      <c r="R490" t="s">
        <v>23</v>
      </c>
      <c r="S490" s="1" t="s">
        <v>34218</v>
      </c>
    </row>
    <row r="491" spans="1:19" x14ac:dyDescent="0.25">
      <c r="A491">
        <v>100584515</v>
      </c>
      <c r="B491" t="s">
        <v>1581</v>
      </c>
      <c r="C491" t="s">
        <v>1036</v>
      </c>
      <c r="F491" t="str">
        <f>"2039999999"</f>
        <v>2039999999</v>
      </c>
      <c r="G491" t="s">
        <v>1706</v>
      </c>
      <c r="H491" t="s">
        <v>1707</v>
      </c>
      <c r="I491" t="s">
        <v>161</v>
      </c>
      <c r="J491">
        <v>6810</v>
      </c>
      <c r="K491">
        <v>5321</v>
      </c>
      <c r="L491" t="s">
        <v>23</v>
      </c>
      <c r="M491" t="s">
        <v>1706</v>
      </c>
      <c r="N491" t="s">
        <v>1707</v>
      </c>
      <c r="O491" t="s">
        <v>161</v>
      </c>
      <c r="P491">
        <v>6810</v>
      </c>
      <c r="Q491">
        <v>5321</v>
      </c>
      <c r="R491" t="s">
        <v>23</v>
      </c>
      <c r="S491" s="1" t="s">
        <v>34218</v>
      </c>
    </row>
    <row r="492" spans="1:19" x14ac:dyDescent="0.25">
      <c r="A492">
        <v>100598441</v>
      </c>
      <c r="B492" t="s">
        <v>1708</v>
      </c>
      <c r="C492" t="s">
        <v>579</v>
      </c>
      <c r="F492" t="str">
        <f>"7408812146"</f>
        <v>7408812146</v>
      </c>
      <c r="G492" t="s">
        <v>1709</v>
      </c>
      <c r="H492" t="s">
        <v>1710</v>
      </c>
      <c r="I492" t="s">
        <v>178</v>
      </c>
      <c r="J492">
        <v>43065</v>
      </c>
      <c r="K492">
        <v>7133</v>
      </c>
      <c r="L492" t="s">
        <v>23</v>
      </c>
      <c r="M492" t="s">
        <v>1709</v>
      </c>
      <c r="N492" t="s">
        <v>1710</v>
      </c>
      <c r="O492" t="s">
        <v>178</v>
      </c>
      <c r="P492">
        <v>43065</v>
      </c>
      <c r="Q492">
        <v>7133</v>
      </c>
      <c r="R492" t="s">
        <v>23</v>
      </c>
      <c r="S492" s="1" t="s">
        <v>34218</v>
      </c>
    </row>
    <row r="493" spans="1:19" x14ac:dyDescent="0.25">
      <c r="A493">
        <v>100787150</v>
      </c>
      <c r="B493" t="s">
        <v>1711</v>
      </c>
      <c r="C493" t="s">
        <v>49</v>
      </c>
      <c r="F493" t="str">
        <f>"9165489012"</f>
        <v>9165489012</v>
      </c>
      <c r="G493" t="s">
        <v>1712</v>
      </c>
      <c r="H493" t="s">
        <v>650</v>
      </c>
      <c r="I493" t="s">
        <v>22</v>
      </c>
      <c r="J493">
        <v>95815</v>
      </c>
      <c r="K493">
        <v>3738</v>
      </c>
      <c r="L493" t="s">
        <v>23</v>
      </c>
      <c r="M493" t="s">
        <v>1712</v>
      </c>
      <c r="N493" t="s">
        <v>650</v>
      </c>
      <c r="O493" t="s">
        <v>22</v>
      </c>
      <c r="P493">
        <v>95815</v>
      </c>
      <c r="Q493">
        <v>3738</v>
      </c>
      <c r="R493" t="s">
        <v>23</v>
      </c>
      <c r="S493" s="1" t="s">
        <v>34218</v>
      </c>
    </row>
    <row r="494" spans="1:19" x14ac:dyDescent="0.25">
      <c r="A494">
        <v>100841580</v>
      </c>
      <c r="B494" t="s">
        <v>1713</v>
      </c>
      <c r="C494" t="s">
        <v>1714</v>
      </c>
      <c r="F494" t="str">
        <f>"9154718945"</f>
        <v>9154718945</v>
      </c>
      <c r="G494" t="s">
        <v>1715</v>
      </c>
      <c r="H494" t="s">
        <v>1716</v>
      </c>
      <c r="I494" t="s">
        <v>38</v>
      </c>
      <c r="J494">
        <v>79902</v>
      </c>
      <c r="K494">
        <v>2505</v>
      </c>
      <c r="L494" t="s">
        <v>23</v>
      </c>
      <c r="M494" t="s">
        <v>1715</v>
      </c>
      <c r="N494" t="s">
        <v>1716</v>
      </c>
      <c r="O494" t="s">
        <v>38</v>
      </c>
      <c r="P494">
        <v>79902</v>
      </c>
      <c r="Q494">
        <v>2505</v>
      </c>
      <c r="R494" t="s">
        <v>23</v>
      </c>
      <c r="S494" s="1" t="s">
        <v>34218</v>
      </c>
    </row>
    <row r="495" spans="1:19" x14ac:dyDescent="0.25">
      <c r="A495">
        <v>100844274</v>
      </c>
      <c r="B495" t="s">
        <v>1717</v>
      </c>
      <c r="C495" t="s">
        <v>216</v>
      </c>
      <c r="F495" t="str">
        <f>"7246625006"</f>
        <v>7246625006</v>
      </c>
      <c r="G495" t="s">
        <v>1718</v>
      </c>
      <c r="H495" t="s">
        <v>1719</v>
      </c>
      <c r="I495" t="s">
        <v>33</v>
      </c>
      <c r="J495">
        <v>16137</v>
      </c>
      <c r="K495">
        <v>5546</v>
      </c>
      <c r="L495" t="s">
        <v>23</v>
      </c>
      <c r="M495" t="s">
        <v>1718</v>
      </c>
      <c r="N495" t="s">
        <v>1719</v>
      </c>
      <c r="O495" t="s">
        <v>33</v>
      </c>
      <c r="P495">
        <v>16137</v>
      </c>
      <c r="Q495">
        <v>5546</v>
      </c>
      <c r="R495" t="s">
        <v>23</v>
      </c>
      <c r="S495" s="1" t="s">
        <v>34218</v>
      </c>
    </row>
    <row r="496" spans="1:19" x14ac:dyDescent="0.25">
      <c r="A496">
        <v>101081077</v>
      </c>
      <c r="B496" t="s">
        <v>1720</v>
      </c>
      <c r="C496" t="s">
        <v>274</v>
      </c>
      <c r="F496" t="str">
        <f>"9737834163"</f>
        <v>9737834163</v>
      </c>
      <c r="G496" t="s">
        <v>1721</v>
      </c>
      <c r="H496" t="s">
        <v>1722</v>
      </c>
      <c r="I496" t="s">
        <v>250</v>
      </c>
      <c r="J496">
        <v>7028</v>
      </c>
      <c r="K496">
        <v>1330</v>
      </c>
      <c r="L496" t="s">
        <v>23</v>
      </c>
      <c r="M496" t="s">
        <v>1721</v>
      </c>
      <c r="N496" t="s">
        <v>1722</v>
      </c>
      <c r="O496" t="s">
        <v>250</v>
      </c>
      <c r="P496">
        <v>7028</v>
      </c>
      <c r="Q496">
        <v>1330</v>
      </c>
      <c r="R496" t="s">
        <v>23</v>
      </c>
      <c r="S496" s="1" t="s">
        <v>34218</v>
      </c>
    </row>
    <row r="497" spans="1:19" x14ac:dyDescent="0.25">
      <c r="A497">
        <v>100699891</v>
      </c>
      <c r="B497" t="s">
        <v>497</v>
      </c>
      <c r="C497" t="s">
        <v>1723</v>
      </c>
      <c r="F497" t="str">
        <f>"3108339113"</f>
        <v>3108339113</v>
      </c>
      <c r="G497" t="s">
        <v>1724</v>
      </c>
      <c r="H497" t="s">
        <v>1725</v>
      </c>
      <c r="I497" t="s">
        <v>22</v>
      </c>
      <c r="J497">
        <v>90731</v>
      </c>
      <c r="K497">
        <v>1840</v>
      </c>
      <c r="L497" t="s">
        <v>23</v>
      </c>
      <c r="M497" t="s">
        <v>1724</v>
      </c>
      <c r="N497" t="s">
        <v>1725</v>
      </c>
      <c r="O497" t="s">
        <v>22</v>
      </c>
      <c r="P497">
        <v>90731</v>
      </c>
      <c r="Q497">
        <v>1840</v>
      </c>
      <c r="R497" t="s">
        <v>23</v>
      </c>
      <c r="S497" s="1" t="s">
        <v>34218</v>
      </c>
    </row>
    <row r="498" spans="1:19" x14ac:dyDescent="0.25">
      <c r="A498">
        <v>100876990</v>
      </c>
      <c r="B498" t="s">
        <v>1726</v>
      </c>
      <c r="C498" t="s">
        <v>77</v>
      </c>
      <c r="F498" t="str">
        <f>"7062658648"</f>
        <v>7062658648</v>
      </c>
      <c r="G498" t="s">
        <v>1727</v>
      </c>
      <c r="H498" t="s">
        <v>1728</v>
      </c>
      <c r="I498" t="s">
        <v>28</v>
      </c>
      <c r="J498">
        <v>30534</v>
      </c>
      <c r="K498">
        <v>4333</v>
      </c>
      <c r="L498" t="s">
        <v>23</v>
      </c>
      <c r="M498" t="s">
        <v>1727</v>
      </c>
      <c r="N498" t="s">
        <v>1728</v>
      </c>
      <c r="O498" t="s">
        <v>28</v>
      </c>
      <c r="P498">
        <v>30534</v>
      </c>
      <c r="Q498">
        <v>4333</v>
      </c>
      <c r="R498" t="s">
        <v>23</v>
      </c>
      <c r="S498" s="1" t="s">
        <v>34218</v>
      </c>
    </row>
    <row r="499" spans="1:19" x14ac:dyDescent="0.25">
      <c r="A499">
        <v>101045673</v>
      </c>
      <c r="B499" t="s">
        <v>620</v>
      </c>
      <c r="C499" t="s">
        <v>167</v>
      </c>
      <c r="F499" t="str">
        <f>"5163134398"</f>
        <v>5163134398</v>
      </c>
      <c r="G499" t="s">
        <v>1729</v>
      </c>
      <c r="H499" t="s">
        <v>311</v>
      </c>
      <c r="I499" t="s">
        <v>117</v>
      </c>
      <c r="J499">
        <v>11561</v>
      </c>
      <c r="K499">
        <v>2615</v>
      </c>
      <c r="L499" t="s">
        <v>23</v>
      </c>
      <c r="M499" t="s">
        <v>1729</v>
      </c>
      <c r="N499" t="s">
        <v>311</v>
      </c>
      <c r="O499" t="s">
        <v>117</v>
      </c>
      <c r="P499">
        <v>11561</v>
      </c>
      <c r="Q499">
        <v>2615</v>
      </c>
      <c r="R499" t="s">
        <v>23</v>
      </c>
      <c r="S499" s="1" t="s">
        <v>34218</v>
      </c>
    </row>
    <row r="500" spans="1:19" x14ac:dyDescent="0.25">
      <c r="A500">
        <v>101274674</v>
      </c>
      <c r="B500" t="s">
        <v>1730</v>
      </c>
      <c r="C500" t="s">
        <v>1731</v>
      </c>
      <c r="F500" t="str">
        <f>"9493691405"</f>
        <v>9493691405</v>
      </c>
      <c r="G500" t="s">
        <v>1732</v>
      </c>
      <c r="H500" t="s">
        <v>1733</v>
      </c>
      <c r="I500" t="s">
        <v>22</v>
      </c>
      <c r="J500">
        <v>92675</v>
      </c>
      <c r="K500">
        <v>4601</v>
      </c>
      <c r="L500" t="s">
        <v>23</v>
      </c>
      <c r="M500" t="s">
        <v>1732</v>
      </c>
      <c r="N500" t="s">
        <v>1733</v>
      </c>
      <c r="O500" t="s">
        <v>22</v>
      </c>
      <c r="P500">
        <v>92675</v>
      </c>
      <c r="Q500">
        <v>4601</v>
      </c>
      <c r="R500" t="s">
        <v>23</v>
      </c>
      <c r="S500" s="1" t="s">
        <v>34218</v>
      </c>
    </row>
    <row r="501" spans="1:19" x14ac:dyDescent="0.25">
      <c r="A501">
        <v>101282844</v>
      </c>
      <c r="B501" t="s">
        <v>1734</v>
      </c>
      <c r="C501" t="s">
        <v>403</v>
      </c>
      <c r="F501" t="str">
        <f>"9803337545"</f>
        <v>9803337545</v>
      </c>
      <c r="G501" t="s">
        <v>1735</v>
      </c>
      <c r="H501" t="s">
        <v>1086</v>
      </c>
      <c r="I501" t="s">
        <v>446</v>
      </c>
      <c r="J501">
        <v>28205</v>
      </c>
      <c r="K501">
        <v>4972</v>
      </c>
      <c r="L501" t="s">
        <v>23</v>
      </c>
      <c r="M501" t="s">
        <v>1735</v>
      </c>
      <c r="N501" t="s">
        <v>1086</v>
      </c>
      <c r="O501" t="s">
        <v>446</v>
      </c>
      <c r="P501">
        <v>28205</v>
      </c>
      <c r="Q501">
        <v>4972</v>
      </c>
      <c r="R501" t="s">
        <v>23</v>
      </c>
      <c r="S501" s="1" t="s">
        <v>34218</v>
      </c>
    </row>
    <row r="502" spans="1:19" x14ac:dyDescent="0.25">
      <c r="A502">
        <v>101235436</v>
      </c>
      <c r="B502" t="s">
        <v>1736</v>
      </c>
      <c r="C502" t="s">
        <v>1737</v>
      </c>
      <c r="F502" t="str">
        <f>"8082642007"</f>
        <v>8082642007</v>
      </c>
      <c r="G502" t="s">
        <v>1738</v>
      </c>
      <c r="H502" t="s">
        <v>1739</v>
      </c>
      <c r="I502" t="s">
        <v>984</v>
      </c>
      <c r="J502">
        <v>96793</v>
      </c>
      <c r="K502">
        <v>8322</v>
      </c>
      <c r="L502" t="s">
        <v>23</v>
      </c>
      <c r="M502" t="s">
        <v>1738</v>
      </c>
      <c r="N502" t="s">
        <v>1739</v>
      </c>
      <c r="O502" t="s">
        <v>984</v>
      </c>
      <c r="P502">
        <v>96793</v>
      </c>
      <c r="Q502">
        <v>8322</v>
      </c>
      <c r="R502" t="s">
        <v>23</v>
      </c>
      <c r="S502" s="1" t="s">
        <v>34218</v>
      </c>
    </row>
    <row r="503" spans="1:19" x14ac:dyDescent="0.25">
      <c r="A503">
        <v>101247171</v>
      </c>
      <c r="B503" t="s">
        <v>1740</v>
      </c>
      <c r="C503" t="s">
        <v>180</v>
      </c>
      <c r="F503" t="str">
        <f>"5107418936"</f>
        <v>5107418936</v>
      </c>
      <c r="G503" t="s">
        <v>1741</v>
      </c>
      <c r="H503" t="s">
        <v>1742</v>
      </c>
      <c r="I503" t="s">
        <v>22</v>
      </c>
      <c r="J503">
        <v>94806</v>
      </c>
      <c r="K503">
        <v>1648</v>
      </c>
      <c r="L503" t="s">
        <v>23</v>
      </c>
      <c r="M503" t="s">
        <v>1741</v>
      </c>
      <c r="N503" t="s">
        <v>1742</v>
      </c>
      <c r="O503" t="s">
        <v>22</v>
      </c>
      <c r="P503">
        <v>94806</v>
      </c>
      <c r="Q503">
        <v>1648</v>
      </c>
      <c r="R503" t="s">
        <v>23</v>
      </c>
      <c r="S503" s="1" t="s">
        <v>34218</v>
      </c>
    </row>
    <row r="504" spans="1:19" x14ac:dyDescent="0.25">
      <c r="A504">
        <v>101234543</v>
      </c>
      <c r="B504" t="s">
        <v>1743</v>
      </c>
      <c r="C504" t="s">
        <v>575</v>
      </c>
      <c r="F504" t="str">
        <f>"8314641132"</f>
        <v>8314641132</v>
      </c>
      <c r="G504" t="s">
        <v>1744</v>
      </c>
      <c r="H504" t="s">
        <v>1293</v>
      </c>
      <c r="I504" t="s">
        <v>22</v>
      </c>
      <c r="J504">
        <v>95062</v>
      </c>
      <c r="K504">
        <v>3561</v>
      </c>
      <c r="L504" t="s">
        <v>23</v>
      </c>
      <c r="M504" t="s">
        <v>1744</v>
      </c>
      <c r="N504" t="s">
        <v>1293</v>
      </c>
      <c r="O504" t="s">
        <v>22</v>
      </c>
      <c r="P504">
        <v>95062</v>
      </c>
      <c r="Q504">
        <v>3561</v>
      </c>
      <c r="R504" t="s">
        <v>23</v>
      </c>
      <c r="S504" s="1" t="s">
        <v>34218</v>
      </c>
    </row>
    <row r="505" spans="1:19" x14ac:dyDescent="0.25">
      <c r="A505">
        <v>101088394</v>
      </c>
      <c r="B505" t="s">
        <v>1745</v>
      </c>
      <c r="C505" t="s">
        <v>1746</v>
      </c>
      <c r="F505" t="str">
        <f>"7039987889"</f>
        <v>7039987889</v>
      </c>
      <c r="G505" t="s">
        <v>1747</v>
      </c>
      <c r="H505" t="s">
        <v>1748</v>
      </c>
      <c r="I505" t="s">
        <v>255</v>
      </c>
      <c r="J505">
        <v>22206</v>
      </c>
      <c r="K505">
        <v>4115</v>
      </c>
      <c r="L505" t="s">
        <v>23</v>
      </c>
      <c r="M505" t="s">
        <v>1747</v>
      </c>
      <c r="N505" t="s">
        <v>1748</v>
      </c>
      <c r="O505" t="s">
        <v>255</v>
      </c>
      <c r="P505">
        <v>22206</v>
      </c>
      <c r="Q505">
        <v>4115</v>
      </c>
      <c r="R505" t="s">
        <v>23</v>
      </c>
      <c r="S505" s="1" t="s">
        <v>34218</v>
      </c>
    </row>
    <row r="506" spans="1:19" x14ac:dyDescent="0.25">
      <c r="A506">
        <v>101309577</v>
      </c>
      <c r="B506" t="s">
        <v>1749</v>
      </c>
      <c r="C506" t="s">
        <v>119</v>
      </c>
      <c r="F506" t="str">
        <f>"4083400103"</f>
        <v>4083400103</v>
      </c>
      <c r="G506" t="s">
        <v>1750</v>
      </c>
      <c r="H506" t="s">
        <v>1751</v>
      </c>
      <c r="I506" t="s">
        <v>22</v>
      </c>
      <c r="J506">
        <v>95070</v>
      </c>
      <c r="K506">
        <v>4910</v>
      </c>
      <c r="L506" t="s">
        <v>23</v>
      </c>
      <c r="M506" t="s">
        <v>1750</v>
      </c>
      <c r="N506" t="s">
        <v>1751</v>
      </c>
      <c r="O506" t="s">
        <v>22</v>
      </c>
      <c r="P506">
        <v>95070</v>
      </c>
      <c r="Q506">
        <v>4910</v>
      </c>
      <c r="R506" t="s">
        <v>23</v>
      </c>
      <c r="S506" s="1" t="s">
        <v>34218</v>
      </c>
    </row>
    <row r="507" spans="1:19" x14ac:dyDescent="0.25">
      <c r="A507">
        <v>100753172</v>
      </c>
      <c r="B507" t="s">
        <v>1752</v>
      </c>
      <c r="C507" t="s">
        <v>1549</v>
      </c>
      <c r="F507" t="str">
        <f>"8477698672"</f>
        <v>8477698672</v>
      </c>
      <c r="G507" t="s">
        <v>1753</v>
      </c>
      <c r="H507" t="s">
        <v>1754</v>
      </c>
      <c r="I507" t="s">
        <v>135</v>
      </c>
      <c r="J507">
        <v>60201</v>
      </c>
      <c r="K507">
        <v>2308</v>
      </c>
      <c r="L507" t="s">
        <v>23</v>
      </c>
      <c r="M507" t="s">
        <v>1753</v>
      </c>
      <c r="N507" t="s">
        <v>1754</v>
      </c>
      <c r="O507" t="s">
        <v>135</v>
      </c>
      <c r="P507">
        <v>60201</v>
      </c>
      <c r="Q507">
        <v>2308</v>
      </c>
      <c r="R507" t="s">
        <v>23</v>
      </c>
      <c r="S507" s="1" t="s">
        <v>34218</v>
      </c>
    </row>
    <row r="508" spans="1:19" x14ac:dyDescent="0.25">
      <c r="A508">
        <v>100755751</v>
      </c>
      <c r="B508" t="s">
        <v>1755</v>
      </c>
      <c r="C508" t="s">
        <v>1616</v>
      </c>
      <c r="F508" t="str">
        <f>"2134849778"</f>
        <v>2134849778</v>
      </c>
      <c r="G508" t="s">
        <v>1756</v>
      </c>
      <c r="H508" t="s">
        <v>299</v>
      </c>
      <c r="I508" t="s">
        <v>22</v>
      </c>
      <c r="J508">
        <v>90026</v>
      </c>
      <c r="K508">
        <v>1712</v>
      </c>
      <c r="L508" t="s">
        <v>23</v>
      </c>
      <c r="M508" t="s">
        <v>1756</v>
      </c>
      <c r="N508" t="s">
        <v>299</v>
      </c>
      <c r="O508" t="s">
        <v>22</v>
      </c>
      <c r="P508">
        <v>90026</v>
      </c>
      <c r="Q508">
        <v>1712</v>
      </c>
      <c r="R508" t="s">
        <v>23</v>
      </c>
      <c r="S508" s="1" t="s">
        <v>34218</v>
      </c>
    </row>
    <row r="509" spans="1:19" x14ac:dyDescent="0.25">
      <c r="A509">
        <v>100823359</v>
      </c>
      <c r="B509" t="s">
        <v>800</v>
      </c>
      <c r="C509" t="s">
        <v>1757</v>
      </c>
      <c r="F509" t="str">
        <f>"8608680333"</f>
        <v>8608680333</v>
      </c>
      <c r="G509" t="s">
        <v>1758</v>
      </c>
      <c r="H509" t="s">
        <v>1759</v>
      </c>
      <c r="I509" t="s">
        <v>161</v>
      </c>
      <c r="J509">
        <v>6794</v>
      </c>
      <c r="K509">
        <v>1213</v>
      </c>
      <c r="L509" t="s">
        <v>23</v>
      </c>
      <c r="M509" t="s">
        <v>1758</v>
      </c>
      <c r="N509" t="s">
        <v>1759</v>
      </c>
      <c r="O509" t="s">
        <v>161</v>
      </c>
      <c r="P509">
        <v>6794</v>
      </c>
      <c r="Q509">
        <v>1213</v>
      </c>
      <c r="R509" t="s">
        <v>23</v>
      </c>
      <c r="S509" s="1" t="s">
        <v>34218</v>
      </c>
    </row>
    <row r="510" spans="1:19" x14ac:dyDescent="0.25">
      <c r="A510">
        <v>100827465</v>
      </c>
      <c r="B510" t="s">
        <v>1760</v>
      </c>
      <c r="C510" t="s">
        <v>1147</v>
      </c>
      <c r="F510" t="str">
        <f>"6315595930"</f>
        <v>6315595930</v>
      </c>
      <c r="G510" t="s">
        <v>1761</v>
      </c>
      <c r="H510" t="s">
        <v>1762</v>
      </c>
      <c r="I510" t="s">
        <v>117</v>
      </c>
      <c r="J510">
        <v>11772</v>
      </c>
      <c r="K510">
        <v>3209</v>
      </c>
      <c r="L510" t="s">
        <v>23</v>
      </c>
      <c r="M510" t="s">
        <v>1761</v>
      </c>
      <c r="N510" t="s">
        <v>1762</v>
      </c>
      <c r="O510" t="s">
        <v>117</v>
      </c>
      <c r="P510">
        <v>11772</v>
      </c>
      <c r="Q510">
        <v>3209</v>
      </c>
      <c r="R510" t="s">
        <v>23</v>
      </c>
      <c r="S510" s="1" t="s">
        <v>34218</v>
      </c>
    </row>
    <row r="511" spans="1:19" x14ac:dyDescent="0.25">
      <c r="A511">
        <v>100643605</v>
      </c>
      <c r="B511" t="s">
        <v>1763</v>
      </c>
      <c r="C511" t="s">
        <v>252</v>
      </c>
      <c r="F511" t="str">
        <f>"3607547727"</f>
        <v>3607547727</v>
      </c>
      <c r="G511" t="s">
        <v>1764</v>
      </c>
      <c r="H511" t="s">
        <v>1765</v>
      </c>
      <c r="I511" t="s">
        <v>84</v>
      </c>
      <c r="J511">
        <v>98512</v>
      </c>
      <c r="K511">
        <v>2336</v>
      </c>
      <c r="L511" t="s">
        <v>23</v>
      </c>
      <c r="M511" t="s">
        <v>1764</v>
      </c>
      <c r="N511" t="s">
        <v>1765</v>
      </c>
      <c r="O511" t="s">
        <v>84</v>
      </c>
      <c r="P511">
        <v>98512</v>
      </c>
      <c r="Q511">
        <v>2336</v>
      </c>
      <c r="R511" t="s">
        <v>23</v>
      </c>
      <c r="S511" s="1" t="s">
        <v>34218</v>
      </c>
    </row>
    <row r="512" spans="1:19" x14ac:dyDescent="0.25">
      <c r="A512">
        <v>100576214</v>
      </c>
      <c r="B512" t="s">
        <v>1766</v>
      </c>
      <c r="C512" t="s">
        <v>180</v>
      </c>
      <c r="F512" t="str">
        <f>"2099573410"</f>
        <v>2099573410</v>
      </c>
      <c r="G512" t="s">
        <v>1767</v>
      </c>
      <c r="H512" t="s">
        <v>1768</v>
      </c>
      <c r="I512" t="s">
        <v>22</v>
      </c>
      <c r="J512">
        <v>95209</v>
      </c>
      <c r="K512">
        <v>2311</v>
      </c>
      <c r="L512" t="s">
        <v>23</v>
      </c>
      <c r="M512" t="s">
        <v>1767</v>
      </c>
      <c r="N512" t="s">
        <v>1768</v>
      </c>
      <c r="O512" t="s">
        <v>22</v>
      </c>
      <c r="P512">
        <v>95209</v>
      </c>
      <c r="Q512">
        <v>2311</v>
      </c>
      <c r="R512" t="s">
        <v>23</v>
      </c>
      <c r="S512" s="1" t="s">
        <v>34218</v>
      </c>
    </row>
    <row r="513" spans="1:19" x14ac:dyDescent="0.25">
      <c r="A513">
        <v>100802144</v>
      </c>
      <c r="B513" t="s">
        <v>1769</v>
      </c>
      <c r="C513" t="s">
        <v>1770</v>
      </c>
      <c r="F513" t="str">
        <f>"4156733558"</f>
        <v>4156733558</v>
      </c>
      <c r="G513" t="s">
        <v>1771</v>
      </c>
      <c r="H513" t="s">
        <v>130</v>
      </c>
      <c r="I513" t="s">
        <v>22</v>
      </c>
      <c r="J513">
        <v>94109</v>
      </c>
      <c r="K513">
        <v>5838</v>
      </c>
      <c r="L513" t="s">
        <v>23</v>
      </c>
      <c r="M513" t="s">
        <v>1771</v>
      </c>
      <c r="N513" t="s">
        <v>130</v>
      </c>
      <c r="O513" t="s">
        <v>22</v>
      </c>
      <c r="P513">
        <v>94109</v>
      </c>
      <c r="Q513">
        <v>5838</v>
      </c>
      <c r="R513" t="s">
        <v>23</v>
      </c>
      <c r="S513" s="1" t="s">
        <v>34218</v>
      </c>
    </row>
    <row r="514" spans="1:19" x14ac:dyDescent="0.25">
      <c r="A514">
        <v>100861742</v>
      </c>
      <c r="B514" t="s">
        <v>1772</v>
      </c>
      <c r="C514" t="s">
        <v>1773</v>
      </c>
      <c r="F514" t="str">
        <f>"3305495561"</f>
        <v>3305495561</v>
      </c>
      <c r="G514" t="s">
        <v>1774</v>
      </c>
      <c r="H514" t="s">
        <v>1775</v>
      </c>
      <c r="I514" t="s">
        <v>178</v>
      </c>
      <c r="J514">
        <v>44406</v>
      </c>
      <c r="K514">
        <v>9119</v>
      </c>
      <c r="L514" t="s">
        <v>23</v>
      </c>
      <c r="M514" t="s">
        <v>1774</v>
      </c>
      <c r="N514" t="s">
        <v>1775</v>
      </c>
      <c r="O514" t="s">
        <v>178</v>
      </c>
      <c r="P514">
        <v>44406</v>
      </c>
      <c r="Q514">
        <v>9119</v>
      </c>
      <c r="R514" t="s">
        <v>23</v>
      </c>
      <c r="S514" s="1" t="s">
        <v>34218</v>
      </c>
    </row>
    <row r="515" spans="1:19" x14ac:dyDescent="0.25">
      <c r="A515">
        <v>100870526</v>
      </c>
      <c r="B515" t="s">
        <v>1776</v>
      </c>
      <c r="C515" t="s">
        <v>535</v>
      </c>
      <c r="F515" t="str">
        <f>"5403922133"</f>
        <v>5403922133</v>
      </c>
      <c r="G515" t="s">
        <v>1777</v>
      </c>
      <c r="H515" t="s">
        <v>1510</v>
      </c>
      <c r="I515" t="s">
        <v>255</v>
      </c>
      <c r="J515">
        <v>24073</v>
      </c>
      <c r="K515">
        <v>2149</v>
      </c>
      <c r="L515" t="s">
        <v>23</v>
      </c>
      <c r="M515" t="s">
        <v>1777</v>
      </c>
      <c r="N515" t="s">
        <v>1510</v>
      </c>
      <c r="O515" t="s">
        <v>255</v>
      </c>
      <c r="P515">
        <v>24073</v>
      </c>
      <c r="Q515">
        <v>2149</v>
      </c>
      <c r="R515" t="s">
        <v>23</v>
      </c>
      <c r="S515" s="1" t="s">
        <v>34218</v>
      </c>
    </row>
    <row r="516" spans="1:19" x14ac:dyDescent="0.25">
      <c r="A516">
        <v>100517075</v>
      </c>
      <c r="B516" t="s">
        <v>1164</v>
      </c>
      <c r="C516" t="s">
        <v>1778</v>
      </c>
      <c r="F516" t="str">
        <f>"9495331153"</f>
        <v>9495331153</v>
      </c>
      <c r="G516" t="s">
        <v>1779</v>
      </c>
      <c r="H516" t="s">
        <v>1780</v>
      </c>
      <c r="I516" t="s">
        <v>22</v>
      </c>
      <c r="J516">
        <v>92024</v>
      </c>
      <c r="K516">
        <v>4552</v>
      </c>
      <c r="L516" t="s">
        <v>23</v>
      </c>
      <c r="M516" t="s">
        <v>1779</v>
      </c>
      <c r="N516" t="s">
        <v>1780</v>
      </c>
      <c r="O516" t="s">
        <v>22</v>
      </c>
      <c r="P516">
        <v>92024</v>
      </c>
      <c r="Q516">
        <v>4552</v>
      </c>
      <c r="R516" t="s">
        <v>23</v>
      </c>
      <c r="S516" s="1" t="s">
        <v>34218</v>
      </c>
    </row>
    <row r="517" spans="1:19" x14ac:dyDescent="0.25">
      <c r="A517">
        <v>100915430</v>
      </c>
      <c r="B517" t="s">
        <v>1781</v>
      </c>
      <c r="C517" t="s">
        <v>1616</v>
      </c>
      <c r="F517" t="str">
        <f>"4402657406"</f>
        <v>4402657406</v>
      </c>
      <c r="G517" t="s">
        <v>1782</v>
      </c>
      <c r="H517" t="s">
        <v>1783</v>
      </c>
      <c r="I517" t="s">
        <v>178</v>
      </c>
      <c r="J517">
        <v>44138</v>
      </c>
      <c r="K517">
        <v>3751</v>
      </c>
      <c r="L517" t="s">
        <v>23</v>
      </c>
      <c r="M517" t="s">
        <v>1782</v>
      </c>
      <c r="N517" t="s">
        <v>1783</v>
      </c>
      <c r="O517" t="s">
        <v>178</v>
      </c>
      <c r="P517">
        <v>44138</v>
      </c>
      <c r="Q517">
        <v>3751</v>
      </c>
      <c r="R517" t="s">
        <v>23</v>
      </c>
      <c r="S517" s="1" t="s">
        <v>34218</v>
      </c>
    </row>
    <row r="518" spans="1:19" x14ac:dyDescent="0.25">
      <c r="A518">
        <v>101127975</v>
      </c>
      <c r="B518" t="s">
        <v>1784</v>
      </c>
      <c r="C518" t="s">
        <v>1785</v>
      </c>
      <c r="F518" t="str">
        <f>"7025621947"</f>
        <v>7025621947</v>
      </c>
      <c r="G518" t="s">
        <v>1786</v>
      </c>
      <c r="H518" t="s">
        <v>1787</v>
      </c>
      <c r="I518" t="s">
        <v>702</v>
      </c>
      <c r="J518">
        <v>89108</v>
      </c>
      <c r="K518">
        <v>4140</v>
      </c>
      <c r="L518" t="s">
        <v>23</v>
      </c>
      <c r="M518" t="s">
        <v>1786</v>
      </c>
      <c r="N518" t="s">
        <v>1787</v>
      </c>
      <c r="O518" t="s">
        <v>702</v>
      </c>
      <c r="P518">
        <v>89108</v>
      </c>
      <c r="Q518">
        <v>4140</v>
      </c>
      <c r="R518" t="s">
        <v>23</v>
      </c>
      <c r="S518" s="1" t="s">
        <v>34218</v>
      </c>
    </row>
    <row r="519" spans="1:19" x14ac:dyDescent="0.25">
      <c r="A519">
        <v>101069549</v>
      </c>
      <c r="B519" t="s">
        <v>1788</v>
      </c>
      <c r="C519" t="s">
        <v>1789</v>
      </c>
      <c r="F519" t="str">
        <f>"7078298913"</f>
        <v>7078298913</v>
      </c>
      <c r="G519" t="s">
        <v>1790</v>
      </c>
      <c r="H519" t="s">
        <v>1791</v>
      </c>
      <c r="I519" t="s">
        <v>22</v>
      </c>
      <c r="J519">
        <v>95458</v>
      </c>
      <c r="K519">
        <v>8502</v>
      </c>
      <c r="L519" t="s">
        <v>23</v>
      </c>
      <c r="M519" t="s">
        <v>1790</v>
      </c>
      <c r="N519" t="s">
        <v>1791</v>
      </c>
      <c r="O519" t="s">
        <v>22</v>
      </c>
      <c r="P519">
        <v>95458</v>
      </c>
      <c r="Q519">
        <v>8502</v>
      </c>
      <c r="R519" t="s">
        <v>23</v>
      </c>
      <c r="S519" s="1" t="s">
        <v>34218</v>
      </c>
    </row>
    <row r="520" spans="1:19" x14ac:dyDescent="0.25">
      <c r="A520">
        <v>101302843</v>
      </c>
      <c r="B520" t="s">
        <v>1792</v>
      </c>
      <c r="C520" t="s">
        <v>1793</v>
      </c>
      <c r="F520" t="str">
        <f>"5555555555"</f>
        <v>5555555555</v>
      </c>
      <c r="G520" t="s">
        <v>1794</v>
      </c>
      <c r="H520" t="s">
        <v>892</v>
      </c>
      <c r="I520" t="s">
        <v>22</v>
      </c>
      <c r="J520">
        <v>95971</v>
      </c>
      <c r="K520">
        <v>9657</v>
      </c>
      <c r="L520" t="s">
        <v>23</v>
      </c>
      <c r="M520" t="s">
        <v>1794</v>
      </c>
      <c r="N520" t="s">
        <v>892</v>
      </c>
      <c r="O520" t="s">
        <v>22</v>
      </c>
      <c r="P520">
        <v>95971</v>
      </c>
      <c r="Q520">
        <v>9657</v>
      </c>
      <c r="R520" t="s">
        <v>23</v>
      </c>
      <c r="S520" s="1" t="s">
        <v>34218</v>
      </c>
    </row>
    <row r="521" spans="1:19" x14ac:dyDescent="0.25">
      <c r="A521">
        <v>101308599</v>
      </c>
      <c r="B521" t="s">
        <v>1795</v>
      </c>
      <c r="C521" t="s">
        <v>1796</v>
      </c>
      <c r="F521" t="str">
        <f>"9783651940"</f>
        <v>9783651940</v>
      </c>
      <c r="G521" t="s">
        <v>1797</v>
      </c>
      <c r="H521" t="s">
        <v>504</v>
      </c>
      <c r="I521" t="s">
        <v>236</v>
      </c>
      <c r="J521">
        <v>1510</v>
      </c>
      <c r="K521">
        <v>4300</v>
      </c>
      <c r="L521" t="s">
        <v>23</v>
      </c>
      <c r="M521" t="s">
        <v>1797</v>
      </c>
      <c r="N521" t="s">
        <v>504</v>
      </c>
      <c r="O521" t="s">
        <v>236</v>
      </c>
      <c r="P521">
        <v>1510</v>
      </c>
      <c r="Q521">
        <v>4300</v>
      </c>
      <c r="R521" t="s">
        <v>23</v>
      </c>
      <c r="S521" s="1" t="s">
        <v>34218</v>
      </c>
    </row>
    <row r="522" spans="1:19" x14ac:dyDescent="0.25">
      <c r="A522">
        <v>101321942</v>
      </c>
      <c r="B522" t="s">
        <v>1205</v>
      </c>
      <c r="C522" t="s">
        <v>846</v>
      </c>
      <c r="F522" t="str">
        <f>"9133819706"</f>
        <v>9133819706</v>
      </c>
      <c r="G522" t="s">
        <v>1798</v>
      </c>
      <c r="H522" t="s">
        <v>1799</v>
      </c>
      <c r="I522" t="s">
        <v>241</v>
      </c>
      <c r="J522">
        <v>66208</v>
      </c>
      <c r="K522">
        <v>2412</v>
      </c>
      <c r="L522" t="s">
        <v>23</v>
      </c>
      <c r="M522" t="s">
        <v>1798</v>
      </c>
      <c r="N522" t="s">
        <v>1799</v>
      </c>
      <c r="O522" t="s">
        <v>241</v>
      </c>
      <c r="P522">
        <v>66208</v>
      </c>
      <c r="Q522">
        <v>2412</v>
      </c>
      <c r="R522" t="s">
        <v>23</v>
      </c>
      <c r="S522" s="1" t="s">
        <v>34218</v>
      </c>
    </row>
    <row r="523" spans="1:19" x14ac:dyDescent="0.25">
      <c r="A523">
        <v>101324671</v>
      </c>
      <c r="B523" t="s">
        <v>1800</v>
      </c>
      <c r="C523" t="s">
        <v>1801</v>
      </c>
      <c r="F523" t="str">
        <f>"8476526592"</f>
        <v>8476526592</v>
      </c>
      <c r="G523" t="s">
        <v>1802</v>
      </c>
      <c r="H523" t="s">
        <v>1803</v>
      </c>
      <c r="I523" t="s">
        <v>135</v>
      </c>
      <c r="J523">
        <v>60123</v>
      </c>
      <c r="K523">
        <v>2721</v>
      </c>
      <c r="L523" t="s">
        <v>23</v>
      </c>
      <c r="M523" t="s">
        <v>1802</v>
      </c>
      <c r="N523" t="s">
        <v>1803</v>
      </c>
      <c r="O523" t="s">
        <v>135</v>
      </c>
      <c r="P523">
        <v>60123</v>
      </c>
      <c r="Q523">
        <v>2721</v>
      </c>
      <c r="R523" t="s">
        <v>23</v>
      </c>
      <c r="S523" s="1" t="s">
        <v>34218</v>
      </c>
    </row>
    <row r="524" spans="1:19" x14ac:dyDescent="0.25">
      <c r="A524">
        <v>100983883</v>
      </c>
      <c r="B524" t="s">
        <v>1804</v>
      </c>
      <c r="C524" t="s">
        <v>1327</v>
      </c>
      <c r="F524" t="str">
        <f>"5055771668"</f>
        <v>5055771668</v>
      </c>
      <c r="G524" t="s">
        <v>1805</v>
      </c>
      <c r="H524" t="s">
        <v>1806</v>
      </c>
      <c r="I524" t="s">
        <v>639</v>
      </c>
      <c r="J524">
        <v>88062</v>
      </c>
      <c r="K524">
        <v>2743</v>
      </c>
      <c r="L524" t="s">
        <v>23</v>
      </c>
      <c r="M524" t="s">
        <v>1805</v>
      </c>
      <c r="N524" t="s">
        <v>1806</v>
      </c>
      <c r="O524" t="s">
        <v>639</v>
      </c>
      <c r="P524">
        <v>88062</v>
      </c>
      <c r="Q524">
        <v>2743</v>
      </c>
      <c r="R524" t="s">
        <v>23</v>
      </c>
      <c r="S524" s="1" t="s">
        <v>34218</v>
      </c>
    </row>
    <row r="525" spans="1:19" x14ac:dyDescent="0.25">
      <c r="A525">
        <v>100986523</v>
      </c>
      <c r="B525" t="s">
        <v>1807</v>
      </c>
      <c r="C525" t="s">
        <v>1808</v>
      </c>
      <c r="F525" t="str">
        <f>"4157868126"</f>
        <v>4157868126</v>
      </c>
      <c r="G525" t="s">
        <v>1809</v>
      </c>
      <c r="H525" t="s">
        <v>130</v>
      </c>
      <c r="I525" t="s">
        <v>22</v>
      </c>
      <c r="J525">
        <v>94114</v>
      </c>
      <c r="K525">
        <v>3321</v>
      </c>
      <c r="L525" t="s">
        <v>23</v>
      </c>
      <c r="M525" t="s">
        <v>1809</v>
      </c>
      <c r="N525" t="s">
        <v>130</v>
      </c>
      <c r="O525" t="s">
        <v>22</v>
      </c>
      <c r="P525">
        <v>94114</v>
      </c>
      <c r="Q525">
        <v>3321</v>
      </c>
      <c r="R525" t="s">
        <v>23</v>
      </c>
      <c r="S525" s="1" t="s">
        <v>34218</v>
      </c>
    </row>
    <row r="526" spans="1:19" x14ac:dyDescent="0.25">
      <c r="A526">
        <v>101175042</v>
      </c>
      <c r="B526" t="s">
        <v>1810</v>
      </c>
      <c r="C526" t="s">
        <v>1811</v>
      </c>
      <c r="F526" t="str">
        <f>"5599400704"</f>
        <v>5599400704</v>
      </c>
      <c r="G526" t="s">
        <v>1812</v>
      </c>
      <c r="H526" t="s">
        <v>1813</v>
      </c>
      <c r="I526" t="s">
        <v>22</v>
      </c>
      <c r="J526">
        <v>93648</v>
      </c>
      <c r="K526">
        <v>2706</v>
      </c>
      <c r="L526" t="s">
        <v>23</v>
      </c>
      <c r="M526" t="s">
        <v>1812</v>
      </c>
      <c r="N526" t="s">
        <v>1813</v>
      </c>
      <c r="O526" t="s">
        <v>22</v>
      </c>
      <c r="P526">
        <v>93648</v>
      </c>
      <c r="Q526">
        <v>2706</v>
      </c>
      <c r="R526" t="s">
        <v>23</v>
      </c>
      <c r="S526" s="1" t="s">
        <v>34218</v>
      </c>
    </row>
    <row r="527" spans="1:19" x14ac:dyDescent="0.25">
      <c r="A527">
        <v>101182027</v>
      </c>
      <c r="B527" t="s">
        <v>1814</v>
      </c>
      <c r="C527" t="s">
        <v>1815</v>
      </c>
      <c r="F527" t="str">
        <f>"5029696470"</f>
        <v>5029696470</v>
      </c>
      <c r="G527" t="s">
        <v>1816</v>
      </c>
      <c r="H527" t="s">
        <v>1096</v>
      </c>
      <c r="I527" t="s">
        <v>1097</v>
      </c>
      <c r="J527">
        <v>40219</v>
      </c>
      <c r="K527">
        <v>2526</v>
      </c>
      <c r="L527" t="s">
        <v>23</v>
      </c>
      <c r="M527" t="s">
        <v>1816</v>
      </c>
      <c r="N527" t="s">
        <v>1096</v>
      </c>
      <c r="O527" t="s">
        <v>1097</v>
      </c>
      <c r="P527">
        <v>40219</v>
      </c>
      <c r="Q527">
        <v>2526</v>
      </c>
      <c r="R527" t="s">
        <v>23</v>
      </c>
      <c r="S527" s="1" t="s">
        <v>34218</v>
      </c>
    </row>
    <row r="528" spans="1:19" x14ac:dyDescent="0.25">
      <c r="A528">
        <v>100955634</v>
      </c>
      <c r="B528" t="s">
        <v>1817</v>
      </c>
      <c r="C528" t="s">
        <v>1818</v>
      </c>
      <c r="F528" t="str">
        <f>"3603851985"</f>
        <v>3603851985</v>
      </c>
      <c r="G528" t="s">
        <v>1819</v>
      </c>
      <c r="H528" t="s">
        <v>855</v>
      </c>
      <c r="I528" t="s">
        <v>84</v>
      </c>
      <c r="J528">
        <v>98368</v>
      </c>
      <c r="K528">
        <v>3104</v>
      </c>
      <c r="L528" t="s">
        <v>23</v>
      </c>
      <c r="M528" t="s">
        <v>1819</v>
      </c>
      <c r="N528" t="s">
        <v>855</v>
      </c>
      <c r="O528" t="s">
        <v>84</v>
      </c>
      <c r="P528">
        <v>98368</v>
      </c>
      <c r="Q528">
        <v>3104</v>
      </c>
      <c r="R528" t="s">
        <v>23</v>
      </c>
      <c r="S528" s="1" t="s">
        <v>34218</v>
      </c>
    </row>
    <row r="529" spans="1:19" x14ac:dyDescent="0.25">
      <c r="A529">
        <v>101289282</v>
      </c>
      <c r="B529" t="s">
        <v>1820</v>
      </c>
      <c r="C529" t="s">
        <v>1821</v>
      </c>
      <c r="F529" t="str">
        <f>"5025516382"</f>
        <v>5025516382</v>
      </c>
      <c r="G529" t="s">
        <v>1822</v>
      </c>
      <c r="H529" t="s">
        <v>1096</v>
      </c>
      <c r="I529" t="s">
        <v>1097</v>
      </c>
      <c r="J529">
        <v>40206</v>
      </c>
      <c r="K529">
        <v>2869</v>
      </c>
      <c r="L529" t="s">
        <v>23</v>
      </c>
      <c r="M529" t="s">
        <v>1822</v>
      </c>
      <c r="N529" t="s">
        <v>1096</v>
      </c>
      <c r="O529" t="s">
        <v>1097</v>
      </c>
      <c r="P529">
        <v>40206</v>
      </c>
      <c r="Q529">
        <v>2869</v>
      </c>
      <c r="R529" t="s">
        <v>23</v>
      </c>
      <c r="S529" s="1" t="s">
        <v>34218</v>
      </c>
    </row>
    <row r="530" spans="1:19" x14ac:dyDescent="0.25">
      <c r="A530">
        <v>101294953</v>
      </c>
      <c r="B530" t="s">
        <v>1823</v>
      </c>
      <c r="C530" t="s">
        <v>1824</v>
      </c>
      <c r="F530" t="str">
        <f>"3343290488"</f>
        <v>3343290488</v>
      </c>
      <c r="G530" t="s">
        <v>1825</v>
      </c>
      <c r="H530" t="s">
        <v>1826</v>
      </c>
      <c r="I530" t="s">
        <v>255</v>
      </c>
      <c r="J530">
        <v>24592</v>
      </c>
      <c r="K530">
        <v>6983</v>
      </c>
      <c r="L530" t="s">
        <v>23</v>
      </c>
      <c r="M530" t="s">
        <v>1825</v>
      </c>
      <c r="N530" t="s">
        <v>1826</v>
      </c>
      <c r="O530" t="s">
        <v>255</v>
      </c>
      <c r="P530">
        <v>24592</v>
      </c>
      <c r="Q530">
        <v>6983</v>
      </c>
      <c r="R530" t="s">
        <v>23</v>
      </c>
      <c r="S530" s="1" t="s">
        <v>34218</v>
      </c>
    </row>
    <row r="531" spans="1:19" x14ac:dyDescent="0.25">
      <c r="A531">
        <v>101294079</v>
      </c>
      <c r="B531" t="s">
        <v>1827</v>
      </c>
      <c r="C531" t="s">
        <v>1828</v>
      </c>
      <c r="F531" t="str">
        <f>"3133401501"</f>
        <v>3133401501</v>
      </c>
      <c r="G531" t="s">
        <v>1829</v>
      </c>
      <c r="H531" t="s">
        <v>1830</v>
      </c>
      <c r="I531" t="s">
        <v>140</v>
      </c>
      <c r="J531">
        <v>48221</v>
      </c>
      <c r="K531">
        <v>1123</v>
      </c>
      <c r="L531" t="s">
        <v>23</v>
      </c>
      <c r="M531" t="s">
        <v>1829</v>
      </c>
      <c r="N531" t="s">
        <v>1830</v>
      </c>
      <c r="O531" t="s">
        <v>140</v>
      </c>
      <c r="P531">
        <v>48221</v>
      </c>
      <c r="Q531">
        <v>1123</v>
      </c>
      <c r="R531" t="s">
        <v>23</v>
      </c>
      <c r="S531" s="1" t="s">
        <v>34218</v>
      </c>
    </row>
    <row r="532" spans="1:19" x14ac:dyDescent="0.25">
      <c r="A532">
        <v>100835610</v>
      </c>
      <c r="B532" t="s">
        <v>1831</v>
      </c>
      <c r="C532" t="s">
        <v>1832</v>
      </c>
      <c r="F532" t="str">
        <f>"5078354777"</f>
        <v>5078354777</v>
      </c>
      <c r="G532" t="s">
        <v>1833</v>
      </c>
      <c r="H532" t="s">
        <v>1834</v>
      </c>
      <c r="I532" t="s">
        <v>187</v>
      </c>
      <c r="J532">
        <v>56093</v>
      </c>
      <c r="K532">
        <v>3814</v>
      </c>
      <c r="L532" t="s">
        <v>23</v>
      </c>
      <c r="M532" t="s">
        <v>1833</v>
      </c>
      <c r="N532" t="s">
        <v>1834</v>
      </c>
      <c r="O532" t="s">
        <v>187</v>
      </c>
      <c r="P532">
        <v>56093</v>
      </c>
      <c r="Q532">
        <v>3814</v>
      </c>
      <c r="R532" t="s">
        <v>23</v>
      </c>
      <c r="S532" s="1" t="s">
        <v>34218</v>
      </c>
    </row>
    <row r="533" spans="1:19" x14ac:dyDescent="0.25">
      <c r="A533">
        <v>101234222</v>
      </c>
      <c r="B533" t="s">
        <v>1092</v>
      </c>
      <c r="C533" t="s">
        <v>1835</v>
      </c>
      <c r="F533" t="str">
        <f>"5098267067"</f>
        <v>5098267067</v>
      </c>
      <c r="G533" t="s">
        <v>1836</v>
      </c>
      <c r="H533" t="s">
        <v>1837</v>
      </c>
      <c r="I533" t="s">
        <v>84</v>
      </c>
      <c r="J533">
        <v>98841</v>
      </c>
      <c r="K533">
        <v>9336</v>
      </c>
      <c r="L533" t="s">
        <v>23</v>
      </c>
      <c r="M533" t="s">
        <v>1836</v>
      </c>
      <c r="N533" t="s">
        <v>1837</v>
      </c>
      <c r="O533" t="s">
        <v>84</v>
      </c>
      <c r="P533">
        <v>98841</v>
      </c>
      <c r="Q533">
        <v>9336</v>
      </c>
      <c r="R533" t="s">
        <v>23</v>
      </c>
      <c r="S533" s="1" t="s">
        <v>34218</v>
      </c>
    </row>
    <row r="534" spans="1:19" x14ac:dyDescent="0.25">
      <c r="A534">
        <v>101243375</v>
      </c>
      <c r="B534" t="s">
        <v>1838</v>
      </c>
      <c r="C534" t="s">
        <v>155</v>
      </c>
      <c r="F534" t="str">
        <f>"5862706507"</f>
        <v>5862706507</v>
      </c>
      <c r="G534" t="s">
        <v>1839</v>
      </c>
      <c r="H534" t="s">
        <v>1840</v>
      </c>
      <c r="I534" t="s">
        <v>140</v>
      </c>
      <c r="J534">
        <v>48048</v>
      </c>
      <c r="K534">
        <v>1734</v>
      </c>
      <c r="L534" t="s">
        <v>23</v>
      </c>
      <c r="M534" t="s">
        <v>1839</v>
      </c>
      <c r="N534" t="s">
        <v>1840</v>
      </c>
      <c r="O534" t="s">
        <v>140</v>
      </c>
      <c r="P534">
        <v>48048</v>
      </c>
      <c r="Q534">
        <v>1734</v>
      </c>
      <c r="R534" t="s">
        <v>23</v>
      </c>
      <c r="S534" s="1" t="s">
        <v>34218</v>
      </c>
    </row>
    <row r="535" spans="1:19" x14ac:dyDescent="0.25">
      <c r="A535">
        <v>101253257</v>
      </c>
      <c r="B535" t="s">
        <v>1335</v>
      </c>
      <c r="C535" t="s">
        <v>1086</v>
      </c>
      <c r="F535" t="str">
        <f>"5732418265"</f>
        <v>5732418265</v>
      </c>
      <c r="G535" t="s">
        <v>1841</v>
      </c>
      <c r="H535" t="s">
        <v>1842</v>
      </c>
      <c r="I535" t="s">
        <v>52</v>
      </c>
      <c r="J535">
        <v>32566</v>
      </c>
      <c r="K535">
        <v>5607</v>
      </c>
      <c r="L535" t="s">
        <v>23</v>
      </c>
      <c r="M535" t="s">
        <v>1841</v>
      </c>
      <c r="N535" t="s">
        <v>1842</v>
      </c>
      <c r="O535" t="s">
        <v>52</v>
      </c>
      <c r="P535">
        <v>32566</v>
      </c>
      <c r="Q535">
        <v>5607</v>
      </c>
      <c r="R535" t="s">
        <v>23</v>
      </c>
      <c r="S535" s="1" t="s">
        <v>34218</v>
      </c>
    </row>
    <row r="536" spans="1:19" x14ac:dyDescent="0.25">
      <c r="A536">
        <v>101012254</v>
      </c>
      <c r="B536" t="s">
        <v>1843</v>
      </c>
      <c r="C536" t="s">
        <v>114</v>
      </c>
      <c r="F536" t="str">
        <f>"2035869629"</f>
        <v>2035869629</v>
      </c>
      <c r="G536" t="s">
        <v>1844</v>
      </c>
      <c r="H536" t="s">
        <v>1845</v>
      </c>
      <c r="I536" t="s">
        <v>161</v>
      </c>
      <c r="J536">
        <v>6488</v>
      </c>
      <c r="K536">
        <v>1843</v>
      </c>
      <c r="L536" t="s">
        <v>23</v>
      </c>
      <c r="M536" t="s">
        <v>1844</v>
      </c>
      <c r="N536" t="s">
        <v>1845</v>
      </c>
      <c r="O536" t="s">
        <v>161</v>
      </c>
      <c r="P536">
        <v>6488</v>
      </c>
      <c r="Q536">
        <v>1843</v>
      </c>
      <c r="R536" t="s">
        <v>23</v>
      </c>
      <c r="S536" s="1" t="s">
        <v>34218</v>
      </c>
    </row>
    <row r="537" spans="1:19" x14ac:dyDescent="0.25">
      <c r="A537">
        <v>100819335</v>
      </c>
      <c r="B537" t="s">
        <v>1846</v>
      </c>
      <c r="C537" t="s">
        <v>1847</v>
      </c>
      <c r="F537" t="str">
        <f>"4082501946"</f>
        <v>4082501946</v>
      </c>
      <c r="G537" t="s">
        <v>1848</v>
      </c>
      <c r="H537" t="s">
        <v>931</v>
      </c>
      <c r="I537" t="s">
        <v>22</v>
      </c>
      <c r="J537">
        <v>95030</v>
      </c>
      <c r="K537">
        <v>6316</v>
      </c>
      <c r="L537" t="s">
        <v>23</v>
      </c>
      <c r="M537" t="s">
        <v>1848</v>
      </c>
      <c r="N537" t="s">
        <v>931</v>
      </c>
      <c r="O537" t="s">
        <v>22</v>
      </c>
      <c r="P537">
        <v>95030</v>
      </c>
      <c r="Q537">
        <v>6316</v>
      </c>
      <c r="R537" t="s">
        <v>23</v>
      </c>
      <c r="S537" s="1" t="s">
        <v>34218</v>
      </c>
    </row>
    <row r="538" spans="1:19" x14ac:dyDescent="0.25">
      <c r="A538">
        <v>100822854</v>
      </c>
      <c r="B538" t="s">
        <v>1849</v>
      </c>
      <c r="C538" t="s">
        <v>1542</v>
      </c>
      <c r="F538" t="str">
        <f>"2079436560"</f>
        <v>2079436560</v>
      </c>
      <c r="G538" t="s">
        <v>1850</v>
      </c>
      <c r="H538" t="s">
        <v>1851</v>
      </c>
      <c r="I538" t="s">
        <v>191</v>
      </c>
      <c r="J538">
        <v>4414</v>
      </c>
      <c r="K538">
        <v>3524</v>
      </c>
      <c r="L538" t="s">
        <v>23</v>
      </c>
      <c r="M538" t="s">
        <v>1850</v>
      </c>
      <c r="N538" t="s">
        <v>1851</v>
      </c>
      <c r="O538" t="s">
        <v>191</v>
      </c>
      <c r="P538">
        <v>4414</v>
      </c>
      <c r="Q538">
        <v>3524</v>
      </c>
      <c r="R538" t="s">
        <v>23</v>
      </c>
      <c r="S538" s="1" t="s">
        <v>34218</v>
      </c>
    </row>
    <row r="539" spans="1:19" x14ac:dyDescent="0.25">
      <c r="A539">
        <v>100921180</v>
      </c>
      <c r="B539" t="s">
        <v>1852</v>
      </c>
      <c r="C539" t="s">
        <v>251</v>
      </c>
      <c r="F539" t="str">
        <f>"7185964784"</f>
        <v>7185964784</v>
      </c>
      <c r="G539" t="s">
        <v>1853</v>
      </c>
      <c r="H539" t="s">
        <v>412</v>
      </c>
      <c r="I539" t="s">
        <v>117</v>
      </c>
      <c r="J539">
        <v>11201</v>
      </c>
      <c r="K539">
        <v>6412</v>
      </c>
      <c r="L539" t="s">
        <v>23</v>
      </c>
      <c r="M539" t="s">
        <v>1853</v>
      </c>
      <c r="N539" t="s">
        <v>412</v>
      </c>
      <c r="O539" t="s">
        <v>117</v>
      </c>
      <c r="P539">
        <v>11201</v>
      </c>
      <c r="Q539">
        <v>6412</v>
      </c>
      <c r="R539" t="s">
        <v>23</v>
      </c>
      <c r="S539" s="1" t="s">
        <v>34218</v>
      </c>
    </row>
    <row r="540" spans="1:19" x14ac:dyDescent="0.25">
      <c r="A540">
        <v>100537616</v>
      </c>
      <c r="B540" t="s">
        <v>1854</v>
      </c>
      <c r="C540" t="s">
        <v>1855</v>
      </c>
      <c r="F540" t="str">
        <f>"7754531234"</f>
        <v>7754531234</v>
      </c>
      <c r="G540" t="s">
        <v>1856</v>
      </c>
      <c r="H540" t="s">
        <v>1857</v>
      </c>
      <c r="I540" t="s">
        <v>702</v>
      </c>
      <c r="J540">
        <v>89509</v>
      </c>
      <c r="K540">
        <v>3704</v>
      </c>
      <c r="L540" t="s">
        <v>23</v>
      </c>
      <c r="M540" t="s">
        <v>1856</v>
      </c>
      <c r="N540" t="s">
        <v>1857</v>
      </c>
      <c r="O540" t="s">
        <v>702</v>
      </c>
      <c r="P540">
        <v>89509</v>
      </c>
      <c r="Q540">
        <v>3704</v>
      </c>
      <c r="R540" t="s">
        <v>23</v>
      </c>
      <c r="S540" s="1" t="s">
        <v>34218</v>
      </c>
    </row>
    <row r="541" spans="1:19" x14ac:dyDescent="0.25">
      <c r="A541">
        <v>100953075</v>
      </c>
      <c r="B541" t="s">
        <v>1858</v>
      </c>
      <c r="C541" t="s">
        <v>1859</v>
      </c>
      <c r="F541" t="str">
        <f>"5106378402"</f>
        <v>5106378402</v>
      </c>
      <c r="G541" t="s">
        <v>1860</v>
      </c>
      <c r="H541" t="s">
        <v>1861</v>
      </c>
      <c r="I541" t="s">
        <v>22</v>
      </c>
      <c r="J541">
        <v>94530</v>
      </c>
      <c r="K541">
        <v>3002</v>
      </c>
      <c r="L541" t="s">
        <v>23</v>
      </c>
      <c r="M541" t="s">
        <v>1860</v>
      </c>
      <c r="N541" t="s">
        <v>1861</v>
      </c>
      <c r="O541" t="s">
        <v>22</v>
      </c>
      <c r="P541">
        <v>94530</v>
      </c>
      <c r="Q541">
        <v>3002</v>
      </c>
      <c r="R541" t="s">
        <v>23</v>
      </c>
      <c r="S541" s="1" t="s">
        <v>34218</v>
      </c>
    </row>
    <row r="542" spans="1:19" x14ac:dyDescent="0.25">
      <c r="A542">
        <v>100559651</v>
      </c>
      <c r="B542" t="s">
        <v>81</v>
      </c>
      <c r="C542" t="s">
        <v>1529</v>
      </c>
      <c r="F542" t="str">
        <f>"8163720572"</f>
        <v>8163720572</v>
      </c>
      <c r="G542" t="s">
        <v>1862</v>
      </c>
      <c r="H542" t="s">
        <v>1863</v>
      </c>
      <c r="I542" t="s">
        <v>126</v>
      </c>
      <c r="J542">
        <v>64113</v>
      </c>
      <c r="K542">
        <v>2565</v>
      </c>
      <c r="L542" t="s">
        <v>23</v>
      </c>
      <c r="M542" t="s">
        <v>1862</v>
      </c>
      <c r="N542" t="s">
        <v>1863</v>
      </c>
      <c r="O542" t="s">
        <v>126</v>
      </c>
      <c r="P542">
        <v>64113</v>
      </c>
      <c r="Q542">
        <v>2565</v>
      </c>
      <c r="R542" t="s">
        <v>23</v>
      </c>
      <c r="S542" s="1" t="s">
        <v>34218</v>
      </c>
    </row>
    <row r="543" spans="1:19" x14ac:dyDescent="0.25">
      <c r="A543">
        <v>100590509</v>
      </c>
      <c r="B543" t="s">
        <v>1864</v>
      </c>
      <c r="C543" t="s">
        <v>1865</v>
      </c>
      <c r="F543" t="str">
        <f>"8606427747"</f>
        <v>8606427747</v>
      </c>
      <c r="G543" t="s">
        <v>1866</v>
      </c>
      <c r="H543" t="s">
        <v>1867</v>
      </c>
      <c r="I543" t="s">
        <v>161</v>
      </c>
      <c r="J543">
        <v>6249</v>
      </c>
      <c r="K543">
        <v>2026</v>
      </c>
      <c r="L543" t="s">
        <v>23</v>
      </c>
      <c r="M543" t="s">
        <v>1866</v>
      </c>
      <c r="N543" t="s">
        <v>1867</v>
      </c>
      <c r="O543" t="s">
        <v>161</v>
      </c>
      <c r="P543">
        <v>6249</v>
      </c>
      <c r="Q543">
        <v>2026</v>
      </c>
      <c r="R543" t="s">
        <v>23</v>
      </c>
      <c r="S543" s="1" t="s">
        <v>34218</v>
      </c>
    </row>
    <row r="544" spans="1:19" x14ac:dyDescent="0.25">
      <c r="A544">
        <v>100599901</v>
      </c>
      <c r="B544" t="s">
        <v>1868</v>
      </c>
      <c r="C544" t="s">
        <v>49</v>
      </c>
      <c r="F544" t="str">
        <f>"2532453777"</f>
        <v>2532453777</v>
      </c>
      <c r="G544" t="s">
        <v>1869</v>
      </c>
      <c r="H544" t="s">
        <v>1396</v>
      </c>
      <c r="I544" t="s">
        <v>84</v>
      </c>
      <c r="J544">
        <v>98092</v>
      </c>
      <c r="K544">
        <v>7126</v>
      </c>
      <c r="L544" t="s">
        <v>23</v>
      </c>
      <c r="M544" t="s">
        <v>1869</v>
      </c>
      <c r="N544" t="s">
        <v>1396</v>
      </c>
      <c r="O544" t="s">
        <v>84</v>
      </c>
      <c r="P544">
        <v>98092</v>
      </c>
      <c r="Q544">
        <v>7126</v>
      </c>
      <c r="R544" t="s">
        <v>23</v>
      </c>
      <c r="S544" s="1" t="s">
        <v>34218</v>
      </c>
    </row>
    <row r="545" spans="1:19" x14ac:dyDescent="0.25">
      <c r="A545">
        <v>100801542</v>
      </c>
      <c r="B545" t="s">
        <v>1870</v>
      </c>
      <c r="C545" t="s">
        <v>123</v>
      </c>
      <c r="F545" t="str">
        <f>"7034031450"</f>
        <v>7034031450</v>
      </c>
      <c r="G545" t="s">
        <v>1871</v>
      </c>
      <c r="H545" t="s">
        <v>746</v>
      </c>
      <c r="I545" t="s">
        <v>255</v>
      </c>
      <c r="J545">
        <v>22152</v>
      </c>
      <c r="K545">
        <v>1624</v>
      </c>
      <c r="L545" t="s">
        <v>23</v>
      </c>
      <c r="M545" t="s">
        <v>1871</v>
      </c>
      <c r="N545" t="s">
        <v>746</v>
      </c>
      <c r="O545" t="s">
        <v>255</v>
      </c>
      <c r="P545">
        <v>22152</v>
      </c>
      <c r="Q545">
        <v>1624</v>
      </c>
      <c r="R545" t="s">
        <v>23</v>
      </c>
      <c r="S545" s="1" t="s">
        <v>34218</v>
      </c>
    </row>
    <row r="546" spans="1:19" x14ac:dyDescent="0.25">
      <c r="A546">
        <v>100863938</v>
      </c>
      <c r="B546" t="s">
        <v>1872</v>
      </c>
      <c r="C546" t="s">
        <v>1873</v>
      </c>
      <c r="F546" t="str">
        <f>"7322369653"</f>
        <v>7322369653</v>
      </c>
      <c r="G546" t="s">
        <v>1874</v>
      </c>
      <c r="H546" t="s">
        <v>1875</v>
      </c>
      <c r="I546" t="s">
        <v>250</v>
      </c>
      <c r="J546">
        <v>7856</v>
      </c>
      <c r="K546">
        <v>1204</v>
      </c>
      <c r="L546" t="s">
        <v>23</v>
      </c>
      <c r="M546" t="s">
        <v>1874</v>
      </c>
      <c r="N546" t="s">
        <v>1875</v>
      </c>
      <c r="O546" t="s">
        <v>250</v>
      </c>
      <c r="P546">
        <v>7856</v>
      </c>
      <c r="Q546">
        <v>1204</v>
      </c>
      <c r="R546" t="s">
        <v>23</v>
      </c>
      <c r="S546" s="1" t="s">
        <v>34218</v>
      </c>
    </row>
    <row r="547" spans="1:19" x14ac:dyDescent="0.25">
      <c r="A547">
        <v>100870248</v>
      </c>
      <c r="B547" t="s">
        <v>276</v>
      </c>
      <c r="C547" t="s">
        <v>1208</v>
      </c>
      <c r="F547" t="str">
        <f>"9716001313"</f>
        <v>9716001313</v>
      </c>
      <c r="G547" t="s">
        <v>1876</v>
      </c>
      <c r="H547" t="s">
        <v>1877</v>
      </c>
      <c r="I547" t="s">
        <v>43</v>
      </c>
      <c r="J547">
        <v>97317</v>
      </c>
      <c r="K547">
        <v>9151</v>
      </c>
      <c r="L547" t="s">
        <v>23</v>
      </c>
      <c r="M547" t="s">
        <v>1876</v>
      </c>
      <c r="N547" t="s">
        <v>1877</v>
      </c>
      <c r="O547" t="s">
        <v>43</v>
      </c>
      <c r="P547">
        <v>97317</v>
      </c>
      <c r="Q547">
        <v>9151</v>
      </c>
      <c r="R547" t="s">
        <v>23</v>
      </c>
      <c r="S547" s="1" t="s">
        <v>34218</v>
      </c>
    </row>
    <row r="548" spans="1:19" x14ac:dyDescent="0.25">
      <c r="A548">
        <v>100636668</v>
      </c>
      <c r="B548" t="s">
        <v>1878</v>
      </c>
      <c r="C548" t="s">
        <v>1879</v>
      </c>
      <c r="F548" t="str">
        <f>"8009999999"</f>
        <v>8009999999</v>
      </c>
      <c r="G548" t="s">
        <v>1880</v>
      </c>
      <c r="H548" t="s">
        <v>1881</v>
      </c>
      <c r="I548" t="s">
        <v>161</v>
      </c>
      <c r="J548">
        <v>6084</v>
      </c>
      <c r="K548">
        <v>3821</v>
      </c>
      <c r="L548" t="s">
        <v>23</v>
      </c>
      <c r="M548" t="s">
        <v>1880</v>
      </c>
      <c r="N548" t="s">
        <v>1881</v>
      </c>
      <c r="O548" t="s">
        <v>161</v>
      </c>
      <c r="P548">
        <v>6084</v>
      </c>
      <c r="Q548">
        <v>3821</v>
      </c>
      <c r="R548" t="s">
        <v>23</v>
      </c>
      <c r="S548" s="1" t="s">
        <v>34218</v>
      </c>
    </row>
    <row r="549" spans="1:19" x14ac:dyDescent="0.25">
      <c r="A549">
        <v>100646668</v>
      </c>
      <c r="B549" t="s">
        <v>720</v>
      </c>
      <c r="C549" t="s">
        <v>81</v>
      </c>
      <c r="F549" t="str">
        <f>"6022677655"</f>
        <v>6022677655</v>
      </c>
      <c r="G549" t="s">
        <v>1882</v>
      </c>
      <c r="H549" t="s">
        <v>682</v>
      </c>
      <c r="I549" t="s">
        <v>365</v>
      </c>
      <c r="J549">
        <v>85008</v>
      </c>
      <c r="K549">
        <v>4215</v>
      </c>
      <c r="L549" t="s">
        <v>23</v>
      </c>
      <c r="M549" t="s">
        <v>1882</v>
      </c>
      <c r="N549" t="s">
        <v>682</v>
      </c>
      <c r="O549" t="s">
        <v>365</v>
      </c>
      <c r="P549">
        <v>85008</v>
      </c>
      <c r="Q549">
        <v>4215</v>
      </c>
      <c r="R549" t="s">
        <v>23</v>
      </c>
      <c r="S549" s="1" t="s">
        <v>34218</v>
      </c>
    </row>
    <row r="550" spans="1:19" x14ac:dyDescent="0.25">
      <c r="A550">
        <v>100672544</v>
      </c>
      <c r="B550" t="s">
        <v>1662</v>
      </c>
      <c r="C550" t="s">
        <v>1883</v>
      </c>
      <c r="F550" t="str">
        <f>"2138201639"</f>
        <v>2138201639</v>
      </c>
      <c r="G550" t="s">
        <v>1884</v>
      </c>
      <c r="H550" t="s">
        <v>1885</v>
      </c>
      <c r="I550" t="s">
        <v>22</v>
      </c>
      <c r="J550">
        <v>90277</v>
      </c>
      <c r="K550">
        <v>3243</v>
      </c>
      <c r="L550" t="s">
        <v>23</v>
      </c>
      <c r="M550" t="s">
        <v>1884</v>
      </c>
      <c r="N550" t="s">
        <v>1885</v>
      </c>
      <c r="O550" t="s">
        <v>22</v>
      </c>
      <c r="P550">
        <v>90277</v>
      </c>
      <c r="Q550">
        <v>3243</v>
      </c>
      <c r="R550" t="s">
        <v>23</v>
      </c>
      <c r="S550" s="1" t="s">
        <v>34218</v>
      </c>
    </row>
    <row r="551" spans="1:19" x14ac:dyDescent="0.25">
      <c r="A551">
        <v>100696467</v>
      </c>
      <c r="B551" t="s">
        <v>1886</v>
      </c>
      <c r="C551" t="s">
        <v>1887</v>
      </c>
      <c r="F551" t="str">
        <f>"9722345644"</f>
        <v>9722345644</v>
      </c>
      <c r="G551" t="s">
        <v>1888</v>
      </c>
      <c r="H551" t="s">
        <v>1889</v>
      </c>
      <c r="I551" t="s">
        <v>38</v>
      </c>
      <c r="J551">
        <v>75082</v>
      </c>
      <c r="K551">
        <v>2612</v>
      </c>
      <c r="L551" t="s">
        <v>23</v>
      </c>
      <c r="M551" t="s">
        <v>1888</v>
      </c>
      <c r="N551" t="s">
        <v>1889</v>
      </c>
      <c r="O551" t="s">
        <v>38</v>
      </c>
      <c r="P551">
        <v>75082</v>
      </c>
      <c r="Q551">
        <v>2612</v>
      </c>
      <c r="R551" t="s">
        <v>23</v>
      </c>
      <c r="S551" s="1" t="s">
        <v>34218</v>
      </c>
    </row>
    <row r="552" spans="1:19" x14ac:dyDescent="0.25">
      <c r="A552">
        <v>100894352</v>
      </c>
      <c r="B552" t="s">
        <v>1164</v>
      </c>
      <c r="C552" t="s">
        <v>367</v>
      </c>
      <c r="F552" t="str">
        <f>"6503687655"</f>
        <v>6503687655</v>
      </c>
      <c r="G552" t="s">
        <v>1890</v>
      </c>
      <c r="H552" t="s">
        <v>1891</v>
      </c>
      <c r="I552" t="s">
        <v>22</v>
      </c>
      <c r="J552">
        <v>94062</v>
      </c>
      <c r="K552">
        <v>3924</v>
      </c>
      <c r="L552" t="s">
        <v>23</v>
      </c>
      <c r="M552" t="s">
        <v>1890</v>
      </c>
      <c r="N552" t="s">
        <v>1891</v>
      </c>
      <c r="O552" t="s">
        <v>22</v>
      </c>
      <c r="P552">
        <v>94062</v>
      </c>
      <c r="Q552">
        <v>3924</v>
      </c>
      <c r="R552" t="s">
        <v>23</v>
      </c>
      <c r="S552" s="1" t="s">
        <v>34218</v>
      </c>
    </row>
    <row r="553" spans="1:19" x14ac:dyDescent="0.25">
      <c r="A553">
        <v>101097335</v>
      </c>
      <c r="B553" t="s">
        <v>1892</v>
      </c>
      <c r="C553" t="s">
        <v>440</v>
      </c>
      <c r="F553" t="str">
        <f>"3174860955"</f>
        <v>3174860955</v>
      </c>
      <c r="G553" t="s">
        <v>1893</v>
      </c>
      <c r="H553" t="s">
        <v>1894</v>
      </c>
      <c r="I553" t="s">
        <v>57</v>
      </c>
      <c r="J553">
        <v>46224</v>
      </c>
      <c r="K553">
        <v>5507</v>
      </c>
      <c r="L553" t="s">
        <v>23</v>
      </c>
      <c r="M553" t="s">
        <v>1893</v>
      </c>
      <c r="N553" t="s">
        <v>1894</v>
      </c>
      <c r="O553" t="s">
        <v>57</v>
      </c>
      <c r="P553">
        <v>46224</v>
      </c>
      <c r="Q553">
        <v>5507</v>
      </c>
      <c r="R553" t="s">
        <v>23</v>
      </c>
      <c r="S553" s="1" t="s">
        <v>34218</v>
      </c>
    </row>
    <row r="554" spans="1:19" x14ac:dyDescent="0.25">
      <c r="A554">
        <v>101085792</v>
      </c>
      <c r="B554" t="s">
        <v>1895</v>
      </c>
      <c r="C554" t="s">
        <v>1208</v>
      </c>
      <c r="F554" t="str">
        <f>"7136657838"</f>
        <v>7136657838</v>
      </c>
      <c r="G554" t="s">
        <v>1896</v>
      </c>
      <c r="H554" t="s">
        <v>1897</v>
      </c>
      <c r="I554" t="s">
        <v>38</v>
      </c>
      <c r="J554">
        <v>77401</v>
      </c>
      <c r="K554">
        <v>3231</v>
      </c>
      <c r="L554" t="s">
        <v>23</v>
      </c>
      <c r="M554" t="s">
        <v>1896</v>
      </c>
      <c r="N554" t="s">
        <v>1897</v>
      </c>
      <c r="O554" t="s">
        <v>38</v>
      </c>
      <c r="P554">
        <v>77401</v>
      </c>
      <c r="Q554">
        <v>3231</v>
      </c>
      <c r="R554" t="s">
        <v>23</v>
      </c>
      <c r="S554" s="1" t="s">
        <v>34218</v>
      </c>
    </row>
    <row r="555" spans="1:19" x14ac:dyDescent="0.25">
      <c r="A555">
        <v>101087655</v>
      </c>
      <c r="B555" t="s">
        <v>1898</v>
      </c>
      <c r="C555" t="s">
        <v>281</v>
      </c>
      <c r="F555" t="str">
        <f>"2252299325"</f>
        <v>2252299325</v>
      </c>
      <c r="G555" t="s">
        <v>1899</v>
      </c>
      <c r="H555" t="s">
        <v>1900</v>
      </c>
      <c r="I555" t="s">
        <v>153</v>
      </c>
      <c r="J555">
        <v>70816</v>
      </c>
      <c r="K555">
        <v>4779</v>
      </c>
      <c r="L555" t="s">
        <v>23</v>
      </c>
      <c r="M555" t="s">
        <v>1899</v>
      </c>
      <c r="N555" t="s">
        <v>1900</v>
      </c>
      <c r="O555" t="s">
        <v>153</v>
      </c>
      <c r="P555">
        <v>70816</v>
      </c>
      <c r="Q555">
        <v>4779</v>
      </c>
      <c r="R555" t="s">
        <v>23</v>
      </c>
      <c r="S555" s="1" t="s">
        <v>34218</v>
      </c>
    </row>
    <row r="556" spans="1:19" x14ac:dyDescent="0.25">
      <c r="A556">
        <v>101305420</v>
      </c>
      <c r="B556" t="s">
        <v>1901</v>
      </c>
      <c r="C556" t="s">
        <v>1902</v>
      </c>
      <c r="F556" t="str">
        <f>"7186397831"</f>
        <v>7186397831</v>
      </c>
      <c r="G556" t="s">
        <v>1903</v>
      </c>
      <c r="H556" t="s">
        <v>1904</v>
      </c>
      <c r="I556" t="s">
        <v>117</v>
      </c>
      <c r="J556">
        <v>11373</v>
      </c>
      <c r="K556">
        <v>4347</v>
      </c>
      <c r="L556" t="s">
        <v>23</v>
      </c>
      <c r="M556" t="s">
        <v>1903</v>
      </c>
      <c r="N556" t="s">
        <v>1904</v>
      </c>
      <c r="O556" t="s">
        <v>117</v>
      </c>
      <c r="P556">
        <v>11373</v>
      </c>
      <c r="Q556">
        <v>4347</v>
      </c>
      <c r="R556" t="s">
        <v>23</v>
      </c>
      <c r="S556" s="1" t="s">
        <v>34218</v>
      </c>
    </row>
    <row r="557" spans="1:19" x14ac:dyDescent="0.25">
      <c r="A557">
        <v>101182029</v>
      </c>
      <c r="B557" t="s">
        <v>1905</v>
      </c>
      <c r="C557" t="s">
        <v>1906</v>
      </c>
      <c r="F557" t="str">
        <f>"6103584984"</f>
        <v>6103584984</v>
      </c>
      <c r="G557" t="s">
        <v>1907</v>
      </c>
      <c r="H557" t="s">
        <v>1908</v>
      </c>
      <c r="I557" t="s">
        <v>33</v>
      </c>
      <c r="J557">
        <v>19014</v>
      </c>
      <c r="K557">
        <v>1545</v>
      </c>
      <c r="L557" t="s">
        <v>23</v>
      </c>
      <c r="M557" t="s">
        <v>1907</v>
      </c>
      <c r="N557" t="s">
        <v>1908</v>
      </c>
      <c r="O557" t="s">
        <v>33</v>
      </c>
      <c r="P557">
        <v>19014</v>
      </c>
      <c r="Q557">
        <v>1545</v>
      </c>
      <c r="R557" t="s">
        <v>23</v>
      </c>
      <c r="S557" s="1" t="s">
        <v>34218</v>
      </c>
    </row>
    <row r="558" spans="1:19" x14ac:dyDescent="0.25">
      <c r="A558">
        <v>101059563</v>
      </c>
      <c r="B558" t="s">
        <v>1909</v>
      </c>
      <c r="C558" t="s">
        <v>155</v>
      </c>
      <c r="F558" t="str">
        <f>"2074900984"</f>
        <v>2074900984</v>
      </c>
      <c r="G558" t="s">
        <v>1910</v>
      </c>
      <c r="H558" t="s">
        <v>1911</v>
      </c>
      <c r="I558" t="s">
        <v>191</v>
      </c>
      <c r="J558">
        <v>4073</v>
      </c>
      <c r="K558">
        <v>385</v>
      </c>
      <c r="L558" t="s">
        <v>23</v>
      </c>
      <c r="M558" t="s">
        <v>1910</v>
      </c>
      <c r="N558" t="s">
        <v>1911</v>
      </c>
      <c r="O558" t="s">
        <v>191</v>
      </c>
      <c r="P558">
        <v>4073</v>
      </c>
      <c r="Q558">
        <v>385</v>
      </c>
      <c r="R558" t="s">
        <v>23</v>
      </c>
      <c r="S558" s="1" t="s">
        <v>34218</v>
      </c>
    </row>
    <row r="559" spans="1:19" x14ac:dyDescent="0.25">
      <c r="A559">
        <v>101064995</v>
      </c>
      <c r="B559" t="s">
        <v>1912</v>
      </c>
      <c r="C559" t="s">
        <v>158</v>
      </c>
      <c r="F559" t="str">
        <f>"4403279084"</f>
        <v>4403279084</v>
      </c>
      <c r="G559" t="s">
        <v>1913</v>
      </c>
      <c r="H559" t="s">
        <v>1914</v>
      </c>
      <c r="I559" t="s">
        <v>178</v>
      </c>
      <c r="J559">
        <v>44039</v>
      </c>
      <c r="K559">
        <v>3110</v>
      </c>
      <c r="L559" t="s">
        <v>23</v>
      </c>
      <c r="M559" t="s">
        <v>1913</v>
      </c>
      <c r="N559" t="s">
        <v>1914</v>
      </c>
      <c r="O559" t="s">
        <v>178</v>
      </c>
      <c r="P559">
        <v>44039</v>
      </c>
      <c r="Q559">
        <v>3110</v>
      </c>
      <c r="R559" t="s">
        <v>23</v>
      </c>
      <c r="S559" s="1" t="s">
        <v>34218</v>
      </c>
    </row>
    <row r="560" spans="1:19" x14ac:dyDescent="0.25">
      <c r="A560">
        <v>101069311</v>
      </c>
      <c r="B560" t="s">
        <v>1915</v>
      </c>
      <c r="C560" t="s">
        <v>1916</v>
      </c>
      <c r="F560" t="str">
        <f>"5708729322"</f>
        <v>5708729322</v>
      </c>
      <c r="G560" t="s">
        <v>1917</v>
      </c>
      <c r="H560" t="s">
        <v>1918</v>
      </c>
      <c r="I560" t="s">
        <v>33</v>
      </c>
      <c r="J560">
        <v>18058</v>
      </c>
      <c r="K560">
        <v>8014</v>
      </c>
      <c r="L560" t="s">
        <v>23</v>
      </c>
      <c r="M560" t="s">
        <v>1917</v>
      </c>
      <c r="N560" t="s">
        <v>1918</v>
      </c>
      <c r="O560" t="s">
        <v>33</v>
      </c>
      <c r="P560">
        <v>18058</v>
      </c>
      <c r="Q560">
        <v>8014</v>
      </c>
      <c r="R560" t="s">
        <v>23</v>
      </c>
      <c r="S560" s="1" t="s">
        <v>34218</v>
      </c>
    </row>
    <row r="561" spans="1:19" x14ac:dyDescent="0.25">
      <c r="A561">
        <v>101269531</v>
      </c>
      <c r="B561" t="s">
        <v>1919</v>
      </c>
      <c r="C561" t="s">
        <v>403</v>
      </c>
      <c r="F561" t="str">
        <f>"2056650135"</f>
        <v>2056650135</v>
      </c>
      <c r="G561" t="s">
        <v>1920</v>
      </c>
      <c r="H561" t="s">
        <v>1921</v>
      </c>
      <c r="I561" t="s">
        <v>1387</v>
      </c>
      <c r="J561">
        <v>35035</v>
      </c>
      <c r="K561">
        <v>3302</v>
      </c>
      <c r="L561" t="s">
        <v>23</v>
      </c>
      <c r="M561" t="s">
        <v>1920</v>
      </c>
      <c r="N561" t="s">
        <v>1921</v>
      </c>
      <c r="O561" t="s">
        <v>1387</v>
      </c>
      <c r="P561">
        <v>35035</v>
      </c>
      <c r="Q561">
        <v>3302</v>
      </c>
      <c r="R561" t="s">
        <v>23</v>
      </c>
      <c r="S561" s="1" t="s">
        <v>34218</v>
      </c>
    </row>
    <row r="562" spans="1:19" x14ac:dyDescent="0.25">
      <c r="A562">
        <v>100936741</v>
      </c>
      <c r="B562" t="s">
        <v>1922</v>
      </c>
      <c r="C562" t="s">
        <v>1239</v>
      </c>
      <c r="F562" t="str">
        <f>"5109658514"</f>
        <v>5109658514</v>
      </c>
      <c r="G562" t="s">
        <v>1923</v>
      </c>
      <c r="H562" t="s">
        <v>1766</v>
      </c>
      <c r="I562" t="s">
        <v>22</v>
      </c>
      <c r="J562">
        <v>94590</v>
      </c>
      <c r="K562">
        <v>3856</v>
      </c>
      <c r="L562" t="s">
        <v>23</v>
      </c>
      <c r="M562" t="s">
        <v>1923</v>
      </c>
      <c r="N562" t="s">
        <v>1766</v>
      </c>
      <c r="O562" t="s">
        <v>22</v>
      </c>
      <c r="P562">
        <v>94590</v>
      </c>
      <c r="Q562">
        <v>3856</v>
      </c>
      <c r="R562" t="s">
        <v>23</v>
      </c>
      <c r="S562" s="1" t="s">
        <v>34218</v>
      </c>
    </row>
    <row r="563" spans="1:19" x14ac:dyDescent="0.25">
      <c r="A563">
        <v>101129333</v>
      </c>
      <c r="B563" t="s">
        <v>1924</v>
      </c>
      <c r="C563" t="s">
        <v>1925</v>
      </c>
      <c r="F563" t="str">
        <f>"6107150556"</f>
        <v>6107150556</v>
      </c>
      <c r="G563" t="s">
        <v>1926</v>
      </c>
      <c r="H563" t="s">
        <v>746</v>
      </c>
      <c r="I563" t="s">
        <v>33</v>
      </c>
      <c r="J563">
        <v>19064</v>
      </c>
      <c r="K563">
        <v>2326</v>
      </c>
      <c r="L563" t="s">
        <v>23</v>
      </c>
      <c r="M563" t="s">
        <v>1926</v>
      </c>
      <c r="N563" t="s">
        <v>746</v>
      </c>
      <c r="O563" t="s">
        <v>33</v>
      </c>
      <c r="P563">
        <v>19064</v>
      </c>
      <c r="Q563">
        <v>2326</v>
      </c>
      <c r="R563" t="s">
        <v>23</v>
      </c>
      <c r="S563" s="1" t="s">
        <v>34218</v>
      </c>
    </row>
    <row r="564" spans="1:19" x14ac:dyDescent="0.25">
      <c r="A564">
        <v>101143160</v>
      </c>
      <c r="B564" t="s">
        <v>1927</v>
      </c>
      <c r="C564" t="s">
        <v>247</v>
      </c>
      <c r="F564" t="str">
        <f>"5867750882"</f>
        <v>5867750882</v>
      </c>
      <c r="G564" t="s">
        <v>1928</v>
      </c>
      <c r="H564" t="s">
        <v>1929</v>
      </c>
      <c r="I564" t="s">
        <v>140</v>
      </c>
      <c r="J564">
        <v>48079</v>
      </c>
      <c r="K564">
        <v>5599</v>
      </c>
      <c r="L564" t="s">
        <v>23</v>
      </c>
      <c r="M564" t="s">
        <v>1928</v>
      </c>
      <c r="N564" t="s">
        <v>1929</v>
      </c>
      <c r="O564" t="s">
        <v>140</v>
      </c>
      <c r="P564">
        <v>48079</v>
      </c>
      <c r="Q564">
        <v>5599</v>
      </c>
      <c r="R564" t="s">
        <v>23</v>
      </c>
      <c r="S564" s="1" t="s">
        <v>34218</v>
      </c>
    </row>
    <row r="565" spans="1:19" x14ac:dyDescent="0.25">
      <c r="A565">
        <v>100542069</v>
      </c>
      <c r="B565" t="s">
        <v>1930</v>
      </c>
      <c r="C565" t="s">
        <v>1647</v>
      </c>
      <c r="F565" t="str">
        <f>"8455353257"</f>
        <v>8455353257</v>
      </c>
      <c r="H565" t="s">
        <v>1931</v>
      </c>
      <c r="I565" t="s">
        <v>117</v>
      </c>
      <c r="J565">
        <v>10930</v>
      </c>
      <c r="L565" t="s">
        <v>23</v>
      </c>
      <c r="N565" t="s">
        <v>1931</v>
      </c>
      <c r="O565" t="s">
        <v>117</v>
      </c>
      <c r="P565">
        <v>10930</v>
      </c>
      <c r="R565" t="s">
        <v>23</v>
      </c>
      <c r="S565" s="1" t="s">
        <v>34218</v>
      </c>
    </row>
    <row r="566" spans="1:19" x14ac:dyDescent="0.25">
      <c r="A566">
        <v>100613519</v>
      </c>
      <c r="B566" t="s">
        <v>1932</v>
      </c>
      <c r="C566" t="s">
        <v>1933</v>
      </c>
      <c r="F566" t="str">
        <f>"6075879310"</f>
        <v>6075879310</v>
      </c>
      <c r="G566" t="s">
        <v>1934</v>
      </c>
      <c r="H566" t="s">
        <v>338</v>
      </c>
      <c r="I566" t="s">
        <v>117</v>
      </c>
      <c r="J566">
        <v>14802</v>
      </c>
      <c r="K566">
        <v>114</v>
      </c>
      <c r="L566" t="s">
        <v>23</v>
      </c>
      <c r="M566" t="s">
        <v>1934</v>
      </c>
      <c r="N566" t="s">
        <v>338</v>
      </c>
      <c r="O566" t="s">
        <v>117</v>
      </c>
      <c r="P566">
        <v>14802</v>
      </c>
      <c r="Q566">
        <v>114</v>
      </c>
      <c r="R566" t="s">
        <v>23</v>
      </c>
      <c r="S566" s="1" t="s">
        <v>34218</v>
      </c>
    </row>
    <row r="567" spans="1:19" x14ac:dyDescent="0.25">
      <c r="A567">
        <v>100625871</v>
      </c>
      <c r="B567" t="s">
        <v>1935</v>
      </c>
      <c r="C567" t="s">
        <v>123</v>
      </c>
      <c r="F567" t="str">
        <f>"3123158881"</f>
        <v>3123158881</v>
      </c>
      <c r="G567" t="s">
        <v>1936</v>
      </c>
      <c r="H567" t="s">
        <v>1937</v>
      </c>
      <c r="I567" t="s">
        <v>135</v>
      </c>
      <c r="J567">
        <v>60525</v>
      </c>
      <c r="K567">
        <v>6625</v>
      </c>
      <c r="L567" t="s">
        <v>23</v>
      </c>
      <c r="M567" t="s">
        <v>1936</v>
      </c>
      <c r="N567" t="s">
        <v>1937</v>
      </c>
      <c r="O567" t="s">
        <v>135</v>
      </c>
      <c r="P567">
        <v>60525</v>
      </c>
      <c r="Q567">
        <v>6625</v>
      </c>
      <c r="R567" t="s">
        <v>23</v>
      </c>
      <c r="S567" s="1" t="s">
        <v>34218</v>
      </c>
    </row>
    <row r="568" spans="1:19" x14ac:dyDescent="0.25">
      <c r="A568">
        <v>100578769</v>
      </c>
      <c r="B568" t="s">
        <v>1938</v>
      </c>
      <c r="C568" t="s">
        <v>1939</v>
      </c>
      <c r="F568" t="str">
        <f>"5036396479"</f>
        <v>5036396479</v>
      </c>
      <c r="G568" t="s">
        <v>1940</v>
      </c>
      <c r="H568" t="s">
        <v>227</v>
      </c>
      <c r="I568" t="s">
        <v>43</v>
      </c>
      <c r="J568">
        <v>97219</v>
      </c>
      <c r="K568">
        <v>8022</v>
      </c>
      <c r="L568" t="s">
        <v>23</v>
      </c>
      <c r="M568" t="s">
        <v>1940</v>
      </c>
      <c r="N568" t="s">
        <v>227</v>
      </c>
      <c r="O568" t="s">
        <v>43</v>
      </c>
      <c r="P568">
        <v>97219</v>
      </c>
      <c r="Q568">
        <v>8022</v>
      </c>
      <c r="R568" t="s">
        <v>23</v>
      </c>
      <c r="S568" s="1" t="s">
        <v>34218</v>
      </c>
    </row>
    <row r="569" spans="1:19" x14ac:dyDescent="0.25">
      <c r="A569">
        <v>100585711</v>
      </c>
      <c r="B569" t="s">
        <v>1726</v>
      </c>
      <c r="C569" t="s">
        <v>1941</v>
      </c>
      <c r="F569" t="str">
        <f>"5105383692"</f>
        <v>5105383692</v>
      </c>
      <c r="G569" t="s">
        <v>1942</v>
      </c>
      <c r="H569" t="s">
        <v>521</v>
      </c>
      <c r="I569" t="s">
        <v>22</v>
      </c>
      <c r="J569">
        <v>94542</v>
      </c>
      <c r="K569">
        <v>1616</v>
      </c>
      <c r="L569" t="s">
        <v>23</v>
      </c>
      <c r="M569" t="s">
        <v>1942</v>
      </c>
      <c r="N569" t="s">
        <v>521</v>
      </c>
      <c r="O569" t="s">
        <v>22</v>
      </c>
      <c r="P569">
        <v>94542</v>
      </c>
      <c r="Q569">
        <v>1616</v>
      </c>
      <c r="R569" t="s">
        <v>23</v>
      </c>
      <c r="S569" s="1" t="s">
        <v>34218</v>
      </c>
    </row>
    <row r="570" spans="1:19" x14ac:dyDescent="0.25">
      <c r="A570">
        <v>100793780</v>
      </c>
      <c r="B570" t="s">
        <v>1943</v>
      </c>
      <c r="C570" t="s">
        <v>1161</v>
      </c>
      <c r="F570" t="str">
        <f>"3036511372"</f>
        <v>3036511372</v>
      </c>
      <c r="G570" t="s">
        <v>1944</v>
      </c>
      <c r="H570" t="s">
        <v>438</v>
      </c>
      <c r="I570" t="s">
        <v>71</v>
      </c>
      <c r="J570">
        <v>80503</v>
      </c>
      <c r="K570">
        <v>9224</v>
      </c>
      <c r="L570" t="s">
        <v>23</v>
      </c>
      <c r="M570" t="s">
        <v>1944</v>
      </c>
      <c r="N570" t="s">
        <v>438</v>
      </c>
      <c r="O570" t="s">
        <v>71</v>
      </c>
      <c r="P570">
        <v>80503</v>
      </c>
      <c r="Q570">
        <v>9224</v>
      </c>
      <c r="R570" t="s">
        <v>23</v>
      </c>
      <c r="S570" s="1" t="s">
        <v>34218</v>
      </c>
    </row>
    <row r="571" spans="1:19" x14ac:dyDescent="0.25">
      <c r="A571">
        <v>100794991</v>
      </c>
      <c r="B571" t="s">
        <v>1945</v>
      </c>
      <c r="C571" t="s">
        <v>30</v>
      </c>
      <c r="F571" t="str">
        <f>"9199422796"</f>
        <v>9199422796</v>
      </c>
      <c r="G571" t="s">
        <v>1946</v>
      </c>
      <c r="H571" t="s">
        <v>1276</v>
      </c>
      <c r="I571" t="s">
        <v>446</v>
      </c>
      <c r="J571">
        <v>27516</v>
      </c>
      <c r="K571">
        <v>9567</v>
      </c>
      <c r="L571" t="s">
        <v>23</v>
      </c>
      <c r="M571" t="s">
        <v>1946</v>
      </c>
      <c r="N571" t="s">
        <v>1276</v>
      </c>
      <c r="O571" t="s">
        <v>446</v>
      </c>
      <c r="P571">
        <v>27516</v>
      </c>
      <c r="Q571">
        <v>9567</v>
      </c>
      <c r="R571" t="s">
        <v>23</v>
      </c>
      <c r="S571" s="1" t="s">
        <v>34218</v>
      </c>
    </row>
    <row r="572" spans="1:19" x14ac:dyDescent="0.25">
      <c r="A572">
        <v>100631525</v>
      </c>
      <c r="B572" t="s">
        <v>1947</v>
      </c>
      <c r="C572" t="s">
        <v>1223</v>
      </c>
      <c r="F572" t="str">
        <f>"7075454042"</f>
        <v>7075454042</v>
      </c>
      <c r="G572" t="s">
        <v>1948</v>
      </c>
      <c r="H572" t="s">
        <v>21</v>
      </c>
      <c r="I572" t="s">
        <v>22</v>
      </c>
      <c r="J572">
        <v>95401</v>
      </c>
      <c r="K572">
        <v>9014</v>
      </c>
      <c r="L572" t="s">
        <v>23</v>
      </c>
      <c r="M572" t="s">
        <v>1948</v>
      </c>
      <c r="N572" t="s">
        <v>21</v>
      </c>
      <c r="O572" t="s">
        <v>22</v>
      </c>
      <c r="P572">
        <v>95401</v>
      </c>
      <c r="Q572">
        <v>9014</v>
      </c>
      <c r="R572" t="s">
        <v>23</v>
      </c>
      <c r="S572" s="1" t="s">
        <v>34218</v>
      </c>
    </row>
    <row r="573" spans="1:19" x14ac:dyDescent="0.25">
      <c r="A573">
        <v>100638803</v>
      </c>
      <c r="B573" t="s">
        <v>1949</v>
      </c>
      <c r="C573" t="s">
        <v>1933</v>
      </c>
      <c r="F573" t="str">
        <f>"9082330477"</f>
        <v>9082330477</v>
      </c>
      <c r="G573" t="s">
        <v>1950</v>
      </c>
      <c r="H573" t="s">
        <v>1951</v>
      </c>
      <c r="I573" t="s">
        <v>250</v>
      </c>
      <c r="J573">
        <v>7090</v>
      </c>
      <c r="K573">
        <v>2600</v>
      </c>
      <c r="L573" t="s">
        <v>23</v>
      </c>
      <c r="M573" t="s">
        <v>1950</v>
      </c>
      <c r="N573" t="s">
        <v>1951</v>
      </c>
      <c r="O573" t="s">
        <v>250</v>
      </c>
      <c r="P573">
        <v>7090</v>
      </c>
      <c r="Q573">
        <v>2600</v>
      </c>
      <c r="R573" t="s">
        <v>23</v>
      </c>
      <c r="S573" s="1" t="s">
        <v>34218</v>
      </c>
    </row>
    <row r="574" spans="1:19" x14ac:dyDescent="0.25">
      <c r="A574">
        <v>100640569</v>
      </c>
      <c r="B574" t="s">
        <v>1952</v>
      </c>
      <c r="C574" t="s">
        <v>1873</v>
      </c>
      <c r="F574" t="str">
        <f>"3032341439"</f>
        <v>3032341439</v>
      </c>
      <c r="G574" t="s">
        <v>1953</v>
      </c>
      <c r="H574" t="s">
        <v>1597</v>
      </c>
      <c r="I574" t="s">
        <v>71</v>
      </c>
      <c r="J574">
        <v>80033</v>
      </c>
      <c r="K574">
        <v>6324</v>
      </c>
      <c r="L574" t="s">
        <v>23</v>
      </c>
      <c r="M574" t="s">
        <v>1953</v>
      </c>
      <c r="N574" t="s">
        <v>1597</v>
      </c>
      <c r="O574" t="s">
        <v>71</v>
      </c>
      <c r="P574">
        <v>80033</v>
      </c>
      <c r="Q574">
        <v>6324</v>
      </c>
      <c r="R574" t="s">
        <v>23</v>
      </c>
      <c r="S574" s="1" t="s">
        <v>34218</v>
      </c>
    </row>
    <row r="575" spans="1:19" x14ac:dyDescent="0.25">
      <c r="A575">
        <v>100641551</v>
      </c>
      <c r="B575" t="s">
        <v>1954</v>
      </c>
      <c r="C575" t="s">
        <v>1955</v>
      </c>
      <c r="F575" t="str">
        <f>"6086308253"</f>
        <v>6086308253</v>
      </c>
      <c r="G575" t="s">
        <v>1956</v>
      </c>
      <c r="H575" t="s">
        <v>1957</v>
      </c>
      <c r="I575" t="s">
        <v>100</v>
      </c>
      <c r="J575">
        <v>53711</v>
      </c>
      <c r="K575">
        <v>9101</v>
      </c>
      <c r="L575" t="s">
        <v>23</v>
      </c>
      <c r="M575" t="s">
        <v>1956</v>
      </c>
      <c r="N575" t="s">
        <v>1957</v>
      </c>
      <c r="O575" t="s">
        <v>100</v>
      </c>
      <c r="P575">
        <v>53711</v>
      </c>
      <c r="Q575">
        <v>9101</v>
      </c>
      <c r="R575" t="s">
        <v>23</v>
      </c>
      <c r="S575" s="1" t="s">
        <v>34218</v>
      </c>
    </row>
    <row r="576" spans="1:19" x14ac:dyDescent="0.25">
      <c r="A576">
        <v>100641979</v>
      </c>
      <c r="B576" t="s">
        <v>1958</v>
      </c>
      <c r="C576" t="s">
        <v>1959</v>
      </c>
      <c r="F576" t="str">
        <f>"7039226933"</f>
        <v>7039226933</v>
      </c>
      <c r="G576" t="s">
        <v>1960</v>
      </c>
      <c r="H576" t="s">
        <v>357</v>
      </c>
      <c r="I576" t="s">
        <v>255</v>
      </c>
      <c r="J576">
        <v>22315</v>
      </c>
      <c r="K576">
        <v>4238</v>
      </c>
      <c r="L576" t="s">
        <v>23</v>
      </c>
      <c r="M576" t="s">
        <v>1960</v>
      </c>
      <c r="N576" t="s">
        <v>357</v>
      </c>
      <c r="O576" t="s">
        <v>255</v>
      </c>
      <c r="P576">
        <v>22315</v>
      </c>
      <c r="Q576">
        <v>4238</v>
      </c>
      <c r="R576" t="s">
        <v>23</v>
      </c>
      <c r="S576" s="1" t="s">
        <v>34218</v>
      </c>
    </row>
    <row r="577" spans="1:19" x14ac:dyDescent="0.25">
      <c r="A577">
        <v>100927365</v>
      </c>
      <c r="B577" t="s">
        <v>1961</v>
      </c>
      <c r="C577" t="s">
        <v>1962</v>
      </c>
      <c r="F577" t="str">
        <f>"8183333333"</f>
        <v>8183333333</v>
      </c>
      <c r="G577" t="s">
        <v>1963</v>
      </c>
      <c r="H577" t="s">
        <v>1964</v>
      </c>
      <c r="I577" t="s">
        <v>22</v>
      </c>
      <c r="J577">
        <v>91343</v>
      </c>
      <c r="K577">
        <v>2325</v>
      </c>
      <c r="L577" t="s">
        <v>23</v>
      </c>
      <c r="M577" t="s">
        <v>1963</v>
      </c>
      <c r="N577" t="s">
        <v>1964</v>
      </c>
      <c r="O577" t="s">
        <v>22</v>
      </c>
      <c r="P577">
        <v>91343</v>
      </c>
      <c r="Q577">
        <v>2325</v>
      </c>
      <c r="R577" t="s">
        <v>23</v>
      </c>
      <c r="S577" s="1" t="s">
        <v>34218</v>
      </c>
    </row>
    <row r="578" spans="1:19" x14ac:dyDescent="0.25">
      <c r="A578">
        <v>100565867</v>
      </c>
      <c r="B578" t="s">
        <v>1965</v>
      </c>
      <c r="C578" t="s">
        <v>1036</v>
      </c>
      <c r="F578" t="str">
        <f>"8082806652"</f>
        <v>8082806652</v>
      </c>
      <c r="G578" t="s">
        <v>1966</v>
      </c>
      <c r="H578" t="s">
        <v>1967</v>
      </c>
      <c r="I578" t="s">
        <v>984</v>
      </c>
      <c r="J578">
        <v>96790</v>
      </c>
      <c r="K578">
        <v>9718</v>
      </c>
      <c r="L578" t="s">
        <v>23</v>
      </c>
      <c r="M578" t="s">
        <v>1966</v>
      </c>
      <c r="N578" t="s">
        <v>1967</v>
      </c>
      <c r="O578" t="s">
        <v>984</v>
      </c>
      <c r="P578">
        <v>96790</v>
      </c>
      <c r="Q578">
        <v>9718</v>
      </c>
      <c r="R578" t="s">
        <v>23</v>
      </c>
      <c r="S578" s="1" t="s">
        <v>34218</v>
      </c>
    </row>
    <row r="579" spans="1:19" x14ac:dyDescent="0.25">
      <c r="A579">
        <v>100567213</v>
      </c>
      <c r="B579" t="s">
        <v>1800</v>
      </c>
      <c r="C579" t="s">
        <v>313</v>
      </c>
      <c r="F579" t="str">
        <f>"9312698007"</f>
        <v>9312698007</v>
      </c>
      <c r="G579" t="s">
        <v>1968</v>
      </c>
      <c r="H579" t="s">
        <v>1969</v>
      </c>
      <c r="I579" t="s">
        <v>914</v>
      </c>
      <c r="J579">
        <v>38483</v>
      </c>
      <c r="K579">
        <v>7608</v>
      </c>
      <c r="L579" t="s">
        <v>23</v>
      </c>
      <c r="M579" t="s">
        <v>1968</v>
      </c>
      <c r="N579" t="s">
        <v>1969</v>
      </c>
      <c r="O579" t="s">
        <v>914</v>
      </c>
      <c r="P579">
        <v>38483</v>
      </c>
      <c r="Q579">
        <v>7608</v>
      </c>
      <c r="R579" t="s">
        <v>23</v>
      </c>
      <c r="S579" s="1" t="s">
        <v>34218</v>
      </c>
    </row>
    <row r="580" spans="1:19" x14ac:dyDescent="0.25">
      <c r="A580">
        <v>100764484</v>
      </c>
      <c r="B580" t="s">
        <v>1970</v>
      </c>
      <c r="C580" t="s">
        <v>155</v>
      </c>
      <c r="F580" t="str">
        <f>"7153417424"</f>
        <v>7153417424</v>
      </c>
      <c r="G580" t="s">
        <v>1971</v>
      </c>
      <c r="H580" t="s">
        <v>1972</v>
      </c>
      <c r="I580" t="s">
        <v>100</v>
      </c>
      <c r="J580">
        <v>54481</v>
      </c>
      <c r="K580">
        <v>6018</v>
      </c>
      <c r="L580" t="s">
        <v>23</v>
      </c>
      <c r="M580" t="s">
        <v>1971</v>
      </c>
      <c r="N580" t="s">
        <v>1972</v>
      </c>
      <c r="O580" t="s">
        <v>100</v>
      </c>
      <c r="P580">
        <v>54481</v>
      </c>
      <c r="Q580">
        <v>6018</v>
      </c>
      <c r="R580" t="s">
        <v>23</v>
      </c>
      <c r="S580" s="1" t="s">
        <v>34218</v>
      </c>
    </row>
    <row r="581" spans="1:19" x14ac:dyDescent="0.25">
      <c r="A581">
        <v>100779302</v>
      </c>
      <c r="B581" t="s">
        <v>1973</v>
      </c>
      <c r="C581" t="s">
        <v>145</v>
      </c>
      <c r="F581" t="str">
        <f>"9547217413"</f>
        <v>9547217413</v>
      </c>
      <c r="G581" t="s">
        <v>1974</v>
      </c>
      <c r="H581" t="s">
        <v>1975</v>
      </c>
      <c r="I581" t="s">
        <v>52</v>
      </c>
      <c r="J581">
        <v>33321</v>
      </c>
      <c r="K581">
        <v>9128</v>
      </c>
      <c r="L581" t="s">
        <v>23</v>
      </c>
      <c r="M581" t="s">
        <v>1974</v>
      </c>
      <c r="N581" t="s">
        <v>1975</v>
      </c>
      <c r="O581" t="s">
        <v>52</v>
      </c>
      <c r="P581">
        <v>33321</v>
      </c>
      <c r="Q581">
        <v>9128</v>
      </c>
      <c r="R581" t="s">
        <v>23</v>
      </c>
      <c r="S581" s="1" t="s">
        <v>34218</v>
      </c>
    </row>
    <row r="582" spans="1:19" x14ac:dyDescent="0.25">
      <c r="A582">
        <v>100970615</v>
      </c>
      <c r="B582" t="s">
        <v>1976</v>
      </c>
      <c r="C582" t="s">
        <v>1977</v>
      </c>
      <c r="F582" t="str">
        <f>"7073208141"</f>
        <v>7073208141</v>
      </c>
      <c r="G582" t="s">
        <v>1978</v>
      </c>
      <c r="H582" t="s">
        <v>1979</v>
      </c>
      <c r="I582" t="s">
        <v>22</v>
      </c>
      <c r="J582">
        <v>94937</v>
      </c>
      <c r="K582">
        <v>394</v>
      </c>
      <c r="L582" t="s">
        <v>23</v>
      </c>
      <c r="M582" t="s">
        <v>1978</v>
      </c>
      <c r="N582" t="s">
        <v>1979</v>
      </c>
      <c r="O582" t="s">
        <v>22</v>
      </c>
      <c r="P582">
        <v>94937</v>
      </c>
      <c r="Q582">
        <v>394</v>
      </c>
      <c r="R582" t="s">
        <v>23</v>
      </c>
      <c r="S582" s="1" t="s">
        <v>34218</v>
      </c>
    </row>
    <row r="583" spans="1:19" x14ac:dyDescent="0.25">
      <c r="A583">
        <v>100685828</v>
      </c>
      <c r="B583" t="s">
        <v>1980</v>
      </c>
      <c r="C583" t="s">
        <v>313</v>
      </c>
      <c r="F583" t="str">
        <f>"4847073835"</f>
        <v>4847073835</v>
      </c>
      <c r="G583" t="s">
        <v>1981</v>
      </c>
      <c r="H583" t="s">
        <v>1982</v>
      </c>
      <c r="I583" t="s">
        <v>33</v>
      </c>
      <c r="J583">
        <v>19460</v>
      </c>
      <c r="K583">
        <v>5644</v>
      </c>
      <c r="L583" t="s">
        <v>23</v>
      </c>
      <c r="M583" t="s">
        <v>1981</v>
      </c>
      <c r="N583" t="s">
        <v>1982</v>
      </c>
      <c r="O583" t="s">
        <v>33</v>
      </c>
      <c r="P583">
        <v>19460</v>
      </c>
      <c r="Q583">
        <v>5644</v>
      </c>
      <c r="R583" t="s">
        <v>23</v>
      </c>
      <c r="S583" s="1" t="s">
        <v>34218</v>
      </c>
    </row>
    <row r="584" spans="1:19" x14ac:dyDescent="0.25">
      <c r="A584">
        <v>101096339</v>
      </c>
      <c r="B584" t="s">
        <v>1983</v>
      </c>
      <c r="C584" t="s">
        <v>128</v>
      </c>
      <c r="F584" t="str">
        <f>"7192296202"</f>
        <v>7192296202</v>
      </c>
      <c r="G584" t="s">
        <v>1984</v>
      </c>
      <c r="H584" t="s">
        <v>1985</v>
      </c>
      <c r="I584" t="s">
        <v>71</v>
      </c>
      <c r="J584">
        <v>80911</v>
      </c>
      <c r="K584">
        <v>1437</v>
      </c>
      <c r="L584" t="s">
        <v>23</v>
      </c>
      <c r="M584" t="s">
        <v>1984</v>
      </c>
      <c r="N584" t="s">
        <v>1985</v>
      </c>
      <c r="O584" t="s">
        <v>71</v>
      </c>
      <c r="P584">
        <v>80911</v>
      </c>
      <c r="Q584">
        <v>1437</v>
      </c>
      <c r="R584" t="s">
        <v>23</v>
      </c>
      <c r="S584" s="1" t="s">
        <v>34218</v>
      </c>
    </row>
    <row r="585" spans="1:19" x14ac:dyDescent="0.25">
      <c r="A585">
        <v>101100523</v>
      </c>
      <c r="B585" t="s">
        <v>1986</v>
      </c>
      <c r="C585" t="s">
        <v>200</v>
      </c>
      <c r="F585" t="str">
        <f>"8083269190"</f>
        <v>8083269190</v>
      </c>
      <c r="G585" t="s">
        <v>1987</v>
      </c>
      <c r="H585" t="s">
        <v>1988</v>
      </c>
      <c r="I585" t="s">
        <v>984</v>
      </c>
      <c r="J585">
        <v>96740</v>
      </c>
      <c r="K585">
        <v>9708</v>
      </c>
      <c r="L585" t="s">
        <v>23</v>
      </c>
      <c r="M585" t="s">
        <v>1987</v>
      </c>
      <c r="N585" t="s">
        <v>1988</v>
      </c>
      <c r="O585" t="s">
        <v>984</v>
      </c>
      <c r="P585">
        <v>96740</v>
      </c>
      <c r="Q585">
        <v>9708</v>
      </c>
      <c r="R585" t="s">
        <v>23</v>
      </c>
      <c r="S585" s="1" t="s">
        <v>34218</v>
      </c>
    </row>
    <row r="586" spans="1:19" x14ac:dyDescent="0.25">
      <c r="A586">
        <v>101150283</v>
      </c>
      <c r="B586" t="s">
        <v>1989</v>
      </c>
      <c r="C586" t="s">
        <v>1588</v>
      </c>
      <c r="F586" t="str">
        <f>"2108245422"</f>
        <v>2108245422</v>
      </c>
      <c r="G586" t="s">
        <v>1990</v>
      </c>
      <c r="H586" t="s">
        <v>1229</v>
      </c>
      <c r="I586" t="s">
        <v>38</v>
      </c>
      <c r="J586">
        <v>78212</v>
      </c>
      <c r="K586">
        <v>1203</v>
      </c>
      <c r="L586" t="s">
        <v>23</v>
      </c>
      <c r="M586" t="s">
        <v>1990</v>
      </c>
      <c r="N586" t="s">
        <v>1229</v>
      </c>
      <c r="O586" t="s">
        <v>38</v>
      </c>
      <c r="P586">
        <v>78212</v>
      </c>
      <c r="Q586">
        <v>1203</v>
      </c>
      <c r="R586" t="s">
        <v>23</v>
      </c>
      <c r="S586" s="1" t="s">
        <v>34218</v>
      </c>
    </row>
    <row r="587" spans="1:19" x14ac:dyDescent="0.25">
      <c r="A587">
        <v>101160844</v>
      </c>
      <c r="B587" t="s">
        <v>1991</v>
      </c>
      <c r="C587" t="s">
        <v>1992</v>
      </c>
      <c r="F587" t="str">
        <f>"4156474490"</f>
        <v>4156474490</v>
      </c>
      <c r="G587" t="s">
        <v>1993</v>
      </c>
      <c r="H587" t="s">
        <v>130</v>
      </c>
      <c r="I587" t="s">
        <v>22</v>
      </c>
      <c r="J587">
        <v>94110</v>
      </c>
      <c r="K587">
        <v>5331</v>
      </c>
      <c r="L587" t="s">
        <v>23</v>
      </c>
      <c r="M587" t="s">
        <v>1993</v>
      </c>
      <c r="N587" t="s">
        <v>130</v>
      </c>
      <c r="O587" t="s">
        <v>22</v>
      </c>
      <c r="P587">
        <v>94110</v>
      </c>
      <c r="Q587">
        <v>5331</v>
      </c>
      <c r="R587" t="s">
        <v>23</v>
      </c>
      <c r="S587" s="1" t="s">
        <v>34218</v>
      </c>
    </row>
    <row r="588" spans="1:19" x14ac:dyDescent="0.25">
      <c r="A588">
        <v>101165821</v>
      </c>
      <c r="B588" t="s">
        <v>1994</v>
      </c>
      <c r="C588" t="s">
        <v>102</v>
      </c>
      <c r="F588" t="str">
        <f>"6317280385"</f>
        <v>6317280385</v>
      </c>
      <c r="G588" t="s">
        <v>1995</v>
      </c>
      <c r="H588" t="s">
        <v>1996</v>
      </c>
      <c r="I588" t="s">
        <v>117</v>
      </c>
      <c r="J588">
        <v>11946</v>
      </c>
      <c r="K588">
        <v>1228</v>
      </c>
      <c r="L588" t="s">
        <v>23</v>
      </c>
      <c r="M588" t="s">
        <v>1995</v>
      </c>
      <c r="N588" t="s">
        <v>1996</v>
      </c>
      <c r="O588" t="s">
        <v>117</v>
      </c>
      <c r="P588">
        <v>11946</v>
      </c>
      <c r="Q588">
        <v>1228</v>
      </c>
      <c r="R588" t="s">
        <v>23</v>
      </c>
      <c r="S588" s="1" t="s">
        <v>34218</v>
      </c>
    </row>
    <row r="589" spans="1:19" x14ac:dyDescent="0.25">
      <c r="A589">
        <v>101241284</v>
      </c>
      <c r="B589" t="s">
        <v>1997</v>
      </c>
      <c r="C589" t="s">
        <v>1998</v>
      </c>
      <c r="F589" t="str">
        <f>"4103770007"</f>
        <v>4103770007</v>
      </c>
      <c r="G589" t="s">
        <v>1999</v>
      </c>
      <c r="H589" t="s">
        <v>2000</v>
      </c>
      <c r="I589" t="s">
        <v>148</v>
      </c>
      <c r="J589">
        <v>21239</v>
      </c>
      <c r="K589">
        <v>1328</v>
      </c>
      <c r="L589" t="s">
        <v>23</v>
      </c>
      <c r="M589" t="s">
        <v>1999</v>
      </c>
      <c r="N589" t="s">
        <v>2000</v>
      </c>
      <c r="O589" t="s">
        <v>148</v>
      </c>
      <c r="P589">
        <v>21239</v>
      </c>
      <c r="Q589">
        <v>1328</v>
      </c>
      <c r="R589" t="s">
        <v>23</v>
      </c>
      <c r="S589" s="1" t="s">
        <v>34218</v>
      </c>
    </row>
    <row r="590" spans="1:19" x14ac:dyDescent="0.25">
      <c r="A590">
        <v>101054408</v>
      </c>
      <c r="B590" t="s">
        <v>2001</v>
      </c>
      <c r="C590" t="s">
        <v>1506</v>
      </c>
      <c r="F590" t="str">
        <f>"4342021724"</f>
        <v>4342021724</v>
      </c>
      <c r="G590" t="s">
        <v>2002</v>
      </c>
      <c r="H590" t="s">
        <v>2003</v>
      </c>
      <c r="I590" t="s">
        <v>255</v>
      </c>
      <c r="J590">
        <v>22936</v>
      </c>
      <c r="K590">
        <v>9218</v>
      </c>
      <c r="L590" t="s">
        <v>23</v>
      </c>
      <c r="M590" t="s">
        <v>2002</v>
      </c>
      <c r="N590" t="s">
        <v>2003</v>
      </c>
      <c r="O590" t="s">
        <v>255</v>
      </c>
      <c r="P590">
        <v>22936</v>
      </c>
      <c r="Q590">
        <v>9218</v>
      </c>
      <c r="R590" t="s">
        <v>23</v>
      </c>
      <c r="S590" s="1" t="s">
        <v>34218</v>
      </c>
    </row>
    <row r="591" spans="1:19" x14ac:dyDescent="0.25">
      <c r="A591">
        <v>101057482</v>
      </c>
      <c r="B591" t="s">
        <v>2004</v>
      </c>
      <c r="C591" t="s">
        <v>158</v>
      </c>
      <c r="F591" t="str">
        <f>"5613852710"</f>
        <v>5613852710</v>
      </c>
      <c r="G591" t="s">
        <v>2005</v>
      </c>
      <c r="H591" t="s">
        <v>2006</v>
      </c>
      <c r="I591" t="s">
        <v>52</v>
      </c>
      <c r="J591">
        <v>33480</v>
      </c>
      <c r="K591">
        <v>2403</v>
      </c>
      <c r="L591" t="s">
        <v>23</v>
      </c>
      <c r="M591" t="s">
        <v>2005</v>
      </c>
      <c r="N591" t="s">
        <v>2006</v>
      </c>
      <c r="O591" t="s">
        <v>52</v>
      </c>
      <c r="P591">
        <v>33480</v>
      </c>
      <c r="Q591">
        <v>2403</v>
      </c>
      <c r="R591" t="s">
        <v>23</v>
      </c>
      <c r="S591" s="1" t="s">
        <v>34218</v>
      </c>
    </row>
    <row r="592" spans="1:19" x14ac:dyDescent="0.25">
      <c r="A592">
        <v>101059284</v>
      </c>
      <c r="B592" t="s">
        <v>2007</v>
      </c>
      <c r="C592" t="s">
        <v>132</v>
      </c>
      <c r="F592" t="str">
        <f>"6192867754"</f>
        <v>6192867754</v>
      </c>
      <c r="G592" t="s">
        <v>2008</v>
      </c>
      <c r="H592" t="s">
        <v>198</v>
      </c>
      <c r="I592" t="s">
        <v>22</v>
      </c>
      <c r="J592">
        <v>92115</v>
      </c>
      <c r="K592">
        <v>6932</v>
      </c>
      <c r="L592" t="s">
        <v>23</v>
      </c>
      <c r="M592" t="s">
        <v>2008</v>
      </c>
      <c r="N592" t="s">
        <v>198</v>
      </c>
      <c r="O592" t="s">
        <v>22</v>
      </c>
      <c r="P592">
        <v>92115</v>
      </c>
      <c r="Q592">
        <v>6932</v>
      </c>
      <c r="R592" t="s">
        <v>23</v>
      </c>
      <c r="S592" s="1" t="s">
        <v>34218</v>
      </c>
    </row>
    <row r="593" spans="1:19" x14ac:dyDescent="0.25">
      <c r="A593">
        <v>101062110</v>
      </c>
      <c r="B593" t="s">
        <v>2009</v>
      </c>
      <c r="C593" t="s">
        <v>2010</v>
      </c>
      <c r="F593" t="str">
        <f>"3478632914"</f>
        <v>3478632914</v>
      </c>
      <c r="G593" t="s">
        <v>2011</v>
      </c>
      <c r="H593" t="s">
        <v>412</v>
      </c>
      <c r="I593" t="s">
        <v>117</v>
      </c>
      <c r="J593">
        <v>11225</v>
      </c>
      <c r="K593">
        <v>1609</v>
      </c>
      <c r="L593" t="s">
        <v>23</v>
      </c>
      <c r="M593" t="s">
        <v>2011</v>
      </c>
      <c r="N593" t="s">
        <v>412</v>
      </c>
      <c r="O593" t="s">
        <v>117</v>
      </c>
      <c r="P593">
        <v>11225</v>
      </c>
      <c r="Q593">
        <v>1609</v>
      </c>
      <c r="R593" t="s">
        <v>23</v>
      </c>
      <c r="S593" s="1" t="s">
        <v>34218</v>
      </c>
    </row>
    <row r="594" spans="1:19" x14ac:dyDescent="0.25">
      <c r="A594">
        <v>100538981</v>
      </c>
      <c r="B594" t="s">
        <v>2012</v>
      </c>
      <c r="C594" t="s">
        <v>1384</v>
      </c>
      <c r="F594" t="str">
        <f>"8456286681"</f>
        <v>8456286681</v>
      </c>
      <c r="G594" t="s">
        <v>2013</v>
      </c>
      <c r="H594" t="s">
        <v>2014</v>
      </c>
      <c r="I594" t="s">
        <v>117</v>
      </c>
      <c r="J594">
        <v>10541</v>
      </c>
      <c r="K594">
        <v>2716</v>
      </c>
      <c r="L594" t="s">
        <v>23</v>
      </c>
      <c r="M594" t="s">
        <v>2013</v>
      </c>
      <c r="N594" t="s">
        <v>2014</v>
      </c>
      <c r="O594" t="s">
        <v>117</v>
      </c>
      <c r="P594">
        <v>10541</v>
      </c>
      <c r="Q594">
        <v>2716</v>
      </c>
      <c r="R594" t="s">
        <v>23</v>
      </c>
      <c r="S594" s="1" t="s">
        <v>34218</v>
      </c>
    </row>
    <row r="595" spans="1:19" x14ac:dyDescent="0.25">
      <c r="A595">
        <v>100537627</v>
      </c>
      <c r="B595" t="s">
        <v>2015</v>
      </c>
      <c r="C595" t="s">
        <v>145</v>
      </c>
      <c r="F595" t="str">
        <f>"9133413829"</f>
        <v>9133413829</v>
      </c>
      <c r="G595" t="s">
        <v>2016</v>
      </c>
      <c r="H595" t="s">
        <v>240</v>
      </c>
      <c r="I595" t="s">
        <v>241</v>
      </c>
      <c r="J595">
        <v>66212</v>
      </c>
      <c r="K595">
        <v>3942</v>
      </c>
      <c r="L595" t="s">
        <v>23</v>
      </c>
      <c r="M595" t="s">
        <v>2016</v>
      </c>
      <c r="N595" t="s">
        <v>240</v>
      </c>
      <c r="O595" t="s">
        <v>241</v>
      </c>
      <c r="P595">
        <v>66212</v>
      </c>
      <c r="Q595">
        <v>3942</v>
      </c>
      <c r="R595" t="s">
        <v>23</v>
      </c>
      <c r="S595" s="1" t="s">
        <v>34218</v>
      </c>
    </row>
    <row r="596" spans="1:19" x14ac:dyDescent="0.25">
      <c r="A596">
        <v>100537557</v>
      </c>
      <c r="B596" t="s">
        <v>2017</v>
      </c>
      <c r="C596" t="s">
        <v>2018</v>
      </c>
      <c r="F596" t="str">
        <f>"9205551111"</f>
        <v>9205551111</v>
      </c>
      <c r="G596" t="s">
        <v>2019</v>
      </c>
      <c r="H596" t="s">
        <v>2020</v>
      </c>
      <c r="I596" t="s">
        <v>100</v>
      </c>
      <c r="J596">
        <v>54913</v>
      </c>
      <c r="K596">
        <v>7903</v>
      </c>
      <c r="L596" t="s">
        <v>23</v>
      </c>
      <c r="M596" t="s">
        <v>2019</v>
      </c>
      <c r="N596" t="s">
        <v>2020</v>
      </c>
      <c r="O596" t="s">
        <v>100</v>
      </c>
      <c r="P596">
        <v>54913</v>
      </c>
      <c r="Q596">
        <v>7903</v>
      </c>
      <c r="R596" t="s">
        <v>23</v>
      </c>
      <c r="S596" s="1" t="s">
        <v>34218</v>
      </c>
    </row>
    <row r="597" spans="1:19" x14ac:dyDescent="0.25">
      <c r="A597">
        <v>100542470</v>
      </c>
      <c r="B597" t="s">
        <v>2021</v>
      </c>
      <c r="C597" t="s">
        <v>382</v>
      </c>
      <c r="F597" t="str">
        <f>"9374705253"</f>
        <v>9374705253</v>
      </c>
      <c r="G597" t="s">
        <v>2022</v>
      </c>
      <c r="H597" t="s">
        <v>2023</v>
      </c>
      <c r="I597" t="s">
        <v>178</v>
      </c>
      <c r="J597">
        <v>45440</v>
      </c>
      <c r="K597">
        <v>3311</v>
      </c>
      <c r="L597" t="s">
        <v>23</v>
      </c>
      <c r="M597" t="s">
        <v>2022</v>
      </c>
      <c r="N597" t="s">
        <v>2023</v>
      </c>
      <c r="O597" t="s">
        <v>178</v>
      </c>
      <c r="P597">
        <v>45440</v>
      </c>
      <c r="Q597">
        <v>3311</v>
      </c>
      <c r="R597" t="s">
        <v>23</v>
      </c>
      <c r="S597" s="1" t="s">
        <v>34218</v>
      </c>
    </row>
    <row r="598" spans="1:19" x14ac:dyDescent="0.25">
      <c r="A598">
        <v>101061140</v>
      </c>
      <c r="B598" t="s">
        <v>812</v>
      </c>
      <c r="C598" t="s">
        <v>571</v>
      </c>
      <c r="F598" t="str">
        <f>"2035315867"</f>
        <v>2035315867</v>
      </c>
      <c r="G598" t="s">
        <v>2024</v>
      </c>
      <c r="H598" t="s">
        <v>2025</v>
      </c>
      <c r="I598" t="s">
        <v>161</v>
      </c>
      <c r="J598" t="s">
        <v>2026</v>
      </c>
      <c r="K598">
        <v>2533</v>
      </c>
      <c r="L598" t="s">
        <v>23</v>
      </c>
      <c r="M598" t="s">
        <v>2024</v>
      </c>
      <c r="N598" t="s">
        <v>2025</v>
      </c>
      <c r="O598" t="s">
        <v>161</v>
      </c>
      <c r="P598" t="s">
        <v>2026</v>
      </c>
      <c r="Q598">
        <v>2533</v>
      </c>
      <c r="R598" t="s">
        <v>23</v>
      </c>
      <c r="S598" s="1" t="s">
        <v>34218</v>
      </c>
    </row>
    <row r="599" spans="1:19" x14ac:dyDescent="0.25">
      <c r="A599">
        <v>100551302</v>
      </c>
      <c r="B599" t="s">
        <v>2027</v>
      </c>
      <c r="C599" t="s">
        <v>432</v>
      </c>
      <c r="F599" t="str">
        <f>"9496759944"</f>
        <v>9496759944</v>
      </c>
      <c r="G599" t="s">
        <v>2028</v>
      </c>
      <c r="H599" t="s">
        <v>2029</v>
      </c>
      <c r="I599" t="s">
        <v>22</v>
      </c>
      <c r="J599">
        <v>92625</v>
      </c>
      <c r="K599">
        <v>1324</v>
      </c>
      <c r="L599" t="s">
        <v>23</v>
      </c>
      <c r="M599" t="s">
        <v>2028</v>
      </c>
      <c r="N599" t="s">
        <v>2029</v>
      </c>
      <c r="O599" t="s">
        <v>22</v>
      </c>
      <c r="P599">
        <v>92625</v>
      </c>
      <c r="Q599">
        <v>1324</v>
      </c>
      <c r="R599" t="s">
        <v>23</v>
      </c>
      <c r="S599" s="1" t="s">
        <v>34218</v>
      </c>
    </row>
    <row r="600" spans="1:19" x14ac:dyDescent="0.25">
      <c r="A600">
        <v>100742529</v>
      </c>
      <c r="B600" t="s">
        <v>1135</v>
      </c>
      <c r="C600" t="s">
        <v>167</v>
      </c>
      <c r="F600" t="str">
        <f>"6503647208"</f>
        <v>6503647208</v>
      </c>
      <c r="G600" t="s">
        <v>2030</v>
      </c>
      <c r="H600" t="s">
        <v>2031</v>
      </c>
      <c r="I600" t="s">
        <v>22</v>
      </c>
      <c r="J600">
        <v>94061</v>
      </c>
      <c r="K600">
        <v>3242</v>
      </c>
      <c r="L600" t="s">
        <v>23</v>
      </c>
      <c r="M600" t="s">
        <v>2030</v>
      </c>
      <c r="N600" t="s">
        <v>2031</v>
      </c>
      <c r="O600" t="s">
        <v>22</v>
      </c>
      <c r="P600">
        <v>94061</v>
      </c>
      <c r="Q600">
        <v>3242</v>
      </c>
      <c r="R600" t="s">
        <v>23</v>
      </c>
      <c r="S600" s="1" t="s">
        <v>34218</v>
      </c>
    </row>
    <row r="601" spans="1:19" x14ac:dyDescent="0.25">
      <c r="A601">
        <v>100744633</v>
      </c>
      <c r="B601" t="s">
        <v>2032</v>
      </c>
      <c r="C601" t="s">
        <v>2033</v>
      </c>
      <c r="F601" t="str">
        <f>"5185616095"</f>
        <v>5185616095</v>
      </c>
      <c r="G601" t="s">
        <v>2034</v>
      </c>
      <c r="H601" t="s">
        <v>2035</v>
      </c>
      <c r="I601" t="s">
        <v>117</v>
      </c>
      <c r="J601">
        <v>12901</v>
      </c>
      <c r="K601">
        <v>6932</v>
      </c>
      <c r="L601" t="s">
        <v>23</v>
      </c>
      <c r="M601" t="s">
        <v>2034</v>
      </c>
      <c r="N601" t="s">
        <v>2035</v>
      </c>
      <c r="O601" t="s">
        <v>117</v>
      </c>
      <c r="P601">
        <v>12901</v>
      </c>
      <c r="Q601">
        <v>6932</v>
      </c>
      <c r="R601" t="s">
        <v>23</v>
      </c>
      <c r="S601" s="1" t="s">
        <v>34218</v>
      </c>
    </row>
    <row r="602" spans="1:19" x14ac:dyDescent="0.25">
      <c r="A602">
        <v>100608988</v>
      </c>
      <c r="B602" t="s">
        <v>2036</v>
      </c>
      <c r="C602" t="s">
        <v>2037</v>
      </c>
      <c r="F602" t="str">
        <f>"2103859503"</f>
        <v>2103859503</v>
      </c>
      <c r="G602" t="s">
        <v>2038</v>
      </c>
      <c r="H602" t="s">
        <v>2039</v>
      </c>
      <c r="I602" t="s">
        <v>38</v>
      </c>
      <c r="J602">
        <v>75455</v>
      </c>
      <c r="K602">
        <v>5859</v>
      </c>
      <c r="L602" t="s">
        <v>23</v>
      </c>
      <c r="M602" t="s">
        <v>2038</v>
      </c>
      <c r="N602" t="s">
        <v>2039</v>
      </c>
      <c r="O602" t="s">
        <v>38</v>
      </c>
      <c r="P602">
        <v>75455</v>
      </c>
      <c r="Q602">
        <v>5859</v>
      </c>
      <c r="R602" t="s">
        <v>23</v>
      </c>
      <c r="S602" s="1" t="s">
        <v>34218</v>
      </c>
    </row>
    <row r="603" spans="1:19" x14ac:dyDescent="0.25">
      <c r="A603">
        <v>100873267</v>
      </c>
      <c r="B603" t="s">
        <v>2040</v>
      </c>
      <c r="C603" t="s">
        <v>329</v>
      </c>
      <c r="F603" t="str">
        <f>"3154513584"</f>
        <v>3154513584</v>
      </c>
      <c r="G603" t="s">
        <v>2041</v>
      </c>
      <c r="H603" t="s">
        <v>2042</v>
      </c>
      <c r="I603" t="s">
        <v>117</v>
      </c>
      <c r="J603">
        <v>13088</v>
      </c>
      <c r="K603">
        <v>4610</v>
      </c>
      <c r="L603" t="s">
        <v>23</v>
      </c>
      <c r="M603" t="s">
        <v>2041</v>
      </c>
      <c r="N603" t="s">
        <v>2042</v>
      </c>
      <c r="O603" t="s">
        <v>117</v>
      </c>
      <c r="P603">
        <v>13088</v>
      </c>
      <c r="Q603">
        <v>4610</v>
      </c>
      <c r="R603" t="s">
        <v>23</v>
      </c>
      <c r="S603" s="1" t="s">
        <v>34218</v>
      </c>
    </row>
    <row r="604" spans="1:19" x14ac:dyDescent="0.25">
      <c r="A604">
        <v>100633969</v>
      </c>
      <c r="B604" t="s">
        <v>2043</v>
      </c>
      <c r="C604" t="s">
        <v>2044</v>
      </c>
      <c r="F604" t="str">
        <f>"9193616350"</f>
        <v>9193616350</v>
      </c>
      <c r="G604" t="s">
        <v>2045</v>
      </c>
      <c r="H604" t="s">
        <v>2046</v>
      </c>
      <c r="I604" t="s">
        <v>446</v>
      </c>
      <c r="J604">
        <v>27713</v>
      </c>
      <c r="K604">
        <v>2532</v>
      </c>
      <c r="L604" t="s">
        <v>23</v>
      </c>
      <c r="M604" t="s">
        <v>2045</v>
      </c>
      <c r="N604" t="s">
        <v>2046</v>
      </c>
      <c r="O604" t="s">
        <v>446</v>
      </c>
      <c r="P604">
        <v>27713</v>
      </c>
      <c r="Q604">
        <v>2532</v>
      </c>
      <c r="R604" t="s">
        <v>23</v>
      </c>
      <c r="S604" s="1" t="s">
        <v>34218</v>
      </c>
    </row>
    <row r="605" spans="1:19" x14ac:dyDescent="0.25">
      <c r="A605">
        <v>100851682</v>
      </c>
      <c r="B605" t="s">
        <v>1925</v>
      </c>
      <c r="C605" t="s">
        <v>2047</v>
      </c>
      <c r="F605" t="str">
        <f>"8084464924"</f>
        <v>8084464924</v>
      </c>
      <c r="G605" t="s">
        <v>2048</v>
      </c>
      <c r="H605" t="s">
        <v>1739</v>
      </c>
      <c r="I605" t="s">
        <v>984</v>
      </c>
      <c r="J605">
        <v>96793</v>
      </c>
      <c r="K605">
        <v>2641</v>
      </c>
      <c r="L605" t="s">
        <v>23</v>
      </c>
      <c r="M605" t="s">
        <v>2048</v>
      </c>
      <c r="N605" t="s">
        <v>1739</v>
      </c>
      <c r="O605" t="s">
        <v>984</v>
      </c>
      <c r="P605">
        <v>96793</v>
      </c>
      <c r="Q605">
        <v>2641</v>
      </c>
      <c r="R605" t="s">
        <v>23</v>
      </c>
      <c r="S605" s="1" t="s">
        <v>34218</v>
      </c>
    </row>
    <row r="606" spans="1:19" x14ac:dyDescent="0.25">
      <c r="A606">
        <v>100860862</v>
      </c>
      <c r="B606" t="s">
        <v>1144</v>
      </c>
      <c r="C606" t="s">
        <v>155</v>
      </c>
      <c r="F606" t="str">
        <f>"4103923816"</f>
        <v>4103923816</v>
      </c>
      <c r="G606" t="s">
        <v>2049</v>
      </c>
      <c r="H606" t="s">
        <v>2050</v>
      </c>
      <c r="I606" t="s">
        <v>148</v>
      </c>
      <c r="J606">
        <v>21921</v>
      </c>
      <c r="K606">
        <v>8403</v>
      </c>
      <c r="L606" t="s">
        <v>23</v>
      </c>
      <c r="M606" t="s">
        <v>2049</v>
      </c>
      <c r="N606" t="s">
        <v>2050</v>
      </c>
      <c r="O606" t="s">
        <v>148</v>
      </c>
      <c r="P606">
        <v>21921</v>
      </c>
      <c r="Q606">
        <v>8403</v>
      </c>
      <c r="R606" t="s">
        <v>23</v>
      </c>
      <c r="S606" s="1" t="s">
        <v>34218</v>
      </c>
    </row>
    <row r="607" spans="1:19" x14ac:dyDescent="0.25">
      <c r="A607">
        <v>101074047</v>
      </c>
      <c r="B607" t="s">
        <v>2051</v>
      </c>
      <c r="C607" t="s">
        <v>2052</v>
      </c>
      <c r="F607" t="str">
        <f>"3032741658"</f>
        <v>3032741658</v>
      </c>
      <c r="G607" t="s">
        <v>2053</v>
      </c>
      <c r="H607" t="s">
        <v>1597</v>
      </c>
      <c r="I607" t="s">
        <v>71</v>
      </c>
      <c r="J607">
        <v>80033</v>
      </c>
      <c r="K607">
        <v>3243</v>
      </c>
      <c r="L607" t="s">
        <v>23</v>
      </c>
      <c r="M607" t="s">
        <v>2053</v>
      </c>
      <c r="N607" t="s">
        <v>1597</v>
      </c>
      <c r="O607" t="s">
        <v>71</v>
      </c>
      <c r="P607">
        <v>80033</v>
      </c>
      <c r="Q607">
        <v>3243</v>
      </c>
      <c r="R607" t="s">
        <v>23</v>
      </c>
      <c r="S607" s="1" t="s">
        <v>34218</v>
      </c>
    </row>
    <row r="608" spans="1:19" x14ac:dyDescent="0.25">
      <c r="A608">
        <v>101084675</v>
      </c>
      <c r="B608" t="s">
        <v>2054</v>
      </c>
      <c r="C608" t="s">
        <v>874</v>
      </c>
      <c r="F608" t="str">
        <f>"6016490071"</f>
        <v>6016490071</v>
      </c>
      <c r="G608" t="s">
        <v>2055</v>
      </c>
      <c r="H608" t="s">
        <v>2056</v>
      </c>
      <c r="I608" t="s">
        <v>1226</v>
      </c>
      <c r="J608">
        <v>39443</v>
      </c>
      <c r="K608">
        <v>9711</v>
      </c>
      <c r="L608" t="s">
        <v>23</v>
      </c>
      <c r="M608" t="s">
        <v>2055</v>
      </c>
      <c r="N608" t="s">
        <v>2056</v>
      </c>
      <c r="O608" t="s">
        <v>1226</v>
      </c>
      <c r="P608">
        <v>39443</v>
      </c>
      <c r="Q608">
        <v>9711</v>
      </c>
      <c r="R608" t="s">
        <v>23</v>
      </c>
      <c r="S608" s="1" t="s">
        <v>34218</v>
      </c>
    </row>
    <row r="609" spans="1:19" x14ac:dyDescent="0.25">
      <c r="A609">
        <v>100690076</v>
      </c>
      <c r="B609" t="s">
        <v>2057</v>
      </c>
      <c r="C609" t="s">
        <v>2058</v>
      </c>
      <c r="F609" t="str">
        <f>"2313470272"</f>
        <v>2313470272</v>
      </c>
      <c r="G609" t="s">
        <v>2059</v>
      </c>
      <c r="H609" t="s">
        <v>2060</v>
      </c>
      <c r="I609" t="s">
        <v>140</v>
      </c>
      <c r="J609">
        <v>49770</v>
      </c>
      <c r="K609">
        <v>9106</v>
      </c>
      <c r="L609" t="s">
        <v>23</v>
      </c>
      <c r="M609" t="s">
        <v>2059</v>
      </c>
      <c r="N609" t="s">
        <v>2060</v>
      </c>
      <c r="O609" t="s">
        <v>140</v>
      </c>
      <c r="P609">
        <v>49770</v>
      </c>
      <c r="Q609">
        <v>9106</v>
      </c>
      <c r="R609" t="s">
        <v>23</v>
      </c>
      <c r="S609" s="1" t="s">
        <v>34218</v>
      </c>
    </row>
    <row r="610" spans="1:19" x14ac:dyDescent="0.25">
      <c r="A610">
        <v>100716124</v>
      </c>
      <c r="B610" t="s">
        <v>2061</v>
      </c>
      <c r="C610" t="s">
        <v>2062</v>
      </c>
      <c r="F610" t="str">
        <f>"8505554444"</f>
        <v>8505554444</v>
      </c>
      <c r="G610" t="s">
        <v>2063</v>
      </c>
      <c r="H610" t="s">
        <v>1196</v>
      </c>
      <c r="I610" t="s">
        <v>52</v>
      </c>
      <c r="J610">
        <v>32305</v>
      </c>
      <c r="K610">
        <v>8404</v>
      </c>
      <c r="L610" t="s">
        <v>23</v>
      </c>
      <c r="M610" t="s">
        <v>2063</v>
      </c>
      <c r="N610" t="s">
        <v>1196</v>
      </c>
      <c r="O610" t="s">
        <v>52</v>
      </c>
      <c r="P610">
        <v>32305</v>
      </c>
      <c r="Q610">
        <v>8404</v>
      </c>
      <c r="R610" t="s">
        <v>23</v>
      </c>
      <c r="S610" s="1" t="s">
        <v>34218</v>
      </c>
    </row>
    <row r="611" spans="1:19" x14ac:dyDescent="0.25">
      <c r="A611">
        <v>101128053</v>
      </c>
      <c r="B611" t="s">
        <v>2064</v>
      </c>
      <c r="C611" t="s">
        <v>543</v>
      </c>
      <c r="F611" t="str">
        <f>"2106796888"</f>
        <v>2106796888</v>
      </c>
      <c r="G611" t="s">
        <v>2065</v>
      </c>
      <c r="H611" t="s">
        <v>1229</v>
      </c>
      <c r="I611" t="s">
        <v>38</v>
      </c>
      <c r="J611">
        <v>78253</v>
      </c>
      <c r="K611">
        <v>6024</v>
      </c>
      <c r="L611" t="s">
        <v>23</v>
      </c>
      <c r="M611" t="s">
        <v>2065</v>
      </c>
      <c r="N611" t="s">
        <v>1229</v>
      </c>
      <c r="O611" t="s">
        <v>38</v>
      </c>
      <c r="P611">
        <v>78253</v>
      </c>
      <c r="Q611">
        <v>6024</v>
      </c>
      <c r="R611" t="s">
        <v>23</v>
      </c>
      <c r="S611" s="1" t="s">
        <v>34218</v>
      </c>
    </row>
    <row r="612" spans="1:19" x14ac:dyDescent="0.25">
      <c r="A612">
        <v>100959289</v>
      </c>
      <c r="B612" t="s">
        <v>2066</v>
      </c>
      <c r="C612" t="s">
        <v>2067</v>
      </c>
      <c r="F612" t="str">
        <f>"7078727040"</f>
        <v>7078727040</v>
      </c>
      <c r="G612" t="s">
        <v>2068</v>
      </c>
      <c r="H612" t="s">
        <v>2069</v>
      </c>
      <c r="I612" t="s">
        <v>22</v>
      </c>
      <c r="J612">
        <v>95472</v>
      </c>
      <c r="K612">
        <v>9787</v>
      </c>
      <c r="L612" t="s">
        <v>23</v>
      </c>
      <c r="M612" t="s">
        <v>2068</v>
      </c>
      <c r="N612" t="s">
        <v>2069</v>
      </c>
      <c r="O612" t="s">
        <v>22</v>
      </c>
      <c r="P612">
        <v>95472</v>
      </c>
      <c r="Q612">
        <v>9787</v>
      </c>
      <c r="R612" t="s">
        <v>23</v>
      </c>
      <c r="S612" s="1" t="s">
        <v>34218</v>
      </c>
    </row>
    <row r="613" spans="1:19" x14ac:dyDescent="0.25">
      <c r="A613">
        <v>100960917</v>
      </c>
      <c r="B613" t="s">
        <v>2070</v>
      </c>
      <c r="C613" t="s">
        <v>2071</v>
      </c>
      <c r="F613" t="str">
        <f>"8284099544"</f>
        <v>8284099544</v>
      </c>
      <c r="G613" t="s">
        <v>2072</v>
      </c>
      <c r="H613" t="s">
        <v>2073</v>
      </c>
      <c r="I613" t="s">
        <v>446</v>
      </c>
      <c r="J613">
        <v>28681</v>
      </c>
      <c r="K613">
        <v>8062</v>
      </c>
      <c r="L613" t="s">
        <v>23</v>
      </c>
      <c r="M613" t="s">
        <v>2072</v>
      </c>
      <c r="N613" t="s">
        <v>2073</v>
      </c>
      <c r="O613" t="s">
        <v>446</v>
      </c>
      <c r="P613">
        <v>28681</v>
      </c>
      <c r="Q613">
        <v>8062</v>
      </c>
      <c r="R613" t="s">
        <v>23</v>
      </c>
      <c r="S613" s="1" t="s">
        <v>34218</v>
      </c>
    </row>
    <row r="614" spans="1:19" x14ac:dyDescent="0.25">
      <c r="A614">
        <v>100579302</v>
      </c>
      <c r="B614" t="s">
        <v>2074</v>
      </c>
      <c r="C614" t="s">
        <v>2075</v>
      </c>
      <c r="F614" t="str">
        <f>"4134982602"</f>
        <v>4134982602</v>
      </c>
      <c r="G614" t="s">
        <v>2076</v>
      </c>
      <c r="H614" t="s">
        <v>2077</v>
      </c>
      <c r="I614" t="s">
        <v>236</v>
      </c>
      <c r="J614">
        <v>1360</v>
      </c>
      <c r="K614">
        <v>1033</v>
      </c>
      <c r="L614" t="s">
        <v>23</v>
      </c>
      <c r="M614" t="s">
        <v>2076</v>
      </c>
      <c r="N614" t="s">
        <v>2077</v>
      </c>
      <c r="O614" t="s">
        <v>236</v>
      </c>
      <c r="P614">
        <v>1360</v>
      </c>
      <c r="Q614">
        <v>1033</v>
      </c>
      <c r="R614" t="s">
        <v>23</v>
      </c>
      <c r="S614" s="1" t="s">
        <v>34218</v>
      </c>
    </row>
    <row r="615" spans="1:19" x14ac:dyDescent="0.25">
      <c r="A615">
        <v>101011893</v>
      </c>
      <c r="B615" t="s">
        <v>208</v>
      </c>
      <c r="C615" t="s">
        <v>1506</v>
      </c>
      <c r="F615" t="str">
        <f>"8313382757"</f>
        <v>8313382757</v>
      </c>
      <c r="G615" t="s">
        <v>2078</v>
      </c>
      <c r="H615" t="s">
        <v>2079</v>
      </c>
      <c r="I615" t="s">
        <v>22</v>
      </c>
      <c r="J615">
        <v>95006</v>
      </c>
      <c r="K615">
        <v>8543</v>
      </c>
      <c r="L615" t="s">
        <v>23</v>
      </c>
      <c r="M615" t="s">
        <v>2078</v>
      </c>
      <c r="N615" t="s">
        <v>2079</v>
      </c>
      <c r="O615" t="s">
        <v>22</v>
      </c>
      <c r="P615">
        <v>95006</v>
      </c>
      <c r="Q615">
        <v>8543</v>
      </c>
      <c r="R615" t="s">
        <v>23</v>
      </c>
      <c r="S615" s="1" t="s">
        <v>34218</v>
      </c>
    </row>
    <row r="616" spans="1:19" x14ac:dyDescent="0.25">
      <c r="A616">
        <v>101205562</v>
      </c>
      <c r="B616" t="s">
        <v>2080</v>
      </c>
      <c r="C616" t="s">
        <v>1757</v>
      </c>
      <c r="F616" t="str">
        <f>"2563620373"</f>
        <v>2563620373</v>
      </c>
      <c r="G616" t="s">
        <v>2081</v>
      </c>
      <c r="H616" t="s">
        <v>2082</v>
      </c>
      <c r="I616" t="s">
        <v>1387</v>
      </c>
      <c r="J616">
        <v>35160</v>
      </c>
      <c r="K616">
        <v>3359</v>
      </c>
      <c r="L616" t="s">
        <v>23</v>
      </c>
      <c r="M616" t="s">
        <v>2081</v>
      </c>
      <c r="N616" t="s">
        <v>2082</v>
      </c>
      <c r="O616" t="s">
        <v>1387</v>
      </c>
      <c r="P616">
        <v>35160</v>
      </c>
      <c r="Q616">
        <v>3359</v>
      </c>
      <c r="R616" t="s">
        <v>23</v>
      </c>
      <c r="S616" s="1" t="s">
        <v>34218</v>
      </c>
    </row>
    <row r="617" spans="1:19" x14ac:dyDescent="0.25">
      <c r="A617">
        <v>101286333</v>
      </c>
      <c r="B617" t="s">
        <v>2083</v>
      </c>
      <c r="C617" t="s">
        <v>2084</v>
      </c>
      <c r="F617" t="str">
        <f>"5136174425"</f>
        <v>5136174425</v>
      </c>
      <c r="G617" t="s">
        <v>2085</v>
      </c>
      <c r="H617" t="s">
        <v>2086</v>
      </c>
      <c r="I617" t="s">
        <v>178</v>
      </c>
      <c r="J617">
        <v>45224</v>
      </c>
      <c r="K617">
        <v>1363</v>
      </c>
      <c r="L617" t="s">
        <v>23</v>
      </c>
      <c r="M617" t="s">
        <v>2085</v>
      </c>
      <c r="N617" t="s">
        <v>2086</v>
      </c>
      <c r="O617" t="s">
        <v>178</v>
      </c>
      <c r="P617">
        <v>45224</v>
      </c>
      <c r="Q617">
        <v>1363</v>
      </c>
      <c r="R617" t="s">
        <v>23</v>
      </c>
      <c r="S617" s="1" t="s">
        <v>34218</v>
      </c>
    </row>
    <row r="618" spans="1:19" x14ac:dyDescent="0.25">
      <c r="A618">
        <v>101289180</v>
      </c>
      <c r="B618" t="s">
        <v>2087</v>
      </c>
      <c r="C618" t="s">
        <v>575</v>
      </c>
      <c r="F618" t="str">
        <f>"5203034856"</f>
        <v>5203034856</v>
      </c>
      <c r="G618" t="s">
        <v>2088</v>
      </c>
      <c r="H618" t="s">
        <v>1439</v>
      </c>
      <c r="I618" t="s">
        <v>365</v>
      </c>
      <c r="J618">
        <v>85704</v>
      </c>
      <c r="K618">
        <v>7052</v>
      </c>
      <c r="L618" t="s">
        <v>23</v>
      </c>
      <c r="M618" t="s">
        <v>2088</v>
      </c>
      <c r="N618" t="s">
        <v>1439</v>
      </c>
      <c r="O618" t="s">
        <v>365</v>
      </c>
      <c r="P618">
        <v>85704</v>
      </c>
      <c r="Q618">
        <v>7052</v>
      </c>
      <c r="R618" t="s">
        <v>23</v>
      </c>
      <c r="S618" s="1" t="s">
        <v>34218</v>
      </c>
    </row>
    <row r="619" spans="1:19" x14ac:dyDescent="0.25">
      <c r="A619">
        <v>101290351</v>
      </c>
      <c r="B619" t="s">
        <v>2089</v>
      </c>
      <c r="C619" t="s">
        <v>668</v>
      </c>
      <c r="F619" t="str">
        <f>"5745340771"</f>
        <v>5745340771</v>
      </c>
      <c r="G619" t="s">
        <v>2090</v>
      </c>
      <c r="H619" t="s">
        <v>2091</v>
      </c>
      <c r="I619" t="s">
        <v>57</v>
      </c>
      <c r="J619">
        <v>46567</v>
      </c>
      <c r="K619">
        <v>1119</v>
      </c>
      <c r="L619" t="s">
        <v>23</v>
      </c>
      <c r="M619" t="s">
        <v>2090</v>
      </c>
      <c r="N619" t="s">
        <v>2091</v>
      </c>
      <c r="O619" t="s">
        <v>57</v>
      </c>
      <c r="P619">
        <v>46567</v>
      </c>
      <c r="Q619">
        <v>1119</v>
      </c>
      <c r="R619" t="s">
        <v>23</v>
      </c>
      <c r="S619" s="1" t="s">
        <v>34218</v>
      </c>
    </row>
    <row r="620" spans="1:19" x14ac:dyDescent="0.25">
      <c r="A620">
        <v>100982407</v>
      </c>
      <c r="B620" t="s">
        <v>2092</v>
      </c>
      <c r="C620" t="s">
        <v>2093</v>
      </c>
      <c r="F620" t="str">
        <f>"4087335232"</f>
        <v>4087335232</v>
      </c>
      <c r="G620" t="s">
        <v>2094</v>
      </c>
      <c r="H620" t="s">
        <v>360</v>
      </c>
      <c r="I620" t="s">
        <v>22</v>
      </c>
      <c r="J620">
        <v>94087</v>
      </c>
      <c r="K620">
        <v>1865</v>
      </c>
      <c r="L620" t="s">
        <v>23</v>
      </c>
      <c r="M620" t="s">
        <v>2094</v>
      </c>
      <c r="N620" t="s">
        <v>360</v>
      </c>
      <c r="O620" t="s">
        <v>22</v>
      </c>
      <c r="P620">
        <v>94087</v>
      </c>
      <c r="Q620">
        <v>1865</v>
      </c>
      <c r="R620" t="s">
        <v>23</v>
      </c>
      <c r="S620" s="1" t="s">
        <v>34218</v>
      </c>
    </row>
    <row r="621" spans="1:19" x14ac:dyDescent="0.25">
      <c r="A621">
        <v>100982640</v>
      </c>
      <c r="B621" t="s">
        <v>2095</v>
      </c>
      <c r="C621" t="s">
        <v>1955</v>
      </c>
      <c r="F621" t="str">
        <f>"8124826595"</f>
        <v>8124826595</v>
      </c>
      <c r="G621" t="s">
        <v>2096</v>
      </c>
      <c r="H621" t="s">
        <v>2097</v>
      </c>
      <c r="I621" t="s">
        <v>57</v>
      </c>
      <c r="J621">
        <v>47546</v>
      </c>
      <c r="K621">
        <v>3713</v>
      </c>
      <c r="L621" t="s">
        <v>23</v>
      </c>
      <c r="M621" t="s">
        <v>2096</v>
      </c>
      <c r="N621" t="s">
        <v>2097</v>
      </c>
      <c r="O621" t="s">
        <v>57</v>
      </c>
      <c r="P621">
        <v>47546</v>
      </c>
      <c r="Q621">
        <v>3713</v>
      </c>
      <c r="R621" t="s">
        <v>23</v>
      </c>
      <c r="S621" s="1" t="s">
        <v>34218</v>
      </c>
    </row>
    <row r="622" spans="1:19" x14ac:dyDescent="0.25">
      <c r="A622">
        <v>101196045</v>
      </c>
      <c r="B622" t="s">
        <v>2098</v>
      </c>
      <c r="C622" t="s">
        <v>350</v>
      </c>
      <c r="F622" t="str">
        <f>"5614793954"</f>
        <v>5614793954</v>
      </c>
      <c r="G622" t="s">
        <v>2099</v>
      </c>
      <c r="H622" t="s">
        <v>2100</v>
      </c>
      <c r="I622" t="s">
        <v>52</v>
      </c>
      <c r="J622">
        <v>33304</v>
      </c>
      <c r="K622">
        <v>4068</v>
      </c>
      <c r="L622" t="s">
        <v>23</v>
      </c>
      <c r="M622" t="s">
        <v>2099</v>
      </c>
      <c r="N622" t="s">
        <v>2100</v>
      </c>
      <c r="O622" t="s">
        <v>52</v>
      </c>
      <c r="P622">
        <v>33304</v>
      </c>
      <c r="Q622">
        <v>4068</v>
      </c>
      <c r="R622" t="s">
        <v>23</v>
      </c>
      <c r="S622" s="1" t="s">
        <v>34218</v>
      </c>
    </row>
    <row r="623" spans="1:19" x14ac:dyDescent="0.25">
      <c r="A623">
        <v>101309719</v>
      </c>
      <c r="B623" t="s">
        <v>2101</v>
      </c>
      <c r="C623" t="s">
        <v>247</v>
      </c>
      <c r="F623" t="str">
        <f>"2033223496"</f>
        <v>2033223496</v>
      </c>
      <c r="G623" t="s">
        <v>2102</v>
      </c>
      <c r="H623" t="s">
        <v>2103</v>
      </c>
      <c r="I623" t="s">
        <v>161</v>
      </c>
      <c r="J623">
        <v>6820</v>
      </c>
      <c r="K623">
        <v>5336</v>
      </c>
      <c r="L623" t="s">
        <v>23</v>
      </c>
      <c r="M623" t="s">
        <v>2102</v>
      </c>
      <c r="N623" t="s">
        <v>2103</v>
      </c>
      <c r="O623" t="s">
        <v>161</v>
      </c>
      <c r="P623">
        <v>6820</v>
      </c>
      <c r="Q623">
        <v>5336</v>
      </c>
      <c r="R623" t="s">
        <v>23</v>
      </c>
      <c r="S623" s="1" t="s">
        <v>34218</v>
      </c>
    </row>
    <row r="624" spans="1:19" x14ac:dyDescent="0.25">
      <c r="A624">
        <v>101302058</v>
      </c>
      <c r="B624" t="s">
        <v>2104</v>
      </c>
      <c r="C624" t="s">
        <v>1157</v>
      </c>
      <c r="F624" t="str">
        <f>"6037834702"</f>
        <v>6037834702</v>
      </c>
      <c r="G624" t="s">
        <v>2105</v>
      </c>
      <c r="H624" t="s">
        <v>2106</v>
      </c>
      <c r="I624" t="s">
        <v>353</v>
      </c>
      <c r="J624">
        <v>3224</v>
      </c>
      <c r="K624">
        <v>2223</v>
      </c>
      <c r="L624" t="s">
        <v>23</v>
      </c>
      <c r="M624" t="s">
        <v>2105</v>
      </c>
      <c r="N624" t="s">
        <v>2106</v>
      </c>
      <c r="O624" t="s">
        <v>353</v>
      </c>
      <c r="P624">
        <v>3224</v>
      </c>
      <c r="Q624">
        <v>2223</v>
      </c>
      <c r="R624" t="s">
        <v>23</v>
      </c>
      <c r="S624" s="1" t="s">
        <v>34218</v>
      </c>
    </row>
    <row r="625" spans="1:19" x14ac:dyDescent="0.25">
      <c r="A625">
        <v>101302332</v>
      </c>
      <c r="B625" t="s">
        <v>2107</v>
      </c>
      <c r="C625" t="s">
        <v>2108</v>
      </c>
      <c r="F625" t="str">
        <f>"7074593371"</f>
        <v>7074593371</v>
      </c>
      <c r="G625" t="s">
        <v>2109</v>
      </c>
      <c r="H625" t="s">
        <v>2110</v>
      </c>
      <c r="I625" t="s">
        <v>22</v>
      </c>
      <c r="J625">
        <v>95490</v>
      </c>
      <c r="K625">
        <v>8901</v>
      </c>
      <c r="L625" t="s">
        <v>23</v>
      </c>
      <c r="M625" t="s">
        <v>2109</v>
      </c>
      <c r="N625" t="s">
        <v>2110</v>
      </c>
      <c r="O625" t="s">
        <v>22</v>
      </c>
      <c r="P625">
        <v>95490</v>
      </c>
      <c r="Q625">
        <v>8901</v>
      </c>
      <c r="R625" t="s">
        <v>23</v>
      </c>
      <c r="S625" s="1" t="s">
        <v>34218</v>
      </c>
    </row>
    <row r="626" spans="1:19" x14ac:dyDescent="0.25">
      <c r="A626">
        <v>100946742</v>
      </c>
      <c r="B626" t="s">
        <v>2111</v>
      </c>
      <c r="C626" t="s">
        <v>2112</v>
      </c>
      <c r="F626" t="str">
        <f>"5039754741"</f>
        <v>5039754741</v>
      </c>
      <c r="G626" t="s">
        <v>2113</v>
      </c>
      <c r="H626" t="s">
        <v>227</v>
      </c>
      <c r="I626" t="s">
        <v>43</v>
      </c>
      <c r="J626">
        <v>97211</v>
      </c>
      <c r="K626">
        <v>4632</v>
      </c>
      <c r="L626" t="s">
        <v>23</v>
      </c>
      <c r="M626" t="s">
        <v>2113</v>
      </c>
      <c r="N626" t="s">
        <v>227</v>
      </c>
      <c r="O626" t="s">
        <v>43</v>
      </c>
      <c r="P626">
        <v>97211</v>
      </c>
      <c r="Q626">
        <v>4632</v>
      </c>
      <c r="R626" t="s">
        <v>23</v>
      </c>
      <c r="S626" s="1" t="s">
        <v>34218</v>
      </c>
    </row>
    <row r="627" spans="1:19" x14ac:dyDescent="0.25">
      <c r="A627">
        <v>100957536</v>
      </c>
      <c r="B627" t="s">
        <v>2114</v>
      </c>
      <c r="C627" t="s">
        <v>1873</v>
      </c>
      <c r="F627" t="str">
        <f>"8582599050"</f>
        <v>8582599050</v>
      </c>
      <c r="G627" t="s">
        <v>2115</v>
      </c>
      <c r="H627" t="s">
        <v>2116</v>
      </c>
      <c r="I627" t="s">
        <v>22</v>
      </c>
      <c r="J627">
        <v>92075</v>
      </c>
      <c r="K627">
        <v>1201</v>
      </c>
      <c r="L627" t="s">
        <v>23</v>
      </c>
      <c r="M627" t="s">
        <v>2115</v>
      </c>
      <c r="N627" t="s">
        <v>2116</v>
      </c>
      <c r="O627" t="s">
        <v>22</v>
      </c>
      <c r="P627">
        <v>92075</v>
      </c>
      <c r="Q627">
        <v>1201</v>
      </c>
      <c r="R627" t="s">
        <v>23</v>
      </c>
      <c r="S627" s="1" t="s">
        <v>34218</v>
      </c>
    </row>
    <row r="628" spans="1:19" x14ac:dyDescent="0.25">
      <c r="A628">
        <v>101112846</v>
      </c>
      <c r="B628" t="s">
        <v>2117</v>
      </c>
      <c r="C628" t="s">
        <v>45</v>
      </c>
      <c r="F628" t="str">
        <f>"6517772190"</f>
        <v>6517772190</v>
      </c>
      <c r="G628" t="s">
        <v>2118</v>
      </c>
      <c r="H628" t="s">
        <v>2119</v>
      </c>
      <c r="I628" t="s">
        <v>187</v>
      </c>
      <c r="J628">
        <v>55109</v>
      </c>
      <c r="K628">
        <v>4843</v>
      </c>
      <c r="L628" t="s">
        <v>23</v>
      </c>
      <c r="M628" t="s">
        <v>2118</v>
      </c>
      <c r="N628" t="s">
        <v>2119</v>
      </c>
      <c r="O628" t="s">
        <v>187</v>
      </c>
      <c r="P628">
        <v>55109</v>
      </c>
      <c r="Q628">
        <v>4843</v>
      </c>
      <c r="R628" t="s">
        <v>23</v>
      </c>
      <c r="S628" s="1" t="s">
        <v>34218</v>
      </c>
    </row>
    <row r="629" spans="1:19" x14ac:dyDescent="0.25">
      <c r="A629">
        <v>101117115</v>
      </c>
      <c r="B629" t="s">
        <v>320</v>
      </c>
      <c r="C629" t="s">
        <v>2120</v>
      </c>
      <c r="F629" t="str">
        <f>"8325415856"</f>
        <v>8325415856</v>
      </c>
      <c r="G629" t="s">
        <v>2121</v>
      </c>
      <c r="H629" t="s">
        <v>2122</v>
      </c>
      <c r="I629" t="s">
        <v>38</v>
      </c>
      <c r="J629">
        <v>77479</v>
      </c>
      <c r="K629">
        <v>1546</v>
      </c>
      <c r="L629" t="s">
        <v>23</v>
      </c>
      <c r="M629" t="s">
        <v>2121</v>
      </c>
      <c r="N629" t="s">
        <v>2122</v>
      </c>
      <c r="O629" t="s">
        <v>38</v>
      </c>
      <c r="P629">
        <v>77479</v>
      </c>
      <c r="Q629">
        <v>1546</v>
      </c>
      <c r="R629" t="s">
        <v>23</v>
      </c>
      <c r="S629" s="1" t="s">
        <v>34218</v>
      </c>
    </row>
    <row r="630" spans="1:19" x14ac:dyDescent="0.25">
      <c r="A630">
        <v>101343051</v>
      </c>
      <c r="B630" t="s">
        <v>2123</v>
      </c>
      <c r="C630" t="s">
        <v>483</v>
      </c>
      <c r="F630" t="str">
        <f>"7143961563"</f>
        <v>7143961563</v>
      </c>
      <c r="G630" t="s">
        <v>2124</v>
      </c>
      <c r="H630" t="s">
        <v>2125</v>
      </c>
      <c r="I630" t="s">
        <v>100</v>
      </c>
      <c r="J630">
        <v>53562</v>
      </c>
      <c r="K630">
        <v>3703</v>
      </c>
      <c r="L630" t="s">
        <v>23</v>
      </c>
      <c r="M630" t="s">
        <v>2124</v>
      </c>
      <c r="N630" t="s">
        <v>2125</v>
      </c>
      <c r="O630" t="s">
        <v>100</v>
      </c>
      <c r="P630">
        <v>53562</v>
      </c>
      <c r="Q630">
        <v>3703</v>
      </c>
      <c r="R630" t="s">
        <v>23</v>
      </c>
      <c r="S630" s="1" t="s">
        <v>34218</v>
      </c>
    </row>
    <row r="631" spans="1:19" x14ac:dyDescent="0.25">
      <c r="A631">
        <v>101358646</v>
      </c>
      <c r="B631" t="s">
        <v>2126</v>
      </c>
      <c r="C631" t="s">
        <v>2127</v>
      </c>
      <c r="F631" t="str">
        <f>"9545720886"</f>
        <v>9545720886</v>
      </c>
      <c r="G631" t="s">
        <v>2128</v>
      </c>
      <c r="H631" t="s">
        <v>2129</v>
      </c>
      <c r="I631" t="s">
        <v>52</v>
      </c>
      <c r="J631">
        <v>33351</v>
      </c>
      <c r="K631">
        <v>5073</v>
      </c>
      <c r="L631" t="s">
        <v>23</v>
      </c>
      <c r="M631" t="s">
        <v>2128</v>
      </c>
      <c r="N631" t="s">
        <v>2129</v>
      </c>
      <c r="O631" t="s">
        <v>52</v>
      </c>
      <c r="P631">
        <v>33351</v>
      </c>
      <c r="Q631">
        <v>5073</v>
      </c>
      <c r="R631" t="s">
        <v>23</v>
      </c>
      <c r="S631" s="1" t="s">
        <v>34218</v>
      </c>
    </row>
    <row r="632" spans="1:19" x14ac:dyDescent="0.25">
      <c r="A632">
        <v>101380105</v>
      </c>
      <c r="B632" t="s">
        <v>2130</v>
      </c>
      <c r="C632" t="s">
        <v>30</v>
      </c>
      <c r="F632" t="str">
        <f>"8146881857"</f>
        <v>8146881857</v>
      </c>
      <c r="G632" t="s">
        <v>2131</v>
      </c>
      <c r="H632" t="s">
        <v>2132</v>
      </c>
      <c r="I632" t="s">
        <v>33</v>
      </c>
      <c r="J632">
        <v>16365</v>
      </c>
      <c r="K632">
        <v>2315</v>
      </c>
      <c r="L632" t="s">
        <v>23</v>
      </c>
      <c r="M632" t="s">
        <v>2131</v>
      </c>
      <c r="N632" t="s">
        <v>2132</v>
      </c>
      <c r="O632" t="s">
        <v>33</v>
      </c>
      <c r="P632">
        <v>16365</v>
      </c>
      <c r="Q632">
        <v>2315</v>
      </c>
      <c r="R632" t="s">
        <v>23</v>
      </c>
      <c r="S632" s="1" t="s">
        <v>34218</v>
      </c>
    </row>
    <row r="633" spans="1:19" x14ac:dyDescent="0.25">
      <c r="A633">
        <v>101139171</v>
      </c>
      <c r="B633" t="s">
        <v>2133</v>
      </c>
      <c r="C633" t="s">
        <v>2134</v>
      </c>
      <c r="F633" t="str">
        <f>"8454620235"</f>
        <v>8454620235</v>
      </c>
      <c r="G633" t="s">
        <v>2135</v>
      </c>
      <c r="H633" t="s">
        <v>2136</v>
      </c>
      <c r="I633" t="s">
        <v>117</v>
      </c>
      <c r="J633">
        <v>12603</v>
      </c>
      <c r="K633">
        <v>5103</v>
      </c>
      <c r="L633" t="s">
        <v>23</v>
      </c>
      <c r="M633" t="s">
        <v>2135</v>
      </c>
      <c r="N633" t="s">
        <v>2136</v>
      </c>
      <c r="O633" t="s">
        <v>117</v>
      </c>
      <c r="P633">
        <v>12603</v>
      </c>
      <c r="Q633">
        <v>5103</v>
      </c>
      <c r="R633" t="s">
        <v>23</v>
      </c>
      <c r="S633" s="1" t="s">
        <v>34218</v>
      </c>
    </row>
    <row r="634" spans="1:19" x14ac:dyDescent="0.25">
      <c r="A634">
        <v>101177127</v>
      </c>
      <c r="B634" t="s">
        <v>2137</v>
      </c>
      <c r="C634" t="s">
        <v>1429</v>
      </c>
      <c r="F634" t="str">
        <f>"8474983127"</f>
        <v>8474983127</v>
      </c>
      <c r="G634" t="s">
        <v>2138</v>
      </c>
      <c r="H634" t="s">
        <v>2139</v>
      </c>
      <c r="I634" t="s">
        <v>135</v>
      </c>
      <c r="J634">
        <v>60062</v>
      </c>
      <c r="K634">
        <v>3104</v>
      </c>
      <c r="L634" t="s">
        <v>23</v>
      </c>
      <c r="M634" t="s">
        <v>2138</v>
      </c>
      <c r="N634" t="s">
        <v>2139</v>
      </c>
      <c r="O634" t="s">
        <v>135</v>
      </c>
      <c r="P634">
        <v>60062</v>
      </c>
      <c r="Q634">
        <v>3104</v>
      </c>
      <c r="R634" t="s">
        <v>23</v>
      </c>
      <c r="S634" s="1" t="s">
        <v>34218</v>
      </c>
    </row>
    <row r="635" spans="1:19" x14ac:dyDescent="0.25">
      <c r="A635">
        <v>101297429</v>
      </c>
      <c r="B635" t="s">
        <v>228</v>
      </c>
      <c r="C635" t="s">
        <v>1835</v>
      </c>
      <c r="F635" t="str">
        <f>"4065827994"</f>
        <v>4065827994</v>
      </c>
      <c r="G635" t="s">
        <v>2140</v>
      </c>
      <c r="H635" t="s">
        <v>2141</v>
      </c>
      <c r="I635" t="s">
        <v>1000</v>
      </c>
      <c r="J635">
        <v>59715</v>
      </c>
      <c r="K635">
        <v>4547</v>
      </c>
      <c r="L635" t="s">
        <v>23</v>
      </c>
      <c r="M635" t="s">
        <v>2140</v>
      </c>
      <c r="N635" t="s">
        <v>2141</v>
      </c>
      <c r="O635" t="s">
        <v>1000</v>
      </c>
      <c r="P635">
        <v>59715</v>
      </c>
      <c r="Q635">
        <v>4547</v>
      </c>
      <c r="R635" t="s">
        <v>23</v>
      </c>
      <c r="S635" s="1" t="s">
        <v>34218</v>
      </c>
    </row>
    <row r="636" spans="1:19" x14ac:dyDescent="0.25">
      <c r="A636">
        <v>101299221</v>
      </c>
      <c r="B636" t="s">
        <v>2142</v>
      </c>
      <c r="C636" t="s">
        <v>81</v>
      </c>
      <c r="F636" t="str">
        <f>"5084284745"</f>
        <v>5084284745</v>
      </c>
      <c r="G636" t="s">
        <v>2143</v>
      </c>
      <c r="H636" t="s">
        <v>869</v>
      </c>
      <c r="I636" t="s">
        <v>52</v>
      </c>
      <c r="J636">
        <v>33137</v>
      </c>
      <c r="K636">
        <v>4055</v>
      </c>
      <c r="L636" t="s">
        <v>23</v>
      </c>
      <c r="M636" t="s">
        <v>2143</v>
      </c>
      <c r="N636" t="s">
        <v>869</v>
      </c>
      <c r="O636" t="s">
        <v>52</v>
      </c>
      <c r="P636">
        <v>33137</v>
      </c>
      <c r="Q636">
        <v>4055</v>
      </c>
      <c r="R636" t="s">
        <v>23</v>
      </c>
      <c r="S636" s="1" t="s">
        <v>34218</v>
      </c>
    </row>
    <row r="637" spans="1:19" x14ac:dyDescent="0.25">
      <c r="A637">
        <v>101300518</v>
      </c>
      <c r="B637" t="s">
        <v>2144</v>
      </c>
      <c r="C637" t="s">
        <v>180</v>
      </c>
      <c r="F637" t="str">
        <f>"5106930491"</f>
        <v>5106930491</v>
      </c>
      <c r="G637" t="s">
        <v>2145</v>
      </c>
      <c r="H637" t="s">
        <v>88</v>
      </c>
      <c r="I637" t="s">
        <v>22</v>
      </c>
      <c r="J637">
        <v>94619</v>
      </c>
      <c r="K637">
        <v>1605</v>
      </c>
      <c r="L637" t="s">
        <v>23</v>
      </c>
      <c r="M637" t="s">
        <v>2145</v>
      </c>
      <c r="N637" t="s">
        <v>88</v>
      </c>
      <c r="O637" t="s">
        <v>22</v>
      </c>
      <c r="P637">
        <v>94619</v>
      </c>
      <c r="Q637">
        <v>1605</v>
      </c>
      <c r="R637" t="s">
        <v>23</v>
      </c>
      <c r="S637" s="1" t="s">
        <v>34218</v>
      </c>
    </row>
    <row r="638" spans="1:19" x14ac:dyDescent="0.25">
      <c r="A638">
        <v>101295496</v>
      </c>
      <c r="B638" t="s">
        <v>2146</v>
      </c>
      <c r="C638" t="s">
        <v>2147</v>
      </c>
      <c r="F638" t="str">
        <f>"7082046417"</f>
        <v>7082046417</v>
      </c>
      <c r="G638" t="s">
        <v>2148</v>
      </c>
      <c r="H638" t="s">
        <v>2149</v>
      </c>
      <c r="I638" t="s">
        <v>135</v>
      </c>
      <c r="J638">
        <v>60464</v>
      </c>
      <c r="K638">
        <v>1546</v>
      </c>
      <c r="L638" t="s">
        <v>23</v>
      </c>
      <c r="M638" t="s">
        <v>2148</v>
      </c>
      <c r="N638" t="s">
        <v>2149</v>
      </c>
      <c r="O638" t="s">
        <v>135</v>
      </c>
      <c r="P638">
        <v>60464</v>
      </c>
      <c r="Q638">
        <v>1546</v>
      </c>
      <c r="R638" t="s">
        <v>23</v>
      </c>
      <c r="S638" s="1" t="s">
        <v>34218</v>
      </c>
    </row>
    <row r="639" spans="1:19" x14ac:dyDescent="0.25">
      <c r="A639">
        <v>101301002</v>
      </c>
      <c r="B639" t="s">
        <v>2150</v>
      </c>
      <c r="C639" t="s">
        <v>2151</v>
      </c>
      <c r="F639" t="str">
        <f>"5038077545"</f>
        <v>5038077545</v>
      </c>
      <c r="G639" t="s">
        <v>2152</v>
      </c>
      <c r="H639" t="s">
        <v>237</v>
      </c>
      <c r="I639" t="s">
        <v>43</v>
      </c>
      <c r="J639">
        <v>97017</v>
      </c>
      <c r="K639">
        <v>9708</v>
      </c>
      <c r="L639" t="s">
        <v>23</v>
      </c>
      <c r="M639" t="s">
        <v>2152</v>
      </c>
      <c r="N639" t="s">
        <v>237</v>
      </c>
      <c r="O639" t="s">
        <v>43</v>
      </c>
      <c r="P639">
        <v>97017</v>
      </c>
      <c r="Q639">
        <v>9708</v>
      </c>
      <c r="R639" t="s">
        <v>23</v>
      </c>
      <c r="S639" s="1" t="s">
        <v>34218</v>
      </c>
    </row>
    <row r="640" spans="1:19" x14ac:dyDescent="0.25">
      <c r="A640">
        <v>101416711</v>
      </c>
      <c r="B640" t="s">
        <v>2153</v>
      </c>
      <c r="C640" t="s">
        <v>123</v>
      </c>
      <c r="F640" t="str">
        <f>"9013018894"</f>
        <v>9013018894</v>
      </c>
      <c r="G640" t="s">
        <v>2154</v>
      </c>
      <c r="H640" t="s">
        <v>2046</v>
      </c>
      <c r="I640" t="s">
        <v>446</v>
      </c>
      <c r="J640">
        <v>27713</v>
      </c>
      <c r="K640">
        <v>6542</v>
      </c>
      <c r="L640" t="s">
        <v>23</v>
      </c>
      <c r="M640" t="s">
        <v>2154</v>
      </c>
      <c r="N640" t="s">
        <v>2046</v>
      </c>
      <c r="O640" t="s">
        <v>446</v>
      </c>
      <c r="P640">
        <v>27713</v>
      </c>
      <c r="Q640">
        <v>6542</v>
      </c>
      <c r="R640" t="s">
        <v>23</v>
      </c>
      <c r="S640" s="1" t="s">
        <v>34218</v>
      </c>
    </row>
    <row r="641" spans="1:19" x14ac:dyDescent="0.25">
      <c r="A641">
        <v>101417175</v>
      </c>
      <c r="B641" t="s">
        <v>2155</v>
      </c>
      <c r="C641" t="s">
        <v>278</v>
      </c>
      <c r="F641" t="str">
        <f>"7193834621"</f>
        <v>7193834621</v>
      </c>
      <c r="G641" t="s">
        <v>2156</v>
      </c>
      <c r="H641" t="s">
        <v>2157</v>
      </c>
      <c r="I641" t="s">
        <v>71</v>
      </c>
      <c r="J641">
        <v>81050</v>
      </c>
      <c r="K641">
        <v>2953</v>
      </c>
      <c r="L641" t="s">
        <v>23</v>
      </c>
      <c r="M641" t="s">
        <v>2156</v>
      </c>
      <c r="N641" t="s">
        <v>2157</v>
      </c>
      <c r="O641" t="s">
        <v>71</v>
      </c>
      <c r="P641">
        <v>81050</v>
      </c>
      <c r="Q641">
        <v>2953</v>
      </c>
      <c r="R641" t="s">
        <v>23</v>
      </c>
      <c r="S641" s="1" t="s">
        <v>34218</v>
      </c>
    </row>
    <row r="642" spans="1:19" x14ac:dyDescent="0.25">
      <c r="A642">
        <v>100570146</v>
      </c>
      <c r="B642" t="s">
        <v>2158</v>
      </c>
      <c r="C642" t="s">
        <v>2159</v>
      </c>
      <c r="F642" t="str">
        <f>"5555555555"</f>
        <v>5555555555</v>
      </c>
      <c r="G642" t="s">
        <v>2160</v>
      </c>
      <c r="H642" t="s">
        <v>2161</v>
      </c>
      <c r="I642" t="s">
        <v>187</v>
      </c>
      <c r="J642">
        <v>55122</v>
      </c>
      <c r="L642" t="s">
        <v>23</v>
      </c>
      <c r="M642" t="s">
        <v>2160</v>
      </c>
      <c r="N642" t="s">
        <v>2161</v>
      </c>
      <c r="O642" t="s">
        <v>187</v>
      </c>
      <c r="P642">
        <v>55122</v>
      </c>
      <c r="R642" t="s">
        <v>23</v>
      </c>
      <c r="S642" s="1" t="s">
        <v>34218</v>
      </c>
    </row>
    <row r="643" spans="1:19" x14ac:dyDescent="0.25">
      <c r="A643">
        <v>100594795</v>
      </c>
      <c r="B643" t="s">
        <v>2162</v>
      </c>
      <c r="C643" t="s">
        <v>247</v>
      </c>
      <c r="F643" t="str">
        <f>"4153782521"</f>
        <v>4153782521</v>
      </c>
      <c r="G643" t="s">
        <v>2163</v>
      </c>
      <c r="H643" t="s">
        <v>130</v>
      </c>
      <c r="I643" t="s">
        <v>22</v>
      </c>
      <c r="J643">
        <v>94131</v>
      </c>
      <c r="K643">
        <v>2532</v>
      </c>
      <c r="L643" t="s">
        <v>23</v>
      </c>
      <c r="M643" t="s">
        <v>2163</v>
      </c>
      <c r="N643" t="s">
        <v>130</v>
      </c>
      <c r="O643" t="s">
        <v>22</v>
      </c>
      <c r="P643">
        <v>94131</v>
      </c>
      <c r="Q643">
        <v>2532</v>
      </c>
      <c r="R643" t="s">
        <v>23</v>
      </c>
      <c r="S643" s="1" t="s">
        <v>34218</v>
      </c>
    </row>
    <row r="644" spans="1:19" x14ac:dyDescent="0.25">
      <c r="A644">
        <v>101228957</v>
      </c>
      <c r="B644" t="s">
        <v>2164</v>
      </c>
      <c r="C644" t="s">
        <v>2165</v>
      </c>
      <c r="F644" t="str">
        <f>"9282375773"</f>
        <v>9282375773</v>
      </c>
      <c r="G644" t="s">
        <v>2166</v>
      </c>
      <c r="H644" t="s">
        <v>723</v>
      </c>
      <c r="I644" t="s">
        <v>365</v>
      </c>
      <c r="J644">
        <v>86305</v>
      </c>
      <c r="K644">
        <v>2183</v>
      </c>
      <c r="L644" t="s">
        <v>23</v>
      </c>
      <c r="M644" t="s">
        <v>2166</v>
      </c>
      <c r="N644" t="s">
        <v>723</v>
      </c>
      <c r="O644" t="s">
        <v>365</v>
      </c>
      <c r="P644">
        <v>86305</v>
      </c>
      <c r="Q644">
        <v>2183</v>
      </c>
      <c r="R644" t="s">
        <v>23</v>
      </c>
      <c r="S644" s="1" t="s">
        <v>34218</v>
      </c>
    </row>
    <row r="645" spans="1:19" x14ac:dyDescent="0.25">
      <c r="A645">
        <v>101234174</v>
      </c>
      <c r="B645" t="s">
        <v>2167</v>
      </c>
      <c r="C645" t="s">
        <v>305</v>
      </c>
      <c r="F645" t="str">
        <f>"9517045965"</f>
        <v>9517045965</v>
      </c>
      <c r="G645" t="s">
        <v>2168</v>
      </c>
      <c r="H645" t="s">
        <v>2169</v>
      </c>
      <c r="I645" t="s">
        <v>365</v>
      </c>
      <c r="J645">
        <v>85284</v>
      </c>
      <c r="K645">
        <v>10</v>
      </c>
      <c r="L645" t="s">
        <v>23</v>
      </c>
      <c r="M645" t="s">
        <v>2168</v>
      </c>
      <c r="N645" t="s">
        <v>2169</v>
      </c>
      <c r="O645" t="s">
        <v>365</v>
      </c>
      <c r="P645">
        <v>85284</v>
      </c>
      <c r="Q645">
        <v>10</v>
      </c>
      <c r="R645" t="s">
        <v>23</v>
      </c>
      <c r="S645" s="1" t="s">
        <v>34218</v>
      </c>
    </row>
    <row r="646" spans="1:19" x14ac:dyDescent="0.25">
      <c r="A646">
        <v>101292572</v>
      </c>
      <c r="B646" t="s">
        <v>2170</v>
      </c>
      <c r="C646" t="s">
        <v>137</v>
      </c>
      <c r="F646" t="str">
        <f>"3608999929"</f>
        <v>3608999929</v>
      </c>
      <c r="G646" t="s">
        <v>2171</v>
      </c>
      <c r="H646" t="s">
        <v>198</v>
      </c>
      <c r="I646" t="s">
        <v>22</v>
      </c>
      <c r="J646">
        <v>92115</v>
      </c>
      <c r="K646">
        <v>3049</v>
      </c>
      <c r="L646" t="s">
        <v>23</v>
      </c>
      <c r="M646" t="s">
        <v>2171</v>
      </c>
      <c r="N646" t="s">
        <v>198</v>
      </c>
      <c r="O646" t="s">
        <v>22</v>
      </c>
      <c r="P646">
        <v>92115</v>
      </c>
      <c r="Q646">
        <v>3049</v>
      </c>
      <c r="R646" t="s">
        <v>23</v>
      </c>
      <c r="S646" s="1" t="s">
        <v>34218</v>
      </c>
    </row>
    <row r="647" spans="1:19" x14ac:dyDescent="0.25">
      <c r="A647">
        <v>100551628</v>
      </c>
      <c r="B647" t="s">
        <v>2172</v>
      </c>
      <c r="C647" t="s">
        <v>2173</v>
      </c>
      <c r="F647" t="str">
        <f>"3036747473"</f>
        <v>3036747473</v>
      </c>
      <c r="G647" t="s">
        <v>2174</v>
      </c>
      <c r="H647" t="s">
        <v>2175</v>
      </c>
      <c r="I647" t="s">
        <v>71</v>
      </c>
      <c r="J647">
        <v>80112</v>
      </c>
      <c r="K647">
        <v>5866</v>
      </c>
      <c r="L647" t="s">
        <v>23</v>
      </c>
      <c r="M647" t="s">
        <v>2174</v>
      </c>
      <c r="N647" t="s">
        <v>2175</v>
      </c>
      <c r="O647" t="s">
        <v>71</v>
      </c>
      <c r="P647">
        <v>80112</v>
      </c>
      <c r="Q647">
        <v>5866</v>
      </c>
      <c r="R647" t="s">
        <v>23</v>
      </c>
      <c r="S647" s="1" t="s">
        <v>34218</v>
      </c>
    </row>
    <row r="648" spans="1:19" x14ac:dyDescent="0.25">
      <c r="A648">
        <v>100757286</v>
      </c>
      <c r="B648" t="s">
        <v>2176</v>
      </c>
      <c r="C648" t="s">
        <v>1679</v>
      </c>
      <c r="F648" t="str">
        <f>"8439973845"</f>
        <v>8439973845</v>
      </c>
      <c r="G648" t="s">
        <v>2177</v>
      </c>
      <c r="H648" t="s">
        <v>2178</v>
      </c>
      <c r="I648" t="s">
        <v>187</v>
      </c>
      <c r="J648">
        <v>55806</v>
      </c>
      <c r="K648">
        <v>1201</v>
      </c>
      <c r="L648" t="s">
        <v>23</v>
      </c>
      <c r="M648" t="s">
        <v>2177</v>
      </c>
      <c r="N648" t="s">
        <v>2178</v>
      </c>
      <c r="O648" t="s">
        <v>187</v>
      </c>
      <c r="P648">
        <v>55806</v>
      </c>
      <c r="Q648">
        <v>1201</v>
      </c>
      <c r="R648" t="s">
        <v>23</v>
      </c>
      <c r="S648" s="1" t="s">
        <v>34218</v>
      </c>
    </row>
    <row r="649" spans="1:19" x14ac:dyDescent="0.25">
      <c r="A649">
        <v>101222243</v>
      </c>
      <c r="B649" t="s">
        <v>2179</v>
      </c>
      <c r="C649" t="s">
        <v>2180</v>
      </c>
      <c r="F649" t="str">
        <f>"5555555555"</f>
        <v>5555555555</v>
      </c>
      <c r="G649" t="s">
        <v>2181</v>
      </c>
      <c r="H649" t="s">
        <v>1504</v>
      </c>
      <c r="I649" t="s">
        <v>148</v>
      </c>
      <c r="J649" t="s">
        <v>2182</v>
      </c>
      <c r="K649">
        <v>5359</v>
      </c>
      <c r="L649" t="s">
        <v>23</v>
      </c>
      <c r="M649" t="s">
        <v>2181</v>
      </c>
      <c r="N649" t="s">
        <v>1504</v>
      </c>
      <c r="O649" t="s">
        <v>148</v>
      </c>
      <c r="P649" t="s">
        <v>2182</v>
      </c>
      <c r="Q649">
        <v>5359</v>
      </c>
      <c r="R649" t="s">
        <v>23</v>
      </c>
      <c r="S649" s="1" t="s">
        <v>34218</v>
      </c>
    </row>
    <row r="650" spans="1:19" x14ac:dyDescent="0.25">
      <c r="A650">
        <v>100711484</v>
      </c>
      <c r="B650" t="s">
        <v>2183</v>
      </c>
      <c r="C650" t="s">
        <v>2184</v>
      </c>
      <c r="F650" t="str">
        <f>"5852661249"</f>
        <v>5852661249</v>
      </c>
      <c r="G650" t="s">
        <v>2185</v>
      </c>
      <c r="H650" t="s">
        <v>688</v>
      </c>
      <c r="I650" t="s">
        <v>117</v>
      </c>
      <c r="J650" t="s">
        <v>2186</v>
      </c>
      <c r="K650">
        <v>4511</v>
      </c>
      <c r="L650" t="s">
        <v>23</v>
      </c>
      <c r="M650" t="s">
        <v>2185</v>
      </c>
      <c r="N650" t="s">
        <v>688</v>
      </c>
      <c r="O650" t="s">
        <v>117</v>
      </c>
      <c r="P650" t="s">
        <v>2186</v>
      </c>
      <c r="Q650">
        <v>4511</v>
      </c>
      <c r="R650" t="s">
        <v>23</v>
      </c>
      <c r="S650" s="1" t="s">
        <v>34218</v>
      </c>
    </row>
    <row r="651" spans="1:19" x14ac:dyDescent="0.25">
      <c r="A651">
        <v>101309877</v>
      </c>
      <c r="B651" t="s">
        <v>1800</v>
      </c>
      <c r="C651" t="s">
        <v>2187</v>
      </c>
      <c r="F651" t="str">
        <f>"5853815515"</f>
        <v>5853815515</v>
      </c>
      <c r="G651" t="s">
        <v>2188</v>
      </c>
      <c r="H651" t="s">
        <v>688</v>
      </c>
      <c r="I651" t="s">
        <v>117</v>
      </c>
      <c r="J651">
        <v>14625</v>
      </c>
      <c r="L651" t="s">
        <v>23</v>
      </c>
      <c r="M651" t="s">
        <v>2188</v>
      </c>
      <c r="N651" t="s">
        <v>688</v>
      </c>
      <c r="O651" t="s">
        <v>117</v>
      </c>
      <c r="P651">
        <v>14625</v>
      </c>
      <c r="R651" t="s">
        <v>23</v>
      </c>
      <c r="S651" s="1" t="s">
        <v>34218</v>
      </c>
    </row>
    <row r="652" spans="1:19" x14ac:dyDescent="0.25">
      <c r="A652">
        <v>101363131</v>
      </c>
      <c r="B652" t="s">
        <v>2189</v>
      </c>
      <c r="C652" t="s">
        <v>1141</v>
      </c>
      <c r="F652" t="str">
        <f>"8185429500"</f>
        <v>8185429500</v>
      </c>
      <c r="G652" t="s">
        <v>2190</v>
      </c>
      <c r="H652" t="s">
        <v>2191</v>
      </c>
      <c r="I652" t="s">
        <v>22</v>
      </c>
      <c r="J652">
        <v>91214</v>
      </c>
      <c r="K652">
        <v>3820</v>
      </c>
      <c r="L652" t="s">
        <v>23</v>
      </c>
      <c r="M652" t="s">
        <v>2190</v>
      </c>
      <c r="N652" t="s">
        <v>2191</v>
      </c>
      <c r="O652" t="s">
        <v>22</v>
      </c>
      <c r="P652">
        <v>91214</v>
      </c>
      <c r="Q652">
        <v>3820</v>
      </c>
      <c r="R652" t="s">
        <v>23</v>
      </c>
      <c r="S652" s="1" t="s">
        <v>34218</v>
      </c>
    </row>
    <row r="653" spans="1:19" x14ac:dyDescent="0.25">
      <c r="A653">
        <v>101234194</v>
      </c>
      <c r="B653" t="s">
        <v>2192</v>
      </c>
      <c r="C653" t="s">
        <v>2193</v>
      </c>
      <c r="F653" t="str">
        <f>"9178268908"</f>
        <v>9178268908</v>
      </c>
      <c r="G653" t="s">
        <v>2194</v>
      </c>
      <c r="H653" t="s">
        <v>412</v>
      </c>
      <c r="I653" t="s">
        <v>117</v>
      </c>
      <c r="J653">
        <v>11215</v>
      </c>
      <c r="K653">
        <v>1209</v>
      </c>
      <c r="L653" t="s">
        <v>23</v>
      </c>
      <c r="M653" t="s">
        <v>2194</v>
      </c>
      <c r="N653" t="s">
        <v>412</v>
      </c>
      <c r="O653" t="s">
        <v>117</v>
      </c>
      <c r="P653">
        <v>11215</v>
      </c>
      <c r="Q653">
        <v>1209</v>
      </c>
      <c r="R653" t="s">
        <v>23</v>
      </c>
      <c r="S653" s="1" t="s">
        <v>34218</v>
      </c>
    </row>
    <row r="654" spans="1:19" x14ac:dyDescent="0.25">
      <c r="A654">
        <v>101293915</v>
      </c>
      <c r="B654" t="s">
        <v>2195</v>
      </c>
      <c r="C654" t="s">
        <v>233</v>
      </c>
      <c r="F654" t="str">
        <f>"7077913566"</f>
        <v>7077913566</v>
      </c>
      <c r="G654" t="s">
        <v>2196</v>
      </c>
      <c r="H654" t="s">
        <v>21</v>
      </c>
      <c r="I654" t="s">
        <v>22</v>
      </c>
      <c r="J654">
        <v>95409</v>
      </c>
      <c r="K654">
        <v>6126</v>
      </c>
      <c r="L654" t="s">
        <v>23</v>
      </c>
      <c r="M654" t="s">
        <v>2196</v>
      </c>
      <c r="N654" t="s">
        <v>21</v>
      </c>
      <c r="O654" t="s">
        <v>22</v>
      </c>
      <c r="P654">
        <v>95409</v>
      </c>
      <c r="Q654">
        <v>6126</v>
      </c>
      <c r="R654" t="s">
        <v>23</v>
      </c>
      <c r="S654" s="1" t="s">
        <v>34218</v>
      </c>
    </row>
    <row r="655" spans="1:19" x14ac:dyDescent="0.25">
      <c r="A655">
        <v>101295507</v>
      </c>
      <c r="B655" t="s">
        <v>2197</v>
      </c>
      <c r="C655" t="s">
        <v>1036</v>
      </c>
      <c r="F655" t="str">
        <f>"8594155069"</f>
        <v>8594155069</v>
      </c>
      <c r="G655" t="s">
        <v>2198</v>
      </c>
      <c r="H655" t="s">
        <v>2199</v>
      </c>
      <c r="I655" t="s">
        <v>1097</v>
      </c>
      <c r="J655">
        <v>41018</v>
      </c>
      <c r="K655">
        <v>1958</v>
      </c>
      <c r="L655" t="s">
        <v>23</v>
      </c>
      <c r="M655" t="s">
        <v>2198</v>
      </c>
      <c r="N655" t="s">
        <v>2199</v>
      </c>
      <c r="O655" t="s">
        <v>1097</v>
      </c>
      <c r="P655">
        <v>41018</v>
      </c>
      <c r="Q655">
        <v>1958</v>
      </c>
      <c r="R655" t="s">
        <v>23</v>
      </c>
      <c r="S655" s="1" t="s">
        <v>34218</v>
      </c>
    </row>
    <row r="656" spans="1:19" x14ac:dyDescent="0.25">
      <c r="A656">
        <v>101294268</v>
      </c>
      <c r="B656" t="s">
        <v>2200</v>
      </c>
      <c r="C656" t="s">
        <v>1120</v>
      </c>
      <c r="F656" t="str">
        <f>"7128990072"</f>
        <v>7128990072</v>
      </c>
      <c r="G656" t="s">
        <v>2201</v>
      </c>
      <c r="H656" t="s">
        <v>2202</v>
      </c>
      <c r="I656" t="s">
        <v>565</v>
      </c>
      <c r="J656">
        <v>51108</v>
      </c>
      <c r="K656">
        <v>8746</v>
      </c>
      <c r="L656" t="s">
        <v>23</v>
      </c>
      <c r="M656" t="s">
        <v>2201</v>
      </c>
      <c r="N656" t="s">
        <v>2202</v>
      </c>
      <c r="O656" t="s">
        <v>565</v>
      </c>
      <c r="P656">
        <v>51108</v>
      </c>
      <c r="Q656">
        <v>8746</v>
      </c>
      <c r="R656" t="s">
        <v>23</v>
      </c>
      <c r="S656" s="1" t="s">
        <v>34218</v>
      </c>
    </row>
    <row r="657" spans="1:19" x14ac:dyDescent="0.25">
      <c r="A657">
        <v>101301357</v>
      </c>
      <c r="B657" t="s">
        <v>2203</v>
      </c>
      <c r="C657" t="s">
        <v>582</v>
      </c>
      <c r="F657" t="str">
        <f>"5164596026"</f>
        <v>5164596026</v>
      </c>
      <c r="G657" t="s">
        <v>2204</v>
      </c>
      <c r="H657" t="s">
        <v>2205</v>
      </c>
      <c r="I657" t="s">
        <v>117</v>
      </c>
      <c r="J657">
        <v>10509</v>
      </c>
      <c r="K657">
        <v>6569</v>
      </c>
      <c r="L657" t="s">
        <v>23</v>
      </c>
      <c r="M657" t="s">
        <v>2204</v>
      </c>
      <c r="N657" t="s">
        <v>2205</v>
      </c>
      <c r="O657" t="s">
        <v>117</v>
      </c>
      <c r="P657">
        <v>10509</v>
      </c>
      <c r="Q657">
        <v>6569</v>
      </c>
      <c r="R657" t="s">
        <v>23</v>
      </c>
      <c r="S657" s="1" t="s">
        <v>34218</v>
      </c>
    </row>
    <row r="658" spans="1:19" x14ac:dyDescent="0.25">
      <c r="A658">
        <v>101305999</v>
      </c>
      <c r="B658" t="s">
        <v>2206</v>
      </c>
      <c r="C658" t="s">
        <v>1906</v>
      </c>
      <c r="F658" t="str">
        <f>"8152362070"</f>
        <v>8152362070</v>
      </c>
      <c r="G658" t="s">
        <v>2207</v>
      </c>
      <c r="H658" t="s">
        <v>2208</v>
      </c>
      <c r="I658" t="s">
        <v>135</v>
      </c>
      <c r="J658">
        <v>60014</v>
      </c>
      <c r="K658">
        <v>1835</v>
      </c>
      <c r="L658" t="s">
        <v>23</v>
      </c>
      <c r="M658" t="s">
        <v>2207</v>
      </c>
      <c r="N658" t="s">
        <v>2208</v>
      </c>
      <c r="O658" t="s">
        <v>135</v>
      </c>
      <c r="P658">
        <v>60014</v>
      </c>
      <c r="Q658">
        <v>1835</v>
      </c>
      <c r="R658" t="s">
        <v>23</v>
      </c>
      <c r="S658" s="1" t="s">
        <v>34218</v>
      </c>
    </row>
    <row r="659" spans="1:19" x14ac:dyDescent="0.25">
      <c r="A659">
        <v>101128119</v>
      </c>
      <c r="B659" t="s">
        <v>2209</v>
      </c>
      <c r="C659" t="s">
        <v>2210</v>
      </c>
      <c r="F659" t="str">
        <f>"8189456311"</f>
        <v>8189456311</v>
      </c>
      <c r="G659" t="s">
        <v>2211</v>
      </c>
      <c r="H659" t="s">
        <v>2212</v>
      </c>
      <c r="I659" t="s">
        <v>22</v>
      </c>
      <c r="J659">
        <v>91607</v>
      </c>
      <c r="K659">
        <v>4115</v>
      </c>
      <c r="L659" t="s">
        <v>23</v>
      </c>
      <c r="M659" t="s">
        <v>2211</v>
      </c>
      <c r="N659" t="s">
        <v>2212</v>
      </c>
      <c r="O659" t="s">
        <v>22</v>
      </c>
      <c r="P659">
        <v>91607</v>
      </c>
      <c r="Q659">
        <v>4115</v>
      </c>
      <c r="R659" t="s">
        <v>23</v>
      </c>
      <c r="S659" s="1" t="s">
        <v>34218</v>
      </c>
    </row>
    <row r="660" spans="1:19" x14ac:dyDescent="0.25">
      <c r="A660">
        <v>101147740</v>
      </c>
      <c r="B660" t="s">
        <v>2213</v>
      </c>
      <c r="C660" t="s">
        <v>49</v>
      </c>
      <c r="F660" t="str">
        <f>"3604524336"</f>
        <v>3604524336</v>
      </c>
      <c r="G660" t="s">
        <v>2214</v>
      </c>
      <c r="H660" t="s">
        <v>2215</v>
      </c>
      <c r="I660" t="s">
        <v>84</v>
      </c>
      <c r="J660">
        <v>98362</v>
      </c>
      <c r="K660">
        <v>9142</v>
      </c>
      <c r="L660" t="s">
        <v>23</v>
      </c>
      <c r="M660" t="s">
        <v>2214</v>
      </c>
      <c r="N660" t="s">
        <v>2215</v>
      </c>
      <c r="O660" t="s">
        <v>84</v>
      </c>
      <c r="P660">
        <v>98362</v>
      </c>
      <c r="Q660">
        <v>9142</v>
      </c>
      <c r="R660" t="s">
        <v>23</v>
      </c>
      <c r="S660" s="1" t="s">
        <v>34218</v>
      </c>
    </row>
    <row r="661" spans="1:19" x14ac:dyDescent="0.25">
      <c r="A661">
        <v>101331977</v>
      </c>
      <c r="B661" t="s">
        <v>2216</v>
      </c>
      <c r="C661" t="s">
        <v>49</v>
      </c>
      <c r="F661" t="str">
        <f>"6103062101"</f>
        <v>6103062101</v>
      </c>
      <c r="G661" t="s">
        <v>2217</v>
      </c>
      <c r="H661" t="s">
        <v>2218</v>
      </c>
      <c r="I661" t="s">
        <v>33</v>
      </c>
      <c r="J661">
        <v>19405</v>
      </c>
      <c r="K661">
        <v>1242</v>
      </c>
      <c r="L661" t="s">
        <v>23</v>
      </c>
      <c r="M661" t="s">
        <v>2217</v>
      </c>
      <c r="N661" t="s">
        <v>2218</v>
      </c>
      <c r="O661" t="s">
        <v>33</v>
      </c>
      <c r="P661">
        <v>19405</v>
      </c>
      <c r="Q661">
        <v>1242</v>
      </c>
      <c r="R661" t="s">
        <v>23</v>
      </c>
      <c r="S661" s="1" t="s">
        <v>34218</v>
      </c>
    </row>
    <row r="662" spans="1:19" x14ac:dyDescent="0.25">
      <c r="A662">
        <v>101327207</v>
      </c>
      <c r="B662" t="s">
        <v>2219</v>
      </c>
      <c r="C662" t="s">
        <v>2220</v>
      </c>
      <c r="F662" t="str">
        <f>"6106087073"</f>
        <v>6106087073</v>
      </c>
      <c r="G662" t="s">
        <v>2221</v>
      </c>
      <c r="H662" t="s">
        <v>2222</v>
      </c>
      <c r="I662" t="s">
        <v>33</v>
      </c>
      <c r="J662">
        <v>18011</v>
      </c>
      <c r="K662">
        <v>2206</v>
      </c>
      <c r="L662" t="s">
        <v>23</v>
      </c>
      <c r="M662" t="s">
        <v>2221</v>
      </c>
      <c r="N662" t="s">
        <v>2222</v>
      </c>
      <c r="O662" t="s">
        <v>33</v>
      </c>
      <c r="P662">
        <v>18011</v>
      </c>
      <c r="Q662">
        <v>2206</v>
      </c>
      <c r="R662" t="s">
        <v>23</v>
      </c>
      <c r="S662" s="1" t="s">
        <v>34218</v>
      </c>
    </row>
    <row r="663" spans="1:19" x14ac:dyDescent="0.25">
      <c r="A663">
        <v>101236845</v>
      </c>
      <c r="B663" t="s">
        <v>2223</v>
      </c>
      <c r="C663" t="s">
        <v>2224</v>
      </c>
      <c r="F663" t="str">
        <f>"5104440464"</f>
        <v>5104440464</v>
      </c>
      <c r="G663" t="s">
        <v>2225</v>
      </c>
      <c r="H663" t="s">
        <v>631</v>
      </c>
      <c r="I663" t="s">
        <v>22</v>
      </c>
      <c r="J663">
        <v>94947</v>
      </c>
      <c r="K663">
        <v>4523</v>
      </c>
      <c r="L663" t="s">
        <v>23</v>
      </c>
      <c r="M663" t="s">
        <v>2225</v>
      </c>
      <c r="N663" t="s">
        <v>631</v>
      </c>
      <c r="O663" t="s">
        <v>22</v>
      </c>
      <c r="P663">
        <v>94947</v>
      </c>
      <c r="Q663">
        <v>4523</v>
      </c>
      <c r="R663" t="s">
        <v>23</v>
      </c>
      <c r="S663" s="1" t="s">
        <v>34218</v>
      </c>
    </row>
    <row r="664" spans="1:19" x14ac:dyDescent="0.25">
      <c r="A664">
        <v>100931209</v>
      </c>
      <c r="B664" t="s">
        <v>2226</v>
      </c>
      <c r="C664" t="s">
        <v>2227</v>
      </c>
      <c r="F664" t="str">
        <f>"2069811585"</f>
        <v>2069811585</v>
      </c>
      <c r="G664" t="s">
        <v>2228</v>
      </c>
      <c r="H664" t="s">
        <v>1531</v>
      </c>
      <c r="I664" t="s">
        <v>84</v>
      </c>
      <c r="J664">
        <v>98122</v>
      </c>
      <c r="K664">
        <v>6327</v>
      </c>
      <c r="L664" t="s">
        <v>23</v>
      </c>
      <c r="M664" t="s">
        <v>2228</v>
      </c>
      <c r="N664" t="s">
        <v>1531</v>
      </c>
      <c r="O664" t="s">
        <v>84</v>
      </c>
      <c r="P664">
        <v>98122</v>
      </c>
      <c r="Q664">
        <v>6327</v>
      </c>
      <c r="R664" t="s">
        <v>23</v>
      </c>
      <c r="S664" s="1" t="s">
        <v>34218</v>
      </c>
    </row>
    <row r="665" spans="1:19" x14ac:dyDescent="0.25">
      <c r="A665">
        <v>100999002</v>
      </c>
      <c r="B665" t="s">
        <v>2229</v>
      </c>
      <c r="C665" t="s">
        <v>644</v>
      </c>
      <c r="F665" t="str">
        <f>"5555555555"</f>
        <v>5555555555</v>
      </c>
      <c r="G665" t="s">
        <v>2230</v>
      </c>
      <c r="H665" t="s">
        <v>2231</v>
      </c>
      <c r="I665" t="s">
        <v>22</v>
      </c>
      <c r="J665">
        <v>91208</v>
      </c>
      <c r="K665">
        <v>2800</v>
      </c>
      <c r="L665" t="s">
        <v>23</v>
      </c>
      <c r="M665" t="s">
        <v>2230</v>
      </c>
      <c r="N665" t="s">
        <v>2231</v>
      </c>
      <c r="O665" t="s">
        <v>22</v>
      </c>
      <c r="P665">
        <v>91208</v>
      </c>
      <c r="Q665">
        <v>2800</v>
      </c>
      <c r="R665" t="s">
        <v>23</v>
      </c>
      <c r="S665" s="1" t="s">
        <v>34218</v>
      </c>
    </row>
    <row r="666" spans="1:19" x14ac:dyDescent="0.25">
      <c r="A666">
        <v>101009192</v>
      </c>
      <c r="B666" t="s">
        <v>1800</v>
      </c>
      <c r="C666" t="s">
        <v>2232</v>
      </c>
      <c r="F666" t="str">
        <f>"9285325683"</f>
        <v>9285325683</v>
      </c>
      <c r="G666" t="s">
        <v>2233</v>
      </c>
      <c r="H666" t="s">
        <v>2234</v>
      </c>
      <c r="I666" t="s">
        <v>365</v>
      </c>
      <c r="J666">
        <v>85901</v>
      </c>
      <c r="K666">
        <v>9172</v>
      </c>
      <c r="L666" t="s">
        <v>23</v>
      </c>
      <c r="M666" t="s">
        <v>2233</v>
      </c>
      <c r="N666" t="s">
        <v>2234</v>
      </c>
      <c r="O666" t="s">
        <v>365</v>
      </c>
      <c r="P666">
        <v>85901</v>
      </c>
      <c r="Q666">
        <v>9172</v>
      </c>
      <c r="R666" t="s">
        <v>23</v>
      </c>
      <c r="S666" s="1" t="s">
        <v>34218</v>
      </c>
    </row>
    <row r="667" spans="1:19" x14ac:dyDescent="0.25">
      <c r="A667">
        <v>101008006</v>
      </c>
      <c r="B667" t="s">
        <v>1370</v>
      </c>
      <c r="C667" t="s">
        <v>2235</v>
      </c>
      <c r="F667" t="str">
        <f>"8302652717"</f>
        <v>8302652717</v>
      </c>
      <c r="G667" t="s">
        <v>2236</v>
      </c>
      <c r="H667" t="s">
        <v>2237</v>
      </c>
      <c r="I667" t="s">
        <v>38</v>
      </c>
      <c r="J667">
        <v>78605</v>
      </c>
      <c r="K667">
        <v>3776</v>
      </c>
      <c r="L667" t="s">
        <v>23</v>
      </c>
      <c r="M667" t="s">
        <v>2236</v>
      </c>
      <c r="N667" t="s">
        <v>2237</v>
      </c>
      <c r="O667" t="s">
        <v>38</v>
      </c>
      <c r="P667">
        <v>78605</v>
      </c>
      <c r="Q667">
        <v>3776</v>
      </c>
      <c r="R667" t="s">
        <v>23</v>
      </c>
      <c r="S667" s="1" t="s">
        <v>34218</v>
      </c>
    </row>
    <row r="668" spans="1:19" x14ac:dyDescent="0.25">
      <c r="A668">
        <v>101205520</v>
      </c>
      <c r="B668" t="s">
        <v>2238</v>
      </c>
      <c r="C668" t="s">
        <v>554</v>
      </c>
      <c r="F668" t="str">
        <f>"7736273090"</f>
        <v>7736273090</v>
      </c>
      <c r="G668" t="s">
        <v>2239</v>
      </c>
      <c r="H668" t="s">
        <v>134</v>
      </c>
      <c r="I668" t="s">
        <v>135</v>
      </c>
      <c r="J668">
        <v>60613</v>
      </c>
      <c r="K668">
        <v>1251</v>
      </c>
      <c r="L668" t="s">
        <v>23</v>
      </c>
      <c r="M668" t="s">
        <v>2239</v>
      </c>
      <c r="N668" t="s">
        <v>134</v>
      </c>
      <c r="O668" t="s">
        <v>135</v>
      </c>
      <c r="P668">
        <v>60613</v>
      </c>
      <c r="Q668">
        <v>1251</v>
      </c>
      <c r="R668" t="s">
        <v>23</v>
      </c>
      <c r="S668" s="1" t="s">
        <v>34218</v>
      </c>
    </row>
    <row r="669" spans="1:19" x14ac:dyDescent="0.25">
      <c r="A669">
        <v>101214317</v>
      </c>
      <c r="B669" t="s">
        <v>308</v>
      </c>
      <c r="C669" t="s">
        <v>2240</v>
      </c>
      <c r="F669" t="str">
        <f>"2769281727"</f>
        <v>2769281727</v>
      </c>
      <c r="G669" t="s">
        <v>2241</v>
      </c>
      <c r="H669" t="s">
        <v>2242</v>
      </c>
      <c r="I669" t="s">
        <v>255</v>
      </c>
      <c r="J669">
        <v>24366</v>
      </c>
      <c r="K669">
        <v>353</v>
      </c>
      <c r="L669" t="s">
        <v>23</v>
      </c>
      <c r="M669" t="s">
        <v>2241</v>
      </c>
      <c r="N669" t="s">
        <v>2242</v>
      </c>
      <c r="O669" t="s">
        <v>255</v>
      </c>
      <c r="P669">
        <v>24366</v>
      </c>
      <c r="Q669">
        <v>353</v>
      </c>
      <c r="R669" t="s">
        <v>23</v>
      </c>
      <c r="S669" s="1" t="s">
        <v>34218</v>
      </c>
    </row>
    <row r="670" spans="1:19" x14ac:dyDescent="0.25">
      <c r="A670">
        <v>100532798</v>
      </c>
      <c r="B670" t="s">
        <v>2243</v>
      </c>
      <c r="C670" t="s">
        <v>2244</v>
      </c>
      <c r="F670" t="str">
        <f>"4158681241"</f>
        <v>4158681241</v>
      </c>
      <c r="G670" t="s">
        <v>2245</v>
      </c>
      <c r="H670" t="s">
        <v>2246</v>
      </c>
      <c r="I670" t="s">
        <v>22</v>
      </c>
      <c r="J670">
        <v>94924</v>
      </c>
      <c r="L670" t="s">
        <v>23</v>
      </c>
      <c r="M670" t="s">
        <v>2245</v>
      </c>
      <c r="N670" t="s">
        <v>2246</v>
      </c>
      <c r="O670" t="s">
        <v>22</v>
      </c>
      <c r="P670">
        <v>94924</v>
      </c>
      <c r="R670" t="s">
        <v>23</v>
      </c>
      <c r="S670" s="1" t="s">
        <v>34218</v>
      </c>
    </row>
    <row r="671" spans="1:19" x14ac:dyDescent="0.25">
      <c r="A671">
        <v>101432104</v>
      </c>
      <c r="B671" t="s">
        <v>2247</v>
      </c>
      <c r="C671" t="s">
        <v>2248</v>
      </c>
      <c r="F671" t="str">
        <f>"4432146089"</f>
        <v>4432146089</v>
      </c>
      <c r="G671" t="s">
        <v>2249</v>
      </c>
      <c r="H671" t="s">
        <v>2250</v>
      </c>
      <c r="I671" t="s">
        <v>148</v>
      </c>
      <c r="J671">
        <v>21401</v>
      </c>
      <c r="K671">
        <v>2724</v>
      </c>
      <c r="L671" t="s">
        <v>23</v>
      </c>
      <c r="M671" t="s">
        <v>2249</v>
      </c>
      <c r="N671" t="s">
        <v>2250</v>
      </c>
      <c r="O671" t="s">
        <v>148</v>
      </c>
      <c r="P671">
        <v>21401</v>
      </c>
      <c r="Q671">
        <v>2724</v>
      </c>
      <c r="R671" t="s">
        <v>23</v>
      </c>
      <c r="S671" s="1" t="s">
        <v>34218</v>
      </c>
    </row>
    <row r="672" spans="1:19" x14ac:dyDescent="0.25">
      <c r="A672">
        <v>101272052</v>
      </c>
      <c r="B672" t="s">
        <v>2251</v>
      </c>
      <c r="C672" t="s">
        <v>1223</v>
      </c>
      <c r="F672" t="str">
        <f>"9785976827"</f>
        <v>9785976827</v>
      </c>
      <c r="G672" t="s">
        <v>2252</v>
      </c>
      <c r="H672" t="s">
        <v>2253</v>
      </c>
      <c r="I672" t="s">
        <v>236</v>
      </c>
      <c r="J672">
        <v>1469</v>
      </c>
      <c r="K672">
        <v>1271</v>
      </c>
      <c r="L672" t="s">
        <v>23</v>
      </c>
      <c r="M672" t="s">
        <v>2252</v>
      </c>
      <c r="N672" t="s">
        <v>2253</v>
      </c>
      <c r="O672" t="s">
        <v>236</v>
      </c>
      <c r="P672">
        <v>1469</v>
      </c>
      <c r="Q672">
        <v>1271</v>
      </c>
      <c r="R672" t="s">
        <v>23</v>
      </c>
      <c r="S672" s="1" t="s">
        <v>34218</v>
      </c>
    </row>
    <row r="673" spans="1:19" x14ac:dyDescent="0.25">
      <c r="A673">
        <v>101298623</v>
      </c>
      <c r="B673" t="s">
        <v>2254</v>
      </c>
      <c r="C673" t="s">
        <v>1479</v>
      </c>
      <c r="F673" t="str">
        <f>"5308630087"</f>
        <v>5308630087</v>
      </c>
      <c r="G673" t="s">
        <v>2255</v>
      </c>
      <c r="H673" t="s">
        <v>1396</v>
      </c>
      <c r="I673" t="s">
        <v>22</v>
      </c>
      <c r="J673">
        <v>95603</v>
      </c>
      <c r="K673">
        <v>4404</v>
      </c>
      <c r="L673" t="s">
        <v>23</v>
      </c>
      <c r="M673" t="s">
        <v>2255</v>
      </c>
      <c r="N673" t="s">
        <v>1396</v>
      </c>
      <c r="O673" t="s">
        <v>22</v>
      </c>
      <c r="P673">
        <v>95603</v>
      </c>
      <c r="Q673">
        <v>4404</v>
      </c>
      <c r="R673" t="s">
        <v>23</v>
      </c>
      <c r="S673" s="1" t="s">
        <v>34218</v>
      </c>
    </row>
    <row r="674" spans="1:19" x14ac:dyDescent="0.25">
      <c r="A674">
        <v>100527482</v>
      </c>
      <c r="B674" t="s">
        <v>2256</v>
      </c>
      <c r="C674" t="s">
        <v>180</v>
      </c>
      <c r="F674" t="str">
        <f>"7137991600"</f>
        <v>7137991600</v>
      </c>
      <c r="G674" t="s">
        <v>2257</v>
      </c>
      <c r="H674" t="s">
        <v>1402</v>
      </c>
      <c r="I674" t="s">
        <v>38</v>
      </c>
      <c r="J674" t="s">
        <v>2258</v>
      </c>
      <c r="K674">
        <v>3224</v>
      </c>
      <c r="L674" t="s">
        <v>23</v>
      </c>
      <c r="M674" t="s">
        <v>2257</v>
      </c>
      <c r="N674" t="s">
        <v>1402</v>
      </c>
      <c r="O674" t="s">
        <v>38</v>
      </c>
      <c r="P674" t="s">
        <v>2258</v>
      </c>
      <c r="Q674">
        <v>3224</v>
      </c>
      <c r="R674" t="s">
        <v>23</v>
      </c>
      <c r="S674" s="1" t="s">
        <v>34218</v>
      </c>
    </row>
    <row r="675" spans="1:19" x14ac:dyDescent="0.25">
      <c r="A675">
        <v>101411642</v>
      </c>
      <c r="B675" t="s">
        <v>626</v>
      </c>
      <c r="C675" t="s">
        <v>2259</v>
      </c>
      <c r="F675" t="str">
        <f>"2108311542"</f>
        <v>2108311542</v>
      </c>
      <c r="G675" t="s">
        <v>2260</v>
      </c>
      <c r="H675" t="s">
        <v>2261</v>
      </c>
      <c r="I675" t="s">
        <v>38</v>
      </c>
      <c r="J675" t="s">
        <v>2262</v>
      </c>
      <c r="K675">
        <v>1512</v>
      </c>
      <c r="L675" t="s">
        <v>23</v>
      </c>
      <c r="M675" t="s">
        <v>2260</v>
      </c>
      <c r="N675" t="s">
        <v>2261</v>
      </c>
      <c r="O675" t="s">
        <v>38</v>
      </c>
      <c r="P675" t="s">
        <v>2262</v>
      </c>
      <c r="Q675">
        <v>1512</v>
      </c>
      <c r="R675" t="s">
        <v>23</v>
      </c>
      <c r="S675" s="1" t="s">
        <v>34218</v>
      </c>
    </row>
    <row r="676" spans="1:19" x14ac:dyDescent="0.25">
      <c r="A676">
        <v>100792669</v>
      </c>
      <c r="B676" t="s">
        <v>2263</v>
      </c>
      <c r="C676" t="s">
        <v>2264</v>
      </c>
      <c r="F676" t="str">
        <f>"2126746004"</f>
        <v>2126746004</v>
      </c>
      <c r="G676" t="s">
        <v>2265</v>
      </c>
      <c r="H676" t="s">
        <v>2266</v>
      </c>
      <c r="I676" t="s">
        <v>161</v>
      </c>
      <c r="J676" t="s">
        <v>2267</v>
      </c>
      <c r="K676">
        <v>1718</v>
      </c>
      <c r="L676" t="s">
        <v>23</v>
      </c>
      <c r="M676" t="s">
        <v>2265</v>
      </c>
      <c r="N676" t="s">
        <v>2266</v>
      </c>
      <c r="O676" t="s">
        <v>161</v>
      </c>
      <c r="P676" t="s">
        <v>2267</v>
      </c>
      <c r="Q676">
        <v>1718</v>
      </c>
      <c r="R676" t="s">
        <v>23</v>
      </c>
      <c r="S676" s="1" t="s">
        <v>34218</v>
      </c>
    </row>
    <row r="677" spans="1:19" x14ac:dyDescent="0.25">
      <c r="A677">
        <v>100568937</v>
      </c>
      <c r="B677" t="s">
        <v>2268</v>
      </c>
      <c r="C677" t="s">
        <v>2269</v>
      </c>
      <c r="F677" t="str">
        <f>"2067891408"</f>
        <v>2067891408</v>
      </c>
      <c r="G677" t="s">
        <v>2270</v>
      </c>
      <c r="H677" t="s">
        <v>1531</v>
      </c>
      <c r="I677" t="s">
        <v>84</v>
      </c>
      <c r="J677" t="s">
        <v>2271</v>
      </c>
      <c r="K677">
        <v>4405</v>
      </c>
      <c r="L677" t="s">
        <v>23</v>
      </c>
      <c r="M677" t="s">
        <v>2270</v>
      </c>
      <c r="N677" t="s">
        <v>1531</v>
      </c>
      <c r="O677" t="s">
        <v>84</v>
      </c>
      <c r="P677" t="s">
        <v>2271</v>
      </c>
      <c r="Q677">
        <v>4405</v>
      </c>
      <c r="R677" t="s">
        <v>23</v>
      </c>
      <c r="S677" s="1" t="s">
        <v>34218</v>
      </c>
    </row>
    <row r="678" spans="1:19" x14ac:dyDescent="0.25">
      <c r="A678">
        <v>100623356</v>
      </c>
      <c r="B678" t="s">
        <v>2272</v>
      </c>
      <c r="C678" t="s">
        <v>1676</v>
      </c>
      <c r="F678" t="str">
        <f>"5086978910"</f>
        <v>5086978910</v>
      </c>
      <c r="G678" t="s">
        <v>2273</v>
      </c>
      <c r="H678" t="s">
        <v>2274</v>
      </c>
      <c r="I678" t="s">
        <v>236</v>
      </c>
      <c r="J678">
        <v>2324</v>
      </c>
      <c r="K678">
        <v>2849</v>
      </c>
      <c r="L678" t="s">
        <v>23</v>
      </c>
      <c r="M678" t="s">
        <v>2273</v>
      </c>
      <c r="N678" t="s">
        <v>2274</v>
      </c>
      <c r="O678" t="s">
        <v>236</v>
      </c>
      <c r="P678">
        <v>2324</v>
      </c>
      <c r="Q678">
        <v>2849</v>
      </c>
      <c r="R678" t="s">
        <v>23</v>
      </c>
      <c r="S678" s="1" t="s">
        <v>34218</v>
      </c>
    </row>
    <row r="679" spans="1:19" x14ac:dyDescent="0.25">
      <c r="A679">
        <v>100813441</v>
      </c>
      <c r="B679" t="s">
        <v>2275</v>
      </c>
      <c r="C679" t="s">
        <v>644</v>
      </c>
      <c r="F679" t="str">
        <f>"5555555555"</f>
        <v>5555555555</v>
      </c>
      <c r="G679" t="s">
        <v>2276</v>
      </c>
      <c r="H679" t="s">
        <v>1803</v>
      </c>
      <c r="I679" t="s">
        <v>135</v>
      </c>
      <c r="J679">
        <v>60123</v>
      </c>
      <c r="L679" t="s">
        <v>23</v>
      </c>
      <c r="M679" t="s">
        <v>2276</v>
      </c>
      <c r="N679" t="s">
        <v>1803</v>
      </c>
      <c r="O679" t="s">
        <v>135</v>
      </c>
      <c r="P679">
        <v>60123</v>
      </c>
      <c r="R679" t="s">
        <v>23</v>
      </c>
      <c r="S679" s="1" t="s">
        <v>34218</v>
      </c>
    </row>
    <row r="680" spans="1:19" x14ac:dyDescent="0.25">
      <c r="A680">
        <v>101147705</v>
      </c>
      <c r="B680" t="s">
        <v>2277</v>
      </c>
      <c r="C680" t="s">
        <v>49</v>
      </c>
      <c r="F680" t="str">
        <f>"8136298409"</f>
        <v>8136298409</v>
      </c>
      <c r="G680" t="s">
        <v>2278</v>
      </c>
      <c r="H680" t="s">
        <v>2279</v>
      </c>
      <c r="I680" t="s">
        <v>52</v>
      </c>
      <c r="J680">
        <v>33618</v>
      </c>
      <c r="K680">
        <v>3910</v>
      </c>
      <c r="L680" t="s">
        <v>23</v>
      </c>
      <c r="M680" t="s">
        <v>2278</v>
      </c>
      <c r="N680" t="s">
        <v>2279</v>
      </c>
      <c r="O680" t="s">
        <v>52</v>
      </c>
      <c r="P680">
        <v>33618</v>
      </c>
      <c r="Q680">
        <v>3910</v>
      </c>
      <c r="R680" t="s">
        <v>23</v>
      </c>
      <c r="S680" s="1" t="s">
        <v>34218</v>
      </c>
    </row>
    <row r="681" spans="1:19" x14ac:dyDescent="0.25">
      <c r="A681">
        <v>101400821</v>
      </c>
      <c r="B681" t="s">
        <v>2280</v>
      </c>
      <c r="C681" t="s">
        <v>2281</v>
      </c>
      <c r="F681" t="str">
        <f>"4156733420"</f>
        <v>4156733420</v>
      </c>
      <c r="G681" t="s">
        <v>2282</v>
      </c>
      <c r="H681" t="s">
        <v>130</v>
      </c>
      <c r="I681" t="s">
        <v>22</v>
      </c>
      <c r="J681">
        <v>94109</v>
      </c>
      <c r="K681">
        <v>3769</v>
      </c>
      <c r="L681" t="s">
        <v>23</v>
      </c>
      <c r="M681" t="s">
        <v>2282</v>
      </c>
      <c r="N681" t="s">
        <v>130</v>
      </c>
      <c r="O681" t="s">
        <v>22</v>
      </c>
      <c r="P681">
        <v>94109</v>
      </c>
      <c r="Q681">
        <v>3769</v>
      </c>
      <c r="R681" t="s">
        <v>23</v>
      </c>
      <c r="S681" s="1" t="s">
        <v>34218</v>
      </c>
    </row>
    <row r="682" spans="1:19" x14ac:dyDescent="0.25">
      <c r="A682">
        <v>101201852</v>
      </c>
      <c r="B682" t="s">
        <v>1164</v>
      </c>
      <c r="C682" t="s">
        <v>2283</v>
      </c>
      <c r="F682" t="str">
        <f>"8588224943"</f>
        <v>8588224943</v>
      </c>
      <c r="G682" t="s">
        <v>2284</v>
      </c>
      <c r="H682" t="s">
        <v>2285</v>
      </c>
      <c r="I682" t="s">
        <v>22</v>
      </c>
      <c r="J682" t="s">
        <v>2286</v>
      </c>
      <c r="K682">
        <v>5004</v>
      </c>
      <c r="L682" t="s">
        <v>23</v>
      </c>
      <c r="M682" t="s">
        <v>2284</v>
      </c>
      <c r="N682" t="s">
        <v>2285</v>
      </c>
      <c r="O682" t="s">
        <v>22</v>
      </c>
      <c r="P682" t="s">
        <v>2286</v>
      </c>
      <c r="Q682">
        <v>5004</v>
      </c>
      <c r="R682" t="s">
        <v>23</v>
      </c>
      <c r="S682" s="1" t="s">
        <v>34218</v>
      </c>
    </row>
    <row r="683" spans="1:19" x14ac:dyDescent="0.25">
      <c r="A683">
        <v>101209552</v>
      </c>
      <c r="B683" t="s">
        <v>2287</v>
      </c>
      <c r="C683" t="s">
        <v>763</v>
      </c>
      <c r="F683" t="str">
        <f>"8165162695"</f>
        <v>8165162695</v>
      </c>
      <c r="G683" t="s">
        <v>2288</v>
      </c>
      <c r="H683" t="s">
        <v>2289</v>
      </c>
      <c r="I683" t="s">
        <v>71</v>
      </c>
      <c r="J683" t="s">
        <v>2290</v>
      </c>
      <c r="K683">
        <v>6085</v>
      </c>
      <c r="L683" t="s">
        <v>23</v>
      </c>
      <c r="M683" t="s">
        <v>2288</v>
      </c>
      <c r="N683" t="s">
        <v>2289</v>
      </c>
      <c r="O683" t="s">
        <v>71</v>
      </c>
      <c r="P683" t="s">
        <v>2290</v>
      </c>
      <c r="Q683">
        <v>6085</v>
      </c>
      <c r="R683" t="s">
        <v>23</v>
      </c>
      <c r="S683" s="1" t="s">
        <v>34218</v>
      </c>
    </row>
    <row r="684" spans="1:19" x14ac:dyDescent="0.25">
      <c r="A684">
        <v>101368111</v>
      </c>
      <c r="B684" t="s">
        <v>2291</v>
      </c>
      <c r="C684" t="s">
        <v>90</v>
      </c>
      <c r="F684" t="str">
        <f>"6514382157"</f>
        <v>6514382157</v>
      </c>
      <c r="G684" t="s">
        <v>2292</v>
      </c>
      <c r="H684" t="s">
        <v>2293</v>
      </c>
      <c r="I684" t="s">
        <v>187</v>
      </c>
      <c r="J684">
        <v>55033</v>
      </c>
      <c r="K684">
        <v>8410</v>
      </c>
      <c r="L684" t="s">
        <v>23</v>
      </c>
      <c r="M684" t="s">
        <v>2292</v>
      </c>
      <c r="N684" t="s">
        <v>2293</v>
      </c>
      <c r="O684" t="s">
        <v>187</v>
      </c>
      <c r="P684">
        <v>55033</v>
      </c>
      <c r="Q684">
        <v>8410</v>
      </c>
      <c r="R684" t="s">
        <v>23</v>
      </c>
      <c r="S684" s="1" t="s">
        <v>34218</v>
      </c>
    </row>
    <row r="685" spans="1:19" x14ac:dyDescent="0.25">
      <c r="A685">
        <v>101372296</v>
      </c>
      <c r="B685" t="s">
        <v>2294</v>
      </c>
      <c r="C685" t="s">
        <v>522</v>
      </c>
      <c r="F685" t="str">
        <f>"8314799660"</f>
        <v>8314799660</v>
      </c>
      <c r="G685" t="s">
        <v>2295</v>
      </c>
      <c r="H685" t="s">
        <v>2296</v>
      </c>
      <c r="I685" t="s">
        <v>22</v>
      </c>
      <c r="J685">
        <v>95003</v>
      </c>
      <c r="K685">
        <v>6012</v>
      </c>
      <c r="L685" t="s">
        <v>23</v>
      </c>
      <c r="M685" t="s">
        <v>2295</v>
      </c>
      <c r="N685" t="s">
        <v>2296</v>
      </c>
      <c r="O685" t="s">
        <v>22</v>
      </c>
      <c r="P685">
        <v>95003</v>
      </c>
      <c r="Q685">
        <v>6012</v>
      </c>
      <c r="R685" t="s">
        <v>23</v>
      </c>
      <c r="S685" s="1" t="s">
        <v>34218</v>
      </c>
    </row>
    <row r="686" spans="1:19" x14ac:dyDescent="0.25">
      <c r="A686">
        <v>101302018</v>
      </c>
      <c r="B686" t="s">
        <v>2297</v>
      </c>
      <c r="C686" t="s">
        <v>2298</v>
      </c>
      <c r="F686" t="str">
        <f>"2106262130"</f>
        <v>2106262130</v>
      </c>
      <c r="G686" t="s">
        <v>2299</v>
      </c>
      <c r="H686" t="s">
        <v>1229</v>
      </c>
      <c r="I686" t="s">
        <v>38</v>
      </c>
      <c r="J686">
        <v>78264</v>
      </c>
      <c r="K686">
        <v>3818</v>
      </c>
      <c r="L686" t="s">
        <v>23</v>
      </c>
      <c r="M686" t="s">
        <v>2299</v>
      </c>
      <c r="N686" t="s">
        <v>1229</v>
      </c>
      <c r="O686" t="s">
        <v>38</v>
      </c>
      <c r="P686">
        <v>78264</v>
      </c>
      <c r="Q686">
        <v>3818</v>
      </c>
      <c r="R686" t="s">
        <v>23</v>
      </c>
      <c r="S686" s="1" t="s">
        <v>34218</v>
      </c>
    </row>
    <row r="687" spans="1:19" x14ac:dyDescent="0.25">
      <c r="A687">
        <v>101310337</v>
      </c>
      <c r="B687" t="s">
        <v>2300</v>
      </c>
      <c r="C687" t="s">
        <v>621</v>
      </c>
      <c r="F687" t="str">
        <f>"2065271841"</f>
        <v>2065271841</v>
      </c>
      <c r="G687" t="s">
        <v>2301</v>
      </c>
      <c r="H687" t="s">
        <v>1531</v>
      </c>
      <c r="I687" t="s">
        <v>84</v>
      </c>
      <c r="J687">
        <v>98115</v>
      </c>
      <c r="K687">
        <v>4217</v>
      </c>
      <c r="L687" t="s">
        <v>23</v>
      </c>
      <c r="M687" t="s">
        <v>2301</v>
      </c>
      <c r="N687" t="s">
        <v>1531</v>
      </c>
      <c r="O687" t="s">
        <v>84</v>
      </c>
      <c r="P687">
        <v>98115</v>
      </c>
      <c r="Q687">
        <v>4217</v>
      </c>
      <c r="R687" t="s">
        <v>23</v>
      </c>
      <c r="S687" s="1" t="s">
        <v>34218</v>
      </c>
    </row>
    <row r="688" spans="1:19" x14ac:dyDescent="0.25">
      <c r="A688">
        <v>101173206</v>
      </c>
      <c r="B688" t="s">
        <v>2302</v>
      </c>
      <c r="C688" t="s">
        <v>539</v>
      </c>
      <c r="F688" t="str">
        <f>"3016396287"</f>
        <v>3016396287</v>
      </c>
      <c r="G688" t="s">
        <v>2303</v>
      </c>
      <c r="H688" t="s">
        <v>2304</v>
      </c>
      <c r="I688" t="s">
        <v>250</v>
      </c>
      <c r="J688">
        <v>7866</v>
      </c>
      <c r="K688">
        <v>2237</v>
      </c>
      <c r="L688" t="s">
        <v>23</v>
      </c>
      <c r="M688" t="s">
        <v>2303</v>
      </c>
      <c r="N688" t="s">
        <v>2304</v>
      </c>
      <c r="O688" t="s">
        <v>250</v>
      </c>
      <c r="P688">
        <v>7866</v>
      </c>
      <c r="Q688">
        <v>2237</v>
      </c>
      <c r="R688" t="s">
        <v>23</v>
      </c>
      <c r="S688" s="1" t="s">
        <v>34218</v>
      </c>
    </row>
    <row r="689" spans="1:19" x14ac:dyDescent="0.25">
      <c r="A689">
        <v>101242831</v>
      </c>
      <c r="B689" t="s">
        <v>1581</v>
      </c>
      <c r="C689" t="s">
        <v>294</v>
      </c>
      <c r="F689" t="str">
        <f>"8472724446"</f>
        <v>8472724446</v>
      </c>
      <c r="G689" t="s">
        <v>2305</v>
      </c>
      <c r="H689" t="s">
        <v>924</v>
      </c>
      <c r="I689" t="s">
        <v>135</v>
      </c>
      <c r="J689">
        <v>60026</v>
      </c>
      <c r="K689">
        <v>1125</v>
      </c>
      <c r="L689" t="s">
        <v>23</v>
      </c>
      <c r="M689" t="s">
        <v>2305</v>
      </c>
      <c r="N689" t="s">
        <v>924</v>
      </c>
      <c r="O689" t="s">
        <v>135</v>
      </c>
      <c r="P689">
        <v>60026</v>
      </c>
      <c r="Q689">
        <v>1125</v>
      </c>
      <c r="R689" t="s">
        <v>23</v>
      </c>
      <c r="S689" s="1" t="s">
        <v>34218</v>
      </c>
    </row>
    <row r="690" spans="1:19" x14ac:dyDescent="0.25">
      <c r="A690">
        <v>101261756</v>
      </c>
      <c r="B690" t="s">
        <v>2306</v>
      </c>
      <c r="C690" t="s">
        <v>2307</v>
      </c>
      <c r="F690" t="str">
        <f>"3026839453"</f>
        <v>3026839453</v>
      </c>
      <c r="G690" t="s">
        <v>2308</v>
      </c>
      <c r="H690" t="s">
        <v>2309</v>
      </c>
      <c r="I690" t="s">
        <v>2310</v>
      </c>
      <c r="J690">
        <v>19805</v>
      </c>
      <c r="K690">
        <v>1331</v>
      </c>
      <c r="L690" t="s">
        <v>23</v>
      </c>
      <c r="M690" t="s">
        <v>2308</v>
      </c>
      <c r="N690" t="s">
        <v>2309</v>
      </c>
      <c r="O690" t="s">
        <v>2310</v>
      </c>
      <c r="P690">
        <v>19805</v>
      </c>
      <c r="Q690">
        <v>1331</v>
      </c>
      <c r="R690" t="s">
        <v>23</v>
      </c>
      <c r="S690" s="1" t="s">
        <v>34218</v>
      </c>
    </row>
    <row r="691" spans="1:19" x14ac:dyDescent="0.25">
      <c r="A691">
        <v>100991685</v>
      </c>
      <c r="B691" t="s">
        <v>2311</v>
      </c>
      <c r="C691" t="s">
        <v>321</v>
      </c>
      <c r="F691" t="str">
        <f>"5054533360"</f>
        <v>5054533360</v>
      </c>
      <c r="G691" t="s">
        <v>2312</v>
      </c>
      <c r="H691" t="s">
        <v>2313</v>
      </c>
      <c r="I691" t="s">
        <v>639</v>
      </c>
      <c r="J691">
        <v>87144</v>
      </c>
      <c r="K691">
        <v>5499</v>
      </c>
      <c r="L691" t="s">
        <v>23</v>
      </c>
      <c r="M691" t="s">
        <v>2312</v>
      </c>
      <c r="N691" t="s">
        <v>2313</v>
      </c>
      <c r="O691" t="s">
        <v>639</v>
      </c>
      <c r="P691">
        <v>87144</v>
      </c>
      <c r="Q691">
        <v>5499</v>
      </c>
      <c r="R691" t="s">
        <v>23</v>
      </c>
      <c r="S691" s="1" t="s">
        <v>34218</v>
      </c>
    </row>
    <row r="692" spans="1:19" x14ac:dyDescent="0.25">
      <c r="A692">
        <v>100997344</v>
      </c>
      <c r="B692" t="s">
        <v>1800</v>
      </c>
      <c r="C692" t="s">
        <v>2314</v>
      </c>
      <c r="F692" t="str">
        <f>"7085978742"</f>
        <v>7085978742</v>
      </c>
      <c r="G692" t="s">
        <v>2315</v>
      </c>
      <c r="H692" t="s">
        <v>2316</v>
      </c>
      <c r="I692" t="s">
        <v>135</v>
      </c>
      <c r="J692">
        <v>60827</v>
      </c>
      <c r="K692">
        <v>5713</v>
      </c>
      <c r="L692" t="s">
        <v>23</v>
      </c>
      <c r="M692" t="s">
        <v>2315</v>
      </c>
      <c r="N692" t="s">
        <v>2316</v>
      </c>
      <c r="O692" t="s">
        <v>135</v>
      </c>
      <c r="P692">
        <v>60827</v>
      </c>
      <c r="Q692">
        <v>5713</v>
      </c>
      <c r="R692" t="s">
        <v>23</v>
      </c>
      <c r="S692" s="1" t="s">
        <v>34218</v>
      </c>
    </row>
    <row r="693" spans="1:19" x14ac:dyDescent="0.25">
      <c r="A693">
        <v>101205838</v>
      </c>
      <c r="B693" t="s">
        <v>2317</v>
      </c>
      <c r="C693" t="s">
        <v>535</v>
      </c>
      <c r="F693" t="str">
        <f>"3473271712"</f>
        <v>3473271712</v>
      </c>
      <c r="G693" t="s">
        <v>2318</v>
      </c>
      <c r="H693" t="s">
        <v>2319</v>
      </c>
      <c r="I693" t="s">
        <v>117</v>
      </c>
      <c r="J693">
        <v>10306</v>
      </c>
      <c r="K693">
        <v>4512</v>
      </c>
      <c r="L693" t="s">
        <v>23</v>
      </c>
      <c r="M693" t="s">
        <v>2318</v>
      </c>
      <c r="N693" t="s">
        <v>2319</v>
      </c>
      <c r="O693" t="s">
        <v>117</v>
      </c>
      <c r="P693">
        <v>10306</v>
      </c>
      <c r="Q693">
        <v>4512</v>
      </c>
      <c r="R693" t="s">
        <v>23</v>
      </c>
      <c r="S693" s="1" t="s">
        <v>34218</v>
      </c>
    </row>
    <row r="694" spans="1:19" x14ac:dyDescent="0.25">
      <c r="A694">
        <v>101202397</v>
      </c>
      <c r="B694" t="s">
        <v>2320</v>
      </c>
      <c r="C694" t="s">
        <v>309</v>
      </c>
      <c r="F694" t="str">
        <f>"2125551212"</f>
        <v>2125551212</v>
      </c>
      <c r="G694" t="s">
        <v>2321</v>
      </c>
      <c r="H694" t="s">
        <v>653</v>
      </c>
      <c r="I694" t="s">
        <v>117</v>
      </c>
      <c r="J694">
        <v>10009</v>
      </c>
      <c r="K694">
        <v>7326</v>
      </c>
      <c r="L694" t="s">
        <v>23</v>
      </c>
      <c r="M694" t="s">
        <v>2321</v>
      </c>
      <c r="N694" t="s">
        <v>653</v>
      </c>
      <c r="O694" t="s">
        <v>117</v>
      </c>
      <c r="P694">
        <v>10009</v>
      </c>
      <c r="Q694">
        <v>7326</v>
      </c>
      <c r="R694" t="s">
        <v>23</v>
      </c>
      <c r="S694" s="1" t="s">
        <v>34218</v>
      </c>
    </row>
    <row r="695" spans="1:19" x14ac:dyDescent="0.25">
      <c r="A695">
        <v>101215940</v>
      </c>
      <c r="B695" t="s">
        <v>2322</v>
      </c>
      <c r="C695" t="s">
        <v>1492</v>
      </c>
      <c r="F695" t="str">
        <f>"4018554666"</f>
        <v>4018554666</v>
      </c>
      <c r="G695" t="s">
        <v>2323</v>
      </c>
      <c r="H695" t="s">
        <v>2324</v>
      </c>
      <c r="I695" t="s">
        <v>662</v>
      </c>
      <c r="J695">
        <v>2878</v>
      </c>
      <c r="K695">
        <v>3100</v>
      </c>
      <c r="L695" t="s">
        <v>23</v>
      </c>
      <c r="M695" t="s">
        <v>2323</v>
      </c>
      <c r="N695" t="s">
        <v>2324</v>
      </c>
      <c r="O695" t="s">
        <v>662</v>
      </c>
      <c r="P695">
        <v>2878</v>
      </c>
      <c r="Q695">
        <v>3100</v>
      </c>
      <c r="R695" t="s">
        <v>23</v>
      </c>
      <c r="S695" s="1" t="s">
        <v>34218</v>
      </c>
    </row>
    <row r="696" spans="1:19" x14ac:dyDescent="0.25">
      <c r="A696">
        <v>101413625</v>
      </c>
      <c r="B696" t="s">
        <v>2325</v>
      </c>
      <c r="C696" t="s">
        <v>252</v>
      </c>
      <c r="F696" t="str">
        <f>"8459266052"</f>
        <v>8459266052</v>
      </c>
      <c r="G696" t="s">
        <v>2326</v>
      </c>
      <c r="H696" t="s">
        <v>2327</v>
      </c>
      <c r="I696" t="s">
        <v>117</v>
      </c>
      <c r="J696">
        <v>12545</v>
      </c>
      <c r="K696">
        <v>5205</v>
      </c>
      <c r="L696" t="s">
        <v>23</v>
      </c>
      <c r="M696" t="s">
        <v>2326</v>
      </c>
      <c r="N696" t="s">
        <v>2327</v>
      </c>
      <c r="O696" t="s">
        <v>117</v>
      </c>
      <c r="P696">
        <v>12545</v>
      </c>
      <c r="Q696">
        <v>5205</v>
      </c>
      <c r="R696" t="s">
        <v>23</v>
      </c>
      <c r="S696" s="1" t="s">
        <v>34218</v>
      </c>
    </row>
    <row r="697" spans="1:19" x14ac:dyDescent="0.25">
      <c r="A697">
        <v>101410814</v>
      </c>
      <c r="B697" t="s">
        <v>2328</v>
      </c>
      <c r="C697" t="s">
        <v>2329</v>
      </c>
      <c r="F697" t="str">
        <f>"5555555555"</f>
        <v>5555555555</v>
      </c>
      <c r="G697" t="s">
        <v>2330</v>
      </c>
      <c r="H697" t="s">
        <v>47</v>
      </c>
      <c r="I697" t="s">
        <v>236</v>
      </c>
      <c r="J697">
        <v>2155</v>
      </c>
      <c r="K697">
        <v>3409</v>
      </c>
      <c r="L697" t="s">
        <v>23</v>
      </c>
      <c r="M697" t="s">
        <v>2330</v>
      </c>
      <c r="N697" t="s">
        <v>47</v>
      </c>
      <c r="O697" t="s">
        <v>236</v>
      </c>
      <c r="P697">
        <v>2155</v>
      </c>
      <c r="Q697">
        <v>3409</v>
      </c>
      <c r="R697" t="s">
        <v>23</v>
      </c>
      <c r="S697" s="1" t="s">
        <v>34218</v>
      </c>
    </row>
    <row r="698" spans="1:19" x14ac:dyDescent="0.25">
      <c r="A698">
        <v>101319712</v>
      </c>
      <c r="B698" t="s">
        <v>2331</v>
      </c>
      <c r="C698" t="s">
        <v>2248</v>
      </c>
      <c r="F698" t="str">
        <f>"6462086564"</f>
        <v>6462086564</v>
      </c>
      <c r="G698" t="s">
        <v>2332</v>
      </c>
      <c r="H698" t="s">
        <v>412</v>
      </c>
      <c r="I698" t="s">
        <v>117</v>
      </c>
      <c r="J698">
        <v>11216</v>
      </c>
      <c r="K698">
        <v>2780</v>
      </c>
      <c r="L698" t="s">
        <v>23</v>
      </c>
      <c r="M698" t="s">
        <v>2332</v>
      </c>
      <c r="N698" t="s">
        <v>412</v>
      </c>
      <c r="O698" t="s">
        <v>117</v>
      </c>
      <c r="P698">
        <v>11216</v>
      </c>
      <c r="Q698">
        <v>2780</v>
      </c>
      <c r="R698" t="s">
        <v>23</v>
      </c>
      <c r="S698" s="1" t="s">
        <v>34218</v>
      </c>
    </row>
    <row r="699" spans="1:19" x14ac:dyDescent="0.25">
      <c r="A699">
        <v>100690983</v>
      </c>
      <c r="B699" t="s">
        <v>2333</v>
      </c>
      <c r="C699" t="s">
        <v>270</v>
      </c>
      <c r="F699" t="str">
        <f>"9498562592"</f>
        <v>9498562592</v>
      </c>
      <c r="G699" t="s">
        <v>2334</v>
      </c>
      <c r="H699" t="s">
        <v>2335</v>
      </c>
      <c r="I699" t="s">
        <v>22</v>
      </c>
      <c r="J699">
        <v>92617</v>
      </c>
      <c r="K699">
        <v>4051</v>
      </c>
      <c r="L699" t="s">
        <v>23</v>
      </c>
      <c r="M699" t="s">
        <v>2334</v>
      </c>
      <c r="N699" t="s">
        <v>2335</v>
      </c>
      <c r="O699" t="s">
        <v>22</v>
      </c>
      <c r="P699">
        <v>92617</v>
      </c>
      <c r="Q699">
        <v>4051</v>
      </c>
      <c r="R699" t="s">
        <v>23</v>
      </c>
      <c r="S699" s="1" t="s">
        <v>34218</v>
      </c>
    </row>
    <row r="700" spans="1:19" x14ac:dyDescent="0.25">
      <c r="A700">
        <v>101060993</v>
      </c>
      <c r="B700" t="s">
        <v>2336</v>
      </c>
      <c r="C700" t="s">
        <v>1153</v>
      </c>
      <c r="F700" t="str">
        <f>"7609349420"</f>
        <v>7609349420</v>
      </c>
      <c r="G700" t="s">
        <v>2337</v>
      </c>
      <c r="H700" t="s">
        <v>2338</v>
      </c>
      <c r="I700" t="s">
        <v>22</v>
      </c>
      <c r="J700">
        <v>93546</v>
      </c>
      <c r="L700" t="s">
        <v>23</v>
      </c>
      <c r="M700" t="s">
        <v>2337</v>
      </c>
      <c r="N700" t="s">
        <v>2338</v>
      </c>
      <c r="O700" t="s">
        <v>22</v>
      </c>
      <c r="P700">
        <v>93546</v>
      </c>
      <c r="R700" t="s">
        <v>23</v>
      </c>
      <c r="S700" s="1" t="s">
        <v>34218</v>
      </c>
    </row>
    <row r="701" spans="1:19" x14ac:dyDescent="0.25">
      <c r="A701">
        <v>101104777</v>
      </c>
      <c r="B701" t="s">
        <v>2339</v>
      </c>
      <c r="C701" t="s">
        <v>30</v>
      </c>
      <c r="F701" t="str">
        <f>"9204573983"</f>
        <v>9204573983</v>
      </c>
      <c r="G701" t="s">
        <v>2340</v>
      </c>
      <c r="H701" t="s">
        <v>2341</v>
      </c>
      <c r="I701" t="s">
        <v>100</v>
      </c>
      <c r="J701">
        <v>53081</v>
      </c>
      <c r="K701">
        <v>5222</v>
      </c>
      <c r="L701" t="s">
        <v>23</v>
      </c>
      <c r="M701" t="s">
        <v>2340</v>
      </c>
      <c r="N701" t="s">
        <v>2341</v>
      </c>
      <c r="O701" t="s">
        <v>100</v>
      </c>
      <c r="P701">
        <v>53081</v>
      </c>
      <c r="Q701">
        <v>5222</v>
      </c>
      <c r="R701" t="s">
        <v>23</v>
      </c>
      <c r="S701" s="1" t="s">
        <v>34218</v>
      </c>
    </row>
    <row r="702" spans="1:19" x14ac:dyDescent="0.25">
      <c r="A702">
        <v>100518025</v>
      </c>
      <c r="B702" t="s">
        <v>2342</v>
      </c>
      <c r="C702" t="s">
        <v>2343</v>
      </c>
      <c r="F702" t="str">
        <f>"9492556472"</f>
        <v>9492556472</v>
      </c>
      <c r="G702" t="s">
        <v>2344</v>
      </c>
      <c r="H702" t="s">
        <v>2345</v>
      </c>
      <c r="I702" t="s">
        <v>52</v>
      </c>
      <c r="J702">
        <v>32712</v>
      </c>
      <c r="K702">
        <v>2513</v>
      </c>
      <c r="L702" t="s">
        <v>23</v>
      </c>
      <c r="M702" t="s">
        <v>2344</v>
      </c>
      <c r="N702" t="s">
        <v>2345</v>
      </c>
      <c r="O702" t="s">
        <v>52</v>
      </c>
      <c r="P702">
        <v>32712</v>
      </c>
      <c r="Q702">
        <v>2513</v>
      </c>
      <c r="R702" t="s">
        <v>23</v>
      </c>
      <c r="S702" s="1" t="s">
        <v>34218</v>
      </c>
    </row>
    <row r="703" spans="1:19" x14ac:dyDescent="0.25">
      <c r="A703">
        <v>101042875</v>
      </c>
      <c r="B703" t="s">
        <v>2346</v>
      </c>
      <c r="C703" t="s">
        <v>2347</v>
      </c>
      <c r="F703" t="str">
        <f>"5054664414"</f>
        <v>5054664414</v>
      </c>
      <c r="G703" t="s">
        <v>2348</v>
      </c>
      <c r="H703" t="s">
        <v>1431</v>
      </c>
      <c r="I703" t="s">
        <v>639</v>
      </c>
      <c r="J703">
        <v>87508</v>
      </c>
      <c r="L703" t="s">
        <v>23</v>
      </c>
      <c r="M703" t="s">
        <v>2348</v>
      </c>
      <c r="N703" t="s">
        <v>1431</v>
      </c>
      <c r="O703" t="s">
        <v>639</v>
      </c>
      <c r="P703">
        <v>87508</v>
      </c>
      <c r="R703" t="s">
        <v>23</v>
      </c>
      <c r="S703" s="1" t="s">
        <v>34218</v>
      </c>
    </row>
    <row r="704" spans="1:19" x14ac:dyDescent="0.25">
      <c r="A704">
        <v>100962087</v>
      </c>
      <c r="B704" t="s">
        <v>2349</v>
      </c>
      <c r="C704" t="s">
        <v>102</v>
      </c>
      <c r="F704" t="str">
        <f>"8123368036"</f>
        <v>8123368036</v>
      </c>
      <c r="G704" t="s">
        <v>2350</v>
      </c>
      <c r="H704" t="s">
        <v>2351</v>
      </c>
      <c r="I704" t="s">
        <v>57</v>
      </c>
      <c r="J704">
        <v>47468</v>
      </c>
      <c r="L704" t="s">
        <v>23</v>
      </c>
      <c r="M704" t="s">
        <v>2350</v>
      </c>
      <c r="N704" t="s">
        <v>2351</v>
      </c>
      <c r="O704" t="s">
        <v>57</v>
      </c>
      <c r="P704">
        <v>47468</v>
      </c>
      <c r="R704" t="s">
        <v>23</v>
      </c>
      <c r="S704" s="1" t="s">
        <v>34218</v>
      </c>
    </row>
    <row r="705" spans="1:19" x14ac:dyDescent="0.25">
      <c r="A705">
        <v>100783562</v>
      </c>
      <c r="B705" t="s">
        <v>2352</v>
      </c>
      <c r="C705" t="s">
        <v>123</v>
      </c>
      <c r="F705" t="str">
        <f>"6514832592"</f>
        <v>6514832592</v>
      </c>
      <c r="G705" t="s">
        <v>2353</v>
      </c>
      <c r="H705" t="s">
        <v>1405</v>
      </c>
      <c r="I705" t="s">
        <v>187</v>
      </c>
      <c r="J705">
        <v>55127</v>
      </c>
      <c r="L705" t="s">
        <v>23</v>
      </c>
      <c r="M705" t="s">
        <v>2353</v>
      </c>
      <c r="N705" t="s">
        <v>1405</v>
      </c>
      <c r="O705" t="s">
        <v>187</v>
      </c>
      <c r="P705">
        <v>55127</v>
      </c>
      <c r="R705" t="s">
        <v>23</v>
      </c>
      <c r="S705" s="1" t="s">
        <v>34218</v>
      </c>
    </row>
    <row r="706" spans="1:19" x14ac:dyDescent="0.25">
      <c r="A706">
        <v>101022577</v>
      </c>
      <c r="B706" t="s">
        <v>2354</v>
      </c>
      <c r="C706" t="s">
        <v>1327</v>
      </c>
      <c r="F706" t="str">
        <f>"5735843525"</f>
        <v>5735843525</v>
      </c>
      <c r="G706" t="s">
        <v>2355</v>
      </c>
      <c r="H706" t="s">
        <v>2356</v>
      </c>
      <c r="I706" t="s">
        <v>126</v>
      </c>
      <c r="J706">
        <v>65714</v>
      </c>
      <c r="K706">
        <v>8723</v>
      </c>
      <c r="L706" t="s">
        <v>23</v>
      </c>
      <c r="M706" t="s">
        <v>2355</v>
      </c>
      <c r="N706" t="s">
        <v>2356</v>
      </c>
      <c r="O706" t="s">
        <v>126</v>
      </c>
      <c r="P706">
        <v>65714</v>
      </c>
      <c r="Q706">
        <v>8723</v>
      </c>
      <c r="R706" t="s">
        <v>23</v>
      </c>
      <c r="S706" s="1" t="s">
        <v>34218</v>
      </c>
    </row>
    <row r="707" spans="1:19" x14ac:dyDescent="0.25">
      <c r="A707">
        <v>100876266</v>
      </c>
      <c r="B707" t="s">
        <v>2357</v>
      </c>
      <c r="C707" t="s">
        <v>102</v>
      </c>
      <c r="F707" t="str">
        <f>"2222222222"</f>
        <v>2222222222</v>
      </c>
      <c r="G707" t="s">
        <v>2358</v>
      </c>
      <c r="H707" t="s">
        <v>2359</v>
      </c>
      <c r="I707" t="s">
        <v>22</v>
      </c>
      <c r="J707">
        <v>92672</v>
      </c>
      <c r="L707" t="s">
        <v>23</v>
      </c>
      <c r="M707" t="s">
        <v>2358</v>
      </c>
      <c r="N707" t="s">
        <v>2359</v>
      </c>
      <c r="O707" t="s">
        <v>22</v>
      </c>
      <c r="P707">
        <v>92672</v>
      </c>
      <c r="R707" t="s">
        <v>23</v>
      </c>
      <c r="S707" s="1" t="s">
        <v>34218</v>
      </c>
    </row>
    <row r="708" spans="1:19" x14ac:dyDescent="0.25">
      <c r="A708">
        <v>101290346</v>
      </c>
      <c r="B708" t="s">
        <v>2360</v>
      </c>
      <c r="C708" t="s">
        <v>2361</v>
      </c>
      <c r="F708" t="str">
        <f>"7023362756"</f>
        <v>7023362756</v>
      </c>
      <c r="G708" t="s">
        <v>2362</v>
      </c>
      <c r="H708" t="s">
        <v>1787</v>
      </c>
      <c r="I708" t="s">
        <v>702</v>
      </c>
      <c r="J708" t="s">
        <v>2363</v>
      </c>
      <c r="K708">
        <v>4228</v>
      </c>
      <c r="L708" t="s">
        <v>23</v>
      </c>
      <c r="M708" t="s">
        <v>2362</v>
      </c>
      <c r="N708" t="s">
        <v>1787</v>
      </c>
      <c r="O708" t="s">
        <v>702</v>
      </c>
      <c r="P708" t="s">
        <v>2363</v>
      </c>
      <c r="Q708">
        <v>4228</v>
      </c>
      <c r="R708" t="s">
        <v>23</v>
      </c>
      <c r="S708" s="1" t="s">
        <v>34218</v>
      </c>
    </row>
    <row r="709" spans="1:19" x14ac:dyDescent="0.25">
      <c r="A709">
        <v>101280760</v>
      </c>
      <c r="B709" t="s">
        <v>2364</v>
      </c>
      <c r="C709" t="s">
        <v>2365</v>
      </c>
      <c r="F709" t="str">
        <f>"7575888881"</f>
        <v>7575888881</v>
      </c>
      <c r="G709" t="s">
        <v>2366</v>
      </c>
      <c r="H709" t="s">
        <v>2367</v>
      </c>
      <c r="I709" t="s">
        <v>255</v>
      </c>
      <c r="J709">
        <v>23518</v>
      </c>
      <c r="K709">
        <v>6101</v>
      </c>
      <c r="L709" t="s">
        <v>23</v>
      </c>
      <c r="M709" t="s">
        <v>2366</v>
      </c>
      <c r="N709" t="s">
        <v>2367</v>
      </c>
      <c r="O709" t="s">
        <v>255</v>
      </c>
      <c r="P709">
        <v>23518</v>
      </c>
      <c r="Q709">
        <v>6101</v>
      </c>
      <c r="R709" t="s">
        <v>23</v>
      </c>
      <c r="S709" s="1" t="s">
        <v>34218</v>
      </c>
    </row>
    <row r="710" spans="1:19" x14ac:dyDescent="0.25">
      <c r="A710">
        <v>101282858</v>
      </c>
      <c r="B710" t="s">
        <v>2368</v>
      </c>
      <c r="C710" t="s">
        <v>247</v>
      </c>
      <c r="F710" t="str">
        <f>"3102021874"</f>
        <v>3102021874</v>
      </c>
      <c r="G710" t="s">
        <v>2369</v>
      </c>
      <c r="H710" t="s">
        <v>2370</v>
      </c>
      <c r="I710" t="s">
        <v>22</v>
      </c>
      <c r="J710">
        <v>90232</v>
      </c>
      <c r="K710">
        <v>3719</v>
      </c>
      <c r="L710" t="s">
        <v>23</v>
      </c>
      <c r="M710" t="s">
        <v>2369</v>
      </c>
      <c r="N710" t="s">
        <v>2370</v>
      </c>
      <c r="O710" t="s">
        <v>22</v>
      </c>
      <c r="P710">
        <v>90232</v>
      </c>
      <c r="Q710">
        <v>3719</v>
      </c>
      <c r="R710" t="s">
        <v>23</v>
      </c>
      <c r="S710" s="1" t="s">
        <v>34218</v>
      </c>
    </row>
    <row r="711" spans="1:19" x14ac:dyDescent="0.25">
      <c r="A711">
        <v>101073118</v>
      </c>
      <c r="B711" t="s">
        <v>2371</v>
      </c>
      <c r="C711" t="s">
        <v>1879</v>
      </c>
      <c r="F711" t="str">
        <f>"6516904138"</f>
        <v>6516904138</v>
      </c>
      <c r="G711" t="s">
        <v>2372</v>
      </c>
      <c r="H711" t="s">
        <v>1405</v>
      </c>
      <c r="I711" t="s">
        <v>187</v>
      </c>
      <c r="J711">
        <v>55105</v>
      </c>
      <c r="K711">
        <v>1303</v>
      </c>
      <c r="L711" t="s">
        <v>23</v>
      </c>
      <c r="M711" t="s">
        <v>2372</v>
      </c>
      <c r="N711" t="s">
        <v>1405</v>
      </c>
      <c r="O711" t="s">
        <v>187</v>
      </c>
      <c r="P711">
        <v>55105</v>
      </c>
      <c r="Q711">
        <v>1303</v>
      </c>
      <c r="R711" t="s">
        <v>23</v>
      </c>
      <c r="S711" s="1" t="s">
        <v>34218</v>
      </c>
    </row>
    <row r="712" spans="1:19" x14ac:dyDescent="0.25">
      <c r="A712">
        <v>101088322</v>
      </c>
      <c r="B712" t="s">
        <v>281</v>
      </c>
      <c r="C712" t="s">
        <v>1422</v>
      </c>
      <c r="F712" t="str">
        <f>"8313350566"</f>
        <v>8313350566</v>
      </c>
      <c r="G712" t="s">
        <v>2373</v>
      </c>
      <c r="H712" t="s">
        <v>556</v>
      </c>
      <c r="I712" t="s">
        <v>22</v>
      </c>
      <c r="J712">
        <v>95018</v>
      </c>
      <c r="K712">
        <v>9409</v>
      </c>
      <c r="L712" t="s">
        <v>23</v>
      </c>
      <c r="M712" t="s">
        <v>2373</v>
      </c>
      <c r="N712" t="s">
        <v>556</v>
      </c>
      <c r="O712" t="s">
        <v>22</v>
      </c>
      <c r="P712">
        <v>95018</v>
      </c>
      <c r="Q712">
        <v>9409</v>
      </c>
      <c r="R712" t="s">
        <v>23</v>
      </c>
      <c r="S712" s="1" t="s">
        <v>34218</v>
      </c>
    </row>
    <row r="713" spans="1:19" x14ac:dyDescent="0.25">
      <c r="A713">
        <v>101315406</v>
      </c>
      <c r="B713" t="s">
        <v>300</v>
      </c>
      <c r="C713" t="s">
        <v>137</v>
      </c>
      <c r="F713" t="str">
        <f>"6089061090"</f>
        <v>6089061090</v>
      </c>
      <c r="G713" t="s">
        <v>2374</v>
      </c>
      <c r="H713" t="s">
        <v>2375</v>
      </c>
      <c r="I713" t="s">
        <v>100</v>
      </c>
      <c r="J713">
        <v>53714</v>
      </c>
      <c r="K713">
        <v>1317</v>
      </c>
      <c r="L713" t="s">
        <v>23</v>
      </c>
      <c r="M713" t="s">
        <v>2374</v>
      </c>
      <c r="N713" t="s">
        <v>2375</v>
      </c>
      <c r="O713" t="s">
        <v>100</v>
      </c>
      <c r="P713">
        <v>53714</v>
      </c>
      <c r="Q713">
        <v>1317</v>
      </c>
      <c r="R713" t="s">
        <v>23</v>
      </c>
      <c r="S713" s="1" t="s">
        <v>34218</v>
      </c>
    </row>
    <row r="714" spans="1:19" x14ac:dyDescent="0.25">
      <c r="A714">
        <v>101335333</v>
      </c>
      <c r="B714" t="s">
        <v>2376</v>
      </c>
      <c r="C714" t="s">
        <v>30</v>
      </c>
      <c r="F714" t="str">
        <f>"8163738357"</f>
        <v>8163738357</v>
      </c>
      <c r="G714" t="s">
        <v>2377</v>
      </c>
      <c r="H714" t="s">
        <v>2378</v>
      </c>
      <c r="I714" t="s">
        <v>126</v>
      </c>
      <c r="J714">
        <v>64055</v>
      </c>
      <c r="K714">
        <v>3849</v>
      </c>
      <c r="L714" t="s">
        <v>23</v>
      </c>
      <c r="M714" t="s">
        <v>2377</v>
      </c>
      <c r="N714" t="s">
        <v>2378</v>
      </c>
      <c r="O714" t="s">
        <v>126</v>
      </c>
      <c r="P714">
        <v>64055</v>
      </c>
      <c r="Q714">
        <v>3849</v>
      </c>
      <c r="R714" t="s">
        <v>23</v>
      </c>
      <c r="S714" s="1" t="s">
        <v>34218</v>
      </c>
    </row>
    <row r="715" spans="1:19" x14ac:dyDescent="0.25">
      <c r="A715">
        <v>101132061</v>
      </c>
      <c r="B715" t="s">
        <v>2379</v>
      </c>
      <c r="C715" t="s">
        <v>30</v>
      </c>
      <c r="F715" t="str">
        <f>"4152957746"</f>
        <v>4152957746</v>
      </c>
      <c r="G715" t="s">
        <v>2380</v>
      </c>
      <c r="H715" t="s">
        <v>2381</v>
      </c>
      <c r="I715" t="s">
        <v>22</v>
      </c>
      <c r="J715">
        <v>94904</v>
      </c>
      <c r="K715">
        <v>1616</v>
      </c>
      <c r="L715" t="s">
        <v>23</v>
      </c>
      <c r="M715" t="s">
        <v>2380</v>
      </c>
      <c r="N715" t="s">
        <v>2381</v>
      </c>
      <c r="O715" t="s">
        <v>22</v>
      </c>
      <c r="P715">
        <v>94904</v>
      </c>
      <c r="Q715">
        <v>1616</v>
      </c>
      <c r="R715" t="s">
        <v>23</v>
      </c>
      <c r="S715" s="1" t="s">
        <v>34218</v>
      </c>
    </row>
    <row r="716" spans="1:19" x14ac:dyDescent="0.25">
      <c r="A716">
        <v>101112766</v>
      </c>
      <c r="B716" t="s">
        <v>2382</v>
      </c>
      <c r="C716" t="s">
        <v>1581</v>
      </c>
      <c r="F716" t="str">
        <f>"7327801130"</f>
        <v>7327801130</v>
      </c>
      <c r="G716" t="s">
        <v>2383</v>
      </c>
      <c r="H716" t="s">
        <v>2384</v>
      </c>
      <c r="I716" t="s">
        <v>250</v>
      </c>
      <c r="J716">
        <v>7728</v>
      </c>
      <c r="K716">
        <v>8058</v>
      </c>
      <c r="L716" t="s">
        <v>23</v>
      </c>
      <c r="M716" t="s">
        <v>2383</v>
      </c>
      <c r="N716" t="s">
        <v>2384</v>
      </c>
      <c r="O716" t="s">
        <v>250</v>
      </c>
      <c r="P716">
        <v>7728</v>
      </c>
      <c r="Q716">
        <v>8058</v>
      </c>
      <c r="R716" t="s">
        <v>23</v>
      </c>
      <c r="S716" s="1" t="s">
        <v>34218</v>
      </c>
    </row>
    <row r="717" spans="1:19" x14ac:dyDescent="0.25">
      <c r="A717">
        <v>101350408</v>
      </c>
      <c r="B717" t="s">
        <v>2385</v>
      </c>
      <c r="C717" t="s">
        <v>294</v>
      </c>
      <c r="F717" t="str">
        <f>"5123279799"</f>
        <v>5123279799</v>
      </c>
      <c r="G717" t="s">
        <v>2386</v>
      </c>
      <c r="H717" t="s">
        <v>2387</v>
      </c>
      <c r="I717" t="s">
        <v>38</v>
      </c>
      <c r="J717">
        <v>78652</v>
      </c>
      <c r="K717">
        <v>2183</v>
      </c>
      <c r="L717" t="s">
        <v>23</v>
      </c>
      <c r="M717" t="s">
        <v>2386</v>
      </c>
      <c r="N717" t="s">
        <v>2387</v>
      </c>
      <c r="O717" t="s">
        <v>38</v>
      </c>
      <c r="P717">
        <v>78652</v>
      </c>
      <c r="Q717">
        <v>2183</v>
      </c>
      <c r="R717" t="s">
        <v>23</v>
      </c>
      <c r="S717" s="1" t="s">
        <v>34218</v>
      </c>
    </row>
    <row r="718" spans="1:19" x14ac:dyDescent="0.25">
      <c r="A718">
        <v>101372969</v>
      </c>
      <c r="B718" t="s">
        <v>2388</v>
      </c>
      <c r="C718" t="s">
        <v>155</v>
      </c>
      <c r="F718" t="str">
        <f>"5416198800"</f>
        <v>5416198800</v>
      </c>
      <c r="G718" t="s">
        <v>2389</v>
      </c>
      <c r="H718" t="s">
        <v>1867</v>
      </c>
      <c r="I718" t="s">
        <v>43</v>
      </c>
      <c r="J718">
        <v>97355</v>
      </c>
      <c r="K718">
        <v>9010</v>
      </c>
      <c r="L718" t="s">
        <v>23</v>
      </c>
      <c r="M718" t="s">
        <v>2389</v>
      </c>
      <c r="N718" t="s">
        <v>1867</v>
      </c>
      <c r="O718" t="s">
        <v>43</v>
      </c>
      <c r="P718">
        <v>97355</v>
      </c>
      <c r="Q718">
        <v>9010</v>
      </c>
      <c r="R718" t="s">
        <v>23</v>
      </c>
      <c r="S718" s="1" t="s">
        <v>34218</v>
      </c>
    </row>
    <row r="719" spans="1:19" x14ac:dyDescent="0.25">
      <c r="A719">
        <v>101378836</v>
      </c>
      <c r="B719" t="s">
        <v>1710</v>
      </c>
      <c r="C719" t="s">
        <v>403</v>
      </c>
      <c r="F719" t="str">
        <f>"5413895693"</f>
        <v>5413895693</v>
      </c>
      <c r="G719" t="s">
        <v>2390</v>
      </c>
      <c r="H719" t="s">
        <v>2391</v>
      </c>
      <c r="I719" t="s">
        <v>43</v>
      </c>
      <c r="J719">
        <v>97702</v>
      </c>
      <c r="K719">
        <v>9448</v>
      </c>
      <c r="L719" t="s">
        <v>23</v>
      </c>
      <c r="M719" t="s">
        <v>2390</v>
      </c>
      <c r="N719" t="s">
        <v>2391</v>
      </c>
      <c r="O719" t="s">
        <v>43</v>
      </c>
      <c r="P719">
        <v>97702</v>
      </c>
      <c r="Q719">
        <v>9448</v>
      </c>
      <c r="R719" t="s">
        <v>23</v>
      </c>
      <c r="S719" s="1" t="s">
        <v>34218</v>
      </c>
    </row>
    <row r="720" spans="1:19" x14ac:dyDescent="0.25">
      <c r="A720">
        <v>100992378</v>
      </c>
      <c r="B720" t="s">
        <v>1205</v>
      </c>
      <c r="C720" t="s">
        <v>102</v>
      </c>
      <c r="F720" t="str">
        <f>"5555555555"</f>
        <v>5555555555</v>
      </c>
      <c r="G720" t="s">
        <v>2392</v>
      </c>
      <c r="H720" t="s">
        <v>2393</v>
      </c>
      <c r="I720" t="s">
        <v>22</v>
      </c>
      <c r="J720">
        <v>95993</v>
      </c>
      <c r="K720">
        <v>5608</v>
      </c>
      <c r="L720" t="s">
        <v>23</v>
      </c>
      <c r="M720" t="s">
        <v>2392</v>
      </c>
      <c r="N720" t="s">
        <v>2393</v>
      </c>
      <c r="O720" t="s">
        <v>22</v>
      </c>
      <c r="P720">
        <v>95993</v>
      </c>
      <c r="Q720">
        <v>5608</v>
      </c>
      <c r="R720" t="s">
        <v>23</v>
      </c>
      <c r="S720" s="1" t="s">
        <v>34218</v>
      </c>
    </row>
    <row r="721" spans="1:19" x14ac:dyDescent="0.25">
      <c r="A721">
        <v>101292311</v>
      </c>
      <c r="B721" t="s">
        <v>2394</v>
      </c>
      <c r="C721" t="s">
        <v>452</v>
      </c>
      <c r="F721" t="str">
        <f>"3217222215"</f>
        <v>3217222215</v>
      </c>
      <c r="G721" t="s">
        <v>2395</v>
      </c>
      <c r="H721" t="s">
        <v>2396</v>
      </c>
      <c r="I721" t="s">
        <v>52</v>
      </c>
      <c r="J721">
        <v>32907</v>
      </c>
      <c r="K721">
        <v>1120</v>
      </c>
      <c r="L721" t="s">
        <v>23</v>
      </c>
      <c r="M721" t="s">
        <v>2395</v>
      </c>
      <c r="N721" t="s">
        <v>2396</v>
      </c>
      <c r="O721" t="s">
        <v>52</v>
      </c>
      <c r="P721">
        <v>32907</v>
      </c>
      <c r="Q721">
        <v>1120</v>
      </c>
      <c r="R721" t="s">
        <v>23</v>
      </c>
      <c r="S721" s="1" t="s">
        <v>34218</v>
      </c>
    </row>
    <row r="722" spans="1:19" x14ac:dyDescent="0.25">
      <c r="A722">
        <v>100822132</v>
      </c>
      <c r="B722" t="s">
        <v>2397</v>
      </c>
      <c r="C722" t="s">
        <v>102</v>
      </c>
      <c r="F722" t="str">
        <f>"9702212008"</f>
        <v>9702212008</v>
      </c>
      <c r="G722" t="s">
        <v>2398</v>
      </c>
      <c r="H722" t="s">
        <v>2399</v>
      </c>
      <c r="I722" t="s">
        <v>71</v>
      </c>
      <c r="J722">
        <v>80524</v>
      </c>
      <c r="K722">
        <v>9389</v>
      </c>
      <c r="L722" t="s">
        <v>23</v>
      </c>
      <c r="M722" t="s">
        <v>2398</v>
      </c>
      <c r="N722" t="s">
        <v>2399</v>
      </c>
      <c r="O722" t="s">
        <v>71</v>
      </c>
      <c r="P722">
        <v>80524</v>
      </c>
      <c r="Q722">
        <v>9389</v>
      </c>
      <c r="R722" t="s">
        <v>23</v>
      </c>
      <c r="S722" s="1" t="s">
        <v>34218</v>
      </c>
    </row>
    <row r="723" spans="1:19" x14ac:dyDescent="0.25">
      <c r="A723">
        <v>101413600</v>
      </c>
      <c r="B723" t="s">
        <v>2400</v>
      </c>
      <c r="C723" t="s">
        <v>2401</v>
      </c>
      <c r="F723" t="str">
        <f>"9145925741"</f>
        <v>9145925741</v>
      </c>
      <c r="G723" t="s">
        <v>2402</v>
      </c>
      <c r="H723" t="s">
        <v>2403</v>
      </c>
      <c r="I723" t="s">
        <v>117</v>
      </c>
      <c r="J723">
        <v>10603</v>
      </c>
      <c r="K723">
        <v>1110</v>
      </c>
      <c r="L723" t="s">
        <v>23</v>
      </c>
      <c r="M723" t="s">
        <v>2402</v>
      </c>
      <c r="N723" t="s">
        <v>2403</v>
      </c>
      <c r="O723" t="s">
        <v>117</v>
      </c>
      <c r="P723">
        <v>10603</v>
      </c>
      <c r="Q723">
        <v>1110</v>
      </c>
      <c r="R723" t="s">
        <v>23</v>
      </c>
      <c r="S723" s="1" t="s">
        <v>34218</v>
      </c>
    </row>
    <row r="724" spans="1:19" x14ac:dyDescent="0.25">
      <c r="A724">
        <v>101406319</v>
      </c>
      <c r="B724" t="s">
        <v>2404</v>
      </c>
      <c r="C724" t="s">
        <v>2405</v>
      </c>
      <c r="F724" t="str">
        <f>"7275996011"</f>
        <v>7275996011</v>
      </c>
      <c r="G724" t="s">
        <v>2406</v>
      </c>
      <c r="H724" t="s">
        <v>2407</v>
      </c>
      <c r="I724" t="s">
        <v>52</v>
      </c>
      <c r="J724">
        <v>33755</v>
      </c>
      <c r="K724">
        <v>1043</v>
      </c>
      <c r="L724" t="s">
        <v>23</v>
      </c>
      <c r="M724" t="s">
        <v>2406</v>
      </c>
      <c r="N724" t="s">
        <v>2407</v>
      </c>
      <c r="O724" t="s">
        <v>52</v>
      </c>
      <c r="P724">
        <v>33755</v>
      </c>
      <c r="Q724">
        <v>1043</v>
      </c>
      <c r="R724" t="s">
        <v>23</v>
      </c>
      <c r="S724" s="1" t="s">
        <v>34218</v>
      </c>
    </row>
    <row r="725" spans="1:19" x14ac:dyDescent="0.25">
      <c r="A725">
        <v>101067138</v>
      </c>
      <c r="B725" t="s">
        <v>2408</v>
      </c>
      <c r="C725" t="s">
        <v>2127</v>
      </c>
      <c r="F725" t="str">
        <f>"4155315709"</f>
        <v>4155315709</v>
      </c>
      <c r="G725" t="s">
        <v>2409</v>
      </c>
      <c r="H725" t="s">
        <v>227</v>
      </c>
      <c r="I725" t="s">
        <v>43</v>
      </c>
      <c r="J725">
        <v>97209</v>
      </c>
      <c r="K725">
        <v>2840</v>
      </c>
      <c r="L725" t="s">
        <v>23</v>
      </c>
      <c r="M725" t="s">
        <v>2409</v>
      </c>
      <c r="N725" t="s">
        <v>227</v>
      </c>
      <c r="O725" t="s">
        <v>43</v>
      </c>
      <c r="P725">
        <v>97209</v>
      </c>
      <c r="Q725">
        <v>2840</v>
      </c>
      <c r="R725" t="s">
        <v>23</v>
      </c>
      <c r="S725" s="1" t="s">
        <v>34218</v>
      </c>
    </row>
    <row r="726" spans="1:19" x14ac:dyDescent="0.25">
      <c r="A726">
        <v>100588625</v>
      </c>
      <c r="B726" t="s">
        <v>2410</v>
      </c>
      <c r="C726" t="s">
        <v>2411</v>
      </c>
      <c r="F726" t="str">
        <f>"5123295029"</f>
        <v>5123295029</v>
      </c>
      <c r="G726" t="s">
        <v>2412</v>
      </c>
      <c r="H726" t="s">
        <v>2413</v>
      </c>
      <c r="I726" t="s">
        <v>38</v>
      </c>
      <c r="J726">
        <v>78746</v>
      </c>
      <c r="K726">
        <v>6600</v>
      </c>
      <c r="L726" t="s">
        <v>23</v>
      </c>
      <c r="M726" t="s">
        <v>2412</v>
      </c>
      <c r="N726" t="s">
        <v>2413</v>
      </c>
      <c r="O726" t="s">
        <v>38</v>
      </c>
      <c r="P726">
        <v>78746</v>
      </c>
      <c r="Q726">
        <v>6600</v>
      </c>
      <c r="R726" t="s">
        <v>23</v>
      </c>
      <c r="S726" s="1" t="s">
        <v>34218</v>
      </c>
    </row>
    <row r="727" spans="1:19" x14ac:dyDescent="0.25">
      <c r="A727">
        <v>100786643</v>
      </c>
      <c r="B727" t="s">
        <v>2414</v>
      </c>
      <c r="C727" t="s">
        <v>30</v>
      </c>
      <c r="F727" t="str">
        <f>"3018681324"</f>
        <v>3018681324</v>
      </c>
      <c r="G727" t="s">
        <v>2415</v>
      </c>
      <c r="H727" t="s">
        <v>504</v>
      </c>
      <c r="I727" t="s">
        <v>148</v>
      </c>
      <c r="J727">
        <v>20735</v>
      </c>
      <c r="L727" t="s">
        <v>23</v>
      </c>
      <c r="M727" t="s">
        <v>2415</v>
      </c>
      <c r="N727" t="s">
        <v>504</v>
      </c>
      <c r="O727" t="s">
        <v>148</v>
      </c>
      <c r="P727">
        <v>20735</v>
      </c>
      <c r="R727" t="s">
        <v>23</v>
      </c>
      <c r="S727" s="1" t="s">
        <v>34218</v>
      </c>
    </row>
    <row r="728" spans="1:19" x14ac:dyDescent="0.25">
      <c r="A728">
        <v>100933305</v>
      </c>
      <c r="B728" t="s">
        <v>2416</v>
      </c>
      <c r="C728" t="s">
        <v>2417</v>
      </c>
      <c r="F728" t="str">
        <f>"3609996456"</f>
        <v>3609996456</v>
      </c>
      <c r="G728" t="s">
        <v>2418</v>
      </c>
      <c r="H728" t="s">
        <v>1765</v>
      </c>
      <c r="I728" t="s">
        <v>84</v>
      </c>
      <c r="J728">
        <v>98501</v>
      </c>
      <c r="L728" t="s">
        <v>23</v>
      </c>
      <c r="M728" t="s">
        <v>2418</v>
      </c>
      <c r="N728" t="s">
        <v>1765</v>
      </c>
      <c r="O728" t="s">
        <v>84</v>
      </c>
      <c r="P728">
        <v>98501</v>
      </c>
      <c r="R728" t="s">
        <v>23</v>
      </c>
      <c r="S728" s="1" t="s">
        <v>34218</v>
      </c>
    </row>
    <row r="729" spans="1:19" x14ac:dyDescent="0.25">
      <c r="A729">
        <v>100711858</v>
      </c>
      <c r="B729" t="s">
        <v>2419</v>
      </c>
      <c r="C729" t="s">
        <v>2420</v>
      </c>
      <c r="F729" t="str">
        <f>"6183035180"</f>
        <v>6183035180</v>
      </c>
      <c r="G729" t="s">
        <v>2421</v>
      </c>
      <c r="H729" t="s">
        <v>2422</v>
      </c>
      <c r="I729" t="s">
        <v>135</v>
      </c>
      <c r="J729">
        <v>62088</v>
      </c>
      <c r="K729">
        <v>1684</v>
      </c>
      <c r="L729" t="s">
        <v>23</v>
      </c>
      <c r="M729" t="s">
        <v>2421</v>
      </c>
      <c r="N729" t="s">
        <v>2422</v>
      </c>
      <c r="O729" t="s">
        <v>135</v>
      </c>
      <c r="P729">
        <v>62088</v>
      </c>
      <c r="Q729">
        <v>1684</v>
      </c>
      <c r="R729" t="s">
        <v>23</v>
      </c>
      <c r="S729" s="1" t="s">
        <v>34218</v>
      </c>
    </row>
    <row r="730" spans="1:19" x14ac:dyDescent="0.25">
      <c r="A730">
        <v>101167069</v>
      </c>
      <c r="B730" t="s">
        <v>276</v>
      </c>
      <c r="C730" t="s">
        <v>2423</v>
      </c>
      <c r="F730" t="str">
        <f>"9188359356"</f>
        <v>9188359356</v>
      </c>
      <c r="G730" t="s">
        <v>2424</v>
      </c>
      <c r="H730" t="s">
        <v>2425</v>
      </c>
      <c r="I730" t="s">
        <v>62</v>
      </c>
      <c r="J730">
        <v>74019</v>
      </c>
      <c r="K730">
        <v>2292</v>
      </c>
      <c r="L730" t="s">
        <v>23</v>
      </c>
      <c r="M730" t="s">
        <v>2424</v>
      </c>
      <c r="N730" t="s">
        <v>2425</v>
      </c>
      <c r="O730" t="s">
        <v>62</v>
      </c>
      <c r="P730">
        <v>74019</v>
      </c>
      <c r="Q730">
        <v>2292</v>
      </c>
      <c r="R730" t="s">
        <v>23</v>
      </c>
      <c r="S730" s="1" t="s">
        <v>34218</v>
      </c>
    </row>
    <row r="731" spans="1:19" x14ac:dyDescent="0.25">
      <c r="A731">
        <v>100842223</v>
      </c>
      <c r="B731" t="s">
        <v>2426</v>
      </c>
      <c r="C731" t="s">
        <v>2427</v>
      </c>
      <c r="F731" t="str">
        <f>"2129244384"</f>
        <v>2129244384</v>
      </c>
      <c r="G731" t="s">
        <v>2428</v>
      </c>
      <c r="H731" t="s">
        <v>653</v>
      </c>
      <c r="I731" t="s">
        <v>117</v>
      </c>
      <c r="J731">
        <v>10011</v>
      </c>
      <c r="K731">
        <v>1505</v>
      </c>
      <c r="L731" t="s">
        <v>23</v>
      </c>
      <c r="M731" t="s">
        <v>2428</v>
      </c>
      <c r="N731" t="s">
        <v>653</v>
      </c>
      <c r="O731" t="s">
        <v>117</v>
      </c>
      <c r="P731">
        <v>10011</v>
      </c>
      <c r="Q731">
        <v>1505</v>
      </c>
      <c r="R731" t="s">
        <v>23</v>
      </c>
      <c r="S731" s="1" t="s">
        <v>34218</v>
      </c>
    </row>
    <row r="732" spans="1:19" x14ac:dyDescent="0.25">
      <c r="A732">
        <v>101255105</v>
      </c>
      <c r="B732" t="s">
        <v>2429</v>
      </c>
      <c r="C732" t="s">
        <v>1698</v>
      </c>
      <c r="F732" t="str">
        <f>"4014471210"</f>
        <v>4014471210</v>
      </c>
      <c r="G732" t="s">
        <v>2430</v>
      </c>
      <c r="H732" t="s">
        <v>2431</v>
      </c>
      <c r="I732" t="s">
        <v>662</v>
      </c>
      <c r="J732">
        <v>2910</v>
      </c>
      <c r="K732">
        <v>1214</v>
      </c>
      <c r="L732" t="s">
        <v>23</v>
      </c>
      <c r="M732" t="s">
        <v>2430</v>
      </c>
      <c r="N732" t="s">
        <v>2431</v>
      </c>
      <c r="O732" t="s">
        <v>662</v>
      </c>
      <c r="P732">
        <v>2910</v>
      </c>
      <c r="Q732">
        <v>1214</v>
      </c>
      <c r="R732" t="s">
        <v>23</v>
      </c>
      <c r="S732" s="1" t="s">
        <v>34218</v>
      </c>
    </row>
    <row r="733" spans="1:19" x14ac:dyDescent="0.25">
      <c r="A733">
        <v>101250327</v>
      </c>
      <c r="B733" t="s">
        <v>2432</v>
      </c>
      <c r="C733" t="s">
        <v>313</v>
      </c>
      <c r="F733" t="str">
        <f>"2034681581"</f>
        <v>2034681581</v>
      </c>
      <c r="G733" t="s">
        <v>2433</v>
      </c>
      <c r="H733" t="s">
        <v>2434</v>
      </c>
      <c r="I733" t="s">
        <v>161</v>
      </c>
      <c r="J733">
        <v>6513</v>
      </c>
      <c r="K733">
        <v>2474</v>
      </c>
      <c r="L733" t="s">
        <v>23</v>
      </c>
      <c r="M733" t="s">
        <v>2433</v>
      </c>
      <c r="N733" t="s">
        <v>2434</v>
      </c>
      <c r="O733" t="s">
        <v>161</v>
      </c>
      <c r="P733">
        <v>6513</v>
      </c>
      <c r="Q733">
        <v>2474</v>
      </c>
      <c r="R733" t="s">
        <v>23</v>
      </c>
      <c r="S733" s="1" t="s">
        <v>34218</v>
      </c>
    </row>
    <row r="734" spans="1:19" x14ac:dyDescent="0.25">
      <c r="A734">
        <v>101262637</v>
      </c>
      <c r="B734" t="s">
        <v>2435</v>
      </c>
      <c r="C734" t="s">
        <v>2436</v>
      </c>
      <c r="F734" t="str">
        <f>"8189051950"</f>
        <v>8189051950</v>
      </c>
      <c r="G734" t="s">
        <v>2437</v>
      </c>
      <c r="H734" t="s">
        <v>1538</v>
      </c>
      <c r="I734" t="s">
        <v>22</v>
      </c>
      <c r="J734">
        <v>91403</v>
      </c>
      <c r="L734" t="s">
        <v>23</v>
      </c>
      <c r="M734" t="s">
        <v>2437</v>
      </c>
      <c r="N734" t="s">
        <v>1538</v>
      </c>
      <c r="O734" t="s">
        <v>22</v>
      </c>
      <c r="P734">
        <v>91403</v>
      </c>
      <c r="R734" t="s">
        <v>23</v>
      </c>
      <c r="S734" s="1" t="s">
        <v>34218</v>
      </c>
    </row>
    <row r="735" spans="1:19" x14ac:dyDescent="0.25">
      <c r="A735">
        <v>100580944</v>
      </c>
      <c r="B735" t="s">
        <v>2438</v>
      </c>
      <c r="C735" t="s">
        <v>274</v>
      </c>
      <c r="F735" t="str">
        <f>"5413899009"</f>
        <v>5413899009</v>
      </c>
      <c r="G735" t="s">
        <v>2439</v>
      </c>
      <c r="H735" t="s">
        <v>2391</v>
      </c>
      <c r="I735" t="s">
        <v>43</v>
      </c>
      <c r="J735">
        <v>97701</v>
      </c>
      <c r="K735">
        <v>8172</v>
      </c>
      <c r="L735" t="s">
        <v>23</v>
      </c>
      <c r="M735" t="s">
        <v>2439</v>
      </c>
      <c r="N735" t="s">
        <v>2391</v>
      </c>
      <c r="O735" t="s">
        <v>43</v>
      </c>
      <c r="P735">
        <v>97701</v>
      </c>
      <c r="Q735">
        <v>8172</v>
      </c>
      <c r="R735" t="s">
        <v>23</v>
      </c>
      <c r="S735" s="1" t="s">
        <v>34218</v>
      </c>
    </row>
    <row r="736" spans="1:19" x14ac:dyDescent="0.25">
      <c r="A736">
        <v>100638910</v>
      </c>
      <c r="B736" t="s">
        <v>2440</v>
      </c>
      <c r="C736" t="s">
        <v>119</v>
      </c>
      <c r="F736" t="str">
        <f>"2066822430"</f>
        <v>2066822430</v>
      </c>
      <c r="G736" t="s">
        <v>2441</v>
      </c>
      <c r="H736" t="s">
        <v>1531</v>
      </c>
      <c r="I736" t="s">
        <v>84</v>
      </c>
      <c r="J736" t="s">
        <v>2442</v>
      </c>
      <c r="K736">
        <v>3719</v>
      </c>
      <c r="L736" t="s">
        <v>23</v>
      </c>
      <c r="M736" t="s">
        <v>2441</v>
      </c>
      <c r="N736" t="s">
        <v>1531</v>
      </c>
      <c r="O736" t="s">
        <v>84</v>
      </c>
      <c r="P736" t="s">
        <v>2442</v>
      </c>
      <c r="Q736">
        <v>3719</v>
      </c>
      <c r="R736" t="s">
        <v>23</v>
      </c>
      <c r="S736" s="1" t="s">
        <v>34218</v>
      </c>
    </row>
    <row r="737" spans="1:19" x14ac:dyDescent="0.25">
      <c r="A737">
        <v>100633748</v>
      </c>
      <c r="B737" t="s">
        <v>2443</v>
      </c>
      <c r="C737" t="s">
        <v>554</v>
      </c>
      <c r="F737" t="str">
        <f>"2062480670"</f>
        <v>2062480670</v>
      </c>
      <c r="G737" t="s">
        <v>2444</v>
      </c>
      <c r="H737" t="s">
        <v>2445</v>
      </c>
      <c r="I737" t="s">
        <v>84</v>
      </c>
      <c r="J737">
        <v>98166</v>
      </c>
      <c r="K737">
        <v>1638</v>
      </c>
      <c r="L737" t="s">
        <v>23</v>
      </c>
      <c r="M737" t="s">
        <v>2444</v>
      </c>
      <c r="N737" t="s">
        <v>2445</v>
      </c>
      <c r="O737" t="s">
        <v>84</v>
      </c>
      <c r="P737">
        <v>98166</v>
      </c>
      <c r="Q737">
        <v>1638</v>
      </c>
      <c r="R737" t="s">
        <v>23</v>
      </c>
      <c r="S737" s="1" t="s">
        <v>34218</v>
      </c>
    </row>
    <row r="738" spans="1:19" x14ac:dyDescent="0.25">
      <c r="A738">
        <v>101273546</v>
      </c>
      <c r="B738" t="s">
        <v>2446</v>
      </c>
      <c r="C738" t="s">
        <v>2447</v>
      </c>
      <c r="F738" t="str">
        <f>"3034004954"</f>
        <v>3034004954</v>
      </c>
      <c r="G738" t="s">
        <v>2448</v>
      </c>
      <c r="H738" t="s">
        <v>2449</v>
      </c>
      <c r="I738" t="s">
        <v>71</v>
      </c>
      <c r="J738">
        <v>80016</v>
      </c>
      <c r="K738">
        <v>1041</v>
      </c>
      <c r="L738" t="s">
        <v>23</v>
      </c>
      <c r="M738" t="s">
        <v>2448</v>
      </c>
      <c r="N738" t="s">
        <v>2449</v>
      </c>
      <c r="O738" t="s">
        <v>71</v>
      </c>
      <c r="P738">
        <v>80016</v>
      </c>
      <c r="Q738">
        <v>1041</v>
      </c>
      <c r="R738" t="s">
        <v>23</v>
      </c>
      <c r="S738" s="1" t="s">
        <v>34218</v>
      </c>
    </row>
    <row r="739" spans="1:19" x14ac:dyDescent="0.25">
      <c r="A739">
        <v>101281612</v>
      </c>
      <c r="B739" t="s">
        <v>2450</v>
      </c>
      <c r="C739" t="s">
        <v>30</v>
      </c>
      <c r="F739" t="str">
        <f>"8507657616"</f>
        <v>8507657616</v>
      </c>
      <c r="G739" t="s">
        <v>2451</v>
      </c>
      <c r="H739" t="s">
        <v>1196</v>
      </c>
      <c r="I739" t="s">
        <v>52</v>
      </c>
      <c r="J739">
        <v>32308</v>
      </c>
      <c r="K739">
        <v>8717</v>
      </c>
      <c r="L739" t="s">
        <v>23</v>
      </c>
      <c r="M739" t="s">
        <v>2451</v>
      </c>
      <c r="N739" t="s">
        <v>1196</v>
      </c>
      <c r="O739" t="s">
        <v>52</v>
      </c>
      <c r="P739">
        <v>32308</v>
      </c>
      <c r="Q739">
        <v>8717</v>
      </c>
      <c r="R739" t="s">
        <v>23</v>
      </c>
      <c r="S739" s="1" t="s">
        <v>34218</v>
      </c>
    </row>
    <row r="740" spans="1:19" x14ac:dyDescent="0.25">
      <c r="A740">
        <v>101313761</v>
      </c>
      <c r="B740" t="s">
        <v>2452</v>
      </c>
      <c r="C740" t="s">
        <v>2453</v>
      </c>
      <c r="F740" t="str">
        <f>"3019242809"</f>
        <v>3019242809</v>
      </c>
      <c r="G740" t="s">
        <v>2454</v>
      </c>
      <c r="H740" t="s">
        <v>758</v>
      </c>
      <c r="I740" t="s">
        <v>148</v>
      </c>
      <c r="J740">
        <v>20906</v>
      </c>
      <c r="K740">
        <v>1342</v>
      </c>
      <c r="L740" t="s">
        <v>23</v>
      </c>
      <c r="M740" t="s">
        <v>2454</v>
      </c>
      <c r="N740" t="s">
        <v>758</v>
      </c>
      <c r="O740" t="s">
        <v>148</v>
      </c>
      <c r="P740">
        <v>20906</v>
      </c>
      <c r="Q740">
        <v>1342</v>
      </c>
      <c r="R740" t="s">
        <v>23</v>
      </c>
      <c r="S740" s="1" t="s">
        <v>34218</v>
      </c>
    </row>
    <row r="741" spans="1:19" x14ac:dyDescent="0.25">
      <c r="A741">
        <v>101115223</v>
      </c>
      <c r="B741" t="s">
        <v>744</v>
      </c>
      <c r="C741" t="s">
        <v>522</v>
      </c>
      <c r="F741" t="str">
        <f>"2568448980"</f>
        <v>2568448980</v>
      </c>
      <c r="G741" t="s">
        <v>2455</v>
      </c>
      <c r="H741" t="s">
        <v>2456</v>
      </c>
      <c r="I741" t="s">
        <v>1387</v>
      </c>
      <c r="J741">
        <v>35967</v>
      </c>
      <c r="K741">
        <v>1974</v>
      </c>
      <c r="L741" t="s">
        <v>23</v>
      </c>
      <c r="M741" t="s">
        <v>2455</v>
      </c>
      <c r="N741" t="s">
        <v>2456</v>
      </c>
      <c r="O741" t="s">
        <v>1387</v>
      </c>
      <c r="P741">
        <v>35967</v>
      </c>
      <c r="Q741">
        <v>1974</v>
      </c>
      <c r="R741" t="s">
        <v>23</v>
      </c>
      <c r="S741" s="1" t="s">
        <v>34218</v>
      </c>
    </row>
    <row r="742" spans="1:19" x14ac:dyDescent="0.25">
      <c r="A742">
        <v>101369061</v>
      </c>
      <c r="B742" t="s">
        <v>2457</v>
      </c>
      <c r="C742" t="s">
        <v>440</v>
      </c>
      <c r="F742" t="str">
        <f>"2125551212"</f>
        <v>2125551212</v>
      </c>
      <c r="G742" t="s">
        <v>2458</v>
      </c>
      <c r="H742" t="s">
        <v>412</v>
      </c>
      <c r="I742" t="s">
        <v>117</v>
      </c>
      <c r="J742">
        <v>11218</v>
      </c>
      <c r="K742">
        <v>1829</v>
      </c>
      <c r="L742" t="s">
        <v>23</v>
      </c>
      <c r="M742" t="s">
        <v>2458</v>
      </c>
      <c r="N742" t="s">
        <v>412</v>
      </c>
      <c r="O742" t="s">
        <v>117</v>
      </c>
      <c r="P742">
        <v>11218</v>
      </c>
      <c r="Q742">
        <v>1829</v>
      </c>
      <c r="R742" t="s">
        <v>23</v>
      </c>
      <c r="S742" s="1" t="s">
        <v>34218</v>
      </c>
    </row>
    <row r="743" spans="1:19" x14ac:dyDescent="0.25">
      <c r="A743">
        <v>101364088</v>
      </c>
      <c r="B743" t="s">
        <v>2459</v>
      </c>
      <c r="C743" t="s">
        <v>1506</v>
      </c>
      <c r="F743" t="str">
        <f>"9087192577"</f>
        <v>9087192577</v>
      </c>
      <c r="G743" t="s">
        <v>2460</v>
      </c>
      <c r="H743" t="s">
        <v>2461</v>
      </c>
      <c r="I743" t="s">
        <v>250</v>
      </c>
      <c r="J743">
        <v>7921</v>
      </c>
      <c r="K743">
        <v>2116</v>
      </c>
      <c r="L743" t="s">
        <v>23</v>
      </c>
      <c r="M743" t="s">
        <v>2460</v>
      </c>
      <c r="N743" t="s">
        <v>2461</v>
      </c>
      <c r="O743" t="s">
        <v>250</v>
      </c>
      <c r="P743">
        <v>7921</v>
      </c>
      <c r="Q743">
        <v>2116</v>
      </c>
      <c r="R743" t="s">
        <v>23</v>
      </c>
      <c r="S743" s="1" t="s">
        <v>34218</v>
      </c>
    </row>
    <row r="744" spans="1:19" x14ac:dyDescent="0.25">
      <c r="A744">
        <v>101297256</v>
      </c>
      <c r="B744" t="s">
        <v>2462</v>
      </c>
      <c r="C744" t="s">
        <v>2463</v>
      </c>
      <c r="F744" t="str">
        <f>"4083909787"</f>
        <v>4083909787</v>
      </c>
      <c r="G744" t="s">
        <v>2464</v>
      </c>
      <c r="H744" t="s">
        <v>2069</v>
      </c>
      <c r="I744" t="s">
        <v>22</v>
      </c>
      <c r="J744">
        <v>95472</v>
      </c>
      <c r="K744">
        <v>3146</v>
      </c>
      <c r="L744" t="s">
        <v>23</v>
      </c>
      <c r="M744" t="s">
        <v>2464</v>
      </c>
      <c r="N744" t="s">
        <v>2069</v>
      </c>
      <c r="O744" t="s">
        <v>22</v>
      </c>
      <c r="P744">
        <v>95472</v>
      </c>
      <c r="Q744">
        <v>3146</v>
      </c>
      <c r="R744" t="s">
        <v>23</v>
      </c>
      <c r="S744" s="1" t="s">
        <v>34218</v>
      </c>
    </row>
    <row r="745" spans="1:19" x14ac:dyDescent="0.25">
      <c r="A745">
        <v>100997349</v>
      </c>
      <c r="B745" t="s">
        <v>2465</v>
      </c>
      <c r="C745" t="s">
        <v>2466</v>
      </c>
      <c r="F745" t="str">
        <f>"7604149607"</f>
        <v>7604149607</v>
      </c>
      <c r="G745" t="s">
        <v>2467</v>
      </c>
      <c r="H745" t="s">
        <v>2468</v>
      </c>
      <c r="I745" t="s">
        <v>22</v>
      </c>
      <c r="J745">
        <v>92083</v>
      </c>
      <c r="K745">
        <v>4002</v>
      </c>
      <c r="L745" t="s">
        <v>23</v>
      </c>
      <c r="M745" t="s">
        <v>2467</v>
      </c>
      <c r="N745" t="s">
        <v>2468</v>
      </c>
      <c r="O745" t="s">
        <v>22</v>
      </c>
      <c r="P745">
        <v>92083</v>
      </c>
      <c r="Q745">
        <v>4002</v>
      </c>
      <c r="R745" t="s">
        <v>23</v>
      </c>
      <c r="S745" s="1" t="s">
        <v>34218</v>
      </c>
    </row>
    <row r="746" spans="1:19" x14ac:dyDescent="0.25">
      <c r="A746">
        <v>101007982</v>
      </c>
      <c r="B746" t="s">
        <v>2469</v>
      </c>
      <c r="C746" t="s">
        <v>90</v>
      </c>
      <c r="F746" t="str">
        <f>"8315555555"</f>
        <v>8315555555</v>
      </c>
      <c r="G746" t="s">
        <v>2470</v>
      </c>
      <c r="H746" t="s">
        <v>1293</v>
      </c>
      <c r="I746" t="s">
        <v>22</v>
      </c>
      <c r="J746">
        <v>95062</v>
      </c>
      <c r="K746">
        <v>3436</v>
      </c>
      <c r="L746" t="s">
        <v>23</v>
      </c>
      <c r="M746" t="s">
        <v>2470</v>
      </c>
      <c r="N746" t="s">
        <v>1293</v>
      </c>
      <c r="O746" t="s">
        <v>22</v>
      </c>
      <c r="P746">
        <v>95062</v>
      </c>
      <c r="Q746">
        <v>3436</v>
      </c>
      <c r="R746" t="s">
        <v>23</v>
      </c>
      <c r="S746" s="1" t="s">
        <v>34218</v>
      </c>
    </row>
    <row r="747" spans="1:19" x14ac:dyDescent="0.25">
      <c r="A747">
        <v>101212000</v>
      </c>
      <c r="B747" t="s">
        <v>2471</v>
      </c>
      <c r="C747" t="s">
        <v>25</v>
      </c>
      <c r="F747" t="str">
        <f>"4402385410"</f>
        <v>4402385410</v>
      </c>
      <c r="G747" t="s">
        <v>2472</v>
      </c>
      <c r="H747" t="s">
        <v>2473</v>
      </c>
      <c r="I747" t="s">
        <v>178</v>
      </c>
      <c r="J747">
        <v>44149</v>
      </c>
      <c r="K747">
        <v>3922</v>
      </c>
      <c r="L747" t="s">
        <v>23</v>
      </c>
      <c r="M747" t="s">
        <v>2472</v>
      </c>
      <c r="N747" t="s">
        <v>2473</v>
      </c>
      <c r="O747" t="s">
        <v>178</v>
      </c>
      <c r="P747">
        <v>44149</v>
      </c>
      <c r="Q747">
        <v>3922</v>
      </c>
      <c r="R747" t="s">
        <v>23</v>
      </c>
      <c r="S747" s="1" t="s">
        <v>34218</v>
      </c>
    </row>
    <row r="748" spans="1:19" x14ac:dyDescent="0.25">
      <c r="A748">
        <v>101144331</v>
      </c>
      <c r="B748" t="s">
        <v>2474</v>
      </c>
      <c r="C748" t="s">
        <v>2151</v>
      </c>
      <c r="F748" t="str">
        <f>"4407252666"</f>
        <v>4407252666</v>
      </c>
      <c r="G748" t="s">
        <v>2475</v>
      </c>
      <c r="H748" t="s">
        <v>2476</v>
      </c>
      <c r="I748" t="s">
        <v>178</v>
      </c>
      <c r="J748">
        <v>44060</v>
      </c>
      <c r="K748">
        <v>4409</v>
      </c>
      <c r="L748" t="s">
        <v>23</v>
      </c>
      <c r="M748" t="s">
        <v>2475</v>
      </c>
      <c r="N748" t="s">
        <v>2476</v>
      </c>
      <c r="O748" t="s">
        <v>178</v>
      </c>
      <c r="P748">
        <v>44060</v>
      </c>
      <c r="Q748">
        <v>4409</v>
      </c>
      <c r="R748" t="s">
        <v>23</v>
      </c>
      <c r="S748" s="1" t="s">
        <v>34218</v>
      </c>
    </row>
    <row r="749" spans="1:19" x14ac:dyDescent="0.25">
      <c r="A749">
        <v>101416651</v>
      </c>
      <c r="B749" t="s">
        <v>2477</v>
      </c>
      <c r="C749" t="s">
        <v>1773</v>
      </c>
      <c r="F749" t="str">
        <f>"3037465735"</f>
        <v>3037465735</v>
      </c>
      <c r="G749" t="s">
        <v>2478</v>
      </c>
      <c r="H749" t="s">
        <v>393</v>
      </c>
      <c r="I749" t="s">
        <v>71</v>
      </c>
      <c r="J749">
        <v>80231</v>
      </c>
      <c r="K749">
        <v>4731</v>
      </c>
      <c r="L749" t="s">
        <v>23</v>
      </c>
      <c r="M749" t="s">
        <v>2478</v>
      </c>
      <c r="N749" t="s">
        <v>393</v>
      </c>
      <c r="O749" t="s">
        <v>71</v>
      </c>
      <c r="P749">
        <v>80231</v>
      </c>
      <c r="Q749">
        <v>4731</v>
      </c>
      <c r="R749" t="s">
        <v>23</v>
      </c>
      <c r="S749" s="1" t="s">
        <v>34218</v>
      </c>
    </row>
    <row r="750" spans="1:19" x14ac:dyDescent="0.25">
      <c r="A750">
        <v>101218999</v>
      </c>
      <c r="B750" t="s">
        <v>2479</v>
      </c>
      <c r="C750" t="s">
        <v>707</v>
      </c>
      <c r="F750" t="str">
        <f>"6034231221"</f>
        <v>6034231221</v>
      </c>
      <c r="G750" t="s">
        <v>2480</v>
      </c>
      <c r="H750" t="s">
        <v>2481</v>
      </c>
      <c r="I750" t="s">
        <v>353</v>
      </c>
      <c r="J750">
        <v>3054</v>
      </c>
      <c r="K750">
        <v>2751</v>
      </c>
      <c r="L750" t="s">
        <v>23</v>
      </c>
      <c r="M750" t="s">
        <v>2480</v>
      </c>
      <c r="N750" t="s">
        <v>2481</v>
      </c>
      <c r="O750" t="s">
        <v>353</v>
      </c>
      <c r="P750">
        <v>3054</v>
      </c>
      <c r="Q750">
        <v>2751</v>
      </c>
      <c r="R750" t="s">
        <v>23</v>
      </c>
      <c r="S750" s="1" t="s">
        <v>34218</v>
      </c>
    </row>
    <row r="751" spans="1:19" x14ac:dyDescent="0.25">
      <c r="A751">
        <v>100918555</v>
      </c>
      <c r="B751" t="s">
        <v>2482</v>
      </c>
      <c r="C751" t="s">
        <v>90</v>
      </c>
      <c r="F751" t="str">
        <f>"6198769112"</f>
        <v>6198769112</v>
      </c>
      <c r="G751" t="s">
        <v>2483</v>
      </c>
      <c r="H751" t="s">
        <v>2468</v>
      </c>
      <c r="I751" t="s">
        <v>22</v>
      </c>
      <c r="J751">
        <v>92081</v>
      </c>
      <c r="K751">
        <v>6840</v>
      </c>
      <c r="L751" t="s">
        <v>23</v>
      </c>
      <c r="M751" t="s">
        <v>2483</v>
      </c>
      <c r="N751" t="s">
        <v>2468</v>
      </c>
      <c r="O751" t="s">
        <v>22</v>
      </c>
      <c r="P751">
        <v>92081</v>
      </c>
      <c r="Q751">
        <v>6840</v>
      </c>
      <c r="R751" t="s">
        <v>23</v>
      </c>
      <c r="S751" s="1" t="s">
        <v>34218</v>
      </c>
    </row>
    <row r="752" spans="1:19" x14ac:dyDescent="0.25">
      <c r="A752">
        <v>101013399</v>
      </c>
      <c r="B752" t="s">
        <v>2484</v>
      </c>
      <c r="C752" t="s">
        <v>509</v>
      </c>
      <c r="F752" t="str">
        <f>"4048251069"</f>
        <v>4048251069</v>
      </c>
      <c r="G752" t="s">
        <v>2485</v>
      </c>
      <c r="H752" t="s">
        <v>264</v>
      </c>
      <c r="I752" t="s">
        <v>117</v>
      </c>
      <c r="J752">
        <v>14850</v>
      </c>
      <c r="K752">
        <v>2424</v>
      </c>
      <c r="L752" t="s">
        <v>23</v>
      </c>
      <c r="M752" t="s">
        <v>2485</v>
      </c>
      <c r="N752" t="s">
        <v>264</v>
      </c>
      <c r="O752" t="s">
        <v>117</v>
      </c>
      <c r="P752">
        <v>14850</v>
      </c>
      <c r="Q752">
        <v>2424</v>
      </c>
      <c r="R752" t="s">
        <v>23</v>
      </c>
      <c r="S752" s="1" t="s">
        <v>34218</v>
      </c>
    </row>
    <row r="753" spans="1:19" x14ac:dyDescent="0.25">
      <c r="A753">
        <v>101085856</v>
      </c>
      <c r="B753" t="s">
        <v>2486</v>
      </c>
      <c r="C753" t="s">
        <v>2487</v>
      </c>
      <c r="F753" t="str">
        <f>"2055422816"</f>
        <v>2055422816</v>
      </c>
      <c r="G753" t="s">
        <v>2488</v>
      </c>
      <c r="H753" t="s">
        <v>1396</v>
      </c>
      <c r="I753" t="s">
        <v>1387</v>
      </c>
      <c r="J753">
        <v>36830</v>
      </c>
      <c r="K753">
        <v>5020</v>
      </c>
      <c r="L753" t="s">
        <v>23</v>
      </c>
      <c r="M753" t="s">
        <v>2488</v>
      </c>
      <c r="N753" t="s">
        <v>1396</v>
      </c>
      <c r="O753" t="s">
        <v>1387</v>
      </c>
      <c r="P753">
        <v>36830</v>
      </c>
      <c r="Q753">
        <v>5020</v>
      </c>
      <c r="R753" t="s">
        <v>23</v>
      </c>
      <c r="S753" s="1" t="s">
        <v>34218</v>
      </c>
    </row>
    <row r="754" spans="1:19" x14ac:dyDescent="0.25">
      <c r="A754">
        <v>101232253</v>
      </c>
      <c r="B754" t="s">
        <v>2489</v>
      </c>
      <c r="C754" t="s">
        <v>2490</v>
      </c>
      <c r="F754" t="str">
        <f>"4806788711"</f>
        <v>4806788711</v>
      </c>
      <c r="G754" t="s">
        <v>2491</v>
      </c>
      <c r="H754" t="s">
        <v>682</v>
      </c>
      <c r="I754" t="s">
        <v>365</v>
      </c>
      <c r="J754">
        <v>85042</v>
      </c>
      <c r="K754">
        <v>7257</v>
      </c>
      <c r="L754" t="s">
        <v>23</v>
      </c>
      <c r="M754" t="s">
        <v>2491</v>
      </c>
      <c r="N754" t="s">
        <v>682</v>
      </c>
      <c r="O754" t="s">
        <v>365</v>
      </c>
      <c r="P754">
        <v>85042</v>
      </c>
      <c r="Q754">
        <v>7257</v>
      </c>
      <c r="R754" t="s">
        <v>23</v>
      </c>
      <c r="S754" s="1" t="s">
        <v>34218</v>
      </c>
    </row>
    <row r="755" spans="1:19" x14ac:dyDescent="0.25">
      <c r="A755">
        <v>101236719</v>
      </c>
      <c r="B755" t="s">
        <v>800</v>
      </c>
      <c r="C755" t="s">
        <v>90</v>
      </c>
      <c r="F755" t="str">
        <f>"9494995783"</f>
        <v>9494995783</v>
      </c>
      <c r="G755" t="s">
        <v>2492</v>
      </c>
      <c r="H755" t="s">
        <v>434</v>
      </c>
      <c r="I755" t="s">
        <v>22</v>
      </c>
      <c r="J755">
        <v>92651</v>
      </c>
      <c r="K755">
        <v>6938</v>
      </c>
      <c r="L755" t="s">
        <v>23</v>
      </c>
      <c r="M755" t="s">
        <v>2492</v>
      </c>
      <c r="N755" t="s">
        <v>434</v>
      </c>
      <c r="O755" t="s">
        <v>22</v>
      </c>
      <c r="P755">
        <v>92651</v>
      </c>
      <c r="Q755">
        <v>6938</v>
      </c>
      <c r="R755" t="s">
        <v>23</v>
      </c>
      <c r="S755" s="1" t="s">
        <v>34218</v>
      </c>
    </row>
    <row r="756" spans="1:19" x14ac:dyDescent="0.25">
      <c r="A756">
        <v>101234191</v>
      </c>
      <c r="B756" t="s">
        <v>2493</v>
      </c>
      <c r="C756" t="s">
        <v>200</v>
      </c>
      <c r="F756" t="str">
        <f>"7402961455"</f>
        <v>7402961455</v>
      </c>
      <c r="G756" t="s">
        <v>2494</v>
      </c>
      <c r="H756" t="s">
        <v>2495</v>
      </c>
      <c r="I756" t="s">
        <v>178</v>
      </c>
      <c r="J756">
        <v>43964</v>
      </c>
      <c r="K756">
        <v>248</v>
      </c>
      <c r="L756" t="s">
        <v>23</v>
      </c>
      <c r="M756" t="s">
        <v>2494</v>
      </c>
      <c r="N756" t="s">
        <v>2495</v>
      </c>
      <c r="O756" t="s">
        <v>178</v>
      </c>
      <c r="P756">
        <v>43964</v>
      </c>
      <c r="Q756">
        <v>248</v>
      </c>
      <c r="R756" t="s">
        <v>23</v>
      </c>
      <c r="S756" s="1" t="s">
        <v>34218</v>
      </c>
    </row>
    <row r="757" spans="1:19" x14ac:dyDescent="0.25">
      <c r="A757">
        <v>101249288</v>
      </c>
      <c r="B757" t="s">
        <v>2496</v>
      </c>
      <c r="C757" t="s">
        <v>2497</v>
      </c>
      <c r="F757" t="str">
        <f>"4154357724"</f>
        <v>4154357724</v>
      </c>
      <c r="G757" t="s">
        <v>2498</v>
      </c>
      <c r="H757" t="s">
        <v>2499</v>
      </c>
      <c r="I757" t="s">
        <v>22</v>
      </c>
      <c r="J757">
        <v>94920</v>
      </c>
      <c r="K757">
        <v>2010</v>
      </c>
      <c r="L757" t="s">
        <v>23</v>
      </c>
      <c r="M757" t="s">
        <v>2498</v>
      </c>
      <c r="N757" t="s">
        <v>2499</v>
      </c>
      <c r="O757" t="s">
        <v>22</v>
      </c>
      <c r="P757">
        <v>94920</v>
      </c>
      <c r="Q757">
        <v>2010</v>
      </c>
      <c r="R757" t="s">
        <v>23</v>
      </c>
      <c r="S757" s="1" t="s">
        <v>34218</v>
      </c>
    </row>
    <row r="758" spans="1:19" x14ac:dyDescent="0.25">
      <c r="A758">
        <v>100527851</v>
      </c>
      <c r="B758" t="s">
        <v>744</v>
      </c>
      <c r="C758" t="s">
        <v>2151</v>
      </c>
      <c r="F758" t="str">
        <f>"5089948579"</f>
        <v>5089948579</v>
      </c>
      <c r="G758" t="s">
        <v>2500</v>
      </c>
      <c r="H758" t="s">
        <v>2501</v>
      </c>
      <c r="I758" t="s">
        <v>236</v>
      </c>
      <c r="J758" t="s">
        <v>2502</v>
      </c>
      <c r="K758">
        <v>1210</v>
      </c>
      <c r="L758" t="s">
        <v>23</v>
      </c>
      <c r="M758" t="s">
        <v>2500</v>
      </c>
      <c r="N758" t="s">
        <v>2501</v>
      </c>
      <c r="O758" t="s">
        <v>236</v>
      </c>
      <c r="P758" t="s">
        <v>2502</v>
      </c>
      <c r="Q758">
        <v>1210</v>
      </c>
      <c r="R758" t="s">
        <v>23</v>
      </c>
      <c r="S758" s="1" t="s">
        <v>34218</v>
      </c>
    </row>
    <row r="759" spans="1:19" x14ac:dyDescent="0.25">
      <c r="A759">
        <v>101299948</v>
      </c>
      <c r="B759" t="s">
        <v>2503</v>
      </c>
      <c r="C759" t="s">
        <v>25</v>
      </c>
      <c r="F759" t="str">
        <f>"4073247166"</f>
        <v>4073247166</v>
      </c>
      <c r="G759" t="s">
        <v>2504</v>
      </c>
      <c r="H759" t="s">
        <v>2505</v>
      </c>
      <c r="I759" t="s">
        <v>52</v>
      </c>
      <c r="J759">
        <v>32746</v>
      </c>
      <c r="L759" t="s">
        <v>23</v>
      </c>
      <c r="M759" t="s">
        <v>2504</v>
      </c>
      <c r="N759" t="s">
        <v>2505</v>
      </c>
      <c r="O759" t="s">
        <v>52</v>
      </c>
      <c r="P759">
        <v>32746</v>
      </c>
      <c r="R759" t="s">
        <v>23</v>
      </c>
      <c r="S759" s="1" t="s">
        <v>34218</v>
      </c>
    </row>
    <row r="760" spans="1:19" x14ac:dyDescent="0.25">
      <c r="A760">
        <v>101347987</v>
      </c>
      <c r="B760" t="s">
        <v>1164</v>
      </c>
      <c r="C760" t="s">
        <v>2506</v>
      </c>
      <c r="F760" t="str">
        <f>"6506694860"</f>
        <v>6506694860</v>
      </c>
      <c r="G760" t="s">
        <v>2507</v>
      </c>
      <c r="H760" t="s">
        <v>481</v>
      </c>
      <c r="I760" t="s">
        <v>22</v>
      </c>
      <c r="J760" t="s">
        <v>2508</v>
      </c>
      <c r="K760">
        <v>5006</v>
      </c>
      <c r="L760" t="s">
        <v>23</v>
      </c>
      <c r="M760" t="s">
        <v>2507</v>
      </c>
      <c r="N760" t="s">
        <v>481</v>
      </c>
      <c r="O760" t="s">
        <v>22</v>
      </c>
      <c r="P760" t="s">
        <v>2508</v>
      </c>
      <c r="Q760">
        <v>5006</v>
      </c>
      <c r="R760" t="s">
        <v>23</v>
      </c>
      <c r="S760" s="1" t="s">
        <v>34218</v>
      </c>
    </row>
    <row r="761" spans="1:19" x14ac:dyDescent="0.25">
      <c r="A761">
        <v>101312225</v>
      </c>
      <c r="B761" t="s">
        <v>2509</v>
      </c>
      <c r="C761" t="s">
        <v>644</v>
      </c>
      <c r="F761" t="str">
        <f>"4803639354"</f>
        <v>4803639354</v>
      </c>
      <c r="G761" t="s">
        <v>2510</v>
      </c>
      <c r="H761" t="s">
        <v>625</v>
      </c>
      <c r="I761" t="s">
        <v>365</v>
      </c>
      <c r="J761">
        <v>85208</v>
      </c>
      <c r="K761">
        <v>5638</v>
      </c>
      <c r="L761" t="s">
        <v>23</v>
      </c>
      <c r="M761" t="s">
        <v>2510</v>
      </c>
      <c r="N761" t="s">
        <v>625</v>
      </c>
      <c r="O761" t="s">
        <v>365</v>
      </c>
      <c r="P761">
        <v>85208</v>
      </c>
      <c r="Q761">
        <v>5638</v>
      </c>
      <c r="R761" t="s">
        <v>23</v>
      </c>
      <c r="S761" s="1" t="s">
        <v>34218</v>
      </c>
    </row>
    <row r="762" spans="1:19" x14ac:dyDescent="0.25">
      <c r="A762">
        <v>100937711</v>
      </c>
      <c r="B762" t="s">
        <v>654</v>
      </c>
      <c r="C762" t="s">
        <v>699</v>
      </c>
      <c r="F762" t="str">
        <f>"4103201531"</f>
        <v>4103201531</v>
      </c>
      <c r="G762" t="s">
        <v>2511</v>
      </c>
      <c r="H762" t="s">
        <v>2050</v>
      </c>
      <c r="I762" t="s">
        <v>148</v>
      </c>
      <c r="J762">
        <v>21921</v>
      </c>
      <c r="K762">
        <v>2403</v>
      </c>
      <c r="L762" t="s">
        <v>23</v>
      </c>
      <c r="M762" t="s">
        <v>2511</v>
      </c>
      <c r="N762" t="s">
        <v>2050</v>
      </c>
      <c r="O762" t="s">
        <v>148</v>
      </c>
      <c r="P762">
        <v>21921</v>
      </c>
      <c r="Q762">
        <v>2403</v>
      </c>
      <c r="R762" t="s">
        <v>23</v>
      </c>
      <c r="S762" s="1" t="s">
        <v>34218</v>
      </c>
    </row>
    <row r="763" spans="1:19" x14ac:dyDescent="0.25">
      <c r="A763">
        <v>101064616</v>
      </c>
      <c r="B763" t="s">
        <v>880</v>
      </c>
      <c r="C763" t="s">
        <v>2512</v>
      </c>
      <c r="F763" t="str">
        <f>"4163230770"</f>
        <v>4163230770</v>
      </c>
      <c r="G763" t="s">
        <v>2513</v>
      </c>
      <c r="H763" t="s">
        <v>2514</v>
      </c>
      <c r="I763" t="s">
        <v>236</v>
      </c>
      <c r="J763">
        <v>2116</v>
      </c>
      <c r="K763">
        <v>1660</v>
      </c>
      <c r="L763" t="s">
        <v>23</v>
      </c>
      <c r="M763" t="s">
        <v>2513</v>
      </c>
      <c r="N763" t="s">
        <v>2514</v>
      </c>
      <c r="O763" t="s">
        <v>236</v>
      </c>
      <c r="P763">
        <v>2116</v>
      </c>
      <c r="Q763">
        <v>1660</v>
      </c>
      <c r="R763" t="s">
        <v>23</v>
      </c>
      <c r="S763" s="1" t="s">
        <v>34218</v>
      </c>
    </row>
    <row r="764" spans="1:19" x14ac:dyDescent="0.25">
      <c r="A764">
        <v>101046131</v>
      </c>
      <c r="B764" t="s">
        <v>793</v>
      </c>
      <c r="C764" t="s">
        <v>2515</v>
      </c>
      <c r="F764" t="str">
        <f>"2127410376"</f>
        <v>2127410376</v>
      </c>
      <c r="G764" t="s">
        <v>2516</v>
      </c>
      <c r="H764" t="s">
        <v>653</v>
      </c>
      <c r="I764" t="s">
        <v>117</v>
      </c>
      <c r="J764">
        <v>10011</v>
      </c>
      <c r="K764">
        <v>5913</v>
      </c>
      <c r="L764" t="s">
        <v>23</v>
      </c>
      <c r="M764" t="s">
        <v>2516</v>
      </c>
      <c r="N764" t="s">
        <v>653</v>
      </c>
      <c r="O764" t="s">
        <v>117</v>
      </c>
      <c r="P764">
        <v>10011</v>
      </c>
      <c r="Q764">
        <v>5913</v>
      </c>
      <c r="R764" t="s">
        <v>23</v>
      </c>
      <c r="S764" s="1" t="s">
        <v>34218</v>
      </c>
    </row>
    <row r="765" spans="1:19" x14ac:dyDescent="0.25">
      <c r="A765">
        <v>101367750</v>
      </c>
      <c r="B765" t="s">
        <v>2517</v>
      </c>
      <c r="C765" t="s">
        <v>2518</v>
      </c>
      <c r="F765" t="str">
        <f>"5713324485"</f>
        <v>5713324485</v>
      </c>
      <c r="G765" t="s">
        <v>2519</v>
      </c>
      <c r="H765" t="s">
        <v>2520</v>
      </c>
      <c r="I765" t="s">
        <v>255</v>
      </c>
      <c r="J765">
        <v>20147</v>
      </c>
      <c r="K765">
        <v>2788</v>
      </c>
      <c r="L765" t="s">
        <v>23</v>
      </c>
      <c r="M765" t="s">
        <v>2519</v>
      </c>
      <c r="N765" t="s">
        <v>2520</v>
      </c>
      <c r="O765" t="s">
        <v>255</v>
      </c>
      <c r="P765">
        <v>20147</v>
      </c>
      <c r="Q765">
        <v>2788</v>
      </c>
      <c r="R765" t="s">
        <v>23</v>
      </c>
      <c r="S765" s="1" t="s">
        <v>34218</v>
      </c>
    </row>
    <row r="766" spans="1:19" x14ac:dyDescent="0.25">
      <c r="A766">
        <v>100731728</v>
      </c>
      <c r="B766" t="s">
        <v>2521</v>
      </c>
      <c r="C766" t="s">
        <v>167</v>
      </c>
      <c r="F766" t="str">
        <f>"8022517402"</f>
        <v>8022517402</v>
      </c>
      <c r="G766" t="s">
        <v>2522</v>
      </c>
      <c r="H766" t="s">
        <v>2523</v>
      </c>
      <c r="I766" t="s">
        <v>307</v>
      </c>
      <c r="J766" t="s">
        <v>2524</v>
      </c>
      <c r="K766">
        <v>8395</v>
      </c>
      <c r="L766" t="s">
        <v>23</v>
      </c>
      <c r="M766" t="s">
        <v>2522</v>
      </c>
      <c r="N766" t="s">
        <v>2523</v>
      </c>
      <c r="O766" t="s">
        <v>307</v>
      </c>
      <c r="P766" t="s">
        <v>2524</v>
      </c>
      <c r="Q766">
        <v>8395</v>
      </c>
      <c r="R766" t="s">
        <v>23</v>
      </c>
      <c r="S766" s="1" t="s">
        <v>34218</v>
      </c>
    </row>
    <row r="767" spans="1:19" x14ac:dyDescent="0.25">
      <c r="A767">
        <v>101351491</v>
      </c>
      <c r="B767" t="s">
        <v>2525</v>
      </c>
      <c r="C767" t="s">
        <v>2526</v>
      </c>
      <c r="F767" t="str">
        <f>"7346576536"</f>
        <v>7346576536</v>
      </c>
      <c r="G767" t="s">
        <v>2527</v>
      </c>
      <c r="H767" t="s">
        <v>976</v>
      </c>
      <c r="I767" t="s">
        <v>140</v>
      </c>
      <c r="J767">
        <v>48103</v>
      </c>
      <c r="K767">
        <v>2430</v>
      </c>
      <c r="L767" t="s">
        <v>23</v>
      </c>
      <c r="M767" t="s">
        <v>2527</v>
      </c>
      <c r="N767" t="s">
        <v>976</v>
      </c>
      <c r="O767" t="s">
        <v>140</v>
      </c>
      <c r="P767">
        <v>48103</v>
      </c>
      <c r="Q767">
        <v>2430</v>
      </c>
      <c r="R767" t="s">
        <v>23</v>
      </c>
      <c r="S767" s="1" t="s">
        <v>34218</v>
      </c>
    </row>
    <row r="768" spans="1:19" x14ac:dyDescent="0.25">
      <c r="A768">
        <v>101360994</v>
      </c>
      <c r="B768" t="s">
        <v>2528</v>
      </c>
      <c r="C768" t="s">
        <v>579</v>
      </c>
      <c r="F768" t="str">
        <f>"7816652469"</f>
        <v>7816652469</v>
      </c>
      <c r="G768" t="s">
        <v>2529</v>
      </c>
      <c r="H768" t="s">
        <v>2530</v>
      </c>
      <c r="I768" t="s">
        <v>236</v>
      </c>
      <c r="J768">
        <v>2176</v>
      </c>
      <c r="K768">
        <v>2650</v>
      </c>
      <c r="L768" t="s">
        <v>23</v>
      </c>
      <c r="M768" t="s">
        <v>2529</v>
      </c>
      <c r="N768" t="s">
        <v>2530</v>
      </c>
      <c r="O768" t="s">
        <v>236</v>
      </c>
      <c r="P768">
        <v>2176</v>
      </c>
      <c r="Q768">
        <v>2650</v>
      </c>
      <c r="R768" t="s">
        <v>23</v>
      </c>
      <c r="S768" s="1" t="s">
        <v>34218</v>
      </c>
    </row>
    <row r="769" spans="1:19" x14ac:dyDescent="0.25">
      <c r="A769">
        <v>101298663</v>
      </c>
      <c r="B769" t="s">
        <v>2531</v>
      </c>
      <c r="C769" t="s">
        <v>2532</v>
      </c>
      <c r="F769" t="str">
        <f>"6177749216"</f>
        <v>6177749216</v>
      </c>
      <c r="G769" t="s">
        <v>2533</v>
      </c>
      <c r="H769" t="s">
        <v>892</v>
      </c>
      <c r="I769" t="s">
        <v>236</v>
      </c>
      <c r="J769">
        <v>2170</v>
      </c>
      <c r="K769">
        <v>3328</v>
      </c>
      <c r="L769" t="s">
        <v>23</v>
      </c>
      <c r="M769" t="s">
        <v>2533</v>
      </c>
      <c r="N769" t="s">
        <v>892</v>
      </c>
      <c r="O769" t="s">
        <v>236</v>
      </c>
      <c r="P769">
        <v>2170</v>
      </c>
      <c r="Q769">
        <v>3328</v>
      </c>
      <c r="R769" t="s">
        <v>23</v>
      </c>
      <c r="S769" s="1" t="s">
        <v>34218</v>
      </c>
    </row>
    <row r="770" spans="1:19" x14ac:dyDescent="0.25">
      <c r="A770">
        <v>101008266</v>
      </c>
      <c r="B770" t="s">
        <v>2457</v>
      </c>
      <c r="C770" t="s">
        <v>1161</v>
      </c>
      <c r="F770" t="str">
        <f>"3104559389"</f>
        <v>3104559389</v>
      </c>
      <c r="G770" t="s">
        <v>2534</v>
      </c>
      <c r="H770" t="s">
        <v>713</v>
      </c>
      <c r="I770" t="s">
        <v>22</v>
      </c>
      <c r="J770">
        <v>90290</v>
      </c>
      <c r="K770">
        <v>3920</v>
      </c>
      <c r="L770" t="s">
        <v>23</v>
      </c>
      <c r="M770" t="s">
        <v>2534</v>
      </c>
      <c r="N770" t="s">
        <v>713</v>
      </c>
      <c r="O770" t="s">
        <v>22</v>
      </c>
      <c r="P770">
        <v>90290</v>
      </c>
      <c r="Q770">
        <v>3920</v>
      </c>
      <c r="R770" t="s">
        <v>23</v>
      </c>
      <c r="S770" s="1" t="s">
        <v>34218</v>
      </c>
    </row>
    <row r="771" spans="1:19" x14ac:dyDescent="0.25">
      <c r="A771">
        <v>100914792</v>
      </c>
      <c r="B771" t="s">
        <v>2535</v>
      </c>
      <c r="C771" t="s">
        <v>158</v>
      </c>
      <c r="F771" t="str">
        <f>"5013043157"</f>
        <v>5013043157</v>
      </c>
      <c r="G771">
        <v>13</v>
      </c>
      <c r="H771" t="s">
        <v>2536</v>
      </c>
      <c r="I771" t="s">
        <v>2537</v>
      </c>
      <c r="J771">
        <v>71913</v>
      </c>
      <c r="L771" t="s">
        <v>23</v>
      </c>
      <c r="M771">
        <v>13</v>
      </c>
      <c r="N771" t="s">
        <v>2536</v>
      </c>
      <c r="O771" t="s">
        <v>2537</v>
      </c>
      <c r="P771">
        <v>71913</v>
      </c>
      <c r="R771" t="s">
        <v>23</v>
      </c>
      <c r="S771" s="1" t="s">
        <v>34218</v>
      </c>
    </row>
    <row r="772" spans="1:19" x14ac:dyDescent="0.25">
      <c r="A772">
        <v>101390514</v>
      </c>
      <c r="B772" t="s">
        <v>2538</v>
      </c>
      <c r="C772" t="s">
        <v>440</v>
      </c>
      <c r="F772" t="str">
        <f>"2038540725"</f>
        <v>2038540725</v>
      </c>
      <c r="G772" t="s">
        <v>2539</v>
      </c>
      <c r="H772" t="s">
        <v>2540</v>
      </c>
      <c r="I772" t="s">
        <v>161</v>
      </c>
      <c r="J772">
        <v>6850</v>
      </c>
      <c r="K772">
        <v>2316</v>
      </c>
      <c r="L772" t="s">
        <v>23</v>
      </c>
      <c r="M772" t="s">
        <v>2539</v>
      </c>
      <c r="N772" t="s">
        <v>2540</v>
      </c>
      <c r="O772" t="s">
        <v>161</v>
      </c>
      <c r="P772">
        <v>6850</v>
      </c>
      <c r="Q772">
        <v>2316</v>
      </c>
      <c r="R772" t="s">
        <v>23</v>
      </c>
      <c r="S772" s="1" t="s">
        <v>34218</v>
      </c>
    </row>
    <row r="773" spans="1:19" x14ac:dyDescent="0.25">
      <c r="A773">
        <v>101404317</v>
      </c>
      <c r="B773" t="s">
        <v>2541</v>
      </c>
      <c r="C773" t="s">
        <v>45</v>
      </c>
      <c r="F773" t="str">
        <f>"6122537651"</f>
        <v>6122537651</v>
      </c>
      <c r="G773" t="s">
        <v>2542</v>
      </c>
      <c r="H773" t="s">
        <v>569</v>
      </c>
      <c r="I773" t="s">
        <v>187</v>
      </c>
      <c r="J773">
        <v>55414</v>
      </c>
      <c r="K773">
        <v>3439</v>
      </c>
      <c r="L773" t="s">
        <v>23</v>
      </c>
      <c r="M773" t="s">
        <v>2542</v>
      </c>
      <c r="N773" t="s">
        <v>569</v>
      </c>
      <c r="O773" t="s">
        <v>187</v>
      </c>
      <c r="P773">
        <v>55414</v>
      </c>
      <c r="Q773">
        <v>3439</v>
      </c>
      <c r="R773" t="s">
        <v>23</v>
      </c>
      <c r="S773" s="1" t="s">
        <v>34218</v>
      </c>
    </row>
    <row r="774" spans="1:19" x14ac:dyDescent="0.25">
      <c r="A774">
        <v>101413551</v>
      </c>
      <c r="B774" t="s">
        <v>2543</v>
      </c>
      <c r="C774" t="s">
        <v>718</v>
      </c>
      <c r="F774" t="str">
        <f>"5805913454"</f>
        <v>5805913454</v>
      </c>
      <c r="G774" t="s">
        <v>2544</v>
      </c>
      <c r="H774" t="s">
        <v>2545</v>
      </c>
      <c r="I774" t="s">
        <v>62</v>
      </c>
      <c r="J774">
        <v>73527</v>
      </c>
      <c r="K774">
        <v>701</v>
      </c>
      <c r="L774" t="s">
        <v>23</v>
      </c>
      <c r="M774" t="s">
        <v>2544</v>
      </c>
      <c r="N774" t="s">
        <v>2545</v>
      </c>
      <c r="O774" t="s">
        <v>62</v>
      </c>
      <c r="P774">
        <v>73527</v>
      </c>
      <c r="Q774">
        <v>701</v>
      </c>
      <c r="R774" t="s">
        <v>23</v>
      </c>
      <c r="S774" s="1" t="s">
        <v>34218</v>
      </c>
    </row>
    <row r="775" spans="1:19" x14ac:dyDescent="0.25">
      <c r="A775">
        <v>101321325</v>
      </c>
      <c r="B775" t="s">
        <v>2546</v>
      </c>
      <c r="C775" t="s">
        <v>2547</v>
      </c>
      <c r="F775" t="str">
        <f>"5163797803"</f>
        <v>5163797803</v>
      </c>
      <c r="G775" t="s">
        <v>2548</v>
      </c>
      <c r="H775" t="s">
        <v>2438</v>
      </c>
      <c r="I775" t="s">
        <v>117</v>
      </c>
      <c r="J775">
        <v>11566</v>
      </c>
      <c r="K775">
        <v>2229</v>
      </c>
      <c r="L775" t="s">
        <v>23</v>
      </c>
      <c r="M775" t="s">
        <v>2548</v>
      </c>
      <c r="N775" t="s">
        <v>2438</v>
      </c>
      <c r="O775" t="s">
        <v>117</v>
      </c>
      <c r="P775">
        <v>11566</v>
      </c>
      <c r="Q775">
        <v>2229</v>
      </c>
      <c r="R775" t="s">
        <v>23</v>
      </c>
      <c r="S775" s="1" t="s">
        <v>34218</v>
      </c>
    </row>
    <row r="776" spans="1:19" x14ac:dyDescent="0.25">
      <c r="A776">
        <v>101314352</v>
      </c>
      <c r="B776" t="s">
        <v>1501</v>
      </c>
      <c r="C776" t="s">
        <v>2549</v>
      </c>
      <c r="F776" t="str">
        <f>"2403080668"</f>
        <v>2403080668</v>
      </c>
      <c r="G776" t="s">
        <v>1503</v>
      </c>
      <c r="H776" t="s">
        <v>1504</v>
      </c>
      <c r="I776" t="s">
        <v>148</v>
      </c>
      <c r="J776">
        <v>20871</v>
      </c>
      <c r="K776">
        <v>9623</v>
      </c>
      <c r="L776" t="s">
        <v>23</v>
      </c>
      <c r="M776" t="s">
        <v>1503</v>
      </c>
      <c r="N776" t="s">
        <v>1504</v>
      </c>
      <c r="O776" t="s">
        <v>148</v>
      </c>
      <c r="P776">
        <v>20871</v>
      </c>
      <c r="Q776">
        <v>9623</v>
      </c>
      <c r="R776" t="s">
        <v>23</v>
      </c>
      <c r="S776" s="1" t="s">
        <v>34218</v>
      </c>
    </row>
    <row r="777" spans="1:19" x14ac:dyDescent="0.25">
      <c r="A777">
        <v>101314363</v>
      </c>
      <c r="B777" t="s">
        <v>2550</v>
      </c>
      <c r="C777" t="s">
        <v>123</v>
      </c>
      <c r="F777" t="str">
        <f>"3523949875"</f>
        <v>3523949875</v>
      </c>
      <c r="G777" t="s">
        <v>2551</v>
      </c>
      <c r="H777" t="s">
        <v>2552</v>
      </c>
      <c r="I777" t="s">
        <v>52</v>
      </c>
      <c r="J777">
        <v>34711</v>
      </c>
      <c r="K777">
        <v>9616</v>
      </c>
      <c r="L777" t="s">
        <v>23</v>
      </c>
      <c r="M777" t="s">
        <v>2551</v>
      </c>
      <c r="N777" t="s">
        <v>2552</v>
      </c>
      <c r="O777" t="s">
        <v>52</v>
      </c>
      <c r="P777">
        <v>34711</v>
      </c>
      <c r="Q777">
        <v>9616</v>
      </c>
      <c r="R777" t="s">
        <v>23</v>
      </c>
      <c r="S777" s="1" t="s">
        <v>34218</v>
      </c>
    </row>
    <row r="778" spans="1:19" x14ac:dyDescent="0.25">
      <c r="A778">
        <v>101333561</v>
      </c>
      <c r="B778" t="s">
        <v>2553</v>
      </c>
      <c r="C778" t="s">
        <v>2554</v>
      </c>
      <c r="F778" t="str">
        <f>"4102523566"</f>
        <v>4102523566</v>
      </c>
      <c r="G778" t="s">
        <v>2555</v>
      </c>
      <c r="H778" t="s">
        <v>2556</v>
      </c>
      <c r="I778" t="s">
        <v>148</v>
      </c>
      <c r="J778">
        <v>21093</v>
      </c>
      <c r="K778">
        <v>3031</v>
      </c>
      <c r="L778" t="s">
        <v>23</v>
      </c>
      <c r="M778" t="s">
        <v>2555</v>
      </c>
      <c r="N778" t="s">
        <v>2556</v>
      </c>
      <c r="O778" t="s">
        <v>148</v>
      </c>
      <c r="P778">
        <v>21093</v>
      </c>
      <c r="Q778">
        <v>3031</v>
      </c>
      <c r="R778" t="s">
        <v>23</v>
      </c>
      <c r="S778" s="1" t="s">
        <v>34218</v>
      </c>
    </row>
    <row r="779" spans="1:19" x14ac:dyDescent="0.25">
      <c r="A779">
        <v>101339599</v>
      </c>
      <c r="B779" t="s">
        <v>497</v>
      </c>
      <c r="C779" t="s">
        <v>2557</v>
      </c>
      <c r="F779" t="str">
        <f>"3208942697"</f>
        <v>3208942697</v>
      </c>
      <c r="G779" t="s">
        <v>2558</v>
      </c>
      <c r="H779" t="s">
        <v>2559</v>
      </c>
      <c r="I779" t="s">
        <v>187</v>
      </c>
      <c r="J779">
        <v>55350</v>
      </c>
      <c r="K779">
        <v>2465</v>
      </c>
      <c r="L779" t="s">
        <v>23</v>
      </c>
      <c r="M779" t="s">
        <v>2558</v>
      </c>
      <c r="N779" t="s">
        <v>2559</v>
      </c>
      <c r="O779" t="s">
        <v>187</v>
      </c>
      <c r="P779">
        <v>55350</v>
      </c>
      <c r="Q779">
        <v>2465</v>
      </c>
      <c r="R779" t="s">
        <v>23</v>
      </c>
      <c r="S779" s="1" t="s">
        <v>34218</v>
      </c>
    </row>
    <row r="780" spans="1:19" x14ac:dyDescent="0.25">
      <c r="A780">
        <v>100626573</v>
      </c>
      <c r="B780" t="s">
        <v>2560</v>
      </c>
      <c r="C780" t="s">
        <v>535</v>
      </c>
      <c r="F780" t="str">
        <f>"6168466153"</f>
        <v>6168466153</v>
      </c>
      <c r="G780" t="s">
        <v>2561</v>
      </c>
      <c r="H780" t="s">
        <v>2562</v>
      </c>
      <c r="I780" t="s">
        <v>52</v>
      </c>
      <c r="J780">
        <v>32159</v>
      </c>
      <c r="K780">
        <v>5513</v>
      </c>
      <c r="L780" t="s">
        <v>23</v>
      </c>
      <c r="M780" t="s">
        <v>2561</v>
      </c>
      <c r="N780" t="s">
        <v>2562</v>
      </c>
      <c r="O780" t="s">
        <v>52</v>
      </c>
      <c r="P780">
        <v>32159</v>
      </c>
      <c r="Q780">
        <v>5513</v>
      </c>
      <c r="R780" t="s">
        <v>23</v>
      </c>
      <c r="S780" s="1" t="s">
        <v>34218</v>
      </c>
    </row>
    <row r="781" spans="1:19" x14ac:dyDescent="0.25">
      <c r="A781">
        <v>101192050</v>
      </c>
      <c r="B781" t="s">
        <v>2563</v>
      </c>
      <c r="C781" t="s">
        <v>2564</v>
      </c>
      <c r="F781" t="str">
        <f>"9075868212"</f>
        <v>9075868212</v>
      </c>
      <c r="G781" t="s">
        <v>2565</v>
      </c>
      <c r="H781" t="s">
        <v>1598</v>
      </c>
      <c r="I781" t="s">
        <v>2566</v>
      </c>
      <c r="J781">
        <v>99824</v>
      </c>
      <c r="K781">
        <v>5059</v>
      </c>
      <c r="L781" t="s">
        <v>23</v>
      </c>
      <c r="M781" t="s">
        <v>2565</v>
      </c>
      <c r="N781" t="s">
        <v>1598</v>
      </c>
      <c r="O781" t="s">
        <v>2566</v>
      </c>
      <c r="P781">
        <v>99824</v>
      </c>
      <c r="Q781">
        <v>5059</v>
      </c>
      <c r="R781" t="s">
        <v>23</v>
      </c>
      <c r="S781" s="1" t="s">
        <v>34218</v>
      </c>
    </row>
    <row r="782" spans="1:19" x14ac:dyDescent="0.25">
      <c r="A782">
        <v>101298000</v>
      </c>
      <c r="B782" t="s">
        <v>2567</v>
      </c>
      <c r="C782" t="s">
        <v>2568</v>
      </c>
      <c r="F782" t="str">
        <f>"9179298707"</f>
        <v>9179298707</v>
      </c>
      <c r="G782" t="s">
        <v>2569</v>
      </c>
      <c r="H782" t="s">
        <v>412</v>
      </c>
      <c r="I782" t="s">
        <v>117</v>
      </c>
      <c r="J782">
        <v>11230</v>
      </c>
      <c r="K782">
        <v>7564</v>
      </c>
      <c r="L782" t="s">
        <v>23</v>
      </c>
      <c r="M782" t="s">
        <v>2569</v>
      </c>
      <c r="N782" t="s">
        <v>412</v>
      </c>
      <c r="O782" t="s">
        <v>117</v>
      </c>
      <c r="P782">
        <v>11230</v>
      </c>
      <c r="Q782">
        <v>7564</v>
      </c>
      <c r="R782" t="s">
        <v>23</v>
      </c>
      <c r="S782" s="1" t="s">
        <v>34218</v>
      </c>
    </row>
    <row r="783" spans="1:19" x14ac:dyDescent="0.25">
      <c r="A783">
        <v>101236824</v>
      </c>
      <c r="B783" t="s">
        <v>2570</v>
      </c>
      <c r="C783" t="s">
        <v>2571</v>
      </c>
      <c r="F783" t="str">
        <f>"2032651522"</f>
        <v>2032651522</v>
      </c>
      <c r="G783" t="s">
        <v>2572</v>
      </c>
      <c r="H783" t="s">
        <v>2573</v>
      </c>
      <c r="I783" t="s">
        <v>161</v>
      </c>
      <c r="J783" t="s">
        <v>2574</v>
      </c>
      <c r="K783">
        <v>2867</v>
      </c>
      <c r="L783" t="s">
        <v>23</v>
      </c>
      <c r="M783" t="s">
        <v>2572</v>
      </c>
      <c r="N783" t="s">
        <v>2573</v>
      </c>
      <c r="O783" t="s">
        <v>161</v>
      </c>
      <c r="P783" t="s">
        <v>2574</v>
      </c>
      <c r="Q783">
        <v>2867</v>
      </c>
      <c r="R783" t="s">
        <v>23</v>
      </c>
      <c r="S783" s="1" t="s">
        <v>34218</v>
      </c>
    </row>
    <row r="784" spans="1:19" x14ac:dyDescent="0.25">
      <c r="A784">
        <v>100569352</v>
      </c>
      <c r="B784" t="s">
        <v>2575</v>
      </c>
      <c r="C784" t="s">
        <v>2576</v>
      </c>
      <c r="F784" t="str">
        <f>"5034222582"</f>
        <v>5034222582</v>
      </c>
      <c r="G784" t="s">
        <v>2577</v>
      </c>
      <c r="H784" t="s">
        <v>227</v>
      </c>
      <c r="I784" t="s">
        <v>43</v>
      </c>
      <c r="J784">
        <v>97219</v>
      </c>
      <c r="K784">
        <v>8667</v>
      </c>
      <c r="L784" t="s">
        <v>23</v>
      </c>
      <c r="M784" t="s">
        <v>2577</v>
      </c>
      <c r="N784" t="s">
        <v>227</v>
      </c>
      <c r="O784" t="s">
        <v>43</v>
      </c>
      <c r="P784">
        <v>97219</v>
      </c>
      <c r="Q784">
        <v>8667</v>
      </c>
      <c r="R784" t="s">
        <v>23</v>
      </c>
      <c r="S784" s="1" t="s">
        <v>34218</v>
      </c>
    </row>
    <row r="785" spans="1:19" x14ac:dyDescent="0.25">
      <c r="A785">
        <v>101325323</v>
      </c>
      <c r="B785" t="s">
        <v>2578</v>
      </c>
      <c r="C785" t="s">
        <v>1062</v>
      </c>
      <c r="F785" t="str">
        <f>"5203259175"</f>
        <v>5203259175</v>
      </c>
      <c r="G785" t="s">
        <v>2579</v>
      </c>
      <c r="H785" t="s">
        <v>1439</v>
      </c>
      <c r="I785" t="s">
        <v>365</v>
      </c>
      <c r="J785">
        <v>85712</v>
      </c>
      <c r="K785">
        <v>4719</v>
      </c>
      <c r="L785" t="s">
        <v>23</v>
      </c>
      <c r="M785" t="s">
        <v>2579</v>
      </c>
      <c r="N785" t="s">
        <v>1439</v>
      </c>
      <c r="O785" t="s">
        <v>365</v>
      </c>
      <c r="P785">
        <v>85712</v>
      </c>
      <c r="Q785">
        <v>4719</v>
      </c>
      <c r="R785" t="s">
        <v>23</v>
      </c>
      <c r="S785" s="1" t="s">
        <v>34218</v>
      </c>
    </row>
    <row r="786" spans="1:19" x14ac:dyDescent="0.25">
      <c r="A786">
        <v>100606489</v>
      </c>
      <c r="B786" t="s">
        <v>29</v>
      </c>
      <c r="C786" t="s">
        <v>2580</v>
      </c>
      <c r="F786" t="str">
        <f>"2538581009"</f>
        <v>2538581009</v>
      </c>
      <c r="G786" t="s">
        <v>2581</v>
      </c>
      <c r="H786" t="s">
        <v>2582</v>
      </c>
      <c r="I786" t="s">
        <v>84</v>
      </c>
      <c r="J786">
        <v>98335</v>
      </c>
      <c r="L786" t="s">
        <v>23</v>
      </c>
      <c r="M786" t="s">
        <v>2581</v>
      </c>
      <c r="N786" t="s">
        <v>2582</v>
      </c>
      <c r="O786" t="s">
        <v>84</v>
      </c>
      <c r="P786">
        <v>98335</v>
      </c>
      <c r="R786" t="s">
        <v>23</v>
      </c>
      <c r="S786" s="1" t="s">
        <v>34218</v>
      </c>
    </row>
    <row r="787" spans="1:19" x14ac:dyDescent="0.25">
      <c r="A787">
        <v>101131742</v>
      </c>
      <c r="B787" t="s">
        <v>2583</v>
      </c>
      <c r="C787" t="s">
        <v>68</v>
      </c>
      <c r="F787" t="str">
        <f>"6122597228"</f>
        <v>6122597228</v>
      </c>
      <c r="G787" t="s">
        <v>2584</v>
      </c>
      <c r="H787" t="s">
        <v>569</v>
      </c>
      <c r="I787" t="s">
        <v>187</v>
      </c>
      <c r="J787" t="s">
        <v>2585</v>
      </c>
      <c r="K787">
        <v>1945</v>
      </c>
      <c r="L787" t="s">
        <v>23</v>
      </c>
      <c r="M787" t="s">
        <v>2584</v>
      </c>
      <c r="N787" t="s">
        <v>569</v>
      </c>
      <c r="O787" t="s">
        <v>187</v>
      </c>
      <c r="P787" t="s">
        <v>2585</v>
      </c>
      <c r="Q787">
        <v>1945</v>
      </c>
      <c r="R787" t="s">
        <v>23</v>
      </c>
      <c r="S787" s="1" t="s">
        <v>34218</v>
      </c>
    </row>
    <row r="788" spans="1:19" x14ac:dyDescent="0.25">
      <c r="A788">
        <v>100980909</v>
      </c>
      <c r="B788" t="s">
        <v>2586</v>
      </c>
      <c r="C788" t="s">
        <v>2515</v>
      </c>
      <c r="F788" t="str">
        <f>"3109959649"</f>
        <v>3109959649</v>
      </c>
      <c r="G788" t="s">
        <v>2587</v>
      </c>
      <c r="H788" t="s">
        <v>1885</v>
      </c>
      <c r="I788" t="s">
        <v>22</v>
      </c>
      <c r="J788">
        <v>90277</v>
      </c>
      <c r="K788">
        <v>6853</v>
      </c>
      <c r="L788" t="s">
        <v>23</v>
      </c>
      <c r="M788" t="s">
        <v>2587</v>
      </c>
      <c r="N788" t="s">
        <v>1885</v>
      </c>
      <c r="O788" t="s">
        <v>22</v>
      </c>
      <c r="P788">
        <v>90277</v>
      </c>
      <c r="Q788">
        <v>6853</v>
      </c>
      <c r="R788" t="s">
        <v>23</v>
      </c>
      <c r="S788" s="1" t="s">
        <v>34218</v>
      </c>
    </row>
    <row r="789" spans="1:19" x14ac:dyDescent="0.25">
      <c r="A789">
        <v>101229865</v>
      </c>
      <c r="B789" t="s">
        <v>2588</v>
      </c>
      <c r="C789" t="s">
        <v>2589</v>
      </c>
      <c r="F789" t="str">
        <f>"5555555555"</f>
        <v>5555555555</v>
      </c>
      <c r="G789" t="s">
        <v>2590</v>
      </c>
      <c r="H789" t="s">
        <v>2591</v>
      </c>
      <c r="I789" t="s">
        <v>33</v>
      </c>
      <c r="J789">
        <v>19085</v>
      </c>
      <c r="K789">
        <v>1023</v>
      </c>
      <c r="L789" t="s">
        <v>23</v>
      </c>
      <c r="M789" t="s">
        <v>2590</v>
      </c>
      <c r="N789" t="s">
        <v>2591</v>
      </c>
      <c r="O789" t="s">
        <v>33</v>
      </c>
      <c r="P789">
        <v>19085</v>
      </c>
      <c r="Q789">
        <v>1023</v>
      </c>
      <c r="R789" t="s">
        <v>23</v>
      </c>
      <c r="S789" s="1" t="s">
        <v>34218</v>
      </c>
    </row>
    <row r="790" spans="1:19" x14ac:dyDescent="0.25">
      <c r="A790">
        <v>101039116</v>
      </c>
      <c r="B790" t="s">
        <v>2592</v>
      </c>
      <c r="C790" t="s">
        <v>890</v>
      </c>
      <c r="F790" t="str">
        <f>"5555555555"</f>
        <v>5555555555</v>
      </c>
      <c r="G790" t="s">
        <v>2593</v>
      </c>
      <c r="H790" t="s">
        <v>2594</v>
      </c>
      <c r="I790" t="s">
        <v>22</v>
      </c>
      <c r="J790" t="s">
        <v>2595</v>
      </c>
      <c r="K790">
        <v>3346</v>
      </c>
      <c r="L790" t="s">
        <v>23</v>
      </c>
      <c r="M790" t="s">
        <v>2593</v>
      </c>
      <c r="N790" t="s">
        <v>2594</v>
      </c>
      <c r="O790" t="s">
        <v>22</v>
      </c>
      <c r="P790" t="s">
        <v>2595</v>
      </c>
      <c r="Q790">
        <v>3346</v>
      </c>
      <c r="R790" t="s">
        <v>23</v>
      </c>
      <c r="S790" s="1" t="s">
        <v>34218</v>
      </c>
    </row>
    <row r="791" spans="1:19" x14ac:dyDescent="0.25">
      <c r="A791">
        <v>101356417</v>
      </c>
      <c r="B791" t="s">
        <v>2074</v>
      </c>
      <c r="C791" t="s">
        <v>1176</v>
      </c>
      <c r="F791" t="str">
        <f>"7192933718"</f>
        <v>7192933718</v>
      </c>
      <c r="G791" t="s">
        <v>2596</v>
      </c>
      <c r="H791" t="s">
        <v>2597</v>
      </c>
      <c r="I791" t="s">
        <v>71</v>
      </c>
      <c r="J791">
        <v>81236</v>
      </c>
      <c r="K791">
        <v>7770</v>
      </c>
      <c r="L791" t="s">
        <v>23</v>
      </c>
      <c r="M791" t="s">
        <v>2596</v>
      </c>
      <c r="N791" t="s">
        <v>2597</v>
      </c>
      <c r="O791" t="s">
        <v>71</v>
      </c>
      <c r="P791">
        <v>81236</v>
      </c>
      <c r="Q791">
        <v>7770</v>
      </c>
      <c r="R791" t="s">
        <v>23</v>
      </c>
      <c r="S791" s="1" t="s">
        <v>34218</v>
      </c>
    </row>
    <row r="792" spans="1:19" x14ac:dyDescent="0.25">
      <c r="A792">
        <v>100598289</v>
      </c>
      <c r="B792" t="s">
        <v>2598</v>
      </c>
      <c r="C792" t="s">
        <v>2599</v>
      </c>
      <c r="F792" t="str">
        <f>"6302545509"</f>
        <v>6302545509</v>
      </c>
      <c r="G792" t="s">
        <v>2600</v>
      </c>
      <c r="H792" t="s">
        <v>2601</v>
      </c>
      <c r="I792" t="s">
        <v>914</v>
      </c>
      <c r="J792">
        <v>38574</v>
      </c>
      <c r="K792">
        <v>7252</v>
      </c>
      <c r="L792" t="s">
        <v>23</v>
      </c>
      <c r="M792" t="s">
        <v>2600</v>
      </c>
      <c r="N792" t="s">
        <v>2601</v>
      </c>
      <c r="O792" t="s">
        <v>914</v>
      </c>
      <c r="P792">
        <v>38574</v>
      </c>
      <c r="Q792">
        <v>7252</v>
      </c>
      <c r="R792" t="s">
        <v>23</v>
      </c>
      <c r="S792" s="1" t="s">
        <v>34218</v>
      </c>
    </row>
    <row r="793" spans="1:19" x14ac:dyDescent="0.25">
      <c r="A793">
        <v>100533630</v>
      </c>
      <c r="B793" t="s">
        <v>2602</v>
      </c>
      <c r="C793" t="s">
        <v>2603</v>
      </c>
      <c r="F793" t="str">
        <f>"6109991944"</f>
        <v>6109991944</v>
      </c>
      <c r="G793" t="s">
        <v>2604</v>
      </c>
      <c r="H793" t="s">
        <v>2605</v>
      </c>
      <c r="I793" t="s">
        <v>250</v>
      </c>
      <c r="J793">
        <v>8088</v>
      </c>
      <c r="K793">
        <v>8833</v>
      </c>
      <c r="L793" t="s">
        <v>23</v>
      </c>
      <c r="M793" t="s">
        <v>2604</v>
      </c>
      <c r="N793" t="s">
        <v>2605</v>
      </c>
      <c r="O793" t="s">
        <v>250</v>
      </c>
      <c r="P793">
        <v>8088</v>
      </c>
      <c r="Q793">
        <v>8833</v>
      </c>
      <c r="R793" t="s">
        <v>23</v>
      </c>
      <c r="S793" s="1" t="s">
        <v>34218</v>
      </c>
    </row>
    <row r="794" spans="1:19" x14ac:dyDescent="0.25">
      <c r="A794">
        <v>100732960</v>
      </c>
      <c r="B794" t="s">
        <v>2606</v>
      </c>
      <c r="C794" t="s">
        <v>2453</v>
      </c>
      <c r="F794" t="str">
        <f>"5405514656"</f>
        <v>5405514656</v>
      </c>
      <c r="G794" t="s">
        <v>2607</v>
      </c>
      <c r="H794" t="s">
        <v>2608</v>
      </c>
      <c r="I794" t="s">
        <v>255</v>
      </c>
      <c r="J794">
        <v>22602</v>
      </c>
      <c r="L794" t="s">
        <v>23</v>
      </c>
      <c r="M794" t="s">
        <v>2607</v>
      </c>
      <c r="N794" t="s">
        <v>2608</v>
      </c>
      <c r="O794" t="s">
        <v>255</v>
      </c>
      <c r="P794">
        <v>22602</v>
      </c>
      <c r="R794" t="s">
        <v>23</v>
      </c>
      <c r="S794" s="1" t="s">
        <v>34218</v>
      </c>
    </row>
    <row r="795" spans="1:19" x14ac:dyDescent="0.25">
      <c r="A795">
        <v>100920358</v>
      </c>
      <c r="B795" t="s">
        <v>2609</v>
      </c>
      <c r="C795" t="s">
        <v>2610</v>
      </c>
      <c r="F795" t="str">
        <f>"6082227377"</f>
        <v>6082227377</v>
      </c>
      <c r="G795" t="s">
        <v>2611</v>
      </c>
      <c r="H795" t="s">
        <v>2375</v>
      </c>
      <c r="I795" t="s">
        <v>100</v>
      </c>
      <c r="J795">
        <v>53714</v>
      </c>
      <c r="K795">
        <v>2826</v>
      </c>
      <c r="L795" t="s">
        <v>23</v>
      </c>
      <c r="M795" t="s">
        <v>2611</v>
      </c>
      <c r="N795" t="s">
        <v>2375</v>
      </c>
      <c r="O795" t="s">
        <v>100</v>
      </c>
      <c r="P795">
        <v>53714</v>
      </c>
      <c r="Q795">
        <v>2826</v>
      </c>
      <c r="R795" t="s">
        <v>23</v>
      </c>
      <c r="S795" s="1" t="s">
        <v>34218</v>
      </c>
    </row>
    <row r="796" spans="1:19" x14ac:dyDescent="0.25">
      <c r="A796">
        <v>100536067</v>
      </c>
      <c r="B796" t="s">
        <v>1187</v>
      </c>
      <c r="C796" t="s">
        <v>180</v>
      </c>
      <c r="F796" t="str">
        <f>"5306443142"</f>
        <v>5306443142</v>
      </c>
      <c r="G796" t="s">
        <v>2612</v>
      </c>
      <c r="H796" t="s">
        <v>2613</v>
      </c>
      <c r="I796" t="s">
        <v>22</v>
      </c>
      <c r="J796">
        <v>95667</v>
      </c>
      <c r="K796">
        <v>8153</v>
      </c>
      <c r="L796" t="s">
        <v>23</v>
      </c>
      <c r="M796" t="s">
        <v>2612</v>
      </c>
      <c r="N796" t="s">
        <v>2613</v>
      </c>
      <c r="O796" t="s">
        <v>22</v>
      </c>
      <c r="P796">
        <v>95667</v>
      </c>
      <c r="Q796">
        <v>8153</v>
      </c>
      <c r="R796" t="s">
        <v>23</v>
      </c>
      <c r="S796" s="1" t="s">
        <v>34218</v>
      </c>
    </row>
    <row r="797" spans="1:19" x14ac:dyDescent="0.25">
      <c r="A797">
        <v>100908222</v>
      </c>
      <c r="B797" t="s">
        <v>2614</v>
      </c>
      <c r="C797" t="s">
        <v>803</v>
      </c>
      <c r="F797" t="str">
        <f>"8057086883"</f>
        <v>8057086883</v>
      </c>
      <c r="G797" t="s">
        <v>2615</v>
      </c>
      <c r="H797" t="s">
        <v>299</v>
      </c>
      <c r="I797" t="s">
        <v>22</v>
      </c>
      <c r="J797">
        <v>90048</v>
      </c>
      <c r="K797">
        <v>5437</v>
      </c>
      <c r="L797" t="s">
        <v>23</v>
      </c>
      <c r="M797" t="s">
        <v>2615</v>
      </c>
      <c r="N797" t="s">
        <v>299</v>
      </c>
      <c r="O797" t="s">
        <v>22</v>
      </c>
      <c r="P797">
        <v>90048</v>
      </c>
      <c r="Q797">
        <v>5437</v>
      </c>
      <c r="R797" t="s">
        <v>23</v>
      </c>
      <c r="S797" s="1" t="s">
        <v>34218</v>
      </c>
    </row>
    <row r="798" spans="1:19" x14ac:dyDescent="0.25">
      <c r="A798">
        <v>100872072</v>
      </c>
      <c r="B798" t="s">
        <v>2616</v>
      </c>
      <c r="C798" t="s">
        <v>286</v>
      </c>
      <c r="F798" t="str">
        <f>"8506463086"</f>
        <v>8506463086</v>
      </c>
      <c r="G798" t="s">
        <v>2617</v>
      </c>
      <c r="H798" t="s">
        <v>2618</v>
      </c>
      <c r="I798" t="s">
        <v>52</v>
      </c>
      <c r="J798">
        <v>32322</v>
      </c>
      <c r="K798">
        <v>6093</v>
      </c>
      <c r="L798" t="s">
        <v>23</v>
      </c>
      <c r="M798" t="s">
        <v>2617</v>
      </c>
      <c r="N798" t="s">
        <v>2618</v>
      </c>
      <c r="O798" t="s">
        <v>52</v>
      </c>
      <c r="P798">
        <v>32322</v>
      </c>
      <c r="Q798">
        <v>6093</v>
      </c>
      <c r="R798" t="s">
        <v>23</v>
      </c>
      <c r="S798" s="1" t="s">
        <v>34218</v>
      </c>
    </row>
    <row r="799" spans="1:19" x14ac:dyDescent="0.25">
      <c r="A799">
        <v>100984771</v>
      </c>
      <c r="B799" t="s">
        <v>2619</v>
      </c>
      <c r="C799" t="s">
        <v>2620</v>
      </c>
      <c r="F799" t="str">
        <f>"6034586115"</f>
        <v>6034586115</v>
      </c>
      <c r="G799" t="s">
        <v>2621</v>
      </c>
      <c r="H799" t="s">
        <v>1877</v>
      </c>
      <c r="I799" t="s">
        <v>353</v>
      </c>
      <c r="J799">
        <v>3079</v>
      </c>
      <c r="K799">
        <v>3340</v>
      </c>
      <c r="L799" t="s">
        <v>23</v>
      </c>
      <c r="M799" t="s">
        <v>2621</v>
      </c>
      <c r="N799" t="s">
        <v>1877</v>
      </c>
      <c r="O799" t="s">
        <v>353</v>
      </c>
      <c r="P799">
        <v>3079</v>
      </c>
      <c r="Q799">
        <v>3340</v>
      </c>
      <c r="R799" t="s">
        <v>23</v>
      </c>
      <c r="S799" s="1" t="s">
        <v>34218</v>
      </c>
    </row>
    <row r="800" spans="1:19" x14ac:dyDescent="0.25">
      <c r="A800">
        <v>101291546</v>
      </c>
      <c r="B800" t="s">
        <v>1001</v>
      </c>
      <c r="C800" t="s">
        <v>2622</v>
      </c>
      <c r="F800" t="str">
        <f>"7276428923"</f>
        <v>7276428923</v>
      </c>
      <c r="G800" t="s">
        <v>2623</v>
      </c>
      <c r="H800" t="s">
        <v>2624</v>
      </c>
      <c r="I800" t="s">
        <v>52</v>
      </c>
      <c r="J800" t="s">
        <v>2625</v>
      </c>
      <c r="K800">
        <v>6361</v>
      </c>
      <c r="L800" t="s">
        <v>23</v>
      </c>
      <c r="M800" t="s">
        <v>2623</v>
      </c>
      <c r="N800" t="s">
        <v>2624</v>
      </c>
      <c r="O800" t="s">
        <v>52</v>
      </c>
      <c r="P800" t="s">
        <v>2625</v>
      </c>
      <c r="Q800">
        <v>6361</v>
      </c>
      <c r="R800" t="s">
        <v>23</v>
      </c>
      <c r="S800" s="1" t="s">
        <v>34218</v>
      </c>
    </row>
    <row r="801" spans="1:19" x14ac:dyDescent="0.25">
      <c r="A801">
        <v>100541857</v>
      </c>
      <c r="B801" t="s">
        <v>2626</v>
      </c>
      <c r="C801" t="s">
        <v>2627</v>
      </c>
      <c r="F801" t="str">
        <f>"4153310326"</f>
        <v>4153310326</v>
      </c>
      <c r="G801" t="s">
        <v>2628</v>
      </c>
      <c r="H801" t="s">
        <v>2629</v>
      </c>
      <c r="I801" t="s">
        <v>22</v>
      </c>
      <c r="J801" t="s">
        <v>2630</v>
      </c>
      <c r="K801">
        <v>2066</v>
      </c>
      <c r="L801" t="s">
        <v>23</v>
      </c>
      <c r="M801" t="s">
        <v>2628</v>
      </c>
      <c r="N801" t="s">
        <v>2629</v>
      </c>
      <c r="O801" t="s">
        <v>22</v>
      </c>
      <c r="P801" t="s">
        <v>2630</v>
      </c>
      <c r="Q801">
        <v>2066</v>
      </c>
      <c r="R801" t="s">
        <v>23</v>
      </c>
      <c r="S801" s="1" t="s">
        <v>34218</v>
      </c>
    </row>
    <row r="802" spans="1:19" x14ac:dyDescent="0.25">
      <c r="A802">
        <v>101307760</v>
      </c>
      <c r="B802" t="s">
        <v>2436</v>
      </c>
      <c r="C802" t="s">
        <v>2631</v>
      </c>
      <c r="F802" t="str">
        <f>"5308732702"</f>
        <v>5308732702</v>
      </c>
      <c r="G802" t="s">
        <v>2632</v>
      </c>
      <c r="H802" t="s">
        <v>2633</v>
      </c>
      <c r="I802" t="s">
        <v>22</v>
      </c>
      <c r="J802">
        <v>95954</v>
      </c>
      <c r="K802">
        <v>8911</v>
      </c>
      <c r="L802" t="s">
        <v>23</v>
      </c>
      <c r="M802" t="s">
        <v>2632</v>
      </c>
      <c r="N802" t="s">
        <v>2633</v>
      </c>
      <c r="O802" t="s">
        <v>22</v>
      </c>
      <c r="P802">
        <v>95954</v>
      </c>
      <c r="Q802">
        <v>8911</v>
      </c>
      <c r="R802" t="s">
        <v>23</v>
      </c>
      <c r="S802" s="1" t="s">
        <v>34218</v>
      </c>
    </row>
    <row r="803" spans="1:19" x14ac:dyDescent="0.25">
      <c r="A803">
        <v>101180014</v>
      </c>
      <c r="B803" t="s">
        <v>2634</v>
      </c>
      <c r="C803" t="s">
        <v>1147</v>
      </c>
      <c r="F803" t="str">
        <f>"5754396589"</f>
        <v>5754396589</v>
      </c>
      <c r="G803" t="s">
        <v>2635</v>
      </c>
      <c r="H803" t="s">
        <v>2636</v>
      </c>
      <c r="I803" t="s">
        <v>639</v>
      </c>
      <c r="J803">
        <v>88310</v>
      </c>
      <c r="K803">
        <v>7725</v>
      </c>
      <c r="L803" t="s">
        <v>23</v>
      </c>
      <c r="M803" t="s">
        <v>2635</v>
      </c>
      <c r="N803" t="s">
        <v>2636</v>
      </c>
      <c r="O803" t="s">
        <v>639</v>
      </c>
      <c r="P803">
        <v>88310</v>
      </c>
      <c r="Q803">
        <v>7725</v>
      </c>
      <c r="R803" t="s">
        <v>23</v>
      </c>
      <c r="S803" s="1" t="s">
        <v>34218</v>
      </c>
    </row>
    <row r="804" spans="1:19" x14ac:dyDescent="0.25">
      <c r="A804">
        <v>101386632</v>
      </c>
      <c r="B804" t="s">
        <v>2637</v>
      </c>
      <c r="C804" t="s">
        <v>2638</v>
      </c>
      <c r="F804" t="str">
        <f>"9542545748"</f>
        <v>9542545748</v>
      </c>
      <c r="G804" t="s">
        <v>2639</v>
      </c>
      <c r="H804" t="s">
        <v>2640</v>
      </c>
      <c r="I804" t="s">
        <v>52</v>
      </c>
      <c r="J804">
        <v>33432</v>
      </c>
      <c r="K804">
        <v>4017</v>
      </c>
      <c r="L804" t="s">
        <v>23</v>
      </c>
      <c r="M804" t="s">
        <v>2639</v>
      </c>
      <c r="N804" t="s">
        <v>2640</v>
      </c>
      <c r="O804" t="s">
        <v>52</v>
      </c>
      <c r="P804">
        <v>33432</v>
      </c>
      <c r="Q804">
        <v>4017</v>
      </c>
      <c r="R804" t="s">
        <v>23</v>
      </c>
      <c r="S804" s="1" t="s">
        <v>34218</v>
      </c>
    </row>
    <row r="805" spans="1:19" x14ac:dyDescent="0.25">
      <c r="A805">
        <v>100529817</v>
      </c>
      <c r="B805" t="s">
        <v>2641</v>
      </c>
      <c r="C805" t="s">
        <v>2642</v>
      </c>
      <c r="F805" t="str">
        <f>"5414822918"</f>
        <v>5414822918</v>
      </c>
      <c r="G805" t="s">
        <v>2643</v>
      </c>
      <c r="H805" t="s">
        <v>177</v>
      </c>
      <c r="I805" t="s">
        <v>43</v>
      </c>
      <c r="J805">
        <v>97520</v>
      </c>
      <c r="K805">
        <v>1722</v>
      </c>
      <c r="L805" t="s">
        <v>23</v>
      </c>
      <c r="M805" t="s">
        <v>2643</v>
      </c>
      <c r="N805" t="s">
        <v>177</v>
      </c>
      <c r="O805" t="s">
        <v>43</v>
      </c>
      <c r="P805">
        <v>97520</v>
      </c>
      <c r="Q805">
        <v>1722</v>
      </c>
      <c r="R805" t="s">
        <v>23</v>
      </c>
      <c r="S805" s="1" t="s">
        <v>34218</v>
      </c>
    </row>
    <row r="806" spans="1:19" x14ac:dyDescent="0.25">
      <c r="A806">
        <v>101418778</v>
      </c>
      <c r="B806" t="s">
        <v>1274</v>
      </c>
      <c r="C806" t="s">
        <v>1835</v>
      </c>
      <c r="F806" t="str">
        <f>"3037714849"</f>
        <v>3037714849</v>
      </c>
      <c r="G806" t="s">
        <v>2644</v>
      </c>
      <c r="H806" t="s">
        <v>2175</v>
      </c>
      <c r="I806" t="s">
        <v>71</v>
      </c>
      <c r="J806" t="s">
        <v>2645</v>
      </c>
      <c r="K806">
        <v>3817</v>
      </c>
      <c r="L806" t="s">
        <v>23</v>
      </c>
      <c r="M806" t="s">
        <v>2644</v>
      </c>
      <c r="N806" t="s">
        <v>2175</v>
      </c>
      <c r="O806" t="s">
        <v>71</v>
      </c>
      <c r="P806" t="s">
        <v>2645</v>
      </c>
      <c r="Q806">
        <v>3817</v>
      </c>
      <c r="R806" t="s">
        <v>23</v>
      </c>
      <c r="S806" s="1" t="s">
        <v>34218</v>
      </c>
    </row>
    <row r="807" spans="1:19" x14ac:dyDescent="0.25">
      <c r="A807">
        <v>101218132</v>
      </c>
      <c r="B807" t="s">
        <v>2646</v>
      </c>
      <c r="C807" t="s">
        <v>158</v>
      </c>
      <c r="F807" t="str">
        <f>"4259853881"</f>
        <v>4259853881</v>
      </c>
      <c r="G807" t="s">
        <v>2647</v>
      </c>
      <c r="H807" t="s">
        <v>2648</v>
      </c>
      <c r="I807" t="s">
        <v>84</v>
      </c>
      <c r="J807">
        <v>98010</v>
      </c>
      <c r="K807">
        <v>9211</v>
      </c>
      <c r="L807" t="s">
        <v>23</v>
      </c>
      <c r="M807" t="s">
        <v>2647</v>
      </c>
      <c r="N807" t="s">
        <v>2648</v>
      </c>
      <c r="O807" t="s">
        <v>84</v>
      </c>
      <c r="P807">
        <v>98010</v>
      </c>
      <c r="Q807">
        <v>9211</v>
      </c>
      <c r="R807" t="s">
        <v>23</v>
      </c>
      <c r="S807" s="1" t="s">
        <v>34218</v>
      </c>
    </row>
    <row r="808" spans="1:19" x14ac:dyDescent="0.25">
      <c r="A808">
        <v>100801325</v>
      </c>
      <c r="B808" t="s">
        <v>2649</v>
      </c>
      <c r="C808" t="s">
        <v>522</v>
      </c>
      <c r="F808" t="str">
        <f>"4126075354"</f>
        <v>4126075354</v>
      </c>
      <c r="G808" t="s">
        <v>2650</v>
      </c>
      <c r="H808" t="s">
        <v>2651</v>
      </c>
      <c r="I808" t="s">
        <v>33</v>
      </c>
      <c r="J808">
        <v>15622</v>
      </c>
      <c r="K808">
        <v>8007</v>
      </c>
      <c r="L808" t="s">
        <v>23</v>
      </c>
      <c r="M808" t="s">
        <v>2650</v>
      </c>
      <c r="N808" t="s">
        <v>2651</v>
      </c>
      <c r="O808" t="s">
        <v>33</v>
      </c>
      <c r="P808">
        <v>15622</v>
      </c>
      <c r="Q808">
        <v>8007</v>
      </c>
      <c r="R808" t="s">
        <v>23</v>
      </c>
      <c r="S808" s="1" t="s">
        <v>34218</v>
      </c>
    </row>
    <row r="809" spans="1:19" x14ac:dyDescent="0.25">
      <c r="A809">
        <v>101066589</v>
      </c>
      <c r="B809" t="s">
        <v>2652</v>
      </c>
      <c r="C809" t="s">
        <v>2653</v>
      </c>
      <c r="F809" t="str">
        <f>"8586038940"</f>
        <v>8586038940</v>
      </c>
      <c r="G809" t="s">
        <v>2654</v>
      </c>
      <c r="H809" t="s">
        <v>198</v>
      </c>
      <c r="I809" t="s">
        <v>22</v>
      </c>
      <c r="J809" t="s">
        <v>2655</v>
      </c>
      <c r="K809">
        <v>5727</v>
      </c>
      <c r="L809" t="s">
        <v>23</v>
      </c>
      <c r="M809" t="s">
        <v>2654</v>
      </c>
      <c r="N809" t="s">
        <v>198</v>
      </c>
      <c r="O809" t="s">
        <v>22</v>
      </c>
      <c r="P809" t="s">
        <v>2655</v>
      </c>
      <c r="Q809">
        <v>5727</v>
      </c>
      <c r="R809" t="s">
        <v>23</v>
      </c>
      <c r="S809" s="1" t="s">
        <v>34218</v>
      </c>
    </row>
    <row r="810" spans="1:19" x14ac:dyDescent="0.25">
      <c r="A810">
        <v>100515727</v>
      </c>
      <c r="B810" t="s">
        <v>2656</v>
      </c>
      <c r="C810" t="s">
        <v>2657</v>
      </c>
      <c r="F810" t="str">
        <f>"7209885205"</f>
        <v>7209885205</v>
      </c>
      <c r="G810" t="s">
        <v>2658</v>
      </c>
      <c r="H810" t="s">
        <v>1579</v>
      </c>
      <c r="I810" t="s">
        <v>71</v>
      </c>
      <c r="J810" t="s">
        <v>2659</v>
      </c>
      <c r="K810">
        <v>2929</v>
      </c>
      <c r="L810" t="s">
        <v>23</v>
      </c>
      <c r="M810" t="s">
        <v>2658</v>
      </c>
      <c r="N810" t="s">
        <v>1579</v>
      </c>
      <c r="O810" t="s">
        <v>71</v>
      </c>
      <c r="P810" t="s">
        <v>2659</v>
      </c>
      <c r="Q810">
        <v>2929</v>
      </c>
      <c r="R810" t="s">
        <v>23</v>
      </c>
      <c r="S810" s="1" t="s">
        <v>34218</v>
      </c>
    </row>
    <row r="811" spans="1:19" x14ac:dyDescent="0.25">
      <c r="A811">
        <v>101257439</v>
      </c>
      <c r="B811" t="s">
        <v>2660</v>
      </c>
      <c r="C811" t="s">
        <v>132</v>
      </c>
      <c r="F811" t="str">
        <f>"2622711769"</f>
        <v>2622711769</v>
      </c>
      <c r="G811" t="s">
        <v>2661</v>
      </c>
      <c r="H811" t="s">
        <v>2662</v>
      </c>
      <c r="I811" t="s">
        <v>100</v>
      </c>
      <c r="J811">
        <v>53186</v>
      </c>
      <c r="K811">
        <v>6013</v>
      </c>
      <c r="L811" t="s">
        <v>23</v>
      </c>
      <c r="M811" t="s">
        <v>2661</v>
      </c>
      <c r="N811" t="s">
        <v>2662</v>
      </c>
      <c r="O811" t="s">
        <v>100</v>
      </c>
      <c r="P811">
        <v>53186</v>
      </c>
      <c r="Q811">
        <v>6013</v>
      </c>
      <c r="R811" t="s">
        <v>23</v>
      </c>
      <c r="S811" s="1" t="s">
        <v>34218</v>
      </c>
    </row>
    <row r="812" spans="1:19" x14ac:dyDescent="0.25">
      <c r="A812">
        <v>101021056</v>
      </c>
      <c r="B812" t="s">
        <v>2663</v>
      </c>
      <c r="C812" t="s">
        <v>803</v>
      </c>
      <c r="F812" t="str">
        <f>"6108731237"</f>
        <v>6108731237</v>
      </c>
      <c r="G812" t="s">
        <v>2664</v>
      </c>
      <c r="H812" t="s">
        <v>2665</v>
      </c>
      <c r="I812" t="s">
        <v>33</v>
      </c>
      <c r="J812" t="s">
        <v>2666</v>
      </c>
      <c r="K812">
        <v>1220</v>
      </c>
      <c r="L812" t="s">
        <v>23</v>
      </c>
      <c r="M812" t="s">
        <v>2664</v>
      </c>
      <c r="N812" t="s">
        <v>2665</v>
      </c>
      <c r="O812" t="s">
        <v>33</v>
      </c>
      <c r="P812" t="s">
        <v>2666</v>
      </c>
      <c r="Q812">
        <v>1220</v>
      </c>
      <c r="R812" t="s">
        <v>23</v>
      </c>
      <c r="S812" s="1" t="s">
        <v>34218</v>
      </c>
    </row>
    <row r="813" spans="1:19" x14ac:dyDescent="0.25">
      <c r="A813">
        <v>100861723</v>
      </c>
      <c r="B813" t="s">
        <v>2667</v>
      </c>
      <c r="C813" t="s">
        <v>1327</v>
      </c>
      <c r="F813" t="str">
        <f>"4082492222"</f>
        <v>4082492222</v>
      </c>
      <c r="G813">
        <v>95050</v>
      </c>
      <c r="H813" t="s">
        <v>2668</v>
      </c>
      <c r="I813" t="s">
        <v>22</v>
      </c>
      <c r="J813">
        <v>95050</v>
      </c>
      <c r="L813" t="s">
        <v>23</v>
      </c>
      <c r="M813">
        <v>95050</v>
      </c>
      <c r="N813" t="s">
        <v>2668</v>
      </c>
      <c r="O813" t="s">
        <v>22</v>
      </c>
      <c r="P813">
        <v>95050</v>
      </c>
      <c r="R813" t="s">
        <v>23</v>
      </c>
      <c r="S813" s="1" t="s">
        <v>34218</v>
      </c>
    </row>
    <row r="814" spans="1:19" x14ac:dyDescent="0.25">
      <c r="A814">
        <v>101277254</v>
      </c>
      <c r="B814" t="s">
        <v>2669</v>
      </c>
      <c r="C814" t="s">
        <v>644</v>
      </c>
      <c r="F814" t="str">
        <f>"2068498105"</f>
        <v>2068498105</v>
      </c>
      <c r="G814" t="s">
        <v>2670</v>
      </c>
      <c r="H814" t="s">
        <v>1019</v>
      </c>
      <c r="I814" t="s">
        <v>84</v>
      </c>
      <c r="J814">
        <v>98033</v>
      </c>
      <c r="K814">
        <v>5325</v>
      </c>
      <c r="L814" t="s">
        <v>23</v>
      </c>
      <c r="M814" t="s">
        <v>2670</v>
      </c>
      <c r="N814" t="s">
        <v>1019</v>
      </c>
      <c r="O814" t="s">
        <v>84</v>
      </c>
      <c r="P814">
        <v>98033</v>
      </c>
      <c r="Q814">
        <v>5325</v>
      </c>
      <c r="R814" t="s">
        <v>23</v>
      </c>
      <c r="S814" s="1" t="s">
        <v>34218</v>
      </c>
    </row>
    <row r="815" spans="1:19" x14ac:dyDescent="0.25">
      <c r="A815">
        <v>100809666</v>
      </c>
      <c r="B815" t="s">
        <v>2671</v>
      </c>
      <c r="C815" t="s">
        <v>2672</v>
      </c>
      <c r="F815" t="str">
        <f>"5304771667"</f>
        <v>5304771667</v>
      </c>
      <c r="G815" t="s">
        <v>2673</v>
      </c>
      <c r="H815" t="s">
        <v>2674</v>
      </c>
      <c r="I815" t="s">
        <v>22</v>
      </c>
      <c r="J815" t="s">
        <v>2675</v>
      </c>
      <c r="K815">
        <v>7885</v>
      </c>
      <c r="L815" t="s">
        <v>23</v>
      </c>
      <c r="M815" t="s">
        <v>2673</v>
      </c>
      <c r="N815" t="s">
        <v>2674</v>
      </c>
      <c r="O815" t="s">
        <v>22</v>
      </c>
      <c r="P815" t="s">
        <v>2675</v>
      </c>
      <c r="Q815">
        <v>7885</v>
      </c>
      <c r="R815" t="s">
        <v>23</v>
      </c>
      <c r="S815" s="1" t="s">
        <v>34218</v>
      </c>
    </row>
    <row r="816" spans="1:19" x14ac:dyDescent="0.25">
      <c r="A816">
        <v>101188069</v>
      </c>
      <c r="B816" t="s">
        <v>2676</v>
      </c>
      <c r="C816" t="s">
        <v>2677</v>
      </c>
      <c r="F816" t="str">
        <f>"4132568649"</f>
        <v>4132568649</v>
      </c>
      <c r="G816">
        <v>223</v>
      </c>
      <c r="H816" t="s">
        <v>1553</v>
      </c>
      <c r="I816" t="s">
        <v>236</v>
      </c>
      <c r="J816">
        <v>1002</v>
      </c>
      <c r="L816" t="s">
        <v>23</v>
      </c>
      <c r="M816">
        <v>223</v>
      </c>
      <c r="N816" t="s">
        <v>1553</v>
      </c>
      <c r="O816" t="s">
        <v>236</v>
      </c>
      <c r="P816">
        <v>1002</v>
      </c>
      <c r="R816" t="s">
        <v>23</v>
      </c>
      <c r="S816" s="1" t="s">
        <v>34218</v>
      </c>
    </row>
    <row r="817" spans="1:19" x14ac:dyDescent="0.25">
      <c r="A817">
        <v>101153370</v>
      </c>
      <c r="B817" t="s">
        <v>2678</v>
      </c>
      <c r="C817" t="s">
        <v>2679</v>
      </c>
      <c r="F817" t="str">
        <f>"2126733407"</f>
        <v>2126733407</v>
      </c>
      <c r="G817" t="s">
        <v>2680</v>
      </c>
      <c r="H817" t="s">
        <v>2681</v>
      </c>
      <c r="I817" t="s">
        <v>117</v>
      </c>
      <c r="J817" t="s">
        <v>2682</v>
      </c>
      <c r="K817">
        <v>1410</v>
      </c>
      <c r="L817" t="s">
        <v>23</v>
      </c>
      <c r="M817" t="s">
        <v>2680</v>
      </c>
      <c r="N817" t="s">
        <v>2681</v>
      </c>
      <c r="O817" t="s">
        <v>117</v>
      </c>
      <c r="P817" t="s">
        <v>2682</v>
      </c>
      <c r="Q817">
        <v>1410</v>
      </c>
      <c r="R817" t="s">
        <v>23</v>
      </c>
      <c r="S817" s="1" t="s">
        <v>34218</v>
      </c>
    </row>
    <row r="818" spans="1:19" x14ac:dyDescent="0.25">
      <c r="A818">
        <v>101149865</v>
      </c>
      <c r="B818" t="s">
        <v>1262</v>
      </c>
      <c r="C818" t="s">
        <v>25</v>
      </c>
      <c r="F818" t="str">
        <f>"5105288139"</f>
        <v>5105288139</v>
      </c>
      <c r="G818" t="s">
        <v>2683</v>
      </c>
      <c r="H818" t="s">
        <v>2684</v>
      </c>
      <c r="I818" t="s">
        <v>22</v>
      </c>
      <c r="J818">
        <v>94903</v>
      </c>
      <c r="K818">
        <v>3673</v>
      </c>
      <c r="L818" t="s">
        <v>23</v>
      </c>
      <c r="M818" t="s">
        <v>2683</v>
      </c>
      <c r="N818" t="s">
        <v>2684</v>
      </c>
      <c r="O818" t="s">
        <v>22</v>
      </c>
      <c r="P818">
        <v>94903</v>
      </c>
      <c r="Q818">
        <v>3673</v>
      </c>
      <c r="R818" t="s">
        <v>23</v>
      </c>
      <c r="S818" s="1" t="s">
        <v>34218</v>
      </c>
    </row>
    <row r="819" spans="1:19" x14ac:dyDescent="0.25">
      <c r="A819">
        <v>101251261</v>
      </c>
      <c r="B819" t="s">
        <v>2685</v>
      </c>
      <c r="C819" t="s">
        <v>718</v>
      </c>
      <c r="F819" t="str">
        <f>"5202346854"</f>
        <v>5202346854</v>
      </c>
      <c r="G819" t="s">
        <v>2686</v>
      </c>
      <c r="H819" t="s">
        <v>1439</v>
      </c>
      <c r="I819" t="s">
        <v>365</v>
      </c>
      <c r="J819">
        <v>85705</v>
      </c>
      <c r="K819">
        <v>2378</v>
      </c>
      <c r="L819" t="s">
        <v>23</v>
      </c>
      <c r="M819" t="s">
        <v>2686</v>
      </c>
      <c r="N819" t="s">
        <v>1439</v>
      </c>
      <c r="O819" t="s">
        <v>365</v>
      </c>
      <c r="P819">
        <v>85705</v>
      </c>
      <c r="Q819">
        <v>2378</v>
      </c>
      <c r="R819" t="s">
        <v>23</v>
      </c>
      <c r="S819" s="1" t="s">
        <v>34218</v>
      </c>
    </row>
    <row r="820" spans="1:19" x14ac:dyDescent="0.25">
      <c r="A820">
        <v>100614482</v>
      </c>
      <c r="B820" t="s">
        <v>1134</v>
      </c>
      <c r="C820" t="s">
        <v>2687</v>
      </c>
      <c r="F820" t="str">
        <f>"6269664798"</f>
        <v>6269664798</v>
      </c>
      <c r="G820" t="s">
        <v>2688</v>
      </c>
      <c r="H820" t="s">
        <v>2050</v>
      </c>
      <c r="I820" t="s">
        <v>43</v>
      </c>
      <c r="J820">
        <v>97436</v>
      </c>
      <c r="K820">
        <v>9630</v>
      </c>
      <c r="L820" t="s">
        <v>23</v>
      </c>
      <c r="M820" t="s">
        <v>2688</v>
      </c>
      <c r="N820" t="s">
        <v>2050</v>
      </c>
      <c r="O820" t="s">
        <v>43</v>
      </c>
      <c r="P820">
        <v>97436</v>
      </c>
      <c r="Q820">
        <v>9630</v>
      </c>
      <c r="R820" t="s">
        <v>23</v>
      </c>
      <c r="S820" s="1" t="s">
        <v>34218</v>
      </c>
    </row>
    <row r="821" spans="1:19" x14ac:dyDescent="0.25">
      <c r="A821">
        <v>101294120</v>
      </c>
      <c r="B821" t="s">
        <v>2689</v>
      </c>
      <c r="C821" t="s">
        <v>483</v>
      </c>
      <c r="F821" t="str">
        <f>"8088667152"</f>
        <v>8088667152</v>
      </c>
      <c r="G821" t="s">
        <v>2690</v>
      </c>
      <c r="H821" t="s">
        <v>2691</v>
      </c>
      <c r="I821" t="s">
        <v>148</v>
      </c>
      <c r="J821">
        <v>21032</v>
      </c>
      <c r="K821">
        <v>1322</v>
      </c>
      <c r="L821" t="s">
        <v>23</v>
      </c>
      <c r="M821" t="s">
        <v>2690</v>
      </c>
      <c r="N821" t="s">
        <v>2691</v>
      </c>
      <c r="O821" t="s">
        <v>148</v>
      </c>
      <c r="P821">
        <v>21032</v>
      </c>
      <c r="Q821">
        <v>1322</v>
      </c>
      <c r="R821" t="s">
        <v>23</v>
      </c>
      <c r="S821" s="1" t="s">
        <v>34218</v>
      </c>
    </row>
    <row r="822" spans="1:19" x14ac:dyDescent="0.25">
      <c r="A822">
        <v>101402024</v>
      </c>
      <c r="B822" t="s">
        <v>2692</v>
      </c>
      <c r="C822" t="s">
        <v>644</v>
      </c>
      <c r="F822" t="str">
        <f>"3604774928"</f>
        <v>3604774928</v>
      </c>
      <c r="G822" t="s">
        <v>2693</v>
      </c>
      <c r="H822" t="s">
        <v>2215</v>
      </c>
      <c r="I822" t="s">
        <v>84</v>
      </c>
      <c r="J822">
        <v>98362</v>
      </c>
      <c r="K822">
        <v>3502</v>
      </c>
      <c r="L822" t="s">
        <v>23</v>
      </c>
      <c r="M822" t="s">
        <v>2693</v>
      </c>
      <c r="N822" t="s">
        <v>2215</v>
      </c>
      <c r="O822" t="s">
        <v>84</v>
      </c>
      <c r="P822">
        <v>98362</v>
      </c>
      <c r="Q822">
        <v>3502</v>
      </c>
      <c r="R822" t="s">
        <v>23</v>
      </c>
      <c r="S822" s="1" t="s">
        <v>34218</v>
      </c>
    </row>
    <row r="823" spans="1:19" x14ac:dyDescent="0.25">
      <c r="A823">
        <v>100957993</v>
      </c>
      <c r="B823" t="s">
        <v>2694</v>
      </c>
      <c r="C823" t="s">
        <v>690</v>
      </c>
      <c r="F823" t="str">
        <f>"9545365669"</f>
        <v>9545365669</v>
      </c>
      <c r="G823" t="s">
        <v>2695</v>
      </c>
      <c r="H823" t="s">
        <v>2696</v>
      </c>
      <c r="I823" t="s">
        <v>52</v>
      </c>
      <c r="J823">
        <v>33021</v>
      </c>
      <c r="K823">
        <v>4110</v>
      </c>
      <c r="L823" t="s">
        <v>23</v>
      </c>
      <c r="M823" t="s">
        <v>2695</v>
      </c>
      <c r="N823" t="s">
        <v>2696</v>
      </c>
      <c r="O823" t="s">
        <v>52</v>
      </c>
      <c r="P823">
        <v>33021</v>
      </c>
      <c r="Q823">
        <v>4110</v>
      </c>
      <c r="R823" t="s">
        <v>23</v>
      </c>
      <c r="S823" s="1" t="s">
        <v>34218</v>
      </c>
    </row>
    <row r="824" spans="1:19" x14ac:dyDescent="0.25">
      <c r="A824">
        <v>101377508</v>
      </c>
      <c r="B824" t="s">
        <v>304</v>
      </c>
      <c r="C824" t="s">
        <v>1036</v>
      </c>
      <c r="F824" t="str">
        <f>"3039022008"</f>
        <v>3039022008</v>
      </c>
      <c r="G824" t="s">
        <v>2697</v>
      </c>
      <c r="H824" t="s">
        <v>2698</v>
      </c>
      <c r="I824" t="s">
        <v>71</v>
      </c>
      <c r="J824">
        <v>80545</v>
      </c>
      <c r="K824">
        <v>8939</v>
      </c>
      <c r="L824" t="s">
        <v>23</v>
      </c>
      <c r="M824" t="s">
        <v>2697</v>
      </c>
      <c r="N824" t="s">
        <v>2698</v>
      </c>
      <c r="O824" t="s">
        <v>71</v>
      </c>
      <c r="P824">
        <v>80545</v>
      </c>
      <c r="Q824">
        <v>8939</v>
      </c>
      <c r="R824" t="s">
        <v>23</v>
      </c>
      <c r="S824" s="1" t="s">
        <v>34218</v>
      </c>
    </row>
    <row r="825" spans="1:19" x14ac:dyDescent="0.25">
      <c r="A825">
        <v>100896893</v>
      </c>
      <c r="B825" t="s">
        <v>2699</v>
      </c>
      <c r="C825" t="s">
        <v>888</v>
      </c>
      <c r="F825" t="str">
        <f>"6615491506"</f>
        <v>6615491506</v>
      </c>
      <c r="G825" t="s">
        <v>2700</v>
      </c>
      <c r="H825" t="s">
        <v>2701</v>
      </c>
      <c r="I825" t="s">
        <v>446</v>
      </c>
      <c r="J825">
        <v>28734</v>
      </c>
      <c r="L825" t="s">
        <v>23</v>
      </c>
      <c r="M825" t="s">
        <v>2700</v>
      </c>
      <c r="N825" t="s">
        <v>2701</v>
      </c>
      <c r="O825" t="s">
        <v>446</v>
      </c>
      <c r="P825">
        <v>28734</v>
      </c>
      <c r="R825" t="s">
        <v>23</v>
      </c>
      <c r="S825" s="1" t="s">
        <v>34218</v>
      </c>
    </row>
    <row r="826" spans="1:19" x14ac:dyDescent="0.25">
      <c r="A826">
        <v>101412167</v>
      </c>
      <c r="B826" t="s">
        <v>2702</v>
      </c>
      <c r="C826" t="s">
        <v>132</v>
      </c>
      <c r="F826" t="str">
        <f>"8568167193"</f>
        <v>8568167193</v>
      </c>
      <c r="G826" t="s">
        <v>2703</v>
      </c>
      <c r="H826" t="s">
        <v>2704</v>
      </c>
      <c r="I826" t="s">
        <v>250</v>
      </c>
      <c r="J826">
        <v>8260</v>
      </c>
      <c r="K826">
        <v>1430</v>
      </c>
      <c r="L826" t="s">
        <v>23</v>
      </c>
      <c r="M826" t="s">
        <v>2703</v>
      </c>
      <c r="N826" t="s">
        <v>2704</v>
      </c>
      <c r="O826" t="s">
        <v>250</v>
      </c>
      <c r="P826">
        <v>8260</v>
      </c>
      <c r="Q826">
        <v>1430</v>
      </c>
      <c r="R826" t="s">
        <v>23</v>
      </c>
      <c r="S826" s="1" t="s">
        <v>34218</v>
      </c>
    </row>
    <row r="827" spans="1:19" x14ac:dyDescent="0.25">
      <c r="A827">
        <v>101204729</v>
      </c>
      <c r="B827" t="s">
        <v>2705</v>
      </c>
      <c r="C827" t="s">
        <v>2706</v>
      </c>
      <c r="F827" t="str">
        <f>"3102774438"</f>
        <v>3102774438</v>
      </c>
      <c r="G827" t="s">
        <v>2707</v>
      </c>
      <c r="H827" t="s">
        <v>79</v>
      </c>
      <c r="I827" t="s">
        <v>22</v>
      </c>
      <c r="J827" t="s">
        <v>2708</v>
      </c>
      <c r="K827">
        <v>4180</v>
      </c>
      <c r="L827" t="s">
        <v>23</v>
      </c>
      <c r="M827" t="s">
        <v>2707</v>
      </c>
      <c r="N827" t="s">
        <v>79</v>
      </c>
      <c r="O827" t="s">
        <v>22</v>
      </c>
      <c r="P827" t="s">
        <v>2708</v>
      </c>
      <c r="Q827">
        <v>4180</v>
      </c>
      <c r="R827" t="s">
        <v>23</v>
      </c>
      <c r="S827" s="1" t="s">
        <v>34218</v>
      </c>
    </row>
    <row r="828" spans="1:19" x14ac:dyDescent="0.25">
      <c r="A828">
        <v>101262674</v>
      </c>
      <c r="B828" t="s">
        <v>2709</v>
      </c>
      <c r="C828" t="s">
        <v>274</v>
      </c>
      <c r="F828" t="str">
        <f>"9783745262"</f>
        <v>9783745262</v>
      </c>
      <c r="G828" t="s">
        <v>2710</v>
      </c>
      <c r="H828" t="s">
        <v>2711</v>
      </c>
      <c r="I828" t="s">
        <v>236</v>
      </c>
      <c r="J828">
        <v>1832</v>
      </c>
      <c r="K828">
        <v>4738</v>
      </c>
      <c r="L828" t="s">
        <v>23</v>
      </c>
      <c r="M828" t="s">
        <v>2710</v>
      </c>
      <c r="N828" t="s">
        <v>2711</v>
      </c>
      <c r="O828" t="s">
        <v>236</v>
      </c>
      <c r="P828">
        <v>1832</v>
      </c>
      <c r="Q828">
        <v>4738</v>
      </c>
      <c r="R828" t="s">
        <v>23</v>
      </c>
      <c r="S828" s="1" t="s">
        <v>34218</v>
      </c>
    </row>
    <row r="829" spans="1:19" x14ac:dyDescent="0.25">
      <c r="A829">
        <v>101290057</v>
      </c>
      <c r="B829" t="s">
        <v>2712</v>
      </c>
      <c r="C829" t="s">
        <v>403</v>
      </c>
      <c r="F829" t="str">
        <f>"4155858075"</f>
        <v>4155858075</v>
      </c>
      <c r="G829" t="s">
        <v>2713</v>
      </c>
      <c r="H829" t="s">
        <v>2714</v>
      </c>
      <c r="I829" t="s">
        <v>22</v>
      </c>
      <c r="J829">
        <v>94005</v>
      </c>
      <c r="K829">
        <v>1601</v>
      </c>
      <c r="L829" t="s">
        <v>23</v>
      </c>
      <c r="M829" t="s">
        <v>2713</v>
      </c>
      <c r="N829" t="s">
        <v>2714</v>
      </c>
      <c r="O829" t="s">
        <v>22</v>
      </c>
      <c r="P829">
        <v>94005</v>
      </c>
      <c r="Q829">
        <v>1601</v>
      </c>
      <c r="R829" t="s">
        <v>23</v>
      </c>
      <c r="S829" s="1" t="s">
        <v>34218</v>
      </c>
    </row>
    <row r="830" spans="1:19" x14ac:dyDescent="0.25">
      <c r="A830">
        <v>101168445</v>
      </c>
      <c r="B830" t="s">
        <v>2715</v>
      </c>
      <c r="C830" t="s">
        <v>225</v>
      </c>
      <c r="F830" t="str">
        <f>"8602234908"</f>
        <v>8602234908</v>
      </c>
      <c r="G830" t="s">
        <v>2716</v>
      </c>
      <c r="H830" t="s">
        <v>2717</v>
      </c>
      <c r="I830" t="s">
        <v>161</v>
      </c>
      <c r="J830">
        <v>6053</v>
      </c>
      <c r="L830" t="s">
        <v>23</v>
      </c>
      <c r="M830" t="s">
        <v>2716</v>
      </c>
      <c r="N830" t="s">
        <v>2717</v>
      </c>
      <c r="O830" t="s">
        <v>161</v>
      </c>
      <c r="P830">
        <v>6053</v>
      </c>
      <c r="R830" t="s">
        <v>23</v>
      </c>
      <c r="S830" s="1" t="s">
        <v>34218</v>
      </c>
    </row>
    <row r="831" spans="1:19" x14ac:dyDescent="0.25">
      <c r="A831">
        <v>101347383</v>
      </c>
      <c r="B831" t="s">
        <v>2718</v>
      </c>
      <c r="C831" t="s">
        <v>585</v>
      </c>
      <c r="F831" t="str">
        <f>"4404527708"</f>
        <v>4404527708</v>
      </c>
      <c r="G831" t="s">
        <v>2719</v>
      </c>
      <c r="H831" t="s">
        <v>1914</v>
      </c>
      <c r="I831" t="s">
        <v>178</v>
      </c>
      <c r="J831" t="s">
        <v>2720</v>
      </c>
      <c r="K831">
        <v>7312</v>
      </c>
      <c r="L831" t="s">
        <v>23</v>
      </c>
      <c r="M831" t="s">
        <v>2719</v>
      </c>
      <c r="N831" t="s">
        <v>1914</v>
      </c>
      <c r="O831" t="s">
        <v>178</v>
      </c>
      <c r="P831" t="s">
        <v>2720</v>
      </c>
      <c r="Q831">
        <v>7312</v>
      </c>
      <c r="R831" t="s">
        <v>23</v>
      </c>
      <c r="S831" s="1" t="s">
        <v>34218</v>
      </c>
    </row>
    <row r="832" spans="1:19" x14ac:dyDescent="0.25">
      <c r="A832">
        <v>101033856</v>
      </c>
      <c r="B832" t="s">
        <v>2721</v>
      </c>
      <c r="C832" t="s">
        <v>2722</v>
      </c>
      <c r="F832" t="str">
        <f>"3136293002"</f>
        <v>3136293002</v>
      </c>
      <c r="G832" t="s">
        <v>2723</v>
      </c>
      <c r="H832" t="s">
        <v>2724</v>
      </c>
      <c r="I832" t="s">
        <v>140</v>
      </c>
      <c r="J832" t="s">
        <v>2725</v>
      </c>
      <c r="K832">
        <v>3439</v>
      </c>
      <c r="L832" t="s">
        <v>23</v>
      </c>
      <c r="M832" t="s">
        <v>2723</v>
      </c>
      <c r="N832" t="s">
        <v>2724</v>
      </c>
      <c r="O832" t="s">
        <v>140</v>
      </c>
      <c r="P832" t="s">
        <v>2725</v>
      </c>
      <c r="Q832">
        <v>3439</v>
      </c>
      <c r="R832" t="s">
        <v>23</v>
      </c>
      <c r="S832" s="1" t="s">
        <v>34218</v>
      </c>
    </row>
    <row r="833" spans="1:19" x14ac:dyDescent="0.25">
      <c r="A833">
        <v>100523209</v>
      </c>
      <c r="B833" t="s">
        <v>2726</v>
      </c>
      <c r="C833" t="s">
        <v>2727</v>
      </c>
      <c r="F833" t="str">
        <f>"3034444423"</f>
        <v>3034444423</v>
      </c>
      <c r="G833" t="s">
        <v>2728</v>
      </c>
      <c r="H833" t="s">
        <v>423</v>
      </c>
      <c r="I833" t="s">
        <v>71</v>
      </c>
      <c r="J833">
        <v>80305</v>
      </c>
      <c r="L833" t="s">
        <v>23</v>
      </c>
      <c r="M833" t="s">
        <v>2728</v>
      </c>
      <c r="N833" t="s">
        <v>423</v>
      </c>
      <c r="O833" t="s">
        <v>71</v>
      </c>
      <c r="P833">
        <v>80305</v>
      </c>
      <c r="R833" t="s">
        <v>23</v>
      </c>
      <c r="S833" s="1" t="s">
        <v>34218</v>
      </c>
    </row>
    <row r="834" spans="1:19" x14ac:dyDescent="0.25">
      <c r="A834">
        <v>100598531</v>
      </c>
      <c r="B834" t="s">
        <v>2729</v>
      </c>
      <c r="C834" t="s">
        <v>867</v>
      </c>
      <c r="F834" t="str">
        <f>"2022650653"</f>
        <v>2022650653</v>
      </c>
      <c r="H834" t="s">
        <v>254</v>
      </c>
      <c r="I834" t="s">
        <v>255</v>
      </c>
      <c r="J834">
        <v>22901</v>
      </c>
      <c r="L834" t="s">
        <v>23</v>
      </c>
      <c r="N834" t="s">
        <v>254</v>
      </c>
      <c r="O834" t="s">
        <v>255</v>
      </c>
      <c r="P834">
        <v>22901</v>
      </c>
      <c r="R834" t="s">
        <v>23</v>
      </c>
      <c r="S834" s="1" t="s">
        <v>34218</v>
      </c>
    </row>
    <row r="835" spans="1:19" x14ac:dyDescent="0.25">
      <c r="A835">
        <v>101205070</v>
      </c>
      <c r="B835" t="s">
        <v>793</v>
      </c>
      <c r="C835" t="s">
        <v>1179</v>
      </c>
      <c r="F835" t="str">
        <f>"3239362029"</f>
        <v>3239362029</v>
      </c>
      <c r="G835" t="s">
        <v>2730</v>
      </c>
      <c r="H835" t="s">
        <v>299</v>
      </c>
      <c r="I835" t="s">
        <v>22</v>
      </c>
      <c r="J835" t="s">
        <v>2731</v>
      </c>
      <c r="K835">
        <v>3480</v>
      </c>
      <c r="L835" t="s">
        <v>23</v>
      </c>
      <c r="M835" t="s">
        <v>2730</v>
      </c>
      <c r="N835" t="s">
        <v>299</v>
      </c>
      <c r="O835" t="s">
        <v>22</v>
      </c>
      <c r="P835" t="s">
        <v>2731</v>
      </c>
      <c r="Q835">
        <v>3480</v>
      </c>
      <c r="R835" t="s">
        <v>23</v>
      </c>
      <c r="S835" s="1" t="s">
        <v>34218</v>
      </c>
    </row>
    <row r="836" spans="1:19" x14ac:dyDescent="0.25">
      <c r="A836">
        <v>100565440</v>
      </c>
      <c r="B836" t="s">
        <v>2426</v>
      </c>
      <c r="C836" t="s">
        <v>40</v>
      </c>
      <c r="F836" t="str">
        <f>"2122555192"</f>
        <v>2122555192</v>
      </c>
      <c r="G836" t="s">
        <v>2732</v>
      </c>
      <c r="H836" t="s">
        <v>653</v>
      </c>
      <c r="I836" t="s">
        <v>117</v>
      </c>
      <c r="J836">
        <v>10001</v>
      </c>
      <c r="K836">
        <v>4838</v>
      </c>
      <c r="L836" t="s">
        <v>23</v>
      </c>
      <c r="M836" t="s">
        <v>2732</v>
      </c>
      <c r="N836" t="s">
        <v>653</v>
      </c>
      <c r="O836" t="s">
        <v>117</v>
      </c>
      <c r="P836">
        <v>10001</v>
      </c>
      <c r="Q836">
        <v>4838</v>
      </c>
      <c r="R836" t="s">
        <v>23</v>
      </c>
      <c r="S836" s="1" t="s">
        <v>34218</v>
      </c>
    </row>
    <row r="837" spans="1:19" x14ac:dyDescent="0.25">
      <c r="A837">
        <v>101412636</v>
      </c>
      <c r="B837" t="s">
        <v>2733</v>
      </c>
      <c r="C837" t="s">
        <v>2734</v>
      </c>
      <c r="F837" t="str">
        <f>"5555555555"</f>
        <v>5555555555</v>
      </c>
      <c r="G837" t="s">
        <v>2735</v>
      </c>
      <c r="H837" t="s">
        <v>1105</v>
      </c>
      <c r="I837" t="s">
        <v>117</v>
      </c>
      <c r="J837">
        <v>10462</v>
      </c>
      <c r="K837">
        <v>7426</v>
      </c>
      <c r="L837" t="s">
        <v>23</v>
      </c>
      <c r="M837" t="s">
        <v>2735</v>
      </c>
      <c r="N837" t="s">
        <v>1105</v>
      </c>
      <c r="O837" t="s">
        <v>117</v>
      </c>
      <c r="P837">
        <v>10462</v>
      </c>
      <c r="Q837">
        <v>7426</v>
      </c>
      <c r="R837" t="s">
        <v>23</v>
      </c>
      <c r="S837" s="1" t="s">
        <v>34218</v>
      </c>
    </row>
    <row r="838" spans="1:19" x14ac:dyDescent="0.25">
      <c r="A838">
        <v>100949052</v>
      </c>
      <c r="B838" t="s">
        <v>2736</v>
      </c>
      <c r="C838" t="s">
        <v>2737</v>
      </c>
      <c r="F838" t="str">
        <f>"5555555555"</f>
        <v>5555555555</v>
      </c>
      <c r="G838">
        <v>97405</v>
      </c>
      <c r="H838" t="s">
        <v>1452</v>
      </c>
      <c r="I838" t="s">
        <v>43</v>
      </c>
      <c r="J838">
        <v>97405</v>
      </c>
      <c r="L838" t="s">
        <v>23</v>
      </c>
      <c r="M838">
        <v>97405</v>
      </c>
      <c r="N838" t="s">
        <v>1452</v>
      </c>
      <c r="O838" t="s">
        <v>43</v>
      </c>
      <c r="P838">
        <v>97405</v>
      </c>
      <c r="R838" t="s">
        <v>23</v>
      </c>
      <c r="S838" s="1" t="s">
        <v>34218</v>
      </c>
    </row>
    <row r="839" spans="1:19" x14ac:dyDescent="0.25">
      <c r="A839">
        <v>100877475</v>
      </c>
      <c r="B839" t="s">
        <v>2738</v>
      </c>
      <c r="C839" t="s">
        <v>1223</v>
      </c>
      <c r="F839" t="str">
        <f>"2815565913"</f>
        <v>2815565913</v>
      </c>
      <c r="G839" t="s">
        <v>2739</v>
      </c>
      <c r="H839" t="s">
        <v>1402</v>
      </c>
      <c r="I839" t="s">
        <v>38</v>
      </c>
      <c r="J839">
        <v>77079</v>
      </c>
      <c r="L839" t="s">
        <v>23</v>
      </c>
      <c r="M839" t="s">
        <v>2739</v>
      </c>
      <c r="N839" t="s">
        <v>1402</v>
      </c>
      <c r="O839" t="s">
        <v>38</v>
      </c>
      <c r="P839">
        <v>77079</v>
      </c>
      <c r="R839" t="s">
        <v>23</v>
      </c>
      <c r="S839" s="1" t="s">
        <v>34218</v>
      </c>
    </row>
    <row r="840" spans="1:19" x14ac:dyDescent="0.25">
      <c r="A840">
        <v>101268375</v>
      </c>
      <c r="B840" t="s">
        <v>2740</v>
      </c>
      <c r="C840" t="s">
        <v>2741</v>
      </c>
      <c r="F840" t="str">
        <f>"9179221606"</f>
        <v>9179221606</v>
      </c>
      <c r="G840" t="s">
        <v>2742</v>
      </c>
      <c r="H840" t="s">
        <v>2743</v>
      </c>
      <c r="I840" t="s">
        <v>984</v>
      </c>
      <c r="J840">
        <v>96761</v>
      </c>
      <c r="K840">
        <v>2902</v>
      </c>
      <c r="L840" t="s">
        <v>23</v>
      </c>
      <c r="M840" t="s">
        <v>2742</v>
      </c>
      <c r="N840" t="s">
        <v>2743</v>
      </c>
      <c r="O840" t="s">
        <v>984</v>
      </c>
      <c r="P840">
        <v>96761</v>
      </c>
      <c r="Q840">
        <v>2902</v>
      </c>
      <c r="R840" t="s">
        <v>23</v>
      </c>
      <c r="S840" s="1" t="s">
        <v>34218</v>
      </c>
    </row>
    <row r="841" spans="1:19" x14ac:dyDescent="0.25">
      <c r="A841">
        <v>101083806</v>
      </c>
      <c r="B841" t="s">
        <v>2744</v>
      </c>
      <c r="C841" t="s">
        <v>2653</v>
      </c>
      <c r="F841" t="str">
        <f>"3136089498"</f>
        <v>3136089498</v>
      </c>
      <c r="G841" t="s">
        <v>2745</v>
      </c>
      <c r="H841" t="s">
        <v>139</v>
      </c>
      <c r="I841" t="s">
        <v>140</v>
      </c>
      <c r="J841">
        <v>48187</v>
      </c>
      <c r="K841">
        <v>3547</v>
      </c>
      <c r="L841" t="s">
        <v>23</v>
      </c>
      <c r="M841" t="s">
        <v>2745</v>
      </c>
      <c r="N841" t="s">
        <v>139</v>
      </c>
      <c r="O841" t="s">
        <v>140</v>
      </c>
      <c r="P841">
        <v>48187</v>
      </c>
      <c r="Q841">
        <v>3547</v>
      </c>
      <c r="R841" t="s">
        <v>23</v>
      </c>
      <c r="S841" s="1" t="s">
        <v>34218</v>
      </c>
    </row>
    <row r="842" spans="1:19" x14ac:dyDescent="0.25">
      <c r="A842">
        <v>101234609</v>
      </c>
      <c r="B842" t="s">
        <v>2701</v>
      </c>
      <c r="C842" t="s">
        <v>1331</v>
      </c>
      <c r="F842" t="str">
        <f>"5598558488"</f>
        <v>5598558488</v>
      </c>
      <c r="G842" t="s">
        <v>2746</v>
      </c>
      <c r="H842" t="s">
        <v>2747</v>
      </c>
      <c r="I842" t="s">
        <v>22</v>
      </c>
      <c r="J842">
        <v>93602</v>
      </c>
      <c r="K842">
        <v>9533</v>
      </c>
      <c r="L842" t="s">
        <v>23</v>
      </c>
      <c r="M842" t="s">
        <v>2746</v>
      </c>
      <c r="N842" t="s">
        <v>2747</v>
      </c>
      <c r="O842" t="s">
        <v>22</v>
      </c>
      <c r="P842">
        <v>93602</v>
      </c>
      <c r="Q842">
        <v>9533</v>
      </c>
      <c r="R842" t="s">
        <v>23</v>
      </c>
      <c r="S842" s="1" t="s">
        <v>34218</v>
      </c>
    </row>
    <row r="843" spans="1:19" x14ac:dyDescent="0.25">
      <c r="A843">
        <v>101221580</v>
      </c>
      <c r="B843" t="s">
        <v>2531</v>
      </c>
      <c r="C843" t="s">
        <v>585</v>
      </c>
      <c r="F843" t="str">
        <f>"3018346064"</f>
        <v>3018346064</v>
      </c>
      <c r="G843" t="s">
        <v>2748</v>
      </c>
      <c r="H843" t="s">
        <v>2749</v>
      </c>
      <c r="I843" t="s">
        <v>148</v>
      </c>
      <c r="J843">
        <v>21716</v>
      </c>
      <c r="K843">
        <v>1119</v>
      </c>
      <c r="L843" t="s">
        <v>23</v>
      </c>
      <c r="M843" t="s">
        <v>2748</v>
      </c>
      <c r="N843" t="s">
        <v>2749</v>
      </c>
      <c r="O843" t="s">
        <v>148</v>
      </c>
      <c r="P843">
        <v>21716</v>
      </c>
      <c r="Q843">
        <v>1119</v>
      </c>
      <c r="R843" t="s">
        <v>23</v>
      </c>
      <c r="S843" s="1" t="s">
        <v>34218</v>
      </c>
    </row>
    <row r="844" spans="1:19" x14ac:dyDescent="0.25">
      <c r="A844">
        <v>101222224</v>
      </c>
      <c r="B844" t="s">
        <v>2750</v>
      </c>
      <c r="C844" t="s">
        <v>2751</v>
      </c>
      <c r="F844" t="str">
        <f>"3345463031"</f>
        <v>3345463031</v>
      </c>
      <c r="G844" t="s">
        <v>2752</v>
      </c>
      <c r="H844" t="s">
        <v>2753</v>
      </c>
      <c r="I844" t="s">
        <v>33</v>
      </c>
      <c r="J844">
        <v>16830</v>
      </c>
      <c r="K844">
        <v>672</v>
      </c>
      <c r="L844" t="s">
        <v>23</v>
      </c>
      <c r="M844" t="s">
        <v>2752</v>
      </c>
      <c r="N844" t="s">
        <v>2753</v>
      </c>
      <c r="O844" t="s">
        <v>33</v>
      </c>
      <c r="P844">
        <v>16830</v>
      </c>
      <c r="Q844">
        <v>672</v>
      </c>
      <c r="R844" t="s">
        <v>23</v>
      </c>
      <c r="S844" s="1" t="s">
        <v>34218</v>
      </c>
    </row>
    <row r="845" spans="1:19" x14ac:dyDescent="0.25">
      <c r="A845">
        <v>101390138</v>
      </c>
      <c r="B845" t="s">
        <v>2754</v>
      </c>
      <c r="C845" t="s">
        <v>45</v>
      </c>
      <c r="F845" t="str">
        <f>"8019557829"</f>
        <v>8019557829</v>
      </c>
      <c r="G845" t="s">
        <v>2755</v>
      </c>
      <c r="H845" t="s">
        <v>2756</v>
      </c>
      <c r="I845" t="s">
        <v>348</v>
      </c>
      <c r="J845">
        <v>83202</v>
      </c>
      <c r="L845" t="s">
        <v>23</v>
      </c>
      <c r="M845" t="s">
        <v>2755</v>
      </c>
      <c r="N845" t="s">
        <v>2756</v>
      </c>
      <c r="O845" t="s">
        <v>348</v>
      </c>
      <c r="P845">
        <v>83202</v>
      </c>
      <c r="R845" t="s">
        <v>23</v>
      </c>
      <c r="S845" s="1" t="s">
        <v>34218</v>
      </c>
    </row>
    <row r="846" spans="1:19" x14ac:dyDescent="0.25">
      <c r="A846">
        <v>100813993</v>
      </c>
      <c r="B846" t="s">
        <v>2757</v>
      </c>
      <c r="C846" t="s">
        <v>2758</v>
      </c>
      <c r="F846" t="str">
        <f>"5124760434"</f>
        <v>5124760434</v>
      </c>
      <c r="G846" t="s">
        <v>2759</v>
      </c>
      <c r="H846" t="s">
        <v>37</v>
      </c>
      <c r="I846" t="s">
        <v>38</v>
      </c>
      <c r="J846">
        <v>78703</v>
      </c>
      <c r="L846" t="s">
        <v>23</v>
      </c>
      <c r="M846" t="s">
        <v>2759</v>
      </c>
      <c r="N846" t="s">
        <v>37</v>
      </c>
      <c r="O846" t="s">
        <v>38</v>
      </c>
      <c r="P846">
        <v>78703</v>
      </c>
      <c r="R846" t="s">
        <v>23</v>
      </c>
      <c r="S846" s="1" t="s">
        <v>34218</v>
      </c>
    </row>
    <row r="847" spans="1:19" x14ac:dyDescent="0.25">
      <c r="A847">
        <v>100775003</v>
      </c>
      <c r="B847" t="s">
        <v>1326</v>
      </c>
      <c r="C847" t="s">
        <v>2760</v>
      </c>
      <c r="F847" t="str">
        <f>"2064567890"</f>
        <v>2064567890</v>
      </c>
      <c r="G847" t="s">
        <v>2761</v>
      </c>
      <c r="H847" t="s">
        <v>2762</v>
      </c>
      <c r="I847" t="s">
        <v>43</v>
      </c>
      <c r="J847">
        <v>97439</v>
      </c>
      <c r="K847">
        <v>8885</v>
      </c>
      <c r="L847" t="s">
        <v>23</v>
      </c>
      <c r="M847" t="s">
        <v>2761</v>
      </c>
      <c r="N847" t="s">
        <v>2762</v>
      </c>
      <c r="O847" t="s">
        <v>43</v>
      </c>
      <c r="P847">
        <v>97439</v>
      </c>
      <c r="Q847">
        <v>8885</v>
      </c>
      <c r="R847" t="s">
        <v>23</v>
      </c>
      <c r="S847" s="1" t="s">
        <v>34218</v>
      </c>
    </row>
    <row r="848" spans="1:19" x14ac:dyDescent="0.25">
      <c r="A848">
        <v>100689445</v>
      </c>
      <c r="B848" t="s">
        <v>1164</v>
      </c>
      <c r="C848" t="s">
        <v>2763</v>
      </c>
      <c r="F848" t="str">
        <f>"3035188059"</f>
        <v>3035188059</v>
      </c>
      <c r="G848" t="s">
        <v>2764</v>
      </c>
      <c r="H848" t="s">
        <v>2765</v>
      </c>
      <c r="I848" t="s">
        <v>22</v>
      </c>
      <c r="J848">
        <v>91342</v>
      </c>
      <c r="K848">
        <v>5162</v>
      </c>
      <c r="L848" t="s">
        <v>23</v>
      </c>
      <c r="M848" t="s">
        <v>2764</v>
      </c>
      <c r="N848" t="s">
        <v>2765</v>
      </c>
      <c r="O848" t="s">
        <v>22</v>
      </c>
      <c r="P848">
        <v>91342</v>
      </c>
      <c r="Q848">
        <v>5162</v>
      </c>
      <c r="R848" t="s">
        <v>23</v>
      </c>
      <c r="S848" s="1" t="s">
        <v>34218</v>
      </c>
    </row>
    <row r="849" spans="1:19" x14ac:dyDescent="0.25">
      <c r="A849">
        <v>101299219</v>
      </c>
      <c r="B849" t="s">
        <v>2766</v>
      </c>
      <c r="C849" t="s">
        <v>2767</v>
      </c>
      <c r="F849" t="str">
        <f>"2393078701"</f>
        <v>2393078701</v>
      </c>
      <c r="G849" t="s">
        <v>2768</v>
      </c>
      <c r="H849" t="s">
        <v>2769</v>
      </c>
      <c r="I849" t="s">
        <v>52</v>
      </c>
      <c r="J849">
        <v>34113</v>
      </c>
      <c r="K849">
        <v>8327</v>
      </c>
      <c r="L849" t="s">
        <v>23</v>
      </c>
      <c r="M849" t="s">
        <v>2768</v>
      </c>
      <c r="N849" t="s">
        <v>2769</v>
      </c>
      <c r="O849" t="s">
        <v>52</v>
      </c>
      <c r="P849">
        <v>34113</v>
      </c>
      <c r="Q849">
        <v>8327</v>
      </c>
      <c r="R849" t="s">
        <v>23</v>
      </c>
      <c r="S849" s="1" t="s">
        <v>34218</v>
      </c>
    </row>
    <row r="850" spans="1:19" x14ac:dyDescent="0.25">
      <c r="A850">
        <v>101206427</v>
      </c>
      <c r="B850" t="s">
        <v>2770</v>
      </c>
      <c r="C850" t="s">
        <v>2771</v>
      </c>
      <c r="F850" t="str">
        <f>"7022902013"</f>
        <v>7022902013</v>
      </c>
      <c r="G850" t="s">
        <v>2772</v>
      </c>
      <c r="H850" t="s">
        <v>1787</v>
      </c>
      <c r="I850" t="s">
        <v>702</v>
      </c>
      <c r="J850">
        <v>89117</v>
      </c>
      <c r="K850">
        <v>603</v>
      </c>
      <c r="L850" t="s">
        <v>23</v>
      </c>
      <c r="M850" t="s">
        <v>2772</v>
      </c>
      <c r="N850" t="s">
        <v>1787</v>
      </c>
      <c r="O850" t="s">
        <v>702</v>
      </c>
      <c r="P850">
        <v>89117</v>
      </c>
      <c r="Q850">
        <v>603</v>
      </c>
      <c r="R850" t="s">
        <v>23</v>
      </c>
      <c r="S850" s="1" t="s">
        <v>34218</v>
      </c>
    </row>
    <row r="851" spans="1:19" x14ac:dyDescent="0.25">
      <c r="A851">
        <v>101226966</v>
      </c>
      <c r="B851" t="s">
        <v>2773</v>
      </c>
      <c r="C851" t="s">
        <v>2642</v>
      </c>
      <c r="F851" t="str">
        <f>"4789940110"</f>
        <v>4789940110</v>
      </c>
      <c r="G851" t="s">
        <v>2774</v>
      </c>
      <c r="H851" t="s">
        <v>2775</v>
      </c>
      <c r="I851" t="s">
        <v>28</v>
      </c>
      <c r="J851">
        <v>31029</v>
      </c>
      <c r="K851">
        <v>9137</v>
      </c>
      <c r="L851" t="s">
        <v>23</v>
      </c>
      <c r="M851" t="s">
        <v>2774</v>
      </c>
      <c r="N851" t="s">
        <v>2775</v>
      </c>
      <c r="O851" t="s">
        <v>28</v>
      </c>
      <c r="P851">
        <v>31029</v>
      </c>
      <c r="Q851">
        <v>9137</v>
      </c>
      <c r="R851" t="s">
        <v>23</v>
      </c>
      <c r="S851" s="1" t="s">
        <v>34218</v>
      </c>
    </row>
    <row r="852" spans="1:19" x14ac:dyDescent="0.25">
      <c r="A852">
        <v>100672275</v>
      </c>
      <c r="B852" t="s">
        <v>1335</v>
      </c>
      <c r="C852" t="s">
        <v>2776</v>
      </c>
      <c r="F852" t="str">
        <f>"4134893097"</f>
        <v>4134893097</v>
      </c>
      <c r="G852" t="s">
        <v>2777</v>
      </c>
      <c r="H852" t="s">
        <v>2778</v>
      </c>
      <c r="I852" t="s">
        <v>236</v>
      </c>
      <c r="J852" t="s">
        <v>2779</v>
      </c>
      <c r="K852">
        <v>9733</v>
      </c>
      <c r="L852" t="s">
        <v>23</v>
      </c>
      <c r="M852" t="s">
        <v>2777</v>
      </c>
      <c r="N852" t="s">
        <v>2778</v>
      </c>
      <c r="O852" t="s">
        <v>236</v>
      </c>
      <c r="P852" t="s">
        <v>2779</v>
      </c>
      <c r="Q852">
        <v>9733</v>
      </c>
      <c r="R852" t="s">
        <v>23</v>
      </c>
      <c r="S852" s="1" t="s">
        <v>34218</v>
      </c>
    </row>
    <row r="853" spans="1:19" x14ac:dyDescent="0.25">
      <c r="A853">
        <v>100875518</v>
      </c>
      <c r="B853" t="s">
        <v>2780</v>
      </c>
      <c r="C853" t="s">
        <v>2781</v>
      </c>
      <c r="F853" t="str">
        <f>"9386070494"</f>
        <v>9386070494</v>
      </c>
      <c r="G853">
        <v>1060</v>
      </c>
      <c r="H853" t="s">
        <v>1113</v>
      </c>
      <c r="I853" t="s">
        <v>365</v>
      </c>
      <c r="J853">
        <v>86001</v>
      </c>
      <c r="L853" t="s">
        <v>23</v>
      </c>
      <c r="M853">
        <v>1060</v>
      </c>
      <c r="N853" t="s">
        <v>1113</v>
      </c>
      <c r="O853" t="s">
        <v>365</v>
      </c>
      <c r="P853">
        <v>86001</v>
      </c>
      <c r="R853" t="s">
        <v>23</v>
      </c>
      <c r="S853" s="1" t="s">
        <v>34218</v>
      </c>
    </row>
    <row r="854" spans="1:19" x14ac:dyDescent="0.25">
      <c r="A854">
        <v>101301838</v>
      </c>
      <c r="B854" t="s">
        <v>2782</v>
      </c>
      <c r="C854" t="s">
        <v>1036</v>
      </c>
      <c r="F854" t="str">
        <f>"5187888869"</f>
        <v>5187888869</v>
      </c>
      <c r="G854" t="s">
        <v>2783</v>
      </c>
      <c r="H854" t="s">
        <v>2784</v>
      </c>
      <c r="I854" t="s">
        <v>117</v>
      </c>
      <c r="J854">
        <v>12180</v>
      </c>
      <c r="K854">
        <v>6957</v>
      </c>
      <c r="L854" t="s">
        <v>23</v>
      </c>
      <c r="M854" t="s">
        <v>2783</v>
      </c>
      <c r="N854" t="s">
        <v>2784</v>
      </c>
      <c r="O854" t="s">
        <v>117</v>
      </c>
      <c r="P854">
        <v>12180</v>
      </c>
      <c r="Q854">
        <v>6957</v>
      </c>
      <c r="R854" t="s">
        <v>23</v>
      </c>
      <c r="S854" s="1" t="s">
        <v>34218</v>
      </c>
    </row>
    <row r="855" spans="1:19" x14ac:dyDescent="0.25">
      <c r="A855">
        <v>100656871</v>
      </c>
      <c r="B855" t="s">
        <v>2785</v>
      </c>
      <c r="C855" t="s">
        <v>2786</v>
      </c>
      <c r="F855" t="str">
        <f>"4435381847"</f>
        <v>4435381847</v>
      </c>
      <c r="G855" t="s">
        <v>2787</v>
      </c>
      <c r="H855" t="s">
        <v>2640</v>
      </c>
      <c r="I855" t="s">
        <v>52</v>
      </c>
      <c r="J855" t="s">
        <v>2788</v>
      </c>
      <c r="K855">
        <v>2437</v>
      </c>
      <c r="L855" t="s">
        <v>23</v>
      </c>
      <c r="M855" t="s">
        <v>2787</v>
      </c>
      <c r="N855" t="s">
        <v>2640</v>
      </c>
      <c r="O855" t="s">
        <v>52</v>
      </c>
      <c r="P855" t="s">
        <v>2788</v>
      </c>
      <c r="Q855">
        <v>2437</v>
      </c>
      <c r="R855" t="s">
        <v>23</v>
      </c>
      <c r="S855" s="1" t="s">
        <v>34218</v>
      </c>
    </row>
    <row r="856" spans="1:19" x14ac:dyDescent="0.25">
      <c r="A856">
        <v>100537706</v>
      </c>
      <c r="B856" t="s">
        <v>2789</v>
      </c>
      <c r="C856" t="s">
        <v>2790</v>
      </c>
      <c r="F856" t="str">
        <f>"9198952760"</f>
        <v>9198952760</v>
      </c>
      <c r="G856" t="s">
        <v>2791</v>
      </c>
      <c r="H856" t="s">
        <v>2792</v>
      </c>
      <c r="I856" t="s">
        <v>446</v>
      </c>
      <c r="J856">
        <v>27519</v>
      </c>
      <c r="K856">
        <v>7163</v>
      </c>
      <c r="L856" t="s">
        <v>23</v>
      </c>
      <c r="M856" t="s">
        <v>2791</v>
      </c>
      <c r="N856" t="s">
        <v>2792</v>
      </c>
      <c r="O856" t="s">
        <v>446</v>
      </c>
      <c r="P856">
        <v>27519</v>
      </c>
      <c r="Q856">
        <v>7163</v>
      </c>
      <c r="R856" t="s">
        <v>23</v>
      </c>
      <c r="S856" s="1" t="s">
        <v>34218</v>
      </c>
    </row>
    <row r="857" spans="1:19" x14ac:dyDescent="0.25">
      <c r="A857">
        <v>101334054</v>
      </c>
      <c r="B857" t="s">
        <v>2793</v>
      </c>
      <c r="C857" t="s">
        <v>956</v>
      </c>
      <c r="F857" t="str">
        <f>"3092550438"</f>
        <v>3092550438</v>
      </c>
      <c r="G857" t="s">
        <v>2794</v>
      </c>
      <c r="H857" t="s">
        <v>169</v>
      </c>
      <c r="I857" t="s">
        <v>135</v>
      </c>
      <c r="J857">
        <v>61571</v>
      </c>
      <c r="K857">
        <v>3501</v>
      </c>
      <c r="L857" t="s">
        <v>23</v>
      </c>
      <c r="M857" t="s">
        <v>2794</v>
      </c>
      <c r="N857" t="s">
        <v>169</v>
      </c>
      <c r="O857" t="s">
        <v>135</v>
      </c>
      <c r="P857">
        <v>61571</v>
      </c>
      <c r="Q857">
        <v>3501</v>
      </c>
      <c r="R857" t="s">
        <v>23</v>
      </c>
      <c r="S857" s="1" t="s">
        <v>34218</v>
      </c>
    </row>
    <row r="858" spans="1:19" x14ac:dyDescent="0.25">
      <c r="A858">
        <v>100598340</v>
      </c>
      <c r="B858" t="s">
        <v>2795</v>
      </c>
      <c r="C858" t="s">
        <v>2796</v>
      </c>
      <c r="F858" t="str">
        <f>"6303514546"</f>
        <v>6303514546</v>
      </c>
      <c r="G858" t="s">
        <v>2797</v>
      </c>
      <c r="H858" t="s">
        <v>2798</v>
      </c>
      <c r="I858" t="s">
        <v>135</v>
      </c>
      <c r="J858">
        <v>60109</v>
      </c>
      <c r="L858" t="s">
        <v>23</v>
      </c>
      <c r="M858" t="s">
        <v>2797</v>
      </c>
      <c r="N858" t="s">
        <v>2798</v>
      </c>
      <c r="O858" t="s">
        <v>135</v>
      </c>
      <c r="P858">
        <v>60109</v>
      </c>
      <c r="R858" t="s">
        <v>23</v>
      </c>
      <c r="S858" s="1" t="s">
        <v>34218</v>
      </c>
    </row>
    <row r="859" spans="1:19" x14ac:dyDescent="0.25">
      <c r="A859">
        <v>100816911</v>
      </c>
      <c r="B859" t="s">
        <v>2799</v>
      </c>
      <c r="C859" t="s">
        <v>1107</v>
      </c>
      <c r="F859" t="str">
        <f>"4019966879"</f>
        <v>4019966879</v>
      </c>
      <c r="G859" t="s">
        <v>2800</v>
      </c>
      <c r="H859" t="s">
        <v>29</v>
      </c>
      <c r="I859" t="s">
        <v>161</v>
      </c>
      <c r="J859">
        <v>6277</v>
      </c>
      <c r="K859">
        <v>2208</v>
      </c>
      <c r="L859" t="s">
        <v>23</v>
      </c>
      <c r="M859" t="s">
        <v>2800</v>
      </c>
      <c r="N859" t="s">
        <v>29</v>
      </c>
      <c r="O859" t="s">
        <v>161</v>
      </c>
      <c r="P859">
        <v>6277</v>
      </c>
      <c r="Q859">
        <v>2208</v>
      </c>
      <c r="R859" t="s">
        <v>23</v>
      </c>
      <c r="S859" s="1" t="s">
        <v>34218</v>
      </c>
    </row>
    <row r="860" spans="1:19" x14ac:dyDescent="0.25">
      <c r="A860">
        <v>101162929</v>
      </c>
      <c r="B860" t="s">
        <v>2801</v>
      </c>
      <c r="C860" t="s">
        <v>2802</v>
      </c>
      <c r="F860" t="str">
        <f>"6026169500"</f>
        <v>6026169500</v>
      </c>
      <c r="G860" t="s">
        <v>2803</v>
      </c>
      <c r="H860" t="s">
        <v>471</v>
      </c>
      <c r="I860" t="s">
        <v>365</v>
      </c>
      <c r="J860">
        <v>85251</v>
      </c>
      <c r="L860" t="s">
        <v>23</v>
      </c>
      <c r="M860" t="s">
        <v>2803</v>
      </c>
      <c r="N860" t="s">
        <v>471</v>
      </c>
      <c r="O860" t="s">
        <v>365</v>
      </c>
      <c r="P860">
        <v>85251</v>
      </c>
      <c r="R860" t="s">
        <v>23</v>
      </c>
      <c r="S860" s="1" t="s">
        <v>34218</v>
      </c>
    </row>
    <row r="861" spans="1:19" x14ac:dyDescent="0.25">
      <c r="A861">
        <v>100674862</v>
      </c>
      <c r="B861" t="s">
        <v>2804</v>
      </c>
      <c r="C861" t="s">
        <v>641</v>
      </c>
      <c r="F861" t="str">
        <f>"5207331226"</f>
        <v>5207331226</v>
      </c>
      <c r="G861" t="s">
        <v>2805</v>
      </c>
      <c r="H861" t="s">
        <v>1439</v>
      </c>
      <c r="I861" t="s">
        <v>365</v>
      </c>
      <c r="J861">
        <v>85719</v>
      </c>
      <c r="K861">
        <v>4910</v>
      </c>
      <c r="L861" t="s">
        <v>23</v>
      </c>
      <c r="M861" t="s">
        <v>2805</v>
      </c>
      <c r="N861" t="s">
        <v>1439</v>
      </c>
      <c r="O861" t="s">
        <v>365</v>
      </c>
      <c r="P861">
        <v>85719</v>
      </c>
      <c r="Q861">
        <v>4910</v>
      </c>
      <c r="R861" t="s">
        <v>23</v>
      </c>
      <c r="S861" s="1" t="s">
        <v>34218</v>
      </c>
    </row>
    <row r="862" spans="1:19" x14ac:dyDescent="0.25">
      <c r="A862">
        <v>101301111</v>
      </c>
      <c r="B862" t="s">
        <v>2806</v>
      </c>
      <c r="C862" t="s">
        <v>2807</v>
      </c>
      <c r="F862" t="str">
        <f>"7088484943"</f>
        <v>7088484943</v>
      </c>
      <c r="G862" t="s">
        <v>2808</v>
      </c>
      <c r="H862" t="s">
        <v>2809</v>
      </c>
      <c r="I862" t="s">
        <v>135</v>
      </c>
      <c r="J862" t="s">
        <v>2810</v>
      </c>
      <c r="K862">
        <v>3172</v>
      </c>
      <c r="L862" t="s">
        <v>23</v>
      </c>
      <c r="M862" t="s">
        <v>2808</v>
      </c>
      <c r="N862" t="s">
        <v>2809</v>
      </c>
      <c r="O862" t="s">
        <v>135</v>
      </c>
      <c r="P862" t="s">
        <v>2810</v>
      </c>
      <c r="Q862">
        <v>3172</v>
      </c>
      <c r="R862" t="s">
        <v>23</v>
      </c>
      <c r="S862" s="1" t="s">
        <v>34218</v>
      </c>
    </row>
    <row r="863" spans="1:19" x14ac:dyDescent="0.25">
      <c r="A863">
        <v>100540984</v>
      </c>
      <c r="B863" t="s">
        <v>1622</v>
      </c>
      <c r="C863" t="s">
        <v>329</v>
      </c>
      <c r="F863" t="str">
        <f>"6503212545"</f>
        <v>6503212545</v>
      </c>
      <c r="G863" t="s">
        <v>2811</v>
      </c>
      <c r="H863" t="s">
        <v>1325</v>
      </c>
      <c r="I863" t="s">
        <v>22</v>
      </c>
      <c r="J863">
        <v>94303</v>
      </c>
      <c r="K863">
        <v>2824</v>
      </c>
      <c r="L863" t="s">
        <v>23</v>
      </c>
      <c r="M863" t="s">
        <v>2811</v>
      </c>
      <c r="N863" t="s">
        <v>1325</v>
      </c>
      <c r="O863" t="s">
        <v>22</v>
      </c>
      <c r="P863">
        <v>94303</v>
      </c>
      <c r="Q863">
        <v>2824</v>
      </c>
      <c r="R863" t="s">
        <v>23</v>
      </c>
      <c r="S863" s="1" t="s">
        <v>34218</v>
      </c>
    </row>
    <row r="864" spans="1:19" x14ac:dyDescent="0.25">
      <c r="A864">
        <v>101067097</v>
      </c>
      <c r="B864" t="s">
        <v>2812</v>
      </c>
      <c r="C864" t="s">
        <v>2813</v>
      </c>
      <c r="F864" t="str">
        <f>"9166234002"</f>
        <v>9166234002</v>
      </c>
      <c r="G864" t="s">
        <v>2814</v>
      </c>
      <c r="H864" t="s">
        <v>650</v>
      </c>
      <c r="I864" t="s">
        <v>22</v>
      </c>
      <c r="J864">
        <v>95829</v>
      </c>
      <c r="K864">
        <v>8020</v>
      </c>
      <c r="L864" t="s">
        <v>23</v>
      </c>
      <c r="M864" t="s">
        <v>2814</v>
      </c>
      <c r="N864" t="s">
        <v>650</v>
      </c>
      <c r="O864" t="s">
        <v>22</v>
      </c>
      <c r="P864">
        <v>95829</v>
      </c>
      <c r="Q864">
        <v>8020</v>
      </c>
      <c r="R864" t="s">
        <v>23</v>
      </c>
      <c r="S864" s="1" t="s">
        <v>34218</v>
      </c>
    </row>
    <row r="865" spans="1:19" x14ac:dyDescent="0.25">
      <c r="A865">
        <v>101332531</v>
      </c>
      <c r="B865" t="s">
        <v>2815</v>
      </c>
      <c r="C865" t="s">
        <v>1879</v>
      </c>
      <c r="F865" t="str">
        <f>"6182545247"</f>
        <v>6182545247</v>
      </c>
      <c r="G865" t="s">
        <v>2816</v>
      </c>
      <c r="H865" t="s">
        <v>2817</v>
      </c>
      <c r="I865" t="s">
        <v>135</v>
      </c>
      <c r="J865">
        <v>62095</v>
      </c>
      <c r="K865">
        <v>2263</v>
      </c>
      <c r="L865" t="s">
        <v>23</v>
      </c>
      <c r="M865" t="s">
        <v>2816</v>
      </c>
      <c r="N865" t="s">
        <v>2817</v>
      </c>
      <c r="O865" t="s">
        <v>135</v>
      </c>
      <c r="P865">
        <v>62095</v>
      </c>
      <c r="Q865">
        <v>2263</v>
      </c>
      <c r="R865" t="s">
        <v>23</v>
      </c>
      <c r="S865" s="1" t="s">
        <v>34218</v>
      </c>
    </row>
    <row r="866" spans="1:19" x14ac:dyDescent="0.25">
      <c r="A866">
        <v>100540186</v>
      </c>
      <c r="B866" t="s">
        <v>2818</v>
      </c>
      <c r="C866" t="s">
        <v>90</v>
      </c>
      <c r="F866" t="str">
        <f>"5202757210"</f>
        <v>5202757210</v>
      </c>
      <c r="G866" t="s">
        <v>2819</v>
      </c>
      <c r="H866" t="s">
        <v>2820</v>
      </c>
      <c r="I866" t="s">
        <v>365</v>
      </c>
      <c r="J866">
        <v>85737</v>
      </c>
      <c r="K866">
        <v>8</v>
      </c>
      <c r="L866" t="s">
        <v>23</v>
      </c>
      <c r="M866" t="s">
        <v>2819</v>
      </c>
      <c r="N866" t="s">
        <v>2820</v>
      </c>
      <c r="O866" t="s">
        <v>365</v>
      </c>
      <c r="P866">
        <v>85737</v>
      </c>
      <c r="Q866">
        <v>8</v>
      </c>
      <c r="R866" t="s">
        <v>23</v>
      </c>
      <c r="S866" s="1" t="s">
        <v>34218</v>
      </c>
    </row>
    <row r="867" spans="1:19" x14ac:dyDescent="0.25">
      <c r="A867">
        <v>101039234</v>
      </c>
      <c r="B867" t="s">
        <v>2821</v>
      </c>
      <c r="C867" t="s">
        <v>1679</v>
      </c>
      <c r="F867" t="str">
        <f>"5205513062"</f>
        <v>5205513062</v>
      </c>
      <c r="G867" t="s">
        <v>2822</v>
      </c>
      <c r="H867" t="s">
        <v>1439</v>
      </c>
      <c r="I867" t="s">
        <v>365</v>
      </c>
      <c r="J867">
        <v>85716</v>
      </c>
      <c r="K867">
        <v>2900</v>
      </c>
      <c r="L867" t="s">
        <v>23</v>
      </c>
      <c r="M867" t="s">
        <v>2822</v>
      </c>
      <c r="N867" t="s">
        <v>1439</v>
      </c>
      <c r="O867" t="s">
        <v>365</v>
      </c>
      <c r="P867">
        <v>85716</v>
      </c>
      <c r="Q867">
        <v>2900</v>
      </c>
      <c r="R867" t="s">
        <v>23</v>
      </c>
      <c r="S867" s="1" t="s">
        <v>34218</v>
      </c>
    </row>
    <row r="868" spans="1:19" x14ac:dyDescent="0.25">
      <c r="A868">
        <v>101337478</v>
      </c>
      <c r="B868" t="s">
        <v>2823</v>
      </c>
      <c r="C868" t="s">
        <v>200</v>
      </c>
      <c r="F868" t="str">
        <f>"2064081853"</f>
        <v>2064081853</v>
      </c>
      <c r="G868">
        <v>140</v>
      </c>
      <c r="H868" t="s">
        <v>2824</v>
      </c>
      <c r="I868" t="s">
        <v>191</v>
      </c>
      <c r="J868">
        <v>4092</v>
      </c>
      <c r="L868" t="s">
        <v>23</v>
      </c>
      <c r="M868">
        <v>140</v>
      </c>
      <c r="N868" t="s">
        <v>2824</v>
      </c>
      <c r="O868" t="s">
        <v>191</v>
      </c>
      <c r="P868">
        <v>4092</v>
      </c>
      <c r="R868" t="s">
        <v>23</v>
      </c>
      <c r="S868" s="1" t="s">
        <v>34218</v>
      </c>
    </row>
    <row r="869" spans="1:19" x14ac:dyDescent="0.25">
      <c r="A869">
        <v>101136383</v>
      </c>
      <c r="B869" t="s">
        <v>2825</v>
      </c>
      <c r="C869" t="s">
        <v>432</v>
      </c>
      <c r="F869" t="str">
        <f>"4107257668"</f>
        <v>4107257668</v>
      </c>
      <c r="G869" t="s">
        <v>2826</v>
      </c>
      <c r="H869" t="s">
        <v>2827</v>
      </c>
      <c r="I869" t="s">
        <v>148</v>
      </c>
      <c r="J869" t="s">
        <v>2828</v>
      </c>
      <c r="K869">
        <v>2172</v>
      </c>
      <c r="L869" t="s">
        <v>23</v>
      </c>
      <c r="M869" t="s">
        <v>2826</v>
      </c>
      <c r="N869" t="s">
        <v>2827</v>
      </c>
      <c r="O869" t="s">
        <v>148</v>
      </c>
      <c r="P869" t="s">
        <v>2828</v>
      </c>
      <c r="Q869">
        <v>2172</v>
      </c>
      <c r="R869" t="s">
        <v>23</v>
      </c>
      <c r="S869" s="1" t="s">
        <v>34218</v>
      </c>
    </row>
    <row r="870" spans="1:19" x14ac:dyDescent="0.25">
      <c r="A870">
        <v>101313664</v>
      </c>
      <c r="B870" t="s">
        <v>2829</v>
      </c>
      <c r="C870" t="s">
        <v>440</v>
      </c>
      <c r="F870" t="str">
        <f>"5125555555"</f>
        <v>5125555555</v>
      </c>
      <c r="G870" t="s">
        <v>2830</v>
      </c>
      <c r="H870" t="s">
        <v>37</v>
      </c>
      <c r="I870" t="s">
        <v>38</v>
      </c>
      <c r="J870">
        <v>78704</v>
      </c>
      <c r="L870" t="s">
        <v>23</v>
      </c>
      <c r="M870" t="s">
        <v>2830</v>
      </c>
      <c r="N870" t="s">
        <v>37</v>
      </c>
      <c r="O870" t="s">
        <v>38</v>
      </c>
      <c r="P870">
        <v>78704</v>
      </c>
      <c r="R870" t="s">
        <v>23</v>
      </c>
      <c r="S870" s="1" t="s">
        <v>34218</v>
      </c>
    </row>
    <row r="871" spans="1:19" x14ac:dyDescent="0.25">
      <c r="A871">
        <v>101294492</v>
      </c>
      <c r="B871" t="s">
        <v>2831</v>
      </c>
      <c r="C871" t="s">
        <v>535</v>
      </c>
      <c r="F871" t="str">
        <f>"3017769279"</f>
        <v>3017769279</v>
      </c>
      <c r="G871" t="s">
        <v>2832</v>
      </c>
      <c r="H871" t="s">
        <v>2056</v>
      </c>
      <c r="I871" t="s">
        <v>148</v>
      </c>
      <c r="J871" t="s">
        <v>2833</v>
      </c>
      <c r="K871">
        <v>1124</v>
      </c>
      <c r="L871" t="s">
        <v>23</v>
      </c>
      <c r="M871" t="s">
        <v>2832</v>
      </c>
      <c r="N871" t="s">
        <v>2056</v>
      </c>
      <c r="O871" t="s">
        <v>148</v>
      </c>
      <c r="P871" t="s">
        <v>2833</v>
      </c>
      <c r="Q871">
        <v>1124</v>
      </c>
      <c r="R871" t="s">
        <v>23</v>
      </c>
      <c r="S871" s="1" t="s">
        <v>34218</v>
      </c>
    </row>
    <row r="872" spans="1:19" x14ac:dyDescent="0.25">
      <c r="A872">
        <v>101354023</v>
      </c>
      <c r="B872" t="s">
        <v>1239</v>
      </c>
      <c r="C872" t="s">
        <v>233</v>
      </c>
      <c r="F872" t="str">
        <f>"5629010361"</f>
        <v>5629010361</v>
      </c>
      <c r="G872" t="s">
        <v>2834</v>
      </c>
      <c r="H872" t="s">
        <v>311</v>
      </c>
      <c r="I872" t="s">
        <v>22</v>
      </c>
      <c r="J872">
        <v>90813</v>
      </c>
      <c r="K872">
        <v>3272</v>
      </c>
      <c r="L872" t="s">
        <v>23</v>
      </c>
      <c r="M872" t="s">
        <v>2834</v>
      </c>
      <c r="N872" t="s">
        <v>311</v>
      </c>
      <c r="O872" t="s">
        <v>22</v>
      </c>
      <c r="P872">
        <v>90813</v>
      </c>
      <c r="Q872">
        <v>3272</v>
      </c>
      <c r="R872" t="s">
        <v>23</v>
      </c>
      <c r="S872" s="1" t="s">
        <v>34218</v>
      </c>
    </row>
    <row r="873" spans="1:19" x14ac:dyDescent="0.25">
      <c r="A873">
        <v>100915996</v>
      </c>
      <c r="B873" t="s">
        <v>2835</v>
      </c>
      <c r="C873" t="s">
        <v>329</v>
      </c>
      <c r="F873" t="str">
        <f>"3129516273"</f>
        <v>3129516273</v>
      </c>
      <c r="G873" t="s">
        <v>2836</v>
      </c>
      <c r="H873" t="s">
        <v>134</v>
      </c>
      <c r="I873" t="s">
        <v>135</v>
      </c>
      <c r="J873">
        <v>60611</v>
      </c>
      <c r="K873">
        <v>6666</v>
      </c>
      <c r="L873" t="s">
        <v>23</v>
      </c>
      <c r="M873" t="s">
        <v>2836</v>
      </c>
      <c r="N873" t="s">
        <v>134</v>
      </c>
      <c r="O873" t="s">
        <v>135</v>
      </c>
      <c r="P873">
        <v>60611</v>
      </c>
      <c r="Q873">
        <v>6666</v>
      </c>
      <c r="R873" t="s">
        <v>23</v>
      </c>
      <c r="S873" s="1" t="s">
        <v>34218</v>
      </c>
    </row>
    <row r="874" spans="1:19" x14ac:dyDescent="0.25">
      <c r="A874">
        <v>101177244</v>
      </c>
      <c r="B874" t="s">
        <v>2837</v>
      </c>
      <c r="C874" t="s">
        <v>513</v>
      </c>
      <c r="F874" t="str">
        <f>"9062263681"</f>
        <v>9062263681</v>
      </c>
      <c r="H874" t="s">
        <v>277</v>
      </c>
      <c r="J874">
        <v>49855</v>
      </c>
      <c r="L874" t="s">
        <v>22</v>
      </c>
      <c r="N874" t="s">
        <v>277</v>
      </c>
      <c r="P874">
        <v>49855</v>
      </c>
      <c r="R874" t="s">
        <v>22</v>
      </c>
      <c r="S874" s="1" t="s">
        <v>34218</v>
      </c>
    </row>
    <row r="875" spans="1:19" x14ac:dyDescent="0.25">
      <c r="A875">
        <v>101154735</v>
      </c>
      <c r="B875" t="s">
        <v>2838</v>
      </c>
      <c r="C875" t="s">
        <v>2839</v>
      </c>
      <c r="F875" t="str">
        <f>"7209805263"</f>
        <v>7209805263</v>
      </c>
      <c r="G875" t="s">
        <v>2840</v>
      </c>
      <c r="H875" t="s">
        <v>2841</v>
      </c>
      <c r="I875" t="s">
        <v>71</v>
      </c>
      <c r="J875" t="s">
        <v>2842</v>
      </c>
      <c r="K875">
        <v>6804</v>
      </c>
      <c r="L875" t="s">
        <v>23</v>
      </c>
      <c r="M875" t="s">
        <v>2840</v>
      </c>
      <c r="N875" t="s">
        <v>2841</v>
      </c>
      <c r="O875" t="s">
        <v>71</v>
      </c>
      <c r="P875" t="s">
        <v>2842</v>
      </c>
      <c r="Q875">
        <v>6804</v>
      </c>
      <c r="R875" t="s">
        <v>23</v>
      </c>
      <c r="S875" s="1" t="s">
        <v>34218</v>
      </c>
    </row>
    <row r="876" spans="1:19" x14ac:dyDescent="0.25">
      <c r="A876">
        <v>101310489</v>
      </c>
      <c r="B876" t="s">
        <v>2843</v>
      </c>
      <c r="C876" t="s">
        <v>535</v>
      </c>
      <c r="F876" t="str">
        <f>"7047823260"</f>
        <v>7047823260</v>
      </c>
      <c r="G876" t="s">
        <v>2844</v>
      </c>
      <c r="H876" t="s">
        <v>761</v>
      </c>
      <c r="I876" t="s">
        <v>446</v>
      </c>
      <c r="J876" t="s">
        <v>2845</v>
      </c>
      <c r="K876">
        <v>5776</v>
      </c>
      <c r="L876" t="s">
        <v>23</v>
      </c>
      <c r="M876" t="s">
        <v>2844</v>
      </c>
      <c r="N876" t="s">
        <v>761</v>
      </c>
      <c r="O876" t="s">
        <v>446</v>
      </c>
      <c r="P876" t="s">
        <v>2845</v>
      </c>
      <c r="Q876">
        <v>5776</v>
      </c>
      <c r="R876" t="s">
        <v>23</v>
      </c>
      <c r="S876" s="1" t="s">
        <v>34218</v>
      </c>
    </row>
    <row r="877" spans="1:19" x14ac:dyDescent="0.25">
      <c r="A877">
        <v>100594792</v>
      </c>
      <c r="B877" t="s">
        <v>166</v>
      </c>
      <c r="C877" t="s">
        <v>2846</v>
      </c>
      <c r="F877" t="str">
        <f>"8055551212"</f>
        <v>8055551212</v>
      </c>
      <c r="G877">
        <v>1555</v>
      </c>
      <c r="H877" t="s">
        <v>2847</v>
      </c>
      <c r="I877" t="s">
        <v>365</v>
      </c>
      <c r="J877">
        <v>86322</v>
      </c>
      <c r="L877" t="s">
        <v>23</v>
      </c>
      <c r="M877">
        <v>1555</v>
      </c>
      <c r="N877" t="s">
        <v>2847</v>
      </c>
      <c r="O877" t="s">
        <v>365</v>
      </c>
      <c r="P877">
        <v>86322</v>
      </c>
      <c r="R877" t="s">
        <v>23</v>
      </c>
      <c r="S877" s="1" t="s">
        <v>34218</v>
      </c>
    </row>
    <row r="878" spans="1:19" x14ac:dyDescent="0.25">
      <c r="A878">
        <v>100582620</v>
      </c>
      <c r="B878" t="s">
        <v>2848</v>
      </c>
      <c r="C878" t="s">
        <v>2849</v>
      </c>
      <c r="F878" t="str">
        <f>"9528356832"</f>
        <v>9528356832</v>
      </c>
      <c r="G878" t="s">
        <v>2850</v>
      </c>
      <c r="H878" t="s">
        <v>685</v>
      </c>
      <c r="I878" t="s">
        <v>187</v>
      </c>
      <c r="J878">
        <v>55437</v>
      </c>
      <c r="K878">
        <v>2825</v>
      </c>
      <c r="L878" t="s">
        <v>23</v>
      </c>
      <c r="M878" t="s">
        <v>2850</v>
      </c>
      <c r="N878" t="s">
        <v>685</v>
      </c>
      <c r="O878" t="s">
        <v>187</v>
      </c>
      <c r="P878">
        <v>55437</v>
      </c>
      <c r="Q878">
        <v>2825</v>
      </c>
      <c r="R878" t="s">
        <v>23</v>
      </c>
      <c r="S878" s="1" t="s">
        <v>34218</v>
      </c>
    </row>
    <row r="879" spans="1:19" x14ac:dyDescent="0.25">
      <c r="A879">
        <v>101305888</v>
      </c>
      <c r="B879" t="s">
        <v>2851</v>
      </c>
      <c r="C879" t="s">
        <v>2852</v>
      </c>
      <c r="F879" t="str">
        <f>"7182585089"</f>
        <v>7182585089</v>
      </c>
      <c r="G879" t="s">
        <v>2853</v>
      </c>
      <c r="H879" t="s">
        <v>412</v>
      </c>
      <c r="I879" t="s">
        <v>117</v>
      </c>
      <c r="J879">
        <v>11230</v>
      </c>
      <c r="K879">
        <v>4111</v>
      </c>
      <c r="L879" t="s">
        <v>23</v>
      </c>
      <c r="M879" t="s">
        <v>2853</v>
      </c>
      <c r="N879" t="s">
        <v>412</v>
      </c>
      <c r="O879" t="s">
        <v>117</v>
      </c>
      <c r="P879">
        <v>11230</v>
      </c>
      <c r="Q879">
        <v>4111</v>
      </c>
      <c r="R879" t="s">
        <v>23</v>
      </c>
      <c r="S879" s="1" t="s">
        <v>34218</v>
      </c>
    </row>
    <row r="880" spans="1:19" x14ac:dyDescent="0.25">
      <c r="A880">
        <v>101300132</v>
      </c>
      <c r="B880" t="s">
        <v>1657</v>
      </c>
      <c r="C880" t="s">
        <v>2854</v>
      </c>
      <c r="F880" t="str">
        <f>"7187881923"</f>
        <v>7187881923</v>
      </c>
      <c r="G880" t="s">
        <v>2855</v>
      </c>
      <c r="H880" t="s">
        <v>412</v>
      </c>
      <c r="I880" t="s">
        <v>117</v>
      </c>
      <c r="J880">
        <v>11215</v>
      </c>
      <c r="K880">
        <v>3459</v>
      </c>
      <c r="L880" t="s">
        <v>23</v>
      </c>
      <c r="M880" t="s">
        <v>2855</v>
      </c>
      <c r="N880" t="s">
        <v>412</v>
      </c>
      <c r="O880" t="s">
        <v>117</v>
      </c>
      <c r="P880">
        <v>11215</v>
      </c>
      <c r="Q880">
        <v>3459</v>
      </c>
      <c r="R880" t="s">
        <v>23</v>
      </c>
      <c r="S880" s="1" t="s">
        <v>34218</v>
      </c>
    </row>
    <row r="881" spans="1:19" x14ac:dyDescent="0.25">
      <c r="A881">
        <v>101308952</v>
      </c>
      <c r="B881" t="s">
        <v>2856</v>
      </c>
      <c r="C881" t="s">
        <v>2857</v>
      </c>
      <c r="F881" t="str">
        <f>"6109277703"</f>
        <v>6109277703</v>
      </c>
      <c r="G881" t="s">
        <v>2858</v>
      </c>
      <c r="H881" t="s">
        <v>2859</v>
      </c>
      <c r="I881" t="s">
        <v>33</v>
      </c>
      <c r="J881">
        <v>19608</v>
      </c>
      <c r="K881">
        <v>1904</v>
      </c>
      <c r="L881" t="s">
        <v>23</v>
      </c>
      <c r="M881" t="s">
        <v>2858</v>
      </c>
      <c r="N881" t="s">
        <v>2859</v>
      </c>
      <c r="O881" t="s">
        <v>33</v>
      </c>
      <c r="P881">
        <v>19608</v>
      </c>
      <c r="Q881">
        <v>1904</v>
      </c>
      <c r="R881" t="s">
        <v>23</v>
      </c>
      <c r="S881" s="1" t="s">
        <v>34218</v>
      </c>
    </row>
    <row r="882" spans="1:19" x14ac:dyDescent="0.25">
      <c r="A882">
        <v>100954261</v>
      </c>
      <c r="B882" t="s">
        <v>2860</v>
      </c>
      <c r="C882" t="s">
        <v>1153</v>
      </c>
      <c r="F882" t="str">
        <f>"2062680723"</f>
        <v>2062680723</v>
      </c>
      <c r="G882" t="s">
        <v>2861</v>
      </c>
      <c r="H882" t="s">
        <v>1531</v>
      </c>
      <c r="I882" t="s">
        <v>84</v>
      </c>
      <c r="J882">
        <v>98105</v>
      </c>
      <c r="K882">
        <v>2133</v>
      </c>
      <c r="L882" t="s">
        <v>23</v>
      </c>
      <c r="M882" t="s">
        <v>2861</v>
      </c>
      <c r="N882" t="s">
        <v>1531</v>
      </c>
      <c r="O882" t="s">
        <v>84</v>
      </c>
      <c r="P882">
        <v>98105</v>
      </c>
      <c r="Q882">
        <v>2133</v>
      </c>
      <c r="R882" t="s">
        <v>23</v>
      </c>
      <c r="S882" s="1" t="s">
        <v>34218</v>
      </c>
    </row>
    <row r="883" spans="1:19" x14ac:dyDescent="0.25">
      <c r="A883">
        <v>101157389</v>
      </c>
      <c r="B883" t="s">
        <v>2862</v>
      </c>
      <c r="C883" t="s">
        <v>2863</v>
      </c>
      <c r="F883" t="str">
        <f>"9198034581"</f>
        <v>9198034581</v>
      </c>
      <c r="G883" t="s">
        <v>2864</v>
      </c>
      <c r="H883" t="s">
        <v>567</v>
      </c>
      <c r="I883" t="s">
        <v>446</v>
      </c>
      <c r="J883">
        <v>27616</v>
      </c>
      <c r="K883">
        <v>7867</v>
      </c>
      <c r="L883" t="s">
        <v>23</v>
      </c>
      <c r="M883" t="s">
        <v>2864</v>
      </c>
      <c r="N883" t="s">
        <v>567</v>
      </c>
      <c r="O883" t="s">
        <v>446</v>
      </c>
      <c r="P883">
        <v>27616</v>
      </c>
      <c r="Q883">
        <v>7867</v>
      </c>
      <c r="R883" t="s">
        <v>23</v>
      </c>
      <c r="S883" s="1" t="s">
        <v>34218</v>
      </c>
    </row>
    <row r="884" spans="1:19" x14ac:dyDescent="0.25">
      <c r="A884">
        <v>101170857</v>
      </c>
      <c r="B884" t="s">
        <v>1164</v>
      </c>
      <c r="C884" t="s">
        <v>1658</v>
      </c>
      <c r="F884" t="str">
        <f>"9149624079"</f>
        <v>9149624079</v>
      </c>
      <c r="G884" t="s">
        <v>2865</v>
      </c>
      <c r="H884" t="s">
        <v>2866</v>
      </c>
      <c r="I884" t="s">
        <v>117</v>
      </c>
      <c r="J884" t="s">
        <v>2867</v>
      </c>
      <c r="K884">
        <v>3226</v>
      </c>
      <c r="L884" t="s">
        <v>23</v>
      </c>
      <c r="M884" t="s">
        <v>2865</v>
      </c>
      <c r="N884" t="s">
        <v>2866</v>
      </c>
      <c r="O884" t="s">
        <v>117</v>
      </c>
      <c r="P884" t="s">
        <v>2867</v>
      </c>
      <c r="Q884">
        <v>3226</v>
      </c>
      <c r="R884" t="s">
        <v>23</v>
      </c>
      <c r="S884" s="1" t="s">
        <v>34218</v>
      </c>
    </row>
    <row r="885" spans="1:19" x14ac:dyDescent="0.25">
      <c r="A885">
        <v>101033928</v>
      </c>
      <c r="B885" t="s">
        <v>2868</v>
      </c>
      <c r="C885" t="s">
        <v>1933</v>
      </c>
      <c r="F885" t="str">
        <f>"4357836568"</f>
        <v>4357836568</v>
      </c>
      <c r="G885" t="s">
        <v>2869</v>
      </c>
      <c r="H885" t="s">
        <v>2870</v>
      </c>
      <c r="I885" t="s">
        <v>332</v>
      </c>
      <c r="J885">
        <v>84036</v>
      </c>
      <c r="K885">
        <v>9761</v>
      </c>
      <c r="L885" t="s">
        <v>23</v>
      </c>
      <c r="M885" t="s">
        <v>2869</v>
      </c>
      <c r="N885" t="s">
        <v>2870</v>
      </c>
      <c r="O885" t="s">
        <v>332</v>
      </c>
      <c r="P885">
        <v>84036</v>
      </c>
      <c r="Q885">
        <v>9761</v>
      </c>
      <c r="R885" t="s">
        <v>23</v>
      </c>
      <c r="S885" s="1" t="s">
        <v>34218</v>
      </c>
    </row>
    <row r="886" spans="1:19" x14ac:dyDescent="0.25">
      <c r="A886">
        <v>101045191</v>
      </c>
      <c r="B886" t="s">
        <v>199</v>
      </c>
      <c r="C886" t="s">
        <v>2776</v>
      </c>
      <c r="F886" t="str">
        <f>"9168528503"</f>
        <v>9168528503</v>
      </c>
      <c r="G886" t="s">
        <v>2871</v>
      </c>
      <c r="H886" t="s">
        <v>1687</v>
      </c>
      <c r="I886" t="s">
        <v>22</v>
      </c>
      <c r="J886">
        <v>95628</v>
      </c>
      <c r="K886">
        <v>6411</v>
      </c>
      <c r="L886" t="s">
        <v>23</v>
      </c>
      <c r="M886" t="s">
        <v>2871</v>
      </c>
      <c r="N886" t="s">
        <v>1687</v>
      </c>
      <c r="O886" t="s">
        <v>22</v>
      </c>
      <c r="P886">
        <v>95628</v>
      </c>
      <c r="Q886">
        <v>6411</v>
      </c>
      <c r="R886" t="s">
        <v>23</v>
      </c>
      <c r="S886" s="1" t="s">
        <v>34218</v>
      </c>
    </row>
    <row r="887" spans="1:19" x14ac:dyDescent="0.25">
      <c r="A887">
        <v>101263155</v>
      </c>
      <c r="B887" t="s">
        <v>2872</v>
      </c>
      <c r="C887" t="s">
        <v>2873</v>
      </c>
      <c r="F887" t="str">
        <f>"4404798407"</f>
        <v>4404798407</v>
      </c>
      <c r="G887" t="s">
        <v>2874</v>
      </c>
      <c r="H887" t="s">
        <v>2875</v>
      </c>
      <c r="I887" t="s">
        <v>135</v>
      </c>
      <c r="J887">
        <v>60031</v>
      </c>
      <c r="K887">
        <v>3493</v>
      </c>
      <c r="L887" t="s">
        <v>23</v>
      </c>
      <c r="M887" t="s">
        <v>2874</v>
      </c>
      <c r="N887" t="s">
        <v>2875</v>
      </c>
      <c r="O887" t="s">
        <v>135</v>
      </c>
      <c r="P887">
        <v>60031</v>
      </c>
      <c r="Q887">
        <v>3493</v>
      </c>
      <c r="R887" t="s">
        <v>23</v>
      </c>
      <c r="S887" s="1" t="s">
        <v>34218</v>
      </c>
    </row>
    <row r="888" spans="1:19" x14ac:dyDescent="0.25">
      <c r="A888">
        <v>101212308</v>
      </c>
      <c r="B888" t="s">
        <v>2876</v>
      </c>
      <c r="C888" t="s">
        <v>313</v>
      </c>
      <c r="F888" t="str">
        <f>"6512712591"</f>
        <v>6512712591</v>
      </c>
      <c r="G888" t="s">
        <v>2877</v>
      </c>
      <c r="H888" t="s">
        <v>2878</v>
      </c>
      <c r="I888" t="s">
        <v>187</v>
      </c>
      <c r="J888">
        <v>55125</v>
      </c>
      <c r="K888">
        <v>1557</v>
      </c>
      <c r="L888" t="s">
        <v>23</v>
      </c>
      <c r="M888" t="s">
        <v>2877</v>
      </c>
      <c r="N888" t="s">
        <v>2878</v>
      </c>
      <c r="O888" t="s">
        <v>187</v>
      </c>
      <c r="P888">
        <v>55125</v>
      </c>
      <c r="Q888">
        <v>1557</v>
      </c>
      <c r="R888" t="s">
        <v>23</v>
      </c>
      <c r="S888" s="1" t="s">
        <v>34218</v>
      </c>
    </row>
    <row r="889" spans="1:19" x14ac:dyDescent="0.25">
      <c r="A889">
        <v>101220472</v>
      </c>
      <c r="B889" t="s">
        <v>1625</v>
      </c>
      <c r="C889" t="s">
        <v>281</v>
      </c>
      <c r="F889" t="str">
        <f>"3234816486"</f>
        <v>3234816486</v>
      </c>
      <c r="G889" t="s">
        <v>2879</v>
      </c>
      <c r="H889" t="s">
        <v>299</v>
      </c>
      <c r="I889" t="s">
        <v>22</v>
      </c>
      <c r="J889">
        <v>90064</v>
      </c>
      <c r="K889">
        <v>4429</v>
      </c>
      <c r="L889" t="s">
        <v>23</v>
      </c>
      <c r="M889" t="s">
        <v>2879</v>
      </c>
      <c r="N889" t="s">
        <v>299</v>
      </c>
      <c r="O889" t="s">
        <v>22</v>
      </c>
      <c r="P889">
        <v>90064</v>
      </c>
      <c r="Q889">
        <v>4429</v>
      </c>
      <c r="R889" t="s">
        <v>23</v>
      </c>
      <c r="S889" s="1" t="s">
        <v>34218</v>
      </c>
    </row>
    <row r="890" spans="1:19" x14ac:dyDescent="0.25">
      <c r="A890">
        <v>100899734</v>
      </c>
      <c r="B890" t="s">
        <v>2880</v>
      </c>
      <c r="C890" t="s">
        <v>1153</v>
      </c>
      <c r="F890" t="str">
        <f>"8314291184"</f>
        <v>8314291184</v>
      </c>
      <c r="G890" t="s">
        <v>2881</v>
      </c>
      <c r="H890" t="s">
        <v>1293</v>
      </c>
      <c r="I890" t="s">
        <v>22</v>
      </c>
      <c r="J890">
        <v>95062</v>
      </c>
      <c r="L890" t="s">
        <v>23</v>
      </c>
      <c r="M890" t="s">
        <v>2881</v>
      </c>
      <c r="N890" t="s">
        <v>1293</v>
      </c>
      <c r="O890" t="s">
        <v>22</v>
      </c>
      <c r="P890">
        <v>95062</v>
      </c>
      <c r="R890" t="s">
        <v>23</v>
      </c>
      <c r="S890" s="1" t="s">
        <v>34218</v>
      </c>
    </row>
    <row r="891" spans="1:19" x14ac:dyDescent="0.25">
      <c r="A891">
        <v>101334100</v>
      </c>
      <c r="B891" t="s">
        <v>2882</v>
      </c>
      <c r="C891" t="s">
        <v>2883</v>
      </c>
      <c r="F891" t="str">
        <f>"8314275000"</f>
        <v>8314275000</v>
      </c>
      <c r="G891">
        <v>2</v>
      </c>
      <c r="H891" t="s">
        <v>2296</v>
      </c>
      <c r="I891" t="s">
        <v>22</v>
      </c>
      <c r="J891">
        <v>95003</v>
      </c>
      <c r="L891" t="s">
        <v>23</v>
      </c>
      <c r="M891">
        <v>2</v>
      </c>
      <c r="N891" t="s">
        <v>2296</v>
      </c>
      <c r="O891" t="s">
        <v>22</v>
      </c>
      <c r="P891">
        <v>95003</v>
      </c>
      <c r="R891" t="s">
        <v>23</v>
      </c>
      <c r="S891" s="1" t="s">
        <v>34218</v>
      </c>
    </row>
    <row r="892" spans="1:19" x14ac:dyDescent="0.25">
      <c r="A892">
        <v>100532336</v>
      </c>
      <c r="B892" t="s">
        <v>2884</v>
      </c>
      <c r="C892" t="s">
        <v>2248</v>
      </c>
      <c r="F892" t="str">
        <f>"7187027196"</f>
        <v>7187027196</v>
      </c>
      <c r="G892" t="s">
        <v>2885</v>
      </c>
      <c r="H892" t="s">
        <v>2319</v>
      </c>
      <c r="I892" t="s">
        <v>117</v>
      </c>
      <c r="J892">
        <v>10312</v>
      </c>
      <c r="L892" t="s">
        <v>23</v>
      </c>
      <c r="M892" t="s">
        <v>2885</v>
      </c>
      <c r="N892" t="s">
        <v>2319</v>
      </c>
      <c r="O892" t="s">
        <v>117</v>
      </c>
      <c r="P892">
        <v>10312</v>
      </c>
      <c r="R892" t="s">
        <v>23</v>
      </c>
      <c r="S892" s="1" t="s">
        <v>34218</v>
      </c>
    </row>
    <row r="893" spans="1:19" x14ac:dyDescent="0.25">
      <c r="A893">
        <v>100804249</v>
      </c>
      <c r="B893" t="s">
        <v>2886</v>
      </c>
      <c r="C893" t="s">
        <v>123</v>
      </c>
      <c r="F893" t="str">
        <f>"3052534532"</f>
        <v>3052534532</v>
      </c>
      <c r="G893" t="s">
        <v>2887</v>
      </c>
      <c r="H893" t="s">
        <v>869</v>
      </c>
      <c r="I893" t="s">
        <v>52</v>
      </c>
      <c r="J893">
        <v>33186</v>
      </c>
      <c r="K893">
        <v>2123</v>
      </c>
      <c r="L893" t="s">
        <v>23</v>
      </c>
      <c r="M893" t="s">
        <v>2887</v>
      </c>
      <c r="N893" t="s">
        <v>869</v>
      </c>
      <c r="O893" t="s">
        <v>52</v>
      </c>
      <c r="P893">
        <v>33186</v>
      </c>
      <c r="Q893">
        <v>2123</v>
      </c>
      <c r="R893" t="s">
        <v>23</v>
      </c>
      <c r="S893" s="1" t="s">
        <v>34218</v>
      </c>
    </row>
    <row r="894" spans="1:19" x14ac:dyDescent="0.25">
      <c r="A894">
        <v>100997730</v>
      </c>
      <c r="B894" t="s">
        <v>2888</v>
      </c>
      <c r="C894" t="s">
        <v>707</v>
      </c>
      <c r="F894" t="str">
        <f>"7609776516"</f>
        <v>7609776516</v>
      </c>
      <c r="G894" t="s">
        <v>2889</v>
      </c>
      <c r="H894" t="s">
        <v>1439</v>
      </c>
      <c r="I894" t="s">
        <v>365</v>
      </c>
      <c r="J894">
        <v>85719</v>
      </c>
      <c r="K894">
        <v>2780</v>
      </c>
      <c r="L894" t="s">
        <v>23</v>
      </c>
      <c r="M894" t="s">
        <v>2889</v>
      </c>
      <c r="N894" t="s">
        <v>1439</v>
      </c>
      <c r="O894" t="s">
        <v>365</v>
      </c>
      <c r="P894">
        <v>85719</v>
      </c>
      <c r="Q894">
        <v>2780</v>
      </c>
      <c r="R894" t="s">
        <v>23</v>
      </c>
      <c r="S894" s="1" t="s">
        <v>34218</v>
      </c>
    </row>
    <row r="895" spans="1:19" x14ac:dyDescent="0.25">
      <c r="A895">
        <v>100728668</v>
      </c>
      <c r="B895" t="s">
        <v>2890</v>
      </c>
      <c r="C895" t="s">
        <v>123</v>
      </c>
      <c r="F895" t="str">
        <f>"5414854694"</f>
        <v>5414854694</v>
      </c>
      <c r="G895">
        <v>97405</v>
      </c>
      <c r="H895" t="s">
        <v>1452</v>
      </c>
      <c r="I895" t="s">
        <v>43</v>
      </c>
      <c r="J895">
        <v>97405</v>
      </c>
      <c r="L895" t="s">
        <v>23</v>
      </c>
      <c r="M895">
        <v>97405</v>
      </c>
      <c r="N895" t="s">
        <v>1452</v>
      </c>
      <c r="O895" t="s">
        <v>43</v>
      </c>
      <c r="P895">
        <v>97405</v>
      </c>
      <c r="R895" t="s">
        <v>23</v>
      </c>
      <c r="S895" s="1" t="s">
        <v>34218</v>
      </c>
    </row>
    <row r="896" spans="1:19" x14ac:dyDescent="0.25">
      <c r="A896">
        <v>101380602</v>
      </c>
      <c r="B896" t="s">
        <v>2891</v>
      </c>
      <c r="C896" t="s">
        <v>2892</v>
      </c>
      <c r="F896" t="str">
        <f>"5413362378"</f>
        <v>5413362378</v>
      </c>
      <c r="G896" t="s">
        <v>2893</v>
      </c>
      <c r="H896" t="s">
        <v>2894</v>
      </c>
      <c r="I896" t="s">
        <v>43</v>
      </c>
      <c r="J896">
        <v>97391</v>
      </c>
      <c r="K896">
        <v>823</v>
      </c>
      <c r="L896" t="s">
        <v>23</v>
      </c>
      <c r="M896" t="s">
        <v>2893</v>
      </c>
      <c r="N896" t="s">
        <v>2894</v>
      </c>
      <c r="O896" t="s">
        <v>43</v>
      </c>
      <c r="P896">
        <v>97391</v>
      </c>
      <c r="Q896">
        <v>823</v>
      </c>
      <c r="R896" t="s">
        <v>23</v>
      </c>
      <c r="S896" s="1" t="s">
        <v>34218</v>
      </c>
    </row>
    <row r="897" spans="1:19" x14ac:dyDescent="0.25">
      <c r="A897">
        <v>100741350</v>
      </c>
      <c r="B897" t="s">
        <v>2895</v>
      </c>
      <c r="C897" t="s">
        <v>2896</v>
      </c>
      <c r="F897" t="str">
        <f>"2488389232"</f>
        <v>2488389232</v>
      </c>
      <c r="G897" t="s">
        <v>2897</v>
      </c>
      <c r="H897" t="s">
        <v>199</v>
      </c>
      <c r="I897" t="s">
        <v>140</v>
      </c>
      <c r="J897" t="s">
        <v>2898</v>
      </c>
      <c r="K897">
        <v>6007</v>
      </c>
      <c r="L897" t="s">
        <v>23</v>
      </c>
      <c r="M897" t="s">
        <v>2897</v>
      </c>
      <c r="N897" t="s">
        <v>199</v>
      </c>
      <c r="O897" t="s">
        <v>140</v>
      </c>
      <c r="P897" t="s">
        <v>2898</v>
      </c>
      <c r="Q897">
        <v>6007</v>
      </c>
      <c r="R897" t="s">
        <v>23</v>
      </c>
      <c r="S897" s="1" t="s">
        <v>34218</v>
      </c>
    </row>
    <row r="898" spans="1:19" x14ac:dyDescent="0.25">
      <c r="A898">
        <v>101274677</v>
      </c>
      <c r="B898" t="s">
        <v>2899</v>
      </c>
      <c r="C898" t="s">
        <v>664</v>
      </c>
      <c r="F898" t="str">
        <f>"8044772198"</f>
        <v>8044772198</v>
      </c>
      <c r="G898" t="s">
        <v>2900</v>
      </c>
      <c r="H898" t="s">
        <v>2901</v>
      </c>
      <c r="I898" t="s">
        <v>255</v>
      </c>
      <c r="J898">
        <v>23060</v>
      </c>
      <c r="L898" t="s">
        <v>23</v>
      </c>
      <c r="M898" t="s">
        <v>2900</v>
      </c>
      <c r="N898" t="s">
        <v>2901</v>
      </c>
      <c r="O898" t="s">
        <v>255</v>
      </c>
      <c r="P898">
        <v>23060</v>
      </c>
      <c r="R898" t="s">
        <v>23</v>
      </c>
      <c r="S898" s="1" t="s">
        <v>34218</v>
      </c>
    </row>
    <row r="899" spans="1:19" x14ac:dyDescent="0.25">
      <c r="A899">
        <v>100650333</v>
      </c>
      <c r="B899" t="s">
        <v>2902</v>
      </c>
      <c r="C899" t="s">
        <v>699</v>
      </c>
      <c r="F899" t="str">
        <f>"3104900478"</f>
        <v>3104900478</v>
      </c>
      <c r="G899" t="s">
        <v>2903</v>
      </c>
      <c r="H899" t="s">
        <v>2904</v>
      </c>
      <c r="I899" t="s">
        <v>22</v>
      </c>
      <c r="J899">
        <v>92252</v>
      </c>
      <c r="K899">
        <v>5227</v>
      </c>
      <c r="L899" t="s">
        <v>23</v>
      </c>
      <c r="M899" t="s">
        <v>2903</v>
      </c>
      <c r="N899" t="s">
        <v>2904</v>
      </c>
      <c r="O899" t="s">
        <v>22</v>
      </c>
      <c r="P899">
        <v>92252</v>
      </c>
      <c r="Q899">
        <v>5227</v>
      </c>
      <c r="R899" t="s">
        <v>23</v>
      </c>
      <c r="S899" s="1" t="s">
        <v>34218</v>
      </c>
    </row>
    <row r="900" spans="1:19" x14ac:dyDescent="0.25">
      <c r="A900">
        <v>100710214</v>
      </c>
      <c r="B900" t="s">
        <v>2905</v>
      </c>
      <c r="C900" t="s">
        <v>1793</v>
      </c>
      <c r="F900" t="str">
        <f>"4087381691"</f>
        <v>4087381691</v>
      </c>
      <c r="G900" t="s">
        <v>2906</v>
      </c>
      <c r="H900" t="s">
        <v>2391</v>
      </c>
      <c r="I900" t="s">
        <v>43</v>
      </c>
      <c r="J900">
        <v>97707</v>
      </c>
      <c r="K900">
        <v>2078</v>
      </c>
      <c r="L900" t="s">
        <v>23</v>
      </c>
      <c r="M900" t="s">
        <v>2906</v>
      </c>
      <c r="N900" t="s">
        <v>2391</v>
      </c>
      <c r="O900" t="s">
        <v>43</v>
      </c>
      <c r="P900">
        <v>97707</v>
      </c>
      <c r="Q900">
        <v>2078</v>
      </c>
      <c r="R900" t="s">
        <v>23</v>
      </c>
      <c r="S900" s="1" t="s">
        <v>34218</v>
      </c>
    </row>
    <row r="901" spans="1:19" x14ac:dyDescent="0.25">
      <c r="A901">
        <v>101334412</v>
      </c>
      <c r="B901" t="s">
        <v>320</v>
      </c>
      <c r="C901" t="s">
        <v>803</v>
      </c>
      <c r="F901" t="str">
        <f>"2403993890"</f>
        <v>2403993890</v>
      </c>
      <c r="G901" t="s">
        <v>2907</v>
      </c>
      <c r="H901" t="s">
        <v>758</v>
      </c>
      <c r="I901" t="s">
        <v>148</v>
      </c>
      <c r="J901">
        <v>20910</v>
      </c>
      <c r="K901">
        <v>4853</v>
      </c>
      <c r="L901" t="s">
        <v>23</v>
      </c>
      <c r="M901" t="s">
        <v>2907</v>
      </c>
      <c r="N901" t="s">
        <v>758</v>
      </c>
      <c r="O901" t="s">
        <v>148</v>
      </c>
      <c r="P901">
        <v>20910</v>
      </c>
      <c r="Q901">
        <v>4853</v>
      </c>
      <c r="R901" t="s">
        <v>23</v>
      </c>
      <c r="S901" s="1" t="s">
        <v>34218</v>
      </c>
    </row>
    <row r="902" spans="1:19" x14ac:dyDescent="0.25">
      <c r="A902">
        <v>101279283</v>
      </c>
      <c r="B902" t="s">
        <v>2908</v>
      </c>
      <c r="C902" t="s">
        <v>1161</v>
      </c>
      <c r="F902" t="str">
        <f>"9702597954"</f>
        <v>9702597954</v>
      </c>
      <c r="G902" t="s">
        <v>2909</v>
      </c>
      <c r="H902" t="s">
        <v>2910</v>
      </c>
      <c r="I902" t="s">
        <v>52</v>
      </c>
      <c r="J902" t="s">
        <v>2911</v>
      </c>
      <c r="K902">
        <v>5451</v>
      </c>
      <c r="L902" t="s">
        <v>23</v>
      </c>
      <c r="M902" t="s">
        <v>2909</v>
      </c>
      <c r="N902" t="s">
        <v>2910</v>
      </c>
      <c r="O902" t="s">
        <v>52</v>
      </c>
      <c r="P902" t="s">
        <v>2911</v>
      </c>
      <c r="Q902">
        <v>5451</v>
      </c>
      <c r="R902" t="s">
        <v>23</v>
      </c>
      <c r="S902" s="1" t="s">
        <v>34218</v>
      </c>
    </row>
    <row r="903" spans="1:19" x14ac:dyDescent="0.25">
      <c r="A903">
        <v>101312454</v>
      </c>
      <c r="B903" t="s">
        <v>465</v>
      </c>
      <c r="C903" t="s">
        <v>1676</v>
      </c>
      <c r="F903" t="str">
        <f>"3043680007"</f>
        <v>3043680007</v>
      </c>
      <c r="G903" t="s">
        <v>2912</v>
      </c>
      <c r="H903" t="s">
        <v>2913</v>
      </c>
      <c r="I903" t="s">
        <v>327</v>
      </c>
      <c r="J903" t="s">
        <v>2914</v>
      </c>
      <c r="K903">
        <v>3065</v>
      </c>
      <c r="L903" t="s">
        <v>23</v>
      </c>
      <c r="M903" t="s">
        <v>2912</v>
      </c>
      <c r="N903" t="s">
        <v>2913</v>
      </c>
      <c r="O903" t="s">
        <v>327</v>
      </c>
      <c r="P903" t="s">
        <v>2914</v>
      </c>
      <c r="Q903">
        <v>3065</v>
      </c>
      <c r="R903" t="s">
        <v>23</v>
      </c>
      <c r="S903" s="1" t="s">
        <v>34218</v>
      </c>
    </row>
    <row r="904" spans="1:19" x14ac:dyDescent="0.25">
      <c r="A904">
        <v>101045658</v>
      </c>
      <c r="B904" t="s">
        <v>2915</v>
      </c>
      <c r="C904" t="s">
        <v>2916</v>
      </c>
      <c r="F904" t="str">
        <f>"3863163553"</f>
        <v>3863163553</v>
      </c>
      <c r="G904" t="s">
        <v>2917</v>
      </c>
      <c r="H904" t="s">
        <v>1045</v>
      </c>
      <c r="I904" t="s">
        <v>52</v>
      </c>
      <c r="J904" t="s">
        <v>2918</v>
      </c>
      <c r="K904">
        <v>7119</v>
      </c>
      <c r="L904" t="s">
        <v>23</v>
      </c>
      <c r="M904" t="s">
        <v>2917</v>
      </c>
      <c r="N904" t="s">
        <v>1045</v>
      </c>
      <c r="O904" t="s">
        <v>52</v>
      </c>
      <c r="P904" t="s">
        <v>2918</v>
      </c>
      <c r="Q904">
        <v>7119</v>
      </c>
      <c r="R904" t="s">
        <v>23</v>
      </c>
      <c r="S904" s="1" t="s">
        <v>34218</v>
      </c>
    </row>
    <row r="905" spans="1:19" x14ac:dyDescent="0.25">
      <c r="A905">
        <v>100619431</v>
      </c>
      <c r="B905" t="s">
        <v>2919</v>
      </c>
      <c r="C905" t="s">
        <v>2127</v>
      </c>
      <c r="F905" t="str">
        <f>"4252421263"</f>
        <v>4252421263</v>
      </c>
      <c r="G905" t="s">
        <v>2920</v>
      </c>
      <c r="H905" t="s">
        <v>130</v>
      </c>
      <c r="I905" t="s">
        <v>22</v>
      </c>
      <c r="J905">
        <v>94127</v>
      </c>
      <c r="K905">
        <v>1407</v>
      </c>
      <c r="L905" t="s">
        <v>23</v>
      </c>
      <c r="M905" t="s">
        <v>2920</v>
      </c>
      <c r="N905" t="s">
        <v>130</v>
      </c>
      <c r="O905" t="s">
        <v>22</v>
      </c>
      <c r="P905">
        <v>94127</v>
      </c>
      <c r="Q905">
        <v>1407</v>
      </c>
      <c r="R905" t="s">
        <v>23</v>
      </c>
      <c r="S905" s="1" t="s">
        <v>34218</v>
      </c>
    </row>
    <row r="906" spans="1:19" x14ac:dyDescent="0.25">
      <c r="A906">
        <v>100653702</v>
      </c>
      <c r="B906" t="s">
        <v>2921</v>
      </c>
      <c r="C906" t="s">
        <v>1298</v>
      </c>
      <c r="F906" t="str">
        <f>"8054195533"</f>
        <v>8054195533</v>
      </c>
      <c r="G906" t="s">
        <v>2922</v>
      </c>
      <c r="H906" t="s">
        <v>2923</v>
      </c>
      <c r="I906" t="s">
        <v>22</v>
      </c>
      <c r="J906" t="s">
        <v>2924</v>
      </c>
      <c r="K906">
        <v>2930</v>
      </c>
      <c r="L906" t="s">
        <v>23</v>
      </c>
      <c r="M906" t="s">
        <v>2922</v>
      </c>
      <c r="N906" t="s">
        <v>2923</v>
      </c>
      <c r="O906" t="s">
        <v>22</v>
      </c>
      <c r="P906" t="s">
        <v>2924</v>
      </c>
      <c r="Q906">
        <v>2930</v>
      </c>
      <c r="R906" t="s">
        <v>23</v>
      </c>
      <c r="S906" s="1" t="s">
        <v>34218</v>
      </c>
    </row>
    <row r="907" spans="1:19" x14ac:dyDescent="0.25">
      <c r="A907">
        <v>100774501</v>
      </c>
      <c r="B907" t="s">
        <v>2925</v>
      </c>
      <c r="C907" t="s">
        <v>2786</v>
      </c>
      <c r="F907" t="str">
        <f>"4154999409"</f>
        <v>4154999409</v>
      </c>
      <c r="G907" t="s">
        <v>2926</v>
      </c>
      <c r="H907" t="s">
        <v>47</v>
      </c>
      <c r="I907" t="s">
        <v>43</v>
      </c>
      <c r="J907" t="s">
        <v>2927</v>
      </c>
      <c r="K907">
        <v>8680</v>
      </c>
      <c r="L907" t="s">
        <v>23</v>
      </c>
      <c r="M907" t="s">
        <v>2926</v>
      </c>
      <c r="N907" t="s">
        <v>47</v>
      </c>
      <c r="O907" t="s">
        <v>43</v>
      </c>
      <c r="P907" t="s">
        <v>2927</v>
      </c>
      <c r="Q907">
        <v>8680</v>
      </c>
      <c r="R907" t="s">
        <v>23</v>
      </c>
      <c r="S907" s="1" t="s">
        <v>34218</v>
      </c>
    </row>
    <row r="908" spans="1:19" x14ac:dyDescent="0.25">
      <c r="A908">
        <v>101117307</v>
      </c>
      <c r="B908" t="s">
        <v>2928</v>
      </c>
      <c r="C908" t="s">
        <v>2929</v>
      </c>
      <c r="F908" t="str">
        <f>"8056864392"</f>
        <v>8056864392</v>
      </c>
      <c r="G908" t="s">
        <v>2930</v>
      </c>
      <c r="H908" t="s">
        <v>2931</v>
      </c>
      <c r="I908" t="s">
        <v>22</v>
      </c>
      <c r="J908">
        <v>93460</v>
      </c>
      <c r="K908">
        <v>9675</v>
      </c>
      <c r="L908" t="s">
        <v>23</v>
      </c>
      <c r="M908" t="s">
        <v>2930</v>
      </c>
      <c r="N908" t="s">
        <v>2931</v>
      </c>
      <c r="O908" t="s">
        <v>22</v>
      </c>
      <c r="P908">
        <v>93460</v>
      </c>
      <c r="Q908">
        <v>9675</v>
      </c>
      <c r="R908" t="s">
        <v>23</v>
      </c>
      <c r="S908" s="1" t="s">
        <v>34218</v>
      </c>
    </row>
    <row r="909" spans="1:19" x14ac:dyDescent="0.25">
      <c r="A909">
        <v>101328477</v>
      </c>
      <c r="B909" t="s">
        <v>2932</v>
      </c>
      <c r="C909" t="s">
        <v>30</v>
      </c>
      <c r="F909" t="str">
        <f>"3309318932"</f>
        <v>3309318932</v>
      </c>
      <c r="G909" t="s">
        <v>2933</v>
      </c>
      <c r="H909" t="s">
        <v>1877</v>
      </c>
      <c r="I909" t="s">
        <v>178</v>
      </c>
      <c r="J909">
        <v>44460</v>
      </c>
      <c r="L909" t="s">
        <v>23</v>
      </c>
      <c r="M909" t="s">
        <v>2933</v>
      </c>
      <c r="N909" t="s">
        <v>1877</v>
      </c>
      <c r="O909" t="s">
        <v>178</v>
      </c>
      <c r="P909">
        <v>44460</v>
      </c>
      <c r="R909" t="s">
        <v>23</v>
      </c>
      <c r="S909" s="1" t="s">
        <v>34218</v>
      </c>
    </row>
    <row r="910" spans="1:19" x14ac:dyDescent="0.25">
      <c r="A910">
        <v>100581942</v>
      </c>
      <c r="B910" t="s">
        <v>2934</v>
      </c>
      <c r="C910" t="s">
        <v>2935</v>
      </c>
      <c r="F910" t="str">
        <f>"5032701991"</f>
        <v>5032701991</v>
      </c>
      <c r="G910" t="s">
        <v>2936</v>
      </c>
      <c r="H910" t="s">
        <v>227</v>
      </c>
      <c r="I910" t="s">
        <v>43</v>
      </c>
      <c r="J910">
        <v>97212</v>
      </c>
      <c r="K910">
        <v>4033</v>
      </c>
      <c r="L910" t="s">
        <v>23</v>
      </c>
      <c r="M910" t="s">
        <v>2936</v>
      </c>
      <c r="N910" t="s">
        <v>227</v>
      </c>
      <c r="O910" t="s">
        <v>43</v>
      </c>
      <c r="P910">
        <v>97212</v>
      </c>
      <c r="Q910">
        <v>4033</v>
      </c>
      <c r="R910" t="s">
        <v>23</v>
      </c>
      <c r="S910" s="1" t="s">
        <v>34218</v>
      </c>
    </row>
    <row r="911" spans="1:19" x14ac:dyDescent="0.25">
      <c r="A911">
        <v>100617107</v>
      </c>
      <c r="B911" t="s">
        <v>2937</v>
      </c>
      <c r="C911" t="s">
        <v>2938</v>
      </c>
      <c r="F911" t="str">
        <f>"6785925562"</f>
        <v>6785925562</v>
      </c>
      <c r="G911" t="s">
        <v>2939</v>
      </c>
      <c r="H911" t="s">
        <v>2769</v>
      </c>
      <c r="I911" t="s">
        <v>52</v>
      </c>
      <c r="J911">
        <v>34110</v>
      </c>
      <c r="K911">
        <v>1310</v>
      </c>
      <c r="L911" t="s">
        <v>23</v>
      </c>
      <c r="M911" t="s">
        <v>2939</v>
      </c>
      <c r="N911" t="s">
        <v>2769</v>
      </c>
      <c r="O911" t="s">
        <v>52</v>
      </c>
      <c r="P911">
        <v>34110</v>
      </c>
      <c r="Q911">
        <v>1310</v>
      </c>
      <c r="R911" t="s">
        <v>23</v>
      </c>
      <c r="S911" s="1" t="s">
        <v>34218</v>
      </c>
    </row>
    <row r="912" spans="1:19" x14ac:dyDescent="0.25">
      <c r="A912">
        <v>100636360</v>
      </c>
      <c r="B912" t="s">
        <v>2940</v>
      </c>
      <c r="C912" t="s">
        <v>2941</v>
      </c>
      <c r="F912" t="str">
        <f>"3017796886"</f>
        <v>3017796886</v>
      </c>
      <c r="G912" t="s">
        <v>2942</v>
      </c>
      <c r="H912" t="s">
        <v>2943</v>
      </c>
      <c r="I912" t="s">
        <v>117</v>
      </c>
      <c r="J912">
        <v>10520</v>
      </c>
      <c r="K912">
        <v>1337</v>
      </c>
      <c r="L912" t="s">
        <v>23</v>
      </c>
      <c r="M912" t="s">
        <v>2942</v>
      </c>
      <c r="N912" t="s">
        <v>2943</v>
      </c>
      <c r="O912" t="s">
        <v>117</v>
      </c>
      <c r="P912">
        <v>10520</v>
      </c>
      <c r="Q912">
        <v>1337</v>
      </c>
      <c r="R912" t="s">
        <v>23</v>
      </c>
      <c r="S912" s="1" t="s">
        <v>34218</v>
      </c>
    </row>
    <row r="913" spans="1:19" x14ac:dyDescent="0.25">
      <c r="A913">
        <v>101409022</v>
      </c>
      <c r="B913" t="s">
        <v>858</v>
      </c>
      <c r="C913" t="s">
        <v>123</v>
      </c>
      <c r="F913" t="str">
        <f>"3232614513"</f>
        <v>3232614513</v>
      </c>
      <c r="G913" t="s">
        <v>2944</v>
      </c>
      <c r="H913" t="s">
        <v>2945</v>
      </c>
      <c r="I913" t="s">
        <v>22</v>
      </c>
      <c r="J913">
        <v>90717</v>
      </c>
      <c r="L913" t="s">
        <v>23</v>
      </c>
      <c r="M913" t="s">
        <v>2944</v>
      </c>
      <c r="N913" t="s">
        <v>2945</v>
      </c>
      <c r="O913" t="s">
        <v>22</v>
      </c>
      <c r="P913">
        <v>90717</v>
      </c>
      <c r="R913" t="s">
        <v>23</v>
      </c>
      <c r="S913" s="1" t="s">
        <v>34218</v>
      </c>
    </row>
    <row r="914" spans="1:19" x14ac:dyDescent="0.25">
      <c r="A914">
        <v>100726824</v>
      </c>
      <c r="B914" t="s">
        <v>2946</v>
      </c>
      <c r="C914" t="s">
        <v>123</v>
      </c>
      <c r="F914" t="str">
        <f>"6199489440"</f>
        <v>6199489440</v>
      </c>
      <c r="G914" t="s">
        <v>2947</v>
      </c>
      <c r="H914" t="s">
        <v>2948</v>
      </c>
      <c r="I914" t="s">
        <v>22</v>
      </c>
      <c r="J914">
        <v>91914</v>
      </c>
      <c r="K914">
        <v>2504</v>
      </c>
      <c r="L914" t="s">
        <v>23</v>
      </c>
      <c r="M914" t="s">
        <v>2947</v>
      </c>
      <c r="N914" t="s">
        <v>2948</v>
      </c>
      <c r="O914" t="s">
        <v>22</v>
      </c>
      <c r="P914">
        <v>91914</v>
      </c>
      <c r="Q914">
        <v>2504</v>
      </c>
      <c r="R914" t="s">
        <v>23</v>
      </c>
      <c r="S914" s="1" t="s">
        <v>34218</v>
      </c>
    </row>
    <row r="915" spans="1:19" x14ac:dyDescent="0.25">
      <c r="A915">
        <v>100630133</v>
      </c>
      <c r="B915" t="s">
        <v>2949</v>
      </c>
      <c r="C915" t="s">
        <v>2950</v>
      </c>
      <c r="F915" t="str">
        <f>"5303211212"</f>
        <v>5303211212</v>
      </c>
      <c r="G915" t="s">
        <v>2951</v>
      </c>
      <c r="H915" t="s">
        <v>2952</v>
      </c>
      <c r="I915" t="s">
        <v>22</v>
      </c>
      <c r="J915">
        <v>95969</v>
      </c>
      <c r="L915" t="s">
        <v>23</v>
      </c>
      <c r="M915" t="s">
        <v>2951</v>
      </c>
      <c r="N915" t="s">
        <v>2952</v>
      </c>
      <c r="O915" t="s">
        <v>22</v>
      </c>
      <c r="P915">
        <v>95969</v>
      </c>
      <c r="R915" t="s">
        <v>23</v>
      </c>
      <c r="S915" s="1" t="s">
        <v>34218</v>
      </c>
    </row>
    <row r="916" spans="1:19" x14ac:dyDescent="0.25">
      <c r="A916">
        <v>101221496</v>
      </c>
      <c r="B916" t="s">
        <v>1004</v>
      </c>
      <c r="C916" t="s">
        <v>208</v>
      </c>
      <c r="F916" t="str">
        <f>"5035073178"</f>
        <v>5035073178</v>
      </c>
      <c r="G916" t="s">
        <v>2953</v>
      </c>
      <c r="H916" t="s">
        <v>2954</v>
      </c>
      <c r="I916" t="s">
        <v>43</v>
      </c>
      <c r="J916" t="s">
        <v>2955</v>
      </c>
      <c r="K916">
        <v>3564</v>
      </c>
      <c r="L916" t="s">
        <v>23</v>
      </c>
      <c r="M916" t="s">
        <v>2953</v>
      </c>
      <c r="N916" t="s">
        <v>2954</v>
      </c>
      <c r="O916" t="s">
        <v>43</v>
      </c>
      <c r="P916" t="s">
        <v>2955</v>
      </c>
      <c r="Q916">
        <v>3564</v>
      </c>
      <c r="R916" t="s">
        <v>23</v>
      </c>
      <c r="S916" s="1" t="s">
        <v>34218</v>
      </c>
    </row>
    <row r="917" spans="1:19" x14ac:dyDescent="0.25">
      <c r="A917">
        <v>100539701</v>
      </c>
      <c r="B917" t="s">
        <v>2956</v>
      </c>
      <c r="C917" t="s">
        <v>2790</v>
      </c>
      <c r="F917" t="str">
        <f>"3307996456"</f>
        <v>3307996456</v>
      </c>
      <c r="G917">
        <v>44515</v>
      </c>
      <c r="H917" t="s">
        <v>2957</v>
      </c>
      <c r="I917" t="s">
        <v>178</v>
      </c>
      <c r="J917">
        <v>44515</v>
      </c>
      <c r="L917" t="s">
        <v>23</v>
      </c>
      <c r="M917">
        <v>44515</v>
      </c>
      <c r="N917" t="s">
        <v>2957</v>
      </c>
      <c r="O917" t="s">
        <v>178</v>
      </c>
      <c r="P917">
        <v>44515</v>
      </c>
      <c r="R917" t="s">
        <v>23</v>
      </c>
      <c r="S917" s="1" t="s">
        <v>34218</v>
      </c>
    </row>
    <row r="918" spans="1:19" x14ac:dyDescent="0.25">
      <c r="A918">
        <v>101387831</v>
      </c>
      <c r="B918" t="s">
        <v>2958</v>
      </c>
      <c r="C918" t="s">
        <v>907</v>
      </c>
      <c r="F918" t="str">
        <f>"6502079411"</f>
        <v>6502079411</v>
      </c>
      <c r="G918" t="s">
        <v>2959</v>
      </c>
      <c r="H918" t="s">
        <v>625</v>
      </c>
      <c r="I918" t="s">
        <v>365</v>
      </c>
      <c r="J918">
        <v>85201</v>
      </c>
      <c r="K918">
        <v>5020</v>
      </c>
      <c r="L918" t="s">
        <v>23</v>
      </c>
      <c r="M918" t="s">
        <v>2959</v>
      </c>
      <c r="N918" t="s">
        <v>625</v>
      </c>
      <c r="O918" t="s">
        <v>365</v>
      </c>
      <c r="P918">
        <v>85201</v>
      </c>
      <c r="Q918">
        <v>5020</v>
      </c>
      <c r="R918" t="s">
        <v>23</v>
      </c>
      <c r="S918" s="1" t="s">
        <v>34218</v>
      </c>
    </row>
    <row r="919" spans="1:19" x14ac:dyDescent="0.25">
      <c r="A919">
        <v>101307761</v>
      </c>
      <c r="B919" t="s">
        <v>2960</v>
      </c>
      <c r="C919" t="s">
        <v>2961</v>
      </c>
      <c r="F919" t="str">
        <f>"9416240471"</f>
        <v>9416240471</v>
      </c>
      <c r="G919" t="s">
        <v>2962</v>
      </c>
      <c r="H919" t="s">
        <v>2963</v>
      </c>
      <c r="I919" t="s">
        <v>52</v>
      </c>
      <c r="J919" t="s">
        <v>2964</v>
      </c>
      <c r="K919">
        <v>8702</v>
      </c>
      <c r="L919" t="s">
        <v>23</v>
      </c>
      <c r="M919" t="s">
        <v>2962</v>
      </c>
      <c r="N919" t="s">
        <v>2963</v>
      </c>
      <c r="O919" t="s">
        <v>52</v>
      </c>
      <c r="P919" t="s">
        <v>2964</v>
      </c>
      <c r="Q919">
        <v>8702</v>
      </c>
      <c r="R919" t="s">
        <v>23</v>
      </c>
      <c r="S919" s="1" t="s">
        <v>34218</v>
      </c>
    </row>
    <row r="920" spans="1:19" x14ac:dyDescent="0.25">
      <c r="A920">
        <v>100843168</v>
      </c>
      <c r="B920" t="s">
        <v>2965</v>
      </c>
      <c r="C920" t="s">
        <v>30</v>
      </c>
      <c r="F920" t="str">
        <f>"9705649135"</f>
        <v>9705649135</v>
      </c>
      <c r="G920" t="s">
        <v>2966</v>
      </c>
      <c r="H920" t="s">
        <v>2967</v>
      </c>
      <c r="I920" t="s">
        <v>71</v>
      </c>
      <c r="J920">
        <v>81321</v>
      </c>
      <c r="L920" t="s">
        <v>23</v>
      </c>
      <c r="M920" t="s">
        <v>2966</v>
      </c>
      <c r="N920" t="s">
        <v>2967</v>
      </c>
      <c r="O920" t="s">
        <v>71</v>
      </c>
      <c r="P920">
        <v>81321</v>
      </c>
      <c r="R920" t="s">
        <v>23</v>
      </c>
      <c r="S920" s="1" t="s">
        <v>34218</v>
      </c>
    </row>
    <row r="921" spans="1:19" x14ac:dyDescent="0.25">
      <c r="A921">
        <v>101223609</v>
      </c>
      <c r="B921" t="s">
        <v>1970</v>
      </c>
      <c r="C921" t="s">
        <v>1309</v>
      </c>
      <c r="F921" t="str">
        <f>"3156355001"</f>
        <v>3156355001</v>
      </c>
      <c r="G921" t="s">
        <v>2968</v>
      </c>
      <c r="H921" t="s">
        <v>2969</v>
      </c>
      <c r="I921" t="s">
        <v>117</v>
      </c>
      <c r="J921">
        <v>13027</v>
      </c>
      <c r="K921">
        <v>9315</v>
      </c>
      <c r="L921" t="s">
        <v>23</v>
      </c>
      <c r="M921" t="s">
        <v>2968</v>
      </c>
      <c r="N921" t="s">
        <v>2969</v>
      </c>
      <c r="O921" t="s">
        <v>117</v>
      </c>
      <c r="P921">
        <v>13027</v>
      </c>
      <c r="Q921">
        <v>9315</v>
      </c>
      <c r="R921" t="s">
        <v>23</v>
      </c>
      <c r="S921" s="1" t="s">
        <v>34218</v>
      </c>
    </row>
    <row r="922" spans="1:19" x14ac:dyDescent="0.25">
      <c r="A922">
        <v>101358262</v>
      </c>
      <c r="B922" t="s">
        <v>2970</v>
      </c>
      <c r="C922" t="s">
        <v>1036</v>
      </c>
      <c r="F922" t="str">
        <f>"6124552255"</f>
        <v>6124552255</v>
      </c>
      <c r="G922" t="s">
        <v>2971</v>
      </c>
      <c r="H922" t="s">
        <v>1405</v>
      </c>
      <c r="I922" t="s">
        <v>187</v>
      </c>
      <c r="J922">
        <v>55114</v>
      </c>
      <c r="K922">
        <v>9938</v>
      </c>
      <c r="L922" t="s">
        <v>23</v>
      </c>
      <c r="M922" t="s">
        <v>2971</v>
      </c>
      <c r="N922" t="s">
        <v>1405</v>
      </c>
      <c r="O922" t="s">
        <v>187</v>
      </c>
      <c r="P922">
        <v>55114</v>
      </c>
      <c r="Q922">
        <v>9938</v>
      </c>
      <c r="R922" t="s">
        <v>23</v>
      </c>
      <c r="S922" s="1" t="s">
        <v>34218</v>
      </c>
    </row>
    <row r="923" spans="1:19" x14ac:dyDescent="0.25">
      <c r="A923">
        <v>100626702</v>
      </c>
      <c r="B923" t="s">
        <v>2972</v>
      </c>
      <c r="C923" t="s">
        <v>1036</v>
      </c>
      <c r="F923" t="str">
        <f>"6302210014"</f>
        <v>6302210014</v>
      </c>
      <c r="G923" t="s">
        <v>2973</v>
      </c>
      <c r="H923" t="s">
        <v>2974</v>
      </c>
      <c r="I923" t="s">
        <v>135</v>
      </c>
      <c r="J923">
        <v>60189</v>
      </c>
      <c r="K923">
        <v>8102</v>
      </c>
      <c r="L923" t="s">
        <v>23</v>
      </c>
      <c r="M923" t="s">
        <v>2973</v>
      </c>
      <c r="N923" t="s">
        <v>2974</v>
      </c>
      <c r="O923" t="s">
        <v>135</v>
      </c>
      <c r="P923">
        <v>60189</v>
      </c>
      <c r="Q923">
        <v>8102</v>
      </c>
      <c r="R923" t="s">
        <v>23</v>
      </c>
      <c r="S923" s="1" t="s">
        <v>34218</v>
      </c>
    </row>
    <row r="924" spans="1:19" x14ac:dyDescent="0.25">
      <c r="A924">
        <v>100622458</v>
      </c>
      <c r="B924" t="s">
        <v>2975</v>
      </c>
      <c r="C924" t="s">
        <v>846</v>
      </c>
      <c r="F924" t="str">
        <f>"9165217636"</f>
        <v>9165217636</v>
      </c>
      <c r="G924" t="s">
        <v>2976</v>
      </c>
      <c r="H924" t="s">
        <v>2724</v>
      </c>
      <c r="I924" t="s">
        <v>22</v>
      </c>
      <c r="J924">
        <v>95747</v>
      </c>
      <c r="K924">
        <v>7309</v>
      </c>
      <c r="L924" t="s">
        <v>23</v>
      </c>
      <c r="M924" t="s">
        <v>2976</v>
      </c>
      <c r="N924" t="s">
        <v>2724</v>
      </c>
      <c r="O924" t="s">
        <v>22</v>
      </c>
      <c r="P924">
        <v>95747</v>
      </c>
      <c r="Q924">
        <v>7309</v>
      </c>
      <c r="R924" t="s">
        <v>23</v>
      </c>
      <c r="S924" s="1" t="s">
        <v>34218</v>
      </c>
    </row>
    <row r="925" spans="1:19" x14ac:dyDescent="0.25">
      <c r="A925">
        <v>100810621</v>
      </c>
      <c r="B925" t="s">
        <v>2656</v>
      </c>
      <c r="C925" t="s">
        <v>90</v>
      </c>
      <c r="F925" t="str">
        <f>"5406322099"</f>
        <v>5406322099</v>
      </c>
      <c r="G925" t="s">
        <v>2977</v>
      </c>
      <c r="H925" t="s">
        <v>2422</v>
      </c>
      <c r="I925" t="s">
        <v>255</v>
      </c>
      <c r="J925">
        <v>24401</v>
      </c>
      <c r="K925">
        <v>6540</v>
      </c>
      <c r="L925" t="s">
        <v>23</v>
      </c>
      <c r="M925" t="s">
        <v>2977</v>
      </c>
      <c r="N925" t="s">
        <v>2422</v>
      </c>
      <c r="O925" t="s">
        <v>255</v>
      </c>
      <c r="P925">
        <v>24401</v>
      </c>
      <c r="Q925">
        <v>6540</v>
      </c>
      <c r="R925" t="s">
        <v>23</v>
      </c>
      <c r="S925" s="1" t="s">
        <v>34218</v>
      </c>
    </row>
    <row r="926" spans="1:19" x14ac:dyDescent="0.25">
      <c r="A926">
        <v>100537552</v>
      </c>
      <c r="B926" t="s">
        <v>2978</v>
      </c>
      <c r="C926" t="s">
        <v>49</v>
      </c>
      <c r="F926" t="str">
        <f>"8002276462"</f>
        <v>8002276462</v>
      </c>
      <c r="G926" t="s">
        <v>2979</v>
      </c>
      <c r="H926" t="s">
        <v>1431</v>
      </c>
      <c r="I926" t="s">
        <v>639</v>
      </c>
      <c r="J926">
        <v>87501</v>
      </c>
      <c r="K926">
        <v>1868</v>
      </c>
      <c r="L926" t="s">
        <v>23</v>
      </c>
      <c r="M926" t="s">
        <v>2979</v>
      </c>
      <c r="N926" t="s">
        <v>1431</v>
      </c>
      <c r="O926" t="s">
        <v>639</v>
      </c>
      <c r="P926">
        <v>87501</v>
      </c>
      <c r="Q926">
        <v>1868</v>
      </c>
      <c r="R926" t="s">
        <v>23</v>
      </c>
      <c r="S926" s="1" t="s">
        <v>34218</v>
      </c>
    </row>
    <row r="927" spans="1:19" x14ac:dyDescent="0.25">
      <c r="A927">
        <v>100537511</v>
      </c>
      <c r="B927" t="s">
        <v>2980</v>
      </c>
      <c r="C927" t="s">
        <v>102</v>
      </c>
      <c r="F927" t="str">
        <f>"8888888888"</f>
        <v>8888888888</v>
      </c>
      <c r="G927" t="s">
        <v>2981</v>
      </c>
      <c r="H927" t="s">
        <v>2982</v>
      </c>
      <c r="I927" t="s">
        <v>639</v>
      </c>
      <c r="J927">
        <v>87544</v>
      </c>
      <c r="K927">
        <v>2807</v>
      </c>
      <c r="L927" t="s">
        <v>23</v>
      </c>
      <c r="M927" t="s">
        <v>2981</v>
      </c>
      <c r="N927" t="s">
        <v>2982</v>
      </c>
      <c r="O927" t="s">
        <v>639</v>
      </c>
      <c r="P927">
        <v>87544</v>
      </c>
      <c r="Q927">
        <v>2807</v>
      </c>
      <c r="R927" t="s">
        <v>23</v>
      </c>
      <c r="S927" s="1" t="s">
        <v>34218</v>
      </c>
    </row>
    <row r="928" spans="1:19" x14ac:dyDescent="0.25">
      <c r="A928">
        <v>100747643</v>
      </c>
      <c r="B928" t="s">
        <v>566</v>
      </c>
      <c r="C928" t="s">
        <v>1036</v>
      </c>
      <c r="F928" t="str">
        <f>"7703943594"</f>
        <v>7703943594</v>
      </c>
      <c r="G928" t="s">
        <v>2983</v>
      </c>
      <c r="H928" t="s">
        <v>2984</v>
      </c>
      <c r="I928" t="s">
        <v>28</v>
      </c>
      <c r="J928">
        <v>30338</v>
      </c>
      <c r="K928">
        <v>7865</v>
      </c>
      <c r="L928" t="s">
        <v>23</v>
      </c>
      <c r="M928" t="s">
        <v>2983</v>
      </c>
      <c r="N928" t="s">
        <v>2984</v>
      </c>
      <c r="O928" t="s">
        <v>28</v>
      </c>
      <c r="P928">
        <v>30338</v>
      </c>
      <c r="Q928">
        <v>7865</v>
      </c>
      <c r="R928" t="s">
        <v>23</v>
      </c>
      <c r="S928" s="1" t="s">
        <v>34218</v>
      </c>
    </row>
    <row r="929" spans="1:19" x14ac:dyDescent="0.25">
      <c r="A929">
        <v>100719158</v>
      </c>
      <c r="B929" t="s">
        <v>2985</v>
      </c>
      <c r="C929" t="s">
        <v>68</v>
      </c>
      <c r="F929" t="str">
        <f>"8188028179"</f>
        <v>8188028179</v>
      </c>
      <c r="G929" t="s">
        <v>2986</v>
      </c>
      <c r="H929" t="s">
        <v>2987</v>
      </c>
      <c r="I929" t="s">
        <v>22</v>
      </c>
      <c r="J929">
        <v>91601</v>
      </c>
      <c r="K929">
        <v>4049</v>
      </c>
      <c r="L929" t="s">
        <v>23</v>
      </c>
      <c r="M929" t="s">
        <v>2986</v>
      </c>
      <c r="N929" t="s">
        <v>2987</v>
      </c>
      <c r="O929" t="s">
        <v>22</v>
      </c>
      <c r="P929">
        <v>91601</v>
      </c>
      <c r="Q929">
        <v>4049</v>
      </c>
      <c r="R929" t="s">
        <v>23</v>
      </c>
      <c r="S929" s="1" t="s">
        <v>34218</v>
      </c>
    </row>
    <row r="930" spans="1:19" x14ac:dyDescent="0.25">
      <c r="A930">
        <v>100726880</v>
      </c>
      <c r="B930" t="s">
        <v>2988</v>
      </c>
      <c r="C930" t="s">
        <v>110</v>
      </c>
      <c r="F930" t="str">
        <f>"9284210973"</f>
        <v>9284210973</v>
      </c>
      <c r="G930" t="s">
        <v>2989</v>
      </c>
      <c r="H930" t="s">
        <v>2990</v>
      </c>
      <c r="I930" t="s">
        <v>365</v>
      </c>
      <c r="J930">
        <v>86326</v>
      </c>
      <c r="K930">
        <v>3638</v>
      </c>
      <c r="L930" t="s">
        <v>23</v>
      </c>
      <c r="M930" t="s">
        <v>2989</v>
      </c>
      <c r="N930" t="s">
        <v>2990</v>
      </c>
      <c r="O930" t="s">
        <v>365</v>
      </c>
      <c r="P930">
        <v>86326</v>
      </c>
      <c r="Q930">
        <v>3638</v>
      </c>
      <c r="R930" t="s">
        <v>23</v>
      </c>
      <c r="S930" s="1" t="s">
        <v>34218</v>
      </c>
    </row>
    <row r="931" spans="1:19" x14ac:dyDescent="0.25">
      <c r="A931">
        <v>100552829</v>
      </c>
      <c r="B931" t="s">
        <v>1330</v>
      </c>
      <c r="C931" t="s">
        <v>959</v>
      </c>
      <c r="F931" t="str">
        <f>"8585609028"</f>
        <v>8585609028</v>
      </c>
      <c r="G931" t="s">
        <v>2991</v>
      </c>
      <c r="H931" t="s">
        <v>198</v>
      </c>
      <c r="I931" t="s">
        <v>22</v>
      </c>
      <c r="J931">
        <v>92123</v>
      </c>
      <c r="K931">
        <v>3619</v>
      </c>
      <c r="L931" t="s">
        <v>23</v>
      </c>
      <c r="M931" t="s">
        <v>2991</v>
      </c>
      <c r="N931" t="s">
        <v>198</v>
      </c>
      <c r="O931" t="s">
        <v>22</v>
      </c>
      <c r="P931">
        <v>92123</v>
      </c>
      <c r="Q931">
        <v>3619</v>
      </c>
      <c r="R931" t="s">
        <v>23</v>
      </c>
      <c r="S931" s="1" t="s">
        <v>34218</v>
      </c>
    </row>
    <row r="932" spans="1:19" x14ac:dyDescent="0.25">
      <c r="A932">
        <v>100565573</v>
      </c>
      <c r="B932" t="s">
        <v>1698</v>
      </c>
      <c r="C932" t="s">
        <v>2992</v>
      </c>
      <c r="F932" t="str">
        <f>"5128916475"</f>
        <v>5128916475</v>
      </c>
      <c r="G932" t="s">
        <v>2993</v>
      </c>
      <c r="H932" t="s">
        <v>37</v>
      </c>
      <c r="I932" t="s">
        <v>38</v>
      </c>
      <c r="J932">
        <v>78749</v>
      </c>
      <c r="K932">
        <v>2214</v>
      </c>
      <c r="L932" t="s">
        <v>23</v>
      </c>
      <c r="M932" t="s">
        <v>2993</v>
      </c>
      <c r="N932" t="s">
        <v>37</v>
      </c>
      <c r="O932" t="s">
        <v>38</v>
      </c>
      <c r="P932">
        <v>78749</v>
      </c>
      <c r="Q932">
        <v>2214</v>
      </c>
      <c r="R932" t="s">
        <v>23</v>
      </c>
      <c r="S932" s="1" t="s">
        <v>34218</v>
      </c>
    </row>
    <row r="933" spans="1:19" x14ac:dyDescent="0.25">
      <c r="A933">
        <v>100797869</v>
      </c>
      <c r="B933" t="s">
        <v>2994</v>
      </c>
      <c r="C933" t="s">
        <v>888</v>
      </c>
      <c r="F933" t="str">
        <f>"8183402735"</f>
        <v>8183402735</v>
      </c>
      <c r="G933" t="s">
        <v>2995</v>
      </c>
      <c r="H933" t="s">
        <v>2996</v>
      </c>
      <c r="I933" t="s">
        <v>22</v>
      </c>
      <c r="J933">
        <v>91303</v>
      </c>
      <c r="K933">
        <v>1850</v>
      </c>
      <c r="L933" t="s">
        <v>23</v>
      </c>
      <c r="M933" t="s">
        <v>2995</v>
      </c>
      <c r="N933" t="s">
        <v>2996</v>
      </c>
      <c r="O933" t="s">
        <v>22</v>
      </c>
      <c r="P933">
        <v>91303</v>
      </c>
      <c r="Q933">
        <v>1850</v>
      </c>
      <c r="R933" t="s">
        <v>23</v>
      </c>
      <c r="S933" s="1" t="s">
        <v>34218</v>
      </c>
    </row>
    <row r="934" spans="1:19" x14ac:dyDescent="0.25">
      <c r="A934">
        <v>100672243</v>
      </c>
      <c r="B934" t="s">
        <v>2997</v>
      </c>
      <c r="C934" t="s">
        <v>2603</v>
      </c>
      <c r="F934" t="str">
        <f>"7346978915"</f>
        <v>7346978915</v>
      </c>
      <c r="G934" t="s">
        <v>2998</v>
      </c>
      <c r="H934" t="s">
        <v>1390</v>
      </c>
      <c r="I934" t="s">
        <v>140</v>
      </c>
      <c r="J934">
        <v>48111</v>
      </c>
      <c r="K934">
        <v>9159</v>
      </c>
      <c r="L934" t="s">
        <v>23</v>
      </c>
      <c r="M934" t="s">
        <v>2998</v>
      </c>
      <c r="N934" t="s">
        <v>1390</v>
      </c>
      <c r="O934" t="s">
        <v>140</v>
      </c>
      <c r="P934">
        <v>48111</v>
      </c>
      <c r="Q934">
        <v>9159</v>
      </c>
      <c r="R934" t="s">
        <v>23</v>
      </c>
      <c r="S934" s="1" t="s">
        <v>34218</v>
      </c>
    </row>
    <row r="935" spans="1:19" x14ac:dyDescent="0.25">
      <c r="A935">
        <v>100868415</v>
      </c>
      <c r="B935" t="s">
        <v>2999</v>
      </c>
      <c r="C935" t="s">
        <v>2127</v>
      </c>
      <c r="F935" t="str">
        <f>"8588485013"</f>
        <v>8588485013</v>
      </c>
      <c r="G935" t="s">
        <v>3000</v>
      </c>
      <c r="H935" t="s">
        <v>104</v>
      </c>
      <c r="I935" t="s">
        <v>22</v>
      </c>
      <c r="J935">
        <v>92064</v>
      </c>
      <c r="K935">
        <v>5832</v>
      </c>
      <c r="L935" t="s">
        <v>23</v>
      </c>
      <c r="M935" t="s">
        <v>3000</v>
      </c>
      <c r="N935" t="s">
        <v>104</v>
      </c>
      <c r="O935" t="s">
        <v>22</v>
      </c>
      <c r="P935">
        <v>92064</v>
      </c>
      <c r="Q935">
        <v>5832</v>
      </c>
      <c r="R935" t="s">
        <v>23</v>
      </c>
      <c r="S935" s="1" t="s">
        <v>34218</v>
      </c>
    </row>
    <row r="936" spans="1:19" x14ac:dyDescent="0.25">
      <c r="A936">
        <v>100864241</v>
      </c>
      <c r="B936" t="s">
        <v>1870</v>
      </c>
      <c r="C936" t="s">
        <v>911</v>
      </c>
      <c r="F936" t="str">
        <f>"9202173337"</f>
        <v>9202173337</v>
      </c>
      <c r="G936" t="s">
        <v>3001</v>
      </c>
      <c r="H936" t="s">
        <v>3002</v>
      </c>
      <c r="I936" t="s">
        <v>100</v>
      </c>
      <c r="J936">
        <v>54107</v>
      </c>
      <c r="K936">
        <v>8943</v>
      </c>
      <c r="L936" t="s">
        <v>23</v>
      </c>
      <c r="M936" t="s">
        <v>3001</v>
      </c>
      <c r="N936" t="s">
        <v>3002</v>
      </c>
      <c r="O936" t="s">
        <v>100</v>
      </c>
      <c r="P936">
        <v>54107</v>
      </c>
      <c r="Q936">
        <v>8943</v>
      </c>
      <c r="R936" t="s">
        <v>23</v>
      </c>
      <c r="S936" s="1" t="s">
        <v>34218</v>
      </c>
    </row>
    <row r="937" spans="1:19" x14ac:dyDescent="0.25">
      <c r="A937">
        <v>101067697</v>
      </c>
      <c r="B937" t="s">
        <v>3003</v>
      </c>
      <c r="C937" t="s">
        <v>1350</v>
      </c>
      <c r="F937" t="str">
        <f>"5555555555"</f>
        <v>5555555555</v>
      </c>
      <c r="G937" t="s">
        <v>3004</v>
      </c>
      <c r="H937" t="s">
        <v>3005</v>
      </c>
      <c r="I937" t="s">
        <v>22</v>
      </c>
      <c r="J937">
        <v>95014</v>
      </c>
      <c r="K937">
        <v>2455</v>
      </c>
      <c r="L937" t="s">
        <v>23</v>
      </c>
      <c r="M937" t="s">
        <v>3004</v>
      </c>
      <c r="N937" t="s">
        <v>3005</v>
      </c>
      <c r="O937" t="s">
        <v>22</v>
      </c>
      <c r="P937">
        <v>95014</v>
      </c>
      <c r="Q937">
        <v>2455</v>
      </c>
      <c r="R937" t="s">
        <v>23</v>
      </c>
      <c r="S937" s="1" t="s">
        <v>34218</v>
      </c>
    </row>
    <row r="938" spans="1:19" x14ac:dyDescent="0.25">
      <c r="A938">
        <v>101068355</v>
      </c>
      <c r="B938" t="s">
        <v>3006</v>
      </c>
      <c r="C938" t="s">
        <v>1588</v>
      </c>
      <c r="F938" t="str">
        <f>"9103500243"</f>
        <v>9103500243</v>
      </c>
      <c r="G938" t="s">
        <v>3007</v>
      </c>
      <c r="H938" t="s">
        <v>2309</v>
      </c>
      <c r="I938" t="s">
        <v>446</v>
      </c>
      <c r="J938">
        <v>28409</v>
      </c>
      <c r="K938">
        <v>2107</v>
      </c>
      <c r="L938" t="s">
        <v>23</v>
      </c>
      <c r="M938" t="s">
        <v>3007</v>
      </c>
      <c r="N938" t="s">
        <v>2309</v>
      </c>
      <c r="O938" t="s">
        <v>446</v>
      </c>
      <c r="P938">
        <v>28409</v>
      </c>
      <c r="Q938">
        <v>2107</v>
      </c>
      <c r="R938" t="s">
        <v>23</v>
      </c>
      <c r="S938" s="1" t="s">
        <v>34218</v>
      </c>
    </row>
    <row r="939" spans="1:19" x14ac:dyDescent="0.25">
      <c r="A939">
        <v>100681340</v>
      </c>
      <c r="B939" t="s">
        <v>3008</v>
      </c>
      <c r="C939" t="s">
        <v>3009</v>
      </c>
      <c r="F939" t="str">
        <f>"3138831234"</f>
        <v>3138831234</v>
      </c>
      <c r="G939" t="s">
        <v>3010</v>
      </c>
      <c r="H939" t="s">
        <v>1830</v>
      </c>
      <c r="I939" t="s">
        <v>140</v>
      </c>
      <c r="J939">
        <v>48202</v>
      </c>
      <c r="K939">
        <v>1403</v>
      </c>
      <c r="L939" t="s">
        <v>23</v>
      </c>
      <c r="M939" t="s">
        <v>3010</v>
      </c>
      <c r="N939" t="s">
        <v>1830</v>
      </c>
      <c r="O939" t="s">
        <v>140</v>
      </c>
      <c r="P939">
        <v>48202</v>
      </c>
      <c r="Q939">
        <v>1403</v>
      </c>
      <c r="R939" t="s">
        <v>23</v>
      </c>
      <c r="S939" s="1" t="s">
        <v>34218</v>
      </c>
    </row>
    <row r="940" spans="1:19" x14ac:dyDescent="0.25">
      <c r="A940">
        <v>100707868</v>
      </c>
      <c r="B940" t="s">
        <v>3011</v>
      </c>
      <c r="C940" t="s">
        <v>1698</v>
      </c>
      <c r="F940" t="str">
        <f>"2187463512"</f>
        <v>2187463512</v>
      </c>
      <c r="G940" t="s">
        <v>3012</v>
      </c>
      <c r="H940" t="s">
        <v>3013</v>
      </c>
      <c r="I940" t="s">
        <v>187</v>
      </c>
      <c r="J940">
        <v>56473</v>
      </c>
      <c r="K940">
        <v>2168</v>
      </c>
      <c r="L940" t="s">
        <v>23</v>
      </c>
      <c r="M940" t="s">
        <v>3012</v>
      </c>
      <c r="N940" t="s">
        <v>3013</v>
      </c>
      <c r="O940" t="s">
        <v>187</v>
      </c>
      <c r="P940">
        <v>56473</v>
      </c>
      <c r="Q940">
        <v>2168</v>
      </c>
      <c r="R940" t="s">
        <v>23</v>
      </c>
      <c r="S940" s="1" t="s">
        <v>34218</v>
      </c>
    </row>
    <row r="941" spans="1:19" x14ac:dyDescent="0.25">
      <c r="A941">
        <v>100890011</v>
      </c>
      <c r="B941" t="s">
        <v>3014</v>
      </c>
      <c r="C941" t="s">
        <v>252</v>
      </c>
      <c r="F941" t="str">
        <f>"5088713151"</f>
        <v>5088713151</v>
      </c>
      <c r="G941" t="s">
        <v>3015</v>
      </c>
      <c r="H941" t="s">
        <v>177</v>
      </c>
      <c r="I941" t="s">
        <v>236</v>
      </c>
      <c r="J941">
        <v>1721</v>
      </c>
      <c r="K941">
        <v>1020</v>
      </c>
      <c r="L941" t="s">
        <v>23</v>
      </c>
      <c r="M941" t="s">
        <v>3015</v>
      </c>
      <c r="N941" t="s">
        <v>177</v>
      </c>
      <c r="O941" t="s">
        <v>236</v>
      </c>
      <c r="P941">
        <v>1721</v>
      </c>
      <c r="Q941">
        <v>1020</v>
      </c>
      <c r="R941" t="s">
        <v>23</v>
      </c>
      <c r="S941" s="1" t="s">
        <v>34218</v>
      </c>
    </row>
    <row r="942" spans="1:19" x14ac:dyDescent="0.25">
      <c r="A942">
        <v>100896909</v>
      </c>
      <c r="B942" t="s">
        <v>3016</v>
      </c>
      <c r="C942" t="s">
        <v>3017</v>
      </c>
      <c r="F942" t="str">
        <f>"5103825968"</f>
        <v>5103825968</v>
      </c>
      <c r="G942" t="s">
        <v>3018</v>
      </c>
      <c r="H942" t="s">
        <v>66</v>
      </c>
      <c r="I942" t="s">
        <v>22</v>
      </c>
      <c r="J942">
        <v>94701</v>
      </c>
      <c r="K942">
        <v>77</v>
      </c>
      <c r="L942" t="s">
        <v>23</v>
      </c>
      <c r="M942" t="s">
        <v>3018</v>
      </c>
      <c r="N942" t="s">
        <v>66</v>
      </c>
      <c r="O942" t="s">
        <v>22</v>
      </c>
      <c r="P942">
        <v>94701</v>
      </c>
      <c r="Q942">
        <v>77</v>
      </c>
      <c r="R942" t="s">
        <v>23</v>
      </c>
      <c r="S942" s="1" t="s">
        <v>34218</v>
      </c>
    </row>
    <row r="943" spans="1:19" x14ac:dyDescent="0.25">
      <c r="A943">
        <v>100905194</v>
      </c>
      <c r="B943" t="s">
        <v>3019</v>
      </c>
      <c r="C943" t="s">
        <v>1331</v>
      </c>
      <c r="F943" t="str">
        <f>"8439030721"</f>
        <v>8439030721</v>
      </c>
      <c r="G943" t="s">
        <v>3020</v>
      </c>
      <c r="H943" t="s">
        <v>3021</v>
      </c>
      <c r="I943" t="s">
        <v>1482</v>
      </c>
      <c r="J943">
        <v>29579</v>
      </c>
      <c r="K943">
        <v>6558</v>
      </c>
      <c r="L943" t="s">
        <v>23</v>
      </c>
      <c r="M943" t="s">
        <v>3020</v>
      </c>
      <c r="N943" t="s">
        <v>3021</v>
      </c>
      <c r="O943" t="s">
        <v>1482</v>
      </c>
      <c r="P943">
        <v>29579</v>
      </c>
      <c r="Q943">
        <v>6558</v>
      </c>
      <c r="R943" t="s">
        <v>23</v>
      </c>
      <c r="S943" s="1" t="s">
        <v>34218</v>
      </c>
    </row>
    <row r="944" spans="1:19" x14ac:dyDescent="0.25">
      <c r="A944">
        <v>100907370</v>
      </c>
      <c r="B944" t="s">
        <v>3022</v>
      </c>
      <c r="C944" t="s">
        <v>1873</v>
      </c>
      <c r="F944" t="str">
        <f>"2392722624"</f>
        <v>2392722624</v>
      </c>
      <c r="G944" t="s">
        <v>3023</v>
      </c>
      <c r="H944" t="s">
        <v>3024</v>
      </c>
      <c r="I944" t="s">
        <v>255</v>
      </c>
      <c r="J944">
        <v>20191</v>
      </c>
      <c r="K944">
        <v>3037</v>
      </c>
      <c r="L944" t="s">
        <v>23</v>
      </c>
      <c r="M944" t="s">
        <v>3023</v>
      </c>
      <c r="N944" t="s">
        <v>3024</v>
      </c>
      <c r="O944" t="s">
        <v>255</v>
      </c>
      <c r="P944">
        <v>20191</v>
      </c>
      <c r="Q944">
        <v>3037</v>
      </c>
      <c r="R944" t="s">
        <v>23</v>
      </c>
      <c r="S944" s="1" t="s">
        <v>34218</v>
      </c>
    </row>
    <row r="945" spans="1:19" x14ac:dyDescent="0.25">
      <c r="A945">
        <v>101101513</v>
      </c>
      <c r="B945" t="s">
        <v>592</v>
      </c>
      <c r="C945" t="s">
        <v>1658</v>
      </c>
      <c r="F945" t="str">
        <f>"9042603273"</f>
        <v>9042603273</v>
      </c>
      <c r="G945" t="s">
        <v>3025</v>
      </c>
      <c r="H945" t="s">
        <v>143</v>
      </c>
      <c r="I945" t="s">
        <v>52</v>
      </c>
      <c r="J945">
        <v>32257</v>
      </c>
      <c r="K945">
        <v>5882</v>
      </c>
      <c r="L945" t="s">
        <v>23</v>
      </c>
      <c r="M945" t="s">
        <v>3025</v>
      </c>
      <c r="N945" t="s">
        <v>143</v>
      </c>
      <c r="O945" t="s">
        <v>52</v>
      </c>
      <c r="P945">
        <v>32257</v>
      </c>
      <c r="Q945">
        <v>5882</v>
      </c>
      <c r="R945" t="s">
        <v>23</v>
      </c>
      <c r="S945" s="1" t="s">
        <v>34218</v>
      </c>
    </row>
    <row r="946" spans="1:19" x14ac:dyDescent="0.25">
      <c r="A946">
        <v>101060160</v>
      </c>
      <c r="B946" t="s">
        <v>3026</v>
      </c>
      <c r="C946" t="s">
        <v>3027</v>
      </c>
      <c r="F946" t="str">
        <f>"5555555555"</f>
        <v>5555555555</v>
      </c>
      <c r="G946" t="s">
        <v>3028</v>
      </c>
      <c r="H946" t="s">
        <v>130</v>
      </c>
      <c r="I946" t="s">
        <v>22</v>
      </c>
      <c r="J946">
        <v>94118</v>
      </c>
      <c r="K946">
        <v>2520</v>
      </c>
      <c r="L946" t="s">
        <v>23</v>
      </c>
      <c r="M946" t="s">
        <v>3028</v>
      </c>
      <c r="N946" t="s">
        <v>130</v>
      </c>
      <c r="O946" t="s">
        <v>22</v>
      </c>
      <c r="P946">
        <v>94118</v>
      </c>
      <c r="Q946">
        <v>2520</v>
      </c>
      <c r="R946" t="s">
        <v>23</v>
      </c>
      <c r="S946" s="1" t="s">
        <v>34218</v>
      </c>
    </row>
    <row r="947" spans="1:19" x14ac:dyDescent="0.25">
      <c r="A947">
        <v>101305670</v>
      </c>
      <c r="B947" t="s">
        <v>1581</v>
      </c>
      <c r="C947" t="s">
        <v>699</v>
      </c>
      <c r="F947" t="str">
        <f>"3155254372"</f>
        <v>3155254372</v>
      </c>
      <c r="G947" t="s">
        <v>3029</v>
      </c>
      <c r="H947" t="s">
        <v>3030</v>
      </c>
      <c r="I947" t="s">
        <v>117</v>
      </c>
      <c r="J947">
        <v>13338</v>
      </c>
      <c r="K947">
        <v>3331</v>
      </c>
      <c r="L947" t="s">
        <v>23</v>
      </c>
      <c r="M947" t="s">
        <v>3029</v>
      </c>
      <c r="N947" t="s">
        <v>3030</v>
      </c>
      <c r="O947" t="s">
        <v>117</v>
      </c>
      <c r="P947">
        <v>13338</v>
      </c>
      <c r="Q947">
        <v>3331</v>
      </c>
      <c r="R947" t="s">
        <v>23</v>
      </c>
      <c r="S947" s="1" t="s">
        <v>34218</v>
      </c>
    </row>
    <row r="948" spans="1:19" x14ac:dyDescent="0.25">
      <c r="A948">
        <v>101312417</v>
      </c>
      <c r="B948" t="s">
        <v>3031</v>
      </c>
      <c r="C948" t="s">
        <v>25</v>
      </c>
      <c r="F948" t="str">
        <f>"7166894039"</f>
        <v>7166894039</v>
      </c>
      <c r="G948" t="s">
        <v>3032</v>
      </c>
      <c r="H948" t="s">
        <v>3033</v>
      </c>
      <c r="I948" t="s">
        <v>117</v>
      </c>
      <c r="J948">
        <v>14051</v>
      </c>
      <c r="K948">
        <v>1814</v>
      </c>
      <c r="L948" t="s">
        <v>23</v>
      </c>
      <c r="M948" t="s">
        <v>3032</v>
      </c>
      <c r="N948" t="s">
        <v>3033</v>
      </c>
      <c r="O948" t="s">
        <v>117</v>
      </c>
      <c r="P948">
        <v>14051</v>
      </c>
      <c r="Q948">
        <v>1814</v>
      </c>
      <c r="R948" t="s">
        <v>23</v>
      </c>
      <c r="S948" s="1" t="s">
        <v>34218</v>
      </c>
    </row>
    <row r="949" spans="1:19" x14ac:dyDescent="0.25">
      <c r="A949">
        <v>101312542</v>
      </c>
      <c r="B949" t="s">
        <v>3003</v>
      </c>
      <c r="C949" t="s">
        <v>1030</v>
      </c>
      <c r="F949" t="str">
        <f>"4405262272"</f>
        <v>4405262272</v>
      </c>
      <c r="G949" t="s">
        <v>3034</v>
      </c>
      <c r="H949" t="s">
        <v>3035</v>
      </c>
      <c r="I949" t="s">
        <v>178</v>
      </c>
      <c r="J949">
        <v>44147</v>
      </c>
      <c r="K949">
        <v>2203</v>
      </c>
      <c r="L949" t="s">
        <v>23</v>
      </c>
      <c r="M949" t="s">
        <v>3034</v>
      </c>
      <c r="N949" t="s">
        <v>3035</v>
      </c>
      <c r="O949" t="s">
        <v>178</v>
      </c>
      <c r="P949">
        <v>44147</v>
      </c>
      <c r="Q949">
        <v>2203</v>
      </c>
      <c r="R949" t="s">
        <v>23</v>
      </c>
      <c r="S949" s="1" t="s">
        <v>34218</v>
      </c>
    </row>
    <row r="950" spans="1:19" x14ac:dyDescent="0.25">
      <c r="A950">
        <v>100679634</v>
      </c>
      <c r="B950" t="s">
        <v>3036</v>
      </c>
      <c r="C950" t="s">
        <v>3037</v>
      </c>
      <c r="F950" t="str">
        <f>"5755850000"</f>
        <v>5755850000</v>
      </c>
      <c r="H950" t="s">
        <v>3038</v>
      </c>
      <c r="I950" t="s">
        <v>639</v>
      </c>
      <c r="J950">
        <v>88337</v>
      </c>
      <c r="L950" t="s">
        <v>23</v>
      </c>
      <c r="N950" t="s">
        <v>3038</v>
      </c>
      <c r="O950" t="s">
        <v>639</v>
      </c>
      <c r="P950">
        <v>88337</v>
      </c>
      <c r="R950" t="s">
        <v>23</v>
      </c>
      <c r="S950" s="1" t="s">
        <v>34218</v>
      </c>
    </row>
    <row r="951" spans="1:19" x14ac:dyDescent="0.25">
      <c r="A951">
        <v>100546530</v>
      </c>
      <c r="B951" t="s">
        <v>3039</v>
      </c>
      <c r="C951" t="s">
        <v>803</v>
      </c>
      <c r="F951" t="str">
        <f>"5404566028"</f>
        <v>5404566028</v>
      </c>
      <c r="G951" t="s">
        <v>3040</v>
      </c>
      <c r="H951" t="s">
        <v>3041</v>
      </c>
      <c r="I951" t="s">
        <v>255</v>
      </c>
      <c r="J951">
        <v>22935</v>
      </c>
      <c r="K951">
        <v>1111</v>
      </c>
      <c r="L951" t="s">
        <v>23</v>
      </c>
      <c r="M951" t="s">
        <v>3040</v>
      </c>
      <c r="N951" t="s">
        <v>3041</v>
      </c>
      <c r="O951" t="s">
        <v>255</v>
      </c>
      <c r="P951">
        <v>22935</v>
      </c>
      <c r="Q951">
        <v>1111</v>
      </c>
      <c r="R951" t="s">
        <v>23</v>
      </c>
      <c r="S951" s="1" t="s">
        <v>34218</v>
      </c>
    </row>
    <row r="952" spans="1:19" x14ac:dyDescent="0.25">
      <c r="A952">
        <v>100568027</v>
      </c>
      <c r="B952" t="s">
        <v>3042</v>
      </c>
      <c r="C952" t="s">
        <v>3043</v>
      </c>
      <c r="F952" t="str">
        <f>"7079231296"</f>
        <v>7079231296</v>
      </c>
      <c r="G952" t="s">
        <v>3044</v>
      </c>
      <c r="H952" t="s">
        <v>3045</v>
      </c>
      <c r="I952" t="s">
        <v>22</v>
      </c>
      <c r="J952">
        <v>95542</v>
      </c>
      <c r="K952">
        <v>3109</v>
      </c>
      <c r="L952" t="s">
        <v>23</v>
      </c>
      <c r="M952" t="s">
        <v>3044</v>
      </c>
      <c r="N952" t="s">
        <v>3045</v>
      </c>
      <c r="O952" t="s">
        <v>22</v>
      </c>
      <c r="P952">
        <v>95542</v>
      </c>
      <c r="Q952">
        <v>3109</v>
      </c>
      <c r="R952" t="s">
        <v>23</v>
      </c>
      <c r="S952" s="1" t="s">
        <v>34218</v>
      </c>
    </row>
    <row r="953" spans="1:19" x14ac:dyDescent="0.25">
      <c r="A953">
        <v>100783514</v>
      </c>
      <c r="B953" t="s">
        <v>3046</v>
      </c>
      <c r="C953" t="s">
        <v>329</v>
      </c>
      <c r="F953" t="str">
        <f>"9149465048"</f>
        <v>9149465048</v>
      </c>
      <c r="G953" t="s">
        <v>3047</v>
      </c>
      <c r="H953" t="s">
        <v>2403</v>
      </c>
      <c r="I953" t="s">
        <v>117</v>
      </c>
      <c r="J953">
        <v>10606</v>
      </c>
      <c r="K953">
        <v>3801</v>
      </c>
      <c r="L953" t="s">
        <v>23</v>
      </c>
      <c r="M953" t="s">
        <v>3047</v>
      </c>
      <c r="N953" t="s">
        <v>2403</v>
      </c>
      <c r="O953" t="s">
        <v>117</v>
      </c>
      <c r="P953">
        <v>10606</v>
      </c>
      <c r="Q953">
        <v>3801</v>
      </c>
      <c r="R953" t="s">
        <v>23</v>
      </c>
      <c r="S953" s="1" t="s">
        <v>34218</v>
      </c>
    </row>
    <row r="954" spans="1:19" x14ac:dyDescent="0.25">
      <c r="A954">
        <v>100652481</v>
      </c>
      <c r="B954" t="s">
        <v>858</v>
      </c>
      <c r="C954" t="s">
        <v>748</v>
      </c>
      <c r="F954" t="str">
        <f>"8179969968"</f>
        <v>8179969968</v>
      </c>
      <c r="G954" t="s">
        <v>3048</v>
      </c>
      <c r="H954" t="s">
        <v>1748</v>
      </c>
      <c r="I954" t="s">
        <v>38</v>
      </c>
      <c r="J954">
        <v>76006</v>
      </c>
      <c r="K954">
        <v>5742</v>
      </c>
      <c r="L954" t="s">
        <v>23</v>
      </c>
      <c r="M954" t="s">
        <v>3048</v>
      </c>
      <c r="N954" t="s">
        <v>1748</v>
      </c>
      <c r="O954" t="s">
        <v>38</v>
      </c>
      <c r="P954">
        <v>76006</v>
      </c>
      <c r="Q954">
        <v>5742</v>
      </c>
      <c r="R954" t="s">
        <v>23</v>
      </c>
      <c r="S954" s="1" t="s">
        <v>34218</v>
      </c>
    </row>
    <row r="955" spans="1:19" x14ac:dyDescent="0.25">
      <c r="A955">
        <v>100657279</v>
      </c>
      <c r="B955" t="s">
        <v>3049</v>
      </c>
      <c r="C955" t="s">
        <v>1124</v>
      </c>
      <c r="F955" t="str">
        <f>"9732351305"</f>
        <v>9732351305</v>
      </c>
      <c r="G955" t="s">
        <v>3050</v>
      </c>
      <c r="H955" t="s">
        <v>3051</v>
      </c>
      <c r="I955" t="s">
        <v>250</v>
      </c>
      <c r="J955">
        <v>7110</v>
      </c>
      <c r="K955">
        <v>2575</v>
      </c>
      <c r="L955" t="s">
        <v>23</v>
      </c>
      <c r="M955" t="s">
        <v>3050</v>
      </c>
      <c r="N955" t="s">
        <v>3051</v>
      </c>
      <c r="O955" t="s">
        <v>250</v>
      </c>
      <c r="P955">
        <v>7110</v>
      </c>
      <c r="Q955">
        <v>2575</v>
      </c>
      <c r="R955" t="s">
        <v>23</v>
      </c>
      <c r="S955" s="1" t="s">
        <v>34218</v>
      </c>
    </row>
    <row r="956" spans="1:19" x14ac:dyDescent="0.25">
      <c r="A956">
        <v>100661824</v>
      </c>
      <c r="B956" t="s">
        <v>3052</v>
      </c>
      <c r="C956" t="s">
        <v>575</v>
      </c>
      <c r="F956" t="str">
        <f>"8023887088"</f>
        <v>8023887088</v>
      </c>
      <c r="G956" t="s">
        <v>3053</v>
      </c>
      <c r="H956" t="s">
        <v>3054</v>
      </c>
      <c r="I956" t="s">
        <v>307</v>
      </c>
      <c r="J956">
        <v>5753</v>
      </c>
      <c r="K956">
        <v>566</v>
      </c>
      <c r="L956" t="s">
        <v>23</v>
      </c>
      <c r="M956" t="s">
        <v>3053</v>
      </c>
      <c r="N956" t="s">
        <v>3054</v>
      </c>
      <c r="O956" t="s">
        <v>307</v>
      </c>
      <c r="P956">
        <v>5753</v>
      </c>
      <c r="Q956">
        <v>566</v>
      </c>
      <c r="R956" t="s">
        <v>23</v>
      </c>
      <c r="S956" s="1" t="s">
        <v>34218</v>
      </c>
    </row>
    <row r="957" spans="1:19" x14ac:dyDescent="0.25">
      <c r="A957">
        <v>100666942</v>
      </c>
      <c r="B957" t="s">
        <v>1632</v>
      </c>
      <c r="C957" t="s">
        <v>1124</v>
      </c>
      <c r="F957" t="str">
        <f>"3236602483"</f>
        <v>3236602483</v>
      </c>
      <c r="G957" t="s">
        <v>3055</v>
      </c>
      <c r="H957" t="s">
        <v>299</v>
      </c>
      <c r="I957" t="s">
        <v>22</v>
      </c>
      <c r="J957">
        <v>90027</v>
      </c>
      <c r="K957">
        <v>4720</v>
      </c>
      <c r="L957" t="s">
        <v>23</v>
      </c>
      <c r="M957" t="s">
        <v>3055</v>
      </c>
      <c r="N957" t="s">
        <v>299</v>
      </c>
      <c r="O957" t="s">
        <v>22</v>
      </c>
      <c r="P957">
        <v>90027</v>
      </c>
      <c r="Q957">
        <v>4720</v>
      </c>
      <c r="R957" t="s">
        <v>23</v>
      </c>
      <c r="S957" s="1" t="s">
        <v>34218</v>
      </c>
    </row>
    <row r="958" spans="1:19" x14ac:dyDescent="0.25">
      <c r="A958">
        <v>100882039</v>
      </c>
      <c r="B958" t="s">
        <v>3056</v>
      </c>
      <c r="C958" t="s">
        <v>1757</v>
      </c>
      <c r="F958" t="str">
        <f>"8187120216"</f>
        <v>8187120216</v>
      </c>
      <c r="G958" t="s">
        <v>3057</v>
      </c>
      <c r="H958" t="s">
        <v>741</v>
      </c>
      <c r="I958" t="s">
        <v>22</v>
      </c>
      <c r="J958">
        <v>91367</v>
      </c>
      <c r="K958">
        <v>3545</v>
      </c>
      <c r="L958" t="s">
        <v>23</v>
      </c>
      <c r="M958" t="s">
        <v>3057</v>
      </c>
      <c r="N958" t="s">
        <v>741</v>
      </c>
      <c r="O958" t="s">
        <v>22</v>
      </c>
      <c r="P958">
        <v>91367</v>
      </c>
      <c r="Q958">
        <v>3545</v>
      </c>
      <c r="R958" t="s">
        <v>23</v>
      </c>
      <c r="S958" s="1" t="s">
        <v>34218</v>
      </c>
    </row>
    <row r="959" spans="1:19" x14ac:dyDescent="0.25">
      <c r="A959">
        <v>100887414</v>
      </c>
      <c r="B959" t="s">
        <v>3058</v>
      </c>
      <c r="C959" t="s">
        <v>403</v>
      </c>
      <c r="F959" t="str">
        <f>"9099315707"</f>
        <v>9099315707</v>
      </c>
      <c r="G959" t="s">
        <v>3059</v>
      </c>
      <c r="H959" t="s">
        <v>3060</v>
      </c>
      <c r="I959" t="s">
        <v>22</v>
      </c>
      <c r="J959">
        <v>91786</v>
      </c>
      <c r="K959">
        <v>2321</v>
      </c>
      <c r="L959" t="s">
        <v>23</v>
      </c>
      <c r="M959" t="s">
        <v>3059</v>
      </c>
      <c r="N959" t="s">
        <v>3060</v>
      </c>
      <c r="O959" t="s">
        <v>22</v>
      </c>
      <c r="P959">
        <v>91786</v>
      </c>
      <c r="Q959">
        <v>2321</v>
      </c>
      <c r="R959" t="s">
        <v>23</v>
      </c>
      <c r="S959" s="1" t="s">
        <v>34218</v>
      </c>
    </row>
    <row r="960" spans="1:19" x14ac:dyDescent="0.25">
      <c r="A960">
        <v>100586838</v>
      </c>
      <c r="B960" t="s">
        <v>3061</v>
      </c>
      <c r="C960" t="s">
        <v>1873</v>
      </c>
      <c r="F960" t="str">
        <f>"4153311644"</f>
        <v>4153311644</v>
      </c>
      <c r="G960" t="s">
        <v>3062</v>
      </c>
      <c r="H960" t="s">
        <v>2629</v>
      </c>
      <c r="I960" t="s">
        <v>22</v>
      </c>
      <c r="J960">
        <v>94965</v>
      </c>
      <c r="K960">
        <v>2336</v>
      </c>
      <c r="L960" t="s">
        <v>23</v>
      </c>
      <c r="M960" t="s">
        <v>3062</v>
      </c>
      <c r="N960" t="s">
        <v>2629</v>
      </c>
      <c r="O960" t="s">
        <v>22</v>
      </c>
      <c r="P960">
        <v>94965</v>
      </c>
      <c r="Q960">
        <v>2336</v>
      </c>
      <c r="R960" t="s">
        <v>23</v>
      </c>
      <c r="S960" s="1" t="s">
        <v>34218</v>
      </c>
    </row>
    <row r="961" spans="1:19" x14ac:dyDescent="0.25">
      <c r="A961">
        <v>100590915</v>
      </c>
      <c r="B961" t="s">
        <v>166</v>
      </c>
      <c r="C961" t="s">
        <v>3063</v>
      </c>
      <c r="F961" t="str">
        <f>"5102074470"</f>
        <v>5102074470</v>
      </c>
      <c r="G961" t="s">
        <v>3064</v>
      </c>
      <c r="H961" t="s">
        <v>705</v>
      </c>
      <c r="I961" t="s">
        <v>22</v>
      </c>
      <c r="J961">
        <v>94501</v>
      </c>
      <c r="K961">
        <v>3797</v>
      </c>
      <c r="L961" t="s">
        <v>23</v>
      </c>
      <c r="M961" t="s">
        <v>3064</v>
      </c>
      <c r="N961" t="s">
        <v>705</v>
      </c>
      <c r="O961" t="s">
        <v>22</v>
      </c>
      <c r="P961">
        <v>94501</v>
      </c>
      <c r="Q961">
        <v>3797</v>
      </c>
      <c r="R961" t="s">
        <v>23</v>
      </c>
      <c r="S961" s="1" t="s">
        <v>34218</v>
      </c>
    </row>
    <row r="962" spans="1:19" x14ac:dyDescent="0.25">
      <c r="A962">
        <v>100795126</v>
      </c>
      <c r="B962" t="s">
        <v>3065</v>
      </c>
      <c r="C962" t="s">
        <v>3066</v>
      </c>
      <c r="F962" t="str">
        <f>"7078652534"</f>
        <v>7078652534</v>
      </c>
      <c r="G962" t="s">
        <v>3067</v>
      </c>
      <c r="H962" t="s">
        <v>3068</v>
      </c>
      <c r="I962" t="s">
        <v>22</v>
      </c>
      <c r="J962">
        <v>95462</v>
      </c>
      <c r="K962">
        <v>490</v>
      </c>
      <c r="L962" t="s">
        <v>23</v>
      </c>
      <c r="M962" t="s">
        <v>3067</v>
      </c>
      <c r="N962" t="s">
        <v>3068</v>
      </c>
      <c r="O962" t="s">
        <v>22</v>
      </c>
      <c r="P962">
        <v>95462</v>
      </c>
      <c r="Q962">
        <v>490</v>
      </c>
      <c r="R962" t="s">
        <v>23</v>
      </c>
      <c r="S962" s="1" t="s">
        <v>34218</v>
      </c>
    </row>
    <row r="963" spans="1:19" x14ac:dyDescent="0.25">
      <c r="A963">
        <v>100629581</v>
      </c>
      <c r="B963" t="s">
        <v>3069</v>
      </c>
      <c r="C963" t="s">
        <v>252</v>
      </c>
      <c r="F963" t="str">
        <f>"4106550936"</f>
        <v>4106550936</v>
      </c>
      <c r="G963" t="s">
        <v>3070</v>
      </c>
      <c r="H963" t="s">
        <v>3071</v>
      </c>
      <c r="I963" t="s">
        <v>148</v>
      </c>
      <c r="J963">
        <v>21244</v>
      </c>
      <c r="K963">
        <v>2800</v>
      </c>
      <c r="L963" t="s">
        <v>23</v>
      </c>
      <c r="M963" t="s">
        <v>3070</v>
      </c>
      <c r="N963" t="s">
        <v>3071</v>
      </c>
      <c r="O963" t="s">
        <v>148</v>
      </c>
      <c r="P963">
        <v>21244</v>
      </c>
      <c r="Q963">
        <v>2800</v>
      </c>
      <c r="R963" t="s">
        <v>23</v>
      </c>
      <c r="S963" s="1" t="s">
        <v>34218</v>
      </c>
    </row>
    <row r="964" spans="1:19" x14ac:dyDescent="0.25">
      <c r="A964">
        <v>100927145</v>
      </c>
      <c r="B964" t="s">
        <v>3072</v>
      </c>
      <c r="C964" t="s">
        <v>403</v>
      </c>
      <c r="F964" t="str">
        <f>"4104916391"</f>
        <v>4104916391</v>
      </c>
      <c r="G964" t="s">
        <v>3073</v>
      </c>
      <c r="H964" t="s">
        <v>3074</v>
      </c>
      <c r="I964" t="s">
        <v>148</v>
      </c>
      <c r="J964">
        <v>21204</v>
      </c>
      <c r="K964">
        <v>6423</v>
      </c>
      <c r="L964" t="s">
        <v>23</v>
      </c>
      <c r="M964" t="s">
        <v>3073</v>
      </c>
      <c r="N964" t="s">
        <v>3074</v>
      </c>
      <c r="O964" t="s">
        <v>148</v>
      </c>
      <c r="P964">
        <v>21204</v>
      </c>
      <c r="Q964">
        <v>6423</v>
      </c>
      <c r="R964" t="s">
        <v>23</v>
      </c>
      <c r="S964" s="1" t="s">
        <v>34218</v>
      </c>
    </row>
    <row r="965" spans="1:19" x14ac:dyDescent="0.25">
      <c r="A965">
        <v>100942761</v>
      </c>
      <c r="B965" t="s">
        <v>3075</v>
      </c>
      <c r="C965" t="s">
        <v>313</v>
      </c>
      <c r="F965" t="str">
        <f>"9542267888"</f>
        <v>9542267888</v>
      </c>
      <c r="G965" t="s">
        <v>3076</v>
      </c>
      <c r="H965" t="s">
        <v>1975</v>
      </c>
      <c r="I965" t="s">
        <v>52</v>
      </c>
      <c r="J965">
        <v>33321</v>
      </c>
      <c r="K965">
        <v>8671</v>
      </c>
      <c r="L965" t="s">
        <v>23</v>
      </c>
      <c r="M965" t="s">
        <v>3076</v>
      </c>
      <c r="N965" t="s">
        <v>1975</v>
      </c>
      <c r="O965" t="s">
        <v>52</v>
      </c>
      <c r="P965">
        <v>33321</v>
      </c>
      <c r="Q965">
        <v>8671</v>
      </c>
      <c r="R965" t="s">
        <v>23</v>
      </c>
      <c r="S965" s="1" t="s">
        <v>34218</v>
      </c>
    </row>
    <row r="966" spans="1:19" x14ac:dyDescent="0.25">
      <c r="A966">
        <v>100890988</v>
      </c>
      <c r="B966" t="s">
        <v>3077</v>
      </c>
      <c r="C966" t="s">
        <v>1208</v>
      </c>
      <c r="F966" t="str">
        <f>"7194802541"</f>
        <v>7194802541</v>
      </c>
      <c r="G966" t="s">
        <v>3078</v>
      </c>
      <c r="H966" t="s">
        <v>3079</v>
      </c>
      <c r="I966" t="s">
        <v>71</v>
      </c>
      <c r="J966">
        <v>81101</v>
      </c>
      <c r="K966">
        <v>3236</v>
      </c>
      <c r="L966" t="s">
        <v>23</v>
      </c>
      <c r="M966" t="s">
        <v>3078</v>
      </c>
      <c r="N966" t="s">
        <v>3079</v>
      </c>
      <c r="O966" t="s">
        <v>71</v>
      </c>
      <c r="P966">
        <v>81101</v>
      </c>
      <c r="Q966">
        <v>3236</v>
      </c>
      <c r="R966" t="s">
        <v>23</v>
      </c>
      <c r="S966" s="1" t="s">
        <v>34218</v>
      </c>
    </row>
    <row r="967" spans="1:19" x14ac:dyDescent="0.25">
      <c r="A967">
        <v>100906570</v>
      </c>
      <c r="B967" t="s">
        <v>2266</v>
      </c>
      <c r="C967" t="s">
        <v>644</v>
      </c>
      <c r="F967" t="str">
        <f>"6029968568"</f>
        <v>6029968568</v>
      </c>
      <c r="G967" t="s">
        <v>3080</v>
      </c>
      <c r="H967" t="s">
        <v>682</v>
      </c>
      <c r="I967" t="s">
        <v>365</v>
      </c>
      <c r="J967">
        <v>85032</v>
      </c>
      <c r="K967">
        <v>4710</v>
      </c>
      <c r="L967" t="s">
        <v>23</v>
      </c>
      <c r="M967" t="s">
        <v>3080</v>
      </c>
      <c r="N967" t="s">
        <v>682</v>
      </c>
      <c r="O967" t="s">
        <v>365</v>
      </c>
      <c r="P967">
        <v>85032</v>
      </c>
      <c r="Q967">
        <v>4710</v>
      </c>
      <c r="R967" t="s">
        <v>23</v>
      </c>
      <c r="S967" s="1" t="s">
        <v>34218</v>
      </c>
    </row>
    <row r="968" spans="1:19" x14ac:dyDescent="0.25">
      <c r="A968">
        <v>101269072</v>
      </c>
      <c r="B968" t="s">
        <v>1800</v>
      </c>
      <c r="C968" t="s">
        <v>3081</v>
      </c>
      <c r="F968" t="str">
        <f>"3037728944"</f>
        <v>3037728944</v>
      </c>
      <c r="G968" t="s">
        <v>3082</v>
      </c>
      <c r="H968" t="s">
        <v>438</v>
      </c>
      <c r="I968" t="s">
        <v>71</v>
      </c>
      <c r="J968">
        <v>80501</v>
      </c>
      <c r="K968">
        <v>5504</v>
      </c>
      <c r="L968" t="s">
        <v>23</v>
      </c>
      <c r="M968" t="s">
        <v>3082</v>
      </c>
      <c r="N968" t="s">
        <v>438</v>
      </c>
      <c r="O968" t="s">
        <v>71</v>
      </c>
      <c r="P968">
        <v>80501</v>
      </c>
      <c r="Q968">
        <v>5504</v>
      </c>
      <c r="R968" t="s">
        <v>23</v>
      </c>
      <c r="S968" s="1" t="s">
        <v>34218</v>
      </c>
    </row>
    <row r="969" spans="1:19" x14ac:dyDescent="0.25">
      <c r="A969">
        <v>101071381</v>
      </c>
      <c r="B969" t="s">
        <v>3083</v>
      </c>
      <c r="C969" t="s">
        <v>3084</v>
      </c>
      <c r="F969" t="str">
        <f>"8133405868"</f>
        <v>8133405868</v>
      </c>
      <c r="G969" t="s">
        <v>3085</v>
      </c>
      <c r="H969" t="s">
        <v>3086</v>
      </c>
      <c r="I969" t="s">
        <v>52</v>
      </c>
      <c r="J969">
        <v>33544</v>
      </c>
      <c r="K969">
        <v>4742</v>
      </c>
      <c r="L969" t="s">
        <v>23</v>
      </c>
      <c r="M969" t="s">
        <v>3085</v>
      </c>
      <c r="N969" t="s">
        <v>3086</v>
      </c>
      <c r="O969" t="s">
        <v>52</v>
      </c>
      <c r="P969">
        <v>33544</v>
      </c>
      <c r="Q969">
        <v>4742</v>
      </c>
      <c r="R969" t="s">
        <v>23</v>
      </c>
      <c r="S969" s="1" t="s">
        <v>34218</v>
      </c>
    </row>
    <row r="970" spans="1:19" x14ac:dyDescent="0.25">
      <c r="A970">
        <v>101070660</v>
      </c>
      <c r="B970" t="s">
        <v>3087</v>
      </c>
      <c r="C970" t="s">
        <v>1555</v>
      </c>
      <c r="F970" t="str">
        <f>"8088788164"</f>
        <v>8088788164</v>
      </c>
      <c r="G970" t="s">
        <v>3088</v>
      </c>
      <c r="H970" t="s">
        <v>1967</v>
      </c>
      <c r="I970" t="s">
        <v>984</v>
      </c>
      <c r="J970">
        <v>96790</v>
      </c>
      <c r="K970">
        <v>8314</v>
      </c>
      <c r="L970" t="s">
        <v>23</v>
      </c>
      <c r="M970" t="s">
        <v>3088</v>
      </c>
      <c r="N970" t="s">
        <v>1967</v>
      </c>
      <c r="O970" t="s">
        <v>984</v>
      </c>
      <c r="P970">
        <v>96790</v>
      </c>
      <c r="Q970">
        <v>8314</v>
      </c>
      <c r="R970" t="s">
        <v>23</v>
      </c>
      <c r="S970" s="1" t="s">
        <v>34218</v>
      </c>
    </row>
    <row r="971" spans="1:19" x14ac:dyDescent="0.25">
      <c r="A971">
        <v>101090075</v>
      </c>
      <c r="B971" t="s">
        <v>3089</v>
      </c>
      <c r="C971" t="s">
        <v>1135</v>
      </c>
      <c r="F971" t="str">
        <f>"4242903097"</f>
        <v>4242903097</v>
      </c>
      <c r="G971" t="s">
        <v>3090</v>
      </c>
      <c r="H971" t="s">
        <v>3091</v>
      </c>
      <c r="I971" t="s">
        <v>22</v>
      </c>
      <c r="J971">
        <v>90245</v>
      </c>
      <c r="K971">
        <v>4057</v>
      </c>
      <c r="L971" t="s">
        <v>23</v>
      </c>
      <c r="M971" t="s">
        <v>3090</v>
      </c>
      <c r="N971" t="s">
        <v>3091</v>
      </c>
      <c r="O971" t="s">
        <v>22</v>
      </c>
      <c r="P971">
        <v>90245</v>
      </c>
      <c r="Q971">
        <v>4057</v>
      </c>
      <c r="R971" t="s">
        <v>23</v>
      </c>
      <c r="S971" s="1" t="s">
        <v>34218</v>
      </c>
    </row>
    <row r="972" spans="1:19" x14ac:dyDescent="0.25">
      <c r="A972">
        <v>101307836</v>
      </c>
      <c r="B972" t="s">
        <v>3092</v>
      </c>
      <c r="C972" t="s">
        <v>3093</v>
      </c>
      <c r="F972" t="str">
        <f>"6085652848"</f>
        <v>6085652848</v>
      </c>
      <c r="G972" t="s">
        <v>3094</v>
      </c>
      <c r="H972" t="s">
        <v>3095</v>
      </c>
      <c r="I972" t="s">
        <v>100</v>
      </c>
      <c r="J972">
        <v>54646</v>
      </c>
      <c r="K972">
        <v>8025</v>
      </c>
      <c r="L972" t="s">
        <v>23</v>
      </c>
      <c r="M972" t="s">
        <v>3094</v>
      </c>
      <c r="N972" t="s">
        <v>3095</v>
      </c>
      <c r="O972" t="s">
        <v>100</v>
      </c>
      <c r="P972">
        <v>54646</v>
      </c>
      <c r="Q972">
        <v>8025</v>
      </c>
      <c r="R972" t="s">
        <v>23</v>
      </c>
      <c r="S972" s="1" t="s">
        <v>34218</v>
      </c>
    </row>
    <row r="973" spans="1:19" x14ac:dyDescent="0.25">
      <c r="A973">
        <v>101308015</v>
      </c>
      <c r="B973" t="s">
        <v>3096</v>
      </c>
      <c r="C973" t="s">
        <v>475</v>
      </c>
      <c r="F973" t="str">
        <f>"4439883096"</f>
        <v>4439883096</v>
      </c>
      <c r="G973" t="s">
        <v>3097</v>
      </c>
      <c r="H973" t="s">
        <v>3098</v>
      </c>
      <c r="I973" t="s">
        <v>148</v>
      </c>
      <c r="J973">
        <v>21601</v>
      </c>
      <c r="K973">
        <v>3817</v>
      </c>
      <c r="L973" t="s">
        <v>23</v>
      </c>
      <c r="M973" t="s">
        <v>3097</v>
      </c>
      <c r="N973" t="s">
        <v>3098</v>
      </c>
      <c r="O973" t="s">
        <v>148</v>
      </c>
      <c r="P973">
        <v>21601</v>
      </c>
      <c r="Q973">
        <v>3817</v>
      </c>
      <c r="R973" t="s">
        <v>23</v>
      </c>
      <c r="S973" s="1" t="s">
        <v>34218</v>
      </c>
    </row>
    <row r="974" spans="1:19" x14ac:dyDescent="0.25">
      <c r="A974">
        <v>101310747</v>
      </c>
      <c r="B974" t="s">
        <v>3099</v>
      </c>
      <c r="C974" t="s">
        <v>3100</v>
      </c>
      <c r="F974" t="str">
        <f>"4123727350"</f>
        <v>4123727350</v>
      </c>
      <c r="G974" t="s">
        <v>3101</v>
      </c>
      <c r="H974" t="s">
        <v>3102</v>
      </c>
      <c r="I974" t="s">
        <v>33</v>
      </c>
      <c r="J974">
        <v>15085</v>
      </c>
      <c r="K974">
        <v>1232</v>
      </c>
      <c r="L974" t="s">
        <v>23</v>
      </c>
      <c r="M974" t="s">
        <v>3101</v>
      </c>
      <c r="N974" t="s">
        <v>3102</v>
      </c>
      <c r="O974" t="s">
        <v>33</v>
      </c>
      <c r="P974">
        <v>15085</v>
      </c>
      <c r="Q974">
        <v>1232</v>
      </c>
      <c r="R974" t="s">
        <v>23</v>
      </c>
      <c r="S974" s="1" t="s">
        <v>34218</v>
      </c>
    </row>
    <row r="975" spans="1:19" x14ac:dyDescent="0.25">
      <c r="A975">
        <v>101173749</v>
      </c>
      <c r="B975" t="s">
        <v>3103</v>
      </c>
      <c r="C975" t="s">
        <v>2127</v>
      </c>
      <c r="F975" t="str">
        <f>"3606928180"</f>
        <v>3606928180</v>
      </c>
      <c r="G975" t="s">
        <v>3104</v>
      </c>
      <c r="H975" t="s">
        <v>3105</v>
      </c>
      <c r="I975" t="s">
        <v>84</v>
      </c>
      <c r="J975">
        <v>98312</v>
      </c>
      <c r="K975">
        <v>1027</v>
      </c>
      <c r="L975" t="s">
        <v>23</v>
      </c>
      <c r="M975" t="s">
        <v>3104</v>
      </c>
      <c r="N975" t="s">
        <v>3105</v>
      </c>
      <c r="O975" t="s">
        <v>84</v>
      </c>
      <c r="P975">
        <v>98312</v>
      </c>
      <c r="Q975">
        <v>1027</v>
      </c>
      <c r="R975" t="s">
        <v>23</v>
      </c>
      <c r="S975" s="1" t="s">
        <v>34218</v>
      </c>
    </row>
    <row r="976" spans="1:19" x14ac:dyDescent="0.25">
      <c r="A976">
        <v>101193803</v>
      </c>
      <c r="B976" t="s">
        <v>3106</v>
      </c>
      <c r="C976" t="s">
        <v>3107</v>
      </c>
      <c r="F976" t="str">
        <f>"5037884555"</f>
        <v>5037884555</v>
      </c>
      <c r="G976" t="s">
        <v>3108</v>
      </c>
      <c r="H976" t="s">
        <v>227</v>
      </c>
      <c r="I976" t="s">
        <v>43</v>
      </c>
      <c r="J976">
        <v>97206</v>
      </c>
      <c r="K976">
        <v>7133</v>
      </c>
      <c r="L976" t="s">
        <v>23</v>
      </c>
      <c r="M976" t="s">
        <v>3108</v>
      </c>
      <c r="N976" t="s">
        <v>227</v>
      </c>
      <c r="O976" t="s">
        <v>43</v>
      </c>
      <c r="P976">
        <v>97206</v>
      </c>
      <c r="Q976">
        <v>7133</v>
      </c>
      <c r="R976" t="s">
        <v>23</v>
      </c>
      <c r="S976" s="1" t="s">
        <v>34218</v>
      </c>
    </row>
    <row r="977" spans="1:19" x14ac:dyDescent="0.25">
      <c r="A977">
        <v>101192066</v>
      </c>
      <c r="B977" t="s">
        <v>3109</v>
      </c>
      <c r="C977" t="s">
        <v>3110</v>
      </c>
      <c r="F977" t="str">
        <f>"4143555597"</f>
        <v>4143555597</v>
      </c>
      <c r="G977" t="s">
        <v>3111</v>
      </c>
      <c r="H977" t="s">
        <v>389</v>
      </c>
      <c r="I977" t="s">
        <v>100</v>
      </c>
      <c r="J977">
        <v>53224</v>
      </c>
      <c r="K977">
        <v>4030</v>
      </c>
      <c r="L977" t="s">
        <v>23</v>
      </c>
      <c r="M977" t="s">
        <v>3111</v>
      </c>
      <c r="N977" t="s">
        <v>389</v>
      </c>
      <c r="O977" t="s">
        <v>100</v>
      </c>
      <c r="P977">
        <v>53224</v>
      </c>
      <c r="Q977">
        <v>4030</v>
      </c>
      <c r="R977" t="s">
        <v>23</v>
      </c>
      <c r="S977" s="1" t="s">
        <v>34218</v>
      </c>
    </row>
    <row r="978" spans="1:19" x14ac:dyDescent="0.25">
      <c r="A978">
        <v>100954915</v>
      </c>
      <c r="B978" t="s">
        <v>3112</v>
      </c>
      <c r="C978" t="s">
        <v>3113</v>
      </c>
      <c r="F978" t="str">
        <f>"9725051627"</f>
        <v>9725051627</v>
      </c>
      <c r="G978" t="s">
        <v>3114</v>
      </c>
      <c r="H978" t="s">
        <v>369</v>
      </c>
      <c r="I978" t="s">
        <v>2537</v>
      </c>
      <c r="J978">
        <v>72744</v>
      </c>
      <c r="K978">
        <v>8847</v>
      </c>
      <c r="L978" t="s">
        <v>23</v>
      </c>
      <c r="M978" t="s">
        <v>3114</v>
      </c>
      <c r="N978" t="s">
        <v>369</v>
      </c>
      <c r="O978" t="s">
        <v>2537</v>
      </c>
      <c r="P978">
        <v>72744</v>
      </c>
      <c r="Q978">
        <v>8847</v>
      </c>
      <c r="R978" t="s">
        <v>23</v>
      </c>
      <c r="S978" s="1" t="s">
        <v>34218</v>
      </c>
    </row>
    <row r="979" spans="1:19" x14ac:dyDescent="0.25">
      <c r="A979">
        <v>100532148</v>
      </c>
      <c r="B979" t="s">
        <v>3115</v>
      </c>
      <c r="C979" t="s">
        <v>1555</v>
      </c>
      <c r="F979" t="str">
        <f>"9196855232"</f>
        <v>9196855232</v>
      </c>
      <c r="G979" t="s">
        <v>3116</v>
      </c>
      <c r="H979" t="s">
        <v>2309</v>
      </c>
      <c r="I979" t="s">
        <v>446</v>
      </c>
      <c r="J979">
        <v>28409</v>
      </c>
      <c r="K979">
        <v>5113</v>
      </c>
      <c r="L979" t="s">
        <v>23</v>
      </c>
      <c r="M979" t="s">
        <v>3116</v>
      </c>
      <c r="N979" t="s">
        <v>2309</v>
      </c>
      <c r="O979" t="s">
        <v>446</v>
      </c>
      <c r="P979">
        <v>28409</v>
      </c>
      <c r="Q979">
        <v>5113</v>
      </c>
      <c r="R979" t="s">
        <v>23</v>
      </c>
      <c r="S979" s="1" t="s">
        <v>34218</v>
      </c>
    </row>
    <row r="980" spans="1:19" x14ac:dyDescent="0.25">
      <c r="A980">
        <v>100537696</v>
      </c>
      <c r="B980" t="s">
        <v>3117</v>
      </c>
      <c r="C980" t="s">
        <v>110</v>
      </c>
      <c r="F980" t="str">
        <f>"4074558343"</f>
        <v>4074558343</v>
      </c>
      <c r="G980" t="s">
        <v>3118</v>
      </c>
      <c r="H980" t="s">
        <v>3119</v>
      </c>
      <c r="I980" t="s">
        <v>52</v>
      </c>
      <c r="J980">
        <v>32701</v>
      </c>
      <c r="K980">
        <v>2703</v>
      </c>
      <c r="L980" t="s">
        <v>23</v>
      </c>
      <c r="M980" t="s">
        <v>3118</v>
      </c>
      <c r="N980" t="s">
        <v>3119</v>
      </c>
      <c r="O980" t="s">
        <v>52</v>
      </c>
      <c r="P980">
        <v>32701</v>
      </c>
      <c r="Q980">
        <v>2703</v>
      </c>
      <c r="R980" t="s">
        <v>23</v>
      </c>
      <c r="S980" s="1" t="s">
        <v>34218</v>
      </c>
    </row>
    <row r="981" spans="1:19" x14ac:dyDescent="0.25">
      <c r="A981">
        <v>100542714</v>
      </c>
      <c r="B981" t="s">
        <v>3120</v>
      </c>
      <c r="C981" t="s">
        <v>3121</v>
      </c>
      <c r="F981" t="str">
        <f>"4157020519"</f>
        <v>4157020519</v>
      </c>
      <c r="G981" t="s">
        <v>3122</v>
      </c>
      <c r="H981" t="s">
        <v>130</v>
      </c>
      <c r="I981" t="s">
        <v>22</v>
      </c>
      <c r="J981">
        <v>94121</v>
      </c>
      <c r="K981">
        <v>3025</v>
      </c>
      <c r="L981" t="s">
        <v>23</v>
      </c>
      <c r="M981" t="s">
        <v>3122</v>
      </c>
      <c r="N981" t="s">
        <v>130</v>
      </c>
      <c r="O981" t="s">
        <v>22</v>
      </c>
      <c r="P981">
        <v>94121</v>
      </c>
      <c r="Q981">
        <v>3025</v>
      </c>
      <c r="R981" t="s">
        <v>23</v>
      </c>
      <c r="S981" s="1" t="s">
        <v>34218</v>
      </c>
    </row>
    <row r="982" spans="1:19" x14ac:dyDescent="0.25">
      <c r="A982">
        <v>100541836</v>
      </c>
      <c r="B982" t="s">
        <v>3123</v>
      </c>
      <c r="C982" t="s">
        <v>3124</v>
      </c>
      <c r="F982" t="str">
        <f>"7026459523"</f>
        <v>7026459523</v>
      </c>
      <c r="G982" t="s">
        <v>3125</v>
      </c>
      <c r="H982" t="s">
        <v>701</v>
      </c>
      <c r="I982" t="s">
        <v>702</v>
      </c>
      <c r="J982">
        <v>89032</v>
      </c>
      <c r="K982">
        <v>5627</v>
      </c>
      <c r="L982" t="s">
        <v>23</v>
      </c>
      <c r="M982" t="s">
        <v>3125</v>
      </c>
      <c r="N982" t="s">
        <v>701</v>
      </c>
      <c r="O982" t="s">
        <v>702</v>
      </c>
      <c r="P982">
        <v>89032</v>
      </c>
      <c r="Q982">
        <v>5627</v>
      </c>
      <c r="R982" t="s">
        <v>23</v>
      </c>
      <c r="S982" s="1" t="s">
        <v>34218</v>
      </c>
    </row>
    <row r="983" spans="1:19" x14ac:dyDescent="0.25">
      <c r="A983">
        <v>100592553</v>
      </c>
      <c r="B983" t="s">
        <v>3126</v>
      </c>
      <c r="C983" t="s">
        <v>155</v>
      </c>
      <c r="F983" t="str">
        <f>"7205659291"</f>
        <v>7205659291</v>
      </c>
      <c r="G983" t="s">
        <v>3127</v>
      </c>
      <c r="H983" t="s">
        <v>423</v>
      </c>
      <c r="I983" t="s">
        <v>71</v>
      </c>
      <c r="J983">
        <v>80303</v>
      </c>
      <c r="K983">
        <v>8323</v>
      </c>
      <c r="L983" t="s">
        <v>23</v>
      </c>
      <c r="M983" t="s">
        <v>3127</v>
      </c>
      <c r="N983" t="s">
        <v>423</v>
      </c>
      <c r="O983" t="s">
        <v>71</v>
      </c>
      <c r="P983">
        <v>80303</v>
      </c>
      <c r="Q983">
        <v>8323</v>
      </c>
      <c r="R983" t="s">
        <v>23</v>
      </c>
      <c r="S983" s="1" t="s">
        <v>34218</v>
      </c>
    </row>
    <row r="984" spans="1:19" x14ac:dyDescent="0.25">
      <c r="A984">
        <v>100613751</v>
      </c>
      <c r="B984" t="s">
        <v>2802</v>
      </c>
      <c r="C984" t="s">
        <v>1444</v>
      </c>
      <c r="F984" t="str">
        <f>"5096249639"</f>
        <v>5096249639</v>
      </c>
      <c r="G984" t="s">
        <v>3128</v>
      </c>
      <c r="H984" t="s">
        <v>3129</v>
      </c>
      <c r="I984" t="s">
        <v>84</v>
      </c>
      <c r="J984">
        <v>99203</v>
      </c>
      <c r="K984">
        <v>2651</v>
      </c>
      <c r="L984" t="s">
        <v>23</v>
      </c>
      <c r="M984" t="s">
        <v>3128</v>
      </c>
      <c r="N984" t="s">
        <v>3129</v>
      </c>
      <c r="O984" t="s">
        <v>84</v>
      </c>
      <c r="P984">
        <v>99203</v>
      </c>
      <c r="Q984">
        <v>2651</v>
      </c>
      <c r="R984" t="s">
        <v>23</v>
      </c>
      <c r="S984" s="1" t="s">
        <v>34218</v>
      </c>
    </row>
    <row r="985" spans="1:19" x14ac:dyDescent="0.25">
      <c r="A985">
        <v>100549891</v>
      </c>
      <c r="B985" t="s">
        <v>3130</v>
      </c>
      <c r="C985" t="s">
        <v>959</v>
      </c>
      <c r="F985" t="str">
        <f>"9495487006"</f>
        <v>9495487006</v>
      </c>
      <c r="G985" t="s">
        <v>3131</v>
      </c>
      <c r="H985" t="s">
        <v>3132</v>
      </c>
      <c r="I985" t="s">
        <v>22</v>
      </c>
      <c r="J985">
        <v>92663</v>
      </c>
      <c r="K985">
        <v>2734</v>
      </c>
      <c r="L985" t="s">
        <v>23</v>
      </c>
      <c r="M985" t="s">
        <v>3131</v>
      </c>
      <c r="N985" t="s">
        <v>3132</v>
      </c>
      <c r="O985" t="s">
        <v>22</v>
      </c>
      <c r="P985">
        <v>92663</v>
      </c>
      <c r="Q985">
        <v>2734</v>
      </c>
      <c r="R985" t="s">
        <v>23</v>
      </c>
      <c r="S985" s="1" t="s">
        <v>34218</v>
      </c>
    </row>
    <row r="986" spans="1:19" x14ac:dyDescent="0.25">
      <c r="A986">
        <v>100563442</v>
      </c>
      <c r="B986" t="s">
        <v>3133</v>
      </c>
      <c r="C986" t="s">
        <v>894</v>
      </c>
      <c r="F986" t="str">
        <f>"3149224019"</f>
        <v>3149224019</v>
      </c>
      <c r="G986" t="s">
        <v>3134</v>
      </c>
      <c r="H986" t="s">
        <v>125</v>
      </c>
      <c r="I986" t="s">
        <v>126</v>
      </c>
      <c r="J986">
        <v>63119</v>
      </c>
      <c r="K986">
        <v>1527</v>
      </c>
      <c r="L986" t="s">
        <v>23</v>
      </c>
      <c r="M986" t="s">
        <v>3134</v>
      </c>
      <c r="N986" t="s">
        <v>125</v>
      </c>
      <c r="O986" t="s">
        <v>126</v>
      </c>
      <c r="P986">
        <v>63119</v>
      </c>
      <c r="Q986">
        <v>1527</v>
      </c>
      <c r="R986" t="s">
        <v>23</v>
      </c>
      <c r="S986" s="1" t="s">
        <v>34218</v>
      </c>
    </row>
    <row r="987" spans="1:19" x14ac:dyDescent="0.25">
      <c r="A987">
        <v>100964680</v>
      </c>
      <c r="B987" t="s">
        <v>497</v>
      </c>
      <c r="C987" t="s">
        <v>1327</v>
      </c>
      <c r="F987" t="str">
        <f>"3126630797"</f>
        <v>3126630797</v>
      </c>
      <c r="G987" t="s">
        <v>3135</v>
      </c>
      <c r="H987" t="s">
        <v>134</v>
      </c>
      <c r="I987" t="s">
        <v>135</v>
      </c>
      <c r="J987">
        <v>60605</v>
      </c>
      <c r="K987">
        <v>2405</v>
      </c>
      <c r="L987" t="s">
        <v>23</v>
      </c>
      <c r="M987" t="s">
        <v>3135</v>
      </c>
      <c r="N987" t="s">
        <v>134</v>
      </c>
      <c r="O987" t="s">
        <v>135</v>
      </c>
      <c r="P987">
        <v>60605</v>
      </c>
      <c r="Q987">
        <v>2405</v>
      </c>
      <c r="R987" t="s">
        <v>23</v>
      </c>
      <c r="S987" s="1" t="s">
        <v>34218</v>
      </c>
    </row>
    <row r="988" spans="1:19" x14ac:dyDescent="0.25">
      <c r="A988">
        <v>100964721</v>
      </c>
      <c r="B988" t="s">
        <v>3136</v>
      </c>
      <c r="C988" t="s">
        <v>274</v>
      </c>
      <c r="F988" t="str">
        <f>"5555555555"</f>
        <v>5555555555</v>
      </c>
      <c r="G988" t="s">
        <v>3137</v>
      </c>
      <c r="H988" t="s">
        <v>3129</v>
      </c>
      <c r="I988" t="s">
        <v>84</v>
      </c>
      <c r="J988">
        <v>99217</v>
      </c>
      <c r="K988">
        <v>9788</v>
      </c>
      <c r="L988" t="s">
        <v>23</v>
      </c>
      <c r="M988" t="s">
        <v>3137</v>
      </c>
      <c r="N988" t="s">
        <v>3129</v>
      </c>
      <c r="O988" t="s">
        <v>84</v>
      </c>
      <c r="P988">
        <v>99217</v>
      </c>
      <c r="Q988">
        <v>9788</v>
      </c>
      <c r="R988" t="s">
        <v>23</v>
      </c>
      <c r="S988" s="1" t="s">
        <v>34218</v>
      </c>
    </row>
    <row r="989" spans="1:19" x14ac:dyDescent="0.25">
      <c r="A989">
        <v>100660799</v>
      </c>
      <c r="B989" t="s">
        <v>3138</v>
      </c>
      <c r="C989" t="s">
        <v>1153</v>
      </c>
      <c r="F989" t="str">
        <f>"2815652285"</f>
        <v>2815652285</v>
      </c>
      <c r="G989" t="s">
        <v>3139</v>
      </c>
      <c r="H989" t="s">
        <v>2122</v>
      </c>
      <c r="I989" t="s">
        <v>38</v>
      </c>
      <c r="J989">
        <v>77479</v>
      </c>
      <c r="K989">
        <v>5091</v>
      </c>
      <c r="L989" t="s">
        <v>23</v>
      </c>
      <c r="M989" t="s">
        <v>3139</v>
      </c>
      <c r="N989" t="s">
        <v>2122</v>
      </c>
      <c r="O989" t="s">
        <v>38</v>
      </c>
      <c r="P989">
        <v>77479</v>
      </c>
      <c r="Q989">
        <v>5091</v>
      </c>
      <c r="R989" t="s">
        <v>23</v>
      </c>
      <c r="S989" s="1" t="s">
        <v>34218</v>
      </c>
    </row>
    <row r="990" spans="1:19" x14ac:dyDescent="0.25">
      <c r="A990">
        <v>100676972</v>
      </c>
      <c r="B990" t="s">
        <v>3140</v>
      </c>
      <c r="C990" t="s">
        <v>554</v>
      </c>
      <c r="F990" t="str">
        <f>"6179261248"</f>
        <v>6179261248</v>
      </c>
      <c r="G990" t="s">
        <v>3141</v>
      </c>
      <c r="H990" t="s">
        <v>3142</v>
      </c>
      <c r="I990" t="s">
        <v>236</v>
      </c>
      <c r="J990">
        <v>2472</v>
      </c>
      <c r="K990">
        <v>4902</v>
      </c>
      <c r="L990" t="s">
        <v>23</v>
      </c>
      <c r="M990" t="s">
        <v>3141</v>
      </c>
      <c r="N990" t="s">
        <v>3142</v>
      </c>
      <c r="O990" t="s">
        <v>236</v>
      </c>
      <c r="P990">
        <v>2472</v>
      </c>
      <c r="Q990">
        <v>4902</v>
      </c>
      <c r="R990" t="s">
        <v>23</v>
      </c>
      <c r="S990" s="1" t="s">
        <v>34218</v>
      </c>
    </row>
    <row r="991" spans="1:19" x14ac:dyDescent="0.25">
      <c r="A991">
        <v>100882299</v>
      </c>
      <c r="B991" t="s">
        <v>1443</v>
      </c>
      <c r="C991" t="s">
        <v>1107</v>
      </c>
      <c r="F991" t="str">
        <f>"5419986243"</f>
        <v>5419986243</v>
      </c>
      <c r="G991" t="s">
        <v>3143</v>
      </c>
      <c r="H991" t="s">
        <v>3144</v>
      </c>
      <c r="I991" t="s">
        <v>43</v>
      </c>
      <c r="J991">
        <v>97448</v>
      </c>
      <c r="K991">
        <v>9345</v>
      </c>
      <c r="L991" t="s">
        <v>23</v>
      </c>
      <c r="M991" t="s">
        <v>3143</v>
      </c>
      <c r="N991" t="s">
        <v>3144</v>
      </c>
      <c r="O991" t="s">
        <v>43</v>
      </c>
      <c r="P991">
        <v>97448</v>
      </c>
      <c r="Q991">
        <v>9345</v>
      </c>
      <c r="R991" t="s">
        <v>23</v>
      </c>
      <c r="S991" s="1" t="s">
        <v>34218</v>
      </c>
    </row>
    <row r="992" spans="1:19" x14ac:dyDescent="0.25">
      <c r="A992">
        <v>100835275</v>
      </c>
      <c r="B992" t="s">
        <v>3145</v>
      </c>
      <c r="C992" t="s">
        <v>30</v>
      </c>
      <c r="F992" t="str">
        <f>"6317038784"</f>
        <v>6317038784</v>
      </c>
      <c r="G992" t="s">
        <v>3146</v>
      </c>
      <c r="H992" t="s">
        <v>3147</v>
      </c>
      <c r="I992" t="s">
        <v>117</v>
      </c>
      <c r="J992">
        <v>11747</v>
      </c>
      <c r="K992">
        <v>2008</v>
      </c>
      <c r="L992" t="s">
        <v>23</v>
      </c>
      <c r="M992" t="s">
        <v>3146</v>
      </c>
      <c r="N992" t="s">
        <v>3147</v>
      </c>
      <c r="O992" t="s">
        <v>117</v>
      </c>
      <c r="P992">
        <v>11747</v>
      </c>
      <c r="Q992">
        <v>2008</v>
      </c>
      <c r="R992" t="s">
        <v>23</v>
      </c>
      <c r="S992" s="1" t="s">
        <v>34218</v>
      </c>
    </row>
    <row r="993" spans="1:19" x14ac:dyDescent="0.25">
      <c r="A993">
        <v>100842381</v>
      </c>
      <c r="B993" t="s">
        <v>3148</v>
      </c>
      <c r="C993" t="s">
        <v>498</v>
      </c>
      <c r="F993" t="str">
        <f>"3037504463"</f>
        <v>3037504463</v>
      </c>
      <c r="G993" t="s">
        <v>3149</v>
      </c>
      <c r="H993" t="s">
        <v>1579</v>
      </c>
      <c r="I993" t="s">
        <v>71</v>
      </c>
      <c r="J993">
        <v>80017</v>
      </c>
      <c r="K993">
        <v>4609</v>
      </c>
      <c r="L993" t="s">
        <v>23</v>
      </c>
      <c r="M993" t="s">
        <v>3149</v>
      </c>
      <c r="N993" t="s">
        <v>1579</v>
      </c>
      <c r="O993" t="s">
        <v>71</v>
      </c>
      <c r="P993">
        <v>80017</v>
      </c>
      <c r="Q993">
        <v>4609</v>
      </c>
      <c r="R993" t="s">
        <v>23</v>
      </c>
      <c r="S993" s="1" t="s">
        <v>34218</v>
      </c>
    </row>
    <row r="994" spans="1:19" x14ac:dyDescent="0.25">
      <c r="A994">
        <v>100851849</v>
      </c>
      <c r="B994" t="s">
        <v>1164</v>
      </c>
      <c r="C994" t="s">
        <v>3150</v>
      </c>
      <c r="F994" t="str">
        <f>"2069315145"</f>
        <v>2069315145</v>
      </c>
      <c r="G994" t="s">
        <v>3151</v>
      </c>
      <c r="H994" t="s">
        <v>1531</v>
      </c>
      <c r="I994" t="s">
        <v>84</v>
      </c>
      <c r="J994">
        <v>98127</v>
      </c>
      <c r="K994">
        <v>1932</v>
      </c>
      <c r="L994" t="s">
        <v>23</v>
      </c>
      <c r="M994" t="s">
        <v>3151</v>
      </c>
      <c r="N994" t="s">
        <v>1531</v>
      </c>
      <c r="O994" t="s">
        <v>84</v>
      </c>
      <c r="P994">
        <v>98127</v>
      </c>
      <c r="Q994">
        <v>1932</v>
      </c>
      <c r="R994" t="s">
        <v>23</v>
      </c>
      <c r="S994" s="1" t="s">
        <v>34218</v>
      </c>
    </row>
    <row r="995" spans="1:19" x14ac:dyDescent="0.25">
      <c r="A995">
        <v>100856240</v>
      </c>
      <c r="B995" t="s">
        <v>3152</v>
      </c>
      <c r="C995" t="s">
        <v>641</v>
      </c>
      <c r="F995" t="str">
        <f>"4077341630"</f>
        <v>4077341630</v>
      </c>
      <c r="G995" t="s">
        <v>3153</v>
      </c>
      <c r="H995" t="s">
        <v>3119</v>
      </c>
      <c r="I995" t="s">
        <v>52</v>
      </c>
      <c r="J995">
        <v>32714</v>
      </c>
      <c r="K995">
        <v>1283</v>
      </c>
      <c r="L995" t="s">
        <v>23</v>
      </c>
      <c r="M995" t="s">
        <v>3153</v>
      </c>
      <c r="N995" t="s">
        <v>3119</v>
      </c>
      <c r="O995" t="s">
        <v>52</v>
      </c>
      <c r="P995">
        <v>32714</v>
      </c>
      <c r="Q995">
        <v>1283</v>
      </c>
      <c r="R995" t="s">
        <v>23</v>
      </c>
      <c r="S995" s="1" t="s">
        <v>34218</v>
      </c>
    </row>
    <row r="996" spans="1:19" x14ac:dyDescent="0.25">
      <c r="A996">
        <v>100898871</v>
      </c>
      <c r="B996" t="s">
        <v>3154</v>
      </c>
      <c r="C996" t="s">
        <v>119</v>
      </c>
      <c r="F996" t="str">
        <f>"8314255504"</f>
        <v>8314255504</v>
      </c>
      <c r="G996" t="s">
        <v>3155</v>
      </c>
      <c r="H996" t="s">
        <v>1293</v>
      </c>
      <c r="I996" t="s">
        <v>22</v>
      </c>
      <c r="J996">
        <v>95062</v>
      </c>
      <c r="K996">
        <v>3457</v>
      </c>
      <c r="L996" t="s">
        <v>23</v>
      </c>
      <c r="M996" t="s">
        <v>3155</v>
      </c>
      <c r="N996" t="s">
        <v>1293</v>
      </c>
      <c r="O996" t="s">
        <v>22</v>
      </c>
      <c r="P996">
        <v>95062</v>
      </c>
      <c r="Q996">
        <v>3457</v>
      </c>
      <c r="R996" t="s">
        <v>23</v>
      </c>
      <c r="S996" s="1" t="s">
        <v>34218</v>
      </c>
    </row>
    <row r="997" spans="1:19" x14ac:dyDescent="0.25">
      <c r="A997">
        <v>100918585</v>
      </c>
      <c r="B997" t="s">
        <v>1698</v>
      </c>
      <c r="C997" t="s">
        <v>1241</v>
      </c>
      <c r="F997" t="str">
        <f>"4435843559"</f>
        <v>4435843559</v>
      </c>
      <c r="G997" t="s">
        <v>3156</v>
      </c>
      <c r="H997" t="s">
        <v>3157</v>
      </c>
      <c r="I997" t="s">
        <v>148</v>
      </c>
      <c r="J997">
        <v>21114</v>
      </c>
      <c r="K997">
        <v>2125</v>
      </c>
      <c r="L997" t="s">
        <v>23</v>
      </c>
      <c r="M997" t="s">
        <v>3156</v>
      </c>
      <c r="N997" t="s">
        <v>3157</v>
      </c>
      <c r="O997" t="s">
        <v>148</v>
      </c>
      <c r="P997">
        <v>21114</v>
      </c>
      <c r="Q997">
        <v>2125</v>
      </c>
      <c r="R997" t="s">
        <v>23</v>
      </c>
      <c r="S997" s="1" t="s">
        <v>34218</v>
      </c>
    </row>
    <row r="998" spans="1:19" x14ac:dyDescent="0.25">
      <c r="A998">
        <v>100934274</v>
      </c>
      <c r="B998" t="s">
        <v>1919</v>
      </c>
      <c r="C998" t="s">
        <v>2892</v>
      </c>
      <c r="F998" t="str">
        <f>"5207305598"</f>
        <v>5207305598</v>
      </c>
      <c r="G998" t="s">
        <v>3158</v>
      </c>
      <c r="H998" t="s">
        <v>1439</v>
      </c>
      <c r="I998" t="s">
        <v>365</v>
      </c>
      <c r="J998">
        <v>85741</v>
      </c>
      <c r="K998">
        <v>2118</v>
      </c>
      <c r="L998" t="s">
        <v>23</v>
      </c>
      <c r="M998" t="s">
        <v>3158</v>
      </c>
      <c r="N998" t="s">
        <v>1439</v>
      </c>
      <c r="O998" t="s">
        <v>365</v>
      </c>
      <c r="P998">
        <v>85741</v>
      </c>
      <c r="Q998">
        <v>2118</v>
      </c>
      <c r="R998" t="s">
        <v>23</v>
      </c>
      <c r="S998" s="1" t="s">
        <v>34218</v>
      </c>
    </row>
    <row r="999" spans="1:19" x14ac:dyDescent="0.25">
      <c r="A999">
        <v>100954703</v>
      </c>
      <c r="B999" t="s">
        <v>3159</v>
      </c>
      <c r="C999" t="s">
        <v>3160</v>
      </c>
      <c r="F999" t="str">
        <f>"3202020341"</f>
        <v>3202020341</v>
      </c>
      <c r="G999" t="s">
        <v>3161</v>
      </c>
      <c r="H999" t="s">
        <v>3162</v>
      </c>
      <c r="I999" t="s">
        <v>187</v>
      </c>
      <c r="J999">
        <v>56303</v>
      </c>
      <c r="K999">
        <v>1375</v>
      </c>
      <c r="L999" t="s">
        <v>23</v>
      </c>
      <c r="M999" t="s">
        <v>3161</v>
      </c>
      <c r="N999" t="s">
        <v>3162</v>
      </c>
      <c r="O999" t="s">
        <v>187</v>
      </c>
      <c r="P999">
        <v>56303</v>
      </c>
      <c r="Q999">
        <v>1375</v>
      </c>
      <c r="R999" t="s">
        <v>23</v>
      </c>
      <c r="S999" s="1" t="s">
        <v>34218</v>
      </c>
    </row>
    <row r="1000" spans="1:19" x14ac:dyDescent="0.25">
      <c r="A1000">
        <v>101151680</v>
      </c>
      <c r="B1000" t="s">
        <v>3163</v>
      </c>
      <c r="C1000" t="s">
        <v>3164</v>
      </c>
      <c r="F1000" t="str">
        <f>"3472989412"</f>
        <v>3472989412</v>
      </c>
      <c r="G1000" t="s">
        <v>3165</v>
      </c>
      <c r="H1000" t="s">
        <v>3166</v>
      </c>
      <c r="I1000" t="s">
        <v>250</v>
      </c>
      <c r="J1000">
        <v>7748</v>
      </c>
      <c r="K1000">
        <v>5439</v>
      </c>
      <c r="L1000" t="s">
        <v>23</v>
      </c>
      <c r="M1000" t="s">
        <v>3165</v>
      </c>
      <c r="N1000" t="s">
        <v>3166</v>
      </c>
      <c r="O1000" t="s">
        <v>250</v>
      </c>
      <c r="P1000">
        <v>7748</v>
      </c>
      <c r="Q1000">
        <v>5439</v>
      </c>
      <c r="R1000" t="s">
        <v>23</v>
      </c>
      <c r="S1000" s="1" t="s">
        <v>34218</v>
      </c>
    </row>
    <row r="1001" spans="1:19" x14ac:dyDescent="0.25">
      <c r="A1001">
        <v>101154639</v>
      </c>
      <c r="B1001" t="s">
        <v>3167</v>
      </c>
      <c r="C1001" t="s">
        <v>274</v>
      </c>
      <c r="F1001" t="str">
        <f>"2539520571"</f>
        <v>2539520571</v>
      </c>
      <c r="G1001" t="s">
        <v>3168</v>
      </c>
      <c r="H1001" t="s">
        <v>3169</v>
      </c>
      <c r="I1001" t="s">
        <v>84</v>
      </c>
      <c r="J1001">
        <v>98406</v>
      </c>
      <c r="K1001">
        <v>4804</v>
      </c>
      <c r="L1001" t="s">
        <v>23</v>
      </c>
      <c r="M1001" t="s">
        <v>3168</v>
      </c>
      <c r="N1001" t="s">
        <v>3169</v>
      </c>
      <c r="O1001" t="s">
        <v>84</v>
      </c>
      <c r="P1001">
        <v>98406</v>
      </c>
      <c r="Q1001">
        <v>4804</v>
      </c>
      <c r="R1001" t="s">
        <v>23</v>
      </c>
      <c r="S1001" s="1" t="s">
        <v>34218</v>
      </c>
    </row>
    <row r="1002" spans="1:19" x14ac:dyDescent="0.25">
      <c r="A1002">
        <v>101168409</v>
      </c>
      <c r="B1002" t="s">
        <v>3170</v>
      </c>
      <c r="C1002" t="s">
        <v>3171</v>
      </c>
      <c r="F1002" t="str">
        <f>"8153950744"</f>
        <v>8153950744</v>
      </c>
      <c r="G1002" t="s">
        <v>3172</v>
      </c>
      <c r="H1002" t="s">
        <v>3173</v>
      </c>
      <c r="I1002" t="s">
        <v>135</v>
      </c>
      <c r="J1002">
        <v>61111</v>
      </c>
      <c r="K1002">
        <v>3530</v>
      </c>
      <c r="L1002" t="s">
        <v>23</v>
      </c>
      <c r="M1002" t="s">
        <v>3172</v>
      </c>
      <c r="N1002" t="s">
        <v>3173</v>
      </c>
      <c r="O1002" t="s">
        <v>135</v>
      </c>
      <c r="P1002">
        <v>61111</v>
      </c>
      <c r="Q1002">
        <v>3530</v>
      </c>
      <c r="R1002" t="s">
        <v>23</v>
      </c>
      <c r="S1002" s="1" t="s">
        <v>34218</v>
      </c>
    </row>
    <row r="1003" spans="1:19" x14ac:dyDescent="0.25">
      <c r="A1003">
        <v>101167042</v>
      </c>
      <c r="B1003" t="s">
        <v>2151</v>
      </c>
      <c r="C1003" t="s">
        <v>2642</v>
      </c>
      <c r="F1003" t="str">
        <f>"8312129169"</f>
        <v>8312129169</v>
      </c>
      <c r="G1003" t="s">
        <v>3174</v>
      </c>
      <c r="H1003" t="s">
        <v>1293</v>
      </c>
      <c r="I1003" t="s">
        <v>22</v>
      </c>
      <c r="J1003">
        <v>95060</v>
      </c>
      <c r="K1003">
        <v>2359</v>
      </c>
      <c r="L1003" t="s">
        <v>23</v>
      </c>
      <c r="M1003" t="s">
        <v>3174</v>
      </c>
      <c r="N1003" t="s">
        <v>1293</v>
      </c>
      <c r="O1003" t="s">
        <v>22</v>
      </c>
      <c r="P1003">
        <v>95060</v>
      </c>
      <c r="Q1003">
        <v>2359</v>
      </c>
      <c r="R1003" t="s">
        <v>23</v>
      </c>
      <c r="S1003" s="1" t="s">
        <v>34218</v>
      </c>
    </row>
    <row r="1004" spans="1:19" x14ac:dyDescent="0.25">
      <c r="A1004">
        <v>101172959</v>
      </c>
      <c r="B1004" t="s">
        <v>3175</v>
      </c>
      <c r="C1004" t="s">
        <v>382</v>
      </c>
      <c r="F1004" t="str">
        <f>"5152701842"</f>
        <v>5152701842</v>
      </c>
      <c r="G1004" t="s">
        <v>3176</v>
      </c>
      <c r="H1004" t="s">
        <v>2712</v>
      </c>
      <c r="I1004" t="s">
        <v>565</v>
      </c>
      <c r="J1004">
        <v>50131</v>
      </c>
      <c r="K1004">
        <v>1928</v>
      </c>
      <c r="L1004" t="s">
        <v>23</v>
      </c>
      <c r="M1004" t="s">
        <v>3176</v>
      </c>
      <c r="N1004" t="s">
        <v>2712</v>
      </c>
      <c r="O1004" t="s">
        <v>565</v>
      </c>
      <c r="P1004">
        <v>50131</v>
      </c>
      <c r="Q1004">
        <v>1928</v>
      </c>
      <c r="R1004" t="s">
        <v>23</v>
      </c>
      <c r="S1004" s="1" t="s">
        <v>34218</v>
      </c>
    </row>
    <row r="1005" spans="1:19" x14ac:dyDescent="0.25">
      <c r="A1005">
        <v>100799531</v>
      </c>
      <c r="B1005" t="s">
        <v>3177</v>
      </c>
      <c r="C1005" t="s">
        <v>1444</v>
      </c>
      <c r="F1005" t="str">
        <f>"7123109063"</f>
        <v>7123109063</v>
      </c>
      <c r="G1005" t="s">
        <v>3178</v>
      </c>
      <c r="H1005" t="s">
        <v>3179</v>
      </c>
      <c r="I1005" t="s">
        <v>565</v>
      </c>
      <c r="J1005">
        <v>51632</v>
      </c>
      <c r="K1005">
        <v>5019</v>
      </c>
      <c r="L1005" t="s">
        <v>23</v>
      </c>
      <c r="M1005" t="s">
        <v>3178</v>
      </c>
      <c r="N1005" t="s">
        <v>3179</v>
      </c>
      <c r="O1005" t="s">
        <v>565</v>
      </c>
      <c r="P1005">
        <v>51632</v>
      </c>
      <c r="Q1005">
        <v>5019</v>
      </c>
      <c r="R1005" t="s">
        <v>23</v>
      </c>
      <c r="S1005" s="1" t="s">
        <v>34218</v>
      </c>
    </row>
    <row r="1006" spans="1:19" x14ac:dyDescent="0.25">
      <c r="A1006">
        <v>100814258</v>
      </c>
      <c r="B1006" t="s">
        <v>3180</v>
      </c>
      <c r="C1006" t="s">
        <v>3181</v>
      </c>
      <c r="F1006" t="str">
        <f>"9372379615"</f>
        <v>9372379615</v>
      </c>
      <c r="G1006" t="s">
        <v>3182</v>
      </c>
      <c r="H1006" t="s">
        <v>3183</v>
      </c>
      <c r="I1006" t="s">
        <v>178</v>
      </c>
      <c r="J1006">
        <v>45424</v>
      </c>
      <c r="K1006">
        <v>4526</v>
      </c>
      <c r="L1006" t="s">
        <v>23</v>
      </c>
      <c r="M1006" t="s">
        <v>3182</v>
      </c>
      <c r="N1006" t="s">
        <v>3183</v>
      </c>
      <c r="O1006" t="s">
        <v>178</v>
      </c>
      <c r="P1006">
        <v>45424</v>
      </c>
      <c r="Q1006">
        <v>4526</v>
      </c>
      <c r="R1006" t="s">
        <v>23</v>
      </c>
      <c r="S1006" s="1" t="s">
        <v>34218</v>
      </c>
    </row>
    <row r="1007" spans="1:19" x14ac:dyDescent="0.25">
      <c r="A1007">
        <v>100536548</v>
      </c>
      <c r="B1007" t="s">
        <v>3184</v>
      </c>
      <c r="C1007" t="s">
        <v>1298</v>
      </c>
      <c r="F1007" t="str">
        <f>"5626501554"</f>
        <v>5626501554</v>
      </c>
      <c r="G1007" t="s">
        <v>3185</v>
      </c>
      <c r="H1007" t="s">
        <v>3186</v>
      </c>
      <c r="I1007" t="s">
        <v>22</v>
      </c>
      <c r="J1007">
        <v>90602</v>
      </c>
      <c r="K1007">
        <v>1923</v>
      </c>
      <c r="L1007" t="s">
        <v>23</v>
      </c>
      <c r="M1007" t="s">
        <v>3185</v>
      </c>
      <c r="N1007" t="s">
        <v>3186</v>
      </c>
      <c r="O1007" t="s">
        <v>22</v>
      </c>
      <c r="P1007">
        <v>90602</v>
      </c>
      <c r="Q1007">
        <v>1923</v>
      </c>
      <c r="R1007" t="s">
        <v>23</v>
      </c>
      <c r="S1007" s="1" t="s">
        <v>34218</v>
      </c>
    </row>
    <row r="1008" spans="1:19" x14ac:dyDescent="0.25">
      <c r="A1008">
        <v>100732588</v>
      </c>
      <c r="B1008" t="s">
        <v>3187</v>
      </c>
      <c r="C1008" t="s">
        <v>535</v>
      </c>
      <c r="F1008" t="str">
        <f>"7074768149"</f>
        <v>7074768149</v>
      </c>
      <c r="G1008" t="s">
        <v>3188</v>
      </c>
      <c r="H1008" t="s">
        <v>1261</v>
      </c>
      <c r="I1008" t="s">
        <v>22</v>
      </c>
      <c r="J1008">
        <v>95503</v>
      </c>
      <c r="K1008">
        <v>9776</v>
      </c>
      <c r="L1008" t="s">
        <v>23</v>
      </c>
      <c r="M1008" t="s">
        <v>3188</v>
      </c>
      <c r="N1008" t="s">
        <v>1261</v>
      </c>
      <c r="O1008" t="s">
        <v>22</v>
      </c>
      <c r="P1008">
        <v>95503</v>
      </c>
      <c r="Q1008">
        <v>9776</v>
      </c>
      <c r="R1008" t="s">
        <v>23</v>
      </c>
      <c r="S1008" s="1" t="s">
        <v>34218</v>
      </c>
    </row>
    <row r="1009" spans="1:19" x14ac:dyDescent="0.25">
      <c r="A1009">
        <v>100743075</v>
      </c>
      <c r="B1009" t="s">
        <v>3189</v>
      </c>
      <c r="C1009" t="s">
        <v>3190</v>
      </c>
      <c r="F1009" t="str">
        <f>"9512697090"</f>
        <v>9512697090</v>
      </c>
      <c r="G1009" t="s">
        <v>3191</v>
      </c>
      <c r="H1009" t="s">
        <v>3192</v>
      </c>
      <c r="I1009" t="s">
        <v>22</v>
      </c>
      <c r="J1009">
        <v>92555</v>
      </c>
      <c r="K1009">
        <v>2550</v>
      </c>
      <c r="L1009" t="s">
        <v>23</v>
      </c>
      <c r="M1009" t="s">
        <v>3191</v>
      </c>
      <c r="N1009" t="s">
        <v>3192</v>
      </c>
      <c r="O1009" t="s">
        <v>22</v>
      </c>
      <c r="P1009">
        <v>92555</v>
      </c>
      <c r="Q1009">
        <v>2550</v>
      </c>
      <c r="R1009" t="s">
        <v>23</v>
      </c>
      <c r="S1009" s="1" t="s">
        <v>34218</v>
      </c>
    </row>
    <row r="1010" spans="1:19" x14ac:dyDescent="0.25">
      <c r="A1010">
        <v>100660858</v>
      </c>
      <c r="B1010" t="s">
        <v>3193</v>
      </c>
      <c r="C1010" t="s">
        <v>535</v>
      </c>
      <c r="F1010" t="str">
        <f>"9736761000"</f>
        <v>9736761000</v>
      </c>
      <c r="G1010" t="s">
        <v>3194</v>
      </c>
      <c r="H1010" t="s">
        <v>3195</v>
      </c>
      <c r="I1010" t="s">
        <v>250</v>
      </c>
      <c r="J1010">
        <v>7735</v>
      </c>
      <c r="K1010">
        <v>1300</v>
      </c>
      <c r="L1010" t="s">
        <v>23</v>
      </c>
      <c r="M1010" t="s">
        <v>3194</v>
      </c>
      <c r="N1010" t="s">
        <v>3195</v>
      </c>
      <c r="O1010" t="s">
        <v>250</v>
      </c>
      <c r="P1010">
        <v>7735</v>
      </c>
      <c r="Q1010">
        <v>1300</v>
      </c>
      <c r="R1010" t="s">
        <v>23</v>
      </c>
      <c r="S1010" s="1" t="s">
        <v>34218</v>
      </c>
    </row>
    <row r="1011" spans="1:19" x14ac:dyDescent="0.25">
      <c r="A1011">
        <v>100875630</v>
      </c>
      <c r="B1011" t="s">
        <v>3196</v>
      </c>
      <c r="C1011" t="s">
        <v>1306</v>
      </c>
      <c r="F1011" t="str">
        <f>"9254518558"</f>
        <v>9254518558</v>
      </c>
      <c r="G1011" t="s">
        <v>3197</v>
      </c>
      <c r="H1011" t="s">
        <v>3198</v>
      </c>
      <c r="I1011" t="s">
        <v>22</v>
      </c>
      <c r="J1011">
        <v>94523</v>
      </c>
      <c r="K1011">
        <v>3413</v>
      </c>
      <c r="L1011" t="s">
        <v>23</v>
      </c>
      <c r="M1011" t="s">
        <v>3197</v>
      </c>
      <c r="N1011" t="s">
        <v>3198</v>
      </c>
      <c r="O1011" t="s">
        <v>22</v>
      </c>
      <c r="P1011">
        <v>94523</v>
      </c>
      <c r="Q1011">
        <v>3413</v>
      </c>
      <c r="R1011" t="s">
        <v>23</v>
      </c>
      <c r="S1011" s="1" t="s">
        <v>34218</v>
      </c>
    </row>
    <row r="1012" spans="1:19" x14ac:dyDescent="0.25">
      <c r="A1012">
        <v>100911329</v>
      </c>
      <c r="B1012" t="s">
        <v>3199</v>
      </c>
      <c r="C1012" t="s">
        <v>452</v>
      </c>
      <c r="F1012" t="str">
        <f>"3037868921"</f>
        <v>3037868921</v>
      </c>
      <c r="G1012" t="s">
        <v>3200</v>
      </c>
      <c r="H1012" t="s">
        <v>438</v>
      </c>
      <c r="I1012" t="s">
        <v>71</v>
      </c>
      <c r="J1012">
        <v>80503</v>
      </c>
      <c r="K1012">
        <v>8302</v>
      </c>
      <c r="L1012" t="s">
        <v>23</v>
      </c>
      <c r="M1012" t="s">
        <v>3200</v>
      </c>
      <c r="N1012" t="s">
        <v>438</v>
      </c>
      <c r="O1012" t="s">
        <v>71</v>
      </c>
      <c r="P1012">
        <v>80503</v>
      </c>
      <c r="Q1012">
        <v>8302</v>
      </c>
      <c r="R1012" t="s">
        <v>23</v>
      </c>
      <c r="S1012" s="1" t="s">
        <v>34218</v>
      </c>
    </row>
    <row r="1013" spans="1:19" x14ac:dyDescent="0.25">
      <c r="A1013">
        <v>100922571</v>
      </c>
      <c r="B1013" t="s">
        <v>3201</v>
      </c>
      <c r="C1013" t="s">
        <v>1124</v>
      </c>
      <c r="F1013" t="str">
        <f>"7246815555"</f>
        <v>7246815555</v>
      </c>
      <c r="G1013" t="s">
        <v>3202</v>
      </c>
      <c r="H1013" t="s">
        <v>3203</v>
      </c>
      <c r="I1013" t="s">
        <v>33</v>
      </c>
      <c r="J1013">
        <v>15065</v>
      </c>
      <c r="K1013">
        <v>3917</v>
      </c>
      <c r="L1013" t="s">
        <v>23</v>
      </c>
      <c r="M1013" t="s">
        <v>3202</v>
      </c>
      <c r="N1013" t="s">
        <v>3203</v>
      </c>
      <c r="O1013" t="s">
        <v>33</v>
      </c>
      <c r="P1013">
        <v>15065</v>
      </c>
      <c r="Q1013">
        <v>3917</v>
      </c>
      <c r="R1013" t="s">
        <v>23</v>
      </c>
      <c r="S1013" s="1" t="s">
        <v>34218</v>
      </c>
    </row>
    <row r="1014" spans="1:19" x14ac:dyDescent="0.25">
      <c r="A1014">
        <v>100926057</v>
      </c>
      <c r="B1014" t="s">
        <v>3204</v>
      </c>
      <c r="C1014" t="s">
        <v>1157</v>
      </c>
      <c r="F1014" t="str">
        <f>"3055555555"</f>
        <v>3055555555</v>
      </c>
      <c r="G1014" t="s">
        <v>3205</v>
      </c>
      <c r="H1014" t="s">
        <v>2696</v>
      </c>
      <c r="I1014" t="s">
        <v>52</v>
      </c>
      <c r="J1014">
        <v>33020</v>
      </c>
      <c r="K1014">
        <v>6038</v>
      </c>
      <c r="L1014" t="s">
        <v>23</v>
      </c>
      <c r="M1014" t="s">
        <v>3205</v>
      </c>
      <c r="N1014" t="s">
        <v>2696</v>
      </c>
      <c r="O1014" t="s">
        <v>52</v>
      </c>
      <c r="P1014">
        <v>33020</v>
      </c>
      <c r="Q1014">
        <v>6038</v>
      </c>
      <c r="R1014" t="s">
        <v>23</v>
      </c>
      <c r="S1014" s="1" t="s">
        <v>34218</v>
      </c>
    </row>
    <row r="1015" spans="1:19" x14ac:dyDescent="0.25">
      <c r="A1015">
        <v>100652172</v>
      </c>
      <c r="B1015" t="s">
        <v>3206</v>
      </c>
      <c r="C1015" t="s">
        <v>3207</v>
      </c>
      <c r="F1015" t="str">
        <f>"6084673916"</f>
        <v>6084673916</v>
      </c>
      <c r="G1015" t="s">
        <v>3208</v>
      </c>
      <c r="H1015" t="s">
        <v>2375</v>
      </c>
      <c r="I1015" t="s">
        <v>100</v>
      </c>
      <c r="J1015">
        <v>53704</v>
      </c>
      <c r="K1015">
        <v>4904</v>
      </c>
      <c r="L1015" t="s">
        <v>23</v>
      </c>
      <c r="M1015" t="s">
        <v>3208</v>
      </c>
      <c r="N1015" t="s">
        <v>2375</v>
      </c>
      <c r="O1015" t="s">
        <v>100</v>
      </c>
      <c r="P1015">
        <v>53704</v>
      </c>
      <c r="Q1015">
        <v>4904</v>
      </c>
      <c r="R1015" t="s">
        <v>23</v>
      </c>
      <c r="S1015" s="1" t="s">
        <v>34218</v>
      </c>
    </row>
    <row r="1016" spans="1:19" x14ac:dyDescent="0.25">
      <c r="A1016">
        <v>100763300</v>
      </c>
      <c r="B1016" t="s">
        <v>3209</v>
      </c>
      <c r="C1016" t="s">
        <v>1309</v>
      </c>
      <c r="F1016" t="str">
        <f>"9732674894"</f>
        <v>9732674894</v>
      </c>
      <c r="G1016" t="s">
        <v>3210</v>
      </c>
      <c r="H1016" t="s">
        <v>3211</v>
      </c>
      <c r="I1016" t="s">
        <v>250</v>
      </c>
      <c r="J1016">
        <v>7960</v>
      </c>
      <c r="K1016">
        <v>4620</v>
      </c>
      <c r="L1016" t="s">
        <v>23</v>
      </c>
      <c r="M1016" t="s">
        <v>3210</v>
      </c>
      <c r="N1016" t="s">
        <v>3211</v>
      </c>
      <c r="O1016" t="s">
        <v>250</v>
      </c>
      <c r="P1016">
        <v>7960</v>
      </c>
      <c r="Q1016">
        <v>4620</v>
      </c>
      <c r="R1016" t="s">
        <v>23</v>
      </c>
      <c r="S1016" s="1" t="s">
        <v>34218</v>
      </c>
    </row>
    <row r="1017" spans="1:19" x14ac:dyDescent="0.25">
      <c r="A1017">
        <v>100584966</v>
      </c>
      <c r="B1017" t="s">
        <v>3212</v>
      </c>
      <c r="C1017" t="s">
        <v>1647</v>
      </c>
      <c r="F1017" t="str">
        <f>"8054921906"</f>
        <v>8054921906</v>
      </c>
      <c r="G1017" t="s">
        <v>3213</v>
      </c>
      <c r="H1017" t="s">
        <v>3214</v>
      </c>
      <c r="I1017" t="s">
        <v>22</v>
      </c>
      <c r="J1017">
        <v>91360</v>
      </c>
      <c r="K1017">
        <v>7038</v>
      </c>
      <c r="L1017" t="s">
        <v>23</v>
      </c>
      <c r="M1017" t="s">
        <v>3213</v>
      </c>
      <c r="N1017" t="s">
        <v>3214</v>
      </c>
      <c r="O1017" t="s">
        <v>22</v>
      </c>
      <c r="P1017">
        <v>91360</v>
      </c>
      <c r="Q1017">
        <v>7038</v>
      </c>
      <c r="R1017" t="s">
        <v>23</v>
      </c>
      <c r="S1017" s="1" t="s">
        <v>34218</v>
      </c>
    </row>
    <row r="1018" spans="1:19" x14ac:dyDescent="0.25">
      <c r="A1018">
        <v>100590694</v>
      </c>
      <c r="B1018" t="s">
        <v>3215</v>
      </c>
      <c r="C1018" t="s">
        <v>403</v>
      </c>
      <c r="F1018" t="str">
        <f>"3256421969"</f>
        <v>3256421969</v>
      </c>
      <c r="G1018" t="s">
        <v>3216</v>
      </c>
      <c r="H1018" t="s">
        <v>3217</v>
      </c>
      <c r="I1018" t="s">
        <v>38</v>
      </c>
      <c r="J1018">
        <v>76801</v>
      </c>
      <c r="K1018">
        <v>5606</v>
      </c>
      <c r="L1018" t="s">
        <v>23</v>
      </c>
      <c r="M1018" t="s">
        <v>3216</v>
      </c>
      <c r="N1018" t="s">
        <v>3217</v>
      </c>
      <c r="O1018" t="s">
        <v>38</v>
      </c>
      <c r="P1018">
        <v>76801</v>
      </c>
      <c r="Q1018">
        <v>5606</v>
      </c>
      <c r="R1018" t="s">
        <v>23</v>
      </c>
      <c r="S1018" s="1" t="s">
        <v>34218</v>
      </c>
    </row>
    <row r="1019" spans="1:19" x14ac:dyDescent="0.25">
      <c r="A1019">
        <v>100807119</v>
      </c>
      <c r="B1019" t="s">
        <v>1628</v>
      </c>
      <c r="C1019" t="s">
        <v>329</v>
      </c>
      <c r="F1019" t="str">
        <f>"5124670469"</f>
        <v>5124670469</v>
      </c>
      <c r="G1019" t="s">
        <v>3218</v>
      </c>
      <c r="H1019" t="s">
        <v>37</v>
      </c>
      <c r="I1019" t="s">
        <v>38</v>
      </c>
      <c r="J1019">
        <v>78757</v>
      </c>
      <c r="K1019">
        <v>1835</v>
      </c>
      <c r="L1019" t="s">
        <v>23</v>
      </c>
      <c r="M1019" t="s">
        <v>3218</v>
      </c>
      <c r="N1019" t="s">
        <v>37</v>
      </c>
      <c r="O1019" t="s">
        <v>38</v>
      </c>
      <c r="P1019">
        <v>78757</v>
      </c>
      <c r="Q1019">
        <v>1835</v>
      </c>
      <c r="R1019" t="s">
        <v>23</v>
      </c>
      <c r="S1019" s="1" t="s">
        <v>34218</v>
      </c>
    </row>
    <row r="1020" spans="1:19" x14ac:dyDescent="0.25">
      <c r="A1020">
        <v>100809997</v>
      </c>
      <c r="B1020" t="s">
        <v>3219</v>
      </c>
      <c r="C1020" t="s">
        <v>1773</v>
      </c>
      <c r="F1020" t="str">
        <f>"4803251450"</f>
        <v>4803251450</v>
      </c>
      <c r="G1020" t="s">
        <v>3220</v>
      </c>
      <c r="H1020" t="s">
        <v>625</v>
      </c>
      <c r="I1020" t="s">
        <v>365</v>
      </c>
      <c r="J1020">
        <v>85215</v>
      </c>
      <c r="K1020">
        <v>3511</v>
      </c>
      <c r="L1020" t="s">
        <v>23</v>
      </c>
      <c r="M1020" t="s">
        <v>3220</v>
      </c>
      <c r="N1020" t="s">
        <v>625</v>
      </c>
      <c r="O1020" t="s">
        <v>365</v>
      </c>
      <c r="P1020">
        <v>85215</v>
      </c>
      <c r="Q1020">
        <v>3511</v>
      </c>
      <c r="R1020" t="s">
        <v>23</v>
      </c>
      <c r="S1020" s="1" t="s">
        <v>34218</v>
      </c>
    </row>
    <row r="1021" spans="1:19" x14ac:dyDescent="0.25">
      <c r="A1021">
        <v>100853644</v>
      </c>
      <c r="B1021" t="s">
        <v>2385</v>
      </c>
      <c r="C1021" t="s">
        <v>274</v>
      </c>
      <c r="F1021" t="str">
        <f>"7075676119"</f>
        <v>7075676119</v>
      </c>
      <c r="G1021" t="s">
        <v>3221</v>
      </c>
      <c r="H1021" t="s">
        <v>3222</v>
      </c>
      <c r="I1021" t="s">
        <v>22</v>
      </c>
      <c r="J1021">
        <v>95677</v>
      </c>
      <c r="K1021">
        <v>3132</v>
      </c>
      <c r="L1021" t="s">
        <v>23</v>
      </c>
      <c r="M1021" t="s">
        <v>3221</v>
      </c>
      <c r="N1021" t="s">
        <v>3222</v>
      </c>
      <c r="O1021" t="s">
        <v>22</v>
      </c>
      <c r="P1021">
        <v>95677</v>
      </c>
      <c r="Q1021">
        <v>3132</v>
      </c>
      <c r="R1021" t="s">
        <v>23</v>
      </c>
      <c r="S1021" s="1" t="s">
        <v>34218</v>
      </c>
    </row>
    <row r="1022" spans="1:19" x14ac:dyDescent="0.25">
      <c r="A1022">
        <v>100862413</v>
      </c>
      <c r="B1022" t="s">
        <v>3223</v>
      </c>
      <c r="C1022" t="s">
        <v>30</v>
      </c>
      <c r="F1022" t="str">
        <f>"9083519113"</f>
        <v>9083519113</v>
      </c>
      <c r="G1022" t="s">
        <v>3224</v>
      </c>
      <c r="H1022" t="s">
        <v>1208</v>
      </c>
      <c r="I1022" t="s">
        <v>250</v>
      </c>
      <c r="J1022">
        <v>7208</v>
      </c>
      <c r="K1022">
        <v>1102</v>
      </c>
      <c r="L1022" t="s">
        <v>23</v>
      </c>
      <c r="M1022" t="s">
        <v>3224</v>
      </c>
      <c r="N1022" t="s">
        <v>1208</v>
      </c>
      <c r="O1022" t="s">
        <v>250</v>
      </c>
      <c r="P1022">
        <v>7208</v>
      </c>
      <c r="Q1022">
        <v>1102</v>
      </c>
      <c r="R1022" t="s">
        <v>23</v>
      </c>
      <c r="S1022" s="1" t="s">
        <v>34218</v>
      </c>
    </row>
    <row r="1023" spans="1:19" x14ac:dyDescent="0.25">
      <c r="A1023">
        <v>100755615</v>
      </c>
      <c r="B1023" t="s">
        <v>3225</v>
      </c>
      <c r="C1023" t="s">
        <v>3226</v>
      </c>
      <c r="F1023" t="str">
        <f>"5414659062"</f>
        <v>5414659062</v>
      </c>
      <c r="G1023" t="s">
        <v>3227</v>
      </c>
      <c r="H1023" t="s">
        <v>1452</v>
      </c>
      <c r="I1023" t="s">
        <v>43</v>
      </c>
      <c r="J1023">
        <v>97403</v>
      </c>
      <c r="K1023">
        <v>2040</v>
      </c>
      <c r="L1023" t="s">
        <v>23</v>
      </c>
      <c r="M1023" t="s">
        <v>3227</v>
      </c>
      <c r="N1023" t="s">
        <v>1452</v>
      </c>
      <c r="O1023" t="s">
        <v>43</v>
      </c>
      <c r="P1023">
        <v>97403</v>
      </c>
      <c r="Q1023">
        <v>2040</v>
      </c>
      <c r="R1023" t="s">
        <v>23</v>
      </c>
      <c r="S1023" s="1" t="s">
        <v>34218</v>
      </c>
    </row>
    <row r="1024" spans="1:19" x14ac:dyDescent="0.25">
      <c r="A1024">
        <v>100941238</v>
      </c>
      <c r="B1024" t="s">
        <v>3228</v>
      </c>
      <c r="C1024" t="s">
        <v>498</v>
      </c>
      <c r="F1024" t="str">
        <f>"5302653768"</f>
        <v>5302653768</v>
      </c>
      <c r="G1024" t="s">
        <v>3229</v>
      </c>
      <c r="H1024" t="s">
        <v>3230</v>
      </c>
      <c r="I1024" t="s">
        <v>22</v>
      </c>
      <c r="J1024">
        <v>95959</v>
      </c>
      <c r="K1024">
        <v>727</v>
      </c>
      <c r="L1024" t="s">
        <v>23</v>
      </c>
      <c r="M1024" t="s">
        <v>3229</v>
      </c>
      <c r="N1024" t="s">
        <v>3230</v>
      </c>
      <c r="O1024" t="s">
        <v>22</v>
      </c>
      <c r="P1024">
        <v>95959</v>
      </c>
      <c r="Q1024">
        <v>727</v>
      </c>
      <c r="R1024" t="s">
        <v>23</v>
      </c>
      <c r="S1024" s="1" t="s">
        <v>34218</v>
      </c>
    </row>
    <row r="1025" spans="1:19" x14ac:dyDescent="0.25">
      <c r="A1025">
        <v>100945666</v>
      </c>
      <c r="B1025" t="s">
        <v>3231</v>
      </c>
      <c r="C1025" t="s">
        <v>3207</v>
      </c>
      <c r="F1025" t="str">
        <f>"2625483731"</f>
        <v>2625483731</v>
      </c>
      <c r="G1025" t="s">
        <v>3232</v>
      </c>
      <c r="H1025" t="s">
        <v>2662</v>
      </c>
      <c r="I1025" t="s">
        <v>100</v>
      </c>
      <c r="J1025">
        <v>53186</v>
      </c>
      <c r="K1025">
        <v>6219</v>
      </c>
      <c r="L1025" t="s">
        <v>23</v>
      </c>
      <c r="M1025" t="s">
        <v>3232</v>
      </c>
      <c r="N1025" t="s">
        <v>2662</v>
      </c>
      <c r="O1025" t="s">
        <v>100</v>
      </c>
      <c r="P1025">
        <v>53186</v>
      </c>
      <c r="Q1025">
        <v>6219</v>
      </c>
      <c r="R1025" t="s">
        <v>23</v>
      </c>
      <c r="S1025" s="1" t="s">
        <v>34218</v>
      </c>
    </row>
    <row r="1026" spans="1:19" x14ac:dyDescent="0.25">
      <c r="A1026">
        <v>100958290</v>
      </c>
      <c r="B1026" t="s">
        <v>3233</v>
      </c>
      <c r="C1026" t="s">
        <v>3234</v>
      </c>
      <c r="F1026" t="str">
        <f>"8106267097"</f>
        <v>8106267097</v>
      </c>
      <c r="G1026" t="s">
        <v>3235</v>
      </c>
      <c r="H1026" t="s">
        <v>3236</v>
      </c>
      <c r="I1026" t="s">
        <v>140</v>
      </c>
      <c r="J1026">
        <v>48116</v>
      </c>
      <c r="K1026">
        <v>8212</v>
      </c>
      <c r="L1026" t="s">
        <v>23</v>
      </c>
      <c r="M1026" t="s">
        <v>3235</v>
      </c>
      <c r="N1026" t="s">
        <v>3236</v>
      </c>
      <c r="O1026" t="s">
        <v>140</v>
      </c>
      <c r="P1026">
        <v>48116</v>
      </c>
      <c r="Q1026">
        <v>8212</v>
      </c>
      <c r="R1026" t="s">
        <v>23</v>
      </c>
      <c r="S1026" s="1" t="s">
        <v>34218</v>
      </c>
    </row>
    <row r="1027" spans="1:19" x14ac:dyDescent="0.25">
      <c r="A1027">
        <v>101169362</v>
      </c>
      <c r="B1027" t="s">
        <v>3237</v>
      </c>
      <c r="C1027" t="s">
        <v>3238</v>
      </c>
      <c r="F1027" t="str">
        <f>"5036270333"</f>
        <v>5036270333</v>
      </c>
      <c r="G1027" t="s">
        <v>3239</v>
      </c>
      <c r="H1027" t="s">
        <v>818</v>
      </c>
      <c r="I1027" t="s">
        <v>43</v>
      </c>
      <c r="J1027">
        <v>97007</v>
      </c>
      <c r="K1027">
        <v>3671</v>
      </c>
      <c r="L1027" t="s">
        <v>23</v>
      </c>
      <c r="M1027" t="s">
        <v>3239</v>
      </c>
      <c r="N1027" t="s">
        <v>818</v>
      </c>
      <c r="O1027" t="s">
        <v>43</v>
      </c>
      <c r="P1027">
        <v>97007</v>
      </c>
      <c r="Q1027">
        <v>3671</v>
      </c>
      <c r="R1027" t="s">
        <v>23</v>
      </c>
      <c r="S1027" s="1" t="s">
        <v>34218</v>
      </c>
    </row>
    <row r="1028" spans="1:19" x14ac:dyDescent="0.25">
      <c r="A1028">
        <v>101052757</v>
      </c>
      <c r="B1028" t="s">
        <v>3240</v>
      </c>
      <c r="C1028" t="s">
        <v>3241</v>
      </c>
      <c r="F1028" t="str">
        <f>"5555555555"</f>
        <v>5555555555</v>
      </c>
      <c r="G1028" t="s">
        <v>3242</v>
      </c>
      <c r="H1028" t="s">
        <v>3243</v>
      </c>
      <c r="I1028" t="s">
        <v>148</v>
      </c>
      <c r="J1028">
        <v>20777</v>
      </c>
      <c r="K1028">
        <v>9770</v>
      </c>
      <c r="L1028" t="s">
        <v>23</v>
      </c>
      <c r="M1028" t="s">
        <v>3242</v>
      </c>
      <c r="N1028" t="s">
        <v>3243</v>
      </c>
      <c r="O1028" t="s">
        <v>148</v>
      </c>
      <c r="P1028">
        <v>20777</v>
      </c>
      <c r="Q1028">
        <v>9770</v>
      </c>
      <c r="R1028" t="s">
        <v>23</v>
      </c>
      <c r="S1028" s="1" t="s">
        <v>34218</v>
      </c>
    </row>
    <row r="1029" spans="1:19" x14ac:dyDescent="0.25">
      <c r="A1029">
        <v>101279308</v>
      </c>
      <c r="B1029" t="s">
        <v>3244</v>
      </c>
      <c r="C1029" t="s">
        <v>535</v>
      </c>
      <c r="F1029" t="str">
        <f>"2253610503"</f>
        <v>2253610503</v>
      </c>
      <c r="G1029" t="s">
        <v>3245</v>
      </c>
      <c r="H1029" t="s">
        <v>1900</v>
      </c>
      <c r="I1029" t="s">
        <v>153</v>
      </c>
      <c r="J1029">
        <v>70808</v>
      </c>
      <c r="K1029">
        <v>5862</v>
      </c>
      <c r="L1029" t="s">
        <v>23</v>
      </c>
      <c r="M1029" t="s">
        <v>3245</v>
      </c>
      <c r="N1029" t="s">
        <v>1900</v>
      </c>
      <c r="O1029" t="s">
        <v>153</v>
      </c>
      <c r="P1029">
        <v>70808</v>
      </c>
      <c r="Q1029">
        <v>5862</v>
      </c>
      <c r="R1029" t="s">
        <v>23</v>
      </c>
      <c r="S1029" s="1" t="s">
        <v>34218</v>
      </c>
    </row>
    <row r="1030" spans="1:19" x14ac:dyDescent="0.25">
      <c r="A1030">
        <v>101282730</v>
      </c>
      <c r="B1030" t="s">
        <v>3246</v>
      </c>
      <c r="C1030" t="s">
        <v>403</v>
      </c>
      <c r="F1030" t="str">
        <f>"5757492498"</f>
        <v>5757492498</v>
      </c>
      <c r="G1030" t="s">
        <v>3247</v>
      </c>
      <c r="H1030" t="s">
        <v>638</v>
      </c>
      <c r="I1030" t="s">
        <v>639</v>
      </c>
      <c r="J1030">
        <v>87109</v>
      </c>
      <c r="K1030">
        <v>6903</v>
      </c>
      <c r="L1030" t="s">
        <v>23</v>
      </c>
      <c r="M1030" t="s">
        <v>3247</v>
      </c>
      <c r="N1030" t="s">
        <v>638</v>
      </c>
      <c r="O1030" t="s">
        <v>639</v>
      </c>
      <c r="P1030">
        <v>87109</v>
      </c>
      <c r="Q1030">
        <v>6903</v>
      </c>
      <c r="R1030" t="s">
        <v>23</v>
      </c>
      <c r="S1030" s="1" t="s">
        <v>34218</v>
      </c>
    </row>
    <row r="1031" spans="1:19" x14ac:dyDescent="0.25">
      <c r="A1031">
        <v>101087133</v>
      </c>
      <c r="B1031" t="s">
        <v>3248</v>
      </c>
      <c r="C1031" t="s">
        <v>2127</v>
      </c>
      <c r="F1031" t="str">
        <f>"6108579540"</f>
        <v>6108579540</v>
      </c>
      <c r="G1031" t="s">
        <v>3249</v>
      </c>
      <c r="H1031" t="s">
        <v>3250</v>
      </c>
      <c r="I1031" t="s">
        <v>33</v>
      </c>
      <c r="J1031">
        <v>19365</v>
      </c>
      <c r="K1031">
        <v>9198</v>
      </c>
      <c r="L1031" t="s">
        <v>23</v>
      </c>
      <c r="M1031" t="s">
        <v>3249</v>
      </c>
      <c r="N1031" t="s">
        <v>3250</v>
      </c>
      <c r="O1031" t="s">
        <v>33</v>
      </c>
      <c r="P1031">
        <v>19365</v>
      </c>
      <c r="Q1031">
        <v>9198</v>
      </c>
      <c r="R1031" t="s">
        <v>23</v>
      </c>
      <c r="S1031" s="1" t="s">
        <v>34218</v>
      </c>
    </row>
    <row r="1032" spans="1:19" x14ac:dyDescent="0.25">
      <c r="A1032">
        <v>101311470</v>
      </c>
      <c r="B1032" t="s">
        <v>3251</v>
      </c>
      <c r="C1032" t="s">
        <v>2127</v>
      </c>
      <c r="F1032" t="str">
        <f>"7177815071"</f>
        <v>7177815071</v>
      </c>
      <c r="G1032" t="s">
        <v>3252</v>
      </c>
      <c r="H1032" t="s">
        <v>3253</v>
      </c>
      <c r="I1032" t="s">
        <v>33</v>
      </c>
      <c r="J1032">
        <v>17339</v>
      </c>
      <c r="K1032">
        <v>9522</v>
      </c>
      <c r="L1032" t="s">
        <v>23</v>
      </c>
      <c r="M1032" t="s">
        <v>3252</v>
      </c>
      <c r="N1032" t="s">
        <v>3253</v>
      </c>
      <c r="O1032" t="s">
        <v>33</v>
      </c>
      <c r="P1032">
        <v>17339</v>
      </c>
      <c r="Q1032">
        <v>9522</v>
      </c>
      <c r="R1032" t="s">
        <v>23</v>
      </c>
      <c r="S1032" s="1" t="s">
        <v>34218</v>
      </c>
    </row>
    <row r="1033" spans="1:19" x14ac:dyDescent="0.25">
      <c r="A1033">
        <v>100683656</v>
      </c>
      <c r="B1033" t="s">
        <v>654</v>
      </c>
      <c r="C1033" t="s">
        <v>3254</v>
      </c>
      <c r="F1033" t="str">
        <f>"8438199643"</f>
        <v>8438199643</v>
      </c>
      <c r="G1033" t="s">
        <v>3255</v>
      </c>
      <c r="H1033" t="s">
        <v>3256</v>
      </c>
      <c r="I1033" t="s">
        <v>255</v>
      </c>
      <c r="J1033">
        <v>23666</v>
      </c>
      <c r="K1033">
        <v>5024</v>
      </c>
      <c r="L1033" t="s">
        <v>23</v>
      </c>
      <c r="M1033" t="s">
        <v>3255</v>
      </c>
      <c r="N1033" t="s">
        <v>3256</v>
      </c>
      <c r="O1033" t="s">
        <v>255</v>
      </c>
      <c r="P1033">
        <v>23666</v>
      </c>
      <c r="Q1033">
        <v>5024</v>
      </c>
      <c r="R1033" t="s">
        <v>23</v>
      </c>
      <c r="S1033" s="1" t="s">
        <v>34218</v>
      </c>
    </row>
    <row r="1034" spans="1:19" x14ac:dyDescent="0.25">
      <c r="A1034">
        <v>100689269</v>
      </c>
      <c r="B1034" t="s">
        <v>3257</v>
      </c>
      <c r="C1034" t="s">
        <v>3258</v>
      </c>
      <c r="F1034" t="str">
        <f>"9195224318"</f>
        <v>9195224318</v>
      </c>
      <c r="G1034" t="s">
        <v>3259</v>
      </c>
      <c r="H1034" t="s">
        <v>2792</v>
      </c>
      <c r="I1034" t="s">
        <v>446</v>
      </c>
      <c r="J1034">
        <v>27513</v>
      </c>
      <c r="K1034">
        <v>2237</v>
      </c>
      <c r="L1034" t="s">
        <v>23</v>
      </c>
      <c r="M1034" t="s">
        <v>3259</v>
      </c>
      <c r="N1034" t="s">
        <v>2792</v>
      </c>
      <c r="O1034" t="s">
        <v>446</v>
      </c>
      <c r="P1034">
        <v>27513</v>
      </c>
      <c r="Q1034">
        <v>2237</v>
      </c>
      <c r="R1034" t="s">
        <v>23</v>
      </c>
      <c r="S1034" s="1" t="s">
        <v>34218</v>
      </c>
    </row>
    <row r="1035" spans="1:19" x14ac:dyDescent="0.25">
      <c r="A1035">
        <v>100690327</v>
      </c>
      <c r="B1035" t="s">
        <v>3260</v>
      </c>
      <c r="C1035" t="s">
        <v>1426</v>
      </c>
      <c r="F1035" t="str">
        <f>"3178585945"</f>
        <v>3178585945</v>
      </c>
      <c r="G1035" t="s">
        <v>3261</v>
      </c>
      <c r="H1035" t="s">
        <v>3262</v>
      </c>
      <c r="I1035" t="s">
        <v>52</v>
      </c>
      <c r="J1035">
        <v>32086</v>
      </c>
      <c r="K1035">
        <v>9120</v>
      </c>
      <c r="L1035" t="s">
        <v>23</v>
      </c>
      <c r="M1035" t="s">
        <v>3261</v>
      </c>
      <c r="N1035" t="s">
        <v>3262</v>
      </c>
      <c r="O1035" t="s">
        <v>52</v>
      </c>
      <c r="P1035">
        <v>32086</v>
      </c>
      <c r="Q1035">
        <v>9120</v>
      </c>
      <c r="R1035" t="s">
        <v>23</v>
      </c>
      <c r="S1035" s="1" t="s">
        <v>34218</v>
      </c>
    </row>
    <row r="1036" spans="1:19" x14ac:dyDescent="0.25">
      <c r="A1036">
        <v>101299244</v>
      </c>
      <c r="B1036" t="s">
        <v>3263</v>
      </c>
      <c r="C1036" t="s">
        <v>3264</v>
      </c>
      <c r="F1036" t="str">
        <f>"7039636275"</f>
        <v>7039636275</v>
      </c>
      <c r="G1036" t="s">
        <v>3265</v>
      </c>
      <c r="H1036" t="s">
        <v>2091</v>
      </c>
      <c r="I1036" t="s">
        <v>117</v>
      </c>
      <c r="J1036">
        <v>13210</v>
      </c>
      <c r="L1036" t="s">
        <v>23</v>
      </c>
      <c r="M1036" t="s">
        <v>3265</v>
      </c>
      <c r="N1036" t="s">
        <v>2091</v>
      </c>
      <c r="O1036" t="s">
        <v>117</v>
      </c>
      <c r="P1036">
        <v>13210</v>
      </c>
      <c r="R1036" t="s">
        <v>23</v>
      </c>
      <c r="S1036" s="1" t="s">
        <v>34218</v>
      </c>
    </row>
    <row r="1037" spans="1:19" x14ac:dyDescent="0.25">
      <c r="A1037">
        <v>100612934</v>
      </c>
      <c r="B1037" t="s">
        <v>3266</v>
      </c>
      <c r="C1037" t="s">
        <v>1208</v>
      </c>
      <c r="F1037" t="str">
        <f>"2034300234"</f>
        <v>2034300234</v>
      </c>
      <c r="G1037" t="s">
        <v>3267</v>
      </c>
      <c r="H1037" t="s">
        <v>3268</v>
      </c>
      <c r="I1037" t="s">
        <v>161</v>
      </c>
      <c r="J1037">
        <v>6514</v>
      </c>
      <c r="K1037">
        <v>2616</v>
      </c>
      <c r="L1037" t="s">
        <v>23</v>
      </c>
      <c r="M1037" t="s">
        <v>3267</v>
      </c>
      <c r="N1037" t="s">
        <v>3268</v>
      </c>
      <c r="O1037" t="s">
        <v>161</v>
      </c>
      <c r="P1037">
        <v>6514</v>
      </c>
      <c r="Q1037">
        <v>2616</v>
      </c>
      <c r="R1037" t="s">
        <v>23</v>
      </c>
      <c r="S1037" s="1" t="s">
        <v>34218</v>
      </c>
    </row>
    <row r="1038" spans="1:19" x14ac:dyDescent="0.25">
      <c r="A1038">
        <v>100620656</v>
      </c>
      <c r="B1038" t="s">
        <v>943</v>
      </c>
      <c r="C1038" t="s">
        <v>25</v>
      </c>
      <c r="F1038" t="str">
        <f>"2089999999"</f>
        <v>2089999999</v>
      </c>
      <c r="G1038" t="s">
        <v>3269</v>
      </c>
      <c r="H1038" t="s">
        <v>3270</v>
      </c>
      <c r="I1038" t="s">
        <v>348</v>
      </c>
      <c r="J1038">
        <v>83709</v>
      </c>
      <c r="K1038">
        <v>7760</v>
      </c>
      <c r="L1038" t="s">
        <v>23</v>
      </c>
      <c r="M1038" t="s">
        <v>3269</v>
      </c>
      <c r="N1038" t="s">
        <v>3270</v>
      </c>
      <c r="O1038" t="s">
        <v>348</v>
      </c>
      <c r="P1038">
        <v>83709</v>
      </c>
      <c r="Q1038">
        <v>7760</v>
      </c>
      <c r="R1038" t="s">
        <v>23</v>
      </c>
      <c r="S1038" s="1" t="s">
        <v>34218</v>
      </c>
    </row>
    <row r="1039" spans="1:19" x14ac:dyDescent="0.25">
      <c r="A1039">
        <v>101295502</v>
      </c>
      <c r="B1039" t="s">
        <v>1238</v>
      </c>
      <c r="C1039" t="s">
        <v>1467</v>
      </c>
      <c r="F1039" t="str">
        <f>"9146109492"</f>
        <v>9146109492</v>
      </c>
      <c r="G1039" t="s">
        <v>3271</v>
      </c>
      <c r="H1039" t="s">
        <v>1367</v>
      </c>
      <c r="I1039" t="s">
        <v>117</v>
      </c>
      <c r="J1039">
        <v>10506</v>
      </c>
      <c r="K1039">
        <v>1036</v>
      </c>
      <c r="L1039" t="s">
        <v>23</v>
      </c>
      <c r="M1039" t="s">
        <v>3271</v>
      </c>
      <c r="N1039" t="s">
        <v>1367</v>
      </c>
      <c r="O1039" t="s">
        <v>117</v>
      </c>
      <c r="P1039">
        <v>10506</v>
      </c>
      <c r="Q1039">
        <v>1036</v>
      </c>
      <c r="R1039" t="s">
        <v>23</v>
      </c>
      <c r="S1039" s="1" t="s">
        <v>34218</v>
      </c>
    </row>
    <row r="1040" spans="1:19" x14ac:dyDescent="0.25">
      <c r="A1040">
        <v>100863942</v>
      </c>
      <c r="B1040" t="s">
        <v>1671</v>
      </c>
      <c r="C1040" t="s">
        <v>1298</v>
      </c>
      <c r="F1040" t="str">
        <f>"2077258531"</f>
        <v>2077258531</v>
      </c>
      <c r="G1040" t="s">
        <v>3272</v>
      </c>
      <c r="H1040" t="s">
        <v>3273</v>
      </c>
      <c r="I1040" t="s">
        <v>191</v>
      </c>
      <c r="J1040">
        <v>4086</v>
      </c>
      <c r="K1040">
        <v>1537</v>
      </c>
      <c r="L1040" t="s">
        <v>23</v>
      </c>
      <c r="M1040" t="s">
        <v>3272</v>
      </c>
      <c r="N1040" t="s">
        <v>3273</v>
      </c>
      <c r="O1040" t="s">
        <v>191</v>
      </c>
      <c r="P1040">
        <v>4086</v>
      </c>
      <c r="Q1040">
        <v>1537</v>
      </c>
      <c r="R1040" t="s">
        <v>23</v>
      </c>
      <c r="S1040" s="1" t="s">
        <v>34218</v>
      </c>
    </row>
    <row r="1041" spans="1:19" x14ac:dyDescent="0.25">
      <c r="A1041">
        <v>100868246</v>
      </c>
      <c r="B1041" t="s">
        <v>2891</v>
      </c>
      <c r="C1041" t="s">
        <v>3274</v>
      </c>
      <c r="F1041" t="str">
        <f>"7604096290"</f>
        <v>7604096290</v>
      </c>
      <c r="G1041" t="s">
        <v>3275</v>
      </c>
      <c r="H1041" t="s">
        <v>3276</v>
      </c>
      <c r="I1041" t="s">
        <v>22</v>
      </c>
      <c r="J1041">
        <v>92656</v>
      </c>
      <c r="K1041">
        <v>3170</v>
      </c>
      <c r="L1041" t="s">
        <v>23</v>
      </c>
      <c r="M1041" t="s">
        <v>3275</v>
      </c>
      <c r="N1041" t="s">
        <v>3276</v>
      </c>
      <c r="O1041" t="s">
        <v>22</v>
      </c>
      <c r="P1041">
        <v>92656</v>
      </c>
      <c r="Q1041">
        <v>3170</v>
      </c>
      <c r="R1041" t="s">
        <v>23</v>
      </c>
      <c r="S1041" s="1" t="s">
        <v>34218</v>
      </c>
    </row>
    <row r="1042" spans="1:19" x14ac:dyDescent="0.25">
      <c r="A1042">
        <v>100876694</v>
      </c>
      <c r="B1042" t="s">
        <v>2189</v>
      </c>
      <c r="C1042" t="s">
        <v>522</v>
      </c>
      <c r="F1042" t="str">
        <f>"9146322012"</f>
        <v>9146322012</v>
      </c>
      <c r="G1042" t="s">
        <v>3277</v>
      </c>
      <c r="H1042" t="s">
        <v>3278</v>
      </c>
      <c r="I1042" t="s">
        <v>117</v>
      </c>
      <c r="J1042">
        <v>10580</v>
      </c>
      <c r="K1042">
        <v>4033</v>
      </c>
      <c r="L1042" t="s">
        <v>23</v>
      </c>
      <c r="M1042" t="s">
        <v>3277</v>
      </c>
      <c r="N1042" t="s">
        <v>3278</v>
      </c>
      <c r="O1042" t="s">
        <v>117</v>
      </c>
      <c r="P1042">
        <v>10580</v>
      </c>
      <c r="Q1042">
        <v>4033</v>
      </c>
      <c r="R1042" t="s">
        <v>23</v>
      </c>
      <c r="S1042" s="1" t="s">
        <v>34218</v>
      </c>
    </row>
    <row r="1043" spans="1:19" x14ac:dyDescent="0.25">
      <c r="A1043">
        <v>100537534</v>
      </c>
      <c r="B1043" t="s">
        <v>3279</v>
      </c>
      <c r="C1043" t="s">
        <v>3280</v>
      </c>
      <c r="F1043" t="str">
        <f>"2519908662"</f>
        <v>2519908662</v>
      </c>
      <c r="G1043" t="s">
        <v>3281</v>
      </c>
      <c r="H1043" t="s">
        <v>3282</v>
      </c>
      <c r="I1043" t="s">
        <v>1387</v>
      </c>
      <c r="J1043">
        <v>36532</v>
      </c>
      <c r="K1043">
        <v>2818</v>
      </c>
      <c r="L1043" t="s">
        <v>23</v>
      </c>
      <c r="M1043" t="s">
        <v>3281</v>
      </c>
      <c r="N1043" t="s">
        <v>3282</v>
      </c>
      <c r="O1043" t="s">
        <v>1387</v>
      </c>
      <c r="P1043">
        <v>36532</v>
      </c>
      <c r="Q1043">
        <v>2818</v>
      </c>
      <c r="R1043" t="s">
        <v>23</v>
      </c>
      <c r="S1043" s="1" t="s">
        <v>34218</v>
      </c>
    </row>
    <row r="1044" spans="1:19" x14ac:dyDescent="0.25">
      <c r="A1044">
        <v>100740128</v>
      </c>
      <c r="B1044" t="s">
        <v>308</v>
      </c>
      <c r="C1044" t="s">
        <v>627</v>
      </c>
      <c r="F1044" t="str">
        <f>"2486474228"</f>
        <v>2486474228</v>
      </c>
      <c r="G1044" t="s">
        <v>3283</v>
      </c>
      <c r="H1044" t="s">
        <v>79</v>
      </c>
      <c r="I1044" t="s">
        <v>140</v>
      </c>
      <c r="J1044">
        <v>48025</v>
      </c>
      <c r="K1044">
        <v>4217</v>
      </c>
      <c r="L1044" t="s">
        <v>23</v>
      </c>
      <c r="M1044" t="s">
        <v>3283</v>
      </c>
      <c r="N1044" t="s">
        <v>79</v>
      </c>
      <c r="O1044" t="s">
        <v>140</v>
      </c>
      <c r="P1044">
        <v>48025</v>
      </c>
      <c r="Q1044">
        <v>4217</v>
      </c>
      <c r="R1044" t="s">
        <v>23</v>
      </c>
      <c r="S1044" s="1" t="s">
        <v>34218</v>
      </c>
    </row>
    <row r="1045" spans="1:19" x14ac:dyDescent="0.25">
      <c r="A1045">
        <v>100715177</v>
      </c>
      <c r="B1045" t="s">
        <v>3284</v>
      </c>
      <c r="C1045" t="s">
        <v>1002</v>
      </c>
      <c r="F1045" t="str">
        <f>"7145265132"</f>
        <v>7145265132</v>
      </c>
      <c r="G1045" t="s">
        <v>3285</v>
      </c>
      <c r="H1045" t="s">
        <v>3286</v>
      </c>
      <c r="I1045" t="s">
        <v>22</v>
      </c>
      <c r="J1045">
        <v>92831</v>
      </c>
      <c r="K1045">
        <v>2902</v>
      </c>
      <c r="L1045" t="s">
        <v>23</v>
      </c>
      <c r="M1045" t="s">
        <v>3285</v>
      </c>
      <c r="N1045" t="s">
        <v>3286</v>
      </c>
      <c r="O1045" t="s">
        <v>22</v>
      </c>
      <c r="P1045">
        <v>92831</v>
      </c>
      <c r="Q1045">
        <v>2902</v>
      </c>
      <c r="R1045" t="s">
        <v>23</v>
      </c>
      <c r="S1045" s="1" t="s">
        <v>34218</v>
      </c>
    </row>
    <row r="1046" spans="1:19" x14ac:dyDescent="0.25">
      <c r="A1046">
        <v>100917229</v>
      </c>
      <c r="B1046" t="s">
        <v>3287</v>
      </c>
      <c r="C1046" t="s">
        <v>3288</v>
      </c>
      <c r="F1046" t="str">
        <f>"6034405090"</f>
        <v>6034405090</v>
      </c>
      <c r="G1046" t="s">
        <v>3289</v>
      </c>
      <c r="H1046" t="s">
        <v>2481</v>
      </c>
      <c r="I1046" t="s">
        <v>353</v>
      </c>
      <c r="J1046">
        <v>3054</v>
      </c>
      <c r="K1046">
        <v>2917</v>
      </c>
      <c r="L1046" t="s">
        <v>23</v>
      </c>
      <c r="M1046" t="s">
        <v>3289</v>
      </c>
      <c r="N1046" t="s">
        <v>2481</v>
      </c>
      <c r="O1046" t="s">
        <v>353</v>
      </c>
      <c r="P1046">
        <v>3054</v>
      </c>
      <c r="Q1046">
        <v>2917</v>
      </c>
      <c r="R1046" t="s">
        <v>23</v>
      </c>
      <c r="S1046" s="1" t="s">
        <v>34218</v>
      </c>
    </row>
    <row r="1047" spans="1:19" x14ac:dyDescent="0.25">
      <c r="A1047">
        <v>100780246</v>
      </c>
      <c r="B1047" t="s">
        <v>3290</v>
      </c>
      <c r="C1047" t="s">
        <v>3291</v>
      </c>
      <c r="F1047" t="str">
        <f>"6122327265"</f>
        <v>6122327265</v>
      </c>
      <c r="G1047" t="s">
        <v>3292</v>
      </c>
      <c r="H1047" t="s">
        <v>569</v>
      </c>
      <c r="I1047" t="s">
        <v>187</v>
      </c>
      <c r="J1047">
        <v>55448</v>
      </c>
      <c r="K1047">
        <v>2411</v>
      </c>
      <c r="L1047" t="s">
        <v>23</v>
      </c>
      <c r="M1047" t="s">
        <v>3292</v>
      </c>
      <c r="N1047" t="s">
        <v>569</v>
      </c>
      <c r="O1047" t="s">
        <v>187</v>
      </c>
      <c r="P1047">
        <v>55448</v>
      </c>
      <c r="Q1047">
        <v>2411</v>
      </c>
      <c r="R1047" t="s">
        <v>23</v>
      </c>
      <c r="S1047" s="1" t="s">
        <v>34218</v>
      </c>
    </row>
    <row r="1048" spans="1:19" x14ac:dyDescent="0.25">
      <c r="A1048">
        <v>100590526</v>
      </c>
      <c r="B1048" t="s">
        <v>3293</v>
      </c>
      <c r="C1048" t="s">
        <v>2672</v>
      </c>
      <c r="F1048" t="str">
        <f>"3044194663"</f>
        <v>3044194663</v>
      </c>
      <c r="G1048" t="s">
        <v>3294</v>
      </c>
      <c r="H1048" t="s">
        <v>3295</v>
      </c>
      <c r="I1048" t="s">
        <v>327</v>
      </c>
      <c r="J1048">
        <v>25560</v>
      </c>
      <c r="K1048">
        <v>9619</v>
      </c>
      <c r="L1048" t="s">
        <v>23</v>
      </c>
      <c r="M1048" t="s">
        <v>3294</v>
      </c>
      <c r="N1048" t="s">
        <v>3295</v>
      </c>
      <c r="O1048" t="s">
        <v>327</v>
      </c>
      <c r="P1048">
        <v>25560</v>
      </c>
      <c r="Q1048">
        <v>9619</v>
      </c>
      <c r="R1048" t="s">
        <v>23</v>
      </c>
      <c r="S1048" s="1" t="s">
        <v>34218</v>
      </c>
    </row>
    <row r="1049" spans="1:19" x14ac:dyDescent="0.25">
      <c r="A1049">
        <v>100794662</v>
      </c>
      <c r="B1049" t="s">
        <v>3296</v>
      </c>
      <c r="C1049" t="s">
        <v>846</v>
      </c>
      <c r="F1049" t="str">
        <f>"4103569879"</f>
        <v>4103569879</v>
      </c>
      <c r="G1049" t="s">
        <v>3297</v>
      </c>
      <c r="H1049" t="s">
        <v>3298</v>
      </c>
      <c r="I1049" t="s">
        <v>148</v>
      </c>
      <c r="J1049">
        <v>21117</v>
      </c>
      <c r="K1049">
        <v>3402</v>
      </c>
      <c r="L1049" t="s">
        <v>23</v>
      </c>
      <c r="M1049" t="s">
        <v>3297</v>
      </c>
      <c r="N1049" t="s">
        <v>3298</v>
      </c>
      <c r="O1049" t="s">
        <v>148</v>
      </c>
      <c r="P1049">
        <v>21117</v>
      </c>
      <c r="Q1049">
        <v>3402</v>
      </c>
      <c r="R1049" t="s">
        <v>23</v>
      </c>
      <c r="S1049" s="1" t="s">
        <v>34218</v>
      </c>
    </row>
    <row r="1050" spans="1:19" x14ac:dyDescent="0.25">
      <c r="A1050">
        <v>100855877</v>
      </c>
      <c r="B1050" t="s">
        <v>3299</v>
      </c>
      <c r="C1050" t="s">
        <v>3300</v>
      </c>
      <c r="F1050" t="str">
        <f>"9516526194"</f>
        <v>9516526194</v>
      </c>
      <c r="G1050" t="s">
        <v>3301</v>
      </c>
      <c r="H1050" t="s">
        <v>3302</v>
      </c>
      <c r="I1050" t="s">
        <v>22</v>
      </c>
      <c r="J1050">
        <v>92543</v>
      </c>
      <c r="K1050">
        <v>8820</v>
      </c>
      <c r="L1050" t="s">
        <v>23</v>
      </c>
      <c r="M1050" t="s">
        <v>3301</v>
      </c>
      <c r="N1050" t="s">
        <v>3302</v>
      </c>
      <c r="O1050" t="s">
        <v>22</v>
      </c>
      <c r="P1050">
        <v>92543</v>
      </c>
      <c r="Q1050">
        <v>8820</v>
      </c>
      <c r="R1050" t="s">
        <v>23</v>
      </c>
      <c r="S1050" s="1" t="s">
        <v>34218</v>
      </c>
    </row>
    <row r="1051" spans="1:19" x14ac:dyDescent="0.25">
      <c r="A1051">
        <v>101082200</v>
      </c>
      <c r="B1051" t="s">
        <v>3303</v>
      </c>
      <c r="C1051" t="s">
        <v>3304</v>
      </c>
      <c r="F1051" t="str">
        <f>"8055288280"</f>
        <v>8055288280</v>
      </c>
      <c r="G1051" t="s">
        <v>3305</v>
      </c>
      <c r="H1051" t="s">
        <v>1181</v>
      </c>
      <c r="I1051" t="s">
        <v>22</v>
      </c>
      <c r="J1051">
        <v>93402</v>
      </c>
      <c r="K1051">
        <v>4005</v>
      </c>
      <c r="L1051" t="s">
        <v>23</v>
      </c>
      <c r="M1051" t="s">
        <v>3305</v>
      </c>
      <c r="N1051" t="s">
        <v>1181</v>
      </c>
      <c r="O1051" t="s">
        <v>22</v>
      </c>
      <c r="P1051">
        <v>93402</v>
      </c>
      <c r="Q1051">
        <v>4005</v>
      </c>
      <c r="R1051" t="s">
        <v>23</v>
      </c>
      <c r="S1051" s="1" t="s">
        <v>34218</v>
      </c>
    </row>
    <row r="1052" spans="1:19" x14ac:dyDescent="0.25">
      <c r="A1052">
        <v>100898029</v>
      </c>
      <c r="B1052" t="s">
        <v>3306</v>
      </c>
      <c r="C1052" t="s">
        <v>3307</v>
      </c>
      <c r="F1052" t="str">
        <f>"3052484084"</f>
        <v>3052484084</v>
      </c>
      <c r="G1052" t="s">
        <v>3308</v>
      </c>
      <c r="H1052" t="s">
        <v>3309</v>
      </c>
      <c r="I1052" t="s">
        <v>52</v>
      </c>
      <c r="J1052">
        <v>33031</v>
      </c>
      <c r="K1052">
        <v>1611</v>
      </c>
      <c r="L1052" t="s">
        <v>23</v>
      </c>
      <c r="M1052" t="s">
        <v>3308</v>
      </c>
      <c r="N1052" t="s">
        <v>3309</v>
      </c>
      <c r="O1052" t="s">
        <v>52</v>
      </c>
      <c r="P1052">
        <v>33031</v>
      </c>
      <c r="Q1052">
        <v>1611</v>
      </c>
      <c r="R1052" t="s">
        <v>23</v>
      </c>
      <c r="S1052" s="1" t="s">
        <v>34218</v>
      </c>
    </row>
    <row r="1053" spans="1:19" x14ac:dyDescent="0.25">
      <c r="A1053">
        <v>101262715</v>
      </c>
      <c r="B1053" t="s">
        <v>3310</v>
      </c>
      <c r="C1053" t="s">
        <v>1933</v>
      </c>
      <c r="F1053" t="str">
        <f>"2152066354"</f>
        <v>2152066354</v>
      </c>
      <c r="G1053" t="s">
        <v>3311</v>
      </c>
      <c r="H1053" t="s">
        <v>3312</v>
      </c>
      <c r="I1053" t="s">
        <v>33</v>
      </c>
      <c r="J1053">
        <v>19001</v>
      </c>
      <c r="K1053">
        <v>3801</v>
      </c>
      <c r="L1053" t="s">
        <v>23</v>
      </c>
      <c r="M1053" t="s">
        <v>3311</v>
      </c>
      <c r="N1053" t="s">
        <v>3312</v>
      </c>
      <c r="O1053" t="s">
        <v>33</v>
      </c>
      <c r="P1053">
        <v>19001</v>
      </c>
      <c r="Q1053">
        <v>3801</v>
      </c>
      <c r="R1053" t="s">
        <v>23</v>
      </c>
      <c r="S1053" s="1" t="s">
        <v>34218</v>
      </c>
    </row>
    <row r="1054" spans="1:19" x14ac:dyDescent="0.25">
      <c r="A1054">
        <v>100816126</v>
      </c>
      <c r="B1054" t="s">
        <v>3313</v>
      </c>
      <c r="C1054" t="s">
        <v>3314</v>
      </c>
      <c r="F1054" t="str">
        <f>"2183483048"</f>
        <v>2183483048</v>
      </c>
      <c r="G1054" t="s">
        <v>3315</v>
      </c>
      <c r="H1054" t="s">
        <v>2178</v>
      </c>
      <c r="I1054" t="s">
        <v>187</v>
      </c>
      <c r="J1054">
        <v>55802</v>
      </c>
      <c r="K1054">
        <v>2425</v>
      </c>
      <c r="L1054" t="s">
        <v>23</v>
      </c>
      <c r="M1054" t="s">
        <v>3315</v>
      </c>
      <c r="N1054" t="s">
        <v>2178</v>
      </c>
      <c r="O1054" t="s">
        <v>187</v>
      </c>
      <c r="P1054">
        <v>55802</v>
      </c>
      <c r="Q1054">
        <v>2425</v>
      </c>
      <c r="R1054" t="s">
        <v>23</v>
      </c>
      <c r="S1054" s="1" t="s">
        <v>34218</v>
      </c>
    </row>
    <row r="1055" spans="1:19" x14ac:dyDescent="0.25">
      <c r="A1055">
        <v>100821065</v>
      </c>
      <c r="B1055" t="s">
        <v>3316</v>
      </c>
      <c r="C1055" t="s">
        <v>102</v>
      </c>
      <c r="F1055" t="str">
        <f>"6109330227"</f>
        <v>6109330227</v>
      </c>
      <c r="G1055" t="s">
        <v>3317</v>
      </c>
      <c r="H1055" t="s">
        <v>1982</v>
      </c>
      <c r="I1055" t="s">
        <v>33</v>
      </c>
      <c r="J1055">
        <v>19460</v>
      </c>
      <c r="K1055">
        <v>4751</v>
      </c>
      <c r="L1055" t="s">
        <v>23</v>
      </c>
      <c r="M1055" t="s">
        <v>3317</v>
      </c>
      <c r="N1055" t="s">
        <v>1982</v>
      </c>
      <c r="O1055" t="s">
        <v>33</v>
      </c>
      <c r="P1055">
        <v>19460</v>
      </c>
      <c r="Q1055">
        <v>4751</v>
      </c>
      <c r="R1055" t="s">
        <v>23</v>
      </c>
      <c r="S1055" s="1" t="s">
        <v>34218</v>
      </c>
    </row>
    <row r="1056" spans="1:19" x14ac:dyDescent="0.25">
      <c r="A1056">
        <v>101007435</v>
      </c>
      <c r="B1056" t="s">
        <v>3318</v>
      </c>
      <c r="C1056" t="s">
        <v>2576</v>
      </c>
      <c r="F1056" t="str">
        <f>"5037715209"</f>
        <v>5037715209</v>
      </c>
      <c r="G1056" t="s">
        <v>3319</v>
      </c>
      <c r="H1056" t="s">
        <v>227</v>
      </c>
      <c r="I1056" t="s">
        <v>43</v>
      </c>
      <c r="J1056">
        <v>97206</v>
      </c>
      <c r="K1056">
        <v>6605</v>
      </c>
      <c r="L1056" t="s">
        <v>23</v>
      </c>
      <c r="M1056" t="s">
        <v>3319</v>
      </c>
      <c r="N1056" t="s">
        <v>227</v>
      </c>
      <c r="O1056" t="s">
        <v>43</v>
      </c>
      <c r="P1056">
        <v>97206</v>
      </c>
      <c r="Q1056">
        <v>6605</v>
      </c>
      <c r="R1056" t="s">
        <v>23</v>
      </c>
      <c r="S1056" s="1" t="s">
        <v>34218</v>
      </c>
    </row>
    <row r="1057" spans="1:19" x14ac:dyDescent="0.25">
      <c r="A1057">
        <v>101205523</v>
      </c>
      <c r="B1057" t="s">
        <v>3320</v>
      </c>
      <c r="C1057" t="s">
        <v>155</v>
      </c>
      <c r="F1057" t="str">
        <f>"5555551212"</f>
        <v>5555551212</v>
      </c>
      <c r="G1057" t="s">
        <v>3321</v>
      </c>
      <c r="H1057" t="s">
        <v>3322</v>
      </c>
      <c r="I1057" t="s">
        <v>22</v>
      </c>
      <c r="J1057">
        <v>95436</v>
      </c>
      <c r="K1057">
        <v>9385</v>
      </c>
      <c r="L1057" t="s">
        <v>23</v>
      </c>
      <c r="M1057" t="s">
        <v>3321</v>
      </c>
      <c r="N1057" t="s">
        <v>3322</v>
      </c>
      <c r="O1057" t="s">
        <v>22</v>
      </c>
      <c r="P1057">
        <v>95436</v>
      </c>
      <c r="Q1057">
        <v>9385</v>
      </c>
      <c r="R1057" t="s">
        <v>23</v>
      </c>
      <c r="S1057" s="1" t="s">
        <v>34218</v>
      </c>
    </row>
    <row r="1058" spans="1:19" x14ac:dyDescent="0.25">
      <c r="A1058">
        <v>101033012</v>
      </c>
      <c r="B1058" t="s">
        <v>3323</v>
      </c>
      <c r="C1058" t="s">
        <v>1658</v>
      </c>
      <c r="F1058" t="str">
        <f>"3106256251"</f>
        <v>3106256251</v>
      </c>
      <c r="G1058" t="s">
        <v>3324</v>
      </c>
      <c r="H1058" t="s">
        <v>299</v>
      </c>
      <c r="I1058" t="s">
        <v>22</v>
      </c>
      <c r="J1058">
        <v>90066</v>
      </c>
      <c r="K1058">
        <v>9205</v>
      </c>
      <c r="L1058" t="s">
        <v>23</v>
      </c>
      <c r="M1058" t="s">
        <v>3324</v>
      </c>
      <c r="N1058" t="s">
        <v>299</v>
      </c>
      <c r="O1058" t="s">
        <v>22</v>
      </c>
      <c r="P1058">
        <v>90066</v>
      </c>
      <c r="Q1058">
        <v>9205</v>
      </c>
      <c r="R1058" t="s">
        <v>23</v>
      </c>
      <c r="S1058" s="1" t="s">
        <v>34218</v>
      </c>
    </row>
    <row r="1059" spans="1:19" x14ac:dyDescent="0.25">
      <c r="A1059">
        <v>101226979</v>
      </c>
      <c r="B1059" t="s">
        <v>3325</v>
      </c>
      <c r="C1059" t="s">
        <v>3326</v>
      </c>
      <c r="F1059" t="str">
        <f>"3236911369"</f>
        <v>3236911369</v>
      </c>
      <c r="G1059" t="s">
        <v>3327</v>
      </c>
      <c r="H1059" t="s">
        <v>1538</v>
      </c>
      <c r="I1059" t="s">
        <v>22</v>
      </c>
      <c r="J1059">
        <v>91411</v>
      </c>
      <c r="K1059">
        <v>3345</v>
      </c>
      <c r="L1059" t="s">
        <v>23</v>
      </c>
      <c r="M1059" t="s">
        <v>3327</v>
      </c>
      <c r="N1059" t="s">
        <v>1538</v>
      </c>
      <c r="O1059" t="s">
        <v>22</v>
      </c>
      <c r="P1059">
        <v>91411</v>
      </c>
      <c r="Q1059">
        <v>3345</v>
      </c>
      <c r="R1059" t="s">
        <v>23</v>
      </c>
      <c r="S1059" s="1" t="s">
        <v>34218</v>
      </c>
    </row>
    <row r="1060" spans="1:19" x14ac:dyDescent="0.25">
      <c r="A1060">
        <v>101241547</v>
      </c>
      <c r="B1060" t="s">
        <v>3328</v>
      </c>
      <c r="C1060" t="s">
        <v>123</v>
      </c>
      <c r="F1060" t="str">
        <f>"7027648364"</f>
        <v>7027648364</v>
      </c>
      <c r="G1060" t="s">
        <v>3329</v>
      </c>
      <c r="H1060" t="s">
        <v>1787</v>
      </c>
      <c r="I1060" t="s">
        <v>702</v>
      </c>
      <c r="J1060">
        <v>89142</v>
      </c>
      <c r="K1060">
        <v>2502</v>
      </c>
      <c r="L1060" t="s">
        <v>23</v>
      </c>
      <c r="M1060" t="s">
        <v>3329</v>
      </c>
      <c r="N1060" t="s">
        <v>1787</v>
      </c>
      <c r="O1060" t="s">
        <v>702</v>
      </c>
      <c r="P1060">
        <v>89142</v>
      </c>
      <c r="Q1060">
        <v>2502</v>
      </c>
      <c r="R1060" t="s">
        <v>23</v>
      </c>
      <c r="S1060" s="1" t="s">
        <v>34218</v>
      </c>
    </row>
    <row r="1061" spans="1:19" x14ac:dyDescent="0.25">
      <c r="A1061">
        <v>101246032</v>
      </c>
      <c r="B1061" t="s">
        <v>3330</v>
      </c>
      <c r="C1061" t="s">
        <v>1616</v>
      </c>
      <c r="F1061" t="str">
        <f>"5169224865"</f>
        <v>5169224865</v>
      </c>
      <c r="G1061" t="s">
        <v>3331</v>
      </c>
      <c r="H1061" t="s">
        <v>3332</v>
      </c>
      <c r="I1061" t="s">
        <v>117</v>
      </c>
      <c r="J1061">
        <v>11732</v>
      </c>
      <c r="K1061">
        <v>1110</v>
      </c>
      <c r="L1061" t="s">
        <v>23</v>
      </c>
      <c r="M1061" t="s">
        <v>3331</v>
      </c>
      <c r="N1061" t="s">
        <v>3332</v>
      </c>
      <c r="O1061" t="s">
        <v>117</v>
      </c>
      <c r="P1061">
        <v>11732</v>
      </c>
      <c r="Q1061">
        <v>1110</v>
      </c>
      <c r="R1061" t="s">
        <v>23</v>
      </c>
      <c r="S1061" s="1" t="s">
        <v>34218</v>
      </c>
    </row>
    <row r="1062" spans="1:19" x14ac:dyDescent="0.25">
      <c r="A1062">
        <v>101304037</v>
      </c>
      <c r="B1062" t="s">
        <v>3333</v>
      </c>
      <c r="C1062" t="s">
        <v>933</v>
      </c>
      <c r="F1062" t="str">
        <f>"8172440135"</f>
        <v>8172440135</v>
      </c>
      <c r="G1062" t="s">
        <v>3334</v>
      </c>
      <c r="H1062" t="s">
        <v>419</v>
      </c>
      <c r="I1062" t="s">
        <v>38</v>
      </c>
      <c r="J1062">
        <v>76116</v>
      </c>
      <c r="K1062">
        <v>6504</v>
      </c>
      <c r="L1062" t="s">
        <v>23</v>
      </c>
      <c r="M1062" t="s">
        <v>3334</v>
      </c>
      <c r="N1062" t="s">
        <v>419</v>
      </c>
      <c r="O1062" t="s">
        <v>38</v>
      </c>
      <c r="P1062">
        <v>76116</v>
      </c>
      <c r="Q1062">
        <v>6504</v>
      </c>
      <c r="R1062" t="s">
        <v>23</v>
      </c>
      <c r="S1062" s="1" t="s">
        <v>34218</v>
      </c>
    </row>
    <row r="1063" spans="1:19" x14ac:dyDescent="0.25">
      <c r="A1063">
        <v>101304480</v>
      </c>
      <c r="B1063" t="s">
        <v>3335</v>
      </c>
      <c r="C1063" t="s">
        <v>1873</v>
      </c>
      <c r="F1063" t="str">
        <f>"6183723020"</f>
        <v>6183723020</v>
      </c>
      <c r="G1063" t="s">
        <v>3336</v>
      </c>
      <c r="H1063" t="s">
        <v>3236</v>
      </c>
      <c r="I1063" t="s">
        <v>135</v>
      </c>
      <c r="J1063">
        <v>62012</v>
      </c>
      <c r="K1063">
        <v>1427</v>
      </c>
      <c r="L1063" t="s">
        <v>23</v>
      </c>
      <c r="M1063" t="s">
        <v>3336</v>
      </c>
      <c r="N1063" t="s">
        <v>3236</v>
      </c>
      <c r="O1063" t="s">
        <v>135</v>
      </c>
      <c r="P1063">
        <v>62012</v>
      </c>
      <c r="Q1063">
        <v>1427</v>
      </c>
      <c r="R1063" t="s">
        <v>23</v>
      </c>
      <c r="S1063" s="1" t="s">
        <v>34218</v>
      </c>
    </row>
    <row r="1064" spans="1:19" x14ac:dyDescent="0.25">
      <c r="A1064">
        <v>101317819</v>
      </c>
      <c r="B1064" t="s">
        <v>1370</v>
      </c>
      <c r="C1064" t="s">
        <v>77</v>
      </c>
      <c r="F1064" t="str">
        <f>"2064096276"</f>
        <v>2064096276</v>
      </c>
      <c r="G1064" t="s">
        <v>3337</v>
      </c>
      <c r="H1064" t="s">
        <v>3270</v>
      </c>
      <c r="I1064" t="s">
        <v>348</v>
      </c>
      <c r="J1064">
        <v>83709</v>
      </c>
      <c r="K1064">
        <v>2500</v>
      </c>
      <c r="L1064" t="s">
        <v>23</v>
      </c>
      <c r="M1064" t="s">
        <v>3337</v>
      </c>
      <c r="N1064" t="s">
        <v>3270</v>
      </c>
      <c r="O1064" t="s">
        <v>348</v>
      </c>
      <c r="P1064">
        <v>83709</v>
      </c>
      <c r="Q1064">
        <v>2500</v>
      </c>
      <c r="R1064" t="s">
        <v>23</v>
      </c>
      <c r="S1064" s="1" t="s">
        <v>34218</v>
      </c>
    </row>
    <row r="1065" spans="1:19" x14ac:dyDescent="0.25">
      <c r="A1065">
        <v>100538764</v>
      </c>
      <c r="B1065" t="s">
        <v>162</v>
      </c>
      <c r="C1065" t="s">
        <v>3338</v>
      </c>
      <c r="F1065" t="str">
        <f>"9857810963"</f>
        <v>9857810963</v>
      </c>
      <c r="G1065" t="s">
        <v>3339</v>
      </c>
      <c r="H1065" t="s">
        <v>3340</v>
      </c>
      <c r="I1065" t="s">
        <v>153</v>
      </c>
      <c r="J1065">
        <v>70458</v>
      </c>
      <c r="K1065">
        <v>3236</v>
      </c>
      <c r="L1065" t="s">
        <v>23</v>
      </c>
      <c r="M1065" t="s">
        <v>3339</v>
      </c>
      <c r="N1065" t="s">
        <v>3340</v>
      </c>
      <c r="O1065" t="s">
        <v>153</v>
      </c>
      <c r="P1065">
        <v>70458</v>
      </c>
      <c r="Q1065">
        <v>3236</v>
      </c>
      <c r="R1065" t="s">
        <v>23</v>
      </c>
      <c r="S1065" s="1" t="s">
        <v>34218</v>
      </c>
    </row>
    <row r="1066" spans="1:19" x14ac:dyDescent="0.25">
      <c r="A1066">
        <v>100543656</v>
      </c>
      <c r="B1066" t="s">
        <v>3341</v>
      </c>
      <c r="C1066" t="s">
        <v>3342</v>
      </c>
      <c r="F1066" t="str">
        <f>"9705275432"</f>
        <v>9705275432</v>
      </c>
      <c r="G1066" t="s">
        <v>3343</v>
      </c>
      <c r="H1066" t="s">
        <v>3344</v>
      </c>
      <c r="I1066" t="s">
        <v>71</v>
      </c>
      <c r="J1066">
        <v>81428</v>
      </c>
      <c r="K1066">
        <v>303</v>
      </c>
      <c r="L1066" t="s">
        <v>23</v>
      </c>
      <c r="M1066" t="s">
        <v>3343</v>
      </c>
      <c r="N1066" t="s">
        <v>3344</v>
      </c>
      <c r="O1066" t="s">
        <v>71</v>
      </c>
      <c r="P1066">
        <v>81428</v>
      </c>
      <c r="Q1066">
        <v>303</v>
      </c>
      <c r="R1066" t="s">
        <v>23</v>
      </c>
      <c r="S1066" s="1" t="s">
        <v>34218</v>
      </c>
    </row>
    <row r="1067" spans="1:19" x14ac:dyDescent="0.25">
      <c r="A1067">
        <v>100576338</v>
      </c>
      <c r="B1067" t="s">
        <v>3345</v>
      </c>
      <c r="C1067" t="s">
        <v>3346</v>
      </c>
      <c r="F1067" t="str">
        <f>"7194332727"</f>
        <v>7194332727</v>
      </c>
      <c r="G1067" t="s">
        <v>3347</v>
      </c>
      <c r="H1067" t="s">
        <v>3348</v>
      </c>
      <c r="I1067" t="s">
        <v>71</v>
      </c>
      <c r="J1067">
        <v>81147</v>
      </c>
      <c r="K1067">
        <v>7018</v>
      </c>
      <c r="L1067" t="s">
        <v>23</v>
      </c>
      <c r="M1067" t="s">
        <v>3347</v>
      </c>
      <c r="N1067" t="s">
        <v>3348</v>
      </c>
      <c r="O1067" t="s">
        <v>71</v>
      </c>
      <c r="P1067">
        <v>81147</v>
      </c>
      <c r="Q1067">
        <v>7018</v>
      </c>
      <c r="R1067" t="s">
        <v>23</v>
      </c>
      <c r="S1067" s="1" t="s">
        <v>34218</v>
      </c>
    </row>
    <row r="1068" spans="1:19" x14ac:dyDescent="0.25">
      <c r="A1068">
        <v>100778465</v>
      </c>
      <c r="B1068" t="s">
        <v>3349</v>
      </c>
      <c r="C1068" t="s">
        <v>3350</v>
      </c>
      <c r="F1068" t="str">
        <f>"8155456653"</f>
        <v>8155456653</v>
      </c>
      <c r="G1068" t="s">
        <v>3351</v>
      </c>
      <c r="H1068" t="s">
        <v>3352</v>
      </c>
      <c r="I1068" t="s">
        <v>135</v>
      </c>
      <c r="J1068">
        <v>60403</v>
      </c>
      <c r="K1068">
        <v>1858</v>
      </c>
      <c r="L1068" t="s">
        <v>23</v>
      </c>
      <c r="M1068" t="s">
        <v>3351</v>
      </c>
      <c r="N1068" t="s">
        <v>3352</v>
      </c>
      <c r="O1068" t="s">
        <v>135</v>
      </c>
      <c r="P1068">
        <v>60403</v>
      </c>
      <c r="Q1068">
        <v>1858</v>
      </c>
      <c r="R1068" t="s">
        <v>23</v>
      </c>
      <c r="S1068" s="1" t="s">
        <v>34218</v>
      </c>
    </row>
    <row r="1069" spans="1:19" x14ac:dyDescent="0.25">
      <c r="A1069">
        <v>100642594</v>
      </c>
      <c r="B1069" t="s">
        <v>3353</v>
      </c>
      <c r="C1069" t="s">
        <v>1669</v>
      </c>
      <c r="F1069" t="str">
        <f>"6606742769"</f>
        <v>6606742769</v>
      </c>
      <c r="G1069" t="s">
        <v>3354</v>
      </c>
      <c r="H1069" t="s">
        <v>3355</v>
      </c>
      <c r="I1069" t="s">
        <v>126</v>
      </c>
      <c r="J1069">
        <v>64001</v>
      </c>
      <c r="K1069">
        <v>8114</v>
      </c>
      <c r="L1069" t="s">
        <v>23</v>
      </c>
      <c r="M1069" t="s">
        <v>3354</v>
      </c>
      <c r="N1069" t="s">
        <v>3355</v>
      </c>
      <c r="O1069" t="s">
        <v>126</v>
      </c>
      <c r="P1069">
        <v>64001</v>
      </c>
      <c r="Q1069">
        <v>8114</v>
      </c>
      <c r="R1069" t="s">
        <v>23</v>
      </c>
      <c r="S1069" s="1" t="s">
        <v>34218</v>
      </c>
    </row>
    <row r="1070" spans="1:19" x14ac:dyDescent="0.25">
      <c r="A1070">
        <v>100643224</v>
      </c>
      <c r="B1070" t="s">
        <v>3356</v>
      </c>
      <c r="C1070" t="s">
        <v>3357</v>
      </c>
      <c r="F1070" t="str">
        <f>"8475519889"</f>
        <v>8475519889</v>
      </c>
      <c r="G1070" t="s">
        <v>3358</v>
      </c>
      <c r="H1070" t="s">
        <v>3359</v>
      </c>
      <c r="I1070" t="s">
        <v>135</v>
      </c>
      <c r="J1070">
        <v>60010</v>
      </c>
      <c r="K1070">
        <v>1061</v>
      </c>
      <c r="L1070" t="s">
        <v>23</v>
      </c>
      <c r="M1070" t="s">
        <v>3358</v>
      </c>
      <c r="N1070" t="s">
        <v>3359</v>
      </c>
      <c r="O1070" t="s">
        <v>135</v>
      </c>
      <c r="P1070">
        <v>60010</v>
      </c>
      <c r="Q1070">
        <v>1061</v>
      </c>
      <c r="R1070" t="s">
        <v>23</v>
      </c>
      <c r="S1070" s="1" t="s">
        <v>34218</v>
      </c>
    </row>
    <row r="1071" spans="1:19" x14ac:dyDescent="0.25">
      <c r="A1071">
        <v>100857574</v>
      </c>
      <c r="B1071" t="s">
        <v>3360</v>
      </c>
      <c r="C1071" t="s">
        <v>3361</v>
      </c>
      <c r="F1071" t="str">
        <f>"4123630818"</f>
        <v>4123630818</v>
      </c>
      <c r="G1071" t="s">
        <v>3362</v>
      </c>
      <c r="H1071" t="s">
        <v>3363</v>
      </c>
      <c r="I1071" t="s">
        <v>33</v>
      </c>
      <c r="J1071">
        <v>15206</v>
      </c>
      <c r="K1071">
        <v>3653</v>
      </c>
      <c r="L1071" t="s">
        <v>23</v>
      </c>
      <c r="M1071" t="s">
        <v>3362</v>
      </c>
      <c r="N1071" t="s">
        <v>3363</v>
      </c>
      <c r="O1071" t="s">
        <v>33</v>
      </c>
      <c r="P1071">
        <v>15206</v>
      </c>
      <c r="Q1071">
        <v>3653</v>
      </c>
      <c r="R1071" t="s">
        <v>23</v>
      </c>
      <c r="S1071" s="1" t="s">
        <v>34218</v>
      </c>
    </row>
    <row r="1072" spans="1:19" x14ac:dyDescent="0.25">
      <c r="A1072">
        <v>100863442</v>
      </c>
      <c r="B1072" t="s">
        <v>3364</v>
      </c>
      <c r="C1072" t="s">
        <v>3365</v>
      </c>
      <c r="F1072" t="str">
        <f>"9286390158"</f>
        <v>9286390158</v>
      </c>
      <c r="G1072" t="s">
        <v>3366</v>
      </c>
      <c r="H1072" t="s">
        <v>3367</v>
      </c>
      <c r="I1072" t="s">
        <v>365</v>
      </c>
      <c r="J1072">
        <v>86324</v>
      </c>
      <c r="K1072">
        <v>1179</v>
      </c>
      <c r="L1072" t="s">
        <v>23</v>
      </c>
      <c r="M1072" t="s">
        <v>3366</v>
      </c>
      <c r="N1072" t="s">
        <v>3367</v>
      </c>
      <c r="O1072" t="s">
        <v>365</v>
      </c>
      <c r="P1072">
        <v>86324</v>
      </c>
      <c r="Q1072">
        <v>1179</v>
      </c>
      <c r="R1072" t="s">
        <v>23</v>
      </c>
      <c r="S1072" s="1" t="s">
        <v>34218</v>
      </c>
    </row>
    <row r="1073" spans="1:19" x14ac:dyDescent="0.25">
      <c r="A1073">
        <v>100794856</v>
      </c>
      <c r="B1073" t="s">
        <v>3368</v>
      </c>
      <c r="C1073" t="s">
        <v>233</v>
      </c>
      <c r="F1073" t="str">
        <f>"5413430890"</f>
        <v>5413430890</v>
      </c>
      <c r="G1073" t="s">
        <v>3369</v>
      </c>
      <c r="H1073" t="s">
        <v>1452</v>
      </c>
      <c r="I1073" t="s">
        <v>43</v>
      </c>
      <c r="J1073">
        <v>97408</v>
      </c>
      <c r="K1073">
        <v>4785</v>
      </c>
      <c r="L1073" t="s">
        <v>23</v>
      </c>
      <c r="M1073" t="s">
        <v>3369</v>
      </c>
      <c r="N1073" t="s">
        <v>1452</v>
      </c>
      <c r="O1073" t="s">
        <v>43</v>
      </c>
      <c r="P1073">
        <v>97408</v>
      </c>
      <c r="Q1073">
        <v>4785</v>
      </c>
      <c r="R1073" t="s">
        <v>23</v>
      </c>
      <c r="S1073" s="1" t="s">
        <v>34218</v>
      </c>
    </row>
    <row r="1074" spans="1:19" x14ac:dyDescent="0.25">
      <c r="A1074">
        <v>100812059</v>
      </c>
      <c r="B1074" t="s">
        <v>3370</v>
      </c>
      <c r="C1074" t="s">
        <v>1036</v>
      </c>
      <c r="F1074" t="str">
        <f>"8062204772"</f>
        <v>8062204772</v>
      </c>
      <c r="G1074" t="s">
        <v>3371</v>
      </c>
      <c r="H1074" t="s">
        <v>3372</v>
      </c>
      <c r="I1074" t="s">
        <v>38</v>
      </c>
      <c r="J1074">
        <v>79124</v>
      </c>
      <c r="K1074">
        <v>2309</v>
      </c>
      <c r="L1074" t="s">
        <v>23</v>
      </c>
      <c r="M1074" t="s">
        <v>3371</v>
      </c>
      <c r="N1074" t="s">
        <v>3372</v>
      </c>
      <c r="O1074" t="s">
        <v>38</v>
      </c>
      <c r="P1074">
        <v>79124</v>
      </c>
      <c r="Q1074">
        <v>2309</v>
      </c>
      <c r="R1074" t="s">
        <v>23</v>
      </c>
      <c r="S1074" s="1" t="s">
        <v>34218</v>
      </c>
    </row>
    <row r="1075" spans="1:19" x14ac:dyDescent="0.25">
      <c r="A1075">
        <v>100680694</v>
      </c>
      <c r="B1075" t="s">
        <v>3373</v>
      </c>
      <c r="C1075" t="s">
        <v>1124</v>
      </c>
      <c r="F1075" t="str">
        <f>"4082963452"</f>
        <v>4082963452</v>
      </c>
      <c r="G1075" t="s">
        <v>3374</v>
      </c>
      <c r="H1075" t="s">
        <v>2668</v>
      </c>
      <c r="I1075" t="s">
        <v>22</v>
      </c>
      <c r="J1075">
        <v>95051</v>
      </c>
      <c r="K1075">
        <v>5626</v>
      </c>
      <c r="L1075" t="s">
        <v>23</v>
      </c>
      <c r="M1075" t="s">
        <v>3374</v>
      </c>
      <c r="N1075" t="s">
        <v>2668</v>
      </c>
      <c r="O1075" t="s">
        <v>22</v>
      </c>
      <c r="P1075">
        <v>95051</v>
      </c>
      <c r="Q1075">
        <v>5626</v>
      </c>
      <c r="R1075" t="s">
        <v>23</v>
      </c>
      <c r="S1075" s="1" t="s">
        <v>34218</v>
      </c>
    </row>
    <row r="1076" spans="1:19" x14ac:dyDescent="0.25">
      <c r="A1076">
        <v>100678455</v>
      </c>
      <c r="B1076" t="s">
        <v>3375</v>
      </c>
      <c r="C1076" t="s">
        <v>3376</v>
      </c>
      <c r="F1076" t="str">
        <f>"8313382650"</f>
        <v>8313382650</v>
      </c>
      <c r="G1076" t="s">
        <v>3377</v>
      </c>
      <c r="H1076" t="s">
        <v>2079</v>
      </c>
      <c r="I1076" t="s">
        <v>22</v>
      </c>
      <c r="J1076">
        <v>95006</v>
      </c>
      <c r="K1076">
        <v>8733</v>
      </c>
      <c r="L1076" t="s">
        <v>23</v>
      </c>
      <c r="M1076" t="s">
        <v>3377</v>
      </c>
      <c r="N1076" t="s">
        <v>2079</v>
      </c>
      <c r="O1076" t="s">
        <v>22</v>
      </c>
      <c r="P1076">
        <v>95006</v>
      </c>
      <c r="Q1076">
        <v>8733</v>
      </c>
      <c r="R1076" t="s">
        <v>23</v>
      </c>
      <c r="S1076" s="1" t="s">
        <v>34218</v>
      </c>
    </row>
    <row r="1077" spans="1:19" x14ac:dyDescent="0.25">
      <c r="A1077">
        <v>101041023</v>
      </c>
      <c r="B1077" t="s">
        <v>3378</v>
      </c>
      <c r="C1077" t="s">
        <v>440</v>
      </c>
      <c r="F1077" t="str">
        <f>"6192483103"</f>
        <v>6192483103</v>
      </c>
      <c r="G1077" t="s">
        <v>3379</v>
      </c>
      <c r="H1077" t="s">
        <v>2948</v>
      </c>
      <c r="I1077" t="s">
        <v>22</v>
      </c>
      <c r="J1077">
        <v>91910</v>
      </c>
      <c r="K1077">
        <v>8145</v>
      </c>
      <c r="L1077" t="s">
        <v>23</v>
      </c>
      <c r="M1077" t="s">
        <v>3379</v>
      </c>
      <c r="N1077" t="s">
        <v>2948</v>
      </c>
      <c r="O1077" t="s">
        <v>22</v>
      </c>
      <c r="P1077">
        <v>91910</v>
      </c>
      <c r="Q1077">
        <v>8145</v>
      </c>
      <c r="R1077" t="s">
        <v>23</v>
      </c>
      <c r="S1077" s="1" t="s">
        <v>34218</v>
      </c>
    </row>
    <row r="1078" spans="1:19" x14ac:dyDescent="0.25">
      <c r="A1078">
        <v>100724844</v>
      </c>
      <c r="B1078" t="s">
        <v>3380</v>
      </c>
      <c r="C1078" t="s">
        <v>838</v>
      </c>
      <c r="F1078" t="str">
        <f>"6109876954"</f>
        <v>6109876954</v>
      </c>
      <c r="G1078" t="s">
        <v>3381</v>
      </c>
      <c r="H1078" t="s">
        <v>3382</v>
      </c>
      <c r="I1078" t="s">
        <v>33</v>
      </c>
      <c r="J1078">
        <v>19512</v>
      </c>
      <c r="K1078">
        <v>7822</v>
      </c>
      <c r="L1078" t="s">
        <v>23</v>
      </c>
      <c r="M1078" t="s">
        <v>3381</v>
      </c>
      <c r="N1078" t="s">
        <v>3382</v>
      </c>
      <c r="O1078" t="s">
        <v>33</v>
      </c>
      <c r="P1078">
        <v>19512</v>
      </c>
      <c r="Q1078">
        <v>7822</v>
      </c>
      <c r="R1078" t="s">
        <v>23</v>
      </c>
      <c r="S1078" s="1" t="s">
        <v>34218</v>
      </c>
    </row>
    <row r="1079" spans="1:19" x14ac:dyDescent="0.25">
      <c r="A1079">
        <v>100937144</v>
      </c>
      <c r="B1079" t="s">
        <v>3383</v>
      </c>
      <c r="C1079" t="s">
        <v>1043</v>
      </c>
      <c r="F1079" t="str">
        <f>"7404322961"</f>
        <v>7404322961</v>
      </c>
      <c r="G1079" t="s">
        <v>3384</v>
      </c>
      <c r="H1079" t="s">
        <v>3385</v>
      </c>
      <c r="I1079" t="s">
        <v>178</v>
      </c>
      <c r="J1079">
        <v>43725</v>
      </c>
      <c r="K1079">
        <v>9560</v>
      </c>
      <c r="L1079" t="s">
        <v>23</v>
      </c>
      <c r="M1079" t="s">
        <v>3384</v>
      </c>
      <c r="N1079" t="s">
        <v>3385</v>
      </c>
      <c r="O1079" t="s">
        <v>178</v>
      </c>
      <c r="P1079">
        <v>43725</v>
      </c>
      <c r="Q1079">
        <v>9560</v>
      </c>
      <c r="R1079" t="s">
        <v>23</v>
      </c>
      <c r="S1079" s="1" t="s">
        <v>34218</v>
      </c>
    </row>
    <row r="1080" spans="1:19" x14ac:dyDescent="0.25">
      <c r="A1080">
        <v>101124169</v>
      </c>
      <c r="B1080" t="s">
        <v>3386</v>
      </c>
      <c r="C1080" t="s">
        <v>2193</v>
      </c>
      <c r="F1080" t="str">
        <f>"9096240014"</f>
        <v>9096240014</v>
      </c>
      <c r="G1080" t="s">
        <v>3387</v>
      </c>
      <c r="H1080" t="s">
        <v>3388</v>
      </c>
      <c r="I1080" t="s">
        <v>22</v>
      </c>
      <c r="J1080">
        <v>91739</v>
      </c>
      <c r="K1080">
        <v>1701</v>
      </c>
      <c r="L1080" t="s">
        <v>23</v>
      </c>
      <c r="M1080" t="s">
        <v>3387</v>
      </c>
      <c r="N1080" t="s">
        <v>3388</v>
      </c>
      <c r="O1080" t="s">
        <v>22</v>
      </c>
      <c r="P1080">
        <v>91739</v>
      </c>
      <c r="Q1080">
        <v>1701</v>
      </c>
      <c r="R1080" t="s">
        <v>23</v>
      </c>
      <c r="S1080" s="1" t="s">
        <v>34218</v>
      </c>
    </row>
    <row r="1081" spans="1:19" x14ac:dyDescent="0.25">
      <c r="A1081">
        <v>101085094</v>
      </c>
      <c r="B1081" t="s">
        <v>3389</v>
      </c>
      <c r="C1081" t="s">
        <v>1737</v>
      </c>
      <c r="F1081" t="str">
        <f>"9543338028"</f>
        <v>9543338028</v>
      </c>
      <c r="G1081" t="s">
        <v>3390</v>
      </c>
      <c r="H1081" t="s">
        <v>3391</v>
      </c>
      <c r="I1081" t="s">
        <v>52</v>
      </c>
      <c r="J1081">
        <v>33313</v>
      </c>
      <c r="K1081">
        <v>8084</v>
      </c>
      <c r="L1081" t="s">
        <v>23</v>
      </c>
      <c r="M1081" t="s">
        <v>3390</v>
      </c>
      <c r="N1081" t="s">
        <v>3391</v>
      </c>
      <c r="O1081" t="s">
        <v>52</v>
      </c>
      <c r="P1081">
        <v>33313</v>
      </c>
      <c r="Q1081">
        <v>8084</v>
      </c>
      <c r="R1081" t="s">
        <v>23</v>
      </c>
      <c r="S1081" s="1" t="s">
        <v>34218</v>
      </c>
    </row>
    <row r="1082" spans="1:19" x14ac:dyDescent="0.25">
      <c r="A1082">
        <v>101088572</v>
      </c>
      <c r="B1082" t="s">
        <v>3392</v>
      </c>
      <c r="C1082" t="s">
        <v>3393</v>
      </c>
      <c r="F1082" t="str">
        <f>"5087892289"</f>
        <v>5087892289</v>
      </c>
      <c r="G1082" t="s">
        <v>3394</v>
      </c>
      <c r="H1082" t="s">
        <v>1873</v>
      </c>
      <c r="I1082" t="s">
        <v>236</v>
      </c>
      <c r="J1082">
        <v>2067</v>
      </c>
      <c r="K1082">
        <v>1136</v>
      </c>
      <c r="L1082" t="s">
        <v>23</v>
      </c>
      <c r="M1082" t="s">
        <v>3394</v>
      </c>
      <c r="N1082" t="s">
        <v>1873</v>
      </c>
      <c r="O1082" t="s">
        <v>236</v>
      </c>
      <c r="P1082">
        <v>2067</v>
      </c>
      <c r="Q1082">
        <v>1136</v>
      </c>
      <c r="R1082" t="s">
        <v>23</v>
      </c>
      <c r="S1082" s="1" t="s">
        <v>34218</v>
      </c>
    </row>
    <row r="1083" spans="1:19" x14ac:dyDescent="0.25">
      <c r="A1083">
        <v>101312113</v>
      </c>
      <c r="B1083" t="s">
        <v>3395</v>
      </c>
      <c r="C1083" t="s">
        <v>1598</v>
      </c>
      <c r="F1083" t="str">
        <f>"6505201936"</f>
        <v>6505201936</v>
      </c>
      <c r="G1083" t="s">
        <v>3396</v>
      </c>
      <c r="H1083" t="s">
        <v>3397</v>
      </c>
      <c r="I1083" t="s">
        <v>22</v>
      </c>
      <c r="J1083">
        <v>94303</v>
      </c>
      <c r="K1083">
        <v>2302</v>
      </c>
      <c r="L1083" t="s">
        <v>23</v>
      </c>
      <c r="M1083" t="s">
        <v>3396</v>
      </c>
      <c r="N1083" t="s">
        <v>3397</v>
      </c>
      <c r="O1083" t="s">
        <v>22</v>
      </c>
      <c r="P1083">
        <v>94303</v>
      </c>
      <c r="Q1083">
        <v>2302</v>
      </c>
      <c r="R1083" t="s">
        <v>23</v>
      </c>
      <c r="S1083" s="1" t="s">
        <v>34218</v>
      </c>
    </row>
    <row r="1084" spans="1:19" x14ac:dyDescent="0.25">
      <c r="A1084">
        <v>101306956</v>
      </c>
      <c r="B1084" t="s">
        <v>3398</v>
      </c>
      <c r="C1084" t="s">
        <v>123</v>
      </c>
      <c r="F1084" t="str">
        <f>"4105831035"</f>
        <v>4105831035</v>
      </c>
      <c r="G1084" t="s">
        <v>3399</v>
      </c>
      <c r="H1084" t="s">
        <v>3400</v>
      </c>
      <c r="I1084" t="s">
        <v>148</v>
      </c>
      <c r="J1084">
        <v>21093</v>
      </c>
      <c r="K1084">
        <v>4824</v>
      </c>
      <c r="L1084" t="s">
        <v>23</v>
      </c>
      <c r="M1084" t="s">
        <v>3399</v>
      </c>
      <c r="N1084" t="s">
        <v>3400</v>
      </c>
      <c r="O1084" t="s">
        <v>148</v>
      </c>
      <c r="P1084">
        <v>21093</v>
      </c>
      <c r="Q1084">
        <v>4824</v>
      </c>
      <c r="R1084" t="s">
        <v>23</v>
      </c>
      <c r="S1084" s="1" t="s">
        <v>34218</v>
      </c>
    </row>
    <row r="1085" spans="1:19" x14ac:dyDescent="0.25">
      <c r="A1085">
        <v>100690358</v>
      </c>
      <c r="B1085" t="s">
        <v>3401</v>
      </c>
      <c r="C1085" t="s">
        <v>3402</v>
      </c>
      <c r="F1085" t="str">
        <f>"8478708077"</f>
        <v>8478708077</v>
      </c>
      <c r="G1085" t="s">
        <v>3403</v>
      </c>
      <c r="H1085" t="s">
        <v>3404</v>
      </c>
      <c r="I1085" t="s">
        <v>135</v>
      </c>
      <c r="J1085">
        <v>60056</v>
      </c>
      <c r="K1085">
        <v>2509</v>
      </c>
      <c r="L1085" t="s">
        <v>23</v>
      </c>
      <c r="M1085" t="s">
        <v>3403</v>
      </c>
      <c r="N1085" t="s">
        <v>3404</v>
      </c>
      <c r="O1085" t="s">
        <v>135</v>
      </c>
      <c r="P1085">
        <v>60056</v>
      </c>
      <c r="Q1085">
        <v>2509</v>
      </c>
      <c r="R1085" t="s">
        <v>23</v>
      </c>
      <c r="S1085" s="1" t="s">
        <v>34218</v>
      </c>
    </row>
    <row r="1086" spans="1:19" x14ac:dyDescent="0.25">
      <c r="A1086">
        <v>101106560</v>
      </c>
      <c r="B1086" t="s">
        <v>3405</v>
      </c>
      <c r="C1086" t="s">
        <v>1933</v>
      </c>
      <c r="F1086" t="str">
        <f>"5129226741"</f>
        <v>5129226741</v>
      </c>
      <c r="G1086" t="s">
        <v>3406</v>
      </c>
      <c r="H1086" t="s">
        <v>37</v>
      </c>
      <c r="I1086" t="s">
        <v>38</v>
      </c>
      <c r="J1086">
        <v>78722</v>
      </c>
      <c r="K1086">
        <v>2341</v>
      </c>
      <c r="L1086" t="s">
        <v>23</v>
      </c>
      <c r="M1086" t="s">
        <v>3406</v>
      </c>
      <c r="N1086" t="s">
        <v>37</v>
      </c>
      <c r="O1086" t="s">
        <v>38</v>
      </c>
      <c r="P1086">
        <v>78722</v>
      </c>
      <c r="Q1086">
        <v>2341</v>
      </c>
      <c r="R1086" t="s">
        <v>23</v>
      </c>
      <c r="S1086" s="1" t="s">
        <v>34218</v>
      </c>
    </row>
    <row r="1087" spans="1:19" x14ac:dyDescent="0.25">
      <c r="A1087">
        <v>100980338</v>
      </c>
      <c r="B1087" t="s">
        <v>3407</v>
      </c>
      <c r="C1087" t="s">
        <v>403</v>
      </c>
      <c r="F1087" t="str">
        <f>"2198982279"</f>
        <v>2198982279</v>
      </c>
      <c r="G1087" t="s">
        <v>3408</v>
      </c>
      <c r="H1087" t="s">
        <v>3409</v>
      </c>
      <c r="I1087" t="s">
        <v>57</v>
      </c>
      <c r="J1087">
        <v>46310</v>
      </c>
      <c r="K1087">
        <v>9492</v>
      </c>
      <c r="L1087" t="s">
        <v>23</v>
      </c>
      <c r="M1087" t="s">
        <v>3408</v>
      </c>
      <c r="N1087" t="s">
        <v>3409</v>
      </c>
      <c r="O1087" t="s">
        <v>57</v>
      </c>
      <c r="P1087">
        <v>46310</v>
      </c>
      <c r="Q1087">
        <v>9492</v>
      </c>
      <c r="R1087" t="s">
        <v>23</v>
      </c>
      <c r="S1087" s="1" t="s">
        <v>34218</v>
      </c>
    </row>
    <row r="1088" spans="1:19" x14ac:dyDescent="0.25">
      <c r="A1088">
        <v>100985013</v>
      </c>
      <c r="B1088" t="s">
        <v>3410</v>
      </c>
      <c r="C1088" t="s">
        <v>25</v>
      </c>
      <c r="F1088" t="str">
        <f>"2504694750"</f>
        <v>2504694750</v>
      </c>
      <c r="G1088" t="s">
        <v>3411</v>
      </c>
      <c r="H1088" t="s">
        <v>3412</v>
      </c>
      <c r="I1088" t="s">
        <v>148</v>
      </c>
      <c r="J1088">
        <v>21740</v>
      </c>
      <c r="K1088">
        <v>7217</v>
      </c>
      <c r="L1088" t="s">
        <v>23</v>
      </c>
      <c r="M1088" t="s">
        <v>3411</v>
      </c>
      <c r="N1088" t="s">
        <v>3412</v>
      </c>
      <c r="O1088" t="s">
        <v>148</v>
      </c>
      <c r="P1088">
        <v>21740</v>
      </c>
      <c r="Q1088">
        <v>7217</v>
      </c>
      <c r="R1088" t="s">
        <v>23</v>
      </c>
      <c r="S1088" s="1" t="s">
        <v>34218</v>
      </c>
    </row>
    <row r="1089" spans="1:19" x14ac:dyDescent="0.25">
      <c r="A1089">
        <v>100960962</v>
      </c>
      <c r="B1089" t="s">
        <v>916</v>
      </c>
      <c r="C1089" t="s">
        <v>3413</v>
      </c>
      <c r="F1089" t="str">
        <f>"4257465959"</f>
        <v>4257465959</v>
      </c>
      <c r="G1089" t="s">
        <v>3414</v>
      </c>
      <c r="H1089" t="s">
        <v>92</v>
      </c>
      <c r="I1089" t="s">
        <v>84</v>
      </c>
      <c r="J1089">
        <v>98008</v>
      </c>
      <c r="K1089">
        <v>5123</v>
      </c>
      <c r="L1089" t="s">
        <v>23</v>
      </c>
      <c r="M1089" t="s">
        <v>3414</v>
      </c>
      <c r="N1089" t="s">
        <v>92</v>
      </c>
      <c r="O1089" t="s">
        <v>84</v>
      </c>
      <c r="P1089">
        <v>98008</v>
      </c>
      <c r="Q1089">
        <v>5123</v>
      </c>
      <c r="R1089" t="s">
        <v>23</v>
      </c>
      <c r="S1089" s="1" t="s">
        <v>34218</v>
      </c>
    </row>
    <row r="1090" spans="1:19" x14ac:dyDescent="0.25">
      <c r="A1090">
        <v>101269654</v>
      </c>
      <c r="B1090" t="s">
        <v>3415</v>
      </c>
      <c r="C1090" t="s">
        <v>621</v>
      </c>
      <c r="F1090" t="str">
        <f>"9785788744"</f>
        <v>9785788744</v>
      </c>
      <c r="G1090" t="s">
        <v>3416</v>
      </c>
      <c r="H1090" t="s">
        <v>3417</v>
      </c>
      <c r="I1090" t="s">
        <v>236</v>
      </c>
      <c r="J1090">
        <v>1922</v>
      </c>
      <c r="K1090">
        <v>1614</v>
      </c>
      <c r="L1090" t="s">
        <v>23</v>
      </c>
      <c r="M1090" t="s">
        <v>3416</v>
      </c>
      <c r="N1090" t="s">
        <v>3417</v>
      </c>
      <c r="O1090" t="s">
        <v>236</v>
      </c>
      <c r="P1090">
        <v>1922</v>
      </c>
      <c r="Q1090">
        <v>1614</v>
      </c>
      <c r="R1090" t="s">
        <v>23</v>
      </c>
      <c r="S1090" s="1" t="s">
        <v>34218</v>
      </c>
    </row>
    <row r="1091" spans="1:19" x14ac:dyDescent="0.25">
      <c r="A1091">
        <v>101297438</v>
      </c>
      <c r="B1091" t="s">
        <v>2656</v>
      </c>
      <c r="C1091" t="s">
        <v>3418</v>
      </c>
      <c r="F1091" t="str">
        <f>"9175829409"</f>
        <v>9175829409</v>
      </c>
      <c r="G1091" t="s">
        <v>3419</v>
      </c>
      <c r="H1091" t="s">
        <v>653</v>
      </c>
      <c r="I1091" t="s">
        <v>117</v>
      </c>
      <c r="J1091">
        <v>10011</v>
      </c>
      <c r="K1091">
        <v>9037</v>
      </c>
      <c r="L1091" t="s">
        <v>23</v>
      </c>
      <c r="M1091" t="s">
        <v>3419</v>
      </c>
      <c r="N1091" t="s">
        <v>653</v>
      </c>
      <c r="O1091" t="s">
        <v>117</v>
      </c>
      <c r="P1091">
        <v>10011</v>
      </c>
      <c r="Q1091">
        <v>9037</v>
      </c>
      <c r="R1091" t="s">
        <v>23</v>
      </c>
      <c r="S1091" s="1" t="s">
        <v>34218</v>
      </c>
    </row>
    <row r="1092" spans="1:19" x14ac:dyDescent="0.25">
      <c r="A1092">
        <v>101205140</v>
      </c>
      <c r="B1092" t="s">
        <v>3420</v>
      </c>
      <c r="C1092" t="s">
        <v>1873</v>
      </c>
      <c r="F1092" t="str">
        <f>"7078245632"</f>
        <v>7078245632</v>
      </c>
      <c r="G1092" t="s">
        <v>3421</v>
      </c>
      <c r="H1092" t="s">
        <v>2069</v>
      </c>
      <c r="I1092" t="s">
        <v>22</v>
      </c>
      <c r="J1092">
        <v>95472</v>
      </c>
      <c r="K1092">
        <v>6411</v>
      </c>
      <c r="L1092" t="s">
        <v>23</v>
      </c>
      <c r="M1092" t="s">
        <v>3421</v>
      </c>
      <c r="N1092" t="s">
        <v>2069</v>
      </c>
      <c r="O1092" t="s">
        <v>22</v>
      </c>
      <c r="P1092">
        <v>95472</v>
      </c>
      <c r="Q1092">
        <v>6411</v>
      </c>
      <c r="R1092" t="s">
        <v>23</v>
      </c>
      <c r="S1092" s="1" t="s">
        <v>34218</v>
      </c>
    </row>
    <row r="1093" spans="1:19" x14ac:dyDescent="0.25">
      <c r="A1093">
        <v>101218226</v>
      </c>
      <c r="B1093" t="s">
        <v>3422</v>
      </c>
      <c r="C1093" t="s">
        <v>399</v>
      </c>
      <c r="F1093" t="str">
        <f>"7032669011"</f>
        <v>7032669011</v>
      </c>
      <c r="G1093" t="s">
        <v>3423</v>
      </c>
      <c r="H1093" t="s">
        <v>3424</v>
      </c>
      <c r="I1093" t="s">
        <v>255</v>
      </c>
      <c r="J1093">
        <v>20121</v>
      </c>
      <c r="K1093">
        <v>3072</v>
      </c>
      <c r="L1093" t="s">
        <v>23</v>
      </c>
      <c r="M1093" t="s">
        <v>3423</v>
      </c>
      <c r="N1093" t="s">
        <v>3424</v>
      </c>
      <c r="O1093" t="s">
        <v>255</v>
      </c>
      <c r="P1093">
        <v>20121</v>
      </c>
      <c r="Q1093">
        <v>3072</v>
      </c>
      <c r="R1093" t="s">
        <v>23</v>
      </c>
      <c r="S1093" s="1" t="s">
        <v>34218</v>
      </c>
    </row>
    <row r="1094" spans="1:19" x14ac:dyDescent="0.25">
      <c r="A1094">
        <v>100603753</v>
      </c>
      <c r="B1094" t="s">
        <v>303</v>
      </c>
      <c r="C1094" t="s">
        <v>1208</v>
      </c>
      <c r="F1094" t="str">
        <f>"2074547847"</f>
        <v>2074547847</v>
      </c>
      <c r="G1094" t="s">
        <v>3425</v>
      </c>
      <c r="H1094" t="s">
        <v>3426</v>
      </c>
      <c r="I1094" t="s">
        <v>191</v>
      </c>
      <c r="J1094">
        <v>4671</v>
      </c>
      <c r="K1094">
        <v>3013</v>
      </c>
      <c r="L1094" t="s">
        <v>23</v>
      </c>
      <c r="M1094" t="s">
        <v>3425</v>
      </c>
      <c r="N1094" t="s">
        <v>3426</v>
      </c>
      <c r="O1094" t="s">
        <v>191</v>
      </c>
      <c r="P1094">
        <v>4671</v>
      </c>
      <c r="Q1094">
        <v>3013</v>
      </c>
      <c r="R1094" t="s">
        <v>23</v>
      </c>
      <c r="S1094" s="1" t="s">
        <v>34218</v>
      </c>
    </row>
    <row r="1095" spans="1:19" x14ac:dyDescent="0.25">
      <c r="A1095">
        <v>100621084</v>
      </c>
      <c r="B1095" t="s">
        <v>3228</v>
      </c>
      <c r="C1095" t="s">
        <v>180</v>
      </c>
      <c r="F1095" t="str">
        <f>"3036609430"</f>
        <v>3036609430</v>
      </c>
      <c r="G1095" t="s">
        <v>3427</v>
      </c>
      <c r="H1095" t="s">
        <v>3428</v>
      </c>
      <c r="I1095" t="s">
        <v>71</v>
      </c>
      <c r="J1095">
        <v>80108</v>
      </c>
      <c r="K1095">
        <v>9288</v>
      </c>
      <c r="L1095" t="s">
        <v>23</v>
      </c>
      <c r="M1095" t="s">
        <v>3427</v>
      </c>
      <c r="N1095" t="s">
        <v>3428</v>
      </c>
      <c r="O1095" t="s">
        <v>71</v>
      </c>
      <c r="P1095">
        <v>80108</v>
      </c>
      <c r="Q1095">
        <v>9288</v>
      </c>
      <c r="R1095" t="s">
        <v>23</v>
      </c>
      <c r="S1095" s="1" t="s">
        <v>34218</v>
      </c>
    </row>
    <row r="1096" spans="1:19" x14ac:dyDescent="0.25">
      <c r="A1096">
        <v>100616358</v>
      </c>
      <c r="B1096" t="s">
        <v>3429</v>
      </c>
      <c r="C1096" t="s">
        <v>2127</v>
      </c>
      <c r="F1096" t="str">
        <f>"7706458524"</f>
        <v>7706458524</v>
      </c>
      <c r="G1096" t="s">
        <v>3430</v>
      </c>
      <c r="H1096" t="s">
        <v>344</v>
      </c>
      <c r="I1096" t="s">
        <v>28</v>
      </c>
      <c r="J1096">
        <v>30075</v>
      </c>
      <c r="K1096">
        <v>4642</v>
      </c>
      <c r="L1096" t="s">
        <v>23</v>
      </c>
      <c r="M1096" t="s">
        <v>3430</v>
      </c>
      <c r="N1096" t="s">
        <v>344</v>
      </c>
      <c r="O1096" t="s">
        <v>28</v>
      </c>
      <c r="P1096">
        <v>30075</v>
      </c>
      <c r="Q1096">
        <v>4642</v>
      </c>
      <c r="R1096" t="s">
        <v>23</v>
      </c>
      <c r="S1096" s="1" t="s">
        <v>34218</v>
      </c>
    </row>
    <row r="1097" spans="1:19" x14ac:dyDescent="0.25">
      <c r="A1097">
        <v>100815307</v>
      </c>
      <c r="B1097" t="s">
        <v>3431</v>
      </c>
      <c r="C1097" t="s">
        <v>3432</v>
      </c>
      <c r="F1097" t="str">
        <f>"8016744482"</f>
        <v>8016744482</v>
      </c>
      <c r="G1097" t="s">
        <v>3433</v>
      </c>
      <c r="H1097" t="s">
        <v>3434</v>
      </c>
      <c r="I1097" t="s">
        <v>332</v>
      </c>
      <c r="J1097">
        <v>84040</v>
      </c>
      <c r="K1097">
        <v>7547</v>
      </c>
      <c r="L1097" t="s">
        <v>23</v>
      </c>
      <c r="M1097" t="s">
        <v>3433</v>
      </c>
      <c r="N1097" t="s">
        <v>3434</v>
      </c>
      <c r="O1097" t="s">
        <v>332</v>
      </c>
      <c r="P1097">
        <v>84040</v>
      </c>
      <c r="Q1097">
        <v>7547</v>
      </c>
      <c r="R1097" t="s">
        <v>23</v>
      </c>
      <c r="S1097" s="1" t="s">
        <v>34218</v>
      </c>
    </row>
    <row r="1098" spans="1:19" x14ac:dyDescent="0.25">
      <c r="A1098">
        <v>100729000</v>
      </c>
      <c r="B1098" t="s">
        <v>3435</v>
      </c>
      <c r="C1098" t="s">
        <v>49</v>
      </c>
      <c r="F1098" t="str">
        <f>"8605217270"</f>
        <v>8605217270</v>
      </c>
      <c r="G1098" t="s">
        <v>3436</v>
      </c>
      <c r="H1098" t="s">
        <v>3437</v>
      </c>
      <c r="I1098" t="s">
        <v>161</v>
      </c>
      <c r="J1098">
        <v>6107</v>
      </c>
      <c r="K1098">
        <v>3504</v>
      </c>
      <c r="L1098" t="s">
        <v>23</v>
      </c>
      <c r="M1098" t="s">
        <v>3436</v>
      </c>
      <c r="N1098" t="s">
        <v>3437</v>
      </c>
      <c r="O1098" t="s">
        <v>161</v>
      </c>
      <c r="P1098">
        <v>6107</v>
      </c>
      <c r="Q1098">
        <v>3504</v>
      </c>
      <c r="R1098" t="s">
        <v>23</v>
      </c>
      <c r="S1098" s="1" t="s">
        <v>34218</v>
      </c>
    </row>
    <row r="1099" spans="1:19" x14ac:dyDescent="0.25">
      <c r="A1099">
        <v>100919486</v>
      </c>
      <c r="B1099" t="s">
        <v>3438</v>
      </c>
      <c r="C1099" t="s">
        <v>403</v>
      </c>
      <c r="F1099" t="str">
        <f>"5084812273"</f>
        <v>5084812273</v>
      </c>
      <c r="G1099" t="s">
        <v>3439</v>
      </c>
      <c r="H1099" t="s">
        <v>3440</v>
      </c>
      <c r="I1099" t="s">
        <v>236</v>
      </c>
      <c r="J1099">
        <v>1752</v>
      </c>
      <c r="K1099">
        <v>7223</v>
      </c>
      <c r="L1099" t="s">
        <v>23</v>
      </c>
      <c r="M1099" t="s">
        <v>3439</v>
      </c>
      <c r="N1099" t="s">
        <v>3440</v>
      </c>
      <c r="O1099" t="s">
        <v>236</v>
      </c>
      <c r="P1099">
        <v>1752</v>
      </c>
      <c r="Q1099">
        <v>7223</v>
      </c>
      <c r="R1099" t="s">
        <v>23</v>
      </c>
      <c r="S1099" s="1" t="s">
        <v>34218</v>
      </c>
    </row>
    <row r="1100" spans="1:19" x14ac:dyDescent="0.25">
      <c r="A1100">
        <v>100934778</v>
      </c>
      <c r="B1100" t="s">
        <v>3441</v>
      </c>
      <c r="C1100" t="s">
        <v>3442</v>
      </c>
      <c r="F1100" t="str">
        <f>"9146313590"</f>
        <v>9146313590</v>
      </c>
      <c r="G1100" t="s">
        <v>3443</v>
      </c>
      <c r="H1100" t="s">
        <v>3444</v>
      </c>
      <c r="I1100" t="s">
        <v>117</v>
      </c>
      <c r="J1100">
        <v>10566</v>
      </c>
      <c r="K1100">
        <v>2545</v>
      </c>
      <c r="L1100" t="s">
        <v>23</v>
      </c>
      <c r="M1100" t="s">
        <v>3443</v>
      </c>
      <c r="N1100" t="s">
        <v>3444</v>
      </c>
      <c r="O1100" t="s">
        <v>117</v>
      </c>
      <c r="P1100">
        <v>10566</v>
      </c>
      <c r="Q1100">
        <v>2545</v>
      </c>
      <c r="R1100" t="s">
        <v>23</v>
      </c>
      <c r="S1100" s="1" t="s">
        <v>34218</v>
      </c>
    </row>
    <row r="1101" spans="1:19" x14ac:dyDescent="0.25">
      <c r="A1101">
        <v>100935840</v>
      </c>
      <c r="B1101" t="s">
        <v>3445</v>
      </c>
      <c r="C1101" t="s">
        <v>1703</v>
      </c>
      <c r="F1101" t="str">
        <f>"4158171555"</f>
        <v>4158171555</v>
      </c>
      <c r="G1101" t="s">
        <v>3446</v>
      </c>
      <c r="H1101" t="s">
        <v>130</v>
      </c>
      <c r="I1101" t="s">
        <v>22</v>
      </c>
      <c r="J1101">
        <v>94107</v>
      </c>
      <c r="K1101">
        <v>4106</v>
      </c>
      <c r="L1101" t="s">
        <v>23</v>
      </c>
      <c r="M1101" t="s">
        <v>3446</v>
      </c>
      <c r="N1101" t="s">
        <v>130</v>
      </c>
      <c r="O1101" t="s">
        <v>22</v>
      </c>
      <c r="P1101">
        <v>94107</v>
      </c>
      <c r="Q1101">
        <v>4106</v>
      </c>
      <c r="R1101" t="s">
        <v>23</v>
      </c>
      <c r="S1101" s="1" t="s">
        <v>34218</v>
      </c>
    </row>
    <row r="1102" spans="1:19" x14ac:dyDescent="0.25">
      <c r="A1102">
        <v>100585439</v>
      </c>
      <c r="B1102" t="s">
        <v>3447</v>
      </c>
      <c r="C1102" t="s">
        <v>1069</v>
      </c>
      <c r="F1102" t="str">
        <f>"9142319206"</f>
        <v>9142319206</v>
      </c>
      <c r="G1102" t="s">
        <v>3448</v>
      </c>
      <c r="H1102" t="s">
        <v>3449</v>
      </c>
      <c r="I1102" t="s">
        <v>117</v>
      </c>
      <c r="J1102">
        <v>12401</v>
      </c>
      <c r="L1102" t="s">
        <v>23</v>
      </c>
      <c r="M1102" t="s">
        <v>3448</v>
      </c>
      <c r="N1102" t="s">
        <v>3449</v>
      </c>
      <c r="O1102" t="s">
        <v>117</v>
      </c>
      <c r="P1102">
        <v>12401</v>
      </c>
      <c r="R1102" t="s">
        <v>23</v>
      </c>
      <c r="S1102" s="1" t="s">
        <v>34218</v>
      </c>
    </row>
    <row r="1103" spans="1:19" x14ac:dyDescent="0.25">
      <c r="A1103">
        <v>100541964</v>
      </c>
      <c r="B1103" t="s">
        <v>3450</v>
      </c>
      <c r="C1103" t="s">
        <v>180</v>
      </c>
      <c r="F1103" t="str">
        <f>"7042368609"</f>
        <v>7042368609</v>
      </c>
      <c r="G1103" t="s">
        <v>3451</v>
      </c>
      <c r="H1103" t="s">
        <v>1086</v>
      </c>
      <c r="I1103" t="s">
        <v>446</v>
      </c>
      <c r="J1103">
        <v>28205</v>
      </c>
      <c r="K1103">
        <v>8312</v>
      </c>
      <c r="L1103" t="s">
        <v>23</v>
      </c>
      <c r="M1103" t="s">
        <v>3451</v>
      </c>
      <c r="N1103" t="s">
        <v>1086</v>
      </c>
      <c r="O1103" t="s">
        <v>446</v>
      </c>
      <c r="P1103">
        <v>28205</v>
      </c>
      <c r="Q1103">
        <v>8312</v>
      </c>
      <c r="R1103" t="s">
        <v>23</v>
      </c>
      <c r="S1103" s="1" t="s">
        <v>34218</v>
      </c>
    </row>
    <row r="1104" spans="1:19" x14ac:dyDescent="0.25">
      <c r="A1104">
        <v>100743193</v>
      </c>
      <c r="B1104" t="s">
        <v>3452</v>
      </c>
      <c r="C1104" t="s">
        <v>3453</v>
      </c>
      <c r="F1104" t="str">
        <f>"2539062727"</f>
        <v>2539062727</v>
      </c>
      <c r="G1104" t="s">
        <v>3454</v>
      </c>
      <c r="H1104" t="s">
        <v>3455</v>
      </c>
      <c r="I1104" t="s">
        <v>84</v>
      </c>
      <c r="J1104">
        <v>98366</v>
      </c>
      <c r="K1104">
        <v>8929</v>
      </c>
      <c r="L1104" t="s">
        <v>23</v>
      </c>
      <c r="M1104" t="s">
        <v>3454</v>
      </c>
      <c r="N1104" t="s">
        <v>3455</v>
      </c>
      <c r="O1104" t="s">
        <v>84</v>
      </c>
      <c r="P1104">
        <v>98366</v>
      </c>
      <c r="Q1104">
        <v>8929</v>
      </c>
      <c r="R1104" t="s">
        <v>23</v>
      </c>
      <c r="S1104" s="1" t="s">
        <v>34218</v>
      </c>
    </row>
    <row r="1105" spans="1:19" x14ac:dyDescent="0.25">
      <c r="A1105">
        <v>100944540</v>
      </c>
      <c r="B1105" t="s">
        <v>1710</v>
      </c>
      <c r="C1105" t="s">
        <v>313</v>
      </c>
      <c r="F1105" t="str">
        <f>"7076423477"</f>
        <v>7076423477</v>
      </c>
      <c r="G1105" t="s">
        <v>3456</v>
      </c>
      <c r="H1105" t="s">
        <v>1766</v>
      </c>
      <c r="I1105" t="s">
        <v>22</v>
      </c>
      <c r="J1105">
        <v>94590</v>
      </c>
      <c r="K1105">
        <v>3943</v>
      </c>
      <c r="L1105" t="s">
        <v>23</v>
      </c>
      <c r="M1105" t="s">
        <v>3456</v>
      </c>
      <c r="N1105" t="s">
        <v>1766</v>
      </c>
      <c r="O1105" t="s">
        <v>22</v>
      </c>
      <c r="P1105">
        <v>94590</v>
      </c>
      <c r="Q1105">
        <v>3943</v>
      </c>
      <c r="R1105" t="s">
        <v>23</v>
      </c>
      <c r="S1105" s="1" t="s">
        <v>34218</v>
      </c>
    </row>
    <row r="1106" spans="1:19" x14ac:dyDescent="0.25">
      <c r="A1106">
        <v>100556950</v>
      </c>
      <c r="B1106" t="s">
        <v>3457</v>
      </c>
      <c r="C1106" t="s">
        <v>2547</v>
      </c>
      <c r="F1106" t="str">
        <f>"8564285621"</f>
        <v>8564285621</v>
      </c>
      <c r="G1106" t="s">
        <v>3458</v>
      </c>
      <c r="H1106" t="s">
        <v>909</v>
      </c>
      <c r="I1106" t="s">
        <v>250</v>
      </c>
      <c r="J1106">
        <v>8003</v>
      </c>
      <c r="K1106">
        <v>2716</v>
      </c>
      <c r="L1106" t="s">
        <v>23</v>
      </c>
      <c r="M1106" t="s">
        <v>3458</v>
      </c>
      <c r="N1106" t="s">
        <v>909</v>
      </c>
      <c r="O1106" t="s">
        <v>250</v>
      </c>
      <c r="P1106">
        <v>8003</v>
      </c>
      <c r="Q1106">
        <v>2716</v>
      </c>
      <c r="R1106" t="s">
        <v>23</v>
      </c>
      <c r="S1106" s="1" t="s">
        <v>34218</v>
      </c>
    </row>
    <row r="1107" spans="1:19" x14ac:dyDescent="0.25">
      <c r="A1107">
        <v>100562275</v>
      </c>
      <c r="B1107" t="s">
        <v>3459</v>
      </c>
      <c r="C1107" t="s">
        <v>3460</v>
      </c>
      <c r="F1107" t="str">
        <f>"2157537003"</f>
        <v>2157537003</v>
      </c>
      <c r="G1107" t="s">
        <v>3461</v>
      </c>
      <c r="H1107" t="s">
        <v>573</v>
      </c>
      <c r="I1107" t="s">
        <v>33</v>
      </c>
      <c r="J1107">
        <v>19119</v>
      </c>
      <c r="K1107">
        <v>2923</v>
      </c>
      <c r="L1107" t="s">
        <v>23</v>
      </c>
      <c r="M1107" t="s">
        <v>3461</v>
      </c>
      <c r="N1107" t="s">
        <v>573</v>
      </c>
      <c r="O1107" t="s">
        <v>33</v>
      </c>
      <c r="P1107">
        <v>19119</v>
      </c>
      <c r="Q1107">
        <v>2923</v>
      </c>
      <c r="R1107" t="s">
        <v>23</v>
      </c>
      <c r="S1107" s="1" t="s">
        <v>34218</v>
      </c>
    </row>
    <row r="1108" spans="1:19" x14ac:dyDescent="0.25">
      <c r="A1108">
        <v>100771745</v>
      </c>
      <c r="B1108" t="s">
        <v>3462</v>
      </c>
      <c r="C1108" t="s">
        <v>2159</v>
      </c>
      <c r="F1108" t="str">
        <f>"4257396184"</f>
        <v>4257396184</v>
      </c>
      <c r="G1108" t="s">
        <v>3463</v>
      </c>
      <c r="H1108" t="s">
        <v>1019</v>
      </c>
      <c r="I1108" t="s">
        <v>84</v>
      </c>
      <c r="J1108">
        <v>98033</v>
      </c>
      <c r="K1108">
        <v>5533</v>
      </c>
      <c r="L1108" t="s">
        <v>23</v>
      </c>
      <c r="M1108" t="s">
        <v>3463</v>
      </c>
      <c r="N1108" t="s">
        <v>1019</v>
      </c>
      <c r="O1108" t="s">
        <v>84</v>
      </c>
      <c r="P1108">
        <v>98033</v>
      </c>
      <c r="Q1108">
        <v>5533</v>
      </c>
      <c r="R1108" t="s">
        <v>23</v>
      </c>
      <c r="S1108" s="1" t="s">
        <v>34218</v>
      </c>
    </row>
    <row r="1109" spans="1:19" x14ac:dyDescent="0.25">
      <c r="A1109">
        <v>100783779</v>
      </c>
      <c r="B1109" t="s">
        <v>3464</v>
      </c>
      <c r="C1109" t="s">
        <v>382</v>
      </c>
      <c r="F1109" t="str">
        <f>"8042337313"</f>
        <v>8042337313</v>
      </c>
      <c r="G1109" t="s">
        <v>3465</v>
      </c>
      <c r="H1109" t="s">
        <v>3466</v>
      </c>
      <c r="I1109" t="s">
        <v>255</v>
      </c>
      <c r="J1109">
        <v>23225</v>
      </c>
      <c r="K1109">
        <v>4748</v>
      </c>
      <c r="L1109" t="s">
        <v>23</v>
      </c>
      <c r="M1109" t="s">
        <v>3465</v>
      </c>
      <c r="N1109" t="s">
        <v>3466</v>
      </c>
      <c r="O1109" t="s">
        <v>255</v>
      </c>
      <c r="P1109">
        <v>23225</v>
      </c>
      <c r="Q1109">
        <v>4748</v>
      </c>
      <c r="R1109" t="s">
        <v>23</v>
      </c>
      <c r="S1109" s="1" t="s">
        <v>34218</v>
      </c>
    </row>
    <row r="1110" spans="1:19" x14ac:dyDescent="0.25">
      <c r="A1110">
        <v>100972724</v>
      </c>
      <c r="B1110" t="s">
        <v>3467</v>
      </c>
      <c r="C1110" t="s">
        <v>3468</v>
      </c>
      <c r="F1110" t="str">
        <f>"6122376613"</f>
        <v>6122376613</v>
      </c>
      <c r="G1110" t="s">
        <v>3469</v>
      </c>
      <c r="H1110" t="s">
        <v>3470</v>
      </c>
      <c r="I1110" t="s">
        <v>187</v>
      </c>
      <c r="J1110">
        <v>55346</v>
      </c>
      <c r="K1110">
        <v>1419</v>
      </c>
      <c r="L1110" t="s">
        <v>23</v>
      </c>
      <c r="M1110" t="s">
        <v>3469</v>
      </c>
      <c r="N1110" t="s">
        <v>3470</v>
      </c>
      <c r="O1110" t="s">
        <v>187</v>
      </c>
      <c r="P1110">
        <v>55346</v>
      </c>
      <c r="Q1110">
        <v>1419</v>
      </c>
      <c r="R1110" t="s">
        <v>23</v>
      </c>
      <c r="S1110" s="1" t="s">
        <v>34218</v>
      </c>
    </row>
    <row r="1111" spans="1:19" x14ac:dyDescent="0.25">
      <c r="A1111">
        <v>100576218</v>
      </c>
      <c r="B1111" t="s">
        <v>3471</v>
      </c>
      <c r="C1111" t="s">
        <v>1050</v>
      </c>
      <c r="F1111" t="str">
        <f>"6035551212"</f>
        <v>6035551212</v>
      </c>
      <c r="G1111" t="s">
        <v>3472</v>
      </c>
      <c r="H1111" t="s">
        <v>3473</v>
      </c>
      <c r="I1111" t="s">
        <v>353</v>
      </c>
      <c r="J1111">
        <v>3103</v>
      </c>
      <c r="K1111">
        <v>3125</v>
      </c>
      <c r="L1111" t="s">
        <v>23</v>
      </c>
      <c r="M1111" t="s">
        <v>3472</v>
      </c>
      <c r="N1111" t="s">
        <v>3473</v>
      </c>
      <c r="O1111" t="s">
        <v>353</v>
      </c>
      <c r="P1111">
        <v>3103</v>
      </c>
      <c r="Q1111">
        <v>3125</v>
      </c>
      <c r="R1111" t="s">
        <v>23</v>
      </c>
      <c r="S1111" s="1" t="s">
        <v>34218</v>
      </c>
    </row>
    <row r="1112" spans="1:19" x14ac:dyDescent="0.25">
      <c r="A1112">
        <v>100585215</v>
      </c>
      <c r="B1112" t="s">
        <v>2457</v>
      </c>
      <c r="C1112" t="s">
        <v>3474</v>
      </c>
      <c r="F1112" t="str">
        <f>"2122545543"</f>
        <v>2122545543</v>
      </c>
      <c r="G1112" t="s">
        <v>3475</v>
      </c>
      <c r="H1112" t="s">
        <v>653</v>
      </c>
      <c r="I1112" t="s">
        <v>117</v>
      </c>
      <c r="J1112">
        <v>10003</v>
      </c>
      <c r="K1112">
        <v>5918</v>
      </c>
      <c r="L1112" t="s">
        <v>23</v>
      </c>
      <c r="M1112" t="s">
        <v>3475</v>
      </c>
      <c r="N1112" t="s">
        <v>653</v>
      </c>
      <c r="O1112" t="s">
        <v>117</v>
      </c>
      <c r="P1112">
        <v>10003</v>
      </c>
      <c r="Q1112">
        <v>5918</v>
      </c>
      <c r="R1112" t="s">
        <v>23</v>
      </c>
      <c r="S1112" s="1" t="s">
        <v>34218</v>
      </c>
    </row>
    <row r="1113" spans="1:19" x14ac:dyDescent="0.25">
      <c r="A1113">
        <v>100801530</v>
      </c>
      <c r="B1113" t="s">
        <v>3476</v>
      </c>
      <c r="C1113" t="s">
        <v>846</v>
      </c>
      <c r="F1113" t="str">
        <f>"4158211005"</f>
        <v>4158211005</v>
      </c>
      <c r="G1113" t="s">
        <v>3477</v>
      </c>
      <c r="H1113" t="s">
        <v>130</v>
      </c>
      <c r="I1113" t="s">
        <v>22</v>
      </c>
      <c r="J1113">
        <v>94107</v>
      </c>
      <c r="K1113">
        <v>4912</v>
      </c>
      <c r="L1113" t="s">
        <v>23</v>
      </c>
      <c r="M1113" t="s">
        <v>3477</v>
      </c>
      <c r="N1113" t="s">
        <v>130</v>
      </c>
      <c r="O1113" t="s">
        <v>22</v>
      </c>
      <c r="P1113">
        <v>94107</v>
      </c>
      <c r="Q1113">
        <v>4912</v>
      </c>
      <c r="R1113" t="s">
        <v>23</v>
      </c>
      <c r="S1113" s="1" t="s">
        <v>34218</v>
      </c>
    </row>
    <row r="1114" spans="1:19" x14ac:dyDescent="0.25">
      <c r="A1114">
        <v>101019541</v>
      </c>
      <c r="B1114" t="s">
        <v>2459</v>
      </c>
      <c r="C1114" t="s">
        <v>102</v>
      </c>
      <c r="F1114" t="str">
        <f>"4806412820"</f>
        <v>4806412820</v>
      </c>
      <c r="G1114" t="s">
        <v>3478</v>
      </c>
      <c r="H1114" t="s">
        <v>625</v>
      </c>
      <c r="I1114" t="s">
        <v>365</v>
      </c>
      <c r="J1114">
        <v>85208</v>
      </c>
      <c r="K1114">
        <v>1250</v>
      </c>
      <c r="L1114" t="s">
        <v>23</v>
      </c>
      <c r="M1114" t="s">
        <v>3478</v>
      </c>
      <c r="N1114" t="s">
        <v>625</v>
      </c>
      <c r="O1114" t="s">
        <v>365</v>
      </c>
      <c r="P1114">
        <v>85208</v>
      </c>
      <c r="Q1114">
        <v>1250</v>
      </c>
      <c r="R1114" t="s">
        <v>23</v>
      </c>
      <c r="S1114" s="1" t="s">
        <v>34218</v>
      </c>
    </row>
    <row r="1115" spans="1:19" x14ac:dyDescent="0.25">
      <c r="A1115">
        <v>101018629</v>
      </c>
      <c r="B1115" t="s">
        <v>3479</v>
      </c>
      <c r="C1115" t="s">
        <v>1036</v>
      </c>
      <c r="F1115" t="str">
        <f>"2319290871"</f>
        <v>2319290871</v>
      </c>
      <c r="G1115" t="s">
        <v>3480</v>
      </c>
      <c r="H1115" t="s">
        <v>3481</v>
      </c>
      <c r="I1115" t="s">
        <v>140</v>
      </c>
      <c r="J1115">
        <v>49684</v>
      </c>
      <c r="K1115">
        <v>2409</v>
      </c>
      <c r="L1115" t="s">
        <v>23</v>
      </c>
      <c r="M1115" t="s">
        <v>3480</v>
      </c>
      <c r="N1115" t="s">
        <v>3481</v>
      </c>
      <c r="O1115" t="s">
        <v>140</v>
      </c>
      <c r="P1115">
        <v>49684</v>
      </c>
      <c r="Q1115">
        <v>2409</v>
      </c>
      <c r="R1115" t="s">
        <v>23</v>
      </c>
      <c r="S1115" s="1" t="s">
        <v>34218</v>
      </c>
    </row>
    <row r="1116" spans="1:19" x14ac:dyDescent="0.25">
      <c r="A1116">
        <v>101053989</v>
      </c>
      <c r="B1116" t="s">
        <v>3482</v>
      </c>
      <c r="C1116" t="s">
        <v>3483</v>
      </c>
      <c r="F1116" t="str">
        <f>"4239463319"</f>
        <v>4239463319</v>
      </c>
      <c r="G1116" t="s">
        <v>3484</v>
      </c>
      <c r="H1116" t="s">
        <v>3485</v>
      </c>
      <c r="I1116" t="s">
        <v>914</v>
      </c>
      <c r="J1116">
        <v>37604</v>
      </c>
      <c r="K1116">
        <v>3501</v>
      </c>
      <c r="L1116" t="s">
        <v>23</v>
      </c>
      <c r="M1116" t="s">
        <v>3484</v>
      </c>
      <c r="N1116" t="s">
        <v>3485</v>
      </c>
      <c r="O1116" t="s">
        <v>914</v>
      </c>
      <c r="P1116">
        <v>37604</v>
      </c>
      <c r="Q1116">
        <v>3501</v>
      </c>
      <c r="R1116" t="s">
        <v>23</v>
      </c>
      <c r="S1116" s="1" t="s">
        <v>34218</v>
      </c>
    </row>
    <row r="1117" spans="1:19" x14ac:dyDescent="0.25">
      <c r="A1117">
        <v>101053116</v>
      </c>
      <c r="B1117" t="s">
        <v>3486</v>
      </c>
      <c r="C1117" t="s">
        <v>3487</v>
      </c>
      <c r="F1117" t="str">
        <f>"4807047528"</f>
        <v>4807047528</v>
      </c>
      <c r="G1117" t="s">
        <v>3488</v>
      </c>
      <c r="H1117" t="s">
        <v>682</v>
      </c>
      <c r="I1117" t="s">
        <v>365</v>
      </c>
      <c r="J1117">
        <v>85044</v>
      </c>
      <c r="K1117">
        <v>6870</v>
      </c>
      <c r="L1117" t="s">
        <v>23</v>
      </c>
      <c r="M1117" t="s">
        <v>3488</v>
      </c>
      <c r="N1117" t="s">
        <v>682</v>
      </c>
      <c r="O1117" t="s">
        <v>365</v>
      </c>
      <c r="P1117">
        <v>85044</v>
      </c>
      <c r="Q1117">
        <v>6870</v>
      </c>
      <c r="R1117" t="s">
        <v>23</v>
      </c>
      <c r="S1117" s="1" t="s">
        <v>34218</v>
      </c>
    </row>
    <row r="1118" spans="1:19" x14ac:dyDescent="0.25">
      <c r="A1118">
        <v>100854009</v>
      </c>
      <c r="B1118" t="s">
        <v>247</v>
      </c>
      <c r="C1118" t="s">
        <v>1533</v>
      </c>
      <c r="F1118" t="str">
        <f>"5076509678"</f>
        <v>5076509678</v>
      </c>
      <c r="G1118" t="s">
        <v>3489</v>
      </c>
      <c r="H1118" t="s">
        <v>3490</v>
      </c>
      <c r="I1118" t="s">
        <v>187</v>
      </c>
      <c r="J1118">
        <v>55118</v>
      </c>
      <c r="K1118">
        <v>2243</v>
      </c>
      <c r="L1118" t="s">
        <v>23</v>
      </c>
      <c r="M1118" t="s">
        <v>3489</v>
      </c>
      <c r="N1118" t="s">
        <v>3490</v>
      </c>
      <c r="O1118" t="s">
        <v>187</v>
      </c>
      <c r="P1118">
        <v>55118</v>
      </c>
      <c r="Q1118">
        <v>2243</v>
      </c>
      <c r="R1118" t="s">
        <v>23</v>
      </c>
      <c r="S1118" s="1" t="s">
        <v>34218</v>
      </c>
    </row>
    <row r="1119" spans="1:19" x14ac:dyDescent="0.25">
      <c r="A1119">
        <v>101085762</v>
      </c>
      <c r="B1119" t="s">
        <v>3491</v>
      </c>
      <c r="C1119" t="s">
        <v>110</v>
      </c>
      <c r="F1119" t="str">
        <f>"4156024451"</f>
        <v>4156024451</v>
      </c>
      <c r="G1119" t="s">
        <v>3492</v>
      </c>
      <c r="H1119" t="s">
        <v>3493</v>
      </c>
      <c r="I1119" t="s">
        <v>22</v>
      </c>
      <c r="J1119">
        <v>94803</v>
      </c>
      <c r="K1119">
        <v>1612</v>
      </c>
      <c r="L1119" t="s">
        <v>23</v>
      </c>
      <c r="M1119" t="s">
        <v>3492</v>
      </c>
      <c r="N1119" t="s">
        <v>3493</v>
      </c>
      <c r="O1119" t="s">
        <v>22</v>
      </c>
      <c r="P1119">
        <v>94803</v>
      </c>
      <c r="Q1119">
        <v>1612</v>
      </c>
      <c r="R1119" t="s">
        <v>23</v>
      </c>
      <c r="S1119" s="1" t="s">
        <v>34218</v>
      </c>
    </row>
    <row r="1120" spans="1:19" x14ac:dyDescent="0.25">
      <c r="A1120">
        <v>101092020</v>
      </c>
      <c r="B1120" t="s">
        <v>3494</v>
      </c>
      <c r="C1120" t="s">
        <v>1124</v>
      </c>
      <c r="F1120" t="str">
        <f>"4806619079"</f>
        <v>4806619079</v>
      </c>
      <c r="G1120" t="s">
        <v>3495</v>
      </c>
      <c r="H1120" t="s">
        <v>471</v>
      </c>
      <c r="I1120" t="s">
        <v>365</v>
      </c>
      <c r="J1120">
        <v>85259</v>
      </c>
      <c r="K1120">
        <v>3992</v>
      </c>
      <c r="L1120" t="s">
        <v>23</v>
      </c>
      <c r="M1120" t="s">
        <v>3495</v>
      </c>
      <c r="N1120" t="s">
        <v>471</v>
      </c>
      <c r="O1120" t="s">
        <v>365</v>
      </c>
      <c r="P1120">
        <v>85259</v>
      </c>
      <c r="Q1120">
        <v>3992</v>
      </c>
      <c r="R1120" t="s">
        <v>23</v>
      </c>
      <c r="S1120" s="1" t="s">
        <v>34218</v>
      </c>
    </row>
    <row r="1121" spans="1:19" x14ac:dyDescent="0.25">
      <c r="A1121">
        <v>101096562</v>
      </c>
      <c r="B1121" t="s">
        <v>3496</v>
      </c>
      <c r="C1121" t="s">
        <v>274</v>
      </c>
      <c r="F1121" t="str">
        <f>"5417531075"</f>
        <v>5417531075</v>
      </c>
      <c r="G1121" t="s">
        <v>3497</v>
      </c>
      <c r="H1121" t="s">
        <v>3498</v>
      </c>
      <c r="I1121" t="s">
        <v>43</v>
      </c>
      <c r="J1121">
        <v>97333</v>
      </c>
      <c r="K1121">
        <v>3110</v>
      </c>
      <c r="L1121" t="s">
        <v>23</v>
      </c>
      <c r="M1121" t="s">
        <v>3497</v>
      </c>
      <c r="N1121" t="s">
        <v>3498</v>
      </c>
      <c r="O1121" t="s">
        <v>43</v>
      </c>
      <c r="P1121">
        <v>97333</v>
      </c>
      <c r="Q1121">
        <v>3110</v>
      </c>
      <c r="R1121" t="s">
        <v>23</v>
      </c>
      <c r="S1121" s="1" t="s">
        <v>34218</v>
      </c>
    </row>
    <row r="1122" spans="1:19" x14ac:dyDescent="0.25">
      <c r="A1122">
        <v>100580325</v>
      </c>
      <c r="B1122" t="s">
        <v>3499</v>
      </c>
      <c r="C1122" t="s">
        <v>54</v>
      </c>
      <c r="F1122" t="str">
        <f>"6517398207"</f>
        <v>6517398207</v>
      </c>
      <c r="G1122" t="s">
        <v>3500</v>
      </c>
      <c r="H1122" t="s">
        <v>2878</v>
      </c>
      <c r="I1122" t="s">
        <v>187</v>
      </c>
      <c r="J1122">
        <v>55125</v>
      </c>
      <c r="K1122">
        <v>9291</v>
      </c>
      <c r="L1122" t="s">
        <v>23</v>
      </c>
      <c r="M1122" t="s">
        <v>3500</v>
      </c>
      <c r="N1122" t="s">
        <v>2878</v>
      </c>
      <c r="O1122" t="s">
        <v>187</v>
      </c>
      <c r="P1122">
        <v>55125</v>
      </c>
      <c r="Q1122">
        <v>9291</v>
      </c>
      <c r="R1122" t="s">
        <v>23</v>
      </c>
      <c r="S1122" s="1" t="s">
        <v>34218</v>
      </c>
    </row>
    <row r="1123" spans="1:19" x14ac:dyDescent="0.25">
      <c r="A1123">
        <v>100585064</v>
      </c>
      <c r="B1123" t="s">
        <v>3501</v>
      </c>
      <c r="C1123" t="s">
        <v>575</v>
      </c>
      <c r="F1123" t="str">
        <f>"4253221984"</f>
        <v>4253221984</v>
      </c>
      <c r="G1123" t="s">
        <v>3502</v>
      </c>
      <c r="H1123" t="s">
        <v>1748</v>
      </c>
      <c r="I1123" t="s">
        <v>84</v>
      </c>
      <c r="J1123">
        <v>98223</v>
      </c>
      <c r="K1123">
        <v>9413</v>
      </c>
      <c r="L1123" t="s">
        <v>23</v>
      </c>
      <c r="M1123" t="s">
        <v>3502</v>
      </c>
      <c r="N1123" t="s">
        <v>1748</v>
      </c>
      <c r="O1123" t="s">
        <v>84</v>
      </c>
      <c r="P1123">
        <v>98223</v>
      </c>
      <c r="Q1123">
        <v>9413</v>
      </c>
      <c r="R1123" t="s">
        <v>23</v>
      </c>
      <c r="S1123" s="1" t="s">
        <v>34218</v>
      </c>
    </row>
    <row r="1124" spans="1:19" x14ac:dyDescent="0.25">
      <c r="A1124">
        <v>100597941</v>
      </c>
      <c r="B1124" t="s">
        <v>3503</v>
      </c>
      <c r="C1124" t="s">
        <v>114</v>
      </c>
      <c r="F1124" t="str">
        <f>"5705741487"</f>
        <v>5705741487</v>
      </c>
      <c r="G1124" t="s">
        <v>3504</v>
      </c>
      <c r="H1124" t="s">
        <v>3236</v>
      </c>
      <c r="I1124" t="s">
        <v>236</v>
      </c>
      <c r="J1124">
        <v>2135</v>
      </c>
      <c r="K1124">
        <v>5825</v>
      </c>
      <c r="L1124" t="s">
        <v>23</v>
      </c>
      <c r="M1124" t="s">
        <v>3504</v>
      </c>
      <c r="N1124" t="s">
        <v>3236</v>
      </c>
      <c r="O1124" t="s">
        <v>236</v>
      </c>
      <c r="P1124">
        <v>2135</v>
      </c>
      <c r="Q1124">
        <v>5825</v>
      </c>
      <c r="R1124" t="s">
        <v>23</v>
      </c>
      <c r="S1124" s="1" t="s">
        <v>34218</v>
      </c>
    </row>
    <row r="1125" spans="1:19" x14ac:dyDescent="0.25">
      <c r="A1125">
        <v>100602499</v>
      </c>
      <c r="B1125" t="s">
        <v>3505</v>
      </c>
      <c r="C1125" t="s">
        <v>1444</v>
      </c>
      <c r="F1125" t="str">
        <f>"8055704885"</f>
        <v>8055704885</v>
      </c>
      <c r="G1125" t="s">
        <v>3506</v>
      </c>
      <c r="H1125" t="s">
        <v>3507</v>
      </c>
      <c r="I1125" t="s">
        <v>22</v>
      </c>
      <c r="J1125">
        <v>93108</v>
      </c>
      <c r="K1125">
        <v>2833</v>
      </c>
      <c r="L1125" t="s">
        <v>23</v>
      </c>
      <c r="M1125" t="s">
        <v>3506</v>
      </c>
      <c r="N1125" t="s">
        <v>3507</v>
      </c>
      <c r="O1125" t="s">
        <v>22</v>
      </c>
      <c r="P1125">
        <v>93108</v>
      </c>
      <c r="Q1125">
        <v>2833</v>
      </c>
      <c r="R1125" t="s">
        <v>23</v>
      </c>
      <c r="S1125" s="1" t="s">
        <v>34218</v>
      </c>
    </row>
    <row r="1126" spans="1:19" x14ac:dyDescent="0.25">
      <c r="A1126">
        <v>100787886</v>
      </c>
      <c r="B1126" t="s">
        <v>3508</v>
      </c>
      <c r="C1126" t="s">
        <v>1588</v>
      </c>
      <c r="F1126" t="str">
        <f>"9724876965"</f>
        <v>9724876965</v>
      </c>
      <c r="G1126" t="s">
        <v>3509</v>
      </c>
      <c r="H1126" t="s">
        <v>3510</v>
      </c>
      <c r="I1126" t="s">
        <v>38</v>
      </c>
      <c r="J1126">
        <v>75042</v>
      </c>
      <c r="K1126">
        <v>5413</v>
      </c>
      <c r="L1126" t="s">
        <v>23</v>
      </c>
      <c r="M1126" t="s">
        <v>3509</v>
      </c>
      <c r="N1126" t="s">
        <v>3510</v>
      </c>
      <c r="O1126" t="s">
        <v>38</v>
      </c>
      <c r="P1126">
        <v>75042</v>
      </c>
      <c r="Q1126">
        <v>5413</v>
      </c>
      <c r="R1126" t="s">
        <v>23</v>
      </c>
      <c r="S1126" s="1" t="s">
        <v>34218</v>
      </c>
    </row>
    <row r="1127" spans="1:19" x14ac:dyDescent="0.25">
      <c r="A1127">
        <v>100801134</v>
      </c>
      <c r="B1127" t="s">
        <v>1726</v>
      </c>
      <c r="C1127" t="s">
        <v>3511</v>
      </c>
      <c r="F1127" t="str">
        <f>"7137259779"</f>
        <v>7137259779</v>
      </c>
      <c r="G1127" t="s">
        <v>3512</v>
      </c>
      <c r="H1127" t="s">
        <v>3513</v>
      </c>
      <c r="I1127" t="s">
        <v>38</v>
      </c>
      <c r="J1127">
        <v>77497</v>
      </c>
      <c r="K1127">
        <v>238</v>
      </c>
      <c r="L1127" t="s">
        <v>23</v>
      </c>
      <c r="M1127" t="s">
        <v>3512</v>
      </c>
      <c r="N1127" t="s">
        <v>3513</v>
      </c>
      <c r="O1127" t="s">
        <v>38</v>
      </c>
      <c r="P1127">
        <v>77497</v>
      </c>
      <c r="Q1127">
        <v>238</v>
      </c>
      <c r="R1127" t="s">
        <v>23</v>
      </c>
      <c r="S1127" s="1" t="s">
        <v>34218</v>
      </c>
    </row>
    <row r="1128" spans="1:19" x14ac:dyDescent="0.25">
      <c r="A1128">
        <v>100804259</v>
      </c>
      <c r="B1128" t="s">
        <v>3514</v>
      </c>
      <c r="C1128" t="s">
        <v>25</v>
      </c>
      <c r="F1128" t="str">
        <f>"8438353307"</f>
        <v>8438353307</v>
      </c>
      <c r="G1128" t="s">
        <v>3515</v>
      </c>
      <c r="H1128" t="s">
        <v>3516</v>
      </c>
      <c r="I1128" t="s">
        <v>1482</v>
      </c>
      <c r="J1128">
        <v>29474</v>
      </c>
      <c r="K1128">
        <v>4515</v>
      </c>
      <c r="L1128" t="s">
        <v>23</v>
      </c>
      <c r="M1128" t="s">
        <v>3515</v>
      </c>
      <c r="N1128" t="s">
        <v>3516</v>
      </c>
      <c r="O1128" t="s">
        <v>1482</v>
      </c>
      <c r="P1128">
        <v>29474</v>
      </c>
      <c r="Q1128">
        <v>4515</v>
      </c>
      <c r="R1128" t="s">
        <v>23</v>
      </c>
      <c r="S1128" s="1" t="s">
        <v>34218</v>
      </c>
    </row>
    <row r="1129" spans="1:19" x14ac:dyDescent="0.25">
      <c r="A1129">
        <v>100804334</v>
      </c>
      <c r="B1129" t="s">
        <v>3517</v>
      </c>
      <c r="C1129" t="s">
        <v>3518</v>
      </c>
      <c r="F1129" t="str">
        <f>"9259680489"</f>
        <v>9259680489</v>
      </c>
      <c r="G1129" t="s">
        <v>3519</v>
      </c>
      <c r="H1129" t="s">
        <v>3520</v>
      </c>
      <c r="I1129" t="s">
        <v>22</v>
      </c>
      <c r="J1129">
        <v>94582</v>
      </c>
      <c r="K1129">
        <v>9190</v>
      </c>
      <c r="L1129" t="s">
        <v>23</v>
      </c>
      <c r="M1129" t="s">
        <v>3519</v>
      </c>
      <c r="N1129" t="s">
        <v>3520</v>
      </c>
      <c r="O1129" t="s">
        <v>22</v>
      </c>
      <c r="P1129">
        <v>94582</v>
      </c>
      <c r="Q1129">
        <v>9190</v>
      </c>
      <c r="R1129" t="s">
        <v>23</v>
      </c>
      <c r="S1129" s="1" t="s">
        <v>34218</v>
      </c>
    </row>
    <row r="1130" spans="1:19" x14ac:dyDescent="0.25">
      <c r="A1130">
        <v>100635568</v>
      </c>
      <c r="B1130" t="s">
        <v>3521</v>
      </c>
      <c r="C1130" t="s">
        <v>1452</v>
      </c>
      <c r="F1130" t="str">
        <f>"3236622930"</f>
        <v>3236622930</v>
      </c>
      <c r="G1130" t="s">
        <v>3522</v>
      </c>
      <c r="H1130" t="s">
        <v>3523</v>
      </c>
      <c r="I1130" t="s">
        <v>22</v>
      </c>
      <c r="J1130">
        <v>90008</v>
      </c>
      <c r="K1130">
        <v>4821</v>
      </c>
      <c r="L1130" t="s">
        <v>23</v>
      </c>
      <c r="M1130" t="s">
        <v>3522</v>
      </c>
      <c r="N1130" t="s">
        <v>3523</v>
      </c>
      <c r="O1130" t="s">
        <v>22</v>
      </c>
      <c r="P1130">
        <v>90008</v>
      </c>
      <c r="Q1130">
        <v>4821</v>
      </c>
      <c r="R1130" t="s">
        <v>23</v>
      </c>
      <c r="S1130" s="1" t="s">
        <v>34218</v>
      </c>
    </row>
    <row r="1131" spans="1:19" x14ac:dyDescent="0.25">
      <c r="A1131">
        <v>100645991</v>
      </c>
      <c r="B1131" t="s">
        <v>497</v>
      </c>
      <c r="C1131" t="s">
        <v>1955</v>
      </c>
      <c r="F1131" t="str">
        <f>"5302461781"</f>
        <v>5302461781</v>
      </c>
      <c r="G1131" t="s">
        <v>3524</v>
      </c>
      <c r="H1131" t="s">
        <v>3525</v>
      </c>
      <c r="I1131" t="s">
        <v>22</v>
      </c>
      <c r="J1131">
        <v>96001</v>
      </c>
      <c r="K1131">
        <v>4347</v>
      </c>
      <c r="L1131" t="s">
        <v>23</v>
      </c>
      <c r="M1131" t="s">
        <v>3524</v>
      </c>
      <c r="N1131" t="s">
        <v>3525</v>
      </c>
      <c r="O1131" t="s">
        <v>22</v>
      </c>
      <c r="P1131">
        <v>96001</v>
      </c>
      <c r="Q1131">
        <v>4347</v>
      </c>
      <c r="R1131" t="s">
        <v>23</v>
      </c>
      <c r="S1131" s="1" t="s">
        <v>34218</v>
      </c>
    </row>
    <row r="1132" spans="1:19" x14ac:dyDescent="0.25">
      <c r="A1132">
        <v>100861269</v>
      </c>
      <c r="B1132" t="s">
        <v>3526</v>
      </c>
      <c r="C1132" t="s">
        <v>1773</v>
      </c>
      <c r="F1132" t="str">
        <f>"6168875393"</f>
        <v>6168875393</v>
      </c>
      <c r="G1132" t="s">
        <v>3527</v>
      </c>
      <c r="H1132" t="s">
        <v>3528</v>
      </c>
      <c r="I1132" t="s">
        <v>140</v>
      </c>
      <c r="J1132">
        <v>49321</v>
      </c>
      <c r="K1132">
        <v>9523</v>
      </c>
      <c r="L1132" t="s">
        <v>23</v>
      </c>
      <c r="M1132" t="s">
        <v>3527</v>
      </c>
      <c r="N1132" t="s">
        <v>3528</v>
      </c>
      <c r="O1132" t="s">
        <v>140</v>
      </c>
      <c r="P1132">
        <v>49321</v>
      </c>
      <c r="Q1132">
        <v>9523</v>
      </c>
      <c r="R1132" t="s">
        <v>23</v>
      </c>
      <c r="S1132" s="1" t="s">
        <v>34218</v>
      </c>
    </row>
    <row r="1133" spans="1:19" x14ac:dyDescent="0.25">
      <c r="A1133">
        <v>100715628</v>
      </c>
      <c r="B1133" t="s">
        <v>3529</v>
      </c>
      <c r="C1133" t="s">
        <v>1062</v>
      </c>
      <c r="F1133" t="str">
        <f>"9162960026"</f>
        <v>9162960026</v>
      </c>
      <c r="G1133" t="s">
        <v>3530</v>
      </c>
      <c r="H1133" t="s">
        <v>650</v>
      </c>
      <c r="I1133" t="s">
        <v>22</v>
      </c>
      <c r="J1133">
        <v>95821</v>
      </c>
      <c r="K1133">
        <v>3402</v>
      </c>
      <c r="L1133" t="s">
        <v>23</v>
      </c>
      <c r="M1133" t="s">
        <v>3530</v>
      </c>
      <c r="N1133" t="s">
        <v>650</v>
      </c>
      <c r="O1133" t="s">
        <v>22</v>
      </c>
      <c r="P1133">
        <v>95821</v>
      </c>
      <c r="Q1133">
        <v>3402</v>
      </c>
      <c r="R1133" t="s">
        <v>23</v>
      </c>
      <c r="S1133" s="1" t="s">
        <v>34218</v>
      </c>
    </row>
    <row r="1134" spans="1:19" x14ac:dyDescent="0.25">
      <c r="A1134">
        <v>100927896</v>
      </c>
      <c r="B1134" t="s">
        <v>3531</v>
      </c>
      <c r="C1134" t="s">
        <v>3532</v>
      </c>
      <c r="F1134" t="str">
        <f>"4089410785"</f>
        <v>4089410785</v>
      </c>
      <c r="G1134" t="s">
        <v>3533</v>
      </c>
      <c r="H1134" t="s">
        <v>3534</v>
      </c>
      <c r="I1134" t="s">
        <v>22</v>
      </c>
      <c r="J1134">
        <v>95035</v>
      </c>
      <c r="K1134">
        <v>3817</v>
      </c>
      <c r="L1134" t="s">
        <v>23</v>
      </c>
      <c r="M1134" t="s">
        <v>3533</v>
      </c>
      <c r="N1134" t="s">
        <v>3534</v>
      </c>
      <c r="O1134" t="s">
        <v>22</v>
      </c>
      <c r="P1134">
        <v>95035</v>
      </c>
      <c r="Q1134">
        <v>3817</v>
      </c>
      <c r="R1134" t="s">
        <v>23</v>
      </c>
      <c r="S1134" s="1" t="s">
        <v>34218</v>
      </c>
    </row>
    <row r="1135" spans="1:19" x14ac:dyDescent="0.25">
      <c r="A1135">
        <v>100556095</v>
      </c>
      <c r="B1135" t="s">
        <v>3535</v>
      </c>
      <c r="C1135" t="s">
        <v>2180</v>
      </c>
      <c r="F1135" t="str">
        <f>"4582060720"</f>
        <v>4582060720</v>
      </c>
      <c r="G1135" t="s">
        <v>3536</v>
      </c>
      <c r="H1135" t="s">
        <v>2391</v>
      </c>
      <c r="I1135" t="s">
        <v>43</v>
      </c>
      <c r="J1135">
        <v>97701</v>
      </c>
      <c r="K1135">
        <v>8279</v>
      </c>
      <c r="L1135" t="s">
        <v>23</v>
      </c>
      <c r="M1135" t="s">
        <v>3536</v>
      </c>
      <c r="N1135" t="s">
        <v>2391</v>
      </c>
      <c r="O1135" t="s">
        <v>43</v>
      </c>
      <c r="P1135">
        <v>97701</v>
      </c>
      <c r="Q1135">
        <v>8279</v>
      </c>
      <c r="R1135" t="s">
        <v>23</v>
      </c>
      <c r="S1135" s="1" t="s">
        <v>34218</v>
      </c>
    </row>
    <row r="1136" spans="1:19" x14ac:dyDescent="0.25">
      <c r="A1136">
        <v>100971012</v>
      </c>
      <c r="B1136" t="s">
        <v>3537</v>
      </c>
      <c r="C1136" t="s">
        <v>3538</v>
      </c>
      <c r="F1136" t="str">
        <f>"2158494149"</f>
        <v>2158494149</v>
      </c>
      <c r="G1136" t="s">
        <v>3539</v>
      </c>
      <c r="H1136" t="s">
        <v>573</v>
      </c>
      <c r="I1136" t="s">
        <v>33</v>
      </c>
      <c r="J1136">
        <v>19144</v>
      </c>
      <c r="K1136">
        <v>2607</v>
      </c>
      <c r="L1136" t="s">
        <v>23</v>
      </c>
      <c r="M1136" t="s">
        <v>3539</v>
      </c>
      <c r="N1136" t="s">
        <v>573</v>
      </c>
      <c r="O1136" t="s">
        <v>33</v>
      </c>
      <c r="P1136">
        <v>19144</v>
      </c>
      <c r="Q1136">
        <v>2607</v>
      </c>
      <c r="R1136" t="s">
        <v>23</v>
      </c>
      <c r="S1136" s="1" t="s">
        <v>34218</v>
      </c>
    </row>
    <row r="1137" spans="1:19" x14ac:dyDescent="0.25">
      <c r="A1137">
        <v>100880938</v>
      </c>
      <c r="B1137" t="s">
        <v>1690</v>
      </c>
      <c r="C1137" t="s">
        <v>846</v>
      </c>
      <c r="F1137" t="str">
        <f>"7812842467"</f>
        <v>7812842467</v>
      </c>
      <c r="G1137" t="s">
        <v>3540</v>
      </c>
      <c r="H1137" t="s">
        <v>235</v>
      </c>
      <c r="I1137" t="s">
        <v>236</v>
      </c>
      <c r="J1137">
        <v>2151</v>
      </c>
      <c r="K1137">
        <v>3342</v>
      </c>
      <c r="L1137" t="s">
        <v>23</v>
      </c>
      <c r="M1137" t="s">
        <v>3540</v>
      </c>
      <c r="N1137" t="s">
        <v>235</v>
      </c>
      <c r="O1137" t="s">
        <v>236</v>
      </c>
      <c r="P1137">
        <v>2151</v>
      </c>
      <c r="Q1137">
        <v>3342</v>
      </c>
      <c r="R1137" t="s">
        <v>23</v>
      </c>
      <c r="S1137" s="1" t="s">
        <v>34218</v>
      </c>
    </row>
    <row r="1138" spans="1:19" x14ac:dyDescent="0.25">
      <c r="A1138">
        <v>100890373</v>
      </c>
      <c r="B1138" t="s">
        <v>3541</v>
      </c>
      <c r="C1138" t="s">
        <v>894</v>
      </c>
      <c r="F1138" t="str">
        <f>"2125295347"</f>
        <v>2125295347</v>
      </c>
      <c r="G1138" t="s">
        <v>3542</v>
      </c>
      <c r="H1138" t="s">
        <v>653</v>
      </c>
      <c r="I1138" t="s">
        <v>117</v>
      </c>
      <c r="J1138">
        <v>10003</v>
      </c>
      <c r="K1138">
        <v>8717</v>
      </c>
      <c r="L1138" t="s">
        <v>23</v>
      </c>
      <c r="M1138" t="s">
        <v>3542</v>
      </c>
      <c r="N1138" t="s">
        <v>653</v>
      </c>
      <c r="O1138" t="s">
        <v>117</v>
      </c>
      <c r="P1138">
        <v>10003</v>
      </c>
      <c r="Q1138">
        <v>8717</v>
      </c>
      <c r="R1138" t="s">
        <v>23</v>
      </c>
      <c r="S1138" s="1" t="s">
        <v>34218</v>
      </c>
    </row>
    <row r="1139" spans="1:19" x14ac:dyDescent="0.25">
      <c r="A1139">
        <v>100903234</v>
      </c>
      <c r="B1139" t="s">
        <v>3543</v>
      </c>
      <c r="C1139" t="s">
        <v>2642</v>
      </c>
      <c r="F1139" t="str">
        <f>"3148216893"</f>
        <v>3148216893</v>
      </c>
      <c r="G1139" t="s">
        <v>3544</v>
      </c>
      <c r="H1139" t="s">
        <v>125</v>
      </c>
      <c r="I1139" t="s">
        <v>126</v>
      </c>
      <c r="J1139">
        <v>63122</v>
      </c>
      <c r="K1139">
        <v>2811</v>
      </c>
      <c r="L1139" t="s">
        <v>23</v>
      </c>
      <c r="M1139" t="s">
        <v>3544</v>
      </c>
      <c r="N1139" t="s">
        <v>125</v>
      </c>
      <c r="O1139" t="s">
        <v>126</v>
      </c>
      <c r="P1139">
        <v>63122</v>
      </c>
      <c r="Q1139">
        <v>2811</v>
      </c>
      <c r="R1139" t="s">
        <v>23</v>
      </c>
      <c r="S1139" s="1" t="s">
        <v>34218</v>
      </c>
    </row>
    <row r="1140" spans="1:19" x14ac:dyDescent="0.25">
      <c r="A1140">
        <v>101108375</v>
      </c>
      <c r="B1140" t="s">
        <v>3545</v>
      </c>
      <c r="C1140" t="s">
        <v>3546</v>
      </c>
      <c r="F1140" t="str">
        <f>"2068566620"</f>
        <v>2068566620</v>
      </c>
      <c r="G1140" t="s">
        <v>3547</v>
      </c>
      <c r="H1140" t="s">
        <v>1531</v>
      </c>
      <c r="I1140" t="s">
        <v>84</v>
      </c>
      <c r="J1140">
        <v>98101</v>
      </c>
      <c r="K1140">
        <v>1075</v>
      </c>
      <c r="L1140" t="s">
        <v>23</v>
      </c>
      <c r="M1140" t="s">
        <v>3547</v>
      </c>
      <c r="N1140" t="s">
        <v>1531</v>
      </c>
      <c r="O1140" t="s">
        <v>84</v>
      </c>
      <c r="P1140">
        <v>98101</v>
      </c>
      <c r="Q1140">
        <v>1075</v>
      </c>
      <c r="R1140" t="s">
        <v>23</v>
      </c>
      <c r="S1140" s="1" t="s">
        <v>34218</v>
      </c>
    </row>
    <row r="1141" spans="1:19" x14ac:dyDescent="0.25">
      <c r="A1141">
        <v>100941230</v>
      </c>
      <c r="B1141" t="s">
        <v>3548</v>
      </c>
      <c r="C1141" t="s">
        <v>102</v>
      </c>
      <c r="F1141" t="str">
        <f>"6467058973"</f>
        <v>6467058973</v>
      </c>
      <c r="G1141" t="s">
        <v>3549</v>
      </c>
      <c r="H1141" t="s">
        <v>653</v>
      </c>
      <c r="I1141" t="s">
        <v>117</v>
      </c>
      <c r="J1141">
        <v>10025</v>
      </c>
      <c r="K1141">
        <v>3533</v>
      </c>
      <c r="L1141" t="s">
        <v>23</v>
      </c>
      <c r="M1141" t="s">
        <v>3549</v>
      </c>
      <c r="N1141" t="s">
        <v>653</v>
      </c>
      <c r="O1141" t="s">
        <v>117</v>
      </c>
      <c r="P1141">
        <v>10025</v>
      </c>
      <c r="Q1141">
        <v>3533</v>
      </c>
      <c r="R1141" t="s">
        <v>23</v>
      </c>
      <c r="S1141" s="1" t="s">
        <v>34218</v>
      </c>
    </row>
    <row r="1142" spans="1:19" x14ac:dyDescent="0.25">
      <c r="A1142">
        <v>100961082</v>
      </c>
      <c r="B1142" t="s">
        <v>3550</v>
      </c>
      <c r="C1142" t="s">
        <v>3551</v>
      </c>
      <c r="F1142" t="str">
        <f>"8082657980"</f>
        <v>8082657980</v>
      </c>
      <c r="G1142" t="s">
        <v>3552</v>
      </c>
      <c r="H1142" t="s">
        <v>3553</v>
      </c>
      <c r="I1142" t="s">
        <v>22</v>
      </c>
      <c r="J1142">
        <v>92220</v>
      </c>
      <c r="K1142">
        <v>9667</v>
      </c>
      <c r="L1142" t="s">
        <v>23</v>
      </c>
      <c r="M1142" t="s">
        <v>3552</v>
      </c>
      <c r="N1142" t="s">
        <v>3553</v>
      </c>
      <c r="O1142" t="s">
        <v>22</v>
      </c>
      <c r="P1142">
        <v>92220</v>
      </c>
      <c r="Q1142">
        <v>9667</v>
      </c>
      <c r="R1142" t="s">
        <v>23</v>
      </c>
      <c r="S1142" s="1" t="s">
        <v>34218</v>
      </c>
    </row>
    <row r="1143" spans="1:19" x14ac:dyDescent="0.25">
      <c r="A1143">
        <v>101157949</v>
      </c>
      <c r="B1143" t="s">
        <v>3554</v>
      </c>
      <c r="C1143" t="s">
        <v>406</v>
      </c>
      <c r="F1143" t="str">
        <f>"8472892840"</f>
        <v>8472892840</v>
      </c>
      <c r="G1143" t="s">
        <v>3555</v>
      </c>
      <c r="H1143" t="s">
        <v>1803</v>
      </c>
      <c r="I1143" t="s">
        <v>135</v>
      </c>
      <c r="J1143">
        <v>60123</v>
      </c>
      <c r="K1143">
        <v>7617</v>
      </c>
      <c r="L1143" t="s">
        <v>23</v>
      </c>
      <c r="M1143" t="s">
        <v>3555</v>
      </c>
      <c r="N1143" t="s">
        <v>1803</v>
      </c>
      <c r="O1143" t="s">
        <v>135</v>
      </c>
      <c r="P1143">
        <v>60123</v>
      </c>
      <c r="Q1143">
        <v>7617</v>
      </c>
      <c r="R1143" t="s">
        <v>23</v>
      </c>
      <c r="S1143" s="1" t="s">
        <v>34218</v>
      </c>
    </row>
    <row r="1144" spans="1:19" x14ac:dyDescent="0.25">
      <c r="A1144">
        <v>101030916</v>
      </c>
      <c r="B1144" t="s">
        <v>3556</v>
      </c>
      <c r="C1144" t="s">
        <v>3557</v>
      </c>
      <c r="F1144" t="str">
        <f>"3237357329"</f>
        <v>3237357329</v>
      </c>
      <c r="G1144" t="s">
        <v>3558</v>
      </c>
      <c r="H1144" t="s">
        <v>299</v>
      </c>
      <c r="I1144" t="s">
        <v>22</v>
      </c>
      <c r="J1144">
        <v>90007</v>
      </c>
      <c r="K1144">
        <v>3104</v>
      </c>
      <c r="L1144" t="s">
        <v>23</v>
      </c>
      <c r="M1144" t="s">
        <v>3558</v>
      </c>
      <c r="N1144" t="s">
        <v>299</v>
      </c>
      <c r="O1144" t="s">
        <v>22</v>
      </c>
      <c r="P1144">
        <v>90007</v>
      </c>
      <c r="Q1144">
        <v>3104</v>
      </c>
      <c r="R1144" t="s">
        <v>23</v>
      </c>
      <c r="S1144" s="1" t="s">
        <v>34218</v>
      </c>
    </row>
    <row r="1145" spans="1:19" x14ac:dyDescent="0.25">
      <c r="A1145">
        <v>101234281</v>
      </c>
      <c r="B1145" t="s">
        <v>3559</v>
      </c>
      <c r="C1145" t="s">
        <v>2687</v>
      </c>
      <c r="F1145" t="str">
        <f>"8188308385"</f>
        <v>8188308385</v>
      </c>
      <c r="G1145" t="s">
        <v>3560</v>
      </c>
      <c r="H1145" t="s">
        <v>3561</v>
      </c>
      <c r="I1145" t="s">
        <v>22</v>
      </c>
      <c r="J1145">
        <v>91343</v>
      </c>
      <c r="K1145">
        <v>4546</v>
      </c>
      <c r="L1145" t="s">
        <v>23</v>
      </c>
      <c r="M1145" t="s">
        <v>3560</v>
      </c>
      <c r="N1145" t="s">
        <v>3561</v>
      </c>
      <c r="O1145" t="s">
        <v>22</v>
      </c>
      <c r="P1145">
        <v>91343</v>
      </c>
      <c r="Q1145">
        <v>4546</v>
      </c>
      <c r="R1145" t="s">
        <v>23</v>
      </c>
      <c r="S1145" s="1" t="s">
        <v>34218</v>
      </c>
    </row>
    <row r="1146" spans="1:19" x14ac:dyDescent="0.25">
      <c r="A1146">
        <v>101242801</v>
      </c>
      <c r="B1146" t="s">
        <v>3562</v>
      </c>
      <c r="C1146" t="s">
        <v>2173</v>
      </c>
      <c r="F1146" t="str">
        <f>"5707886222"</f>
        <v>5707886222</v>
      </c>
      <c r="G1146" t="s">
        <v>3563</v>
      </c>
      <c r="H1146" t="s">
        <v>3564</v>
      </c>
      <c r="I1146" t="s">
        <v>33</v>
      </c>
      <c r="J1146">
        <v>18222</v>
      </c>
      <c r="K1146">
        <v>1209</v>
      </c>
      <c r="L1146" t="s">
        <v>23</v>
      </c>
      <c r="M1146" t="s">
        <v>3563</v>
      </c>
      <c r="N1146" t="s">
        <v>3564</v>
      </c>
      <c r="O1146" t="s">
        <v>33</v>
      </c>
      <c r="P1146">
        <v>18222</v>
      </c>
      <c r="Q1146">
        <v>1209</v>
      </c>
      <c r="R1146" t="s">
        <v>23</v>
      </c>
      <c r="S1146" s="1" t="s">
        <v>34218</v>
      </c>
    </row>
    <row r="1147" spans="1:19" x14ac:dyDescent="0.25">
      <c r="A1147">
        <v>101242363</v>
      </c>
      <c r="B1147" t="s">
        <v>3565</v>
      </c>
      <c r="C1147" t="s">
        <v>3566</v>
      </c>
      <c r="F1147" t="str">
        <f>"2623539637"</f>
        <v>2623539637</v>
      </c>
      <c r="G1147" t="s">
        <v>3567</v>
      </c>
      <c r="H1147" t="s">
        <v>3568</v>
      </c>
      <c r="I1147" t="s">
        <v>100</v>
      </c>
      <c r="J1147">
        <v>53095</v>
      </c>
      <c r="K1147">
        <v>3209</v>
      </c>
      <c r="L1147" t="s">
        <v>23</v>
      </c>
      <c r="M1147" t="s">
        <v>3567</v>
      </c>
      <c r="N1147" t="s">
        <v>3568</v>
      </c>
      <c r="O1147" t="s">
        <v>100</v>
      </c>
      <c r="P1147">
        <v>53095</v>
      </c>
      <c r="Q1147">
        <v>3209</v>
      </c>
      <c r="R1147" t="s">
        <v>23</v>
      </c>
      <c r="S1147" s="1" t="s">
        <v>34218</v>
      </c>
    </row>
    <row r="1148" spans="1:19" x14ac:dyDescent="0.25">
      <c r="A1148">
        <v>101065197</v>
      </c>
      <c r="B1148" t="s">
        <v>3569</v>
      </c>
      <c r="C1148" t="s">
        <v>155</v>
      </c>
      <c r="F1148" t="str">
        <f>"8152378202"</f>
        <v>8152378202</v>
      </c>
      <c r="G1148" t="s">
        <v>3570</v>
      </c>
      <c r="H1148" t="s">
        <v>2376</v>
      </c>
      <c r="I1148" t="s">
        <v>135</v>
      </c>
      <c r="J1148">
        <v>60424</v>
      </c>
      <c r="K1148">
        <v>6328</v>
      </c>
      <c r="L1148" t="s">
        <v>23</v>
      </c>
      <c r="M1148" t="s">
        <v>3570</v>
      </c>
      <c r="N1148" t="s">
        <v>2376</v>
      </c>
      <c r="O1148" t="s">
        <v>135</v>
      </c>
      <c r="P1148">
        <v>60424</v>
      </c>
      <c r="Q1148">
        <v>6328</v>
      </c>
      <c r="R1148" t="s">
        <v>23</v>
      </c>
      <c r="S1148" s="1" t="s">
        <v>34218</v>
      </c>
    </row>
    <row r="1149" spans="1:19" x14ac:dyDescent="0.25">
      <c r="A1149">
        <v>101289569</v>
      </c>
      <c r="B1149" t="s">
        <v>3571</v>
      </c>
      <c r="C1149" t="s">
        <v>1309</v>
      </c>
      <c r="F1149" t="str">
        <f>"2134548536"</f>
        <v>2134548536</v>
      </c>
      <c r="G1149" t="s">
        <v>3572</v>
      </c>
      <c r="H1149" t="s">
        <v>299</v>
      </c>
      <c r="I1149" t="s">
        <v>22</v>
      </c>
      <c r="J1149">
        <v>90020</v>
      </c>
      <c r="K1149">
        <v>3003</v>
      </c>
      <c r="L1149" t="s">
        <v>23</v>
      </c>
      <c r="M1149" t="s">
        <v>3572</v>
      </c>
      <c r="N1149" t="s">
        <v>299</v>
      </c>
      <c r="O1149" t="s">
        <v>22</v>
      </c>
      <c r="P1149">
        <v>90020</v>
      </c>
      <c r="Q1149">
        <v>3003</v>
      </c>
      <c r="R1149" t="s">
        <v>23</v>
      </c>
      <c r="S1149" s="1" t="s">
        <v>34218</v>
      </c>
    </row>
    <row r="1150" spans="1:19" x14ac:dyDescent="0.25">
      <c r="A1150">
        <v>101294520</v>
      </c>
      <c r="B1150" t="s">
        <v>3573</v>
      </c>
      <c r="C1150" t="s">
        <v>2411</v>
      </c>
      <c r="F1150" t="str">
        <f>"7607494239"</f>
        <v>7607494239</v>
      </c>
      <c r="G1150" t="s">
        <v>3574</v>
      </c>
      <c r="H1150" t="s">
        <v>3575</v>
      </c>
      <c r="I1150" t="s">
        <v>22</v>
      </c>
      <c r="J1150">
        <v>92082</v>
      </c>
      <c r="K1150">
        <v>5844</v>
      </c>
      <c r="L1150" t="s">
        <v>23</v>
      </c>
      <c r="M1150" t="s">
        <v>3574</v>
      </c>
      <c r="N1150" t="s">
        <v>3575</v>
      </c>
      <c r="O1150" t="s">
        <v>22</v>
      </c>
      <c r="P1150">
        <v>92082</v>
      </c>
      <c r="Q1150">
        <v>5844</v>
      </c>
      <c r="R1150" t="s">
        <v>23</v>
      </c>
      <c r="S1150" s="1" t="s">
        <v>34218</v>
      </c>
    </row>
    <row r="1151" spans="1:19" x14ac:dyDescent="0.25">
      <c r="A1151">
        <v>101370756</v>
      </c>
      <c r="B1151" t="s">
        <v>3576</v>
      </c>
      <c r="C1151" t="s">
        <v>1223</v>
      </c>
      <c r="F1151" t="str">
        <f>"7077730220"</f>
        <v>7077730220</v>
      </c>
      <c r="G1151" t="s">
        <v>3577</v>
      </c>
      <c r="H1151" t="s">
        <v>496</v>
      </c>
      <c r="I1151" t="s">
        <v>22</v>
      </c>
      <c r="J1151">
        <v>94954</v>
      </c>
      <c r="K1151">
        <v>1429</v>
      </c>
      <c r="L1151" t="s">
        <v>23</v>
      </c>
      <c r="M1151" t="s">
        <v>3577</v>
      </c>
      <c r="N1151" t="s">
        <v>496</v>
      </c>
      <c r="O1151" t="s">
        <v>22</v>
      </c>
      <c r="P1151">
        <v>94954</v>
      </c>
      <c r="Q1151">
        <v>1429</v>
      </c>
      <c r="R1151" t="s">
        <v>23</v>
      </c>
      <c r="S1151" s="1" t="s">
        <v>34218</v>
      </c>
    </row>
    <row r="1152" spans="1:19" x14ac:dyDescent="0.25">
      <c r="A1152">
        <v>100980123</v>
      </c>
      <c r="B1152" t="s">
        <v>3578</v>
      </c>
      <c r="C1152" t="s">
        <v>2518</v>
      </c>
      <c r="F1152" t="str">
        <f>"2679810074"</f>
        <v>2679810074</v>
      </c>
      <c r="G1152" t="s">
        <v>3579</v>
      </c>
      <c r="H1152" t="s">
        <v>3580</v>
      </c>
      <c r="I1152" t="s">
        <v>22</v>
      </c>
      <c r="J1152">
        <v>90620</v>
      </c>
      <c r="K1152">
        <v>3156</v>
      </c>
      <c r="L1152" t="s">
        <v>23</v>
      </c>
      <c r="M1152" t="s">
        <v>3579</v>
      </c>
      <c r="N1152" t="s">
        <v>3580</v>
      </c>
      <c r="O1152" t="s">
        <v>22</v>
      </c>
      <c r="P1152">
        <v>90620</v>
      </c>
      <c r="Q1152">
        <v>3156</v>
      </c>
      <c r="R1152" t="s">
        <v>23</v>
      </c>
      <c r="S1152" s="1" t="s">
        <v>34218</v>
      </c>
    </row>
    <row r="1153" spans="1:19" x14ac:dyDescent="0.25">
      <c r="A1153">
        <v>101178382</v>
      </c>
      <c r="B1153" t="s">
        <v>3581</v>
      </c>
      <c r="C1153" t="s">
        <v>880</v>
      </c>
      <c r="F1153" t="str">
        <f>"8476566328"</f>
        <v>8476566328</v>
      </c>
      <c r="G1153" t="s">
        <v>3582</v>
      </c>
      <c r="H1153" t="s">
        <v>198</v>
      </c>
      <c r="I1153" t="s">
        <v>22</v>
      </c>
      <c r="J1153">
        <v>92102</v>
      </c>
      <c r="K1153">
        <v>3145</v>
      </c>
      <c r="L1153" t="s">
        <v>23</v>
      </c>
      <c r="M1153" t="s">
        <v>3582</v>
      </c>
      <c r="N1153" t="s">
        <v>198</v>
      </c>
      <c r="O1153" t="s">
        <v>22</v>
      </c>
      <c r="P1153">
        <v>92102</v>
      </c>
      <c r="Q1153">
        <v>3145</v>
      </c>
      <c r="R1153" t="s">
        <v>23</v>
      </c>
      <c r="S1153" s="1" t="s">
        <v>34218</v>
      </c>
    </row>
    <row r="1154" spans="1:19" x14ac:dyDescent="0.25">
      <c r="A1154">
        <v>101197253</v>
      </c>
      <c r="B1154" t="s">
        <v>3583</v>
      </c>
      <c r="C1154" t="s">
        <v>2159</v>
      </c>
      <c r="F1154" t="str">
        <f>"8453617127"</f>
        <v>8453617127</v>
      </c>
      <c r="G1154" t="s">
        <v>3584</v>
      </c>
      <c r="H1154" t="s">
        <v>3585</v>
      </c>
      <c r="I1154" t="s">
        <v>117</v>
      </c>
      <c r="J1154">
        <v>12566</v>
      </c>
      <c r="K1154">
        <v>6748</v>
      </c>
      <c r="L1154" t="s">
        <v>23</v>
      </c>
      <c r="M1154" t="s">
        <v>3584</v>
      </c>
      <c r="N1154" t="s">
        <v>3585</v>
      </c>
      <c r="O1154" t="s">
        <v>117</v>
      </c>
      <c r="P1154">
        <v>12566</v>
      </c>
      <c r="Q1154">
        <v>6748</v>
      </c>
      <c r="R1154" t="s">
        <v>23</v>
      </c>
      <c r="S1154" s="1" t="s">
        <v>34218</v>
      </c>
    </row>
    <row r="1155" spans="1:19" x14ac:dyDescent="0.25">
      <c r="A1155">
        <v>101065138</v>
      </c>
      <c r="B1155" t="s">
        <v>3586</v>
      </c>
      <c r="C1155" t="s">
        <v>3587</v>
      </c>
      <c r="F1155" t="str">
        <f>"2064407264"</f>
        <v>2064407264</v>
      </c>
      <c r="G1155" t="s">
        <v>3588</v>
      </c>
      <c r="H1155" t="s">
        <v>1531</v>
      </c>
      <c r="I1155" t="s">
        <v>84</v>
      </c>
      <c r="J1155">
        <v>98126</v>
      </c>
      <c r="K1155">
        <v>2949</v>
      </c>
      <c r="L1155" t="s">
        <v>23</v>
      </c>
      <c r="M1155" t="s">
        <v>3588</v>
      </c>
      <c r="N1155" t="s">
        <v>1531</v>
      </c>
      <c r="O1155" t="s">
        <v>84</v>
      </c>
      <c r="P1155">
        <v>98126</v>
      </c>
      <c r="Q1155">
        <v>2949</v>
      </c>
      <c r="R1155" t="s">
        <v>23</v>
      </c>
      <c r="S1155" s="1" t="s">
        <v>34218</v>
      </c>
    </row>
    <row r="1156" spans="1:19" x14ac:dyDescent="0.25">
      <c r="A1156">
        <v>101288531</v>
      </c>
      <c r="B1156" t="s">
        <v>3589</v>
      </c>
      <c r="C1156" t="s">
        <v>3590</v>
      </c>
      <c r="F1156" t="str">
        <f>"9733790197"</f>
        <v>9733790197</v>
      </c>
      <c r="G1156" t="s">
        <v>3591</v>
      </c>
      <c r="H1156" t="s">
        <v>746</v>
      </c>
      <c r="I1156" t="s">
        <v>250</v>
      </c>
      <c r="J1156">
        <v>7081</v>
      </c>
      <c r="K1156">
        <v>2408</v>
      </c>
      <c r="L1156" t="s">
        <v>23</v>
      </c>
      <c r="M1156" t="s">
        <v>3591</v>
      </c>
      <c r="N1156" t="s">
        <v>746</v>
      </c>
      <c r="O1156" t="s">
        <v>250</v>
      </c>
      <c r="P1156">
        <v>7081</v>
      </c>
      <c r="Q1156">
        <v>2408</v>
      </c>
      <c r="R1156" t="s">
        <v>23</v>
      </c>
      <c r="S1156" s="1" t="s">
        <v>34218</v>
      </c>
    </row>
    <row r="1157" spans="1:19" x14ac:dyDescent="0.25">
      <c r="A1157">
        <v>101284897</v>
      </c>
      <c r="B1157" t="s">
        <v>3592</v>
      </c>
      <c r="C1157" t="s">
        <v>217</v>
      </c>
      <c r="F1157" t="str">
        <f>"2015693518"</f>
        <v>2015693518</v>
      </c>
      <c r="G1157" t="s">
        <v>3593</v>
      </c>
      <c r="H1157" t="s">
        <v>2175</v>
      </c>
      <c r="I1157" t="s">
        <v>250</v>
      </c>
      <c r="J1157">
        <v>7631</v>
      </c>
      <c r="K1157">
        <v>2222</v>
      </c>
      <c r="L1157" t="s">
        <v>23</v>
      </c>
      <c r="M1157" t="s">
        <v>3593</v>
      </c>
      <c r="N1157" t="s">
        <v>2175</v>
      </c>
      <c r="O1157" t="s">
        <v>250</v>
      </c>
      <c r="P1157">
        <v>7631</v>
      </c>
      <c r="Q1157">
        <v>2222</v>
      </c>
      <c r="R1157" t="s">
        <v>23</v>
      </c>
      <c r="S1157" s="1" t="s">
        <v>34218</v>
      </c>
    </row>
    <row r="1158" spans="1:19" x14ac:dyDescent="0.25">
      <c r="A1158">
        <v>101295452</v>
      </c>
      <c r="B1158" t="s">
        <v>3594</v>
      </c>
      <c r="C1158" t="s">
        <v>428</v>
      </c>
      <c r="F1158" t="str">
        <f>"9043740044"</f>
        <v>9043740044</v>
      </c>
      <c r="G1158" t="s">
        <v>3595</v>
      </c>
      <c r="H1158" t="s">
        <v>143</v>
      </c>
      <c r="I1158" t="s">
        <v>52</v>
      </c>
      <c r="J1158">
        <v>32234</v>
      </c>
      <c r="K1158">
        <v>2329</v>
      </c>
      <c r="L1158" t="s">
        <v>23</v>
      </c>
      <c r="M1158" t="s">
        <v>3595</v>
      </c>
      <c r="N1158" t="s">
        <v>143</v>
      </c>
      <c r="O1158" t="s">
        <v>52</v>
      </c>
      <c r="P1158">
        <v>32234</v>
      </c>
      <c r="Q1158">
        <v>2329</v>
      </c>
      <c r="R1158" t="s">
        <v>23</v>
      </c>
      <c r="S1158" s="1" t="s">
        <v>34218</v>
      </c>
    </row>
    <row r="1159" spans="1:19" x14ac:dyDescent="0.25">
      <c r="A1159">
        <v>101125192</v>
      </c>
      <c r="B1159" t="s">
        <v>3596</v>
      </c>
      <c r="C1159" t="s">
        <v>1309</v>
      </c>
      <c r="F1159" t="str">
        <f>"8143829026"</f>
        <v>8143829026</v>
      </c>
      <c r="G1159" t="s">
        <v>3597</v>
      </c>
      <c r="H1159" t="s">
        <v>3598</v>
      </c>
      <c r="I1159" t="s">
        <v>33</v>
      </c>
      <c r="J1159">
        <v>16316</v>
      </c>
      <c r="K1159">
        <v>3842</v>
      </c>
      <c r="L1159" t="s">
        <v>23</v>
      </c>
      <c r="M1159" t="s">
        <v>3597</v>
      </c>
      <c r="N1159" t="s">
        <v>3598</v>
      </c>
      <c r="O1159" t="s">
        <v>33</v>
      </c>
      <c r="P1159">
        <v>16316</v>
      </c>
      <c r="Q1159">
        <v>3842</v>
      </c>
      <c r="R1159" t="s">
        <v>23</v>
      </c>
      <c r="S1159" s="1" t="s">
        <v>34218</v>
      </c>
    </row>
    <row r="1160" spans="1:19" x14ac:dyDescent="0.25">
      <c r="A1160">
        <v>101139333</v>
      </c>
      <c r="B1160" t="s">
        <v>3599</v>
      </c>
      <c r="C1160" t="s">
        <v>3600</v>
      </c>
      <c r="F1160" t="str">
        <f>"9149977226"</f>
        <v>9149977226</v>
      </c>
      <c r="G1160" t="s">
        <v>3601</v>
      </c>
      <c r="H1160" t="s">
        <v>2403</v>
      </c>
      <c r="I1160" t="s">
        <v>117</v>
      </c>
      <c r="J1160">
        <v>10603</v>
      </c>
      <c r="K1160">
        <v>1408</v>
      </c>
      <c r="L1160" t="s">
        <v>23</v>
      </c>
      <c r="M1160" t="s">
        <v>3601</v>
      </c>
      <c r="N1160" t="s">
        <v>2403</v>
      </c>
      <c r="O1160" t="s">
        <v>117</v>
      </c>
      <c r="P1160">
        <v>10603</v>
      </c>
      <c r="Q1160">
        <v>1408</v>
      </c>
      <c r="R1160" t="s">
        <v>23</v>
      </c>
      <c r="S1160" s="1" t="s">
        <v>34218</v>
      </c>
    </row>
    <row r="1161" spans="1:19" x14ac:dyDescent="0.25">
      <c r="A1161">
        <v>101145437</v>
      </c>
      <c r="B1161" t="s">
        <v>3602</v>
      </c>
      <c r="C1161" t="s">
        <v>1555</v>
      </c>
      <c r="F1161" t="str">
        <f>"2485920765"</f>
        <v>2485920765</v>
      </c>
      <c r="G1161" t="s">
        <v>3603</v>
      </c>
      <c r="H1161" t="s">
        <v>3604</v>
      </c>
      <c r="I1161" t="s">
        <v>140</v>
      </c>
      <c r="J1161">
        <v>48331</v>
      </c>
      <c r="K1161">
        <v>1303</v>
      </c>
      <c r="L1161" t="s">
        <v>23</v>
      </c>
      <c r="M1161" t="s">
        <v>3603</v>
      </c>
      <c r="N1161" t="s">
        <v>3604</v>
      </c>
      <c r="O1161" t="s">
        <v>140</v>
      </c>
      <c r="P1161">
        <v>48331</v>
      </c>
      <c r="Q1161">
        <v>1303</v>
      </c>
      <c r="R1161" t="s">
        <v>23</v>
      </c>
      <c r="S1161" s="1" t="s">
        <v>34218</v>
      </c>
    </row>
    <row r="1162" spans="1:19" x14ac:dyDescent="0.25">
      <c r="A1162">
        <v>101142553</v>
      </c>
      <c r="B1162" t="s">
        <v>3605</v>
      </c>
      <c r="C1162" t="s">
        <v>3606</v>
      </c>
      <c r="F1162" t="str">
        <f>"2047689944"</f>
        <v>2047689944</v>
      </c>
      <c r="G1162" t="s">
        <v>3607</v>
      </c>
      <c r="H1162" t="s">
        <v>1707</v>
      </c>
      <c r="I1162" t="s">
        <v>161</v>
      </c>
      <c r="J1162">
        <v>6811</v>
      </c>
      <c r="K1162">
        <v>3512</v>
      </c>
      <c r="L1162" t="s">
        <v>23</v>
      </c>
      <c r="M1162" t="s">
        <v>3607</v>
      </c>
      <c r="N1162" t="s">
        <v>1707</v>
      </c>
      <c r="O1162" t="s">
        <v>161</v>
      </c>
      <c r="P1162">
        <v>6811</v>
      </c>
      <c r="Q1162">
        <v>3512</v>
      </c>
      <c r="R1162" t="s">
        <v>23</v>
      </c>
      <c r="S1162" s="1" t="s">
        <v>34218</v>
      </c>
    </row>
    <row r="1163" spans="1:19" x14ac:dyDescent="0.25">
      <c r="A1163">
        <v>101143587</v>
      </c>
      <c r="B1163" t="s">
        <v>3608</v>
      </c>
      <c r="C1163" t="s">
        <v>3609</v>
      </c>
      <c r="F1163" t="str">
        <f>"8282754238"</f>
        <v>8282754238</v>
      </c>
      <c r="G1163" t="s">
        <v>3610</v>
      </c>
      <c r="H1163" t="s">
        <v>3138</v>
      </c>
      <c r="I1163" t="s">
        <v>1387</v>
      </c>
      <c r="J1163">
        <v>36535</v>
      </c>
      <c r="K1163">
        <v>3009</v>
      </c>
      <c r="L1163" t="s">
        <v>23</v>
      </c>
      <c r="M1163" t="s">
        <v>3610</v>
      </c>
      <c r="N1163" t="s">
        <v>3138</v>
      </c>
      <c r="O1163" t="s">
        <v>1387</v>
      </c>
      <c r="P1163">
        <v>36535</v>
      </c>
      <c r="Q1163">
        <v>3009</v>
      </c>
      <c r="R1163" t="s">
        <v>23</v>
      </c>
      <c r="S1163" s="1" t="s">
        <v>34218</v>
      </c>
    </row>
    <row r="1164" spans="1:19" x14ac:dyDescent="0.25">
      <c r="A1164">
        <v>101404912</v>
      </c>
      <c r="B1164" t="s">
        <v>3611</v>
      </c>
      <c r="C1164" t="s">
        <v>40</v>
      </c>
      <c r="F1164" t="str">
        <f>"4043841984"</f>
        <v>4043841984</v>
      </c>
      <c r="G1164" t="s">
        <v>3612</v>
      </c>
      <c r="H1164" t="s">
        <v>3613</v>
      </c>
      <c r="I1164" t="s">
        <v>236</v>
      </c>
      <c r="J1164">
        <v>2446</v>
      </c>
      <c r="K1164">
        <v>5751</v>
      </c>
      <c r="L1164" t="s">
        <v>23</v>
      </c>
      <c r="M1164" t="s">
        <v>3612</v>
      </c>
      <c r="N1164" t="s">
        <v>3613</v>
      </c>
      <c r="O1164" t="s">
        <v>236</v>
      </c>
      <c r="P1164">
        <v>2446</v>
      </c>
      <c r="Q1164">
        <v>5751</v>
      </c>
      <c r="R1164" t="s">
        <v>23</v>
      </c>
      <c r="S1164" s="1" t="s">
        <v>34218</v>
      </c>
    </row>
    <row r="1165" spans="1:19" x14ac:dyDescent="0.25">
      <c r="A1165">
        <v>101409020</v>
      </c>
      <c r="B1165" t="s">
        <v>3614</v>
      </c>
      <c r="C1165" t="s">
        <v>1542</v>
      </c>
      <c r="F1165" t="str">
        <f>"5087364179"</f>
        <v>5087364179</v>
      </c>
      <c r="G1165" t="s">
        <v>3615</v>
      </c>
      <c r="H1165" t="s">
        <v>3616</v>
      </c>
      <c r="I1165" t="s">
        <v>52</v>
      </c>
      <c r="J1165">
        <v>33782</v>
      </c>
      <c r="K1165">
        <v>6131</v>
      </c>
      <c r="L1165" t="s">
        <v>23</v>
      </c>
      <c r="M1165" t="s">
        <v>3615</v>
      </c>
      <c r="N1165" t="s">
        <v>3616</v>
      </c>
      <c r="O1165" t="s">
        <v>52</v>
      </c>
      <c r="P1165">
        <v>33782</v>
      </c>
      <c r="Q1165">
        <v>6131</v>
      </c>
      <c r="R1165" t="s">
        <v>23</v>
      </c>
      <c r="S1165" s="1" t="s">
        <v>34218</v>
      </c>
    </row>
    <row r="1166" spans="1:19" x14ac:dyDescent="0.25">
      <c r="A1166">
        <v>100981942</v>
      </c>
      <c r="B1166" t="s">
        <v>3617</v>
      </c>
      <c r="C1166" t="s">
        <v>3618</v>
      </c>
      <c r="F1166" t="str">
        <f>"4127417051"</f>
        <v>4127417051</v>
      </c>
      <c r="G1166" t="s">
        <v>3619</v>
      </c>
      <c r="H1166" t="s">
        <v>3620</v>
      </c>
      <c r="I1166" t="s">
        <v>33</v>
      </c>
      <c r="J1166" t="s">
        <v>3621</v>
      </c>
      <c r="K1166">
        <v>1244</v>
      </c>
      <c r="L1166" t="s">
        <v>23</v>
      </c>
      <c r="M1166" t="s">
        <v>3619</v>
      </c>
      <c r="N1166" t="s">
        <v>3620</v>
      </c>
      <c r="O1166" t="s">
        <v>33</v>
      </c>
      <c r="P1166" t="s">
        <v>3621</v>
      </c>
      <c r="Q1166">
        <v>1244</v>
      </c>
      <c r="R1166" t="s">
        <v>23</v>
      </c>
      <c r="S1166" s="1" t="s">
        <v>34218</v>
      </c>
    </row>
    <row r="1167" spans="1:19" x14ac:dyDescent="0.25">
      <c r="A1167">
        <v>100629145</v>
      </c>
      <c r="B1167" t="s">
        <v>1463</v>
      </c>
      <c r="C1167" t="s">
        <v>3622</v>
      </c>
      <c r="F1167" t="str">
        <f>"7709471805"</f>
        <v>7709471805</v>
      </c>
      <c r="G1167" t="s">
        <v>3623</v>
      </c>
      <c r="H1167" t="s">
        <v>3624</v>
      </c>
      <c r="I1167" t="s">
        <v>52</v>
      </c>
      <c r="J1167">
        <v>32561</v>
      </c>
      <c r="K1167">
        <v>3907</v>
      </c>
      <c r="L1167" t="s">
        <v>23</v>
      </c>
      <c r="M1167" t="s">
        <v>3623</v>
      </c>
      <c r="N1167" t="s">
        <v>3624</v>
      </c>
      <c r="O1167" t="s">
        <v>52</v>
      </c>
      <c r="P1167">
        <v>32561</v>
      </c>
      <c r="Q1167">
        <v>3907</v>
      </c>
      <c r="R1167" t="s">
        <v>23</v>
      </c>
      <c r="S1167" s="1" t="s">
        <v>34218</v>
      </c>
    </row>
    <row r="1168" spans="1:19" x14ac:dyDescent="0.25">
      <c r="A1168">
        <v>101170521</v>
      </c>
      <c r="B1168" t="s">
        <v>3625</v>
      </c>
      <c r="C1168" t="s">
        <v>3626</v>
      </c>
      <c r="F1168" t="str">
        <f>"7249472790"</f>
        <v>7249472790</v>
      </c>
      <c r="G1168" t="s">
        <v>3627</v>
      </c>
      <c r="H1168" t="s">
        <v>3628</v>
      </c>
      <c r="I1168" t="s">
        <v>33</v>
      </c>
      <c r="J1168">
        <v>15021</v>
      </c>
      <c r="K1168">
        <v>1165</v>
      </c>
      <c r="L1168" t="s">
        <v>23</v>
      </c>
      <c r="M1168" t="s">
        <v>3627</v>
      </c>
      <c r="N1168" t="s">
        <v>3628</v>
      </c>
      <c r="O1168" t="s">
        <v>33</v>
      </c>
      <c r="P1168">
        <v>15021</v>
      </c>
      <c r="Q1168">
        <v>1165</v>
      </c>
      <c r="R1168" t="s">
        <v>23</v>
      </c>
      <c r="S1168" s="1" t="s">
        <v>34218</v>
      </c>
    </row>
    <row r="1169" spans="1:19" x14ac:dyDescent="0.25">
      <c r="A1169">
        <v>101013401</v>
      </c>
      <c r="B1169" t="s">
        <v>3629</v>
      </c>
      <c r="C1169" t="s">
        <v>2232</v>
      </c>
      <c r="F1169" t="str">
        <f>"5127613687"</f>
        <v>5127613687</v>
      </c>
      <c r="G1169" t="s">
        <v>3630</v>
      </c>
      <c r="H1169" t="s">
        <v>37</v>
      </c>
      <c r="I1169" t="s">
        <v>38</v>
      </c>
      <c r="J1169" t="s">
        <v>3631</v>
      </c>
      <c r="K1169">
        <v>7161</v>
      </c>
      <c r="L1169" t="s">
        <v>23</v>
      </c>
      <c r="M1169" t="s">
        <v>3630</v>
      </c>
      <c r="N1169" t="s">
        <v>37</v>
      </c>
      <c r="O1169" t="s">
        <v>38</v>
      </c>
      <c r="P1169" t="s">
        <v>3631</v>
      </c>
      <c r="Q1169">
        <v>7161</v>
      </c>
      <c r="R1169" t="s">
        <v>23</v>
      </c>
      <c r="S1169" s="1" t="s">
        <v>34218</v>
      </c>
    </row>
    <row r="1170" spans="1:19" x14ac:dyDescent="0.25">
      <c r="A1170">
        <v>101032145</v>
      </c>
      <c r="B1170" t="s">
        <v>3632</v>
      </c>
      <c r="C1170" t="s">
        <v>3633</v>
      </c>
      <c r="F1170" t="str">
        <f>"5033683739"</f>
        <v>5033683739</v>
      </c>
      <c r="G1170" t="s">
        <v>3634</v>
      </c>
      <c r="H1170" t="s">
        <v>3635</v>
      </c>
      <c r="I1170" t="s">
        <v>43</v>
      </c>
      <c r="J1170">
        <v>97131</v>
      </c>
      <c r="K1170">
        <v>9665</v>
      </c>
      <c r="L1170" t="s">
        <v>23</v>
      </c>
      <c r="M1170" t="s">
        <v>3634</v>
      </c>
      <c r="N1170" t="s">
        <v>3635</v>
      </c>
      <c r="O1170" t="s">
        <v>43</v>
      </c>
      <c r="P1170">
        <v>97131</v>
      </c>
      <c r="Q1170">
        <v>9665</v>
      </c>
      <c r="R1170" t="s">
        <v>23</v>
      </c>
      <c r="S1170" s="1" t="s">
        <v>34218</v>
      </c>
    </row>
    <row r="1171" spans="1:19" x14ac:dyDescent="0.25">
      <c r="A1171">
        <v>101041753</v>
      </c>
      <c r="B1171" t="s">
        <v>1164</v>
      </c>
      <c r="C1171" t="s">
        <v>1818</v>
      </c>
      <c r="F1171" t="str">
        <f>"8047690646"</f>
        <v>8047690646</v>
      </c>
      <c r="G1171" t="s">
        <v>3636</v>
      </c>
      <c r="H1171" t="s">
        <v>3637</v>
      </c>
      <c r="I1171" t="s">
        <v>255</v>
      </c>
      <c r="J1171">
        <v>23009</v>
      </c>
      <c r="K1171">
        <v>3320</v>
      </c>
      <c r="L1171" t="s">
        <v>23</v>
      </c>
      <c r="M1171" t="s">
        <v>3636</v>
      </c>
      <c r="N1171" t="s">
        <v>3637</v>
      </c>
      <c r="O1171" t="s">
        <v>255</v>
      </c>
      <c r="P1171">
        <v>23009</v>
      </c>
      <c r="Q1171">
        <v>3320</v>
      </c>
      <c r="R1171" t="s">
        <v>23</v>
      </c>
      <c r="S1171" s="1" t="s">
        <v>34218</v>
      </c>
    </row>
    <row r="1172" spans="1:19" x14ac:dyDescent="0.25">
      <c r="A1172">
        <v>101242519</v>
      </c>
      <c r="B1172" t="s">
        <v>1291</v>
      </c>
      <c r="C1172" t="s">
        <v>286</v>
      </c>
      <c r="F1172" t="str">
        <f>"2159908698"</f>
        <v>2159908698</v>
      </c>
      <c r="G1172" t="s">
        <v>3638</v>
      </c>
      <c r="H1172" t="s">
        <v>573</v>
      </c>
      <c r="I1172" t="s">
        <v>33</v>
      </c>
      <c r="J1172">
        <v>19116</v>
      </c>
      <c r="K1172">
        <v>3714</v>
      </c>
      <c r="L1172" t="s">
        <v>23</v>
      </c>
      <c r="M1172" t="s">
        <v>3638</v>
      </c>
      <c r="N1172" t="s">
        <v>573</v>
      </c>
      <c r="O1172" t="s">
        <v>33</v>
      </c>
      <c r="P1172">
        <v>19116</v>
      </c>
      <c r="Q1172">
        <v>3714</v>
      </c>
      <c r="R1172" t="s">
        <v>23</v>
      </c>
      <c r="S1172" s="1" t="s">
        <v>34218</v>
      </c>
    </row>
    <row r="1173" spans="1:19" x14ac:dyDescent="0.25">
      <c r="A1173">
        <v>101244983</v>
      </c>
      <c r="B1173" t="s">
        <v>3405</v>
      </c>
      <c r="C1173" t="s">
        <v>1959</v>
      </c>
      <c r="F1173" t="str">
        <f>"3127383957"</f>
        <v>3127383957</v>
      </c>
      <c r="G1173" t="s">
        <v>3639</v>
      </c>
      <c r="H1173" t="s">
        <v>134</v>
      </c>
      <c r="I1173" t="s">
        <v>135</v>
      </c>
      <c r="J1173">
        <v>60622</v>
      </c>
      <c r="K1173">
        <v>5532</v>
      </c>
      <c r="L1173" t="s">
        <v>23</v>
      </c>
      <c r="M1173" t="s">
        <v>3639</v>
      </c>
      <c r="N1173" t="s">
        <v>134</v>
      </c>
      <c r="O1173" t="s">
        <v>135</v>
      </c>
      <c r="P1173">
        <v>60622</v>
      </c>
      <c r="Q1173">
        <v>5532</v>
      </c>
      <c r="R1173" t="s">
        <v>23</v>
      </c>
      <c r="S1173" s="1" t="s">
        <v>34218</v>
      </c>
    </row>
    <row r="1174" spans="1:19" x14ac:dyDescent="0.25">
      <c r="A1174">
        <v>101261717</v>
      </c>
      <c r="B1174" t="s">
        <v>3640</v>
      </c>
      <c r="C1174" t="s">
        <v>1327</v>
      </c>
      <c r="F1174" t="str">
        <f>"4124614483"</f>
        <v>4124614483</v>
      </c>
      <c r="G1174" t="s">
        <v>3641</v>
      </c>
      <c r="H1174" t="s">
        <v>3309</v>
      </c>
      <c r="I1174" t="s">
        <v>33</v>
      </c>
      <c r="J1174">
        <v>15120</v>
      </c>
      <c r="K1174">
        <v>1227</v>
      </c>
      <c r="L1174" t="s">
        <v>23</v>
      </c>
      <c r="M1174" t="s">
        <v>3641</v>
      </c>
      <c r="N1174" t="s">
        <v>3309</v>
      </c>
      <c r="O1174" t="s">
        <v>33</v>
      </c>
      <c r="P1174">
        <v>15120</v>
      </c>
      <c r="Q1174">
        <v>1227</v>
      </c>
      <c r="R1174" t="s">
        <v>23</v>
      </c>
      <c r="S1174" s="1" t="s">
        <v>34218</v>
      </c>
    </row>
    <row r="1175" spans="1:19" x14ac:dyDescent="0.25">
      <c r="A1175">
        <v>100832130</v>
      </c>
      <c r="B1175" t="s">
        <v>3642</v>
      </c>
      <c r="C1175" t="s">
        <v>3643</v>
      </c>
      <c r="F1175" t="str">
        <f>"2222222222"</f>
        <v>2222222222</v>
      </c>
      <c r="G1175" t="s">
        <v>3644</v>
      </c>
      <c r="H1175" t="s">
        <v>2279</v>
      </c>
      <c r="I1175" t="s">
        <v>52</v>
      </c>
      <c r="J1175">
        <v>33679</v>
      </c>
      <c r="K1175">
        <v>571</v>
      </c>
      <c r="L1175" t="s">
        <v>23</v>
      </c>
      <c r="M1175" t="s">
        <v>3644</v>
      </c>
      <c r="N1175" t="s">
        <v>2279</v>
      </c>
      <c r="O1175" t="s">
        <v>52</v>
      </c>
      <c r="P1175">
        <v>33679</v>
      </c>
      <c r="Q1175">
        <v>571</v>
      </c>
      <c r="R1175" t="s">
        <v>23</v>
      </c>
      <c r="S1175" s="1" t="s">
        <v>34218</v>
      </c>
    </row>
    <row r="1176" spans="1:19" x14ac:dyDescent="0.25">
      <c r="A1176">
        <v>101206558</v>
      </c>
      <c r="B1176" t="s">
        <v>247</v>
      </c>
      <c r="C1176" t="s">
        <v>403</v>
      </c>
      <c r="F1176" t="str">
        <f>"5309384073"</f>
        <v>5309384073</v>
      </c>
      <c r="G1176" t="s">
        <v>3645</v>
      </c>
      <c r="H1176" t="s">
        <v>3646</v>
      </c>
      <c r="I1176" t="s">
        <v>22</v>
      </c>
      <c r="J1176">
        <v>96094</v>
      </c>
      <c r="K1176">
        <v>9780</v>
      </c>
      <c r="L1176" t="s">
        <v>23</v>
      </c>
      <c r="M1176" t="s">
        <v>3645</v>
      </c>
      <c r="N1176" t="s">
        <v>3646</v>
      </c>
      <c r="O1176" t="s">
        <v>22</v>
      </c>
      <c r="P1176">
        <v>96094</v>
      </c>
      <c r="Q1176">
        <v>9780</v>
      </c>
      <c r="R1176" t="s">
        <v>23</v>
      </c>
      <c r="S1176" s="1" t="s">
        <v>34218</v>
      </c>
    </row>
    <row r="1177" spans="1:19" x14ac:dyDescent="0.25">
      <c r="A1177">
        <v>101205943</v>
      </c>
      <c r="B1177" t="s">
        <v>3647</v>
      </c>
      <c r="C1177" t="s">
        <v>3043</v>
      </c>
      <c r="F1177" t="str">
        <f>"9406426371"</f>
        <v>9406426371</v>
      </c>
      <c r="G1177" t="s">
        <v>3648</v>
      </c>
      <c r="H1177" t="s">
        <v>3649</v>
      </c>
      <c r="I1177" t="s">
        <v>38</v>
      </c>
      <c r="J1177">
        <v>76306</v>
      </c>
      <c r="K1177">
        <v>1024</v>
      </c>
      <c r="L1177" t="s">
        <v>23</v>
      </c>
      <c r="M1177" t="s">
        <v>3648</v>
      </c>
      <c r="N1177" t="s">
        <v>3649</v>
      </c>
      <c r="O1177" t="s">
        <v>38</v>
      </c>
      <c r="P1177">
        <v>76306</v>
      </c>
      <c r="Q1177">
        <v>1024</v>
      </c>
      <c r="R1177" t="s">
        <v>23</v>
      </c>
      <c r="S1177" s="1" t="s">
        <v>34218</v>
      </c>
    </row>
    <row r="1178" spans="1:19" x14ac:dyDescent="0.25">
      <c r="A1178">
        <v>101406268</v>
      </c>
      <c r="B1178" t="s">
        <v>3650</v>
      </c>
      <c r="C1178" t="s">
        <v>1218</v>
      </c>
      <c r="F1178" t="str">
        <f>"8183436207"</f>
        <v>8183436207</v>
      </c>
      <c r="G1178" t="s">
        <v>3651</v>
      </c>
      <c r="H1178" t="s">
        <v>741</v>
      </c>
      <c r="I1178" t="s">
        <v>22</v>
      </c>
      <c r="J1178">
        <v>91367</v>
      </c>
      <c r="K1178">
        <v>2820</v>
      </c>
      <c r="L1178" t="s">
        <v>23</v>
      </c>
      <c r="M1178" t="s">
        <v>3651</v>
      </c>
      <c r="N1178" t="s">
        <v>741</v>
      </c>
      <c r="O1178" t="s">
        <v>22</v>
      </c>
      <c r="P1178">
        <v>91367</v>
      </c>
      <c r="Q1178">
        <v>2820</v>
      </c>
      <c r="R1178" t="s">
        <v>23</v>
      </c>
      <c r="S1178" s="1" t="s">
        <v>34218</v>
      </c>
    </row>
    <row r="1179" spans="1:19" x14ac:dyDescent="0.25">
      <c r="A1179">
        <v>101087240</v>
      </c>
      <c r="B1179" t="s">
        <v>3652</v>
      </c>
      <c r="C1179" t="s">
        <v>3653</v>
      </c>
      <c r="F1179" t="str">
        <f>"5707248743"</f>
        <v>5707248743</v>
      </c>
      <c r="G1179" t="s">
        <v>3654</v>
      </c>
      <c r="H1179" t="s">
        <v>3655</v>
      </c>
      <c r="I1179" t="s">
        <v>33</v>
      </c>
      <c r="J1179">
        <v>16901</v>
      </c>
      <c r="K1179">
        <v>7261</v>
      </c>
      <c r="L1179" t="s">
        <v>23</v>
      </c>
      <c r="M1179" t="s">
        <v>3654</v>
      </c>
      <c r="N1179" t="s">
        <v>3655</v>
      </c>
      <c r="O1179" t="s">
        <v>33</v>
      </c>
      <c r="P1179">
        <v>16901</v>
      </c>
      <c r="Q1179">
        <v>7261</v>
      </c>
      <c r="R1179" t="s">
        <v>23</v>
      </c>
      <c r="S1179" s="1" t="s">
        <v>34218</v>
      </c>
    </row>
    <row r="1180" spans="1:19" x14ac:dyDescent="0.25">
      <c r="A1180">
        <v>101331967</v>
      </c>
      <c r="B1180" t="s">
        <v>3656</v>
      </c>
      <c r="C1180" t="s">
        <v>466</v>
      </c>
      <c r="F1180" t="str">
        <f>"7329969321"</f>
        <v>7329969321</v>
      </c>
      <c r="G1180" t="s">
        <v>3657</v>
      </c>
      <c r="H1180" t="s">
        <v>3658</v>
      </c>
      <c r="I1180" t="s">
        <v>250</v>
      </c>
      <c r="J1180">
        <v>7740</v>
      </c>
      <c r="K1180">
        <v>6113</v>
      </c>
      <c r="L1180" t="s">
        <v>23</v>
      </c>
      <c r="M1180" t="s">
        <v>3657</v>
      </c>
      <c r="N1180" t="s">
        <v>3658</v>
      </c>
      <c r="O1180" t="s">
        <v>250</v>
      </c>
      <c r="P1180">
        <v>7740</v>
      </c>
      <c r="Q1180">
        <v>6113</v>
      </c>
      <c r="R1180" t="s">
        <v>23</v>
      </c>
      <c r="S1180" s="1" t="s">
        <v>34218</v>
      </c>
    </row>
    <row r="1181" spans="1:19" x14ac:dyDescent="0.25">
      <c r="A1181">
        <v>101120745</v>
      </c>
      <c r="B1181" t="s">
        <v>3659</v>
      </c>
      <c r="C1181" t="s">
        <v>1036</v>
      </c>
      <c r="F1181" t="str">
        <f>"6516452606"</f>
        <v>6516452606</v>
      </c>
      <c r="G1181" t="s">
        <v>3660</v>
      </c>
      <c r="H1181" t="s">
        <v>1405</v>
      </c>
      <c r="I1181" t="s">
        <v>187</v>
      </c>
      <c r="J1181">
        <v>55104</v>
      </c>
      <c r="K1181">
        <v>2234</v>
      </c>
      <c r="L1181" t="s">
        <v>23</v>
      </c>
      <c r="M1181" t="s">
        <v>3660</v>
      </c>
      <c r="N1181" t="s">
        <v>1405</v>
      </c>
      <c r="O1181" t="s">
        <v>187</v>
      </c>
      <c r="P1181">
        <v>55104</v>
      </c>
      <c r="Q1181">
        <v>2234</v>
      </c>
      <c r="R1181" t="s">
        <v>23</v>
      </c>
      <c r="S1181" s="1" t="s">
        <v>34218</v>
      </c>
    </row>
    <row r="1182" spans="1:19" x14ac:dyDescent="0.25">
      <c r="A1182">
        <v>101130543</v>
      </c>
      <c r="B1182" t="s">
        <v>3661</v>
      </c>
      <c r="C1182" t="s">
        <v>3009</v>
      </c>
      <c r="F1182" t="str">
        <f>"7175355416"</f>
        <v>7175355416</v>
      </c>
      <c r="G1182" t="s">
        <v>3662</v>
      </c>
      <c r="H1182" t="s">
        <v>3663</v>
      </c>
      <c r="I1182" t="s">
        <v>33</v>
      </c>
      <c r="J1182">
        <v>17059</v>
      </c>
      <c r="K1182">
        <v>7562</v>
      </c>
      <c r="L1182" t="s">
        <v>23</v>
      </c>
      <c r="M1182" t="s">
        <v>3662</v>
      </c>
      <c r="N1182" t="s">
        <v>3663</v>
      </c>
      <c r="O1182" t="s">
        <v>33</v>
      </c>
      <c r="P1182">
        <v>17059</v>
      </c>
      <c r="Q1182">
        <v>7562</v>
      </c>
      <c r="R1182" t="s">
        <v>23</v>
      </c>
      <c r="S1182" s="1" t="s">
        <v>34218</v>
      </c>
    </row>
    <row r="1183" spans="1:19" x14ac:dyDescent="0.25">
      <c r="A1183">
        <v>101131684</v>
      </c>
      <c r="B1183" t="s">
        <v>3664</v>
      </c>
      <c r="C1183" t="s">
        <v>522</v>
      </c>
      <c r="F1183" t="str">
        <f>"3105007354"</f>
        <v>3105007354</v>
      </c>
      <c r="G1183" t="s">
        <v>3665</v>
      </c>
      <c r="H1183" t="s">
        <v>299</v>
      </c>
      <c r="I1183" t="s">
        <v>22</v>
      </c>
      <c r="J1183">
        <v>90066</v>
      </c>
      <c r="K1183">
        <v>5416</v>
      </c>
      <c r="L1183" t="s">
        <v>23</v>
      </c>
      <c r="M1183" t="s">
        <v>3665</v>
      </c>
      <c r="N1183" t="s">
        <v>299</v>
      </c>
      <c r="O1183" t="s">
        <v>22</v>
      </c>
      <c r="P1183">
        <v>90066</v>
      </c>
      <c r="Q1183">
        <v>5416</v>
      </c>
      <c r="R1183" t="s">
        <v>23</v>
      </c>
      <c r="S1183" s="1" t="s">
        <v>34218</v>
      </c>
    </row>
    <row r="1184" spans="1:19" x14ac:dyDescent="0.25">
      <c r="A1184">
        <v>101394643</v>
      </c>
      <c r="B1184" t="s">
        <v>3666</v>
      </c>
      <c r="C1184" t="s">
        <v>535</v>
      </c>
      <c r="F1184" t="str">
        <f>"4436553388"</f>
        <v>4436553388</v>
      </c>
      <c r="G1184" t="s">
        <v>3667</v>
      </c>
      <c r="H1184" t="s">
        <v>3668</v>
      </c>
      <c r="I1184" t="s">
        <v>148</v>
      </c>
      <c r="J1184">
        <v>21208</v>
      </c>
      <c r="K1184">
        <v>2126</v>
      </c>
      <c r="L1184" t="s">
        <v>23</v>
      </c>
      <c r="M1184" t="s">
        <v>3667</v>
      </c>
      <c r="N1184" t="s">
        <v>3668</v>
      </c>
      <c r="O1184" t="s">
        <v>148</v>
      </c>
      <c r="P1184">
        <v>21208</v>
      </c>
      <c r="Q1184">
        <v>2126</v>
      </c>
      <c r="R1184" t="s">
        <v>23</v>
      </c>
      <c r="S1184" s="1" t="s">
        <v>34218</v>
      </c>
    </row>
    <row r="1185" spans="1:19" x14ac:dyDescent="0.25">
      <c r="A1185">
        <v>101112885</v>
      </c>
      <c r="B1185" t="s">
        <v>3669</v>
      </c>
      <c r="C1185" t="s">
        <v>3670</v>
      </c>
      <c r="F1185" t="str">
        <f>"7074870230"</f>
        <v>7074870230</v>
      </c>
      <c r="G1185" t="s">
        <v>3671</v>
      </c>
      <c r="H1185" t="s">
        <v>3672</v>
      </c>
      <c r="I1185" t="s">
        <v>22</v>
      </c>
      <c r="J1185">
        <v>95567</v>
      </c>
      <c r="K1185">
        <v>9317</v>
      </c>
      <c r="L1185" t="s">
        <v>23</v>
      </c>
      <c r="M1185" t="s">
        <v>3671</v>
      </c>
      <c r="N1185" t="s">
        <v>3672</v>
      </c>
      <c r="O1185" t="s">
        <v>22</v>
      </c>
      <c r="P1185">
        <v>95567</v>
      </c>
      <c r="Q1185">
        <v>9317</v>
      </c>
      <c r="R1185" t="s">
        <v>23</v>
      </c>
      <c r="S1185" s="1" t="s">
        <v>34218</v>
      </c>
    </row>
    <row r="1186" spans="1:19" x14ac:dyDescent="0.25">
      <c r="A1186">
        <v>101380566</v>
      </c>
      <c r="B1186" t="s">
        <v>3673</v>
      </c>
      <c r="C1186" t="s">
        <v>102</v>
      </c>
      <c r="F1186" t="str">
        <f>"2317590420"</f>
        <v>2317590420</v>
      </c>
      <c r="G1186" t="s">
        <v>3674</v>
      </c>
      <c r="H1186" t="s">
        <v>3675</v>
      </c>
      <c r="I1186" t="s">
        <v>140</v>
      </c>
      <c r="J1186">
        <v>49441</v>
      </c>
      <c r="K1186">
        <v>3325</v>
      </c>
      <c r="L1186" t="s">
        <v>23</v>
      </c>
      <c r="M1186" t="s">
        <v>3674</v>
      </c>
      <c r="N1186" t="s">
        <v>3675</v>
      </c>
      <c r="O1186" t="s">
        <v>140</v>
      </c>
      <c r="P1186">
        <v>49441</v>
      </c>
      <c r="Q1186">
        <v>3325</v>
      </c>
      <c r="R1186" t="s">
        <v>23</v>
      </c>
      <c r="S1186" s="1" t="s">
        <v>34218</v>
      </c>
    </row>
    <row r="1187" spans="1:19" x14ac:dyDescent="0.25">
      <c r="A1187">
        <v>100551999</v>
      </c>
      <c r="B1187" t="s">
        <v>3676</v>
      </c>
      <c r="C1187" t="s">
        <v>846</v>
      </c>
      <c r="F1187" t="str">
        <f>"6105267721"</f>
        <v>6105267721</v>
      </c>
      <c r="G1187" t="s">
        <v>3677</v>
      </c>
      <c r="H1187" t="s">
        <v>1405</v>
      </c>
      <c r="I1187" t="s">
        <v>187</v>
      </c>
      <c r="J1187">
        <v>55105</v>
      </c>
      <c r="L1187" t="s">
        <v>23</v>
      </c>
      <c r="M1187" t="s">
        <v>3677</v>
      </c>
      <c r="N1187" t="s">
        <v>1405</v>
      </c>
      <c r="O1187" t="s">
        <v>187</v>
      </c>
      <c r="P1187">
        <v>55105</v>
      </c>
      <c r="R1187" t="s">
        <v>23</v>
      </c>
      <c r="S1187" s="1" t="s">
        <v>34218</v>
      </c>
    </row>
    <row r="1188" spans="1:19" x14ac:dyDescent="0.25">
      <c r="A1188">
        <v>101179394</v>
      </c>
      <c r="B1188" t="s">
        <v>3678</v>
      </c>
      <c r="C1188" t="s">
        <v>309</v>
      </c>
      <c r="F1188" t="str">
        <f>"7073724597"</f>
        <v>7073724597</v>
      </c>
      <c r="G1188" t="s">
        <v>3679</v>
      </c>
      <c r="H1188" t="s">
        <v>3680</v>
      </c>
      <c r="I1188" t="s">
        <v>22</v>
      </c>
      <c r="J1188">
        <v>94533</v>
      </c>
      <c r="K1188">
        <v>6417</v>
      </c>
      <c r="L1188" t="s">
        <v>23</v>
      </c>
      <c r="M1188" t="s">
        <v>3679</v>
      </c>
      <c r="N1188" t="s">
        <v>3680</v>
      </c>
      <c r="O1188" t="s">
        <v>22</v>
      </c>
      <c r="P1188">
        <v>94533</v>
      </c>
      <c r="Q1188">
        <v>6417</v>
      </c>
      <c r="R1188" t="s">
        <v>23</v>
      </c>
      <c r="S1188" s="1" t="s">
        <v>34218</v>
      </c>
    </row>
    <row r="1189" spans="1:19" x14ac:dyDescent="0.25">
      <c r="A1189">
        <v>101393577</v>
      </c>
      <c r="B1189" t="s">
        <v>497</v>
      </c>
      <c r="C1189" t="s">
        <v>3681</v>
      </c>
      <c r="F1189" t="str">
        <f>"3138522422"</f>
        <v>3138522422</v>
      </c>
      <c r="G1189" t="s">
        <v>3682</v>
      </c>
      <c r="H1189" t="s">
        <v>1830</v>
      </c>
      <c r="I1189" t="s">
        <v>140</v>
      </c>
      <c r="J1189" t="s">
        <v>3683</v>
      </c>
      <c r="K1189">
        <v>2109</v>
      </c>
      <c r="L1189" t="s">
        <v>23</v>
      </c>
      <c r="M1189" t="s">
        <v>3682</v>
      </c>
      <c r="N1189" t="s">
        <v>1830</v>
      </c>
      <c r="O1189" t="s">
        <v>140</v>
      </c>
      <c r="P1189" t="s">
        <v>3683</v>
      </c>
      <c r="Q1189">
        <v>2109</v>
      </c>
      <c r="R1189" t="s">
        <v>23</v>
      </c>
      <c r="S1189" s="1" t="s">
        <v>34218</v>
      </c>
    </row>
    <row r="1190" spans="1:19" x14ac:dyDescent="0.25">
      <c r="A1190">
        <v>101290601</v>
      </c>
      <c r="B1190" t="s">
        <v>3684</v>
      </c>
      <c r="C1190" t="s">
        <v>1036</v>
      </c>
      <c r="F1190" t="str">
        <f>"8124257779"</f>
        <v>8124257779</v>
      </c>
      <c r="G1190" t="s">
        <v>3685</v>
      </c>
      <c r="H1190" t="s">
        <v>3686</v>
      </c>
      <c r="I1190" t="s">
        <v>57</v>
      </c>
      <c r="J1190">
        <v>47711</v>
      </c>
      <c r="K1190">
        <v>3430</v>
      </c>
      <c r="L1190" t="s">
        <v>23</v>
      </c>
      <c r="M1190" t="s">
        <v>3685</v>
      </c>
      <c r="N1190" t="s">
        <v>3686</v>
      </c>
      <c r="O1190" t="s">
        <v>57</v>
      </c>
      <c r="P1190">
        <v>47711</v>
      </c>
      <c r="Q1190">
        <v>3430</v>
      </c>
      <c r="R1190" t="s">
        <v>23</v>
      </c>
      <c r="S1190" s="1" t="s">
        <v>34218</v>
      </c>
    </row>
    <row r="1191" spans="1:19" x14ac:dyDescent="0.25">
      <c r="A1191">
        <v>101305849</v>
      </c>
      <c r="B1191" t="s">
        <v>3687</v>
      </c>
      <c r="C1191" t="s">
        <v>1374</v>
      </c>
      <c r="F1191" t="str">
        <f>"9737777078"</f>
        <v>9737777078</v>
      </c>
      <c r="G1191" t="s">
        <v>3688</v>
      </c>
      <c r="H1191" t="s">
        <v>3689</v>
      </c>
      <c r="I1191" t="s">
        <v>250</v>
      </c>
      <c r="J1191">
        <v>7012</v>
      </c>
      <c r="K1191">
        <v>2007</v>
      </c>
      <c r="L1191" t="s">
        <v>23</v>
      </c>
      <c r="M1191" t="s">
        <v>3688</v>
      </c>
      <c r="N1191" t="s">
        <v>3689</v>
      </c>
      <c r="O1191" t="s">
        <v>250</v>
      </c>
      <c r="P1191">
        <v>7012</v>
      </c>
      <c r="Q1191">
        <v>2007</v>
      </c>
      <c r="R1191" t="s">
        <v>23</v>
      </c>
      <c r="S1191" s="1" t="s">
        <v>34218</v>
      </c>
    </row>
    <row r="1192" spans="1:19" x14ac:dyDescent="0.25">
      <c r="A1192">
        <v>100837456</v>
      </c>
      <c r="B1192" t="s">
        <v>1064</v>
      </c>
      <c r="C1192" t="s">
        <v>3690</v>
      </c>
      <c r="F1192" t="str">
        <f>"3213050007"</f>
        <v>3213050007</v>
      </c>
      <c r="G1192" t="s">
        <v>3691</v>
      </c>
      <c r="H1192" t="s">
        <v>2396</v>
      </c>
      <c r="I1192" t="s">
        <v>52</v>
      </c>
      <c r="J1192">
        <v>32907</v>
      </c>
      <c r="K1192">
        <v>1090</v>
      </c>
      <c r="L1192" t="s">
        <v>23</v>
      </c>
      <c r="M1192" t="s">
        <v>3691</v>
      </c>
      <c r="N1192" t="s">
        <v>2396</v>
      </c>
      <c r="O1192" t="s">
        <v>52</v>
      </c>
      <c r="P1192">
        <v>32907</v>
      </c>
      <c r="Q1192">
        <v>1090</v>
      </c>
      <c r="R1192" t="s">
        <v>23</v>
      </c>
      <c r="S1192" s="1" t="s">
        <v>34218</v>
      </c>
    </row>
    <row r="1193" spans="1:19" x14ac:dyDescent="0.25">
      <c r="A1193">
        <v>100837802</v>
      </c>
      <c r="B1193" t="s">
        <v>3692</v>
      </c>
      <c r="C1193" t="s">
        <v>3693</v>
      </c>
      <c r="F1193" t="str">
        <f>"7607263020"</f>
        <v>7607263020</v>
      </c>
      <c r="G1193" t="s">
        <v>3694</v>
      </c>
      <c r="H1193" t="s">
        <v>2468</v>
      </c>
      <c r="I1193" t="s">
        <v>22</v>
      </c>
      <c r="J1193">
        <v>92083</v>
      </c>
      <c r="K1193">
        <v>5614</v>
      </c>
      <c r="L1193" t="s">
        <v>23</v>
      </c>
      <c r="M1193" t="s">
        <v>3694</v>
      </c>
      <c r="N1193" t="s">
        <v>2468</v>
      </c>
      <c r="O1193" t="s">
        <v>22</v>
      </c>
      <c r="P1193">
        <v>92083</v>
      </c>
      <c r="Q1193">
        <v>5614</v>
      </c>
      <c r="R1193" t="s">
        <v>23</v>
      </c>
      <c r="S1193" s="1" t="s">
        <v>34218</v>
      </c>
    </row>
    <row r="1194" spans="1:19" x14ac:dyDescent="0.25">
      <c r="A1194">
        <v>101004550</v>
      </c>
      <c r="B1194" t="s">
        <v>3089</v>
      </c>
      <c r="C1194" t="s">
        <v>2776</v>
      </c>
      <c r="F1194" t="str">
        <f>"2157251292"</f>
        <v>2157251292</v>
      </c>
      <c r="G1194" t="s">
        <v>3695</v>
      </c>
      <c r="H1194" t="s">
        <v>573</v>
      </c>
      <c r="I1194" t="s">
        <v>33</v>
      </c>
      <c r="J1194">
        <v>19111</v>
      </c>
      <c r="K1194">
        <v>4209</v>
      </c>
      <c r="L1194" t="s">
        <v>23</v>
      </c>
      <c r="M1194" t="s">
        <v>3695</v>
      </c>
      <c r="N1194" t="s">
        <v>573</v>
      </c>
      <c r="O1194" t="s">
        <v>33</v>
      </c>
      <c r="P1194">
        <v>19111</v>
      </c>
      <c r="Q1194">
        <v>4209</v>
      </c>
      <c r="R1194" t="s">
        <v>23</v>
      </c>
      <c r="S1194" s="1" t="s">
        <v>34218</v>
      </c>
    </row>
    <row r="1195" spans="1:19" x14ac:dyDescent="0.25">
      <c r="A1195">
        <v>101215885</v>
      </c>
      <c r="B1195" t="s">
        <v>3696</v>
      </c>
      <c r="C1195" t="s">
        <v>1467</v>
      </c>
      <c r="F1195" t="str">
        <f>"5412940304"</f>
        <v>5412940304</v>
      </c>
      <c r="G1195" t="s">
        <v>3697</v>
      </c>
      <c r="H1195" t="s">
        <v>3698</v>
      </c>
      <c r="I1195" t="s">
        <v>43</v>
      </c>
      <c r="J1195">
        <v>97420</v>
      </c>
      <c r="K1195">
        <v>2894</v>
      </c>
      <c r="L1195" t="s">
        <v>23</v>
      </c>
      <c r="M1195" t="s">
        <v>3697</v>
      </c>
      <c r="N1195" t="s">
        <v>3698</v>
      </c>
      <c r="O1195" t="s">
        <v>43</v>
      </c>
      <c r="P1195">
        <v>97420</v>
      </c>
      <c r="Q1195">
        <v>2894</v>
      </c>
      <c r="R1195" t="s">
        <v>23</v>
      </c>
      <c r="S1195" s="1" t="s">
        <v>34218</v>
      </c>
    </row>
    <row r="1196" spans="1:19" x14ac:dyDescent="0.25">
      <c r="A1196">
        <v>101407472</v>
      </c>
      <c r="B1196" t="s">
        <v>3699</v>
      </c>
      <c r="C1196" t="s">
        <v>1205</v>
      </c>
      <c r="F1196" t="str">
        <f>"4702957268"</f>
        <v>4702957268</v>
      </c>
      <c r="G1196" t="s">
        <v>3700</v>
      </c>
      <c r="H1196" t="s">
        <v>1600</v>
      </c>
      <c r="I1196" t="s">
        <v>28</v>
      </c>
      <c r="J1196">
        <v>30060</v>
      </c>
      <c r="K1196">
        <v>5520</v>
      </c>
      <c r="L1196" t="s">
        <v>23</v>
      </c>
      <c r="M1196" t="s">
        <v>3700</v>
      </c>
      <c r="N1196" t="s">
        <v>1600</v>
      </c>
      <c r="O1196" t="s">
        <v>28</v>
      </c>
      <c r="P1196">
        <v>30060</v>
      </c>
      <c r="Q1196">
        <v>5520</v>
      </c>
      <c r="R1196" t="s">
        <v>23</v>
      </c>
      <c r="S1196" s="1" t="s">
        <v>34218</v>
      </c>
    </row>
    <row r="1197" spans="1:19" x14ac:dyDescent="0.25">
      <c r="A1197">
        <v>101409581</v>
      </c>
      <c r="B1197" t="s">
        <v>3701</v>
      </c>
      <c r="C1197" t="s">
        <v>2642</v>
      </c>
      <c r="F1197" t="str">
        <f>"6505206598"</f>
        <v>6505206598</v>
      </c>
      <c r="G1197" t="s">
        <v>3702</v>
      </c>
      <c r="H1197" t="s">
        <v>3703</v>
      </c>
      <c r="I1197" t="s">
        <v>22</v>
      </c>
      <c r="J1197">
        <v>94070</v>
      </c>
      <c r="K1197">
        <v>4805</v>
      </c>
      <c r="L1197" t="s">
        <v>23</v>
      </c>
      <c r="M1197" t="s">
        <v>3702</v>
      </c>
      <c r="N1197" t="s">
        <v>3703</v>
      </c>
      <c r="O1197" t="s">
        <v>22</v>
      </c>
      <c r="P1197">
        <v>94070</v>
      </c>
      <c r="Q1197">
        <v>4805</v>
      </c>
      <c r="R1197" t="s">
        <v>23</v>
      </c>
      <c r="S1197" s="1" t="s">
        <v>34218</v>
      </c>
    </row>
    <row r="1198" spans="1:19" x14ac:dyDescent="0.25">
      <c r="A1198">
        <v>101121293</v>
      </c>
      <c r="B1198" t="s">
        <v>3193</v>
      </c>
      <c r="C1198" t="s">
        <v>3704</v>
      </c>
      <c r="D1198" t="s">
        <v>3705</v>
      </c>
      <c r="F1198" t="str">
        <f>"3019490178"</f>
        <v>3019490178</v>
      </c>
      <c r="G1198" t="s">
        <v>3706</v>
      </c>
      <c r="H1198" t="s">
        <v>3707</v>
      </c>
      <c r="I1198" t="s">
        <v>148</v>
      </c>
      <c r="J1198">
        <v>20895</v>
      </c>
      <c r="K1198">
        <v>1531</v>
      </c>
      <c r="L1198" t="s">
        <v>23</v>
      </c>
      <c r="M1198" t="s">
        <v>3706</v>
      </c>
      <c r="N1198" t="s">
        <v>3707</v>
      </c>
      <c r="O1198" t="s">
        <v>148</v>
      </c>
      <c r="P1198">
        <v>20895</v>
      </c>
      <c r="Q1198">
        <v>1531</v>
      </c>
      <c r="R1198" t="s">
        <v>23</v>
      </c>
      <c r="S1198" s="1" t="s">
        <v>34218</v>
      </c>
    </row>
    <row r="1199" spans="1:19" x14ac:dyDescent="0.25">
      <c r="A1199">
        <v>101332821</v>
      </c>
      <c r="B1199" t="s">
        <v>3708</v>
      </c>
      <c r="C1199" t="s">
        <v>350</v>
      </c>
      <c r="F1199" t="str">
        <f>"8458681046"</f>
        <v>8458681046</v>
      </c>
      <c r="G1199" t="s">
        <v>3709</v>
      </c>
      <c r="H1199" t="s">
        <v>3710</v>
      </c>
      <c r="I1199" t="s">
        <v>117</v>
      </c>
      <c r="J1199">
        <v>12581</v>
      </c>
      <c r="K1199">
        <v>296</v>
      </c>
      <c r="L1199" t="s">
        <v>23</v>
      </c>
      <c r="M1199" t="s">
        <v>3709</v>
      </c>
      <c r="N1199" t="s">
        <v>3710</v>
      </c>
      <c r="O1199" t="s">
        <v>117</v>
      </c>
      <c r="P1199">
        <v>12581</v>
      </c>
      <c r="Q1199">
        <v>296</v>
      </c>
      <c r="R1199" t="s">
        <v>23</v>
      </c>
      <c r="S1199" s="1" t="s">
        <v>34218</v>
      </c>
    </row>
    <row r="1200" spans="1:19" x14ac:dyDescent="0.25">
      <c r="A1200">
        <v>101341746</v>
      </c>
      <c r="B1200" t="s">
        <v>3711</v>
      </c>
      <c r="C1200" t="s">
        <v>350</v>
      </c>
      <c r="F1200" t="str">
        <f>"8316227763"</f>
        <v>8316227763</v>
      </c>
      <c r="G1200" t="s">
        <v>3712</v>
      </c>
      <c r="H1200" t="s">
        <v>3713</v>
      </c>
      <c r="I1200" t="s">
        <v>22</v>
      </c>
      <c r="J1200">
        <v>93953</v>
      </c>
      <c r="K1200">
        <v>3602</v>
      </c>
      <c r="L1200" t="s">
        <v>23</v>
      </c>
      <c r="M1200" t="s">
        <v>3712</v>
      </c>
      <c r="N1200" t="s">
        <v>3713</v>
      </c>
      <c r="O1200" t="s">
        <v>22</v>
      </c>
      <c r="P1200">
        <v>93953</v>
      </c>
      <c r="Q1200">
        <v>3602</v>
      </c>
      <c r="R1200" t="s">
        <v>23</v>
      </c>
      <c r="S1200" s="1" t="s">
        <v>34218</v>
      </c>
    </row>
    <row r="1201" spans="1:19" x14ac:dyDescent="0.25">
      <c r="A1201">
        <v>101335003</v>
      </c>
      <c r="B1201" t="s">
        <v>744</v>
      </c>
      <c r="C1201" t="s">
        <v>3714</v>
      </c>
      <c r="F1201" t="str">
        <f>"6104384782"</f>
        <v>6104384782</v>
      </c>
      <c r="G1201" t="s">
        <v>3715</v>
      </c>
      <c r="H1201" t="s">
        <v>3098</v>
      </c>
      <c r="I1201" t="s">
        <v>33</v>
      </c>
      <c r="J1201">
        <v>18045</v>
      </c>
      <c r="K1201">
        <v>2516</v>
      </c>
      <c r="L1201" t="s">
        <v>23</v>
      </c>
      <c r="M1201" t="s">
        <v>3715</v>
      </c>
      <c r="N1201" t="s">
        <v>3098</v>
      </c>
      <c r="O1201" t="s">
        <v>33</v>
      </c>
      <c r="P1201">
        <v>18045</v>
      </c>
      <c r="Q1201">
        <v>2516</v>
      </c>
      <c r="R1201" t="s">
        <v>23</v>
      </c>
      <c r="S1201" s="1" t="s">
        <v>34218</v>
      </c>
    </row>
    <row r="1202" spans="1:19" x14ac:dyDescent="0.25">
      <c r="A1202">
        <v>100793951</v>
      </c>
      <c r="B1202" t="s">
        <v>3716</v>
      </c>
      <c r="C1202" t="s">
        <v>2417</v>
      </c>
      <c r="F1202" t="str">
        <f>"7149651588"</f>
        <v>7149651588</v>
      </c>
      <c r="G1202" t="s">
        <v>3717</v>
      </c>
      <c r="H1202" t="s">
        <v>3718</v>
      </c>
      <c r="I1202" t="s">
        <v>100</v>
      </c>
      <c r="J1202">
        <v>53110</v>
      </c>
      <c r="K1202">
        <v>3229</v>
      </c>
      <c r="L1202" t="s">
        <v>23</v>
      </c>
      <c r="M1202" t="s">
        <v>3717</v>
      </c>
      <c r="N1202" t="s">
        <v>3718</v>
      </c>
      <c r="O1202" t="s">
        <v>100</v>
      </c>
      <c r="P1202">
        <v>53110</v>
      </c>
      <c r="Q1202">
        <v>3229</v>
      </c>
      <c r="R1202" t="s">
        <v>23</v>
      </c>
      <c r="S1202" s="1" t="s">
        <v>34218</v>
      </c>
    </row>
    <row r="1203" spans="1:19" x14ac:dyDescent="0.25">
      <c r="A1203">
        <v>100724195</v>
      </c>
      <c r="B1203" t="s">
        <v>3719</v>
      </c>
      <c r="C1203" t="s">
        <v>513</v>
      </c>
      <c r="F1203" t="str">
        <f>"2506180725"</f>
        <v>2506180725</v>
      </c>
      <c r="G1203" t="s">
        <v>3720</v>
      </c>
      <c r="H1203" t="s">
        <v>3721</v>
      </c>
      <c r="I1203" t="s">
        <v>117</v>
      </c>
      <c r="J1203">
        <v>11021</v>
      </c>
      <c r="L1203" t="s">
        <v>23</v>
      </c>
      <c r="M1203" t="s">
        <v>3720</v>
      </c>
      <c r="N1203" t="s">
        <v>3721</v>
      </c>
      <c r="O1203" t="s">
        <v>117</v>
      </c>
      <c r="P1203">
        <v>11021</v>
      </c>
      <c r="R1203" t="s">
        <v>23</v>
      </c>
      <c r="S1203" s="1" t="s">
        <v>34218</v>
      </c>
    </row>
    <row r="1204" spans="1:19" x14ac:dyDescent="0.25">
      <c r="A1204">
        <v>101225622</v>
      </c>
      <c r="B1204" t="s">
        <v>1505</v>
      </c>
      <c r="C1204" t="s">
        <v>1212</v>
      </c>
      <c r="F1204" t="str">
        <f>"3105081250"</f>
        <v>3105081250</v>
      </c>
      <c r="G1204" t="s">
        <v>3722</v>
      </c>
      <c r="H1204" t="s">
        <v>3723</v>
      </c>
      <c r="I1204" t="s">
        <v>22</v>
      </c>
      <c r="J1204">
        <v>92240</v>
      </c>
      <c r="K1204">
        <v>760</v>
      </c>
      <c r="L1204" t="s">
        <v>23</v>
      </c>
      <c r="M1204" t="s">
        <v>3722</v>
      </c>
      <c r="N1204" t="s">
        <v>3723</v>
      </c>
      <c r="O1204" t="s">
        <v>22</v>
      </c>
      <c r="P1204">
        <v>92240</v>
      </c>
      <c r="Q1204">
        <v>760</v>
      </c>
      <c r="R1204" t="s">
        <v>23</v>
      </c>
      <c r="S1204" s="1" t="s">
        <v>34218</v>
      </c>
    </row>
    <row r="1205" spans="1:19" x14ac:dyDescent="0.25">
      <c r="A1205">
        <v>101061465</v>
      </c>
      <c r="B1205" t="s">
        <v>3724</v>
      </c>
      <c r="C1205" t="s">
        <v>1906</v>
      </c>
      <c r="F1205" t="str">
        <f>"3602230459"</f>
        <v>3602230459</v>
      </c>
      <c r="G1205" t="s">
        <v>3725</v>
      </c>
      <c r="H1205" t="s">
        <v>591</v>
      </c>
      <c r="I1205" t="s">
        <v>84</v>
      </c>
      <c r="J1205">
        <v>98225</v>
      </c>
      <c r="K1205">
        <v>1051</v>
      </c>
      <c r="L1205" t="s">
        <v>23</v>
      </c>
      <c r="M1205" t="s">
        <v>3725</v>
      </c>
      <c r="N1205" t="s">
        <v>591</v>
      </c>
      <c r="O1205" t="s">
        <v>84</v>
      </c>
      <c r="P1205">
        <v>98225</v>
      </c>
      <c r="Q1205">
        <v>1051</v>
      </c>
      <c r="R1205" t="s">
        <v>23</v>
      </c>
      <c r="S1205" s="1" t="s">
        <v>34218</v>
      </c>
    </row>
    <row r="1206" spans="1:19" x14ac:dyDescent="0.25">
      <c r="A1206">
        <v>101182862</v>
      </c>
      <c r="B1206" t="s">
        <v>3726</v>
      </c>
      <c r="C1206" t="s">
        <v>3350</v>
      </c>
      <c r="F1206" t="str">
        <f>"7084857587"</f>
        <v>7084857587</v>
      </c>
      <c r="G1206" t="s">
        <v>3727</v>
      </c>
      <c r="H1206" t="s">
        <v>488</v>
      </c>
      <c r="I1206" t="s">
        <v>135</v>
      </c>
      <c r="J1206">
        <v>60513</v>
      </c>
      <c r="K1206">
        <v>817</v>
      </c>
      <c r="L1206" t="s">
        <v>23</v>
      </c>
      <c r="M1206" t="s">
        <v>3727</v>
      </c>
      <c r="N1206" t="s">
        <v>488</v>
      </c>
      <c r="O1206" t="s">
        <v>135</v>
      </c>
      <c r="P1206">
        <v>60513</v>
      </c>
      <c r="Q1206">
        <v>817</v>
      </c>
      <c r="R1206" t="s">
        <v>23</v>
      </c>
      <c r="S1206" s="1" t="s">
        <v>34218</v>
      </c>
    </row>
    <row r="1207" spans="1:19" x14ac:dyDescent="0.25">
      <c r="A1207">
        <v>101227700</v>
      </c>
      <c r="B1207" t="s">
        <v>3728</v>
      </c>
      <c r="C1207" t="s">
        <v>286</v>
      </c>
      <c r="F1207" t="str">
        <f>"9099480067"</f>
        <v>9099480067</v>
      </c>
      <c r="G1207" t="s">
        <v>3729</v>
      </c>
      <c r="H1207" t="s">
        <v>3388</v>
      </c>
      <c r="I1207" t="s">
        <v>22</v>
      </c>
      <c r="J1207">
        <v>91737</v>
      </c>
      <c r="K1207">
        <v>3017</v>
      </c>
      <c r="L1207" t="s">
        <v>23</v>
      </c>
      <c r="M1207" t="s">
        <v>3729</v>
      </c>
      <c r="N1207" t="s">
        <v>3388</v>
      </c>
      <c r="O1207" t="s">
        <v>22</v>
      </c>
      <c r="P1207">
        <v>91737</v>
      </c>
      <c r="Q1207">
        <v>3017</v>
      </c>
      <c r="R1207" t="s">
        <v>23</v>
      </c>
      <c r="S1207" s="1" t="s">
        <v>34218</v>
      </c>
    </row>
    <row r="1208" spans="1:19" x14ac:dyDescent="0.25">
      <c r="A1208">
        <v>100957695</v>
      </c>
      <c r="B1208" t="s">
        <v>3730</v>
      </c>
      <c r="C1208" t="s">
        <v>3731</v>
      </c>
      <c r="F1208" t="str">
        <f>"7063793031"</f>
        <v>7063793031</v>
      </c>
      <c r="G1208" t="s">
        <v>3732</v>
      </c>
      <c r="H1208" t="s">
        <v>3733</v>
      </c>
      <c r="I1208" t="s">
        <v>28</v>
      </c>
      <c r="J1208">
        <v>30582</v>
      </c>
      <c r="K1208">
        <v>1535</v>
      </c>
      <c r="L1208" t="s">
        <v>23</v>
      </c>
      <c r="M1208" t="s">
        <v>3732</v>
      </c>
      <c r="N1208" t="s">
        <v>3733</v>
      </c>
      <c r="O1208" t="s">
        <v>28</v>
      </c>
      <c r="P1208">
        <v>30582</v>
      </c>
      <c r="Q1208">
        <v>1535</v>
      </c>
      <c r="R1208" t="s">
        <v>23</v>
      </c>
      <c r="S1208" s="1" t="s">
        <v>34218</v>
      </c>
    </row>
    <row r="1209" spans="1:19" x14ac:dyDescent="0.25">
      <c r="A1209">
        <v>100786130</v>
      </c>
      <c r="B1209" t="s">
        <v>3734</v>
      </c>
      <c r="C1209" t="s">
        <v>3326</v>
      </c>
      <c r="F1209" t="str">
        <f>"5054733764"</f>
        <v>5054733764</v>
      </c>
      <c r="G1209" t="s">
        <v>3735</v>
      </c>
      <c r="H1209" t="s">
        <v>1431</v>
      </c>
      <c r="I1209" t="s">
        <v>639</v>
      </c>
      <c r="J1209" t="s">
        <v>3736</v>
      </c>
      <c r="K1209">
        <v>3565</v>
      </c>
      <c r="L1209" t="s">
        <v>23</v>
      </c>
      <c r="M1209" t="s">
        <v>3735</v>
      </c>
      <c r="N1209" t="s">
        <v>1431</v>
      </c>
      <c r="O1209" t="s">
        <v>639</v>
      </c>
      <c r="P1209" t="s">
        <v>3736</v>
      </c>
      <c r="Q1209">
        <v>3565</v>
      </c>
      <c r="R1209" t="s">
        <v>23</v>
      </c>
      <c r="S1209" s="1" t="s">
        <v>34218</v>
      </c>
    </row>
    <row r="1210" spans="1:19" x14ac:dyDescent="0.25">
      <c r="A1210">
        <v>100629876</v>
      </c>
      <c r="B1210" t="s">
        <v>3737</v>
      </c>
      <c r="C1210" t="s">
        <v>114</v>
      </c>
      <c r="F1210" t="str">
        <f>"7154989669"</f>
        <v>7154989669</v>
      </c>
      <c r="G1210" t="s">
        <v>3738</v>
      </c>
      <c r="H1210" t="s">
        <v>1972</v>
      </c>
      <c r="I1210" t="s">
        <v>100</v>
      </c>
      <c r="J1210" t="s">
        <v>3739</v>
      </c>
      <c r="K1210">
        <v>7200</v>
      </c>
      <c r="L1210" t="s">
        <v>23</v>
      </c>
      <c r="M1210" t="s">
        <v>3738</v>
      </c>
      <c r="N1210" t="s">
        <v>1972</v>
      </c>
      <c r="O1210" t="s">
        <v>100</v>
      </c>
      <c r="P1210" t="s">
        <v>3739</v>
      </c>
      <c r="Q1210">
        <v>7200</v>
      </c>
      <c r="R1210" t="s">
        <v>23</v>
      </c>
      <c r="S1210" s="1" t="s">
        <v>34218</v>
      </c>
    </row>
    <row r="1211" spans="1:19" x14ac:dyDescent="0.25">
      <c r="A1211">
        <v>101356394</v>
      </c>
      <c r="B1211" t="s">
        <v>3740</v>
      </c>
      <c r="C1211" t="s">
        <v>2653</v>
      </c>
      <c r="F1211" t="str">
        <f>"3234636383"</f>
        <v>3234636383</v>
      </c>
      <c r="G1211" t="s">
        <v>3741</v>
      </c>
      <c r="H1211" t="s">
        <v>299</v>
      </c>
      <c r="I1211" t="s">
        <v>22</v>
      </c>
      <c r="J1211">
        <v>90004</v>
      </c>
      <c r="K1211">
        <v>1107</v>
      </c>
      <c r="L1211" t="s">
        <v>23</v>
      </c>
      <c r="M1211" t="s">
        <v>3741</v>
      </c>
      <c r="N1211" t="s">
        <v>299</v>
      </c>
      <c r="O1211" t="s">
        <v>22</v>
      </c>
      <c r="P1211">
        <v>90004</v>
      </c>
      <c r="Q1211">
        <v>1107</v>
      </c>
      <c r="R1211" t="s">
        <v>23</v>
      </c>
      <c r="S1211" s="1" t="s">
        <v>34218</v>
      </c>
    </row>
    <row r="1212" spans="1:19" x14ac:dyDescent="0.25">
      <c r="A1212">
        <v>101350423</v>
      </c>
      <c r="B1212" t="s">
        <v>3742</v>
      </c>
      <c r="C1212" t="s">
        <v>3743</v>
      </c>
      <c r="F1212" t="str">
        <f>"9722937228"</f>
        <v>9722937228</v>
      </c>
      <c r="G1212" t="s">
        <v>3744</v>
      </c>
      <c r="H1212" t="s">
        <v>3745</v>
      </c>
      <c r="I1212" t="s">
        <v>38</v>
      </c>
      <c r="J1212">
        <v>75104</v>
      </c>
      <c r="K1212">
        <v>2942</v>
      </c>
      <c r="L1212" t="s">
        <v>23</v>
      </c>
      <c r="M1212" t="s">
        <v>3744</v>
      </c>
      <c r="N1212" t="s">
        <v>3745</v>
      </c>
      <c r="O1212" t="s">
        <v>38</v>
      </c>
      <c r="P1212">
        <v>75104</v>
      </c>
      <c r="Q1212">
        <v>2942</v>
      </c>
      <c r="R1212" t="s">
        <v>23</v>
      </c>
      <c r="S1212" s="1" t="s">
        <v>34218</v>
      </c>
    </row>
    <row r="1213" spans="1:19" x14ac:dyDescent="0.25">
      <c r="A1213">
        <v>101297284</v>
      </c>
      <c r="B1213" t="s">
        <v>3746</v>
      </c>
      <c r="C1213" t="s">
        <v>3747</v>
      </c>
      <c r="F1213" t="str">
        <f>"8314642527"</f>
        <v>8314642527</v>
      </c>
      <c r="G1213" t="s">
        <v>3748</v>
      </c>
      <c r="H1213" t="s">
        <v>1293</v>
      </c>
      <c r="I1213" t="s">
        <v>22</v>
      </c>
      <c r="J1213">
        <v>95062</v>
      </c>
      <c r="K1213">
        <v>2021</v>
      </c>
      <c r="L1213" t="s">
        <v>23</v>
      </c>
      <c r="M1213" t="s">
        <v>3748</v>
      </c>
      <c r="N1213" t="s">
        <v>1293</v>
      </c>
      <c r="O1213" t="s">
        <v>22</v>
      </c>
      <c r="P1213">
        <v>95062</v>
      </c>
      <c r="Q1213">
        <v>2021</v>
      </c>
      <c r="R1213" t="s">
        <v>23</v>
      </c>
      <c r="S1213" s="1" t="s">
        <v>34218</v>
      </c>
    </row>
    <row r="1214" spans="1:19" x14ac:dyDescent="0.25">
      <c r="A1214">
        <v>101278503</v>
      </c>
      <c r="B1214" t="s">
        <v>3749</v>
      </c>
      <c r="C1214" t="s">
        <v>1703</v>
      </c>
      <c r="F1214" t="str">
        <f>"6082712808"</f>
        <v>6082712808</v>
      </c>
      <c r="G1214" t="s">
        <v>3750</v>
      </c>
      <c r="H1214" t="s">
        <v>2375</v>
      </c>
      <c r="I1214" t="s">
        <v>100</v>
      </c>
      <c r="J1214">
        <v>53711</v>
      </c>
      <c r="K1214">
        <v>1008</v>
      </c>
      <c r="L1214" t="s">
        <v>23</v>
      </c>
      <c r="M1214" t="s">
        <v>3750</v>
      </c>
      <c r="N1214" t="s">
        <v>2375</v>
      </c>
      <c r="O1214" t="s">
        <v>100</v>
      </c>
      <c r="P1214">
        <v>53711</v>
      </c>
      <c r="Q1214">
        <v>1008</v>
      </c>
      <c r="R1214" t="s">
        <v>23</v>
      </c>
      <c r="S1214" s="1" t="s">
        <v>34218</v>
      </c>
    </row>
    <row r="1215" spans="1:19" x14ac:dyDescent="0.25">
      <c r="A1215">
        <v>101087175</v>
      </c>
      <c r="B1215" t="s">
        <v>1164</v>
      </c>
      <c r="C1215" t="s">
        <v>3751</v>
      </c>
      <c r="F1215" t="str">
        <f>"6304807911"</f>
        <v>6304807911</v>
      </c>
      <c r="G1215" t="s">
        <v>3752</v>
      </c>
      <c r="H1215" t="s">
        <v>2974</v>
      </c>
      <c r="I1215" t="s">
        <v>135</v>
      </c>
      <c r="J1215">
        <v>60189</v>
      </c>
      <c r="K1215">
        <v>8701</v>
      </c>
      <c r="L1215" t="s">
        <v>23</v>
      </c>
      <c r="M1215" t="s">
        <v>3752</v>
      </c>
      <c r="N1215" t="s">
        <v>2974</v>
      </c>
      <c r="O1215" t="s">
        <v>135</v>
      </c>
      <c r="P1215">
        <v>60189</v>
      </c>
      <c r="Q1215">
        <v>8701</v>
      </c>
      <c r="R1215" t="s">
        <v>23</v>
      </c>
      <c r="S1215" s="1" t="s">
        <v>34218</v>
      </c>
    </row>
    <row r="1216" spans="1:19" x14ac:dyDescent="0.25">
      <c r="A1216">
        <v>101382878</v>
      </c>
      <c r="B1216" t="s">
        <v>3753</v>
      </c>
      <c r="C1216" t="s">
        <v>3754</v>
      </c>
      <c r="F1216" t="str">
        <f>"8583443621"</f>
        <v>8583443621</v>
      </c>
      <c r="G1216" t="s">
        <v>3755</v>
      </c>
      <c r="H1216" t="s">
        <v>198</v>
      </c>
      <c r="I1216" t="s">
        <v>22</v>
      </c>
      <c r="J1216">
        <v>92122</v>
      </c>
      <c r="K1216">
        <v>3224</v>
      </c>
      <c r="L1216" t="s">
        <v>23</v>
      </c>
      <c r="M1216" t="s">
        <v>3755</v>
      </c>
      <c r="N1216" t="s">
        <v>198</v>
      </c>
      <c r="O1216" t="s">
        <v>22</v>
      </c>
      <c r="P1216">
        <v>92122</v>
      </c>
      <c r="Q1216">
        <v>3224</v>
      </c>
      <c r="R1216" t="s">
        <v>23</v>
      </c>
      <c r="S1216" s="1" t="s">
        <v>34218</v>
      </c>
    </row>
    <row r="1217" spans="1:19" x14ac:dyDescent="0.25">
      <c r="A1217">
        <v>101404095</v>
      </c>
      <c r="B1217" t="s">
        <v>3089</v>
      </c>
      <c r="C1217" t="s">
        <v>1598</v>
      </c>
      <c r="F1217" t="str">
        <f>"2073486871"</f>
        <v>2073486871</v>
      </c>
      <c r="G1217" t="s">
        <v>3756</v>
      </c>
      <c r="H1217" t="s">
        <v>3757</v>
      </c>
      <c r="I1217" t="s">
        <v>191</v>
      </c>
      <c r="J1217">
        <v>4650</v>
      </c>
      <c r="K1217">
        <v>3010</v>
      </c>
      <c r="L1217" t="s">
        <v>23</v>
      </c>
      <c r="M1217" t="s">
        <v>3756</v>
      </c>
      <c r="N1217" t="s">
        <v>3757</v>
      </c>
      <c r="O1217" t="s">
        <v>191</v>
      </c>
      <c r="P1217">
        <v>4650</v>
      </c>
      <c r="Q1217">
        <v>3010</v>
      </c>
      <c r="R1217" t="s">
        <v>23</v>
      </c>
      <c r="S1217" s="1" t="s">
        <v>34218</v>
      </c>
    </row>
    <row r="1218" spans="1:19" x14ac:dyDescent="0.25">
      <c r="A1218">
        <v>101407556</v>
      </c>
      <c r="B1218" t="s">
        <v>744</v>
      </c>
      <c r="C1218" t="s">
        <v>1588</v>
      </c>
      <c r="F1218" t="str">
        <f>"4147589013"</f>
        <v>4147589013</v>
      </c>
      <c r="G1218" t="s">
        <v>3758</v>
      </c>
      <c r="H1218" t="s">
        <v>3759</v>
      </c>
      <c r="I1218" t="s">
        <v>100</v>
      </c>
      <c r="J1218">
        <v>53012</v>
      </c>
      <c r="K1218">
        <v>9701</v>
      </c>
      <c r="L1218" t="s">
        <v>23</v>
      </c>
      <c r="M1218" t="s">
        <v>3758</v>
      </c>
      <c r="N1218" t="s">
        <v>3759</v>
      </c>
      <c r="O1218" t="s">
        <v>100</v>
      </c>
      <c r="P1218">
        <v>53012</v>
      </c>
      <c r="Q1218">
        <v>9701</v>
      </c>
      <c r="R1218" t="s">
        <v>23</v>
      </c>
      <c r="S1218" s="1" t="s">
        <v>34218</v>
      </c>
    </row>
    <row r="1219" spans="1:19" x14ac:dyDescent="0.25">
      <c r="A1219">
        <v>101334997</v>
      </c>
      <c r="B1219" t="s">
        <v>3760</v>
      </c>
      <c r="C1219" t="s">
        <v>1906</v>
      </c>
      <c r="F1219" t="str">
        <f>"8455367458"</f>
        <v>8455367458</v>
      </c>
      <c r="G1219" t="s">
        <v>3761</v>
      </c>
      <c r="H1219" t="s">
        <v>3762</v>
      </c>
      <c r="I1219" t="s">
        <v>117</v>
      </c>
      <c r="J1219">
        <v>10954</v>
      </c>
      <c r="K1219">
        <v>2803</v>
      </c>
      <c r="L1219" t="s">
        <v>23</v>
      </c>
      <c r="M1219" t="s">
        <v>3761</v>
      </c>
      <c r="N1219" t="s">
        <v>3762</v>
      </c>
      <c r="O1219" t="s">
        <v>117</v>
      </c>
      <c r="P1219">
        <v>10954</v>
      </c>
      <c r="Q1219">
        <v>2803</v>
      </c>
      <c r="R1219" t="s">
        <v>23</v>
      </c>
      <c r="S1219" s="1" t="s">
        <v>34218</v>
      </c>
    </row>
    <row r="1220" spans="1:19" x14ac:dyDescent="0.25">
      <c r="A1220">
        <v>100754004</v>
      </c>
      <c r="B1220" t="s">
        <v>3763</v>
      </c>
      <c r="C1220" t="s">
        <v>102</v>
      </c>
      <c r="F1220" t="str">
        <f>"5419294856"</f>
        <v>5419294856</v>
      </c>
      <c r="G1220" t="s">
        <v>3764</v>
      </c>
      <c r="H1220" t="s">
        <v>3765</v>
      </c>
      <c r="I1220" t="s">
        <v>43</v>
      </c>
      <c r="J1220">
        <v>97370</v>
      </c>
      <c r="K1220">
        <v>9732</v>
      </c>
      <c r="L1220" t="s">
        <v>23</v>
      </c>
      <c r="M1220" t="s">
        <v>3764</v>
      </c>
      <c r="N1220" t="s">
        <v>3765</v>
      </c>
      <c r="O1220" t="s">
        <v>43</v>
      </c>
      <c r="P1220">
        <v>97370</v>
      </c>
      <c r="Q1220">
        <v>9732</v>
      </c>
      <c r="R1220" t="s">
        <v>23</v>
      </c>
      <c r="S1220" s="1" t="s">
        <v>34218</v>
      </c>
    </row>
    <row r="1221" spans="1:19" x14ac:dyDescent="0.25">
      <c r="A1221">
        <v>100561646</v>
      </c>
      <c r="B1221" t="s">
        <v>3766</v>
      </c>
      <c r="C1221" t="s">
        <v>440</v>
      </c>
      <c r="F1221" t="str">
        <f>"6502825145"</f>
        <v>6502825145</v>
      </c>
      <c r="G1221" t="s">
        <v>3767</v>
      </c>
      <c r="H1221" t="s">
        <v>3768</v>
      </c>
      <c r="I1221" t="s">
        <v>22</v>
      </c>
      <c r="J1221">
        <v>94043</v>
      </c>
      <c r="K1221">
        <v>4428</v>
      </c>
      <c r="L1221" t="s">
        <v>23</v>
      </c>
      <c r="M1221" t="s">
        <v>3767</v>
      </c>
      <c r="N1221" t="s">
        <v>3768</v>
      </c>
      <c r="O1221" t="s">
        <v>22</v>
      </c>
      <c r="P1221">
        <v>94043</v>
      </c>
      <c r="Q1221">
        <v>4428</v>
      </c>
      <c r="R1221" t="s">
        <v>23</v>
      </c>
      <c r="S1221" s="1" t="s">
        <v>34218</v>
      </c>
    </row>
    <row r="1222" spans="1:19" x14ac:dyDescent="0.25">
      <c r="A1222">
        <v>101224188</v>
      </c>
      <c r="B1222" t="s">
        <v>3769</v>
      </c>
      <c r="C1222" t="s">
        <v>3770</v>
      </c>
      <c r="F1222" t="str">
        <f>"5202076934"</f>
        <v>5202076934</v>
      </c>
      <c r="G1222" t="s">
        <v>3771</v>
      </c>
      <c r="H1222" t="s">
        <v>3772</v>
      </c>
      <c r="I1222" t="s">
        <v>365</v>
      </c>
      <c r="J1222">
        <v>85614</v>
      </c>
      <c r="K1222">
        <v>4851</v>
      </c>
      <c r="L1222" t="s">
        <v>23</v>
      </c>
      <c r="M1222" t="s">
        <v>3771</v>
      </c>
      <c r="N1222" t="s">
        <v>3772</v>
      </c>
      <c r="O1222" t="s">
        <v>365</v>
      </c>
      <c r="P1222">
        <v>85614</v>
      </c>
      <c r="Q1222">
        <v>4851</v>
      </c>
      <c r="R1222" t="s">
        <v>23</v>
      </c>
      <c r="S1222" s="1" t="s">
        <v>34218</v>
      </c>
    </row>
    <row r="1223" spans="1:19" x14ac:dyDescent="0.25">
      <c r="A1223">
        <v>100997134</v>
      </c>
      <c r="B1223" t="s">
        <v>3773</v>
      </c>
      <c r="C1223" t="s">
        <v>3774</v>
      </c>
      <c r="F1223" t="str">
        <f>"2016159543"</f>
        <v>2016159543</v>
      </c>
      <c r="G1223" t="s">
        <v>3775</v>
      </c>
      <c r="H1223" t="s">
        <v>3776</v>
      </c>
      <c r="I1223" t="s">
        <v>250</v>
      </c>
      <c r="J1223">
        <v>7642</v>
      </c>
      <c r="K1223">
        <v>2313</v>
      </c>
      <c r="L1223" t="s">
        <v>23</v>
      </c>
      <c r="M1223" t="s">
        <v>3775</v>
      </c>
      <c r="N1223" t="s">
        <v>3776</v>
      </c>
      <c r="O1223" t="s">
        <v>250</v>
      </c>
      <c r="P1223">
        <v>7642</v>
      </c>
      <c r="Q1223">
        <v>2313</v>
      </c>
      <c r="R1223" t="s">
        <v>23</v>
      </c>
      <c r="S1223" s="1" t="s">
        <v>34218</v>
      </c>
    </row>
    <row r="1224" spans="1:19" x14ac:dyDescent="0.25">
      <c r="A1224">
        <v>100645948</v>
      </c>
      <c r="B1224" t="s">
        <v>3777</v>
      </c>
      <c r="C1224" t="s">
        <v>2642</v>
      </c>
      <c r="F1224" t="str">
        <f>"8315157868"</f>
        <v>8315157868</v>
      </c>
      <c r="G1224" t="s">
        <v>3778</v>
      </c>
      <c r="H1224" t="s">
        <v>1293</v>
      </c>
      <c r="I1224" t="s">
        <v>22</v>
      </c>
      <c r="J1224">
        <v>95062</v>
      </c>
      <c r="K1224">
        <v>4069</v>
      </c>
      <c r="L1224" t="s">
        <v>23</v>
      </c>
      <c r="M1224" t="s">
        <v>3778</v>
      </c>
      <c r="N1224" t="s">
        <v>1293</v>
      </c>
      <c r="O1224" t="s">
        <v>22</v>
      </c>
      <c r="P1224">
        <v>95062</v>
      </c>
      <c r="Q1224">
        <v>4069</v>
      </c>
      <c r="R1224" t="s">
        <v>23</v>
      </c>
      <c r="S1224" s="1" t="s">
        <v>34218</v>
      </c>
    </row>
    <row r="1225" spans="1:19" x14ac:dyDescent="0.25">
      <c r="A1225">
        <v>100766219</v>
      </c>
      <c r="B1225" t="s">
        <v>3779</v>
      </c>
      <c r="C1225" t="s">
        <v>3780</v>
      </c>
      <c r="F1225" t="str">
        <f>"8453424841"</f>
        <v>8453424841</v>
      </c>
      <c r="G1225" t="s">
        <v>3781</v>
      </c>
      <c r="H1225" t="s">
        <v>814</v>
      </c>
      <c r="I1225" t="s">
        <v>117</v>
      </c>
      <c r="J1225">
        <v>10940</v>
      </c>
      <c r="L1225" t="s">
        <v>23</v>
      </c>
      <c r="M1225" t="s">
        <v>3781</v>
      </c>
      <c r="N1225" t="s">
        <v>814</v>
      </c>
      <c r="O1225" t="s">
        <v>117</v>
      </c>
      <c r="P1225">
        <v>10940</v>
      </c>
      <c r="R1225" t="s">
        <v>23</v>
      </c>
      <c r="S1225" s="1" t="s">
        <v>34218</v>
      </c>
    </row>
    <row r="1226" spans="1:19" x14ac:dyDescent="0.25">
      <c r="A1226">
        <v>101221543</v>
      </c>
      <c r="B1226" t="s">
        <v>3782</v>
      </c>
      <c r="C1226" t="s">
        <v>763</v>
      </c>
      <c r="F1226" t="str">
        <f>"5205746966"</f>
        <v>5205746966</v>
      </c>
      <c r="G1226" t="s">
        <v>3783</v>
      </c>
      <c r="H1226" t="s">
        <v>1439</v>
      </c>
      <c r="I1226" t="s">
        <v>365</v>
      </c>
      <c r="J1226">
        <v>85747</v>
      </c>
      <c r="K1226">
        <v>9223</v>
      </c>
      <c r="L1226" t="s">
        <v>23</v>
      </c>
      <c r="M1226" t="s">
        <v>3783</v>
      </c>
      <c r="N1226" t="s">
        <v>1439</v>
      </c>
      <c r="O1226" t="s">
        <v>365</v>
      </c>
      <c r="P1226">
        <v>85747</v>
      </c>
      <c r="Q1226">
        <v>9223</v>
      </c>
      <c r="R1226" t="s">
        <v>23</v>
      </c>
      <c r="S1226" s="1" t="s">
        <v>34218</v>
      </c>
    </row>
    <row r="1227" spans="1:19" x14ac:dyDescent="0.25">
      <c r="A1227">
        <v>101093267</v>
      </c>
      <c r="B1227" t="s">
        <v>3784</v>
      </c>
      <c r="C1227" t="s">
        <v>554</v>
      </c>
      <c r="F1227" t="str">
        <f>"5036636128"</f>
        <v>5036636128</v>
      </c>
      <c r="G1227" t="s">
        <v>3785</v>
      </c>
      <c r="H1227" t="s">
        <v>3786</v>
      </c>
      <c r="I1227" t="s">
        <v>43</v>
      </c>
      <c r="J1227" t="s">
        <v>3787</v>
      </c>
      <c r="K1227">
        <v>9726</v>
      </c>
      <c r="L1227" t="s">
        <v>23</v>
      </c>
      <c r="M1227" t="s">
        <v>3785</v>
      </c>
      <c r="N1227" t="s">
        <v>3786</v>
      </c>
      <c r="O1227" t="s">
        <v>43</v>
      </c>
      <c r="P1227" t="s">
        <v>3787</v>
      </c>
      <c r="Q1227">
        <v>9726</v>
      </c>
      <c r="R1227" t="s">
        <v>23</v>
      </c>
      <c r="S1227" s="1" t="s">
        <v>34218</v>
      </c>
    </row>
    <row r="1228" spans="1:19" x14ac:dyDescent="0.25">
      <c r="A1228">
        <v>100613394</v>
      </c>
      <c r="B1228" t="s">
        <v>3788</v>
      </c>
      <c r="C1228" t="s">
        <v>1153</v>
      </c>
      <c r="F1228" t="str">
        <f>"6103085338"</f>
        <v>6103085338</v>
      </c>
      <c r="G1228" t="s">
        <v>3789</v>
      </c>
      <c r="H1228" t="s">
        <v>21</v>
      </c>
      <c r="I1228" t="s">
        <v>22</v>
      </c>
      <c r="J1228">
        <v>95401</v>
      </c>
      <c r="K1228">
        <v>9058</v>
      </c>
      <c r="L1228" t="s">
        <v>23</v>
      </c>
      <c r="M1228" t="s">
        <v>3789</v>
      </c>
      <c r="N1228" t="s">
        <v>21</v>
      </c>
      <c r="O1228" t="s">
        <v>22</v>
      </c>
      <c r="P1228">
        <v>95401</v>
      </c>
      <c r="Q1228">
        <v>9058</v>
      </c>
      <c r="R1228" t="s">
        <v>23</v>
      </c>
      <c r="S1228" s="1" t="s">
        <v>34218</v>
      </c>
    </row>
    <row r="1229" spans="1:19" x14ac:dyDescent="0.25">
      <c r="A1229">
        <v>100638499</v>
      </c>
      <c r="B1229" t="s">
        <v>3790</v>
      </c>
      <c r="C1229" t="s">
        <v>90</v>
      </c>
      <c r="F1229" t="str">
        <f>"4157765657"</f>
        <v>4157765657</v>
      </c>
      <c r="G1229" t="s">
        <v>3791</v>
      </c>
      <c r="H1229" t="s">
        <v>130</v>
      </c>
      <c r="I1229" t="s">
        <v>22</v>
      </c>
      <c r="J1229">
        <v>94109</v>
      </c>
      <c r="K1229">
        <v>4915</v>
      </c>
      <c r="L1229" t="s">
        <v>23</v>
      </c>
      <c r="M1229" t="s">
        <v>3791</v>
      </c>
      <c r="N1229" t="s">
        <v>130</v>
      </c>
      <c r="O1229" t="s">
        <v>22</v>
      </c>
      <c r="P1229">
        <v>94109</v>
      </c>
      <c r="Q1229">
        <v>4915</v>
      </c>
      <c r="R1229" t="s">
        <v>23</v>
      </c>
      <c r="S1229" s="1" t="s">
        <v>34218</v>
      </c>
    </row>
    <row r="1230" spans="1:19" x14ac:dyDescent="0.25">
      <c r="A1230">
        <v>101238955</v>
      </c>
      <c r="B1230" t="s">
        <v>3792</v>
      </c>
      <c r="C1230" t="s">
        <v>3511</v>
      </c>
      <c r="F1230" t="str">
        <f>"4342512472"</f>
        <v>4342512472</v>
      </c>
      <c r="G1230" t="s">
        <v>3793</v>
      </c>
      <c r="H1230" t="s">
        <v>3794</v>
      </c>
      <c r="I1230" t="s">
        <v>255</v>
      </c>
      <c r="J1230">
        <v>24541</v>
      </c>
      <c r="K1230">
        <v>5820</v>
      </c>
      <c r="L1230" t="s">
        <v>23</v>
      </c>
      <c r="M1230" t="s">
        <v>3793</v>
      </c>
      <c r="N1230" t="s">
        <v>3794</v>
      </c>
      <c r="O1230" t="s">
        <v>255</v>
      </c>
      <c r="P1230">
        <v>24541</v>
      </c>
      <c r="Q1230">
        <v>5820</v>
      </c>
      <c r="R1230" t="s">
        <v>23</v>
      </c>
      <c r="S1230" s="1" t="s">
        <v>34218</v>
      </c>
    </row>
    <row r="1231" spans="1:19" x14ac:dyDescent="0.25">
      <c r="A1231">
        <v>101241669</v>
      </c>
      <c r="B1231" t="s">
        <v>3795</v>
      </c>
      <c r="C1231" t="s">
        <v>30</v>
      </c>
      <c r="F1231" t="str">
        <f>"3604619846"</f>
        <v>3604619846</v>
      </c>
      <c r="G1231" t="s">
        <v>3796</v>
      </c>
      <c r="H1231" t="s">
        <v>3797</v>
      </c>
      <c r="I1231" t="s">
        <v>84</v>
      </c>
      <c r="J1231">
        <v>98245</v>
      </c>
      <c r="K1231">
        <v>8824</v>
      </c>
      <c r="L1231" t="s">
        <v>23</v>
      </c>
      <c r="M1231" t="s">
        <v>3796</v>
      </c>
      <c r="N1231" t="s">
        <v>3797</v>
      </c>
      <c r="O1231" t="s">
        <v>84</v>
      </c>
      <c r="P1231">
        <v>98245</v>
      </c>
      <c r="Q1231">
        <v>8824</v>
      </c>
      <c r="R1231" t="s">
        <v>23</v>
      </c>
      <c r="S1231" s="1" t="s">
        <v>34218</v>
      </c>
    </row>
    <row r="1232" spans="1:19" x14ac:dyDescent="0.25">
      <c r="A1232">
        <v>101234597</v>
      </c>
      <c r="B1232" t="s">
        <v>3798</v>
      </c>
      <c r="C1232" t="s">
        <v>403</v>
      </c>
      <c r="F1232" t="str">
        <f>"8177590400"</f>
        <v>8177590400</v>
      </c>
      <c r="G1232" t="s">
        <v>3799</v>
      </c>
      <c r="H1232" t="s">
        <v>419</v>
      </c>
      <c r="I1232" t="s">
        <v>38</v>
      </c>
      <c r="J1232">
        <v>76111</v>
      </c>
      <c r="K1232">
        <v>5958</v>
      </c>
      <c r="L1232" t="s">
        <v>23</v>
      </c>
      <c r="M1232" t="s">
        <v>3799</v>
      </c>
      <c r="N1232" t="s">
        <v>419</v>
      </c>
      <c r="O1232" t="s">
        <v>38</v>
      </c>
      <c r="P1232">
        <v>76111</v>
      </c>
      <c r="Q1232">
        <v>5958</v>
      </c>
      <c r="R1232" t="s">
        <v>23</v>
      </c>
      <c r="S1232" s="1" t="s">
        <v>34218</v>
      </c>
    </row>
    <row r="1233" spans="1:19" x14ac:dyDescent="0.25">
      <c r="A1233">
        <v>101246483</v>
      </c>
      <c r="B1233" t="s">
        <v>3800</v>
      </c>
      <c r="C1233" t="s">
        <v>543</v>
      </c>
      <c r="F1233" t="str">
        <f>"5597990480"</f>
        <v>5597990480</v>
      </c>
      <c r="G1233" t="s">
        <v>3801</v>
      </c>
      <c r="H1233" t="s">
        <v>3802</v>
      </c>
      <c r="I1233" t="s">
        <v>22</v>
      </c>
      <c r="J1233">
        <v>93277</v>
      </c>
      <c r="K1233">
        <v>1586</v>
      </c>
      <c r="L1233" t="s">
        <v>23</v>
      </c>
      <c r="M1233" t="s">
        <v>3801</v>
      </c>
      <c r="N1233" t="s">
        <v>3802</v>
      </c>
      <c r="O1233" t="s">
        <v>22</v>
      </c>
      <c r="P1233">
        <v>93277</v>
      </c>
      <c r="Q1233">
        <v>1586</v>
      </c>
      <c r="R1233" t="s">
        <v>23</v>
      </c>
      <c r="S1233" s="1" t="s">
        <v>34218</v>
      </c>
    </row>
    <row r="1234" spans="1:19" x14ac:dyDescent="0.25">
      <c r="A1234">
        <v>101251135</v>
      </c>
      <c r="B1234" t="s">
        <v>3803</v>
      </c>
      <c r="C1234" t="s">
        <v>123</v>
      </c>
      <c r="F1234" t="str">
        <f>"8129862904"</f>
        <v>8129862904</v>
      </c>
      <c r="G1234" t="s">
        <v>3804</v>
      </c>
      <c r="H1234" t="s">
        <v>3805</v>
      </c>
      <c r="I1234" t="s">
        <v>52</v>
      </c>
      <c r="J1234" t="s">
        <v>3806</v>
      </c>
      <c r="K1234">
        <v>3332</v>
      </c>
      <c r="L1234" t="s">
        <v>23</v>
      </c>
      <c r="M1234" t="s">
        <v>3804</v>
      </c>
      <c r="N1234" t="s">
        <v>3805</v>
      </c>
      <c r="O1234" t="s">
        <v>52</v>
      </c>
      <c r="P1234" t="s">
        <v>3806</v>
      </c>
      <c r="Q1234">
        <v>3332</v>
      </c>
      <c r="R1234" t="s">
        <v>23</v>
      </c>
      <c r="S1234" s="1" t="s">
        <v>34218</v>
      </c>
    </row>
    <row r="1235" spans="1:19" x14ac:dyDescent="0.25">
      <c r="A1235">
        <v>101109766</v>
      </c>
      <c r="B1235" t="s">
        <v>744</v>
      </c>
      <c r="C1235" t="s">
        <v>1107</v>
      </c>
      <c r="F1235" t="str">
        <f>"9496006824"</f>
        <v>9496006824</v>
      </c>
      <c r="G1235" t="s">
        <v>3807</v>
      </c>
      <c r="H1235" t="s">
        <v>3808</v>
      </c>
      <c r="I1235" t="s">
        <v>22</v>
      </c>
      <c r="J1235" t="s">
        <v>3809</v>
      </c>
      <c r="K1235">
        <v>3250</v>
      </c>
      <c r="L1235" t="s">
        <v>23</v>
      </c>
      <c r="M1235" t="s">
        <v>3807</v>
      </c>
      <c r="N1235" t="s">
        <v>3808</v>
      </c>
      <c r="O1235" t="s">
        <v>22</v>
      </c>
      <c r="P1235" t="s">
        <v>3809</v>
      </c>
      <c r="Q1235">
        <v>3250</v>
      </c>
      <c r="R1235" t="s">
        <v>23</v>
      </c>
      <c r="S1235" s="1" t="s">
        <v>34218</v>
      </c>
    </row>
    <row r="1236" spans="1:19" x14ac:dyDescent="0.25">
      <c r="A1236">
        <v>101333147</v>
      </c>
      <c r="B1236" t="s">
        <v>3193</v>
      </c>
      <c r="C1236" t="s">
        <v>2463</v>
      </c>
      <c r="F1236" t="str">
        <f>"9373233636"</f>
        <v>9373233636</v>
      </c>
      <c r="G1236" t="s">
        <v>3810</v>
      </c>
      <c r="H1236" t="s">
        <v>746</v>
      </c>
      <c r="I1236" t="s">
        <v>178</v>
      </c>
      <c r="J1236">
        <v>45504</v>
      </c>
      <c r="K1236">
        <v>3920</v>
      </c>
      <c r="L1236" t="s">
        <v>23</v>
      </c>
      <c r="M1236" t="s">
        <v>3810</v>
      </c>
      <c r="N1236" t="s">
        <v>746</v>
      </c>
      <c r="O1236" t="s">
        <v>178</v>
      </c>
      <c r="P1236">
        <v>45504</v>
      </c>
      <c r="Q1236">
        <v>3920</v>
      </c>
      <c r="R1236" t="s">
        <v>23</v>
      </c>
      <c r="S1236" s="1" t="s">
        <v>34218</v>
      </c>
    </row>
    <row r="1237" spans="1:19" x14ac:dyDescent="0.25">
      <c r="A1237">
        <v>101149882</v>
      </c>
      <c r="B1237" t="s">
        <v>308</v>
      </c>
      <c r="C1237" t="s">
        <v>3511</v>
      </c>
      <c r="F1237" t="str">
        <f>"4146886182"</f>
        <v>4146886182</v>
      </c>
      <c r="G1237" t="s">
        <v>3811</v>
      </c>
      <c r="H1237" t="s">
        <v>3812</v>
      </c>
      <c r="I1237" t="s">
        <v>100</v>
      </c>
      <c r="J1237">
        <v>53217</v>
      </c>
      <c r="K1237">
        <v>4320</v>
      </c>
      <c r="L1237" t="s">
        <v>23</v>
      </c>
      <c r="M1237" t="s">
        <v>3811</v>
      </c>
      <c r="N1237" t="s">
        <v>3812</v>
      </c>
      <c r="O1237" t="s">
        <v>100</v>
      </c>
      <c r="P1237">
        <v>53217</v>
      </c>
      <c r="Q1237">
        <v>4320</v>
      </c>
      <c r="R1237" t="s">
        <v>23</v>
      </c>
      <c r="S1237" s="1" t="s">
        <v>34218</v>
      </c>
    </row>
    <row r="1238" spans="1:19" x14ac:dyDescent="0.25">
      <c r="A1238">
        <v>101151043</v>
      </c>
      <c r="B1238" t="s">
        <v>3813</v>
      </c>
      <c r="C1238" t="s">
        <v>399</v>
      </c>
      <c r="F1238" t="str">
        <f>"4154564841"</f>
        <v>4154564841</v>
      </c>
      <c r="G1238" t="s">
        <v>3814</v>
      </c>
      <c r="H1238" t="s">
        <v>3815</v>
      </c>
      <c r="I1238" t="s">
        <v>22</v>
      </c>
      <c r="J1238">
        <v>94960</v>
      </c>
      <c r="K1238">
        <v>1848</v>
      </c>
      <c r="L1238" t="s">
        <v>23</v>
      </c>
      <c r="M1238" t="s">
        <v>3814</v>
      </c>
      <c r="N1238" t="s">
        <v>3815</v>
      </c>
      <c r="O1238" t="s">
        <v>22</v>
      </c>
      <c r="P1238">
        <v>94960</v>
      </c>
      <c r="Q1238">
        <v>1848</v>
      </c>
      <c r="R1238" t="s">
        <v>23</v>
      </c>
      <c r="S1238" s="1" t="s">
        <v>34218</v>
      </c>
    </row>
    <row r="1239" spans="1:19" x14ac:dyDescent="0.25">
      <c r="A1239">
        <v>101166807</v>
      </c>
      <c r="B1239" t="s">
        <v>3816</v>
      </c>
      <c r="C1239" t="s">
        <v>3817</v>
      </c>
      <c r="F1239" t="str">
        <f>"6613241254"</f>
        <v>6613241254</v>
      </c>
      <c r="G1239" t="s">
        <v>3818</v>
      </c>
      <c r="H1239" t="s">
        <v>1400</v>
      </c>
      <c r="I1239" t="s">
        <v>22</v>
      </c>
      <c r="J1239">
        <v>93301</v>
      </c>
      <c r="K1239">
        <v>5957</v>
      </c>
      <c r="L1239" t="s">
        <v>23</v>
      </c>
      <c r="M1239" t="s">
        <v>3818</v>
      </c>
      <c r="N1239" t="s">
        <v>1400</v>
      </c>
      <c r="O1239" t="s">
        <v>22</v>
      </c>
      <c r="P1239">
        <v>93301</v>
      </c>
      <c r="Q1239">
        <v>5957</v>
      </c>
      <c r="R1239" t="s">
        <v>23</v>
      </c>
      <c r="S1239" s="1" t="s">
        <v>34218</v>
      </c>
    </row>
    <row r="1240" spans="1:19" x14ac:dyDescent="0.25">
      <c r="A1240">
        <v>101378659</v>
      </c>
      <c r="B1240" t="s">
        <v>3819</v>
      </c>
      <c r="C1240" t="s">
        <v>1376</v>
      </c>
      <c r="F1240" t="str">
        <f>"9705278578"</f>
        <v>9705278578</v>
      </c>
      <c r="G1240" t="s">
        <v>3820</v>
      </c>
      <c r="H1240" t="s">
        <v>3821</v>
      </c>
      <c r="I1240" t="s">
        <v>71</v>
      </c>
      <c r="J1240" t="s">
        <v>3822</v>
      </c>
      <c r="K1240">
        <v>9693</v>
      </c>
      <c r="L1240" t="s">
        <v>23</v>
      </c>
      <c r="M1240" t="s">
        <v>3820</v>
      </c>
      <c r="N1240" t="s">
        <v>3821</v>
      </c>
      <c r="O1240" t="s">
        <v>71</v>
      </c>
      <c r="P1240" t="s">
        <v>3822</v>
      </c>
      <c r="Q1240">
        <v>9693</v>
      </c>
      <c r="R1240" t="s">
        <v>23</v>
      </c>
      <c r="S1240" s="1" t="s">
        <v>34218</v>
      </c>
    </row>
    <row r="1241" spans="1:19" x14ac:dyDescent="0.25">
      <c r="A1241">
        <v>101347585</v>
      </c>
      <c r="B1241" t="s">
        <v>2637</v>
      </c>
      <c r="C1241" t="s">
        <v>406</v>
      </c>
      <c r="F1241" t="str">
        <f>"7609943514"</f>
        <v>7609943514</v>
      </c>
      <c r="G1241" t="s">
        <v>3823</v>
      </c>
      <c r="H1241" t="s">
        <v>1780</v>
      </c>
      <c r="I1241" t="s">
        <v>22</v>
      </c>
      <c r="J1241">
        <v>92024</v>
      </c>
      <c r="K1241">
        <v>6649</v>
      </c>
      <c r="L1241" t="s">
        <v>23</v>
      </c>
      <c r="M1241" t="s">
        <v>3823</v>
      </c>
      <c r="N1241" t="s">
        <v>1780</v>
      </c>
      <c r="O1241" t="s">
        <v>22</v>
      </c>
      <c r="P1241">
        <v>92024</v>
      </c>
      <c r="Q1241">
        <v>6649</v>
      </c>
      <c r="R1241" t="s">
        <v>23</v>
      </c>
      <c r="S1241" s="1" t="s">
        <v>34218</v>
      </c>
    </row>
    <row r="1242" spans="1:19" x14ac:dyDescent="0.25">
      <c r="A1242">
        <v>101349370</v>
      </c>
      <c r="B1242" t="s">
        <v>3442</v>
      </c>
      <c r="C1242" t="s">
        <v>865</v>
      </c>
      <c r="F1242" t="str">
        <f>"9195108625"</f>
        <v>9195108625</v>
      </c>
      <c r="G1242" t="s">
        <v>3824</v>
      </c>
      <c r="H1242" t="s">
        <v>567</v>
      </c>
      <c r="I1242" t="s">
        <v>446</v>
      </c>
      <c r="J1242">
        <v>27607</v>
      </c>
      <c r="K1242">
        <v>3027</v>
      </c>
      <c r="L1242" t="s">
        <v>23</v>
      </c>
      <c r="M1242" t="s">
        <v>3824</v>
      </c>
      <c r="N1242" t="s">
        <v>567</v>
      </c>
      <c r="O1242" t="s">
        <v>446</v>
      </c>
      <c r="P1242">
        <v>27607</v>
      </c>
      <c r="Q1242">
        <v>3027</v>
      </c>
      <c r="R1242" t="s">
        <v>23</v>
      </c>
      <c r="S1242" s="1" t="s">
        <v>34218</v>
      </c>
    </row>
    <row r="1243" spans="1:19" x14ac:dyDescent="0.25">
      <c r="A1243">
        <v>101378028</v>
      </c>
      <c r="B1243" t="s">
        <v>3825</v>
      </c>
      <c r="C1243" t="s">
        <v>286</v>
      </c>
      <c r="F1243" t="str">
        <f>"4842219913"</f>
        <v>4842219913</v>
      </c>
      <c r="G1243" t="s">
        <v>3826</v>
      </c>
      <c r="H1243" t="s">
        <v>3827</v>
      </c>
      <c r="I1243" t="s">
        <v>33</v>
      </c>
      <c r="J1243">
        <v>18062</v>
      </c>
      <c r="K1243">
        <v>9432</v>
      </c>
      <c r="L1243" t="s">
        <v>23</v>
      </c>
      <c r="M1243" t="s">
        <v>3826</v>
      </c>
      <c r="N1243" t="s">
        <v>3827</v>
      </c>
      <c r="O1243" t="s">
        <v>33</v>
      </c>
      <c r="P1243">
        <v>18062</v>
      </c>
      <c r="Q1243">
        <v>9432</v>
      </c>
      <c r="R1243" t="s">
        <v>23</v>
      </c>
      <c r="S1243" s="1" t="s">
        <v>34218</v>
      </c>
    </row>
    <row r="1244" spans="1:19" x14ac:dyDescent="0.25">
      <c r="A1244">
        <v>101131823</v>
      </c>
      <c r="B1244" t="s">
        <v>3828</v>
      </c>
      <c r="C1244" t="s">
        <v>1422</v>
      </c>
      <c r="F1244" t="str">
        <f>"4352244316"</f>
        <v>4352244316</v>
      </c>
      <c r="G1244" t="s">
        <v>3829</v>
      </c>
      <c r="H1244" t="s">
        <v>3830</v>
      </c>
      <c r="I1244" t="s">
        <v>332</v>
      </c>
      <c r="J1244">
        <v>84013</v>
      </c>
      <c r="K1244">
        <v>9712</v>
      </c>
      <c r="L1244" t="s">
        <v>23</v>
      </c>
      <c r="M1244" t="s">
        <v>3829</v>
      </c>
      <c r="N1244" t="s">
        <v>3830</v>
      </c>
      <c r="O1244" t="s">
        <v>332</v>
      </c>
      <c r="P1244">
        <v>84013</v>
      </c>
      <c r="Q1244">
        <v>9712</v>
      </c>
      <c r="R1244" t="s">
        <v>23</v>
      </c>
      <c r="S1244" s="1" t="s">
        <v>34218</v>
      </c>
    </row>
    <row r="1245" spans="1:19" x14ac:dyDescent="0.25">
      <c r="A1245">
        <v>101396486</v>
      </c>
      <c r="B1245" t="s">
        <v>3831</v>
      </c>
      <c r="C1245" t="s">
        <v>3832</v>
      </c>
      <c r="F1245" t="str">
        <f>"6077480844"</f>
        <v>6077480844</v>
      </c>
      <c r="G1245" t="s">
        <v>3833</v>
      </c>
      <c r="H1245" t="s">
        <v>3834</v>
      </c>
      <c r="I1245" t="s">
        <v>117</v>
      </c>
      <c r="J1245">
        <v>13760</v>
      </c>
      <c r="K1245">
        <v>3237</v>
      </c>
      <c r="L1245" t="s">
        <v>23</v>
      </c>
      <c r="M1245" t="s">
        <v>3833</v>
      </c>
      <c r="N1245" t="s">
        <v>3834</v>
      </c>
      <c r="O1245" t="s">
        <v>117</v>
      </c>
      <c r="P1245">
        <v>13760</v>
      </c>
      <c r="Q1245">
        <v>3237</v>
      </c>
      <c r="R1245" t="s">
        <v>23</v>
      </c>
      <c r="S1245" s="1" t="s">
        <v>34218</v>
      </c>
    </row>
    <row r="1246" spans="1:19" x14ac:dyDescent="0.25">
      <c r="A1246">
        <v>101393890</v>
      </c>
      <c r="B1246" t="s">
        <v>3835</v>
      </c>
      <c r="C1246" t="s">
        <v>1107</v>
      </c>
      <c r="F1246" t="str">
        <f>"6303550791"</f>
        <v>6303550791</v>
      </c>
      <c r="G1246" t="s">
        <v>3836</v>
      </c>
      <c r="H1246" t="s">
        <v>694</v>
      </c>
      <c r="I1246" t="s">
        <v>135</v>
      </c>
      <c r="J1246">
        <v>60540</v>
      </c>
      <c r="K1246">
        <v>8023</v>
      </c>
      <c r="L1246" t="s">
        <v>23</v>
      </c>
      <c r="M1246" t="s">
        <v>3836</v>
      </c>
      <c r="N1246" t="s">
        <v>694</v>
      </c>
      <c r="O1246" t="s">
        <v>135</v>
      </c>
      <c r="P1246">
        <v>60540</v>
      </c>
      <c r="Q1246">
        <v>8023</v>
      </c>
      <c r="R1246" t="s">
        <v>23</v>
      </c>
      <c r="S1246" s="1" t="s">
        <v>34218</v>
      </c>
    </row>
    <row r="1247" spans="1:19" x14ac:dyDescent="0.25">
      <c r="A1247">
        <v>101396031</v>
      </c>
      <c r="B1247" t="s">
        <v>3482</v>
      </c>
      <c r="C1247" t="s">
        <v>846</v>
      </c>
      <c r="F1247" t="str">
        <f>"7039414861"</f>
        <v>7039414861</v>
      </c>
      <c r="G1247" t="s">
        <v>3837</v>
      </c>
      <c r="H1247" t="s">
        <v>357</v>
      </c>
      <c r="I1247" t="s">
        <v>255</v>
      </c>
      <c r="J1247">
        <v>22312</v>
      </c>
      <c r="K1247">
        <v>2005</v>
      </c>
      <c r="L1247" t="s">
        <v>23</v>
      </c>
      <c r="M1247" t="s">
        <v>3837</v>
      </c>
      <c r="N1247" t="s">
        <v>357</v>
      </c>
      <c r="O1247" t="s">
        <v>255</v>
      </c>
      <c r="P1247">
        <v>22312</v>
      </c>
      <c r="Q1247">
        <v>2005</v>
      </c>
      <c r="R1247" t="s">
        <v>23</v>
      </c>
      <c r="S1247" s="1" t="s">
        <v>34218</v>
      </c>
    </row>
    <row r="1248" spans="1:19" x14ac:dyDescent="0.25">
      <c r="A1248">
        <v>100983857</v>
      </c>
      <c r="B1248" t="s">
        <v>3838</v>
      </c>
      <c r="C1248" t="s">
        <v>119</v>
      </c>
      <c r="F1248" t="str">
        <f>"2193265000"</f>
        <v>2193265000</v>
      </c>
      <c r="G1248" t="s">
        <v>3839</v>
      </c>
      <c r="H1248" t="s">
        <v>3840</v>
      </c>
      <c r="I1248" t="s">
        <v>57</v>
      </c>
      <c r="J1248">
        <v>46350</v>
      </c>
      <c r="K1248">
        <v>7581</v>
      </c>
      <c r="L1248" t="s">
        <v>23</v>
      </c>
      <c r="M1248" t="s">
        <v>3839</v>
      </c>
      <c r="N1248" t="s">
        <v>3840</v>
      </c>
      <c r="O1248" t="s">
        <v>57</v>
      </c>
      <c r="P1248">
        <v>46350</v>
      </c>
      <c r="Q1248">
        <v>7581</v>
      </c>
      <c r="R1248" t="s">
        <v>23</v>
      </c>
      <c r="S1248" s="1" t="s">
        <v>34218</v>
      </c>
    </row>
    <row r="1249" spans="1:19" x14ac:dyDescent="0.25">
      <c r="A1249">
        <v>101184778</v>
      </c>
      <c r="B1249" t="s">
        <v>3841</v>
      </c>
      <c r="C1249" t="s">
        <v>1588</v>
      </c>
      <c r="F1249" t="str">
        <f>"6414720141"</f>
        <v>6414720141</v>
      </c>
      <c r="G1249" t="s">
        <v>3842</v>
      </c>
      <c r="H1249" t="s">
        <v>3680</v>
      </c>
      <c r="I1249" t="s">
        <v>565</v>
      </c>
      <c r="J1249">
        <v>52556</v>
      </c>
      <c r="K1249">
        <v>8761</v>
      </c>
      <c r="L1249" t="s">
        <v>23</v>
      </c>
      <c r="M1249" t="s">
        <v>3842</v>
      </c>
      <c r="N1249" t="s">
        <v>3680</v>
      </c>
      <c r="O1249" t="s">
        <v>565</v>
      </c>
      <c r="P1249">
        <v>52556</v>
      </c>
      <c r="Q1249">
        <v>8761</v>
      </c>
      <c r="R1249" t="s">
        <v>23</v>
      </c>
      <c r="S1249" s="1" t="s">
        <v>34218</v>
      </c>
    </row>
    <row r="1250" spans="1:19" x14ac:dyDescent="0.25">
      <c r="A1250">
        <v>101200254</v>
      </c>
      <c r="B1250" t="s">
        <v>3843</v>
      </c>
      <c r="C1250" t="s">
        <v>1859</v>
      </c>
      <c r="F1250" t="str">
        <f>"4253189247"</f>
        <v>4253189247</v>
      </c>
      <c r="G1250" t="s">
        <v>3844</v>
      </c>
      <c r="H1250" t="s">
        <v>3845</v>
      </c>
      <c r="I1250" t="s">
        <v>84</v>
      </c>
      <c r="J1250">
        <v>99324</v>
      </c>
      <c r="K1250">
        <v>4013</v>
      </c>
      <c r="L1250" t="s">
        <v>23</v>
      </c>
      <c r="M1250" t="s">
        <v>3844</v>
      </c>
      <c r="N1250" t="s">
        <v>3845</v>
      </c>
      <c r="O1250" t="s">
        <v>84</v>
      </c>
      <c r="P1250">
        <v>99324</v>
      </c>
      <c r="Q1250">
        <v>4013</v>
      </c>
      <c r="R1250" t="s">
        <v>23</v>
      </c>
      <c r="S1250" s="1" t="s">
        <v>34218</v>
      </c>
    </row>
    <row r="1251" spans="1:19" x14ac:dyDescent="0.25">
      <c r="A1251">
        <v>101294063</v>
      </c>
      <c r="B1251" t="s">
        <v>1326</v>
      </c>
      <c r="C1251" t="s">
        <v>3350</v>
      </c>
      <c r="F1251" t="str">
        <f>"7145551212"</f>
        <v>7145551212</v>
      </c>
      <c r="G1251" t="s">
        <v>3846</v>
      </c>
      <c r="H1251" t="s">
        <v>3847</v>
      </c>
      <c r="I1251" t="s">
        <v>22</v>
      </c>
      <c r="J1251">
        <v>92648</v>
      </c>
      <c r="K1251">
        <v>4411</v>
      </c>
      <c r="L1251" t="s">
        <v>23</v>
      </c>
      <c r="M1251" t="s">
        <v>3846</v>
      </c>
      <c r="N1251" t="s">
        <v>3847</v>
      </c>
      <c r="O1251" t="s">
        <v>22</v>
      </c>
      <c r="P1251">
        <v>92648</v>
      </c>
      <c r="Q1251">
        <v>4411</v>
      </c>
      <c r="R1251" t="s">
        <v>23</v>
      </c>
      <c r="S1251" s="1" t="s">
        <v>34218</v>
      </c>
    </row>
    <row r="1252" spans="1:19" x14ac:dyDescent="0.25">
      <c r="A1252">
        <v>101297258</v>
      </c>
      <c r="B1252" t="s">
        <v>3848</v>
      </c>
      <c r="C1252" t="s">
        <v>554</v>
      </c>
      <c r="F1252" t="str">
        <f>"4027709636"</f>
        <v>4027709636</v>
      </c>
      <c r="G1252" t="s">
        <v>3849</v>
      </c>
      <c r="H1252" t="s">
        <v>369</v>
      </c>
      <c r="I1252" t="s">
        <v>370</v>
      </c>
      <c r="J1252">
        <v>68510</v>
      </c>
      <c r="K1252">
        <v>4848</v>
      </c>
      <c r="L1252" t="s">
        <v>23</v>
      </c>
      <c r="M1252" t="s">
        <v>3849</v>
      </c>
      <c r="N1252" t="s">
        <v>369</v>
      </c>
      <c r="O1252" t="s">
        <v>370</v>
      </c>
      <c r="P1252">
        <v>68510</v>
      </c>
      <c r="Q1252">
        <v>4848</v>
      </c>
      <c r="R1252" t="s">
        <v>23</v>
      </c>
      <c r="S1252" s="1" t="s">
        <v>34218</v>
      </c>
    </row>
    <row r="1253" spans="1:19" x14ac:dyDescent="0.25">
      <c r="A1253">
        <v>101307578</v>
      </c>
      <c r="B1253" t="s">
        <v>3850</v>
      </c>
      <c r="C1253" t="s">
        <v>575</v>
      </c>
      <c r="F1253" t="str">
        <f>"8106061571"</f>
        <v>8106061571</v>
      </c>
      <c r="G1253" t="s">
        <v>3851</v>
      </c>
      <c r="H1253" t="s">
        <v>3852</v>
      </c>
      <c r="I1253" t="s">
        <v>140</v>
      </c>
      <c r="J1253">
        <v>48439</v>
      </c>
      <c r="K1253">
        <v>7938</v>
      </c>
      <c r="L1253" t="s">
        <v>23</v>
      </c>
      <c r="M1253" t="s">
        <v>3851</v>
      </c>
      <c r="N1253" t="s">
        <v>3852</v>
      </c>
      <c r="O1253" t="s">
        <v>140</v>
      </c>
      <c r="P1253">
        <v>48439</v>
      </c>
      <c r="Q1253">
        <v>7938</v>
      </c>
      <c r="R1253" t="s">
        <v>23</v>
      </c>
      <c r="S1253" s="1" t="s">
        <v>34218</v>
      </c>
    </row>
    <row r="1254" spans="1:19" x14ac:dyDescent="0.25">
      <c r="A1254">
        <v>101336696</v>
      </c>
      <c r="B1254" t="s">
        <v>3853</v>
      </c>
      <c r="C1254" t="s">
        <v>3854</v>
      </c>
      <c r="F1254" t="str">
        <f>"8312244290"</f>
        <v>8312244290</v>
      </c>
      <c r="G1254" t="s">
        <v>3855</v>
      </c>
      <c r="H1254" t="s">
        <v>3856</v>
      </c>
      <c r="I1254" t="s">
        <v>22</v>
      </c>
      <c r="J1254">
        <v>93955</v>
      </c>
      <c r="K1254">
        <v>6758</v>
      </c>
      <c r="L1254" t="s">
        <v>23</v>
      </c>
      <c r="M1254" t="s">
        <v>3855</v>
      </c>
      <c r="N1254" t="s">
        <v>3856</v>
      </c>
      <c r="O1254" t="s">
        <v>22</v>
      </c>
      <c r="P1254">
        <v>93955</v>
      </c>
      <c r="Q1254">
        <v>6758</v>
      </c>
      <c r="R1254" t="s">
        <v>23</v>
      </c>
      <c r="S1254" s="1" t="s">
        <v>34218</v>
      </c>
    </row>
    <row r="1255" spans="1:19" x14ac:dyDescent="0.25">
      <c r="A1255">
        <v>100658581</v>
      </c>
      <c r="B1255" t="s">
        <v>3857</v>
      </c>
      <c r="C1255" t="s">
        <v>3858</v>
      </c>
      <c r="F1255" t="str">
        <f>"5555555555"</f>
        <v>5555555555</v>
      </c>
      <c r="G1255">
        <v>6002</v>
      </c>
      <c r="H1255" t="s">
        <v>3859</v>
      </c>
      <c r="I1255" t="s">
        <v>161</v>
      </c>
      <c r="J1255">
        <v>6002</v>
      </c>
      <c r="L1255" t="s">
        <v>23</v>
      </c>
      <c r="M1255">
        <v>6002</v>
      </c>
      <c r="N1255" t="s">
        <v>3859</v>
      </c>
      <c r="O1255" t="s">
        <v>161</v>
      </c>
      <c r="P1255">
        <v>6002</v>
      </c>
      <c r="R1255" t="s">
        <v>23</v>
      </c>
      <c r="S1255" s="1" t="s">
        <v>34218</v>
      </c>
    </row>
    <row r="1256" spans="1:19" x14ac:dyDescent="0.25">
      <c r="A1256">
        <v>101223584</v>
      </c>
      <c r="B1256" t="s">
        <v>3860</v>
      </c>
      <c r="C1256" t="s">
        <v>1239</v>
      </c>
      <c r="F1256" t="str">
        <f>"4842660564"</f>
        <v>4842660564</v>
      </c>
      <c r="G1256" t="s">
        <v>3861</v>
      </c>
      <c r="H1256" t="s">
        <v>3862</v>
      </c>
      <c r="I1256" t="s">
        <v>33</v>
      </c>
      <c r="J1256">
        <v>19382</v>
      </c>
      <c r="K1256">
        <v>6380</v>
      </c>
      <c r="L1256" t="s">
        <v>23</v>
      </c>
      <c r="M1256" t="s">
        <v>3861</v>
      </c>
      <c r="N1256" t="s">
        <v>3862</v>
      </c>
      <c r="O1256" t="s">
        <v>33</v>
      </c>
      <c r="P1256">
        <v>19382</v>
      </c>
      <c r="Q1256">
        <v>6380</v>
      </c>
      <c r="R1256" t="s">
        <v>23</v>
      </c>
      <c r="S1256" s="1" t="s">
        <v>34218</v>
      </c>
    </row>
    <row r="1257" spans="1:19" x14ac:dyDescent="0.25">
      <c r="A1257">
        <v>101230425</v>
      </c>
      <c r="B1257" t="s">
        <v>3863</v>
      </c>
      <c r="C1257" t="s">
        <v>547</v>
      </c>
      <c r="F1257" t="str">
        <f>"4255569376"</f>
        <v>4255569376</v>
      </c>
      <c r="G1257" t="s">
        <v>3864</v>
      </c>
      <c r="H1257" t="s">
        <v>1508</v>
      </c>
      <c r="I1257" t="s">
        <v>84</v>
      </c>
      <c r="J1257">
        <v>98026</v>
      </c>
      <c r="K1257">
        <v>8616</v>
      </c>
      <c r="L1257" t="s">
        <v>23</v>
      </c>
      <c r="M1257" t="s">
        <v>3864</v>
      </c>
      <c r="N1257" t="s">
        <v>1508</v>
      </c>
      <c r="O1257" t="s">
        <v>84</v>
      </c>
      <c r="P1257">
        <v>98026</v>
      </c>
      <c r="Q1257">
        <v>8616</v>
      </c>
      <c r="R1257" t="s">
        <v>23</v>
      </c>
      <c r="S1257" s="1" t="s">
        <v>34218</v>
      </c>
    </row>
    <row r="1258" spans="1:19" x14ac:dyDescent="0.25">
      <c r="A1258">
        <v>100579040</v>
      </c>
      <c r="B1258" t="s">
        <v>3865</v>
      </c>
      <c r="C1258" t="s">
        <v>3164</v>
      </c>
      <c r="F1258" t="str">
        <f>"2145590446"</f>
        <v>2145590446</v>
      </c>
      <c r="G1258" t="s">
        <v>3866</v>
      </c>
      <c r="H1258" t="s">
        <v>3867</v>
      </c>
      <c r="I1258" t="s">
        <v>38</v>
      </c>
      <c r="J1258">
        <v>75062</v>
      </c>
      <c r="K1258">
        <v>7167</v>
      </c>
      <c r="L1258" t="s">
        <v>23</v>
      </c>
      <c r="M1258" t="s">
        <v>3866</v>
      </c>
      <c r="N1258" t="s">
        <v>3867</v>
      </c>
      <c r="O1258" t="s">
        <v>38</v>
      </c>
      <c r="P1258">
        <v>75062</v>
      </c>
      <c r="Q1258">
        <v>7167</v>
      </c>
      <c r="R1258" t="s">
        <v>23</v>
      </c>
      <c r="S1258" s="1" t="s">
        <v>34218</v>
      </c>
    </row>
    <row r="1259" spans="1:19" x14ac:dyDescent="0.25">
      <c r="A1259">
        <v>100622098</v>
      </c>
      <c r="B1259" t="s">
        <v>3868</v>
      </c>
      <c r="C1259" t="s">
        <v>554</v>
      </c>
      <c r="F1259" t="str">
        <f>"6157145223"</f>
        <v>6157145223</v>
      </c>
      <c r="H1259" t="s">
        <v>913</v>
      </c>
      <c r="I1259" t="s">
        <v>914</v>
      </c>
      <c r="J1259">
        <v>37216</v>
      </c>
      <c r="L1259" t="s">
        <v>23</v>
      </c>
      <c r="N1259" t="s">
        <v>913</v>
      </c>
      <c r="O1259" t="s">
        <v>914</v>
      </c>
      <c r="P1259">
        <v>37216</v>
      </c>
      <c r="R1259" t="s">
        <v>23</v>
      </c>
      <c r="S1259" s="1" t="s">
        <v>34218</v>
      </c>
    </row>
    <row r="1260" spans="1:19" x14ac:dyDescent="0.25">
      <c r="A1260">
        <v>101339521</v>
      </c>
      <c r="B1260" t="s">
        <v>3869</v>
      </c>
      <c r="C1260" t="s">
        <v>699</v>
      </c>
      <c r="F1260" t="str">
        <f>"7609176266"</f>
        <v>7609176266</v>
      </c>
      <c r="G1260" t="s">
        <v>3870</v>
      </c>
      <c r="H1260" t="s">
        <v>2468</v>
      </c>
      <c r="I1260" t="s">
        <v>22</v>
      </c>
      <c r="J1260">
        <v>92081</v>
      </c>
      <c r="L1260" t="s">
        <v>23</v>
      </c>
      <c r="M1260" t="s">
        <v>3870</v>
      </c>
      <c r="N1260" t="s">
        <v>2468</v>
      </c>
      <c r="O1260" t="s">
        <v>22</v>
      </c>
      <c r="P1260">
        <v>92081</v>
      </c>
      <c r="R1260" t="s">
        <v>23</v>
      </c>
      <c r="S1260" s="1" t="s">
        <v>34218</v>
      </c>
    </row>
    <row r="1261" spans="1:19" x14ac:dyDescent="0.25">
      <c r="A1261">
        <v>101331878</v>
      </c>
      <c r="B1261" t="s">
        <v>3871</v>
      </c>
      <c r="C1261" t="s">
        <v>579</v>
      </c>
      <c r="F1261" t="str">
        <f>"5416780992"</f>
        <v>5416780992</v>
      </c>
      <c r="G1261" t="s">
        <v>3872</v>
      </c>
      <c r="H1261" t="s">
        <v>2391</v>
      </c>
      <c r="I1261" t="s">
        <v>43</v>
      </c>
      <c r="J1261">
        <v>97703</v>
      </c>
      <c r="K1261">
        <v>7324</v>
      </c>
      <c r="L1261" t="s">
        <v>23</v>
      </c>
      <c r="M1261" t="s">
        <v>3872</v>
      </c>
      <c r="N1261" t="s">
        <v>2391</v>
      </c>
      <c r="O1261" t="s">
        <v>43</v>
      </c>
      <c r="P1261">
        <v>97703</v>
      </c>
      <c r="Q1261">
        <v>7324</v>
      </c>
      <c r="R1261" t="s">
        <v>23</v>
      </c>
      <c r="S1261" s="1" t="s">
        <v>34218</v>
      </c>
    </row>
    <row r="1262" spans="1:19" x14ac:dyDescent="0.25">
      <c r="A1262">
        <v>101270473</v>
      </c>
      <c r="B1262" t="s">
        <v>3873</v>
      </c>
      <c r="C1262" t="s">
        <v>3874</v>
      </c>
      <c r="F1262" t="str">
        <f>"8189971356"</f>
        <v>8189971356</v>
      </c>
      <c r="G1262" t="s">
        <v>3875</v>
      </c>
      <c r="H1262" t="s">
        <v>3876</v>
      </c>
      <c r="I1262" t="s">
        <v>22</v>
      </c>
      <c r="J1262">
        <v>91401</v>
      </c>
      <c r="K1262">
        <v>2429</v>
      </c>
      <c r="L1262" t="s">
        <v>23</v>
      </c>
      <c r="M1262" t="s">
        <v>3875</v>
      </c>
      <c r="N1262" t="s">
        <v>3876</v>
      </c>
      <c r="O1262" t="s">
        <v>22</v>
      </c>
      <c r="P1262">
        <v>91401</v>
      </c>
      <c r="Q1262">
        <v>2429</v>
      </c>
      <c r="R1262" t="s">
        <v>23</v>
      </c>
      <c r="S1262" s="1" t="s">
        <v>34218</v>
      </c>
    </row>
    <row r="1263" spans="1:19" x14ac:dyDescent="0.25">
      <c r="A1263">
        <v>100552882</v>
      </c>
      <c r="B1263" t="s">
        <v>3877</v>
      </c>
      <c r="C1263" t="s">
        <v>3878</v>
      </c>
      <c r="F1263" t="str">
        <f>"6479988684"</f>
        <v>6479988684</v>
      </c>
      <c r="G1263" t="s">
        <v>3879</v>
      </c>
      <c r="H1263" t="s">
        <v>3880</v>
      </c>
      <c r="I1263" t="s">
        <v>22</v>
      </c>
      <c r="J1263">
        <v>95688</v>
      </c>
      <c r="L1263" t="s">
        <v>23</v>
      </c>
      <c r="M1263" t="s">
        <v>3879</v>
      </c>
      <c r="N1263" t="s">
        <v>3880</v>
      </c>
      <c r="O1263" t="s">
        <v>22</v>
      </c>
      <c r="P1263">
        <v>95688</v>
      </c>
      <c r="R1263" t="s">
        <v>23</v>
      </c>
      <c r="S1263" s="1" t="s">
        <v>34218</v>
      </c>
    </row>
    <row r="1264" spans="1:19" x14ac:dyDescent="0.25">
      <c r="A1264">
        <v>101034162</v>
      </c>
      <c r="B1264" t="s">
        <v>3881</v>
      </c>
      <c r="C1264" t="s">
        <v>3882</v>
      </c>
      <c r="F1264" t="str">
        <f>"4349853841"</f>
        <v>4349853841</v>
      </c>
      <c r="G1264" t="s">
        <v>3883</v>
      </c>
      <c r="H1264" t="s">
        <v>3884</v>
      </c>
      <c r="I1264" t="s">
        <v>84</v>
      </c>
      <c r="J1264" t="s">
        <v>3885</v>
      </c>
      <c r="K1264">
        <v>9584</v>
      </c>
      <c r="L1264" t="s">
        <v>23</v>
      </c>
      <c r="M1264" t="s">
        <v>3883</v>
      </c>
      <c r="N1264" t="s">
        <v>3884</v>
      </c>
      <c r="O1264" t="s">
        <v>84</v>
      </c>
      <c r="P1264" t="s">
        <v>3885</v>
      </c>
      <c r="Q1264">
        <v>9584</v>
      </c>
      <c r="R1264" t="s">
        <v>23</v>
      </c>
      <c r="S1264" s="1" t="s">
        <v>34218</v>
      </c>
    </row>
    <row r="1265" spans="1:19" x14ac:dyDescent="0.25">
      <c r="A1265">
        <v>100698426</v>
      </c>
      <c r="B1265" t="s">
        <v>3886</v>
      </c>
      <c r="C1265" t="s">
        <v>81</v>
      </c>
      <c r="F1265" t="str">
        <f>"8477830531"</f>
        <v>8477830531</v>
      </c>
      <c r="G1265" t="s">
        <v>3887</v>
      </c>
      <c r="H1265" t="s">
        <v>3888</v>
      </c>
      <c r="I1265" t="s">
        <v>135</v>
      </c>
      <c r="J1265">
        <v>60118</v>
      </c>
      <c r="K1265">
        <v>3038</v>
      </c>
      <c r="L1265" t="s">
        <v>23</v>
      </c>
      <c r="M1265" t="s">
        <v>3887</v>
      </c>
      <c r="N1265" t="s">
        <v>3888</v>
      </c>
      <c r="O1265" t="s">
        <v>135</v>
      </c>
      <c r="P1265">
        <v>60118</v>
      </c>
      <c r="Q1265">
        <v>3038</v>
      </c>
      <c r="R1265" t="s">
        <v>23</v>
      </c>
      <c r="S1265" s="1" t="s">
        <v>34218</v>
      </c>
    </row>
    <row r="1266" spans="1:19" x14ac:dyDescent="0.25">
      <c r="A1266">
        <v>100699828</v>
      </c>
      <c r="B1266" t="s">
        <v>3889</v>
      </c>
      <c r="C1266" t="s">
        <v>874</v>
      </c>
      <c r="F1266" t="str">
        <f>"9178658260"</f>
        <v>9178658260</v>
      </c>
      <c r="G1266" t="s">
        <v>3890</v>
      </c>
      <c r="H1266" t="s">
        <v>412</v>
      </c>
      <c r="I1266" t="s">
        <v>117</v>
      </c>
      <c r="J1266">
        <v>11215</v>
      </c>
      <c r="K1266">
        <v>6007</v>
      </c>
      <c r="L1266" t="s">
        <v>23</v>
      </c>
      <c r="M1266" t="s">
        <v>3890</v>
      </c>
      <c r="N1266" t="s">
        <v>412</v>
      </c>
      <c r="O1266" t="s">
        <v>117</v>
      </c>
      <c r="P1266">
        <v>11215</v>
      </c>
      <c r="Q1266">
        <v>6007</v>
      </c>
      <c r="R1266" t="s">
        <v>23</v>
      </c>
      <c r="S1266" s="1" t="s">
        <v>34218</v>
      </c>
    </row>
    <row r="1267" spans="1:19" x14ac:dyDescent="0.25">
      <c r="A1267">
        <v>101096737</v>
      </c>
      <c r="B1267" t="s">
        <v>654</v>
      </c>
      <c r="C1267" t="s">
        <v>1107</v>
      </c>
      <c r="F1267" t="str">
        <f>"2097448261"</f>
        <v>2097448261</v>
      </c>
      <c r="G1267" t="s">
        <v>3891</v>
      </c>
      <c r="H1267" t="s">
        <v>3892</v>
      </c>
      <c r="I1267" t="s">
        <v>22</v>
      </c>
      <c r="J1267">
        <v>95632</v>
      </c>
      <c r="K1267">
        <v>8146</v>
      </c>
      <c r="L1267" t="s">
        <v>23</v>
      </c>
      <c r="M1267" t="s">
        <v>3891</v>
      </c>
      <c r="N1267" t="s">
        <v>3892</v>
      </c>
      <c r="O1267" t="s">
        <v>22</v>
      </c>
      <c r="P1267">
        <v>95632</v>
      </c>
      <c r="Q1267">
        <v>8146</v>
      </c>
      <c r="R1267" t="s">
        <v>23</v>
      </c>
      <c r="S1267" s="1" t="s">
        <v>34218</v>
      </c>
    </row>
    <row r="1268" spans="1:19" x14ac:dyDescent="0.25">
      <c r="A1268">
        <v>101391838</v>
      </c>
      <c r="B1268" t="s">
        <v>3893</v>
      </c>
      <c r="C1268" t="s">
        <v>2010</v>
      </c>
      <c r="F1268" t="str">
        <f>"8455555555"</f>
        <v>8455555555</v>
      </c>
      <c r="G1268" t="s">
        <v>3894</v>
      </c>
      <c r="H1268" t="s">
        <v>3895</v>
      </c>
      <c r="I1268" t="s">
        <v>117</v>
      </c>
      <c r="J1268">
        <v>12441</v>
      </c>
      <c r="L1268" t="s">
        <v>23</v>
      </c>
      <c r="M1268" t="s">
        <v>3894</v>
      </c>
      <c r="N1268" t="s">
        <v>3895</v>
      </c>
      <c r="O1268" t="s">
        <v>117</v>
      </c>
      <c r="P1268">
        <v>12441</v>
      </c>
      <c r="R1268" t="s">
        <v>23</v>
      </c>
      <c r="S1268" s="1" t="s">
        <v>34218</v>
      </c>
    </row>
    <row r="1269" spans="1:19" x14ac:dyDescent="0.25">
      <c r="A1269">
        <v>100862345</v>
      </c>
      <c r="B1269" t="s">
        <v>3896</v>
      </c>
      <c r="C1269" t="s">
        <v>3897</v>
      </c>
      <c r="F1269" t="str">
        <f>"5703432816"</f>
        <v>5703432816</v>
      </c>
      <c r="G1269" t="s">
        <v>3898</v>
      </c>
      <c r="H1269" t="s">
        <v>125</v>
      </c>
      <c r="I1269" t="s">
        <v>126</v>
      </c>
      <c r="J1269" t="s">
        <v>3899</v>
      </c>
      <c r="K1269">
        <v>3740</v>
      </c>
      <c r="L1269" t="s">
        <v>23</v>
      </c>
      <c r="M1269" t="s">
        <v>3898</v>
      </c>
      <c r="N1269" t="s">
        <v>125</v>
      </c>
      <c r="O1269" t="s">
        <v>126</v>
      </c>
      <c r="P1269" t="s">
        <v>3899</v>
      </c>
      <c r="Q1269">
        <v>3740</v>
      </c>
      <c r="R1269" t="s">
        <v>23</v>
      </c>
      <c r="S1269" s="1" t="s">
        <v>34218</v>
      </c>
    </row>
    <row r="1270" spans="1:19" x14ac:dyDescent="0.25">
      <c r="A1270">
        <v>101351114</v>
      </c>
      <c r="B1270" t="s">
        <v>3900</v>
      </c>
      <c r="C1270" t="s">
        <v>25</v>
      </c>
      <c r="F1270" t="str">
        <f>"6263586326"</f>
        <v>6263586326</v>
      </c>
      <c r="G1270" t="s">
        <v>3901</v>
      </c>
      <c r="H1270" t="s">
        <v>3902</v>
      </c>
      <c r="I1270" t="s">
        <v>22</v>
      </c>
      <c r="J1270">
        <v>91016</v>
      </c>
      <c r="K1270">
        <v>2509</v>
      </c>
      <c r="L1270" t="s">
        <v>23</v>
      </c>
      <c r="M1270" t="s">
        <v>3901</v>
      </c>
      <c r="N1270" t="s">
        <v>3902</v>
      </c>
      <c r="O1270" t="s">
        <v>22</v>
      </c>
      <c r="P1270">
        <v>91016</v>
      </c>
      <c r="Q1270">
        <v>2509</v>
      </c>
      <c r="R1270" t="s">
        <v>23</v>
      </c>
      <c r="S1270" s="1" t="s">
        <v>34218</v>
      </c>
    </row>
    <row r="1271" spans="1:19" x14ac:dyDescent="0.25">
      <c r="A1271">
        <v>101365526</v>
      </c>
      <c r="B1271" t="s">
        <v>3903</v>
      </c>
      <c r="C1271" t="s">
        <v>3904</v>
      </c>
      <c r="F1271" t="str">
        <f>"6106837279"</f>
        <v>6106837279</v>
      </c>
      <c r="G1271" t="s">
        <v>3905</v>
      </c>
      <c r="H1271" t="s">
        <v>3906</v>
      </c>
      <c r="I1271" t="s">
        <v>33</v>
      </c>
      <c r="J1271">
        <v>19530</v>
      </c>
      <c r="K1271">
        <v>9246</v>
      </c>
      <c r="L1271" t="s">
        <v>23</v>
      </c>
      <c r="M1271" t="s">
        <v>3905</v>
      </c>
      <c r="N1271" t="s">
        <v>3906</v>
      </c>
      <c r="O1271" t="s">
        <v>33</v>
      </c>
      <c r="P1271">
        <v>19530</v>
      </c>
      <c r="Q1271">
        <v>9246</v>
      </c>
      <c r="R1271" t="s">
        <v>23</v>
      </c>
      <c r="S1271" s="1" t="s">
        <v>34218</v>
      </c>
    </row>
    <row r="1272" spans="1:19" x14ac:dyDescent="0.25">
      <c r="A1272">
        <v>101292516</v>
      </c>
      <c r="B1272" t="s">
        <v>2457</v>
      </c>
      <c r="C1272" t="s">
        <v>30</v>
      </c>
      <c r="F1272" t="str">
        <f>"3014450414"</f>
        <v>3014450414</v>
      </c>
      <c r="G1272" t="s">
        <v>3907</v>
      </c>
      <c r="H1272" t="s">
        <v>758</v>
      </c>
      <c r="I1272" t="s">
        <v>148</v>
      </c>
      <c r="J1272">
        <v>20903</v>
      </c>
      <c r="K1272">
        <v>1536</v>
      </c>
      <c r="L1272" t="s">
        <v>23</v>
      </c>
      <c r="M1272" t="s">
        <v>3907</v>
      </c>
      <c r="N1272" t="s">
        <v>758</v>
      </c>
      <c r="O1272" t="s">
        <v>148</v>
      </c>
      <c r="P1272">
        <v>20903</v>
      </c>
      <c r="Q1272">
        <v>1536</v>
      </c>
      <c r="R1272" t="s">
        <v>23</v>
      </c>
      <c r="S1272" s="1" t="s">
        <v>34218</v>
      </c>
    </row>
    <row r="1273" spans="1:19" x14ac:dyDescent="0.25">
      <c r="A1273">
        <v>101331355</v>
      </c>
      <c r="B1273" t="s">
        <v>1179</v>
      </c>
      <c r="C1273" t="s">
        <v>3908</v>
      </c>
      <c r="F1273" t="str">
        <f>"4089466777"</f>
        <v>4089466777</v>
      </c>
      <c r="G1273">
        <v>95035</v>
      </c>
      <c r="H1273" t="s">
        <v>3534</v>
      </c>
      <c r="I1273" t="s">
        <v>22</v>
      </c>
      <c r="J1273">
        <v>95035</v>
      </c>
      <c r="L1273" t="s">
        <v>23</v>
      </c>
      <c r="M1273">
        <v>95035</v>
      </c>
      <c r="N1273" t="s">
        <v>3534</v>
      </c>
      <c r="O1273" t="s">
        <v>22</v>
      </c>
      <c r="P1273">
        <v>95035</v>
      </c>
      <c r="R1273" t="s">
        <v>23</v>
      </c>
      <c r="S1273" s="1" t="s">
        <v>34218</v>
      </c>
    </row>
    <row r="1274" spans="1:19" x14ac:dyDescent="0.25">
      <c r="A1274">
        <v>100817986</v>
      </c>
      <c r="B1274" t="s">
        <v>3909</v>
      </c>
      <c r="C1274" t="s">
        <v>2365</v>
      </c>
      <c r="F1274" t="str">
        <f>"7732030359"</f>
        <v>7732030359</v>
      </c>
      <c r="G1274" t="s">
        <v>3910</v>
      </c>
      <c r="H1274" t="s">
        <v>134</v>
      </c>
      <c r="I1274" t="s">
        <v>135</v>
      </c>
      <c r="J1274">
        <v>60631</v>
      </c>
      <c r="K1274">
        <v>1646</v>
      </c>
      <c r="L1274" t="s">
        <v>23</v>
      </c>
      <c r="M1274" t="s">
        <v>3910</v>
      </c>
      <c r="N1274" t="s">
        <v>134</v>
      </c>
      <c r="O1274" t="s">
        <v>135</v>
      </c>
      <c r="P1274">
        <v>60631</v>
      </c>
      <c r="Q1274">
        <v>1646</v>
      </c>
      <c r="R1274" t="s">
        <v>23</v>
      </c>
      <c r="S1274" s="1" t="s">
        <v>34218</v>
      </c>
    </row>
    <row r="1275" spans="1:19" x14ac:dyDescent="0.25">
      <c r="A1275">
        <v>101201379</v>
      </c>
      <c r="B1275" t="s">
        <v>2692</v>
      </c>
      <c r="C1275" t="s">
        <v>3911</v>
      </c>
      <c r="F1275" t="str">
        <f>"5194959069"</f>
        <v>5194959069</v>
      </c>
      <c r="G1275" t="s">
        <v>3912</v>
      </c>
      <c r="H1275" t="s">
        <v>560</v>
      </c>
      <c r="I1275" t="s">
        <v>148</v>
      </c>
      <c r="J1275">
        <v>20853</v>
      </c>
      <c r="K1275">
        <v>2650</v>
      </c>
      <c r="L1275" t="s">
        <v>23</v>
      </c>
      <c r="M1275" t="s">
        <v>3912</v>
      </c>
      <c r="N1275" t="s">
        <v>560</v>
      </c>
      <c r="O1275" t="s">
        <v>148</v>
      </c>
      <c r="P1275">
        <v>20853</v>
      </c>
      <c r="Q1275">
        <v>2650</v>
      </c>
      <c r="R1275" t="s">
        <v>23</v>
      </c>
      <c r="S1275" s="1" t="s">
        <v>34218</v>
      </c>
    </row>
    <row r="1276" spans="1:19" x14ac:dyDescent="0.25">
      <c r="A1276">
        <v>101136798</v>
      </c>
      <c r="B1276" t="s">
        <v>3913</v>
      </c>
      <c r="C1276" t="s">
        <v>403</v>
      </c>
      <c r="F1276" t="str">
        <f>"3105583944"</f>
        <v>3105583944</v>
      </c>
      <c r="G1276" t="s">
        <v>3914</v>
      </c>
      <c r="H1276" t="s">
        <v>299</v>
      </c>
      <c r="I1276" t="s">
        <v>22</v>
      </c>
      <c r="J1276">
        <v>90034</v>
      </c>
      <c r="K1276">
        <v>6202</v>
      </c>
      <c r="L1276" t="s">
        <v>23</v>
      </c>
      <c r="M1276" t="s">
        <v>3914</v>
      </c>
      <c r="N1276" t="s">
        <v>299</v>
      </c>
      <c r="O1276" t="s">
        <v>22</v>
      </c>
      <c r="P1276">
        <v>90034</v>
      </c>
      <c r="Q1276">
        <v>6202</v>
      </c>
      <c r="R1276" t="s">
        <v>23</v>
      </c>
      <c r="S1276" s="1" t="s">
        <v>34218</v>
      </c>
    </row>
    <row r="1277" spans="1:19" x14ac:dyDescent="0.25">
      <c r="A1277">
        <v>101394649</v>
      </c>
      <c r="B1277" t="s">
        <v>3915</v>
      </c>
      <c r="C1277" t="s">
        <v>1124</v>
      </c>
      <c r="F1277" t="str">
        <f>"6095380243"</f>
        <v>6095380243</v>
      </c>
      <c r="G1277" t="s">
        <v>3916</v>
      </c>
      <c r="H1277" t="s">
        <v>1220</v>
      </c>
      <c r="I1277" t="s">
        <v>250</v>
      </c>
      <c r="J1277">
        <v>8618</v>
      </c>
      <c r="K1277">
        <v>2541</v>
      </c>
      <c r="L1277" t="s">
        <v>23</v>
      </c>
      <c r="M1277" t="s">
        <v>3916</v>
      </c>
      <c r="N1277" t="s">
        <v>1220</v>
      </c>
      <c r="O1277" t="s">
        <v>250</v>
      </c>
      <c r="P1277">
        <v>8618</v>
      </c>
      <c r="Q1277">
        <v>2541</v>
      </c>
      <c r="R1277" t="s">
        <v>23</v>
      </c>
      <c r="S1277" s="1" t="s">
        <v>34218</v>
      </c>
    </row>
    <row r="1278" spans="1:19" x14ac:dyDescent="0.25">
      <c r="A1278">
        <v>101390793</v>
      </c>
      <c r="B1278" t="s">
        <v>3917</v>
      </c>
      <c r="C1278" t="s">
        <v>3918</v>
      </c>
      <c r="F1278" t="str">
        <f>"8454252432"</f>
        <v>8454252432</v>
      </c>
      <c r="G1278" t="s">
        <v>3919</v>
      </c>
      <c r="H1278" t="s">
        <v>3920</v>
      </c>
      <c r="I1278" t="s">
        <v>117</v>
      </c>
      <c r="J1278">
        <v>10977</v>
      </c>
      <c r="K1278">
        <v>6111</v>
      </c>
      <c r="L1278" t="s">
        <v>23</v>
      </c>
      <c r="M1278" t="s">
        <v>3919</v>
      </c>
      <c r="N1278" t="s">
        <v>3920</v>
      </c>
      <c r="O1278" t="s">
        <v>117</v>
      </c>
      <c r="P1278">
        <v>10977</v>
      </c>
      <c r="Q1278">
        <v>6111</v>
      </c>
      <c r="R1278" t="s">
        <v>23</v>
      </c>
      <c r="S1278" s="1" t="s">
        <v>34218</v>
      </c>
    </row>
    <row r="1279" spans="1:19" x14ac:dyDescent="0.25">
      <c r="A1279">
        <v>101326822</v>
      </c>
      <c r="B1279" t="s">
        <v>3921</v>
      </c>
      <c r="C1279" t="s">
        <v>3922</v>
      </c>
      <c r="F1279" t="str">
        <f>"7347733755"</f>
        <v>7347733755</v>
      </c>
      <c r="G1279" t="s">
        <v>3923</v>
      </c>
      <c r="H1279" t="s">
        <v>976</v>
      </c>
      <c r="I1279" t="s">
        <v>140</v>
      </c>
      <c r="J1279">
        <v>48108</v>
      </c>
      <c r="K1279">
        <v>8591</v>
      </c>
      <c r="L1279" t="s">
        <v>23</v>
      </c>
      <c r="M1279" t="s">
        <v>3923</v>
      </c>
      <c r="N1279" t="s">
        <v>976</v>
      </c>
      <c r="O1279" t="s">
        <v>140</v>
      </c>
      <c r="P1279">
        <v>48108</v>
      </c>
      <c r="Q1279">
        <v>8591</v>
      </c>
      <c r="R1279" t="s">
        <v>23</v>
      </c>
      <c r="S1279" s="1" t="s">
        <v>34218</v>
      </c>
    </row>
    <row r="1280" spans="1:19" x14ac:dyDescent="0.25">
      <c r="A1280">
        <v>101334989</v>
      </c>
      <c r="B1280" t="s">
        <v>3924</v>
      </c>
      <c r="C1280" t="s">
        <v>233</v>
      </c>
      <c r="F1280" t="str">
        <f>"8174393567"</f>
        <v>8174393567</v>
      </c>
      <c r="G1280" t="s">
        <v>3925</v>
      </c>
      <c r="H1280" t="s">
        <v>3926</v>
      </c>
      <c r="I1280" t="s">
        <v>38</v>
      </c>
      <c r="J1280">
        <v>76148</v>
      </c>
      <c r="K1280">
        <v>608</v>
      </c>
      <c r="L1280" t="s">
        <v>23</v>
      </c>
      <c r="M1280" t="s">
        <v>3925</v>
      </c>
      <c r="N1280" t="s">
        <v>3926</v>
      </c>
      <c r="O1280" t="s">
        <v>38</v>
      </c>
      <c r="P1280">
        <v>76148</v>
      </c>
      <c r="Q1280">
        <v>608</v>
      </c>
      <c r="R1280" t="s">
        <v>23</v>
      </c>
      <c r="S1280" s="1" t="s">
        <v>34218</v>
      </c>
    </row>
    <row r="1281" spans="1:19" x14ac:dyDescent="0.25">
      <c r="A1281">
        <v>100573575</v>
      </c>
      <c r="B1281" t="s">
        <v>3927</v>
      </c>
      <c r="C1281" t="s">
        <v>3928</v>
      </c>
      <c r="F1281" t="str">
        <f>"7654617185"</f>
        <v>7654617185</v>
      </c>
      <c r="G1281" t="s">
        <v>3929</v>
      </c>
      <c r="H1281" t="s">
        <v>3930</v>
      </c>
      <c r="I1281" t="s">
        <v>57</v>
      </c>
      <c r="J1281">
        <v>46994</v>
      </c>
      <c r="L1281" t="s">
        <v>23</v>
      </c>
      <c r="M1281" t="s">
        <v>3929</v>
      </c>
      <c r="N1281" t="s">
        <v>3930</v>
      </c>
      <c r="O1281" t="s">
        <v>57</v>
      </c>
      <c r="P1281">
        <v>46994</v>
      </c>
      <c r="R1281" t="s">
        <v>23</v>
      </c>
      <c r="S1281" s="1" t="s">
        <v>34218</v>
      </c>
    </row>
    <row r="1282" spans="1:19" x14ac:dyDescent="0.25">
      <c r="A1282">
        <v>100901755</v>
      </c>
      <c r="B1282" t="s">
        <v>3931</v>
      </c>
      <c r="C1282" t="s">
        <v>329</v>
      </c>
      <c r="F1282" t="str">
        <f>"3609611632"</f>
        <v>3609611632</v>
      </c>
      <c r="G1282" t="s">
        <v>3932</v>
      </c>
      <c r="H1282" t="s">
        <v>3933</v>
      </c>
      <c r="I1282" t="s">
        <v>984</v>
      </c>
      <c r="J1282">
        <v>96749</v>
      </c>
      <c r="L1282" t="s">
        <v>23</v>
      </c>
      <c r="M1282" t="s">
        <v>3932</v>
      </c>
      <c r="N1282" t="s">
        <v>3933</v>
      </c>
      <c r="O1282" t="s">
        <v>984</v>
      </c>
      <c r="P1282">
        <v>96749</v>
      </c>
      <c r="R1282" t="s">
        <v>23</v>
      </c>
      <c r="S1282" s="1" t="s">
        <v>34218</v>
      </c>
    </row>
    <row r="1283" spans="1:19" x14ac:dyDescent="0.25">
      <c r="A1283">
        <v>101252525</v>
      </c>
      <c r="B1283" t="s">
        <v>3934</v>
      </c>
      <c r="C1283" t="s">
        <v>874</v>
      </c>
      <c r="F1283" t="str">
        <f>"7242285375"</f>
        <v>7242285375</v>
      </c>
      <c r="G1283" t="s">
        <v>3935</v>
      </c>
      <c r="H1283" t="s">
        <v>169</v>
      </c>
      <c r="I1283" t="s">
        <v>33</v>
      </c>
      <c r="J1283">
        <v>15301</v>
      </c>
      <c r="K1283">
        <v>3546</v>
      </c>
      <c r="L1283" t="s">
        <v>23</v>
      </c>
      <c r="M1283" t="s">
        <v>3935</v>
      </c>
      <c r="N1283" t="s">
        <v>169</v>
      </c>
      <c r="O1283" t="s">
        <v>33</v>
      </c>
      <c r="P1283">
        <v>15301</v>
      </c>
      <c r="Q1283">
        <v>3546</v>
      </c>
      <c r="R1283" t="s">
        <v>23</v>
      </c>
      <c r="S1283" s="1" t="s">
        <v>34218</v>
      </c>
    </row>
    <row r="1284" spans="1:19" x14ac:dyDescent="0.25">
      <c r="A1284">
        <v>101045155</v>
      </c>
      <c r="B1284" t="s">
        <v>654</v>
      </c>
      <c r="C1284" t="s">
        <v>1679</v>
      </c>
      <c r="F1284" t="str">
        <f>"3304563001"</f>
        <v>3304563001</v>
      </c>
      <c r="G1284" t="s">
        <v>3936</v>
      </c>
      <c r="H1284" t="s">
        <v>573</v>
      </c>
      <c r="I1284" t="s">
        <v>33</v>
      </c>
      <c r="J1284">
        <v>19130</v>
      </c>
      <c r="K1284">
        <v>3010</v>
      </c>
      <c r="L1284" t="s">
        <v>23</v>
      </c>
      <c r="M1284" t="s">
        <v>3936</v>
      </c>
      <c r="N1284" t="s">
        <v>573</v>
      </c>
      <c r="O1284" t="s">
        <v>33</v>
      </c>
      <c r="P1284">
        <v>19130</v>
      </c>
      <c r="Q1284">
        <v>3010</v>
      </c>
      <c r="R1284" t="s">
        <v>23</v>
      </c>
      <c r="S1284" s="1" t="s">
        <v>34218</v>
      </c>
    </row>
    <row r="1285" spans="1:19" x14ac:dyDescent="0.25">
      <c r="A1285">
        <v>101168272</v>
      </c>
      <c r="B1285" t="s">
        <v>3937</v>
      </c>
      <c r="C1285" t="s">
        <v>309</v>
      </c>
      <c r="F1285" t="str">
        <f>"6032693116"</f>
        <v>6032693116</v>
      </c>
      <c r="G1285" t="s">
        <v>3938</v>
      </c>
      <c r="H1285" t="s">
        <v>3939</v>
      </c>
      <c r="I1285" t="s">
        <v>353</v>
      </c>
      <c r="J1285">
        <v>3225</v>
      </c>
      <c r="K1285">
        <v>3602</v>
      </c>
      <c r="L1285" t="s">
        <v>23</v>
      </c>
      <c r="M1285" t="s">
        <v>3938</v>
      </c>
      <c r="N1285" t="s">
        <v>3939</v>
      </c>
      <c r="O1285" t="s">
        <v>353</v>
      </c>
      <c r="P1285">
        <v>3225</v>
      </c>
      <c r="Q1285">
        <v>3602</v>
      </c>
      <c r="R1285" t="s">
        <v>23</v>
      </c>
      <c r="S1285" s="1" t="s">
        <v>34218</v>
      </c>
    </row>
    <row r="1286" spans="1:19" x14ac:dyDescent="0.25">
      <c r="A1286">
        <v>100821673</v>
      </c>
      <c r="B1286" t="s">
        <v>3940</v>
      </c>
      <c r="C1286" t="s">
        <v>2642</v>
      </c>
      <c r="F1286" t="str">
        <f>"8436518314"</f>
        <v>8436518314</v>
      </c>
      <c r="G1286" t="s">
        <v>3941</v>
      </c>
      <c r="H1286" t="s">
        <v>3942</v>
      </c>
      <c r="I1286" t="s">
        <v>1482</v>
      </c>
      <c r="J1286" t="s">
        <v>3943</v>
      </c>
      <c r="K1286">
        <v>4321</v>
      </c>
      <c r="L1286" t="s">
        <v>23</v>
      </c>
      <c r="M1286" t="s">
        <v>3941</v>
      </c>
      <c r="N1286" t="s">
        <v>3942</v>
      </c>
      <c r="O1286" t="s">
        <v>1482</v>
      </c>
      <c r="P1286" t="s">
        <v>3943</v>
      </c>
      <c r="Q1286">
        <v>4321</v>
      </c>
      <c r="R1286" t="s">
        <v>23</v>
      </c>
      <c r="S1286" s="1" t="s">
        <v>34218</v>
      </c>
    </row>
    <row r="1287" spans="1:19" x14ac:dyDescent="0.25">
      <c r="A1287">
        <v>100536013</v>
      </c>
      <c r="B1287" t="s">
        <v>1164</v>
      </c>
      <c r="C1287" t="s">
        <v>350</v>
      </c>
      <c r="F1287" t="str">
        <f>"8054949660"</f>
        <v>8054949660</v>
      </c>
      <c r="G1287" t="s">
        <v>3944</v>
      </c>
      <c r="H1287" t="s">
        <v>3214</v>
      </c>
      <c r="I1287" t="s">
        <v>22</v>
      </c>
      <c r="J1287">
        <v>91360</v>
      </c>
      <c r="K1287">
        <v>5497</v>
      </c>
      <c r="L1287" t="s">
        <v>23</v>
      </c>
      <c r="M1287" t="s">
        <v>3944</v>
      </c>
      <c r="N1287" t="s">
        <v>3214</v>
      </c>
      <c r="O1287" t="s">
        <v>22</v>
      </c>
      <c r="P1287">
        <v>91360</v>
      </c>
      <c r="Q1287">
        <v>5497</v>
      </c>
      <c r="R1287" t="s">
        <v>23</v>
      </c>
      <c r="S1287" s="1" t="s">
        <v>34218</v>
      </c>
    </row>
    <row r="1288" spans="1:19" x14ac:dyDescent="0.25">
      <c r="A1288">
        <v>101312743</v>
      </c>
      <c r="B1288" t="s">
        <v>1164</v>
      </c>
      <c r="C1288" t="s">
        <v>1506</v>
      </c>
      <c r="F1288" t="str">
        <f>"9165369686"</f>
        <v>9165369686</v>
      </c>
      <c r="G1288" t="s">
        <v>3945</v>
      </c>
      <c r="H1288" t="s">
        <v>1687</v>
      </c>
      <c r="I1288" t="s">
        <v>22</v>
      </c>
      <c r="J1288">
        <v>95628</v>
      </c>
      <c r="K1288">
        <v>5229</v>
      </c>
      <c r="L1288" t="s">
        <v>23</v>
      </c>
      <c r="M1288" t="s">
        <v>3945</v>
      </c>
      <c r="N1288" t="s">
        <v>1687</v>
      </c>
      <c r="O1288" t="s">
        <v>22</v>
      </c>
      <c r="P1288">
        <v>95628</v>
      </c>
      <c r="Q1288">
        <v>5229</v>
      </c>
      <c r="R1288" t="s">
        <v>23</v>
      </c>
      <c r="S1288" s="1" t="s">
        <v>34218</v>
      </c>
    </row>
    <row r="1289" spans="1:19" x14ac:dyDescent="0.25">
      <c r="A1289">
        <v>100628090</v>
      </c>
      <c r="B1289" t="s">
        <v>3946</v>
      </c>
      <c r="C1289" t="s">
        <v>274</v>
      </c>
      <c r="F1289" t="str">
        <f>"8577569594"</f>
        <v>8577569594</v>
      </c>
      <c r="G1289" t="s">
        <v>3947</v>
      </c>
      <c r="H1289" t="s">
        <v>3385</v>
      </c>
      <c r="I1289" t="s">
        <v>236</v>
      </c>
      <c r="J1289" t="s">
        <v>3948</v>
      </c>
      <c r="K1289">
        <v>3315</v>
      </c>
      <c r="L1289" t="s">
        <v>23</v>
      </c>
      <c r="M1289" t="s">
        <v>3947</v>
      </c>
      <c r="N1289" t="s">
        <v>3385</v>
      </c>
      <c r="O1289" t="s">
        <v>236</v>
      </c>
      <c r="P1289" t="s">
        <v>3948</v>
      </c>
      <c r="Q1289">
        <v>3315</v>
      </c>
      <c r="R1289" t="s">
        <v>23</v>
      </c>
      <c r="S1289" s="1" t="s">
        <v>34218</v>
      </c>
    </row>
    <row r="1290" spans="1:19" x14ac:dyDescent="0.25">
      <c r="A1290">
        <v>100747723</v>
      </c>
      <c r="B1290" t="s">
        <v>3949</v>
      </c>
      <c r="C1290" t="s">
        <v>668</v>
      </c>
      <c r="F1290" t="str">
        <f>"8182374423"</f>
        <v>8182374423</v>
      </c>
      <c r="G1290" t="s">
        <v>3950</v>
      </c>
      <c r="H1290" t="s">
        <v>1674</v>
      </c>
      <c r="I1290" t="s">
        <v>22</v>
      </c>
      <c r="J1290">
        <v>91504</v>
      </c>
      <c r="K1290">
        <v>4318</v>
      </c>
      <c r="L1290" t="s">
        <v>23</v>
      </c>
      <c r="M1290" t="s">
        <v>3950</v>
      </c>
      <c r="N1290" t="s">
        <v>1674</v>
      </c>
      <c r="O1290" t="s">
        <v>22</v>
      </c>
      <c r="P1290">
        <v>91504</v>
      </c>
      <c r="Q1290">
        <v>4318</v>
      </c>
      <c r="R1290" t="s">
        <v>23</v>
      </c>
      <c r="S1290" s="1" t="s">
        <v>34218</v>
      </c>
    </row>
    <row r="1291" spans="1:19" x14ac:dyDescent="0.25">
      <c r="A1291">
        <v>100753398</v>
      </c>
      <c r="B1291" t="s">
        <v>933</v>
      </c>
      <c r="C1291" t="s">
        <v>3951</v>
      </c>
      <c r="F1291" t="str">
        <f>"2099181223"</f>
        <v>2099181223</v>
      </c>
      <c r="G1291" t="s">
        <v>3952</v>
      </c>
      <c r="H1291" t="s">
        <v>968</v>
      </c>
      <c r="I1291" t="s">
        <v>22</v>
      </c>
      <c r="J1291">
        <v>95355</v>
      </c>
      <c r="L1291" t="s">
        <v>23</v>
      </c>
      <c r="M1291" t="s">
        <v>3952</v>
      </c>
      <c r="N1291" t="s">
        <v>968</v>
      </c>
      <c r="O1291" t="s">
        <v>22</v>
      </c>
      <c r="P1291">
        <v>95355</v>
      </c>
      <c r="R1291" t="s">
        <v>23</v>
      </c>
      <c r="S1291" s="1" t="s">
        <v>34218</v>
      </c>
    </row>
    <row r="1292" spans="1:19" x14ac:dyDescent="0.25">
      <c r="A1292">
        <v>100712274</v>
      </c>
      <c r="B1292" t="s">
        <v>3953</v>
      </c>
      <c r="C1292" t="s">
        <v>3954</v>
      </c>
      <c r="F1292" t="str">
        <f>"5555555555"</f>
        <v>5555555555</v>
      </c>
      <c r="G1292" t="s">
        <v>3955</v>
      </c>
      <c r="H1292" t="s">
        <v>2684</v>
      </c>
      <c r="I1292" t="s">
        <v>22</v>
      </c>
      <c r="J1292">
        <v>94901</v>
      </c>
      <c r="L1292" t="s">
        <v>23</v>
      </c>
      <c r="M1292" t="s">
        <v>3955</v>
      </c>
      <c r="N1292" t="s">
        <v>2684</v>
      </c>
      <c r="O1292" t="s">
        <v>22</v>
      </c>
      <c r="P1292">
        <v>94901</v>
      </c>
      <c r="R1292" t="s">
        <v>23</v>
      </c>
      <c r="S1292" s="1" t="s">
        <v>34218</v>
      </c>
    </row>
    <row r="1293" spans="1:19" x14ac:dyDescent="0.25">
      <c r="A1293">
        <v>100823002</v>
      </c>
      <c r="B1293" t="s">
        <v>3956</v>
      </c>
      <c r="C1293" t="s">
        <v>3957</v>
      </c>
      <c r="F1293" t="str">
        <f>"7274209062"</f>
        <v>7274209062</v>
      </c>
      <c r="G1293" t="s">
        <v>3958</v>
      </c>
      <c r="H1293" t="s">
        <v>3959</v>
      </c>
      <c r="I1293" t="s">
        <v>52</v>
      </c>
      <c r="J1293">
        <v>34691</v>
      </c>
      <c r="K1293">
        <v>3338</v>
      </c>
      <c r="L1293" t="s">
        <v>23</v>
      </c>
      <c r="M1293" t="s">
        <v>3958</v>
      </c>
      <c r="N1293" t="s">
        <v>3959</v>
      </c>
      <c r="O1293" t="s">
        <v>52</v>
      </c>
      <c r="P1293">
        <v>34691</v>
      </c>
      <c r="Q1293">
        <v>3338</v>
      </c>
      <c r="R1293" t="s">
        <v>23</v>
      </c>
      <c r="S1293" s="1" t="s">
        <v>34218</v>
      </c>
    </row>
    <row r="1294" spans="1:19" x14ac:dyDescent="0.25">
      <c r="A1294">
        <v>100995045</v>
      </c>
      <c r="B1294" t="s">
        <v>3960</v>
      </c>
      <c r="C1294" t="s">
        <v>3961</v>
      </c>
      <c r="F1294" t="str">
        <f>"3053000000"</f>
        <v>3053000000</v>
      </c>
      <c r="G1294" t="s">
        <v>3962</v>
      </c>
      <c r="H1294" t="s">
        <v>3963</v>
      </c>
      <c r="I1294" t="s">
        <v>52</v>
      </c>
      <c r="J1294">
        <v>33134</v>
      </c>
      <c r="K1294">
        <v>4659</v>
      </c>
      <c r="L1294" t="s">
        <v>23</v>
      </c>
      <c r="M1294" t="s">
        <v>3962</v>
      </c>
      <c r="N1294" t="s">
        <v>3963</v>
      </c>
      <c r="O1294" t="s">
        <v>52</v>
      </c>
      <c r="P1294">
        <v>33134</v>
      </c>
      <c r="Q1294">
        <v>4659</v>
      </c>
      <c r="R1294" t="s">
        <v>23</v>
      </c>
      <c r="S1294" s="1" t="s">
        <v>34218</v>
      </c>
    </row>
    <row r="1295" spans="1:19" x14ac:dyDescent="0.25">
      <c r="A1295">
        <v>101014840</v>
      </c>
      <c r="B1295" t="s">
        <v>3964</v>
      </c>
      <c r="C1295" t="s">
        <v>406</v>
      </c>
      <c r="F1295" t="str">
        <f>"7759723508"</f>
        <v>7759723508</v>
      </c>
      <c r="G1295" t="s">
        <v>3965</v>
      </c>
      <c r="H1295" t="s">
        <v>1857</v>
      </c>
      <c r="I1295" t="s">
        <v>702</v>
      </c>
      <c r="J1295">
        <v>89506</v>
      </c>
      <c r="K1295">
        <v>2110</v>
      </c>
      <c r="L1295" t="s">
        <v>23</v>
      </c>
      <c r="M1295" t="s">
        <v>3965</v>
      </c>
      <c r="N1295" t="s">
        <v>1857</v>
      </c>
      <c r="O1295" t="s">
        <v>702</v>
      </c>
      <c r="P1295">
        <v>89506</v>
      </c>
      <c r="Q1295">
        <v>2110</v>
      </c>
      <c r="R1295" t="s">
        <v>23</v>
      </c>
      <c r="S1295" s="1" t="s">
        <v>34218</v>
      </c>
    </row>
    <row r="1296" spans="1:19" x14ac:dyDescent="0.25">
      <c r="A1296">
        <v>101072851</v>
      </c>
      <c r="B1296" t="s">
        <v>3966</v>
      </c>
      <c r="C1296" t="s">
        <v>1161</v>
      </c>
      <c r="F1296" t="str">
        <f>"3605793665"</f>
        <v>3605793665</v>
      </c>
      <c r="G1296" t="s">
        <v>3967</v>
      </c>
      <c r="H1296" t="s">
        <v>504</v>
      </c>
      <c r="I1296" t="s">
        <v>84</v>
      </c>
      <c r="J1296">
        <v>98236</v>
      </c>
      <c r="K1296">
        <v>8814</v>
      </c>
      <c r="L1296" t="s">
        <v>23</v>
      </c>
      <c r="M1296" t="s">
        <v>3967</v>
      </c>
      <c r="N1296" t="s">
        <v>504</v>
      </c>
      <c r="O1296" t="s">
        <v>84</v>
      </c>
      <c r="P1296">
        <v>98236</v>
      </c>
      <c r="Q1296">
        <v>8814</v>
      </c>
      <c r="R1296" t="s">
        <v>23</v>
      </c>
      <c r="S1296" s="1" t="s">
        <v>34218</v>
      </c>
    </row>
    <row r="1297" spans="1:19" x14ac:dyDescent="0.25">
      <c r="A1297">
        <v>101271066</v>
      </c>
      <c r="B1297" t="s">
        <v>3968</v>
      </c>
      <c r="C1297" t="s">
        <v>123</v>
      </c>
      <c r="F1297" t="str">
        <f>"9709042544"</f>
        <v>9709042544</v>
      </c>
      <c r="G1297" t="s">
        <v>3969</v>
      </c>
      <c r="H1297" t="s">
        <v>2778</v>
      </c>
      <c r="I1297" t="s">
        <v>1482</v>
      </c>
      <c r="J1297">
        <v>29527</v>
      </c>
      <c r="K1297">
        <v>6967</v>
      </c>
      <c r="L1297" t="s">
        <v>23</v>
      </c>
      <c r="M1297" t="s">
        <v>3969</v>
      </c>
      <c r="N1297" t="s">
        <v>2778</v>
      </c>
      <c r="O1297" t="s">
        <v>1482</v>
      </c>
      <c r="P1297">
        <v>29527</v>
      </c>
      <c r="Q1297">
        <v>6967</v>
      </c>
      <c r="R1297" t="s">
        <v>23</v>
      </c>
      <c r="S1297" s="1" t="s">
        <v>34218</v>
      </c>
    </row>
    <row r="1298" spans="1:19" x14ac:dyDescent="0.25">
      <c r="A1298">
        <v>101275034</v>
      </c>
      <c r="B1298" t="s">
        <v>3970</v>
      </c>
      <c r="C1298" t="s">
        <v>1588</v>
      </c>
      <c r="F1298" t="str">
        <f>"2058544458"</f>
        <v>2058544458</v>
      </c>
      <c r="G1298" t="s">
        <v>3971</v>
      </c>
      <c r="H1298" t="s">
        <v>3972</v>
      </c>
      <c r="I1298" t="s">
        <v>1387</v>
      </c>
      <c r="J1298">
        <v>35215</v>
      </c>
      <c r="K1298">
        <v>4327</v>
      </c>
      <c r="L1298" t="s">
        <v>23</v>
      </c>
      <c r="M1298" t="s">
        <v>3971</v>
      </c>
      <c r="N1298" t="s">
        <v>3972</v>
      </c>
      <c r="O1298" t="s">
        <v>1387</v>
      </c>
      <c r="P1298">
        <v>35215</v>
      </c>
      <c r="Q1298">
        <v>4327</v>
      </c>
      <c r="R1298" t="s">
        <v>23</v>
      </c>
      <c r="S1298" s="1" t="s">
        <v>34218</v>
      </c>
    </row>
    <row r="1299" spans="1:19" x14ac:dyDescent="0.25">
      <c r="A1299">
        <v>101289312</v>
      </c>
      <c r="B1299" t="s">
        <v>208</v>
      </c>
      <c r="C1299" t="s">
        <v>1676</v>
      </c>
      <c r="F1299" t="str">
        <f>"3147256217"</f>
        <v>3147256217</v>
      </c>
      <c r="G1299" t="s">
        <v>3973</v>
      </c>
      <c r="H1299" t="s">
        <v>125</v>
      </c>
      <c r="I1299" t="s">
        <v>126</v>
      </c>
      <c r="J1299">
        <v>63130</v>
      </c>
      <c r="K1299">
        <v>4730</v>
      </c>
      <c r="L1299" t="s">
        <v>23</v>
      </c>
      <c r="M1299" t="s">
        <v>3973</v>
      </c>
      <c r="N1299" t="s">
        <v>125</v>
      </c>
      <c r="O1299" t="s">
        <v>126</v>
      </c>
      <c r="P1299">
        <v>63130</v>
      </c>
      <c r="Q1299">
        <v>4730</v>
      </c>
      <c r="R1299" t="s">
        <v>23</v>
      </c>
      <c r="S1299" s="1" t="s">
        <v>34218</v>
      </c>
    </row>
    <row r="1300" spans="1:19" x14ac:dyDescent="0.25">
      <c r="A1300">
        <v>101294444</v>
      </c>
      <c r="B1300" t="s">
        <v>3974</v>
      </c>
      <c r="C1300" t="s">
        <v>1153</v>
      </c>
      <c r="F1300" t="str">
        <f>"7026461310"</f>
        <v>7026461310</v>
      </c>
      <c r="G1300" t="s">
        <v>3975</v>
      </c>
      <c r="H1300" t="s">
        <v>1787</v>
      </c>
      <c r="I1300" t="s">
        <v>702</v>
      </c>
      <c r="J1300">
        <v>89108</v>
      </c>
      <c r="K1300">
        <v>1113</v>
      </c>
      <c r="L1300" t="s">
        <v>23</v>
      </c>
      <c r="M1300" t="s">
        <v>3975</v>
      </c>
      <c r="N1300" t="s">
        <v>1787</v>
      </c>
      <c r="O1300" t="s">
        <v>702</v>
      </c>
      <c r="P1300">
        <v>89108</v>
      </c>
      <c r="Q1300">
        <v>1113</v>
      </c>
      <c r="R1300" t="s">
        <v>23</v>
      </c>
      <c r="S1300" s="1" t="s">
        <v>34218</v>
      </c>
    </row>
    <row r="1301" spans="1:19" x14ac:dyDescent="0.25">
      <c r="A1301">
        <v>101290626</v>
      </c>
      <c r="B1301" t="s">
        <v>497</v>
      </c>
      <c r="C1301" t="s">
        <v>329</v>
      </c>
      <c r="F1301" t="str">
        <f>"9546294454"</f>
        <v>9546294454</v>
      </c>
      <c r="G1301" t="s">
        <v>3976</v>
      </c>
      <c r="H1301" t="s">
        <v>1045</v>
      </c>
      <c r="I1301" t="s">
        <v>52</v>
      </c>
      <c r="J1301">
        <v>33324</v>
      </c>
      <c r="K1301">
        <v>6968</v>
      </c>
      <c r="L1301" t="s">
        <v>23</v>
      </c>
      <c r="M1301" t="s">
        <v>3976</v>
      </c>
      <c r="N1301" t="s">
        <v>1045</v>
      </c>
      <c r="O1301" t="s">
        <v>52</v>
      </c>
      <c r="P1301">
        <v>33324</v>
      </c>
      <c r="Q1301">
        <v>6968</v>
      </c>
      <c r="R1301" t="s">
        <v>23</v>
      </c>
      <c r="S1301" s="1" t="s">
        <v>34218</v>
      </c>
    </row>
    <row r="1302" spans="1:19" x14ac:dyDescent="0.25">
      <c r="A1302">
        <v>100983865</v>
      </c>
      <c r="B1302" t="s">
        <v>2656</v>
      </c>
      <c r="C1302" t="s">
        <v>180</v>
      </c>
      <c r="F1302" t="str">
        <f>"7025163109"</f>
        <v>7025163109</v>
      </c>
      <c r="G1302" t="s">
        <v>3977</v>
      </c>
      <c r="H1302" t="s">
        <v>701</v>
      </c>
      <c r="I1302" t="s">
        <v>702</v>
      </c>
      <c r="J1302">
        <v>89031</v>
      </c>
      <c r="K1302">
        <v>2043</v>
      </c>
      <c r="L1302" t="s">
        <v>23</v>
      </c>
      <c r="M1302" t="s">
        <v>3977</v>
      </c>
      <c r="N1302" t="s">
        <v>701</v>
      </c>
      <c r="O1302" t="s">
        <v>702</v>
      </c>
      <c r="P1302">
        <v>89031</v>
      </c>
      <c r="Q1302">
        <v>2043</v>
      </c>
      <c r="R1302" t="s">
        <v>23</v>
      </c>
      <c r="S1302" s="1" t="s">
        <v>34218</v>
      </c>
    </row>
    <row r="1303" spans="1:19" x14ac:dyDescent="0.25">
      <c r="A1303">
        <v>101176908</v>
      </c>
      <c r="B1303" t="s">
        <v>3978</v>
      </c>
      <c r="C1303" t="s">
        <v>2127</v>
      </c>
      <c r="F1303" t="str">
        <f>"4153882018"</f>
        <v>4153882018</v>
      </c>
      <c r="G1303" t="s">
        <v>3979</v>
      </c>
      <c r="H1303" t="s">
        <v>1535</v>
      </c>
      <c r="I1303" t="s">
        <v>22</v>
      </c>
      <c r="J1303">
        <v>94941</v>
      </c>
      <c r="K1303">
        <v>2605</v>
      </c>
      <c r="L1303" t="s">
        <v>23</v>
      </c>
      <c r="M1303" t="s">
        <v>3979</v>
      </c>
      <c r="N1303" t="s">
        <v>1535</v>
      </c>
      <c r="O1303" t="s">
        <v>22</v>
      </c>
      <c r="P1303">
        <v>94941</v>
      </c>
      <c r="Q1303">
        <v>2605</v>
      </c>
      <c r="R1303" t="s">
        <v>23</v>
      </c>
      <c r="S1303" s="1" t="s">
        <v>34218</v>
      </c>
    </row>
    <row r="1304" spans="1:19" x14ac:dyDescent="0.25">
      <c r="A1304">
        <v>101192125</v>
      </c>
      <c r="B1304" t="s">
        <v>3980</v>
      </c>
      <c r="C1304" t="s">
        <v>582</v>
      </c>
      <c r="F1304" t="str">
        <f>"3026564540"</f>
        <v>3026564540</v>
      </c>
      <c r="G1304" t="s">
        <v>3981</v>
      </c>
      <c r="H1304" t="s">
        <v>2309</v>
      </c>
      <c r="I1304" t="s">
        <v>2310</v>
      </c>
      <c r="J1304">
        <v>19801</v>
      </c>
      <c r="K1304">
        <v>1304</v>
      </c>
      <c r="L1304" t="s">
        <v>23</v>
      </c>
      <c r="M1304" t="s">
        <v>3981</v>
      </c>
      <c r="N1304" t="s">
        <v>2309</v>
      </c>
      <c r="O1304" t="s">
        <v>2310</v>
      </c>
      <c r="P1304">
        <v>19801</v>
      </c>
      <c r="Q1304">
        <v>1304</v>
      </c>
      <c r="R1304" t="s">
        <v>23</v>
      </c>
      <c r="S1304" s="1" t="s">
        <v>34218</v>
      </c>
    </row>
    <row r="1305" spans="1:19" x14ac:dyDescent="0.25">
      <c r="A1305">
        <v>101103791</v>
      </c>
      <c r="B1305" t="s">
        <v>3982</v>
      </c>
      <c r="C1305" t="s">
        <v>247</v>
      </c>
      <c r="F1305" t="str">
        <f>"2103998338"</f>
        <v>2103998338</v>
      </c>
      <c r="G1305" t="s">
        <v>3983</v>
      </c>
      <c r="H1305" t="s">
        <v>3984</v>
      </c>
      <c r="I1305" t="s">
        <v>38</v>
      </c>
      <c r="J1305">
        <v>78516</v>
      </c>
      <c r="K1305">
        <v>9300</v>
      </c>
      <c r="L1305" t="s">
        <v>23</v>
      </c>
      <c r="M1305" t="s">
        <v>3983</v>
      </c>
      <c r="N1305" t="s">
        <v>3984</v>
      </c>
      <c r="O1305" t="s">
        <v>38</v>
      </c>
      <c r="P1305">
        <v>78516</v>
      </c>
      <c r="Q1305">
        <v>9300</v>
      </c>
      <c r="R1305" t="s">
        <v>23</v>
      </c>
      <c r="S1305" s="1" t="s">
        <v>34218</v>
      </c>
    </row>
    <row r="1306" spans="1:19" x14ac:dyDescent="0.25">
      <c r="A1306">
        <v>101112036</v>
      </c>
      <c r="B1306" t="s">
        <v>3985</v>
      </c>
      <c r="C1306" t="s">
        <v>1925</v>
      </c>
      <c r="F1306" t="str">
        <f>"4013513184"</f>
        <v>4013513184</v>
      </c>
      <c r="G1306" t="s">
        <v>3986</v>
      </c>
      <c r="H1306" t="s">
        <v>3987</v>
      </c>
      <c r="I1306" t="s">
        <v>662</v>
      </c>
      <c r="J1306">
        <v>2893</v>
      </c>
      <c r="K1306">
        <v>4329</v>
      </c>
      <c r="L1306" t="s">
        <v>23</v>
      </c>
      <c r="M1306" t="s">
        <v>3986</v>
      </c>
      <c r="N1306" t="s">
        <v>3987</v>
      </c>
      <c r="O1306" t="s">
        <v>662</v>
      </c>
      <c r="P1306">
        <v>2893</v>
      </c>
      <c r="Q1306">
        <v>4329</v>
      </c>
      <c r="R1306" t="s">
        <v>23</v>
      </c>
      <c r="S1306" s="1" t="s">
        <v>34218</v>
      </c>
    </row>
    <row r="1307" spans="1:19" x14ac:dyDescent="0.25">
      <c r="A1307">
        <v>101297832</v>
      </c>
      <c r="B1307" t="s">
        <v>799</v>
      </c>
      <c r="C1307" t="s">
        <v>3988</v>
      </c>
      <c r="F1307" t="str">
        <f>"7204420805"</f>
        <v>7204420805</v>
      </c>
      <c r="G1307" t="s">
        <v>3989</v>
      </c>
      <c r="H1307" t="s">
        <v>423</v>
      </c>
      <c r="I1307" t="s">
        <v>71</v>
      </c>
      <c r="J1307">
        <v>80303</v>
      </c>
      <c r="K1307">
        <v>2617</v>
      </c>
      <c r="L1307" t="s">
        <v>23</v>
      </c>
      <c r="M1307" t="s">
        <v>3989</v>
      </c>
      <c r="N1307" t="s">
        <v>423</v>
      </c>
      <c r="O1307" t="s">
        <v>71</v>
      </c>
      <c r="P1307">
        <v>80303</v>
      </c>
      <c r="Q1307">
        <v>2617</v>
      </c>
      <c r="R1307" t="s">
        <v>23</v>
      </c>
      <c r="S1307" s="1" t="s">
        <v>34218</v>
      </c>
    </row>
    <row r="1308" spans="1:19" x14ac:dyDescent="0.25">
      <c r="A1308">
        <v>101297198</v>
      </c>
      <c r="B1308" t="s">
        <v>3990</v>
      </c>
      <c r="C1308" t="s">
        <v>1384</v>
      </c>
      <c r="F1308" t="str">
        <f>"2485858068"</f>
        <v>2485858068</v>
      </c>
      <c r="G1308" t="s">
        <v>3991</v>
      </c>
      <c r="H1308" t="s">
        <v>1705</v>
      </c>
      <c r="I1308" t="s">
        <v>140</v>
      </c>
      <c r="J1308">
        <v>48073</v>
      </c>
      <c r="K1308">
        <v>3469</v>
      </c>
      <c r="L1308" t="s">
        <v>23</v>
      </c>
      <c r="M1308" t="s">
        <v>3991</v>
      </c>
      <c r="N1308" t="s">
        <v>1705</v>
      </c>
      <c r="O1308" t="s">
        <v>140</v>
      </c>
      <c r="P1308">
        <v>48073</v>
      </c>
      <c r="Q1308">
        <v>3469</v>
      </c>
      <c r="R1308" t="s">
        <v>23</v>
      </c>
      <c r="S1308" s="1" t="s">
        <v>34218</v>
      </c>
    </row>
    <row r="1309" spans="1:19" x14ac:dyDescent="0.25">
      <c r="A1309">
        <v>101300118</v>
      </c>
      <c r="B1309" t="s">
        <v>3992</v>
      </c>
      <c r="C1309" t="s">
        <v>3993</v>
      </c>
      <c r="F1309" t="str">
        <f>"8312957565"</f>
        <v>8312957565</v>
      </c>
      <c r="G1309" t="s">
        <v>3994</v>
      </c>
      <c r="H1309" t="s">
        <v>177</v>
      </c>
      <c r="I1309" t="s">
        <v>43</v>
      </c>
      <c r="J1309">
        <v>97520</v>
      </c>
      <c r="K1309">
        <v>2336</v>
      </c>
      <c r="L1309" t="s">
        <v>23</v>
      </c>
      <c r="M1309" t="s">
        <v>3994</v>
      </c>
      <c r="N1309" t="s">
        <v>177</v>
      </c>
      <c r="O1309" t="s">
        <v>43</v>
      </c>
      <c r="P1309">
        <v>97520</v>
      </c>
      <c r="Q1309">
        <v>2336</v>
      </c>
      <c r="R1309" t="s">
        <v>23</v>
      </c>
      <c r="S1309" s="1" t="s">
        <v>34218</v>
      </c>
    </row>
    <row r="1310" spans="1:19" x14ac:dyDescent="0.25">
      <c r="A1310">
        <v>101466272</v>
      </c>
      <c r="B1310" t="s">
        <v>3995</v>
      </c>
      <c r="C1310" t="s">
        <v>2557</v>
      </c>
      <c r="F1310" t="str">
        <f>"4436174079"</f>
        <v>4436174079</v>
      </c>
      <c r="G1310" t="s">
        <v>3996</v>
      </c>
      <c r="H1310" t="s">
        <v>3668</v>
      </c>
      <c r="I1310" t="s">
        <v>148</v>
      </c>
      <c r="J1310">
        <v>21217</v>
      </c>
      <c r="K1310">
        <v>4231</v>
      </c>
      <c r="L1310" t="s">
        <v>23</v>
      </c>
      <c r="M1310" t="s">
        <v>3996</v>
      </c>
      <c r="N1310" t="s">
        <v>3668</v>
      </c>
      <c r="O1310" t="s">
        <v>148</v>
      </c>
      <c r="P1310">
        <v>21217</v>
      </c>
      <c r="Q1310">
        <v>4231</v>
      </c>
      <c r="R1310" t="s">
        <v>23</v>
      </c>
      <c r="S1310" s="1" t="s">
        <v>34218</v>
      </c>
    </row>
    <row r="1311" spans="1:19" x14ac:dyDescent="0.25">
      <c r="A1311">
        <v>101084571</v>
      </c>
      <c r="B1311" t="s">
        <v>3997</v>
      </c>
      <c r="C1311" t="s">
        <v>40</v>
      </c>
      <c r="F1311" t="str">
        <f>"5124598471"</f>
        <v>5124598471</v>
      </c>
      <c r="G1311" t="s">
        <v>3998</v>
      </c>
      <c r="H1311" t="s">
        <v>37</v>
      </c>
      <c r="I1311" t="s">
        <v>38</v>
      </c>
      <c r="J1311">
        <v>78731</v>
      </c>
      <c r="K1311">
        <v>4824</v>
      </c>
      <c r="L1311" t="s">
        <v>23</v>
      </c>
      <c r="M1311" t="s">
        <v>3998</v>
      </c>
      <c r="N1311" t="s">
        <v>37</v>
      </c>
      <c r="O1311" t="s">
        <v>38</v>
      </c>
      <c r="P1311">
        <v>78731</v>
      </c>
      <c r="Q1311">
        <v>4824</v>
      </c>
      <c r="R1311" t="s">
        <v>23</v>
      </c>
      <c r="S1311" s="1" t="s">
        <v>34218</v>
      </c>
    </row>
    <row r="1312" spans="1:19" x14ac:dyDescent="0.25">
      <c r="A1312">
        <v>101307846</v>
      </c>
      <c r="B1312" t="s">
        <v>3999</v>
      </c>
      <c r="C1312" t="s">
        <v>167</v>
      </c>
      <c r="F1312" t="str">
        <f>"5108421002"</f>
        <v>5108421002</v>
      </c>
      <c r="G1312" t="s">
        <v>4000</v>
      </c>
      <c r="H1312" t="s">
        <v>88</v>
      </c>
      <c r="I1312" t="s">
        <v>22</v>
      </c>
      <c r="J1312">
        <v>94601</v>
      </c>
      <c r="K1312">
        <v>4354</v>
      </c>
      <c r="L1312" t="s">
        <v>23</v>
      </c>
      <c r="M1312" t="s">
        <v>4000</v>
      </c>
      <c r="N1312" t="s">
        <v>88</v>
      </c>
      <c r="O1312" t="s">
        <v>22</v>
      </c>
      <c r="P1312">
        <v>94601</v>
      </c>
      <c r="Q1312">
        <v>4354</v>
      </c>
      <c r="R1312" t="s">
        <v>23</v>
      </c>
      <c r="S1312" s="1" t="s">
        <v>34218</v>
      </c>
    </row>
    <row r="1313" spans="1:19" x14ac:dyDescent="0.25">
      <c r="A1313">
        <v>101318780</v>
      </c>
      <c r="B1313" t="s">
        <v>4001</v>
      </c>
      <c r="C1313" t="s">
        <v>403</v>
      </c>
      <c r="F1313" t="str">
        <f>"7578551440"</f>
        <v>7578551440</v>
      </c>
      <c r="G1313" t="s">
        <v>4002</v>
      </c>
      <c r="H1313" t="s">
        <v>2367</v>
      </c>
      <c r="I1313" t="s">
        <v>255</v>
      </c>
      <c r="J1313">
        <v>23509</v>
      </c>
      <c r="K1313">
        <v>1422</v>
      </c>
      <c r="L1313" t="s">
        <v>23</v>
      </c>
      <c r="M1313" t="s">
        <v>4002</v>
      </c>
      <c r="N1313" t="s">
        <v>2367</v>
      </c>
      <c r="O1313" t="s">
        <v>255</v>
      </c>
      <c r="P1313">
        <v>23509</v>
      </c>
      <c r="Q1313">
        <v>1422</v>
      </c>
      <c r="R1313" t="s">
        <v>23</v>
      </c>
      <c r="S1313" s="1" t="s">
        <v>34218</v>
      </c>
    </row>
    <row r="1314" spans="1:19" x14ac:dyDescent="0.25">
      <c r="A1314">
        <v>101326473</v>
      </c>
      <c r="B1314" t="s">
        <v>4003</v>
      </c>
      <c r="C1314" t="s">
        <v>2127</v>
      </c>
      <c r="F1314" t="str">
        <f>"6077494561"</f>
        <v>6077494561</v>
      </c>
      <c r="G1314" t="s">
        <v>4004</v>
      </c>
      <c r="H1314" t="s">
        <v>4005</v>
      </c>
      <c r="I1314" t="s">
        <v>117</v>
      </c>
      <c r="J1314">
        <v>13077</v>
      </c>
      <c r="K1314">
        <v>1219</v>
      </c>
      <c r="L1314" t="s">
        <v>23</v>
      </c>
      <c r="M1314" t="s">
        <v>4004</v>
      </c>
      <c r="N1314" t="s">
        <v>4005</v>
      </c>
      <c r="O1314" t="s">
        <v>117</v>
      </c>
      <c r="P1314">
        <v>13077</v>
      </c>
      <c r="Q1314">
        <v>1219</v>
      </c>
      <c r="R1314" t="s">
        <v>23</v>
      </c>
      <c r="S1314" s="1" t="s">
        <v>34218</v>
      </c>
    </row>
    <row r="1315" spans="1:19" x14ac:dyDescent="0.25">
      <c r="A1315">
        <v>100603776</v>
      </c>
      <c r="B1315" t="s">
        <v>1039</v>
      </c>
      <c r="C1315" t="s">
        <v>1069</v>
      </c>
      <c r="F1315" t="str">
        <f>"4154674607"</f>
        <v>4154674607</v>
      </c>
      <c r="G1315" t="s">
        <v>4006</v>
      </c>
      <c r="H1315" t="s">
        <v>2714</v>
      </c>
      <c r="I1315" t="s">
        <v>22</v>
      </c>
      <c r="J1315">
        <v>94005</v>
      </c>
      <c r="K1315">
        <v>1640</v>
      </c>
      <c r="L1315" t="s">
        <v>23</v>
      </c>
      <c r="M1315" t="s">
        <v>4006</v>
      </c>
      <c r="N1315" t="s">
        <v>2714</v>
      </c>
      <c r="O1315" t="s">
        <v>22</v>
      </c>
      <c r="P1315">
        <v>94005</v>
      </c>
      <c r="Q1315">
        <v>1640</v>
      </c>
      <c r="R1315" t="s">
        <v>23</v>
      </c>
      <c r="S1315" s="1" t="s">
        <v>34218</v>
      </c>
    </row>
    <row r="1316" spans="1:19" x14ac:dyDescent="0.25">
      <c r="A1316">
        <v>100623073</v>
      </c>
      <c r="B1316" t="s">
        <v>4007</v>
      </c>
      <c r="C1316" t="s">
        <v>3350</v>
      </c>
      <c r="F1316" t="str">
        <f>"2126845485"</f>
        <v>2126845485</v>
      </c>
      <c r="G1316" t="s">
        <v>4008</v>
      </c>
      <c r="H1316" t="s">
        <v>653</v>
      </c>
      <c r="I1316" t="s">
        <v>117</v>
      </c>
      <c r="J1316">
        <v>10016</v>
      </c>
      <c r="K1316">
        <v>6437</v>
      </c>
      <c r="L1316" t="s">
        <v>23</v>
      </c>
      <c r="M1316" t="s">
        <v>4008</v>
      </c>
      <c r="N1316" t="s">
        <v>653</v>
      </c>
      <c r="O1316" t="s">
        <v>117</v>
      </c>
      <c r="P1316">
        <v>10016</v>
      </c>
      <c r="Q1316">
        <v>6437</v>
      </c>
      <c r="R1316" t="s">
        <v>23</v>
      </c>
      <c r="S1316" s="1" t="s">
        <v>34218</v>
      </c>
    </row>
    <row r="1317" spans="1:19" x14ac:dyDescent="0.25">
      <c r="A1317">
        <v>100819965</v>
      </c>
      <c r="B1317" t="s">
        <v>4009</v>
      </c>
      <c r="C1317" t="s">
        <v>554</v>
      </c>
      <c r="F1317" t="str">
        <f>"4694509787"</f>
        <v>4694509787</v>
      </c>
      <c r="G1317" t="s">
        <v>4010</v>
      </c>
      <c r="H1317" t="s">
        <v>1298</v>
      </c>
      <c r="I1317" t="s">
        <v>38</v>
      </c>
      <c r="J1317">
        <v>75454</v>
      </c>
      <c r="K1317">
        <v>8907</v>
      </c>
      <c r="L1317" t="s">
        <v>23</v>
      </c>
      <c r="M1317" t="s">
        <v>4010</v>
      </c>
      <c r="N1317" t="s">
        <v>1298</v>
      </c>
      <c r="O1317" t="s">
        <v>38</v>
      </c>
      <c r="P1317">
        <v>75454</v>
      </c>
      <c r="Q1317">
        <v>8907</v>
      </c>
      <c r="R1317" t="s">
        <v>23</v>
      </c>
      <c r="S1317" s="1" t="s">
        <v>34218</v>
      </c>
    </row>
    <row r="1318" spans="1:19" x14ac:dyDescent="0.25">
      <c r="A1318">
        <v>100544037</v>
      </c>
      <c r="B1318" t="s">
        <v>4011</v>
      </c>
      <c r="C1318" t="s">
        <v>4012</v>
      </c>
      <c r="F1318" t="str">
        <f>"7149958556"</f>
        <v>7149958556</v>
      </c>
      <c r="G1318" t="s">
        <v>4013</v>
      </c>
      <c r="H1318" t="s">
        <v>3580</v>
      </c>
      <c r="I1318" t="s">
        <v>22</v>
      </c>
      <c r="J1318">
        <v>90620</v>
      </c>
      <c r="K1318">
        <v>3008</v>
      </c>
      <c r="L1318" t="s">
        <v>23</v>
      </c>
      <c r="M1318" t="s">
        <v>4013</v>
      </c>
      <c r="N1318" t="s">
        <v>3580</v>
      </c>
      <c r="O1318" t="s">
        <v>22</v>
      </c>
      <c r="P1318">
        <v>90620</v>
      </c>
      <c r="Q1318">
        <v>3008</v>
      </c>
      <c r="R1318" t="s">
        <v>23</v>
      </c>
      <c r="S1318" s="1" t="s">
        <v>34218</v>
      </c>
    </row>
    <row r="1319" spans="1:19" x14ac:dyDescent="0.25">
      <c r="A1319">
        <v>100568077</v>
      </c>
      <c r="B1319" t="s">
        <v>4014</v>
      </c>
      <c r="C1319" t="s">
        <v>3110</v>
      </c>
      <c r="F1319" t="str">
        <f>"9192205092"</f>
        <v>9192205092</v>
      </c>
      <c r="G1319" t="s">
        <v>4015</v>
      </c>
      <c r="H1319" t="s">
        <v>2046</v>
      </c>
      <c r="I1319" t="s">
        <v>446</v>
      </c>
      <c r="J1319">
        <v>27704</v>
      </c>
      <c r="K1319">
        <v>4307</v>
      </c>
      <c r="L1319" t="s">
        <v>23</v>
      </c>
      <c r="M1319" t="s">
        <v>4015</v>
      </c>
      <c r="N1319" t="s">
        <v>2046</v>
      </c>
      <c r="O1319" t="s">
        <v>446</v>
      </c>
      <c r="P1319">
        <v>27704</v>
      </c>
      <c r="Q1319">
        <v>4307</v>
      </c>
      <c r="R1319" t="s">
        <v>23</v>
      </c>
      <c r="S1319" s="1" t="s">
        <v>34218</v>
      </c>
    </row>
    <row r="1320" spans="1:19" x14ac:dyDescent="0.25">
      <c r="A1320">
        <v>100575400</v>
      </c>
      <c r="B1320" t="s">
        <v>4016</v>
      </c>
      <c r="C1320" t="s">
        <v>123</v>
      </c>
      <c r="F1320" t="str">
        <f>"2604334477"</f>
        <v>2604334477</v>
      </c>
      <c r="G1320" t="s">
        <v>4017</v>
      </c>
      <c r="H1320" t="s">
        <v>56</v>
      </c>
      <c r="I1320" t="s">
        <v>57</v>
      </c>
      <c r="J1320">
        <v>46815</v>
      </c>
      <c r="K1320">
        <v>6566</v>
      </c>
      <c r="L1320" t="s">
        <v>23</v>
      </c>
      <c r="M1320" t="s">
        <v>4017</v>
      </c>
      <c r="N1320" t="s">
        <v>56</v>
      </c>
      <c r="O1320" t="s">
        <v>57</v>
      </c>
      <c r="P1320">
        <v>46815</v>
      </c>
      <c r="Q1320">
        <v>6566</v>
      </c>
      <c r="R1320" t="s">
        <v>23</v>
      </c>
      <c r="S1320" s="1" t="s">
        <v>34218</v>
      </c>
    </row>
    <row r="1321" spans="1:19" x14ac:dyDescent="0.25">
      <c r="A1321">
        <v>100761908</v>
      </c>
      <c r="B1321" t="s">
        <v>4018</v>
      </c>
      <c r="C1321" t="s">
        <v>4019</v>
      </c>
      <c r="F1321" t="str">
        <f>"6619771558"</f>
        <v>6619771558</v>
      </c>
      <c r="G1321" t="s">
        <v>4020</v>
      </c>
      <c r="H1321" t="s">
        <v>4021</v>
      </c>
      <c r="I1321" t="s">
        <v>22</v>
      </c>
      <c r="J1321">
        <v>91354</v>
      </c>
      <c r="K1321">
        <v>1600</v>
      </c>
      <c r="L1321" t="s">
        <v>23</v>
      </c>
      <c r="M1321" t="s">
        <v>4020</v>
      </c>
      <c r="N1321" t="s">
        <v>4021</v>
      </c>
      <c r="O1321" t="s">
        <v>22</v>
      </c>
      <c r="P1321">
        <v>91354</v>
      </c>
      <c r="Q1321">
        <v>1600</v>
      </c>
      <c r="R1321" t="s">
        <v>23</v>
      </c>
      <c r="S1321" s="1" t="s">
        <v>34218</v>
      </c>
    </row>
    <row r="1322" spans="1:19" x14ac:dyDescent="0.25">
      <c r="A1322">
        <v>100965499</v>
      </c>
      <c r="B1322" t="s">
        <v>4022</v>
      </c>
      <c r="C1322" t="s">
        <v>3622</v>
      </c>
      <c r="F1322" t="str">
        <f>"6194640774"</f>
        <v>6194640774</v>
      </c>
      <c r="G1322" t="s">
        <v>4023</v>
      </c>
      <c r="H1322" t="s">
        <v>4024</v>
      </c>
      <c r="I1322" t="s">
        <v>22</v>
      </c>
      <c r="J1322">
        <v>91945</v>
      </c>
      <c r="K1322">
        <v>2615</v>
      </c>
      <c r="L1322" t="s">
        <v>23</v>
      </c>
      <c r="M1322" t="s">
        <v>4023</v>
      </c>
      <c r="N1322" t="s">
        <v>4024</v>
      </c>
      <c r="O1322" t="s">
        <v>22</v>
      </c>
      <c r="P1322">
        <v>91945</v>
      </c>
      <c r="Q1322">
        <v>2615</v>
      </c>
      <c r="R1322" t="s">
        <v>23</v>
      </c>
      <c r="S1322" s="1" t="s">
        <v>34218</v>
      </c>
    </row>
    <row r="1323" spans="1:19" x14ac:dyDescent="0.25">
      <c r="A1323">
        <v>100674001</v>
      </c>
      <c r="B1323" t="s">
        <v>4025</v>
      </c>
      <c r="C1323" t="s">
        <v>4026</v>
      </c>
      <c r="F1323" t="str">
        <f>"2066795429"</f>
        <v>2066795429</v>
      </c>
      <c r="G1323" t="s">
        <v>4027</v>
      </c>
      <c r="H1323" t="s">
        <v>1531</v>
      </c>
      <c r="I1323" t="s">
        <v>84</v>
      </c>
      <c r="J1323">
        <v>98125</v>
      </c>
      <c r="K1323">
        <v>5019</v>
      </c>
      <c r="L1323" t="s">
        <v>23</v>
      </c>
      <c r="M1323" t="s">
        <v>4027</v>
      </c>
      <c r="N1323" t="s">
        <v>1531</v>
      </c>
      <c r="O1323" t="s">
        <v>84</v>
      </c>
      <c r="P1323">
        <v>98125</v>
      </c>
      <c r="Q1323">
        <v>5019</v>
      </c>
      <c r="R1323" t="s">
        <v>23</v>
      </c>
      <c r="S1323" s="1" t="s">
        <v>34218</v>
      </c>
    </row>
    <row r="1324" spans="1:19" x14ac:dyDescent="0.25">
      <c r="A1324">
        <v>100873319</v>
      </c>
      <c r="B1324" t="s">
        <v>4028</v>
      </c>
      <c r="C1324" t="s">
        <v>2515</v>
      </c>
      <c r="F1324" t="str">
        <f>"6363765555"</f>
        <v>6363765555</v>
      </c>
      <c r="G1324" t="s">
        <v>4029</v>
      </c>
      <c r="H1324" t="s">
        <v>4030</v>
      </c>
      <c r="I1324" t="s">
        <v>126</v>
      </c>
      <c r="J1324">
        <v>63049</v>
      </c>
      <c r="K1324">
        <v>3121</v>
      </c>
      <c r="L1324" t="s">
        <v>23</v>
      </c>
      <c r="M1324" t="s">
        <v>4029</v>
      </c>
      <c r="N1324" t="s">
        <v>4030</v>
      </c>
      <c r="O1324" t="s">
        <v>126</v>
      </c>
      <c r="P1324">
        <v>63049</v>
      </c>
      <c r="Q1324">
        <v>3121</v>
      </c>
      <c r="R1324" t="s">
        <v>23</v>
      </c>
      <c r="S1324" s="1" t="s">
        <v>34218</v>
      </c>
    </row>
    <row r="1325" spans="1:19" x14ac:dyDescent="0.25">
      <c r="A1325">
        <v>100879328</v>
      </c>
      <c r="B1325" t="s">
        <v>4031</v>
      </c>
      <c r="C1325" t="s">
        <v>274</v>
      </c>
      <c r="F1325" t="str">
        <f>"7326871234"</f>
        <v>7326871234</v>
      </c>
      <c r="G1325" t="s">
        <v>4032</v>
      </c>
      <c r="H1325" t="s">
        <v>4033</v>
      </c>
      <c r="I1325" t="s">
        <v>250</v>
      </c>
      <c r="J1325">
        <v>8817</v>
      </c>
      <c r="K1325">
        <v>4953</v>
      </c>
      <c r="L1325" t="s">
        <v>23</v>
      </c>
      <c r="M1325" t="s">
        <v>4032</v>
      </c>
      <c r="N1325" t="s">
        <v>4033</v>
      </c>
      <c r="O1325" t="s">
        <v>250</v>
      </c>
      <c r="P1325">
        <v>8817</v>
      </c>
      <c r="Q1325">
        <v>4953</v>
      </c>
      <c r="R1325" t="s">
        <v>23</v>
      </c>
      <c r="S1325" s="1" t="s">
        <v>34218</v>
      </c>
    </row>
    <row r="1326" spans="1:19" x14ac:dyDescent="0.25">
      <c r="A1326">
        <v>100585737</v>
      </c>
      <c r="B1326" t="s">
        <v>4034</v>
      </c>
      <c r="C1326" t="s">
        <v>1879</v>
      </c>
      <c r="F1326" t="str">
        <f>"5038944858"</f>
        <v>5038944858</v>
      </c>
      <c r="G1326" t="s">
        <v>4035</v>
      </c>
      <c r="H1326" t="s">
        <v>1877</v>
      </c>
      <c r="I1326" t="s">
        <v>43</v>
      </c>
      <c r="J1326">
        <v>97302</v>
      </c>
      <c r="K1326">
        <v>3533</v>
      </c>
      <c r="L1326" t="s">
        <v>23</v>
      </c>
      <c r="M1326" t="s">
        <v>4035</v>
      </c>
      <c r="N1326" t="s">
        <v>1877</v>
      </c>
      <c r="O1326" t="s">
        <v>43</v>
      </c>
      <c r="P1326">
        <v>97302</v>
      </c>
      <c r="Q1326">
        <v>3533</v>
      </c>
      <c r="R1326" t="s">
        <v>23</v>
      </c>
      <c r="S1326" s="1" t="s">
        <v>34218</v>
      </c>
    </row>
    <row r="1327" spans="1:19" x14ac:dyDescent="0.25">
      <c r="A1327">
        <v>100594019</v>
      </c>
      <c r="B1327" t="s">
        <v>4036</v>
      </c>
      <c r="C1327" t="s">
        <v>894</v>
      </c>
      <c r="F1327" t="str">
        <f>"4256417911"</f>
        <v>4256417911</v>
      </c>
      <c r="G1327" t="s">
        <v>4037</v>
      </c>
      <c r="H1327" t="s">
        <v>92</v>
      </c>
      <c r="I1327" t="s">
        <v>84</v>
      </c>
      <c r="J1327">
        <v>98006</v>
      </c>
      <c r="K1327">
        <v>4807</v>
      </c>
      <c r="L1327" t="s">
        <v>23</v>
      </c>
      <c r="M1327" t="s">
        <v>4037</v>
      </c>
      <c r="N1327" t="s">
        <v>92</v>
      </c>
      <c r="O1327" t="s">
        <v>84</v>
      </c>
      <c r="P1327">
        <v>98006</v>
      </c>
      <c r="Q1327">
        <v>4807</v>
      </c>
      <c r="R1327" t="s">
        <v>23</v>
      </c>
      <c r="S1327" s="1" t="s">
        <v>34218</v>
      </c>
    </row>
    <row r="1328" spans="1:19" x14ac:dyDescent="0.25">
      <c r="A1328">
        <v>100590483</v>
      </c>
      <c r="B1328" t="s">
        <v>4038</v>
      </c>
      <c r="C1328" t="s">
        <v>617</v>
      </c>
      <c r="F1328" t="str">
        <f>"8318888888"</f>
        <v>8318888888</v>
      </c>
      <c r="G1328" t="s">
        <v>4039</v>
      </c>
      <c r="H1328" t="s">
        <v>2296</v>
      </c>
      <c r="I1328" t="s">
        <v>22</v>
      </c>
      <c r="J1328">
        <v>95003</v>
      </c>
      <c r="K1328">
        <v>3305</v>
      </c>
      <c r="L1328" t="s">
        <v>23</v>
      </c>
      <c r="M1328" t="s">
        <v>4039</v>
      </c>
      <c r="N1328" t="s">
        <v>2296</v>
      </c>
      <c r="O1328" t="s">
        <v>22</v>
      </c>
      <c r="P1328">
        <v>95003</v>
      </c>
      <c r="Q1328">
        <v>3305</v>
      </c>
      <c r="R1328" t="s">
        <v>23</v>
      </c>
      <c r="S1328" s="1" t="s">
        <v>34218</v>
      </c>
    </row>
    <row r="1329" spans="1:19" x14ac:dyDescent="0.25">
      <c r="A1329">
        <v>100795363</v>
      </c>
      <c r="B1329" t="s">
        <v>2523</v>
      </c>
      <c r="C1329" t="s">
        <v>90</v>
      </c>
      <c r="F1329" t="str">
        <f>"8056486590"</f>
        <v>8056486590</v>
      </c>
      <c r="G1329" t="s">
        <v>4040</v>
      </c>
      <c r="H1329" t="s">
        <v>108</v>
      </c>
      <c r="I1329" t="s">
        <v>22</v>
      </c>
      <c r="J1329">
        <v>93001</v>
      </c>
      <c r="K1329">
        <v>1426</v>
      </c>
      <c r="L1329" t="s">
        <v>23</v>
      </c>
      <c r="M1329" t="s">
        <v>4040</v>
      </c>
      <c r="N1329" t="s">
        <v>108</v>
      </c>
      <c r="O1329" t="s">
        <v>22</v>
      </c>
      <c r="P1329">
        <v>93001</v>
      </c>
      <c r="Q1329">
        <v>1426</v>
      </c>
      <c r="R1329" t="s">
        <v>23</v>
      </c>
      <c r="S1329" s="1" t="s">
        <v>34218</v>
      </c>
    </row>
    <row r="1330" spans="1:19" x14ac:dyDescent="0.25">
      <c r="A1330">
        <v>100633954</v>
      </c>
      <c r="B1330" t="s">
        <v>4041</v>
      </c>
      <c r="C1330" t="s">
        <v>4042</v>
      </c>
      <c r="F1330" t="str">
        <f>"6099245238"</f>
        <v>6099245238</v>
      </c>
      <c r="G1330" t="s">
        <v>4043</v>
      </c>
      <c r="H1330" t="s">
        <v>4044</v>
      </c>
      <c r="I1330" t="s">
        <v>250</v>
      </c>
      <c r="J1330">
        <v>8540</v>
      </c>
      <c r="K1330">
        <v>3608</v>
      </c>
      <c r="L1330" t="s">
        <v>23</v>
      </c>
      <c r="M1330" t="s">
        <v>4043</v>
      </c>
      <c r="N1330" t="s">
        <v>4044</v>
      </c>
      <c r="O1330" t="s">
        <v>250</v>
      </c>
      <c r="P1330">
        <v>8540</v>
      </c>
      <c r="Q1330">
        <v>3608</v>
      </c>
      <c r="R1330" t="s">
        <v>23</v>
      </c>
      <c r="S1330" s="1" t="s">
        <v>34218</v>
      </c>
    </row>
    <row r="1331" spans="1:19" x14ac:dyDescent="0.25">
      <c r="A1331">
        <v>100843965</v>
      </c>
      <c r="B1331" t="s">
        <v>4045</v>
      </c>
      <c r="C1331" t="s">
        <v>4046</v>
      </c>
      <c r="F1331" t="str">
        <f>"8058161953"</f>
        <v>8058161953</v>
      </c>
      <c r="G1331" t="s">
        <v>4047</v>
      </c>
      <c r="H1331" t="s">
        <v>2923</v>
      </c>
      <c r="I1331" t="s">
        <v>22</v>
      </c>
      <c r="J1331">
        <v>93035</v>
      </c>
      <c r="K1331">
        <v>4504</v>
      </c>
      <c r="L1331" t="s">
        <v>23</v>
      </c>
      <c r="M1331" t="s">
        <v>4047</v>
      </c>
      <c r="N1331" t="s">
        <v>2923</v>
      </c>
      <c r="O1331" t="s">
        <v>22</v>
      </c>
      <c r="P1331">
        <v>93035</v>
      </c>
      <c r="Q1331">
        <v>4504</v>
      </c>
      <c r="R1331" t="s">
        <v>23</v>
      </c>
      <c r="S1331" s="1" t="s">
        <v>34218</v>
      </c>
    </row>
    <row r="1332" spans="1:19" x14ac:dyDescent="0.25">
      <c r="A1332">
        <v>100851646</v>
      </c>
      <c r="B1332" t="s">
        <v>4048</v>
      </c>
      <c r="C1332" t="s">
        <v>4049</v>
      </c>
      <c r="F1332" t="str">
        <f>"9146610891"</f>
        <v>9146610891</v>
      </c>
      <c r="G1332" t="s">
        <v>4050</v>
      </c>
      <c r="H1332" t="s">
        <v>1610</v>
      </c>
      <c r="I1332" t="s">
        <v>117</v>
      </c>
      <c r="J1332">
        <v>10804</v>
      </c>
      <c r="K1332">
        <v>2609</v>
      </c>
      <c r="L1332" t="s">
        <v>23</v>
      </c>
      <c r="M1332" t="s">
        <v>4050</v>
      </c>
      <c r="N1332" t="s">
        <v>1610</v>
      </c>
      <c r="O1332" t="s">
        <v>117</v>
      </c>
      <c r="P1332">
        <v>10804</v>
      </c>
      <c r="Q1332">
        <v>2609</v>
      </c>
      <c r="R1332" t="s">
        <v>23</v>
      </c>
      <c r="S1332" s="1" t="s">
        <v>34218</v>
      </c>
    </row>
    <row r="1333" spans="1:19" x14ac:dyDescent="0.25">
      <c r="A1333">
        <v>100720849</v>
      </c>
      <c r="B1333" t="s">
        <v>119</v>
      </c>
      <c r="C1333" t="s">
        <v>305</v>
      </c>
      <c r="F1333" t="str">
        <f>"7079678316"</f>
        <v>7079678316</v>
      </c>
      <c r="G1333" t="s">
        <v>4051</v>
      </c>
      <c r="H1333" t="s">
        <v>4052</v>
      </c>
      <c r="I1333" t="s">
        <v>22</v>
      </c>
      <c r="J1333">
        <v>94574</v>
      </c>
      <c r="K1333">
        <v>1251</v>
      </c>
      <c r="L1333" t="s">
        <v>23</v>
      </c>
      <c r="M1333" t="s">
        <v>4051</v>
      </c>
      <c r="N1333" t="s">
        <v>4052</v>
      </c>
      <c r="O1333" t="s">
        <v>22</v>
      </c>
      <c r="P1333">
        <v>94574</v>
      </c>
      <c r="Q1333">
        <v>1251</v>
      </c>
      <c r="R1333" t="s">
        <v>23</v>
      </c>
      <c r="S1333" s="1" t="s">
        <v>34218</v>
      </c>
    </row>
    <row r="1334" spans="1:19" x14ac:dyDescent="0.25">
      <c r="A1334">
        <v>100921244</v>
      </c>
      <c r="B1334" t="s">
        <v>4053</v>
      </c>
      <c r="C1334" t="s">
        <v>229</v>
      </c>
      <c r="F1334" t="str">
        <f>"7074430493"</f>
        <v>7074430493</v>
      </c>
      <c r="G1334" t="s">
        <v>4054</v>
      </c>
      <c r="H1334" t="s">
        <v>1261</v>
      </c>
      <c r="I1334" t="s">
        <v>22</v>
      </c>
      <c r="J1334">
        <v>95501</v>
      </c>
      <c r="K1334">
        <v>1312</v>
      </c>
      <c r="L1334" t="s">
        <v>23</v>
      </c>
      <c r="M1334" t="s">
        <v>4054</v>
      </c>
      <c r="N1334" t="s">
        <v>1261</v>
      </c>
      <c r="O1334" t="s">
        <v>22</v>
      </c>
      <c r="P1334">
        <v>95501</v>
      </c>
      <c r="Q1334">
        <v>1312</v>
      </c>
      <c r="R1334" t="s">
        <v>23</v>
      </c>
      <c r="S1334" s="1" t="s">
        <v>34218</v>
      </c>
    </row>
    <row r="1335" spans="1:19" x14ac:dyDescent="0.25">
      <c r="A1335">
        <v>101125069</v>
      </c>
      <c r="B1335" t="s">
        <v>4055</v>
      </c>
      <c r="C1335" t="s">
        <v>535</v>
      </c>
      <c r="F1335" t="str">
        <f>"4107954931"</f>
        <v>4107954931</v>
      </c>
      <c r="G1335" t="s">
        <v>4056</v>
      </c>
      <c r="H1335" t="s">
        <v>4057</v>
      </c>
      <c r="I1335" t="s">
        <v>148</v>
      </c>
      <c r="J1335">
        <v>21784</v>
      </c>
      <c r="K1335">
        <v>9307</v>
      </c>
      <c r="L1335" t="s">
        <v>23</v>
      </c>
      <c r="M1335" t="s">
        <v>4056</v>
      </c>
      <c r="N1335" t="s">
        <v>4057</v>
      </c>
      <c r="O1335" t="s">
        <v>148</v>
      </c>
      <c r="P1335">
        <v>21784</v>
      </c>
      <c r="Q1335">
        <v>9307</v>
      </c>
      <c r="R1335" t="s">
        <v>23</v>
      </c>
      <c r="S1335" s="1" t="s">
        <v>34218</v>
      </c>
    </row>
    <row r="1336" spans="1:19" x14ac:dyDescent="0.25">
      <c r="A1336">
        <v>101128004</v>
      </c>
      <c r="B1336" t="s">
        <v>4058</v>
      </c>
      <c r="C1336" t="s">
        <v>4059</v>
      </c>
      <c r="F1336" t="str">
        <f>"3122176843"</f>
        <v>3122176843</v>
      </c>
      <c r="G1336" t="s">
        <v>4060</v>
      </c>
      <c r="H1336" t="s">
        <v>134</v>
      </c>
      <c r="I1336" t="s">
        <v>135</v>
      </c>
      <c r="J1336">
        <v>60625</v>
      </c>
      <c r="K1336">
        <v>4519</v>
      </c>
      <c r="L1336" t="s">
        <v>23</v>
      </c>
      <c r="M1336" t="s">
        <v>4060</v>
      </c>
      <c r="N1336" t="s">
        <v>134</v>
      </c>
      <c r="O1336" t="s">
        <v>135</v>
      </c>
      <c r="P1336">
        <v>60625</v>
      </c>
      <c r="Q1336">
        <v>4519</v>
      </c>
      <c r="R1336" t="s">
        <v>23</v>
      </c>
      <c r="S1336" s="1" t="s">
        <v>34218</v>
      </c>
    </row>
    <row r="1337" spans="1:19" x14ac:dyDescent="0.25">
      <c r="A1337">
        <v>100898824</v>
      </c>
      <c r="B1337" t="s">
        <v>4061</v>
      </c>
      <c r="C1337" t="s">
        <v>4062</v>
      </c>
      <c r="F1337" t="str">
        <f>"8054588816"</f>
        <v>8054588816</v>
      </c>
      <c r="G1337" t="s">
        <v>4063</v>
      </c>
      <c r="H1337" t="s">
        <v>1060</v>
      </c>
      <c r="I1337" t="s">
        <v>22</v>
      </c>
      <c r="J1337">
        <v>93401</v>
      </c>
      <c r="K1337">
        <v>5501</v>
      </c>
      <c r="L1337" t="s">
        <v>23</v>
      </c>
      <c r="M1337" t="s">
        <v>4063</v>
      </c>
      <c r="N1337" t="s">
        <v>1060</v>
      </c>
      <c r="O1337" t="s">
        <v>22</v>
      </c>
      <c r="P1337">
        <v>93401</v>
      </c>
      <c r="Q1337">
        <v>5501</v>
      </c>
      <c r="R1337" t="s">
        <v>23</v>
      </c>
      <c r="S1337" s="1" t="s">
        <v>34218</v>
      </c>
    </row>
    <row r="1338" spans="1:19" x14ac:dyDescent="0.25">
      <c r="A1338">
        <v>101097392</v>
      </c>
      <c r="B1338" t="s">
        <v>4064</v>
      </c>
      <c r="C1338" t="s">
        <v>350</v>
      </c>
      <c r="F1338" t="str">
        <f>"8088261413"</f>
        <v>8088261413</v>
      </c>
      <c r="G1338" t="s">
        <v>4065</v>
      </c>
      <c r="H1338" t="s">
        <v>4066</v>
      </c>
      <c r="I1338" t="s">
        <v>984</v>
      </c>
      <c r="J1338">
        <v>96722</v>
      </c>
      <c r="K1338">
        <v>5530</v>
      </c>
      <c r="L1338" t="s">
        <v>23</v>
      </c>
      <c r="M1338" t="s">
        <v>4065</v>
      </c>
      <c r="N1338" t="s">
        <v>4066</v>
      </c>
      <c r="O1338" t="s">
        <v>984</v>
      </c>
      <c r="P1338">
        <v>96722</v>
      </c>
      <c r="Q1338">
        <v>5530</v>
      </c>
      <c r="R1338" t="s">
        <v>23</v>
      </c>
      <c r="S1338" s="1" t="s">
        <v>34218</v>
      </c>
    </row>
    <row r="1339" spans="1:19" x14ac:dyDescent="0.25">
      <c r="A1339">
        <v>101057564</v>
      </c>
      <c r="B1339" t="s">
        <v>4067</v>
      </c>
      <c r="C1339" t="s">
        <v>535</v>
      </c>
      <c r="F1339" t="str">
        <f>"3033853849"</f>
        <v>3033853849</v>
      </c>
      <c r="G1339" t="s">
        <v>4068</v>
      </c>
      <c r="H1339" t="s">
        <v>4069</v>
      </c>
      <c r="I1339" t="s">
        <v>71</v>
      </c>
      <c r="J1339">
        <v>80127</v>
      </c>
      <c r="K1339">
        <v>2430</v>
      </c>
      <c r="L1339" t="s">
        <v>23</v>
      </c>
      <c r="M1339" t="s">
        <v>4068</v>
      </c>
      <c r="N1339" t="s">
        <v>4069</v>
      </c>
      <c r="O1339" t="s">
        <v>71</v>
      </c>
      <c r="P1339">
        <v>80127</v>
      </c>
      <c r="Q1339">
        <v>2430</v>
      </c>
      <c r="R1339" t="s">
        <v>23</v>
      </c>
      <c r="S1339" s="1" t="s">
        <v>34218</v>
      </c>
    </row>
    <row r="1340" spans="1:19" x14ac:dyDescent="0.25">
      <c r="A1340">
        <v>101066657</v>
      </c>
      <c r="B1340" t="s">
        <v>4070</v>
      </c>
      <c r="C1340" t="s">
        <v>68</v>
      </c>
      <c r="F1340" t="str">
        <f>"2062320157"</f>
        <v>2062320157</v>
      </c>
      <c r="G1340" t="s">
        <v>4071</v>
      </c>
      <c r="H1340" t="s">
        <v>4072</v>
      </c>
      <c r="I1340" t="s">
        <v>84</v>
      </c>
      <c r="J1340">
        <v>98040</v>
      </c>
      <c r="K1340">
        <v>3147</v>
      </c>
      <c r="L1340" t="s">
        <v>23</v>
      </c>
      <c r="M1340" t="s">
        <v>4071</v>
      </c>
      <c r="N1340" t="s">
        <v>4072</v>
      </c>
      <c r="O1340" t="s">
        <v>84</v>
      </c>
      <c r="P1340">
        <v>98040</v>
      </c>
      <c r="Q1340">
        <v>3147</v>
      </c>
      <c r="R1340" t="s">
        <v>23</v>
      </c>
      <c r="S1340" s="1" t="s">
        <v>34218</v>
      </c>
    </row>
    <row r="1341" spans="1:19" x14ac:dyDescent="0.25">
      <c r="A1341">
        <v>101284919</v>
      </c>
      <c r="B1341" t="s">
        <v>793</v>
      </c>
      <c r="C1341" t="s">
        <v>1598</v>
      </c>
      <c r="F1341" t="str">
        <f>"7275268042"</f>
        <v>7275268042</v>
      </c>
      <c r="G1341" t="s">
        <v>4073</v>
      </c>
      <c r="H1341" t="s">
        <v>733</v>
      </c>
      <c r="I1341" t="s">
        <v>52</v>
      </c>
      <c r="J1341">
        <v>33703</v>
      </c>
      <c r="K1341">
        <v>4216</v>
      </c>
      <c r="L1341" t="s">
        <v>23</v>
      </c>
      <c r="M1341" t="s">
        <v>4073</v>
      </c>
      <c r="N1341" t="s">
        <v>733</v>
      </c>
      <c r="O1341" t="s">
        <v>52</v>
      </c>
      <c r="P1341">
        <v>33703</v>
      </c>
      <c r="Q1341">
        <v>4216</v>
      </c>
      <c r="R1341" t="s">
        <v>23</v>
      </c>
      <c r="S1341" s="1" t="s">
        <v>34218</v>
      </c>
    </row>
    <row r="1342" spans="1:19" x14ac:dyDescent="0.25">
      <c r="A1342">
        <v>101067776</v>
      </c>
      <c r="B1342" t="s">
        <v>4074</v>
      </c>
      <c r="C1342" t="s">
        <v>4075</v>
      </c>
      <c r="F1342" t="str">
        <f>"5037377382"</f>
        <v>5037377382</v>
      </c>
      <c r="G1342" t="s">
        <v>4076</v>
      </c>
      <c r="H1342" t="s">
        <v>591</v>
      </c>
      <c r="I1342" t="s">
        <v>84</v>
      </c>
      <c r="J1342">
        <v>98226</v>
      </c>
      <c r="K1342">
        <v>4112</v>
      </c>
      <c r="L1342" t="s">
        <v>23</v>
      </c>
      <c r="M1342" t="s">
        <v>4076</v>
      </c>
      <c r="N1342" t="s">
        <v>591</v>
      </c>
      <c r="O1342" t="s">
        <v>84</v>
      </c>
      <c r="P1342">
        <v>98226</v>
      </c>
      <c r="Q1342">
        <v>4112</v>
      </c>
      <c r="R1342" t="s">
        <v>23</v>
      </c>
      <c r="S1342" s="1" t="s">
        <v>34218</v>
      </c>
    </row>
    <row r="1343" spans="1:19" x14ac:dyDescent="0.25">
      <c r="A1343">
        <v>100533248</v>
      </c>
      <c r="B1343" t="s">
        <v>4077</v>
      </c>
      <c r="C1343" t="s">
        <v>4078</v>
      </c>
      <c r="F1343" t="str">
        <f>"3104551457"</f>
        <v>3104551457</v>
      </c>
      <c r="G1343" t="s">
        <v>4079</v>
      </c>
      <c r="H1343" t="s">
        <v>713</v>
      </c>
      <c r="I1343" t="s">
        <v>22</v>
      </c>
      <c r="J1343">
        <v>90290</v>
      </c>
      <c r="K1343">
        <v>3353</v>
      </c>
      <c r="L1343" t="s">
        <v>23</v>
      </c>
      <c r="M1343" t="s">
        <v>4079</v>
      </c>
      <c r="N1343" t="s">
        <v>713</v>
      </c>
      <c r="O1343" t="s">
        <v>22</v>
      </c>
      <c r="P1343">
        <v>90290</v>
      </c>
      <c r="Q1343">
        <v>3353</v>
      </c>
      <c r="R1343" t="s">
        <v>23</v>
      </c>
      <c r="S1343" s="1" t="s">
        <v>34218</v>
      </c>
    </row>
    <row r="1344" spans="1:19" x14ac:dyDescent="0.25">
      <c r="A1344">
        <v>100537663</v>
      </c>
      <c r="B1344" t="s">
        <v>4080</v>
      </c>
      <c r="C1344" t="s">
        <v>367</v>
      </c>
      <c r="F1344" t="str">
        <f>"6193095002"</f>
        <v>6193095002</v>
      </c>
      <c r="G1344" t="s">
        <v>4081</v>
      </c>
      <c r="H1344" t="s">
        <v>198</v>
      </c>
      <c r="I1344" t="s">
        <v>22</v>
      </c>
      <c r="J1344">
        <v>92110</v>
      </c>
      <c r="K1344">
        <v>5824</v>
      </c>
      <c r="L1344" t="s">
        <v>23</v>
      </c>
      <c r="M1344" t="s">
        <v>4081</v>
      </c>
      <c r="N1344" t="s">
        <v>198</v>
      </c>
      <c r="O1344" t="s">
        <v>22</v>
      </c>
      <c r="P1344">
        <v>92110</v>
      </c>
      <c r="Q1344">
        <v>5824</v>
      </c>
      <c r="R1344" t="s">
        <v>23</v>
      </c>
      <c r="S1344" s="1" t="s">
        <v>34218</v>
      </c>
    </row>
    <row r="1345" spans="1:19" x14ac:dyDescent="0.25">
      <c r="A1345">
        <v>100891292</v>
      </c>
      <c r="B1345" t="s">
        <v>4082</v>
      </c>
      <c r="C1345" t="s">
        <v>3817</v>
      </c>
      <c r="F1345" t="str">
        <f>"7155924443"</f>
        <v>7155924443</v>
      </c>
      <c r="G1345" t="s">
        <v>4083</v>
      </c>
      <c r="H1345" t="s">
        <v>4084</v>
      </c>
      <c r="I1345" t="s">
        <v>100</v>
      </c>
      <c r="J1345">
        <v>54407</v>
      </c>
      <c r="L1345" t="s">
        <v>23</v>
      </c>
      <c r="M1345" t="s">
        <v>4083</v>
      </c>
      <c r="N1345" t="s">
        <v>4084</v>
      </c>
      <c r="O1345" t="s">
        <v>100</v>
      </c>
      <c r="P1345">
        <v>54407</v>
      </c>
      <c r="R1345" t="s">
        <v>23</v>
      </c>
      <c r="S1345" s="1" t="s">
        <v>34218</v>
      </c>
    </row>
    <row r="1346" spans="1:19" x14ac:dyDescent="0.25">
      <c r="A1346">
        <v>100747227</v>
      </c>
      <c r="B1346" t="s">
        <v>4085</v>
      </c>
      <c r="C1346" t="s">
        <v>432</v>
      </c>
      <c r="F1346" t="str">
        <f>"4135285311"</f>
        <v>4135285311</v>
      </c>
      <c r="G1346" t="s">
        <v>4086</v>
      </c>
      <c r="H1346" t="s">
        <v>4087</v>
      </c>
      <c r="I1346" t="s">
        <v>236</v>
      </c>
      <c r="J1346">
        <v>1230</v>
      </c>
      <c r="K1346">
        <v>1103</v>
      </c>
      <c r="L1346" t="s">
        <v>23</v>
      </c>
      <c r="M1346" t="s">
        <v>4086</v>
      </c>
      <c r="N1346" t="s">
        <v>4087</v>
      </c>
      <c r="O1346" t="s">
        <v>236</v>
      </c>
      <c r="P1346">
        <v>1230</v>
      </c>
      <c r="Q1346">
        <v>1103</v>
      </c>
      <c r="R1346" t="s">
        <v>23</v>
      </c>
      <c r="S1346" s="1" t="s">
        <v>34218</v>
      </c>
    </row>
    <row r="1347" spans="1:19" x14ac:dyDescent="0.25">
      <c r="A1347">
        <v>100937522</v>
      </c>
      <c r="B1347" t="s">
        <v>114</v>
      </c>
      <c r="C1347" t="s">
        <v>890</v>
      </c>
      <c r="F1347" t="str">
        <f>"4155873049"</f>
        <v>4155873049</v>
      </c>
      <c r="G1347" t="s">
        <v>4088</v>
      </c>
      <c r="H1347" t="s">
        <v>130</v>
      </c>
      <c r="I1347" t="s">
        <v>22</v>
      </c>
      <c r="J1347">
        <v>94112</v>
      </c>
      <c r="K1347">
        <v>4449</v>
      </c>
      <c r="L1347" t="s">
        <v>23</v>
      </c>
      <c r="M1347" t="s">
        <v>4088</v>
      </c>
      <c r="N1347" t="s">
        <v>130</v>
      </c>
      <c r="O1347" t="s">
        <v>22</v>
      </c>
      <c r="P1347">
        <v>94112</v>
      </c>
      <c r="Q1347">
        <v>4449</v>
      </c>
      <c r="R1347" t="s">
        <v>23</v>
      </c>
      <c r="S1347" s="1" t="s">
        <v>34218</v>
      </c>
    </row>
    <row r="1348" spans="1:19" x14ac:dyDescent="0.25">
      <c r="A1348">
        <v>100564634</v>
      </c>
      <c r="B1348" t="s">
        <v>4089</v>
      </c>
      <c r="C1348" t="s">
        <v>1374</v>
      </c>
      <c r="F1348" t="str">
        <f>"2065456899"</f>
        <v>2065456899</v>
      </c>
      <c r="G1348" t="s">
        <v>4090</v>
      </c>
      <c r="H1348" t="s">
        <v>4091</v>
      </c>
      <c r="I1348" t="s">
        <v>84</v>
      </c>
      <c r="J1348">
        <v>98155</v>
      </c>
      <c r="K1348">
        <v>6620</v>
      </c>
      <c r="L1348" t="s">
        <v>23</v>
      </c>
      <c r="M1348" t="s">
        <v>4090</v>
      </c>
      <c r="N1348" t="s">
        <v>4091</v>
      </c>
      <c r="O1348" t="s">
        <v>84</v>
      </c>
      <c r="P1348">
        <v>98155</v>
      </c>
      <c r="Q1348">
        <v>6620</v>
      </c>
      <c r="R1348" t="s">
        <v>23</v>
      </c>
      <c r="S1348" s="1" t="s">
        <v>34218</v>
      </c>
    </row>
    <row r="1349" spans="1:19" x14ac:dyDescent="0.25">
      <c r="A1349">
        <v>100773779</v>
      </c>
      <c r="B1349" t="s">
        <v>4092</v>
      </c>
      <c r="C1349" t="s">
        <v>410</v>
      </c>
      <c r="F1349" t="str">
        <f>"3072471161"</f>
        <v>3072471161</v>
      </c>
      <c r="G1349" t="s">
        <v>4093</v>
      </c>
      <c r="H1349" t="s">
        <v>3737</v>
      </c>
      <c r="I1349" t="s">
        <v>203</v>
      </c>
      <c r="J1349">
        <v>82604</v>
      </c>
      <c r="K1349">
        <v>4898</v>
      </c>
      <c r="L1349" t="s">
        <v>23</v>
      </c>
      <c r="M1349" t="s">
        <v>4093</v>
      </c>
      <c r="N1349" t="s">
        <v>3737</v>
      </c>
      <c r="O1349" t="s">
        <v>203</v>
      </c>
      <c r="P1349">
        <v>82604</v>
      </c>
      <c r="Q1349">
        <v>4898</v>
      </c>
      <c r="R1349" t="s">
        <v>23</v>
      </c>
      <c r="S1349" s="1" t="s">
        <v>34218</v>
      </c>
    </row>
    <row r="1350" spans="1:19" x14ac:dyDescent="0.25">
      <c r="A1350">
        <v>100585725</v>
      </c>
      <c r="B1350" t="s">
        <v>4094</v>
      </c>
      <c r="C1350" t="s">
        <v>2417</v>
      </c>
      <c r="F1350" t="str">
        <f>"7176261226"</f>
        <v>7176261226</v>
      </c>
      <c r="G1350" t="s">
        <v>4095</v>
      </c>
      <c r="H1350" t="s">
        <v>4096</v>
      </c>
      <c r="I1350" t="s">
        <v>33</v>
      </c>
      <c r="J1350">
        <v>17543</v>
      </c>
      <c r="K1350">
        <v>8868</v>
      </c>
      <c r="L1350" t="s">
        <v>23</v>
      </c>
      <c r="M1350" t="s">
        <v>4095</v>
      </c>
      <c r="N1350" t="s">
        <v>4096</v>
      </c>
      <c r="O1350" t="s">
        <v>33</v>
      </c>
      <c r="P1350">
        <v>17543</v>
      </c>
      <c r="Q1350">
        <v>8868</v>
      </c>
      <c r="R1350" t="s">
        <v>23</v>
      </c>
      <c r="S1350" s="1" t="s">
        <v>34218</v>
      </c>
    </row>
    <row r="1351" spans="1:19" x14ac:dyDescent="0.25">
      <c r="A1351">
        <v>100597151</v>
      </c>
      <c r="B1351" t="s">
        <v>1970</v>
      </c>
      <c r="C1351" t="s">
        <v>1757</v>
      </c>
      <c r="F1351" t="str">
        <f>"4178393411"</f>
        <v>4178393411</v>
      </c>
      <c r="G1351" t="s">
        <v>4097</v>
      </c>
      <c r="H1351" t="s">
        <v>746</v>
      </c>
      <c r="I1351" t="s">
        <v>126</v>
      </c>
      <c r="J1351">
        <v>65802</v>
      </c>
      <c r="K1351">
        <v>2904</v>
      </c>
      <c r="L1351" t="s">
        <v>23</v>
      </c>
      <c r="M1351" t="s">
        <v>4097</v>
      </c>
      <c r="N1351" t="s">
        <v>746</v>
      </c>
      <c r="O1351" t="s">
        <v>126</v>
      </c>
      <c r="P1351">
        <v>65802</v>
      </c>
      <c r="Q1351">
        <v>2904</v>
      </c>
      <c r="R1351" t="s">
        <v>23</v>
      </c>
      <c r="S1351" s="1" t="s">
        <v>34218</v>
      </c>
    </row>
    <row r="1352" spans="1:19" x14ac:dyDescent="0.25">
      <c r="A1352">
        <v>100661767</v>
      </c>
      <c r="B1352" t="s">
        <v>4098</v>
      </c>
      <c r="C1352" t="s">
        <v>4099</v>
      </c>
      <c r="F1352" t="str">
        <f>"7042301152"</f>
        <v>7042301152</v>
      </c>
      <c r="G1352" t="s">
        <v>4100</v>
      </c>
      <c r="H1352" t="s">
        <v>4101</v>
      </c>
      <c r="I1352" t="s">
        <v>446</v>
      </c>
      <c r="J1352">
        <v>28117</v>
      </c>
      <c r="K1352">
        <v>6519</v>
      </c>
      <c r="L1352" t="s">
        <v>23</v>
      </c>
      <c r="M1352" t="s">
        <v>4100</v>
      </c>
      <c r="N1352" t="s">
        <v>4101</v>
      </c>
      <c r="O1352" t="s">
        <v>446</v>
      </c>
      <c r="P1352">
        <v>28117</v>
      </c>
      <c r="Q1352">
        <v>6519</v>
      </c>
      <c r="R1352" t="s">
        <v>23</v>
      </c>
      <c r="S1352" s="1" t="s">
        <v>34218</v>
      </c>
    </row>
    <row r="1353" spans="1:19" x14ac:dyDescent="0.25">
      <c r="A1353">
        <v>100663836</v>
      </c>
      <c r="B1353" t="s">
        <v>4102</v>
      </c>
      <c r="C1353" t="s">
        <v>4103</v>
      </c>
      <c r="F1353" t="str">
        <f>"9176012924"</f>
        <v>9176012924</v>
      </c>
      <c r="G1353" t="s">
        <v>4104</v>
      </c>
      <c r="H1353" t="s">
        <v>4105</v>
      </c>
      <c r="I1353" t="s">
        <v>117</v>
      </c>
      <c r="J1353">
        <v>11375</v>
      </c>
      <c r="K1353">
        <v>5476</v>
      </c>
      <c r="L1353" t="s">
        <v>23</v>
      </c>
      <c r="M1353" t="s">
        <v>4104</v>
      </c>
      <c r="N1353" t="s">
        <v>4105</v>
      </c>
      <c r="O1353" t="s">
        <v>117</v>
      </c>
      <c r="P1353">
        <v>11375</v>
      </c>
      <c r="Q1353">
        <v>5476</v>
      </c>
      <c r="R1353" t="s">
        <v>23</v>
      </c>
      <c r="S1353" s="1" t="s">
        <v>34218</v>
      </c>
    </row>
    <row r="1354" spans="1:19" x14ac:dyDescent="0.25">
      <c r="A1354">
        <v>100870213</v>
      </c>
      <c r="B1354" t="s">
        <v>4106</v>
      </c>
      <c r="C1354" t="s">
        <v>1153</v>
      </c>
      <c r="F1354" t="str">
        <f>"7818435093"</f>
        <v>7818435093</v>
      </c>
      <c r="G1354" t="s">
        <v>4107</v>
      </c>
      <c r="H1354" t="s">
        <v>4108</v>
      </c>
      <c r="I1354" t="s">
        <v>236</v>
      </c>
      <c r="J1354">
        <v>2184</v>
      </c>
      <c r="K1354">
        <v>6336</v>
      </c>
      <c r="L1354" t="s">
        <v>23</v>
      </c>
      <c r="M1354" t="s">
        <v>4107</v>
      </c>
      <c r="N1354" t="s">
        <v>4108</v>
      </c>
      <c r="O1354" t="s">
        <v>236</v>
      </c>
      <c r="P1354">
        <v>2184</v>
      </c>
      <c r="Q1354">
        <v>6336</v>
      </c>
      <c r="R1354" t="s">
        <v>23</v>
      </c>
      <c r="S1354" s="1" t="s">
        <v>34218</v>
      </c>
    </row>
    <row r="1355" spans="1:19" x14ac:dyDescent="0.25">
      <c r="A1355">
        <v>100873246</v>
      </c>
      <c r="B1355" t="s">
        <v>3625</v>
      </c>
      <c r="C1355" t="s">
        <v>403</v>
      </c>
      <c r="F1355" t="str">
        <f>"8648797451"</f>
        <v>8648797451</v>
      </c>
      <c r="G1355" t="s">
        <v>4109</v>
      </c>
      <c r="H1355" t="s">
        <v>4110</v>
      </c>
      <c r="I1355" t="s">
        <v>1482</v>
      </c>
      <c r="J1355">
        <v>29365</v>
      </c>
      <c r="K1355">
        <v>1409</v>
      </c>
      <c r="L1355" t="s">
        <v>23</v>
      </c>
      <c r="M1355" t="s">
        <v>4109</v>
      </c>
      <c r="N1355" t="s">
        <v>4110</v>
      </c>
      <c r="O1355" t="s">
        <v>1482</v>
      </c>
      <c r="P1355">
        <v>29365</v>
      </c>
      <c r="Q1355">
        <v>1409</v>
      </c>
      <c r="R1355" t="s">
        <v>23</v>
      </c>
      <c r="S1355" s="1" t="s">
        <v>34218</v>
      </c>
    </row>
    <row r="1356" spans="1:19" x14ac:dyDescent="0.25">
      <c r="A1356">
        <v>100876926</v>
      </c>
      <c r="B1356" t="s">
        <v>4111</v>
      </c>
      <c r="C1356" t="s">
        <v>4112</v>
      </c>
      <c r="F1356" t="str">
        <f>"5183744085"</f>
        <v>5183744085</v>
      </c>
      <c r="G1356" t="s">
        <v>4113</v>
      </c>
      <c r="H1356" t="s">
        <v>4114</v>
      </c>
      <c r="I1356" t="s">
        <v>117</v>
      </c>
      <c r="J1356">
        <v>12304</v>
      </c>
      <c r="K1356">
        <v>3925</v>
      </c>
      <c r="L1356" t="s">
        <v>23</v>
      </c>
      <c r="M1356" t="s">
        <v>4113</v>
      </c>
      <c r="N1356" t="s">
        <v>4114</v>
      </c>
      <c r="O1356" t="s">
        <v>117</v>
      </c>
      <c r="P1356">
        <v>12304</v>
      </c>
      <c r="Q1356">
        <v>3925</v>
      </c>
      <c r="R1356" t="s">
        <v>23</v>
      </c>
      <c r="S1356" s="1" t="s">
        <v>34218</v>
      </c>
    </row>
    <row r="1357" spans="1:19" x14ac:dyDescent="0.25">
      <c r="A1357">
        <v>101049846</v>
      </c>
      <c r="B1357" t="s">
        <v>4115</v>
      </c>
      <c r="C1357" t="s">
        <v>2127</v>
      </c>
      <c r="F1357" t="str">
        <f>"6514939477"</f>
        <v>6514939477</v>
      </c>
      <c r="G1357" t="s">
        <v>4116</v>
      </c>
      <c r="H1357" t="s">
        <v>4117</v>
      </c>
      <c r="I1357" t="s">
        <v>187</v>
      </c>
      <c r="J1357">
        <v>55042</v>
      </c>
      <c r="K1357">
        <v>9417</v>
      </c>
      <c r="L1357" t="s">
        <v>23</v>
      </c>
      <c r="M1357" t="s">
        <v>4116</v>
      </c>
      <c r="N1357" t="s">
        <v>4117</v>
      </c>
      <c r="O1357" t="s">
        <v>187</v>
      </c>
      <c r="P1357">
        <v>55042</v>
      </c>
      <c r="Q1357">
        <v>9417</v>
      </c>
      <c r="R1357" t="s">
        <v>23</v>
      </c>
      <c r="S1357" s="1" t="s">
        <v>34218</v>
      </c>
    </row>
    <row r="1358" spans="1:19" x14ac:dyDescent="0.25">
      <c r="A1358">
        <v>100845762</v>
      </c>
      <c r="B1358" t="s">
        <v>4118</v>
      </c>
      <c r="C1358" t="s">
        <v>266</v>
      </c>
      <c r="F1358" t="str">
        <f>"8186793336"</f>
        <v>8186793336</v>
      </c>
      <c r="G1358" t="s">
        <v>4119</v>
      </c>
      <c r="H1358" t="s">
        <v>311</v>
      </c>
      <c r="I1358" t="s">
        <v>22</v>
      </c>
      <c r="J1358">
        <v>90804</v>
      </c>
      <c r="K1358">
        <v>1201</v>
      </c>
      <c r="L1358" t="s">
        <v>23</v>
      </c>
      <c r="M1358" t="s">
        <v>4119</v>
      </c>
      <c r="N1358" t="s">
        <v>311</v>
      </c>
      <c r="O1358" t="s">
        <v>22</v>
      </c>
      <c r="P1358">
        <v>90804</v>
      </c>
      <c r="Q1358">
        <v>1201</v>
      </c>
      <c r="R1358" t="s">
        <v>23</v>
      </c>
      <c r="S1358" s="1" t="s">
        <v>34218</v>
      </c>
    </row>
    <row r="1359" spans="1:19" x14ac:dyDescent="0.25">
      <c r="A1359">
        <v>100842049</v>
      </c>
      <c r="B1359" t="s">
        <v>4120</v>
      </c>
      <c r="C1359" t="s">
        <v>1703</v>
      </c>
      <c r="F1359" t="str">
        <f>"6194903337"</f>
        <v>6194903337</v>
      </c>
      <c r="G1359" t="s">
        <v>4121</v>
      </c>
      <c r="H1359" t="s">
        <v>4122</v>
      </c>
      <c r="I1359" t="s">
        <v>22</v>
      </c>
      <c r="J1359">
        <v>91942</v>
      </c>
      <c r="K1359">
        <v>4236</v>
      </c>
      <c r="L1359" t="s">
        <v>23</v>
      </c>
      <c r="M1359" t="s">
        <v>4121</v>
      </c>
      <c r="N1359" t="s">
        <v>4122</v>
      </c>
      <c r="O1359" t="s">
        <v>22</v>
      </c>
      <c r="P1359">
        <v>91942</v>
      </c>
      <c r="Q1359">
        <v>4236</v>
      </c>
      <c r="R1359" t="s">
        <v>23</v>
      </c>
      <c r="S1359" s="1" t="s">
        <v>34218</v>
      </c>
    </row>
    <row r="1360" spans="1:19" x14ac:dyDescent="0.25">
      <c r="A1360">
        <v>101067713</v>
      </c>
      <c r="B1360" t="s">
        <v>4123</v>
      </c>
      <c r="C1360" t="s">
        <v>4124</v>
      </c>
      <c r="F1360" t="str">
        <f>"8087797215"</f>
        <v>8087797215</v>
      </c>
      <c r="G1360" t="s">
        <v>4125</v>
      </c>
      <c r="H1360" t="s">
        <v>1344</v>
      </c>
      <c r="I1360" t="s">
        <v>984</v>
      </c>
      <c r="J1360">
        <v>96778</v>
      </c>
      <c r="K1360">
        <v>8115</v>
      </c>
      <c r="L1360" t="s">
        <v>23</v>
      </c>
      <c r="M1360" t="s">
        <v>4125</v>
      </c>
      <c r="N1360" t="s">
        <v>1344</v>
      </c>
      <c r="O1360" t="s">
        <v>984</v>
      </c>
      <c r="P1360">
        <v>96778</v>
      </c>
      <c r="Q1360">
        <v>8115</v>
      </c>
      <c r="R1360" t="s">
        <v>23</v>
      </c>
      <c r="S1360" s="1" t="s">
        <v>34218</v>
      </c>
    </row>
    <row r="1361" spans="1:19" x14ac:dyDescent="0.25">
      <c r="A1361">
        <v>100683716</v>
      </c>
      <c r="B1361" t="s">
        <v>3517</v>
      </c>
      <c r="C1361" t="s">
        <v>266</v>
      </c>
      <c r="F1361" t="str">
        <f>"5038593543"</f>
        <v>5038593543</v>
      </c>
      <c r="G1361" t="s">
        <v>4126</v>
      </c>
      <c r="H1361" t="s">
        <v>4127</v>
      </c>
      <c r="I1361" t="s">
        <v>43</v>
      </c>
      <c r="J1361">
        <v>97358</v>
      </c>
      <c r="K1361">
        <v>9711</v>
      </c>
      <c r="L1361" t="s">
        <v>23</v>
      </c>
      <c r="M1361" t="s">
        <v>4126</v>
      </c>
      <c r="N1361" t="s">
        <v>4127</v>
      </c>
      <c r="O1361" t="s">
        <v>43</v>
      </c>
      <c r="P1361">
        <v>97358</v>
      </c>
      <c r="Q1361">
        <v>9711</v>
      </c>
      <c r="R1361" t="s">
        <v>23</v>
      </c>
      <c r="S1361" s="1" t="s">
        <v>34218</v>
      </c>
    </row>
    <row r="1362" spans="1:19" x14ac:dyDescent="0.25">
      <c r="A1362">
        <v>100682512</v>
      </c>
      <c r="B1362" t="s">
        <v>4128</v>
      </c>
      <c r="C1362" t="s">
        <v>1179</v>
      </c>
      <c r="F1362" t="str">
        <f>"5032339535"</f>
        <v>5032339535</v>
      </c>
      <c r="G1362" t="s">
        <v>4129</v>
      </c>
      <c r="H1362" t="s">
        <v>227</v>
      </c>
      <c r="I1362" t="s">
        <v>43</v>
      </c>
      <c r="J1362">
        <v>97213</v>
      </c>
      <c r="K1362">
        <v>4129</v>
      </c>
      <c r="L1362" t="s">
        <v>23</v>
      </c>
      <c r="M1362" t="s">
        <v>4129</v>
      </c>
      <c r="N1362" t="s">
        <v>227</v>
      </c>
      <c r="O1362" t="s">
        <v>43</v>
      </c>
      <c r="P1362">
        <v>97213</v>
      </c>
      <c r="Q1362">
        <v>4129</v>
      </c>
      <c r="R1362" t="s">
        <v>23</v>
      </c>
      <c r="S1362" s="1" t="s">
        <v>34218</v>
      </c>
    </row>
    <row r="1363" spans="1:19" x14ac:dyDescent="0.25">
      <c r="A1363">
        <v>100890906</v>
      </c>
      <c r="B1363" t="s">
        <v>4130</v>
      </c>
      <c r="C1363" t="s">
        <v>4131</v>
      </c>
      <c r="F1363" t="str">
        <f>"5419977440"</f>
        <v>5419977440</v>
      </c>
      <c r="G1363" t="s">
        <v>4132</v>
      </c>
      <c r="H1363" t="s">
        <v>2762</v>
      </c>
      <c r="I1363" t="s">
        <v>43</v>
      </c>
      <c r="J1363">
        <v>97439</v>
      </c>
      <c r="K1363">
        <v>9330</v>
      </c>
      <c r="L1363" t="s">
        <v>23</v>
      </c>
      <c r="M1363" t="s">
        <v>4132</v>
      </c>
      <c r="N1363" t="s">
        <v>2762</v>
      </c>
      <c r="O1363" t="s">
        <v>43</v>
      </c>
      <c r="P1363">
        <v>97439</v>
      </c>
      <c r="Q1363">
        <v>9330</v>
      </c>
      <c r="R1363" t="s">
        <v>23</v>
      </c>
      <c r="S1363" s="1" t="s">
        <v>34218</v>
      </c>
    </row>
    <row r="1364" spans="1:19" x14ac:dyDescent="0.25">
      <c r="A1364">
        <v>100918605</v>
      </c>
      <c r="B1364" t="s">
        <v>985</v>
      </c>
      <c r="C1364" t="s">
        <v>4133</v>
      </c>
      <c r="F1364" t="str">
        <f>"6505166069"</f>
        <v>6505166069</v>
      </c>
      <c r="G1364" t="s">
        <v>4134</v>
      </c>
      <c r="H1364" t="s">
        <v>1084</v>
      </c>
      <c r="I1364" t="s">
        <v>22</v>
      </c>
      <c r="J1364">
        <v>94044</v>
      </c>
      <c r="K1364">
        <v>3318</v>
      </c>
      <c r="L1364" t="s">
        <v>23</v>
      </c>
      <c r="M1364" t="s">
        <v>4134</v>
      </c>
      <c r="N1364" t="s">
        <v>1084</v>
      </c>
      <c r="O1364" t="s">
        <v>22</v>
      </c>
      <c r="P1364">
        <v>94044</v>
      </c>
      <c r="Q1364">
        <v>3318</v>
      </c>
      <c r="R1364" t="s">
        <v>23</v>
      </c>
      <c r="S1364" s="1" t="s">
        <v>34218</v>
      </c>
    </row>
    <row r="1365" spans="1:19" x14ac:dyDescent="0.25">
      <c r="A1365">
        <v>101069995</v>
      </c>
      <c r="B1365" t="s">
        <v>4135</v>
      </c>
      <c r="C1365" t="s">
        <v>4136</v>
      </c>
      <c r="F1365" t="str">
        <f>"5555555555"</f>
        <v>5555555555</v>
      </c>
      <c r="G1365" t="s">
        <v>3028</v>
      </c>
      <c r="H1365" t="s">
        <v>130</v>
      </c>
      <c r="I1365" t="s">
        <v>22</v>
      </c>
      <c r="J1365">
        <v>94118</v>
      </c>
      <c r="K1365">
        <v>2520</v>
      </c>
      <c r="L1365" t="s">
        <v>23</v>
      </c>
      <c r="M1365" t="s">
        <v>3028</v>
      </c>
      <c r="N1365" t="s">
        <v>130</v>
      </c>
      <c r="O1365" t="s">
        <v>22</v>
      </c>
      <c r="P1365">
        <v>94118</v>
      </c>
      <c r="Q1365">
        <v>2520</v>
      </c>
      <c r="R1365" t="s">
        <v>23</v>
      </c>
      <c r="S1365" s="1" t="s">
        <v>34218</v>
      </c>
    </row>
    <row r="1366" spans="1:19" x14ac:dyDescent="0.25">
      <c r="A1366">
        <v>101271124</v>
      </c>
      <c r="B1366" t="s">
        <v>4137</v>
      </c>
      <c r="C1366" t="s">
        <v>1327</v>
      </c>
      <c r="F1366" t="str">
        <f>"7869724181"</f>
        <v>7869724181</v>
      </c>
      <c r="G1366" t="s">
        <v>4138</v>
      </c>
      <c r="H1366" t="s">
        <v>869</v>
      </c>
      <c r="I1366" t="s">
        <v>52</v>
      </c>
      <c r="J1366">
        <v>33131</v>
      </c>
      <c r="K1366">
        <v>3671</v>
      </c>
      <c r="L1366" t="s">
        <v>23</v>
      </c>
      <c r="M1366" t="s">
        <v>4138</v>
      </c>
      <c r="N1366" t="s">
        <v>869</v>
      </c>
      <c r="O1366" t="s">
        <v>52</v>
      </c>
      <c r="P1366">
        <v>33131</v>
      </c>
      <c r="Q1366">
        <v>3671</v>
      </c>
      <c r="R1366" t="s">
        <v>23</v>
      </c>
      <c r="S1366" s="1" t="s">
        <v>34218</v>
      </c>
    </row>
    <row r="1367" spans="1:19" x14ac:dyDescent="0.25">
      <c r="A1367">
        <v>101270054</v>
      </c>
      <c r="B1367" t="s">
        <v>4139</v>
      </c>
      <c r="C1367" t="s">
        <v>4140</v>
      </c>
      <c r="F1367" t="str">
        <f>"5033631078"</f>
        <v>5033631078</v>
      </c>
      <c r="G1367" t="s">
        <v>4141</v>
      </c>
      <c r="H1367" t="s">
        <v>1877</v>
      </c>
      <c r="I1367" t="s">
        <v>43</v>
      </c>
      <c r="J1367">
        <v>97301</v>
      </c>
      <c r="K1367">
        <v>3247</v>
      </c>
      <c r="L1367" t="s">
        <v>23</v>
      </c>
      <c r="M1367" t="s">
        <v>4141</v>
      </c>
      <c r="N1367" t="s">
        <v>1877</v>
      </c>
      <c r="O1367" t="s">
        <v>43</v>
      </c>
      <c r="P1367">
        <v>97301</v>
      </c>
      <c r="Q1367">
        <v>3247</v>
      </c>
      <c r="R1367" t="s">
        <v>23</v>
      </c>
      <c r="S1367" s="1" t="s">
        <v>34218</v>
      </c>
    </row>
    <row r="1368" spans="1:19" x14ac:dyDescent="0.25">
      <c r="A1368">
        <v>101309698</v>
      </c>
      <c r="B1368" t="s">
        <v>4142</v>
      </c>
      <c r="C1368" t="s">
        <v>1179</v>
      </c>
      <c r="F1368" t="str">
        <f>"2489815670"</f>
        <v>2489815670</v>
      </c>
      <c r="G1368" t="s">
        <v>4143</v>
      </c>
      <c r="H1368" t="s">
        <v>2809</v>
      </c>
      <c r="I1368" t="s">
        <v>140</v>
      </c>
      <c r="J1368">
        <v>48237</v>
      </c>
      <c r="K1368">
        <v>2444</v>
      </c>
      <c r="L1368" t="s">
        <v>23</v>
      </c>
      <c r="M1368" t="s">
        <v>4143</v>
      </c>
      <c r="N1368" t="s">
        <v>2809</v>
      </c>
      <c r="O1368" t="s">
        <v>140</v>
      </c>
      <c r="P1368">
        <v>48237</v>
      </c>
      <c r="Q1368">
        <v>2444</v>
      </c>
      <c r="R1368" t="s">
        <v>23</v>
      </c>
      <c r="S1368" s="1" t="s">
        <v>34218</v>
      </c>
    </row>
    <row r="1369" spans="1:19" x14ac:dyDescent="0.25">
      <c r="A1369">
        <v>101309819</v>
      </c>
      <c r="B1369" t="s">
        <v>4144</v>
      </c>
      <c r="C1369" t="s">
        <v>350</v>
      </c>
      <c r="F1369" t="str">
        <f>"6509650518"</f>
        <v>6509650518</v>
      </c>
      <c r="G1369" t="s">
        <v>4145</v>
      </c>
      <c r="H1369" t="s">
        <v>3768</v>
      </c>
      <c r="I1369" t="s">
        <v>22</v>
      </c>
      <c r="J1369">
        <v>94043</v>
      </c>
      <c r="K1369">
        <v>2108</v>
      </c>
      <c r="L1369" t="s">
        <v>23</v>
      </c>
      <c r="M1369" t="s">
        <v>4145</v>
      </c>
      <c r="N1369" t="s">
        <v>3768</v>
      </c>
      <c r="O1369" t="s">
        <v>22</v>
      </c>
      <c r="P1369">
        <v>94043</v>
      </c>
      <c r="Q1369">
        <v>2108</v>
      </c>
      <c r="R1369" t="s">
        <v>23</v>
      </c>
      <c r="S1369" s="1" t="s">
        <v>34218</v>
      </c>
    </row>
    <row r="1370" spans="1:19" x14ac:dyDescent="0.25">
      <c r="A1370">
        <v>101309685</v>
      </c>
      <c r="B1370" t="s">
        <v>4146</v>
      </c>
      <c r="C1370" t="s">
        <v>1350</v>
      </c>
      <c r="F1370" t="str">
        <f>"6512710456"</f>
        <v>6512710456</v>
      </c>
      <c r="G1370" t="s">
        <v>4147</v>
      </c>
      <c r="H1370" t="s">
        <v>2878</v>
      </c>
      <c r="I1370" t="s">
        <v>187</v>
      </c>
      <c r="J1370">
        <v>55125</v>
      </c>
      <c r="K1370">
        <v>4351</v>
      </c>
      <c r="L1370" t="s">
        <v>23</v>
      </c>
      <c r="M1370" t="s">
        <v>4147</v>
      </c>
      <c r="N1370" t="s">
        <v>2878</v>
      </c>
      <c r="O1370" t="s">
        <v>187</v>
      </c>
      <c r="P1370">
        <v>55125</v>
      </c>
      <c r="Q1370">
        <v>4351</v>
      </c>
      <c r="R1370" t="s">
        <v>23</v>
      </c>
      <c r="S1370" s="1" t="s">
        <v>34218</v>
      </c>
    </row>
    <row r="1371" spans="1:19" x14ac:dyDescent="0.25">
      <c r="A1371">
        <v>100878850</v>
      </c>
      <c r="B1371" t="s">
        <v>4148</v>
      </c>
      <c r="C1371" t="s">
        <v>132</v>
      </c>
      <c r="F1371" t="str">
        <f>"6303290785"</f>
        <v>6303290785</v>
      </c>
      <c r="G1371" t="s">
        <v>4149</v>
      </c>
      <c r="H1371" t="s">
        <v>4150</v>
      </c>
      <c r="I1371" t="s">
        <v>135</v>
      </c>
      <c r="J1371">
        <v>61604</v>
      </c>
      <c r="K1371">
        <v>1929</v>
      </c>
      <c r="L1371" t="s">
        <v>23</v>
      </c>
      <c r="M1371" t="s">
        <v>4149</v>
      </c>
      <c r="N1371" t="s">
        <v>4150</v>
      </c>
      <c r="O1371" t="s">
        <v>135</v>
      </c>
      <c r="P1371">
        <v>61604</v>
      </c>
      <c r="Q1371">
        <v>1929</v>
      </c>
      <c r="R1371" t="s">
        <v>23</v>
      </c>
      <c r="S1371" s="1" t="s">
        <v>34218</v>
      </c>
    </row>
    <row r="1372" spans="1:19" x14ac:dyDescent="0.25">
      <c r="A1372">
        <v>101291377</v>
      </c>
      <c r="B1372" t="s">
        <v>4151</v>
      </c>
      <c r="C1372" t="s">
        <v>2790</v>
      </c>
      <c r="F1372" t="str">
        <f>"7193670058"</f>
        <v>7193670058</v>
      </c>
      <c r="G1372" t="s">
        <v>4152</v>
      </c>
      <c r="H1372" t="s">
        <v>1985</v>
      </c>
      <c r="I1372" t="s">
        <v>71</v>
      </c>
      <c r="J1372">
        <v>80907</v>
      </c>
      <c r="K1372">
        <v>3864</v>
      </c>
      <c r="L1372" t="s">
        <v>23</v>
      </c>
      <c r="M1372" t="s">
        <v>4152</v>
      </c>
      <c r="N1372" t="s">
        <v>1985</v>
      </c>
      <c r="O1372" t="s">
        <v>71</v>
      </c>
      <c r="P1372">
        <v>80907</v>
      </c>
      <c r="Q1372">
        <v>3864</v>
      </c>
      <c r="R1372" t="s">
        <v>23</v>
      </c>
      <c r="S1372" s="1" t="s">
        <v>34218</v>
      </c>
    </row>
    <row r="1373" spans="1:19" x14ac:dyDescent="0.25">
      <c r="A1373">
        <v>100601127</v>
      </c>
      <c r="B1373" t="s">
        <v>744</v>
      </c>
      <c r="C1373" t="s">
        <v>4153</v>
      </c>
      <c r="F1373" t="str">
        <f>"5555555555"</f>
        <v>5555555555</v>
      </c>
      <c r="G1373" t="s">
        <v>4154</v>
      </c>
      <c r="H1373" t="s">
        <v>4155</v>
      </c>
      <c r="I1373" t="s">
        <v>353</v>
      </c>
      <c r="J1373">
        <v>3244</v>
      </c>
      <c r="K1373">
        <v>6500</v>
      </c>
      <c r="L1373" t="s">
        <v>23</v>
      </c>
      <c r="M1373" t="s">
        <v>4154</v>
      </c>
      <c r="N1373" t="s">
        <v>4155</v>
      </c>
      <c r="O1373" t="s">
        <v>353</v>
      </c>
      <c r="P1373">
        <v>3244</v>
      </c>
      <c r="Q1373">
        <v>6500</v>
      </c>
      <c r="R1373" t="s">
        <v>23</v>
      </c>
      <c r="S1373" s="1" t="s">
        <v>34218</v>
      </c>
    </row>
    <row r="1374" spans="1:19" x14ac:dyDescent="0.25">
      <c r="A1374">
        <v>100609862</v>
      </c>
      <c r="B1374" t="s">
        <v>3476</v>
      </c>
      <c r="C1374" t="s">
        <v>2515</v>
      </c>
      <c r="F1374" t="str">
        <f>"9163708251"</f>
        <v>9163708251</v>
      </c>
      <c r="G1374" t="s">
        <v>4156</v>
      </c>
      <c r="H1374" t="s">
        <v>650</v>
      </c>
      <c r="I1374" t="s">
        <v>22</v>
      </c>
      <c r="J1374">
        <v>95821</v>
      </c>
      <c r="K1374">
        <v>4160</v>
      </c>
      <c r="L1374" t="s">
        <v>23</v>
      </c>
      <c r="M1374" t="s">
        <v>4156</v>
      </c>
      <c r="N1374" t="s">
        <v>650</v>
      </c>
      <c r="O1374" t="s">
        <v>22</v>
      </c>
      <c r="P1374">
        <v>95821</v>
      </c>
      <c r="Q1374">
        <v>4160</v>
      </c>
      <c r="R1374" t="s">
        <v>23</v>
      </c>
      <c r="S1374" s="1" t="s">
        <v>34218</v>
      </c>
    </row>
    <row r="1375" spans="1:19" x14ac:dyDescent="0.25">
      <c r="A1375">
        <v>100613577</v>
      </c>
      <c r="B1375" t="s">
        <v>4157</v>
      </c>
      <c r="C1375" t="s">
        <v>513</v>
      </c>
      <c r="F1375" t="str">
        <f>"5416880423"</f>
        <v>5416880423</v>
      </c>
      <c r="G1375" t="s">
        <v>4158</v>
      </c>
      <c r="H1375" t="s">
        <v>1452</v>
      </c>
      <c r="I1375" t="s">
        <v>43</v>
      </c>
      <c r="J1375">
        <v>97404</v>
      </c>
      <c r="K1375">
        <v>2037</v>
      </c>
      <c r="L1375" t="s">
        <v>23</v>
      </c>
      <c r="M1375" t="s">
        <v>4158</v>
      </c>
      <c r="N1375" t="s">
        <v>1452</v>
      </c>
      <c r="O1375" t="s">
        <v>43</v>
      </c>
      <c r="P1375">
        <v>97404</v>
      </c>
      <c r="Q1375">
        <v>2037</v>
      </c>
      <c r="R1375" t="s">
        <v>23</v>
      </c>
      <c r="S1375" s="1" t="s">
        <v>34218</v>
      </c>
    </row>
    <row r="1376" spans="1:19" x14ac:dyDescent="0.25">
      <c r="A1376">
        <v>100819822</v>
      </c>
      <c r="B1376" t="s">
        <v>4159</v>
      </c>
      <c r="C1376" t="s">
        <v>4160</v>
      </c>
      <c r="F1376" t="str">
        <f>"5036487759"</f>
        <v>5036487759</v>
      </c>
      <c r="G1376" t="s">
        <v>4161</v>
      </c>
      <c r="H1376" t="s">
        <v>4162</v>
      </c>
      <c r="I1376" t="s">
        <v>43</v>
      </c>
      <c r="J1376">
        <v>97124</v>
      </c>
      <c r="K1376">
        <v>8902</v>
      </c>
      <c r="L1376" t="s">
        <v>23</v>
      </c>
      <c r="M1376" t="s">
        <v>4161</v>
      </c>
      <c r="N1376" t="s">
        <v>4162</v>
      </c>
      <c r="O1376" t="s">
        <v>43</v>
      </c>
      <c r="P1376">
        <v>97124</v>
      </c>
      <c r="Q1376">
        <v>8902</v>
      </c>
      <c r="R1376" t="s">
        <v>23</v>
      </c>
      <c r="S1376" s="1" t="s">
        <v>34218</v>
      </c>
    </row>
    <row r="1377" spans="1:19" x14ac:dyDescent="0.25">
      <c r="A1377">
        <v>101237191</v>
      </c>
      <c r="B1377" t="s">
        <v>3877</v>
      </c>
      <c r="C1377" t="s">
        <v>2767</v>
      </c>
      <c r="F1377" t="str">
        <f>"5107581212"</f>
        <v>5107581212</v>
      </c>
      <c r="G1377" t="s">
        <v>4163</v>
      </c>
      <c r="H1377" t="s">
        <v>3493</v>
      </c>
      <c r="I1377" t="s">
        <v>22</v>
      </c>
      <c r="J1377">
        <v>94803</v>
      </c>
      <c r="K1377">
        <v>1023</v>
      </c>
      <c r="L1377" t="s">
        <v>23</v>
      </c>
      <c r="M1377" t="s">
        <v>4163</v>
      </c>
      <c r="N1377" t="s">
        <v>3493</v>
      </c>
      <c r="O1377" t="s">
        <v>22</v>
      </c>
      <c r="P1377">
        <v>94803</v>
      </c>
      <c r="Q1377">
        <v>1023</v>
      </c>
      <c r="R1377" t="s">
        <v>23</v>
      </c>
      <c r="S1377" s="1" t="s">
        <v>34218</v>
      </c>
    </row>
    <row r="1378" spans="1:19" x14ac:dyDescent="0.25">
      <c r="A1378">
        <v>101082289</v>
      </c>
      <c r="B1378" t="s">
        <v>3680</v>
      </c>
      <c r="C1378" t="s">
        <v>575</v>
      </c>
      <c r="F1378" t="str">
        <f>"7075691234"</f>
        <v>7075691234</v>
      </c>
      <c r="G1378" t="s">
        <v>4164</v>
      </c>
      <c r="H1378" t="s">
        <v>21</v>
      </c>
      <c r="I1378" t="s">
        <v>22</v>
      </c>
      <c r="J1378">
        <v>95407</v>
      </c>
      <c r="L1378" t="s">
        <v>23</v>
      </c>
      <c r="M1378" t="s">
        <v>4164</v>
      </c>
      <c r="N1378" t="s">
        <v>21</v>
      </c>
      <c r="O1378" t="s">
        <v>22</v>
      </c>
      <c r="P1378">
        <v>95407</v>
      </c>
      <c r="R1378" t="s">
        <v>23</v>
      </c>
      <c r="S1378" s="1" t="s">
        <v>34218</v>
      </c>
    </row>
    <row r="1379" spans="1:19" x14ac:dyDescent="0.25">
      <c r="A1379">
        <v>100657779</v>
      </c>
      <c r="B1379" t="s">
        <v>4165</v>
      </c>
      <c r="C1379" t="s">
        <v>575</v>
      </c>
      <c r="F1379" t="str">
        <f>"5417652711"</f>
        <v>5417652711</v>
      </c>
      <c r="G1379" t="s">
        <v>4166</v>
      </c>
      <c r="H1379" t="s">
        <v>4167</v>
      </c>
      <c r="I1379" t="s">
        <v>43</v>
      </c>
      <c r="J1379">
        <v>97369</v>
      </c>
      <c r="K1379">
        <v>9761</v>
      </c>
      <c r="L1379" t="s">
        <v>23</v>
      </c>
      <c r="M1379" t="s">
        <v>4166</v>
      </c>
      <c r="N1379" t="s">
        <v>4167</v>
      </c>
      <c r="O1379" t="s">
        <v>43</v>
      </c>
      <c r="P1379">
        <v>97369</v>
      </c>
      <c r="Q1379">
        <v>9761</v>
      </c>
      <c r="R1379" t="s">
        <v>23</v>
      </c>
      <c r="S1379" s="1" t="s">
        <v>34218</v>
      </c>
    </row>
    <row r="1380" spans="1:19" x14ac:dyDescent="0.25">
      <c r="A1380">
        <v>100870553</v>
      </c>
      <c r="B1380" t="s">
        <v>4168</v>
      </c>
      <c r="C1380" t="s">
        <v>3066</v>
      </c>
      <c r="F1380" t="str">
        <f>"8313380189"</f>
        <v>8313380189</v>
      </c>
      <c r="G1380" t="s">
        <v>4169</v>
      </c>
      <c r="H1380" t="s">
        <v>2079</v>
      </c>
      <c r="I1380" t="s">
        <v>22</v>
      </c>
      <c r="J1380">
        <v>95006</v>
      </c>
      <c r="K1380">
        <v>9555</v>
      </c>
      <c r="L1380" t="s">
        <v>23</v>
      </c>
      <c r="M1380" t="s">
        <v>4169</v>
      </c>
      <c r="N1380" t="s">
        <v>2079</v>
      </c>
      <c r="O1380" t="s">
        <v>22</v>
      </c>
      <c r="P1380">
        <v>95006</v>
      </c>
      <c r="Q1380">
        <v>9555</v>
      </c>
      <c r="R1380" t="s">
        <v>23</v>
      </c>
      <c r="S1380" s="1" t="s">
        <v>34218</v>
      </c>
    </row>
    <row r="1381" spans="1:19" x14ac:dyDescent="0.25">
      <c r="A1381">
        <v>100890282</v>
      </c>
      <c r="B1381" t="s">
        <v>4170</v>
      </c>
      <c r="C1381" t="s">
        <v>1212</v>
      </c>
      <c r="F1381" t="str">
        <f>"5035444237"</f>
        <v>5035444237</v>
      </c>
      <c r="G1381" t="s">
        <v>4171</v>
      </c>
      <c r="H1381" t="s">
        <v>4172</v>
      </c>
      <c r="I1381" t="s">
        <v>43</v>
      </c>
      <c r="J1381">
        <v>97132</v>
      </c>
      <c r="K1381">
        <v>1647</v>
      </c>
      <c r="L1381" t="s">
        <v>23</v>
      </c>
      <c r="M1381" t="s">
        <v>4171</v>
      </c>
      <c r="N1381" t="s">
        <v>4172</v>
      </c>
      <c r="O1381" t="s">
        <v>43</v>
      </c>
      <c r="P1381">
        <v>97132</v>
      </c>
      <c r="Q1381">
        <v>1647</v>
      </c>
      <c r="R1381" t="s">
        <v>23</v>
      </c>
      <c r="S1381" s="1" t="s">
        <v>34218</v>
      </c>
    </row>
    <row r="1382" spans="1:19" x14ac:dyDescent="0.25">
      <c r="A1382">
        <v>100519066</v>
      </c>
      <c r="B1382" t="s">
        <v>4173</v>
      </c>
      <c r="C1382" t="s">
        <v>4174</v>
      </c>
      <c r="F1382" t="str">
        <f>"7024403447"</f>
        <v>7024403447</v>
      </c>
      <c r="G1382" t="s">
        <v>4175</v>
      </c>
      <c r="H1382" t="s">
        <v>1787</v>
      </c>
      <c r="I1382" t="s">
        <v>702</v>
      </c>
      <c r="J1382">
        <v>89104</v>
      </c>
      <c r="K1382">
        <v>1701</v>
      </c>
      <c r="L1382" t="s">
        <v>23</v>
      </c>
      <c r="M1382" t="s">
        <v>4175</v>
      </c>
      <c r="N1382" t="s">
        <v>1787</v>
      </c>
      <c r="O1382" t="s">
        <v>702</v>
      </c>
      <c r="P1382">
        <v>89104</v>
      </c>
      <c r="Q1382">
        <v>1701</v>
      </c>
      <c r="R1382" t="s">
        <v>23</v>
      </c>
      <c r="S1382" s="1" t="s">
        <v>34218</v>
      </c>
    </row>
    <row r="1383" spans="1:19" x14ac:dyDescent="0.25">
      <c r="A1383">
        <v>100727137</v>
      </c>
      <c r="B1383" t="s">
        <v>3209</v>
      </c>
      <c r="C1383" t="s">
        <v>123</v>
      </c>
      <c r="F1383" t="str">
        <f>"5705236059"</f>
        <v>5705236059</v>
      </c>
      <c r="G1383" t="s">
        <v>4176</v>
      </c>
      <c r="H1383" t="s">
        <v>4177</v>
      </c>
      <c r="I1383" t="s">
        <v>33</v>
      </c>
      <c r="J1383">
        <v>17837</v>
      </c>
      <c r="K1383">
        <v>1436</v>
      </c>
      <c r="L1383" t="s">
        <v>23</v>
      </c>
      <c r="M1383" t="s">
        <v>4176</v>
      </c>
      <c r="N1383" t="s">
        <v>4177</v>
      </c>
      <c r="O1383" t="s">
        <v>33</v>
      </c>
      <c r="P1383">
        <v>17837</v>
      </c>
      <c r="Q1383">
        <v>1436</v>
      </c>
      <c r="R1383" t="s">
        <v>23</v>
      </c>
      <c r="S1383" s="1" t="s">
        <v>34218</v>
      </c>
    </row>
    <row r="1384" spans="1:19" x14ac:dyDescent="0.25">
      <c r="A1384">
        <v>100919245</v>
      </c>
      <c r="B1384" t="s">
        <v>4178</v>
      </c>
      <c r="C1384" t="s">
        <v>2515</v>
      </c>
      <c r="F1384" t="str">
        <f>"5107355061"</f>
        <v>5107355061</v>
      </c>
      <c r="G1384" t="s">
        <v>4179</v>
      </c>
      <c r="H1384" t="s">
        <v>66</v>
      </c>
      <c r="I1384" t="s">
        <v>22</v>
      </c>
      <c r="J1384">
        <v>94703</v>
      </c>
      <c r="K1384">
        <v>1630</v>
      </c>
      <c r="L1384" t="s">
        <v>23</v>
      </c>
      <c r="M1384" t="s">
        <v>4179</v>
      </c>
      <c r="N1384" t="s">
        <v>66</v>
      </c>
      <c r="O1384" t="s">
        <v>22</v>
      </c>
      <c r="P1384">
        <v>94703</v>
      </c>
      <c r="Q1384">
        <v>1630</v>
      </c>
      <c r="R1384" t="s">
        <v>23</v>
      </c>
      <c r="S1384" s="1" t="s">
        <v>34218</v>
      </c>
    </row>
    <row r="1385" spans="1:19" x14ac:dyDescent="0.25">
      <c r="A1385">
        <v>100918496</v>
      </c>
      <c r="B1385" t="s">
        <v>4180</v>
      </c>
      <c r="C1385" t="s">
        <v>498</v>
      </c>
      <c r="F1385" t="str">
        <f>"8036691989"</f>
        <v>8036691989</v>
      </c>
      <c r="G1385" t="s">
        <v>4181</v>
      </c>
      <c r="H1385" t="s">
        <v>4182</v>
      </c>
      <c r="I1385" t="s">
        <v>1482</v>
      </c>
      <c r="J1385">
        <v>29078</v>
      </c>
      <c r="K1385">
        <v>9626</v>
      </c>
      <c r="L1385" t="s">
        <v>23</v>
      </c>
      <c r="M1385" t="s">
        <v>4181</v>
      </c>
      <c r="N1385" t="s">
        <v>4182</v>
      </c>
      <c r="O1385" t="s">
        <v>1482</v>
      </c>
      <c r="P1385">
        <v>29078</v>
      </c>
      <c r="Q1385">
        <v>9626</v>
      </c>
      <c r="R1385" t="s">
        <v>23</v>
      </c>
      <c r="S1385" s="1" t="s">
        <v>34218</v>
      </c>
    </row>
    <row r="1386" spans="1:19" x14ac:dyDescent="0.25">
      <c r="A1386">
        <v>100559577</v>
      </c>
      <c r="B1386" t="s">
        <v>4183</v>
      </c>
      <c r="C1386" t="s">
        <v>4184</v>
      </c>
      <c r="F1386" t="str">
        <f>"4258968510"</f>
        <v>4258968510</v>
      </c>
      <c r="G1386" t="s">
        <v>4185</v>
      </c>
      <c r="H1386" t="s">
        <v>4186</v>
      </c>
      <c r="I1386" t="s">
        <v>84</v>
      </c>
      <c r="J1386">
        <v>98052</v>
      </c>
      <c r="K1386">
        <v>3495</v>
      </c>
      <c r="L1386" t="s">
        <v>23</v>
      </c>
      <c r="M1386" t="s">
        <v>4185</v>
      </c>
      <c r="N1386" t="s">
        <v>4186</v>
      </c>
      <c r="O1386" t="s">
        <v>84</v>
      </c>
      <c r="P1386">
        <v>98052</v>
      </c>
      <c r="Q1386">
        <v>3495</v>
      </c>
      <c r="R1386" t="s">
        <v>23</v>
      </c>
      <c r="S1386" s="1" t="s">
        <v>34218</v>
      </c>
    </row>
    <row r="1387" spans="1:19" x14ac:dyDescent="0.25">
      <c r="A1387">
        <v>100558039</v>
      </c>
      <c r="B1387" t="s">
        <v>4187</v>
      </c>
      <c r="C1387" t="s">
        <v>4188</v>
      </c>
      <c r="F1387" t="str">
        <f>"8143333176"</f>
        <v>8143333176</v>
      </c>
      <c r="G1387" t="s">
        <v>4189</v>
      </c>
      <c r="H1387" t="s">
        <v>4190</v>
      </c>
      <c r="I1387" t="s">
        <v>33</v>
      </c>
      <c r="J1387">
        <v>16335</v>
      </c>
      <c r="K1387">
        <v>8070</v>
      </c>
      <c r="L1387" t="s">
        <v>23</v>
      </c>
      <c r="M1387" t="s">
        <v>4189</v>
      </c>
      <c r="N1387" t="s">
        <v>4190</v>
      </c>
      <c r="O1387" t="s">
        <v>33</v>
      </c>
      <c r="P1387">
        <v>16335</v>
      </c>
      <c r="Q1387">
        <v>8070</v>
      </c>
      <c r="R1387" t="s">
        <v>23</v>
      </c>
      <c r="S1387" s="1" t="s">
        <v>34218</v>
      </c>
    </row>
    <row r="1388" spans="1:19" x14ac:dyDescent="0.25">
      <c r="A1388">
        <v>100570200</v>
      </c>
      <c r="B1388" t="s">
        <v>4191</v>
      </c>
      <c r="C1388" t="s">
        <v>1069</v>
      </c>
      <c r="F1388" t="str">
        <f>"6092681728"</f>
        <v>6092681728</v>
      </c>
      <c r="G1388" t="s">
        <v>4192</v>
      </c>
      <c r="H1388" t="s">
        <v>4193</v>
      </c>
      <c r="I1388" t="s">
        <v>250</v>
      </c>
      <c r="J1388">
        <v>8088</v>
      </c>
      <c r="K1388">
        <v>8956</v>
      </c>
      <c r="L1388" t="s">
        <v>23</v>
      </c>
      <c r="M1388" t="s">
        <v>4192</v>
      </c>
      <c r="N1388" t="s">
        <v>4193</v>
      </c>
      <c r="O1388" t="s">
        <v>250</v>
      </c>
      <c r="P1388">
        <v>8088</v>
      </c>
      <c r="Q1388">
        <v>8956</v>
      </c>
      <c r="R1388" t="s">
        <v>23</v>
      </c>
      <c r="S1388" s="1" t="s">
        <v>34218</v>
      </c>
    </row>
    <row r="1389" spans="1:19" x14ac:dyDescent="0.25">
      <c r="A1389">
        <v>100765313</v>
      </c>
      <c r="B1389" t="s">
        <v>4194</v>
      </c>
      <c r="C1389" t="s">
        <v>3618</v>
      </c>
      <c r="F1389" t="str">
        <f>"4128411890"</f>
        <v>4128411890</v>
      </c>
      <c r="G1389" t="s">
        <v>4195</v>
      </c>
      <c r="H1389" t="s">
        <v>4196</v>
      </c>
      <c r="I1389" t="s">
        <v>33</v>
      </c>
      <c r="J1389">
        <v>15005</v>
      </c>
      <c r="K1389">
        <v>1313</v>
      </c>
      <c r="L1389" t="s">
        <v>23</v>
      </c>
      <c r="M1389" t="s">
        <v>4195</v>
      </c>
      <c r="N1389" t="s">
        <v>4196</v>
      </c>
      <c r="O1389" t="s">
        <v>33</v>
      </c>
      <c r="P1389">
        <v>15005</v>
      </c>
      <c r="Q1389">
        <v>1313</v>
      </c>
      <c r="R1389" t="s">
        <v>23</v>
      </c>
      <c r="S1389" s="1" t="s">
        <v>34218</v>
      </c>
    </row>
    <row r="1390" spans="1:19" x14ac:dyDescent="0.25">
      <c r="A1390">
        <v>100982922</v>
      </c>
      <c r="B1390" t="s">
        <v>4197</v>
      </c>
      <c r="C1390" t="s">
        <v>535</v>
      </c>
      <c r="F1390" t="str">
        <f>"3036667250"</f>
        <v>3036667250</v>
      </c>
      <c r="G1390" t="s">
        <v>4198</v>
      </c>
      <c r="H1390" t="s">
        <v>4199</v>
      </c>
      <c r="I1390" t="s">
        <v>71</v>
      </c>
      <c r="J1390">
        <v>80026</v>
      </c>
      <c r="K1390">
        <v>8889</v>
      </c>
      <c r="L1390" t="s">
        <v>23</v>
      </c>
      <c r="M1390" t="s">
        <v>4198</v>
      </c>
      <c r="N1390" t="s">
        <v>4199</v>
      </c>
      <c r="O1390" t="s">
        <v>71</v>
      </c>
      <c r="P1390">
        <v>80026</v>
      </c>
      <c r="Q1390">
        <v>8889</v>
      </c>
      <c r="R1390" t="s">
        <v>23</v>
      </c>
      <c r="S1390" s="1" t="s">
        <v>34218</v>
      </c>
    </row>
    <row r="1391" spans="1:19" x14ac:dyDescent="0.25">
      <c r="A1391">
        <v>100580356</v>
      </c>
      <c r="B1391" t="s">
        <v>4200</v>
      </c>
      <c r="C1391" t="s">
        <v>90</v>
      </c>
      <c r="F1391" t="str">
        <f>"3156856545"</f>
        <v>3156856545</v>
      </c>
      <c r="G1391" t="s">
        <v>4201</v>
      </c>
      <c r="H1391" t="s">
        <v>4202</v>
      </c>
      <c r="I1391" t="s">
        <v>117</v>
      </c>
      <c r="J1391">
        <v>13152</v>
      </c>
      <c r="K1391">
        <v>8632</v>
      </c>
      <c r="L1391" t="s">
        <v>23</v>
      </c>
      <c r="M1391" t="s">
        <v>4201</v>
      </c>
      <c r="N1391" t="s">
        <v>4202</v>
      </c>
      <c r="O1391" t="s">
        <v>117</v>
      </c>
      <c r="P1391">
        <v>13152</v>
      </c>
      <c r="Q1391">
        <v>8632</v>
      </c>
      <c r="R1391" t="s">
        <v>23</v>
      </c>
      <c r="S1391" s="1" t="s">
        <v>34218</v>
      </c>
    </row>
    <row r="1392" spans="1:19" x14ac:dyDescent="0.25">
      <c r="A1392">
        <v>100581543</v>
      </c>
      <c r="B1392" t="s">
        <v>4203</v>
      </c>
      <c r="C1392" t="s">
        <v>585</v>
      </c>
      <c r="F1392" t="str">
        <f>"5624202137"</f>
        <v>5624202137</v>
      </c>
      <c r="G1392" t="s">
        <v>4204</v>
      </c>
      <c r="H1392" t="s">
        <v>311</v>
      </c>
      <c r="I1392" t="s">
        <v>22</v>
      </c>
      <c r="J1392">
        <v>90808</v>
      </c>
      <c r="K1392">
        <v>1716</v>
      </c>
      <c r="L1392" t="s">
        <v>23</v>
      </c>
      <c r="M1392" t="s">
        <v>4204</v>
      </c>
      <c r="N1392" t="s">
        <v>311</v>
      </c>
      <c r="O1392" t="s">
        <v>22</v>
      </c>
      <c r="P1392">
        <v>90808</v>
      </c>
      <c r="Q1392">
        <v>1716</v>
      </c>
      <c r="R1392" t="s">
        <v>23</v>
      </c>
      <c r="S1392" s="1" t="s">
        <v>34218</v>
      </c>
    </row>
    <row r="1393" spans="1:19" x14ac:dyDescent="0.25">
      <c r="A1393">
        <v>100794233</v>
      </c>
      <c r="B1393" t="s">
        <v>4205</v>
      </c>
      <c r="C1393" t="s">
        <v>180</v>
      </c>
      <c r="F1393" t="str">
        <f>"8313733306"</f>
        <v>8313733306</v>
      </c>
      <c r="G1393" t="s">
        <v>4206</v>
      </c>
      <c r="H1393" t="s">
        <v>1280</v>
      </c>
      <c r="I1393" t="s">
        <v>22</v>
      </c>
      <c r="J1393">
        <v>93950</v>
      </c>
      <c r="K1393">
        <v>2551</v>
      </c>
      <c r="L1393" t="s">
        <v>23</v>
      </c>
      <c r="M1393" t="s">
        <v>4206</v>
      </c>
      <c r="N1393" t="s">
        <v>1280</v>
      </c>
      <c r="O1393" t="s">
        <v>22</v>
      </c>
      <c r="P1393">
        <v>93950</v>
      </c>
      <c r="Q1393">
        <v>2551</v>
      </c>
      <c r="R1393" t="s">
        <v>23</v>
      </c>
      <c r="S1393" s="1" t="s">
        <v>34218</v>
      </c>
    </row>
    <row r="1394" spans="1:19" x14ac:dyDescent="0.25">
      <c r="A1394">
        <v>100798374</v>
      </c>
      <c r="B1394" t="s">
        <v>1355</v>
      </c>
      <c r="C1394" t="s">
        <v>997</v>
      </c>
      <c r="F1394" t="str">
        <f>"9496375122"</f>
        <v>9496375122</v>
      </c>
      <c r="G1394" t="s">
        <v>4207</v>
      </c>
      <c r="H1394" t="s">
        <v>4208</v>
      </c>
      <c r="I1394" t="s">
        <v>22</v>
      </c>
      <c r="J1394">
        <v>92656</v>
      </c>
      <c r="K1394">
        <v>5301</v>
      </c>
      <c r="L1394" t="s">
        <v>23</v>
      </c>
      <c r="M1394" t="s">
        <v>4207</v>
      </c>
      <c r="N1394" t="s">
        <v>4208</v>
      </c>
      <c r="O1394" t="s">
        <v>22</v>
      </c>
      <c r="P1394">
        <v>92656</v>
      </c>
      <c r="Q1394">
        <v>5301</v>
      </c>
      <c r="R1394" t="s">
        <v>23</v>
      </c>
      <c r="S1394" s="1" t="s">
        <v>34218</v>
      </c>
    </row>
    <row r="1395" spans="1:19" x14ac:dyDescent="0.25">
      <c r="A1395">
        <v>101020679</v>
      </c>
      <c r="B1395" t="s">
        <v>3187</v>
      </c>
      <c r="C1395" t="s">
        <v>132</v>
      </c>
      <c r="F1395" t="str">
        <f>"8582726176"</f>
        <v>8582726176</v>
      </c>
      <c r="G1395" t="s">
        <v>4209</v>
      </c>
      <c r="H1395" t="s">
        <v>198</v>
      </c>
      <c r="I1395" t="s">
        <v>22</v>
      </c>
      <c r="J1395">
        <v>92109</v>
      </c>
      <c r="K1395">
        <v>2074</v>
      </c>
      <c r="L1395" t="s">
        <v>23</v>
      </c>
      <c r="M1395" t="s">
        <v>4209</v>
      </c>
      <c r="N1395" t="s">
        <v>198</v>
      </c>
      <c r="O1395" t="s">
        <v>22</v>
      </c>
      <c r="P1395">
        <v>92109</v>
      </c>
      <c r="Q1395">
        <v>2074</v>
      </c>
      <c r="R1395" t="s">
        <v>23</v>
      </c>
      <c r="S1395" s="1" t="s">
        <v>34218</v>
      </c>
    </row>
    <row r="1396" spans="1:19" x14ac:dyDescent="0.25">
      <c r="A1396">
        <v>100644082</v>
      </c>
      <c r="B1396" t="s">
        <v>3089</v>
      </c>
      <c r="C1396" t="s">
        <v>2767</v>
      </c>
      <c r="F1396" t="str">
        <f>"5415403355"</f>
        <v>5415403355</v>
      </c>
      <c r="G1396" t="s">
        <v>4210</v>
      </c>
      <c r="H1396" t="s">
        <v>4211</v>
      </c>
      <c r="I1396" t="s">
        <v>43</v>
      </c>
      <c r="J1396">
        <v>97834</v>
      </c>
      <c r="K1396">
        <v>8018</v>
      </c>
      <c r="L1396" t="s">
        <v>23</v>
      </c>
      <c r="M1396" t="s">
        <v>4210</v>
      </c>
      <c r="N1396" t="s">
        <v>4211</v>
      </c>
      <c r="O1396" t="s">
        <v>43</v>
      </c>
      <c r="P1396">
        <v>97834</v>
      </c>
      <c r="Q1396">
        <v>8018</v>
      </c>
      <c r="R1396" t="s">
        <v>23</v>
      </c>
      <c r="S1396" s="1" t="s">
        <v>34218</v>
      </c>
    </row>
    <row r="1397" spans="1:19" x14ac:dyDescent="0.25">
      <c r="A1397">
        <v>100944846</v>
      </c>
      <c r="B1397" t="s">
        <v>4212</v>
      </c>
      <c r="C1397" t="s">
        <v>1679</v>
      </c>
      <c r="F1397" t="str">
        <f>"7078498228"</f>
        <v>7078498228</v>
      </c>
      <c r="G1397" t="s">
        <v>4213</v>
      </c>
      <c r="H1397" t="s">
        <v>198</v>
      </c>
      <c r="I1397" t="s">
        <v>22</v>
      </c>
      <c r="J1397">
        <v>92115</v>
      </c>
      <c r="K1397">
        <v>6938</v>
      </c>
      <c r="L1397" t="s">
        <v>23</v>
      </c>
      <c r="M1397" t="s">
        <v>4213</v>
      </c>
      <c r="N1397" t="s">
        <v>198</v>
      </c>
      <c r="O1397" t="s">
        <v>22</v>
      </c>
      <c r="P1397">
        <v>92115</v>
      </c>
      <c r="Q1397">
        <v>6938</v>
      </c>
      <c r="R1397" t="s">
        <v>23</v>
      </c>
      <c r="S1397" s="1" t="s">
        <v>34218</v>
      </c>
    </row>
    <row r="1398" spans="1:19" x14ac:dyDescent="0.25">
      <c r="A1398">
        <v>101149169</v>
      </c>
      <c r="B1398" t="s">
        <v>4214</v>
      </c>
      <c r="C1398" t="s">
        <v>2047</v>
      </c>
      <c r="F1398" t="str">
        <f>"6513510000"</f>
        <v>6513510000</v>
      </c>
      <c r="G1398" t="s">
        <v>4215</v>
      </c>
      <c r="H1398" t="s">
        <v>4216</v>
      </c>
      <c r="I1398" t="s">
        <v>187</v>
      </c>
      <c r="J1398">
        <v>55082</v>
      </c>
      <c r="K1398">
        <v>6316</v>
      </c>
      <c r="L1398" t="s">
        <v>23</v>
      </c>
      <c r="M1398" t="s">
        <v>4215</v>
      </c>
      <c r="N1398" t="s">
        <v>4216</v>
      </c>
      <c r="O1398" t="s">
        <v>187</v>
      </c>
      <c r="P1398">
        <v>55082</v>
      </c>
      <c r="Q1398">
        <v>6316</v>
      </c>
      <c r="R1398" t="s">
        <v>23</v>
      </c>
      <c r="S1398" s="1" t="s">
        <v>34218</v>
      </c>
    </row>
    <row r="1399" spans="1:19" x14ac:dyDescent="0.25">
      <c r="A1399">
        <v>100537584</v>
      </c>
      <c r="B1399" t="s">
        <v>4217</v>
      </c>
      <c r="C1399" t="s">
        <v>4218</v>
      </c>
      <c r="F1399" t="str">
        <f>"4014231111"</f>
        <v>4014231111</v>
      </c>
      <c r="G1399" t="s">
        <v>4219</v>
      </c>
      <c r="H1399" t="s">
        <v>4220</v>
      </c>
      <c r="I1399" t="s">
        <v>662</v>
      </c>
      <c r="J1399">
        <v>2835</v>
      </c>
      <c r="K1399">
        <v>1736</v>
      </c>
      <c r="L1399" t="s">
        <v>23</v>
      </c>
      <c r="M1399" t="s">
        <v>4219</v>
      </c>
      <c r="N1399" t="s">
        <v>4220</v>
      </c>
      <c r="O1399" t="s">
        <v>662</v>
      </c>
      <c r="P1399">
        <v>2835</v>
      </c>
      <c r="Q1399">
        <v>1736</v>
      </c>
      <c r="R1399" t="s">
        <v>23</v>
      </c>
      <c r="S1399" s="1" t="s">
        <v>34218</v>
      </c>
    </row>
    <row r="1400" spans="1:19" x14ac:dyDescent="0.25">
      <c r="A1400">
        <v>100742246</v>
      </c>
      <c r="B1400" t="s">
        <v>4221</v>
      </c>
      <c r="C1400" t="s">
        <v>2151</v>
      </c>
      <c r="F1400" t="str">
        <f>"5635881044"</f>
        <v>5635881044</v>
      </c>
      <c r="G1400" t="s">
        <v>4222</v>
      </c>
      <c r="H1400" t="s">
        <v>4223</v>
      </c>
      <c r="I1400" t="s">
        <v>565</v>
      </c>
      <c r="J1400">
        <v>52001</v>
      </c>
      <c r="K1400">
        <v>6327</v>
      </c>
      <c r="L1400" t="s">
        <v>23</v>
      </c>
      <c r="M1400" t="s">
        <v>4222</v>
      </c>
      <c r="N1400" t="s">
        <v>4223</v>
      </c>
      <c r="O1400" t="s">
        <v>565</v>
      </c>
      <c r="P1400">
        <v>52001</v>
      </c>
      <c r="Q1400">
        <v>6327</v>
      </c>
      <c r="R1400" t="s">
        <v>23</v>
      </c>
      <c r="S1400" s="1" t="s">
        <v>34218</v>
      </c>
    </row>
    <row r="1401" spans="1:19" x14ac:dyDescent="0.25">
      <c r="A1401">
        <v>100753212</v>
      </c>
      <c r="B1401" t="s">
        <v>4224</v>
      </c>
      <c r="C1401" t="s">
        <v>102</v>
      </c>
      <c r="F1401" t="str">
        <f>"8637637513"</f>
        <v>8637637513</v>
      </c>
      <c r="G1401" t="s">
        <v>4225</v>
      </c>
      <c r="H1401" t="s">
        <v>4226</v>
      </c>
      <c r="I1401" t="s">
        <v>52</v>
      </c>
      <c r="J1401">
        <v>34974</v>
      </c>
      <c r="K1401">
        <v>4740</v>
      </c>
      <c r="L1401" t="s">
        <v>23</v>
      </c>
      <c r="M1401" t="s">
        <v>4225</v>
      </c>
      <c r="N1401" t="s">
        <v>4226</v>
      </c>
      <c r="O1401" t="s">
        <v>52</v>
      </c>
      <c r="P1401">
        <v>34974</v>
      </c>
      <c r="Q1401">
        <v>4740</v>
      </c>
      <c r="R1401" t="s">
        <v>23</v>
      </c>
      <c r="S1401" s="1" t="s">
        <v>34218</v>
      </c>
    </row>
    <row r="1402" spans="1:19" x14ac:dyDescent="0.25">
      <c r="A1402">
        <v>100753237</v>
      </c>
      <c r="B1402" t="s">
        <v>4227</v>
      </c>
      <c r="C1402" t="s">
        <v>4228</v>
      </c>
      <c r="F1402" t="str">
        <f>"2076298242"</f>
        <v>2076298242</v>
      </c>
      <c r="G1402" t="s">
        <v>4229</v>
      </c>
      <c r="H1402" t="s">
        <v>4230</v>
      </c>
      <c r="I1402" t="s">
        <v>191</v>
      </c>
      <c r="J1402">
        <v>4680</v>
      </c>
      <c r="K1402">
        <v>3110</v>
      </c>
      <c r="L1402" t="s">
        <v>23</v>
      </c>
      <c r="M1402" t="s">
        <v>4229</v>
      </c>
      <c r="N1402" t="s">
        <v>4230</v>
      </c>
      <c r="O1402" t="s">
        <v>191</v>
      </c>
      <c r="P1402">
        <v>4680</v>
      </c>
      <c r="Q1402">
        <v>3110</v>
      </c>
      <c r="R1402" t="s">
        <v>23</v>
      </c>
      <c r="S1402" s="1" t="s">
        <v>34218</v>
      </c>
    </row>
    <row r="1403" spans="1:19" x14ac:dyDescent="0.25">
      <c r="A1403">
        <v>100552824</v>
      </c>
      <c r="B1403" t="s">
        <v>4231</v>
      </c>
      <c r="C1403" t="s">
        <v>1581</v>
      </c>
      <c r="F1403" t="str">
        <f>"9169664559"</f>
        <v>9169664559</v>
      </c>
      <c r="G1403" t="s">
        <v>4232</v>
      </c>
      <c r="H1403" t="s">
        <v>1687</v>
      </c>
      <c r="I1403" t="s">
        <v>22</v>
      </c>
      <c r="J1403">
        <v>95628</v>
      </c>
      <c r="K1403">
        <v>6916</v>
      </c>
      <c r="L1403" t="s">
        <v>23</v>
      </c>
      <c r="M1403" t="s">
        <v>4232</v>
      </c>
      <c r="N1403" t="s">
        <v>1687</v>
      </c>
      <c r="O1403" t="s">
        <v>22</v>
      </c>
      <c r="P1403">
        <v>95628</v>
      </c>
      <c r="Q1403">
        <v>6916</v>
      </c>
      <c r="R1403" t="s">
        <v>23</v>
      </c>
      <c r="S1403" s="1" t="s">
        <v>34218</v>
      </c>
    </row>
    <row r="1404" spans="1:19" x14ac:dyDescent="0.25">
      <c r="A1404">
        <v>100559072</v>
      </c>
      <c r="B1404" t="s">
        <v>4233</v>
      </c>
      <c r="C1404" t="s">
        <v>498</v>
      </c>
      <c r="F1404" t="str">
        <f>"8089477148"</f>
        <v>8089477148</v>
      </c>
      <c r="G1404" t="s">
        <v>4234</v>
      </c>
      <c r="H1404" t="s">
        <v>4235</v>
      </c>
      <c r="I1404" t="s">
        <v>984</v>
      </c>
      <c r="J1404">
        <v>96822</v>
      </c>
      <c r="K1404">
        <v>1356</v>
      </c>
      <c r="L1404" t="s">
        <v>23</v>
      </c>
      <c r="M1404" t="s">
        <v>4234</v>
      </c>
      <c r="N1404" t="s">
        <v>4235</v>
      </c>
      <c r="O1404" t="s">
        <v>984</v>
      </c>
      <c r="P1404">
        <v>96822</v>
      </c>
      <c r="Q1404">
        <v>1356</v>
      </c>
      <c r="R1404" t="s">
        <v>23</v>
      </c>
      <c r="S1404" s="1" t="s">
        <v>34218</v>
      </c>
    </row>
    <row r="1405" spans="1:19" x14ac:dyDescent="0.25">
      <c r="A1405">
        <v>100561244</v>
      </c>
      <c r="B1405" t="s">
        <v>2176</v>
      </c>
      <c r="C1405" t="s">
        <v>3066</v>
      </c>
      <c r="F1405" t="str">
        <f>"4158642275"</f>
        <v>4158642275</v>
      </c>
      <c r="G1405" t="s">
        <v>4236</v>
      </c>
      <c r="H1405" t="s">
        <v>130</v>
      </c>
      <c r="I1405" t="s">
        <v>22</v>
      </c>
      <c r="J1405">
        <v>94103</v>
      </c>
      <c r="K1405">
        <v>5726</v>
      </c>
      <c r="L1405" t="s">
        <v>23</v>
      </c>
      <c r="M1405" t="s">
        <v>4236</v>
      </c>
      <c r="N1405" t="s">
        <v>130</v>
      </c>
      <c r="O1405" t="s">
        <v>22</v>
      </c>
      <c r="P1405">
        <v>94103</v>
      </c>
      <c r="Q1405">
        <v>5726</v>
      </c>
      <c r="R1405" t="s">
        <v>23</v>
      </c>
      <c r="S1405" s="1" t="s">
        <v>34218</v>
      </c>
    </row>
    <row r="1406" spans="1:19" x14ac:dyDescent="0.25">
      <c r="A1406">
        <v>100575322</v>
      </c>
      <c r="B1406" t="s">
        <v>4237</v>
      </c>
      <c r="C1406" t="s">
        <v>282</v>
      </c>
      <c r="F1406" t="str">
        <f>"3525551212"</f>
        <v>3525551212</v>
      </c>
      <c r="G1406" t="s">
        <v>4238</v>
      </c>
      <c r="H1406" t="s">
        <v>4239</v>
      </c>
      <c r="I1406" t="s">
        <v>52</v>
      </c>
      <c r="J1406">
        <v>32159</v>
      </c>
      <c r="K1406">
        <v>6210</v>
      </c>
      <c r="L1406" t="s">
        <v>23</v>
      </c>
      <c r="M1406" t="s">
        <v>4238</v>
      </c>
      <c r="N1406" t="s">
        <v>4239</v>
      </c>
      <c r="O1406" t="s">
        <v>52</v>
      </c>
      <c r="P1406">
        <v>32159</v>
      </c>
      <c r="Q1406">
        <v>6210</v>
      </c>
      <c r="R1406" t="s">
        <v>23</v>
      </c>
      <c r="S1406" s="1" t="s">
        <v>34218</v>
      </c>
    </row>
    <row r="1407" spans="1:19" x14ac:dyDescent="0.25">
      <c r="A1407">
        <v>100765420</v>
      </c>
      <c r="B1407" t="s">
        <v>2586</v>
      </c>
      <c r="C1407" t="s">
        <v>2892</v>
      </c>
      <c r="F1407" t="str">
        <f>"4254882348"</f>
        <v>4254882348</v>
      </c>
      <c r="G1407" t="s">
        <v>4240</v>
      </c>
      <c r="H1407" t="s">
        <v>1086</v>
      </c>
      <c r="I1407" t="s">
        <v>446</v>
      </c>
      <c r="J1407">
        <v>28214</v>
      </c>
      <c r="K1407">
        <v>8842</v>
      </c>
      <c r="L1407" t="s">
        <v>23</v>
      </c>
      <c r="M1407" t="s">
        <v>4240</v>
      </c>
      <c r="N1407" t="s">
        <v>1086</v>
      </c>
      <c r="O1407" t="s">
        <v>446</v>
      </c>
      <c r="P1407">
        <v>28214</v>
      </c>
      <c r="Q1407">
        <v>8842</v>
      </c>
      <c r="R1407" t="s">
        <v>23</v>
      </c>
      <c r="S1407" s="1" t="s">
        <v>34218</v>
      </c>
    </row>
    <row r="1408" spans="1:19" x14ac:dyDescent="0.25">
      <c r="A1408">
        <v>100779716</v>
      </c>
      <c r="B1408" t="s">
        <v>4241</v>
      </c>
      <c r="C1408" t="s">
        <v>4242</v>
      </c>
      <c r="F1408" t="str">
        <f>"7342412987"</f>
        <v>7342412987</v>
      </c>
      <c r="G1408" t="s">
        <v>4243</v>
      </c>
      <c r="H1408" t="s">
        <v>1355</v>
      </c>
      <c r="I1408" t="s">
        <v>140</v>
      </c>
      <c r="J1408">
        <v>48162</v>
      </c>
      <c r="K1408">
        <v>3171</v>
      </c>
      <c r="L1408" t="s">
        <v>23</v>
      </c>
      <c r="M1408" t="s">
        <v>4243</v>
      </c>
      <c r="N1408" t="s">
        <v>1355</v>
      </c>
      <c r="O1408" t="s">
        <v>140</v>
      </c>
      <c r="P1408">
        <v>48162</v>
      </c>
      <c r="Q1408">
        <v>3171</v>
      </c>
      <c r="R1408" t="s">
        <v>23</v>
      </c>
      <c r="S1408" s="1" t="s">
        <v>34218</v>
      </c>
    </row>
    <row r="1409" spans="1:19" x14ac:dyDescent="0.25">
      <c r="A1409">
        <v>100819715</v>
      </c>
      <c r="B1409" t="s">
        <v>4244</v>
      </c>
      <c r="C1409" t="s">
        <v>4245</v>
      </c>
      <c r="F1409" t="str">
        <f>"2154936468"</f>
        <v>2154936468</v>
      </c>
      <c r="G1409" t="s">
        <v>4246</v>
      </c>
      <c r="H1409" t="s">
        <v>4247</v>
      </c>
      <c r="I1409" t="s">
        <v>33</v>
      </c>
      <c r="J1409">
        <v>19067</v>
      </c>
      <c r="K1409">
        <v>3042</v>
      </c>
      <c r="L1409" t="s">
        <v>23</v>
      </c>
      <c r="M1409" t="s">
        <v>4246</v>
      </c>
      <c r="N1409" t="s">
        <v>4247</v>
      </c>
      <c r="O1409" t="s">
        <v>33</v>
      </c>
      <c r="P1409">
        <v>19067</v>
      </c>
      <c r="Q1409">
        <v>3042</v>
      </c>
      <c r="R1409" t="s">
        <v>23</v>
      </c>
      <c r="S1409" s="1" t="s">
        <v>34218</v>
      </c>
    </row>
    <row r="1410" spans="1:19" x14ac:dyDescent="0.25">
      <c r="A1410">
        <v>100657588</v>
      </c>
      <c r="B1410" t="s">
        <v>4248</v>
      </c>
      <c r="C1410" t="s">
        <v>4249</v>
      </c>
      <c r="F1410" t="str">
        <f>"8657651022"</f>
        <v>8657651022</v>
      </c>
      <c r="G1410" t="s">
        <v>4250</v>
      </c>
      <c r="H1410" t="s">
        <v>4251</v>
      </c>
      <c r="I1410" t="s">
        <v>914</v>
      </c>
      <c r="J1410">
        <v>37890</v>
      </c>
      <c r="K1410">
        <v>4903</v>
      </c>
      <c r="L1410" t="s">
        <v>23</v>
      </c>
      <c r="M1410" t="s">
        <v>4250</v>
      </c>
      <c r="N1410" t="s">
        <v>4251</v>
      </c>
      <c r="O1410" t="s">
        <v>914</v>
      </c>
      <c r="P1410">
        <v>37890</v>
      </c>
      <c r="Q1410">
        <v>4903</v>
      </c>
      <c r="R1410" t="s">
        <v>23</v>
      </c>
      <c r="S1410" s="1" t="s">
        <v>34218</v>
      </c>
    </row>
    <row r="1411" spans="1:19" x14ac:dyDescent="0.25">
      <c r="A1411">
        <v>100585459</v>
      </c>
      <c r="B1411" t="s">
        <v>4252</v>
      </c>
      <c r="C1411" t="s">
        <v>4253</v>
      </c>
      <c r="F1411" t="str">
        <f>"6364582422"</f>
        <v>6364582422</v>
      </c>
      <c r="G1411" t="s">
        <v>4254</v>
      </c>
      <c r="H1411" t="s">
        <v>4255</v>
      </c>
      <c r="I1411" t="s">
        <v>126</v>
      </c>
      <c r="J1411">
        <v>63038</v>
      </c>
      <c r="K1411">
        <v>1315</v>
      </c>
      <c r="L1411" t="s">
        <v>23</v>
      </c>
      <c r="M1411" t="s">
        <v>4254</v>
      </c>
      <c r="N1411" t="s">
        <v>4255</v>
      </c>
      <c r="O1411" t="s">
        <v>126</v>
      </c>
      <c r="P1411">
        <v>63038</v>
      </c>
      <c r="Q1411">
        <v>1315</v>
      </c>
      <c r="R1411" t="s">
        <v>23</v>
      </c>
      <c r="S1411" s="1" t="s">
        <v>34218</v>
      </c>
    </row>
    <row r="1412" spans="1:19" x14ac:dyDescent="0.25">
      <c r="A1412">
        <v>100790273</v>
      </c>
      <c r="B1412" t="s">
        <v>4256</v>
      </c>
      <c r="C1412" t="s">
        <v>4257</v>
      </c>
      <c r="F1412" t="str">
        <f>"2222222222"</f>
        <v>2222222222</v>
      </c>
      <c r="G1412" t="s">
        <v>4258</v>
      </c>
      <c r="H1412" t="s">
        <v>4259</v>
      </c>
      <c r="I1412" t="s">
        <v>187</v>
      </c>
      <c r="J1412">
        <v>55443</v>
      </c>
      <c r="K1412">
        <v>3936</v>
      </c>
      <c r="L1412" t="s">
        <v>23</v>
      </c>
      <c r="M1412" t="s">
        <v>4258</v>
      </c>
      <c r="N1412" t="s">
        <v>4259</v>
      </c>
      <c r="O1412" t="s">
        <v>187</v>
      </c>
      <c r="P1412">
        <v>55443</v>
      </c>
      <c r="Q1412">
        <v>3936</v>
      </c>
      <c r="R1412" t="s">
        <v>23</v>
      </c>
      <c r="S1412" s="1" t="s">
        <v>34218</v>
      </c>
    </row>
    <row r="1413" spans="1:19" x14ac:dyDescent="0.25">
      <c r="A1413">
        <v>100807224</v>
      </c>
      <c r="B1413" t="s">
        <v>1156</v>
      </c>
      <c r="C1413" t="s">
        <v>4260</v>
      </c>
      <c r="F1413" t="str">
        <f>"6235565489"</f>
        <v>6235565489</v>
      </c>
      <c r="G1413" t="s">
        <v>4261</v>
      </c>
      <c r="H1413" t="s">
        <v>4262</v>
      </c>
      <c r="I1413" t="s">
        <v>365</v>
      </c>
      <c r="J1413">
        <v>85374</v>
      </c>
      <c r="K1413">
        <v>4619</v>
      </c>
      <c r="L1413" t="s">
        <v>23</v>
      </c>
      <c r="M1413" t="s">
        <v>4261</v>
      </c>
      <c r="N1413" t="s">
        <v>4262</v>
      </c>
      <c r="O1413" t="s">
        <v>365</v>
      </c>
      <c r="P1413">
        <v>85374</v>
      </c>
      <c r="Q1413">
        <v>4619</v>
      </c>
      <c r="R1413" t="s">
        <v>23</v>
      </c>
      <c r="S1413" s="1" t="s">
        <v>34218</v>
      </c>
    </row>
    <row r="1414" spans="1:19" x14ac:dyDescent="0.25">
      <c r="A1414">
        <v>100678842</v>
      </c>
      <c r="B1414" t="s">
        <v>3109</v>
      </c>
      <c r="C1414" t="s">
        <v>1208</v>
      </c>
      <c r="F1414" t="str">
        <f>"5703461527"</f>
        <v>5703461527</v>
      </c>
      <c r="G1414" t="s">
        <v>4263</v>
      </c>
      <c r="H1414" t="s">
        <v>4264</v>
      </c>
      <c r="I1414" t="s">
        <v>33</v>
      </c>
      <c r="J1414">
        <v>18509</v>
      </c>
      <c r="K1414">
        <v>2330</v>
      </c>
      <c r="L1414" t="s">
        <v>23</v>
      </c>
      <c r="M1414" t="s">
        <v>4263</v>
      </c>
      <c r="N1414" t="s">
        <v>4264</v>
      </c>
      <c r="O1414" t="s">
        <v>33</v>
      </c>
      <c r="P1414">
        <v>18509</v>
      </c>
      <c r="Q1414">
        <v>2330</v>
      </c>
      <c r="R1414" t="s">
        <v>23</v>
      </c>
      <c r="S1414" s="1" t="s">
        <v>34218</v>
      </c>
    </row>
    <row r="1415" spans="1:19" x14ac:dyDescent="0.25">
      <c r="A1415">
        <v>100881316</v>
      </c>
      <c r="B1415" t="s">
        <v>4265</v>
      </c>
      <c r="C1415" t="s">
        <v>641</v>
      </c>
      <c r="F1415" t="str">
        <f>"9494599054"</f>
        <v>9494599054</v>
      </c>
      <c r="G1415" t="s">
        <v>4266</v>
      </c>
      <c r="H1415" t="s">
        <v>4267</v>
      </c>
      <c r="I1415" t="s">
        <v>22</v>
      </c>
      <c r="J1415">
        <v>92688</v>
      </c>
      <c r="K1415">
        <v>3400</v>
      </c>
      <c r="L1415" t="s">
        <v>23</v>
      </c>
      <c r="M1415" t="s">
        <v>4266</v>
      </c>
      <c r="N1415" t="s">
        <v>4267</v>
      </c>
      <c r="O1415" t="s">
        <v>22</v>
      </c>
      <c r="P1415">
        <v>92688</v>
      </c>
      <c r="Q1415">
        <v>3400</v>
      </c>
      <c r="R1415" t="s">
        <v>23</v>
      </c>
      <c r="S1415" s="1" t="s">
        <v>34218</v>
      </c>
    </row>
    <row r="1416" spans="1:19" x14ac:dyDescent="0.25">
      <c r="A1416">
        <v>100525269</v>
      </c>
      <c r="B1416" t="s">
        <v>4268</v>
      </c>
      <c r="C1416" t="s">
        <v>803</v>
      </c>
      <c r="F1416" t="str">
        <f>"5102363580"</f>
        <v>5102363580</v>
      </c>
      <c r="G1416" t="s">
        <v>4269</v>
      </c>
      <c r="H1416" t="s">
        <v>3466</v>
      </c>
      <c r="I1416" t="s">
        <v>22</v>
      </c>
      <c r="J1416">
        <v>94805</v>
      </c>
      <c r="K1416">
        <v>2414</v>
      </c>
      <c r="L1416" t="s">
        <v>23</v>
      </c>
      <c r="M1416" t="s">
        <v>4269</v>
      </c>
      <c r="N1416" t="s">
        <v>3466</v>
      </c>
      <c r="O1416" t="s">
        <v>22</v>
      </c>
      <c r="P1416">
        <v>94805</v>
      </c>
      <c r="Q1416">
        <v>2414</v>
      </c>
      <c r="R1416" t="s">
        <v>23</v>
      </c>
      <c r="S1416" s="1" t="s">
        <v>34218</v>
      </c>
    </row>
    <row r="1417" spans="1:19" x14ac:dyDescent="0.25">
      <c r="A1417">
        <v>101072233</v>
      </c>
      <c r="B1417" t="s">
        <v>4270</v>
      </c>
      <c r="C1417" t="s">
        <v>382</v>
      </c>
      <c r="F1417" t="str">
        <f>"5032390105"</f>
        <v>5032390105</v>
      </c>
      <c r="G1417" t="s">
        <v>4271</v>
      </c>
      <c r="H1417" t="s">
        <v>227</v>
      </c>
      <c r="I1417" t="s">
        <v>43</v>
      </c>
      <c r="J1417">
        <v>97214</v>
      </c>
      <c r="K1417">
        <v>5030</v>
      </c>
      <c r="L1417" t="s">
        <v>23</v>
      </c>
      <c r="M1417" t="s">
        <v>4271</v>
      </c>
      <c r="N1417" t="s">
        <v>227</v>
      </c>
      <c r="O1417" t="s">
        <v>43</v>
      </c>
      <c r="P1417">
        <v>97214</v>
      </c>
      <c r="Q1417">
        <v>5030</v>
      </c>
      <c r="R1417" t="s">
        <v>23</v>
      </c>
      <c r="S1417" s="1" t="s">
        <v>34218</v>
      </c>
    </row>
    <row r="1418" spans="1:19" x14ac:dyDescent="0.25">
      <c r="A1418">
        <v>101089589</v>
      </c>
      <c r="B1418" t="s">
        <v>4272</v>
      </c>
      <c r="C1418" t="s">
        <v>4273</v>
      </c>
      <c r="F1418" t="str">
        <f>"5415934421"</f>
        <v>5415934421</v>
      </c>
      <c r="G1418" t="s">
        <v>4274</v>
      </c>
      <c r="H1418" t="s">
        <v>2391</v>
      </c>
      <c r="I1418" t="s">
        <v>43</v>
      </c>
      <c r="J1418">
        <v>97707</v>
      </c>
      <c r="K1418">
        <v>2102</v>
      </c>
      <c r="L1418" t="s">
        <v>23</v>
      </c>
      <c r="M1418" t="s">
        <v>4274</v>
      </c>
      <c r="N1418" t="s">
        <v>2391</v>
      </c>
      <c r="O1418" t="s">
        <v>43</v>
      </c>
      <c r="P1418">
        <v>97707</v>
      </c>
      <c r="Q1418">
        <v>2102</v>
      </c>
      <c r="R1418" t="s">
        <v>23</v>
      </c>
      <c r="S1418" s="1" t="s">
        <v>34218</v>
      </c>
    </row>
    <row r="1419" spans="1:19" x14ac:dyDescent="0.25">
      <c r="A1419">
        <v>101334101</v>
      </c>
      <c r="B1419" t="s">
        <v>4275</v>
      </c>
      <c r="C1419" t="s">
        <v>4276</v>
      </c>
      <c r="F1419" t="str">
        <f>"6105430144"</f>
        <v>6105430144</v>
      </c>
      <c r="G1419" t="s">
        <v>4277</v>
      </c>
      <c r="H1419" t="s">
        <v>4278</v>
      </c>
      <c r="I1419" t="s">
        <v>33</v>
      </c>
      <c r="J1419">
        <v>19081</v>
      </c>
      <c r="K1419">
        <v>1813</v>
      </c>
      <c r="L1419" t="s">
        <v>23</v>
      </c>
      <c r="M1419" t="s">
        <v>4277</v>
      </c>
      <c r="N1419" t="s">
        <v>4278</v>
      </c>
      <c r="O1419" t="s">
        <v>33</v>
      </c>
      <c r="P1419">
        <v>19081</v>
      </c>
      <c r="Q1419">
        <v>1813</v>
      </c>
      <c r="R1419" t="s">
        <v>23</v>
      </c>
      <c r="S1419" s="1" t="s">
        <v>34218</v>
      </c>
    </row>
    <row r="1420" spans="1:19" x14ac:dyDescent="0.25">
      <c r="A1420">
        <v>100700105</v>
      </c>
      <c r="B1420" t="s">
        <v>654</v>
      </c>
      <c r="C1420" t="s">
        <v>4279</v>
      </c>
      <c r="F1420" t="str">
        <f>"9417523121"</f>
        <v>9417523121</v>
      </c>
      <c r="G1420" t="s">
        <v>4280</v>
      </c>
      <c r="H1420" t="s">
        <v>4281</v>
      </c>
      <c r="I1420" t="s">
        <v>52</v>
      </c>
      <c r="J1420">
        <v>34202</v>
      </c>
      <c r="K1420">
        <v>2837</v>
      </c>
      <c r="L1420" t="s">
        <v>23</v>
      </c>
      <c r="M1420" t="s">
        <v>4280</v>
      </c>
      <c r="N1420" t="s">
        <v>4281</v>
      </c>
      <c r="O1420" t="s">
        <v>52</v>
      </c>
      <c r="P1420">
        <v>34202</v>
      </c>
      <c r="Q1420">
        <v>2837</v>
      </c>
      <c r="R1420" t="s">
        <v>23</v>
      </c>
      <c r="S1420" s="1" t="s">
        <v>34218</v>
      </c>
    </row>
    <row r="1421" spans="1:19" x14ac:dyDescent="0.25">
      <c r="A1421">
        <v>100910510</v>
      </c>
      <c r="B1421" t="s">
        <v>4282</v>
      </c>
      <c r="C1421" t="s">
        <v>579</v>
      </c>
      <c r="F1421" t="str">
        <f>"4158976921"</f>
        <v>4158976921</v>
      </c>
      <c r="G1421" t="s">
        <v>4283</v>
      </c>
      <c r="H1421" t="s">
        <v>631</v>
      </c>
      <c r="I1421" t="s">
        <v>22</v>
      </c>
      <c r="J1421">
        <v>94945</v>
      </c>
      <c r="K1421">
        <v>2517</v>
      </c>
      <c r="L1421" t="s">
        <v>23</v>
      </c>
      <c r="M1421" t="s">
        <v>4283</v>
      </c>
      <c r="N1421" t="s">
        <v>631</v>
      </c>
      <c r="O1421" t="s">
        <v>22</v>
      </c>
      <c r="P1421">
        <v>94945</v>
      </c>
      <c r="Q1421">
        <v>2517</v>
      </c>
      <c r="R1421" t="s">
        <v>23</v>
      </c>
      <c r="S1421" s="1" t="s">
        <v>34218</v>
      </c>
    </row>
    <row r="1422" spans="1:19" x14ac:dyDescent="0.25">
      <c r="A1422">
        <v>101094710</v>
      </c>
      <c r="B1422" t="s">
        <v>4284</v>
      </c>
      <c r="C1422" t="s">
        <v>2127</v>
      </c>
      <c r="F1422" t="str">
        <f>"2065239849"</f>
        <v>2065239849</v>
      </c>
      <c r="G1422" t="s">
        <v>4285</v>
      </c>
      <c r="H1422" t="s">
        <v>1531</v>
      </c>
      <c r="I1422" t="s">
        <v>84</v>
      </c>
      <c r="J1422">
        <v>98115</v>
      </c>
      <c r="K1422">
        <v>3636</v>
      </c>
      <c r="L1422" t="s">
        <v>23</v>
      </c>
      <c r="M1422" t="s">
        <v>4285</v>
      </c>
      <c r="N1422" t="s">
        <v>1531</v>
      </c>
      <c r="O1422" t="s">
        <v>84</v>
      </c>
      <c r="P1422">
        <v>98115</v>
      </c>
      <c r="Q1422">
        <v>3636</v>
      </c>
      <c r="R1422" t="s">
        <v>23</v>
      </c>
      <c r="S1422" s="1" t="s">
        <v>34218</v>
      </c>
    </row>
    <row r="1423" spans="1:19" x14ac:dyDescent="0.25">
      <c r="A1423">
        <v>100965507</v>
      </c>
      <c r="B1423" t="s">
        <v>4286</v>
      </c>
      <c r="C1423" t="s">
        <v>2763</v>
      </c>
      <c r="F1423" t="str">
        <f>"4197385088"</f>
        <v>4197385088</v>
      </c>
      <c r="G1423" t="s">
        <v>4287</v>
      </c>
      <c r="H1423" t="s">
        <v>4288</v>
      </c>
      <c r="I1423" t="s">
        <v>178</v>
      </c>
      <c r="J1423">
        <v>45895</v>
      </c>
      <c r="K1423">
        <v>1323</v>
      </c>
      <c r="L1423" t="s">
        <v>23</v>
      </c>
      <c r="M1423" t="s">
        <v>4287</v>
      </c>
      <c r="N1423" t="s">
        <v>4288</v>
      </c>
      <c r="O1423" t="s">
        <v>178</v>
      </c>
      <c r="P1423">
        <v>45895</v>
      </c>
      <c r="Q1423">
        <v>1323</v>
      </c>
      <c r="R1423" t="s">
        <v>23</v>
      </c>
      <c r="S1423" s="1" t="s">
        <v>34218</v>
      </c>
    </row>
    <row r="1424" spans="1:19" x14ac:dyDescent="0.25">
      <c r="A1424">
        <v>100971004</v>
      </c>
      <c r="B1424" t="s">
        <v>4289</v>
      </c>
      <c r="C1424" t="s">
        <v>2033</v>
      </c>
      <c r="F1424" t="str">
        <f>"4253381787"</f>
        <v>4253381787</v>
      </c>
      <c r="G1424" t="s">
        <v>4290</v>
      </c>
      <c r="H1424" t="s">
        <v>4291</v>
      </c>
      <c r="I1424" t="s">
        <v>84</v>
      </c>
      <c r="J1424">
        <v>98012</v>
      </c>
      <c r="K1424">
        <v>4817</v>
      </c>
      <c r="L1424" t="s">
        <v>23</v>
      </c>
      <c r="M1424" t="s">
        <v>4290</v>
      </c>
      <c r="N1424" t="s">
        <v>4291</v>
      </c>
      <c r="O1424" t="s">
        <v>84</v>
      </c>
      <c r="P1424">
        <v>98012</v>
      </c>
      <c r="Q1424">
        <v>4817</v>
      </c>
      <c r="R1424" t="s">
        <v>23</v>
      </c>
      <c r="S1424" s="1" t="s">
        <v>34218</v>
      </c>
    </row>
    <row r="1425" spans="1:19" x14ac:dyDescent="0.25">
      <c r="A1425">
        <v>100979417</v>
      </c>
      <c r="B1425" t="s">
        <v>4292</v>
      </c>
      <c r="C1425" t="s">
        <v>4293</v>
      </c>
      <c r="F1425" t="str">
        <f>"4155580388"</f>
        <v>4155580388</v>
      </c>
      <c r="G1425" t="s">
        <v>4294</v>
      </c>
      <c r="H1425" t="s">
        <v>88</v>
      </c>
      <c r="I1425" t="s">
        <v>22</v>
      </c>
      <c r="J1425">
        <v>94619</v>
      </c>
      <c r="K1425">
        <v>3210</v>
      </c>
      <c r="L1425" t="s">
        <v>23</v>
      </c>
      <c r="M1425" t="s">
        <v>4294</v>
      </c>
      <c r="N1425" t="s">
        <v>88</v>
      </c>
      <c r="O1425" t="s">
        <v>22</v>
      </c>
      <c r="P1425">
        <v>94619</v>
      </c>
      <c r="Q1425">
        <v>3210</v>
      </c>
      <c r="R1425" t="s">
        <v>23</v>
      </c>
      <c r="S1425" s="1" t="s">
        <v>34218</v>
      </c>
    </row>
    <row r="1426" spans="1:19" x14ac:dyDescent="0.25">
      <c r="A1426">
        <v>100982925</v>
      </c>
      <c r="B1426" t="s">
        <v>4295</v>
      </c>
      <c r="C1426" t="s">
        <v>4296</v>
      </c>
      <c r="F1426" t="str">
        <f>"6175475557"</f>
        <v>6175475557</v>
      </c>
      <c r="G1426" t="s">
        <v>4297</v>
      </c>
      <c r="H1426" t="s">
        <v>3385</v>
      </c>
      <c r="I1426" t="s">
        <v>236</v>
      </c>
      <c r="J1426">
        <v>2139</v>
      </c>
      <c r="K1426">
        <v>4812</v>
      </c>
      <c r="L1426" t="s">
        <v>23</v>
      </c>
      <c r="M1426" t="s">
        <v>4297</v>
      </c>
      <c r="N1426" t="s">
        <v>3385</v>
      </c>
      <c r="O1426" t="s">
        <v>236</v>
      </c>
      <c r="P1426">
        <v>2139</v>
      </c>
      <c r="Q1426">
        <v>4812</v>
      </c>
      <c r="R1426" t="s">
        <v>23</v>
      </c>
      <c r="S1426" s="1" t="s">
        <v>34218</v>
      </c>
    </row>
    <row r="1427" spans="1:19" x14ac:dyDescent="0.25">
      <c r="A1427">
        <v>101193861</v>
      </c>
      <c r="B1427" t="s">
        <v>4298</v>
      </c>
      <c r="C1427" t="s">
        <v>4299</v>
      </c>
      <c r="F1427" t="str">
        <f>"7196419406"</f>
        <v>7196419406</v>
      </c>
      <c r="G1427" t="s">
        <v>4300</v>
      </c>
      <c r="H1427" t="s">
        <v>1985</v>
      </c>
      <c r="I1427" t="s">
        <v>71</v>
      </c>
      <c r="J1427">
        <v>80917</v>
      </c>
      <c r="K1427">
        <v>2936</v>
      </c>
      <c r="L1427" t="s">
        <v>23</v>
      </c>
      <c r="M1427" t="s">
        <v>4300</v>
      </c>
      <c r="N1427" t="s">
        <v>1985</v>
      </c>
      <c r="O1427" t="s">
        <v>71</v>
      </c>
      <c r="P1427">
        <v>80917</v>
      </c>
      <c r="Q1427">
        <v>2936</v>
      </c>
      <c r="R1427" t="s">
        <v>23</v>
      </c>
      <c r="S1427" s="1" t="s">
        <v>34218</v>
      </c>
    </row>
    <row r="1428" spans="1:19" x14ac:dyDescent="0.25">
      <c r="A1428">
        <v>100814032</v>
      </c>
      <c r="B1428" t="s">
        <v>4301</v>
      </c>
      <c r="C1428" t="s">
        <v>4302</v>
      </c>
      <c r="F1428" t="str">
        <f>"7172524836"</f>
        <v>7172524836</v>
      </c>
      <c r="G1428" t="s">
        <v>4303</v>
      </c>
      <c r="H1428" t="s">
        <v>4304</v>
      </c>
      <c r="I1428" t="s">
        <v>33</v>
      </c>
      <c r="J1428">
        <v>17368</v>
      </c>
      <c r="K1428">
        <v>9066</v>
      </c>
      <c r="L1428" t="s">
        <v>23</v>
      </c>
      <c r="M1428" t="s">
        <v>4303</v>
      </c>
      <c r="N1428" t="s">
        <v>4304</v>
      </c>
      <c r="O1428" t="s">
        <v>33</v>
      </c>
      <c r="P1428">
        <v>17368</v>
      </c>
      <c r="Q1428">
        <v>9066</v>
      </c>
      <c r="R1428" t="s">
        <v>23</v>
      </c>
      <c r="S1428" s="1" t="s">
        <v>34218</v>
      </c>
    </row>
    <row r="1429" spans="1:19" x14ac:dyDescent="0.25">
      <c r="A1429">
        <v>100653272</v>
      </c>
      <c r="B1429" t="s">
        <v>1291</v>
      </c>
      <c r="C1429" t="s">
        <v>4305</v>
      </c>
      <c r="F1429" t="str">
        <f>"8472628208"</f>
        <v>8472628208</v>
      </c>
      <c r="G1429" t="s">
        <v>4306</v>
      </c>
      <c r="H1429" t="s">
        <v>1754</v>
      </c>
      <c r="I1429" t="s">
        <v>135</v>
      </c>
      <c r="J1429">
        <v>60201</v>
      </c>
      <c r="K1429">
        <v>2770</v>
      </c>
      <c r="L1429" t="s">
        <v>23</v>
      </c>
      <c r="M1429" t="s">
        <v>4306</v>
      </c>
      <c r="N1429" t="s">
        <v>1754</v>
      </c>
      <c r="O1429" t="s">
        <v>135</v>
      </c>
      <c r="P1429">
        <v>60201</v>
      </c>
      <c r="Q1429">
        <v>2770</v>
      </c>
      <c r="R1429" t="s">
        <v>23</v>
      </c>
      <c r="S1429" s="1" t="s">
        <v>34218</v>
      </c>
    </row>
    <row r="1430" spans="1:19" x14ac:dyDescent="0.25">
      <c r="A1430">
        <v>100662333</v>
      </c>
      <c r="B1430" t="s">
        <v>4307</v>
      </c>
      <c r="C1430" t="s">
        <v>217</v>
      </c>
      <c r="F1430" t="str">
        <f>"3096782632"</f>
        <v>3096782632</v>
      </c>
      <c r="G1430" t="s">
        <v>4308</v>
      </c>
      <c r="H1430" t="s">
        <v>4309</v>
      </c>
      <c r="I1430" t="s">
        <v>135</v>
      </c>
      <c r="J1430">
        <v>61554</v>
      </c>
      <c r="K1430">
        <v>2037</v>
      </c>
      <c r="L1430" t="s">
        <v>23</v>
      </c>
      <c r="M1430" t="s">
        <v>4308</v>
      </c>
      <c r="N1430" t="s">
        <v>4309</v>
      </c>
      <c r="O1430" t="s">
        <v>135</v>
      </c>
      <c r="P1430">
        <v>61554</v>
      </c>
      <c r="Q1430">
        <v>2037</v>
      </c>
      <c r="R1430" t="s">
        <v>23</v>
      </c>
      <c r="S1430" s="1" t="s">
        <v>34218</v>
      </c>
    </row>
    <row r="1431" spans="1:19" x14ac:dyDescent="0.25">
      <c r="A1431">
        <v>100680905</v>
      </c>
      <c r="B1431" t="s">
        <v>4310</v>
      </c>
      <c r="C1431" t="s">
        <v>155</v>
      </c>
      <c r="F1431" t="str">
        <f>"9377678622"</f>
        <v>9377678622</v>
      </c>
      <c r="G1431" t="s">
        <v>4311</v>
      </c>
      <c r="H1431" t="s">
        <v>4312</v>
      </c>
      <c r="I1431" t="s">
        <v>178</v>
      </c>
      <c r="J1431">
        <v>45387</v>
      </c>
      <c r="K1431">
        <v>1880</v>
      </c>
      <c r="L1431" t="s">
        <v>23</v>
      </c>
      <c r="M1431" t="s">
        <v>4311</v>
      </c>
      <c r="N1431" t="s">
        <v>4312</v>
      </c>
      <c r="O1431" t="s">
        <v>178</v>
      </c>
      <c r="P1431">
        <v>45387</v>
      </c>
      <c r="Q1431">
        <v>1880</v>
      </c>
      <c r="R1431" t="s">
        <v>23</v>
      </c>
      <c r="S1431" s="1" t="s">
        <v>34218</v>
      </c>
    </row>
    <row r="1432" spans="1:19" x14ac:dyDescent="0.25">
      <c r="A1432">
        <v>100867910</v>
      </c>
      <c r="B1432" t="s">
        <v>4313</v>
      </c>
      <c r="C1432" t="s">
        <v>1906</v>
      </c>
      <c r="F1432" t="str">
        <f>"6304998406"</f>
        <v>6304998406</v>
      </c>
      <c r="G1432" t="s">
        <v>4314</v>
      </c>
      <c r="H1432" t="s">
        <v>1579</v>
      </c>
      <c r="I1432" t="s">
        <v>135</v>
      </c>
      <c r="J1432">
        <v>60504</v>
      </c>
      <c r="K1432">
        <v>5238</v>
      </c>
      <c r="L1432" t="s">
        <v>23</v>
      </c>
      <c r="M1432" t="s">
        <v>4314</v>
      </c>
      <c r="N1432" t="s">
        <v>1579</v>
      </c>
      <c r="O1432" t="s">
        <v>135</v>
      </c>
      <c r="P1432">
        <v>60504</v>
      </c>
      <c r="Q1432">
        <v>5238</v>
      </c>
      <c r="R1432" t="s">
        <v>23</v>
      </c>
      <c r="S1432" s="1" t="s">
        <v>34218</v>
      </c>
    </row>
    <row r="1433" spans="1:19" x14ac:dyDescent="0.25">
      <c r="A1433">
        <v>100530080</v>
      </c>
      <c r="B1433" t="s">
        <v>4315</v>
      </c>
      <c r="C1433" t="s">
        <v>3714</v>
      </c>
      <c r="F1433" t="str">
        <f>"2245696755"</f>
        <v>2245696755</v>
      </c>
      <c r="G1433" t="s">
        <v>4316</v>
      </c>
      <c r="H1433" t="s">
        <v>1361</v>
      </c>
      <c r="I1433" t="s">
        <v>135</v>
      </c>
      <c r="J1433">
        <v>60142</v>
      </c>
      <c r="K1433">
        <v>7898</v>
      </c>
      <c r="L1433" t="s">
        <v>23</v>
      </c>
      <c r="M1433" t="s">
        <v>4316</v>
      </c>
      <c r="N1433" t="s">
        <v>1361</v>
      </c>
      <c r="O1433" t="s">
        <v>135</v>
      </c>
      <c r="P1433">
        <v>60142</v>
      </c>
      <c r="Q1433">
        <v>7898</v>
      </c>
      <c r="R1433" t="s">
        <v>23</v>
      </c>
      <c r="S1433" s="1" t="s">
        <v>34218</v>
      </c>
    </row>
    <row r="1434" spans="1:19" x14ac:dyDescent="0.25">
      <c r="A1434">
        <v>100760202</v>
      </c>
      <c r="B1434" t="s">
        <v>4317</v>
      </c>
      <c r="C1434" t="s">
        <v>4318</v>
      </c>
      <c r="F1434" t="str">
        <f>"6098868999"</f>
        <v>6098868999</v>
      </c>
      <c r="G1434" t="s">
        <v>4319</v>
      </c>
      <c r="H1434" t="s">
        <v>4320</v>
      </c>
      <c r="I1434" t="s">
        <v>250</v>
      </c>
      <c r="J1434">
        <v>8251</v>
      </c>
      <c r="K1434">
        <v>1222</v>
      </c>
      <c r="L1434" t="s">
        <v>23</v>
      </c>
      <c r="M1434" t="s">
        <v>4319</v>
      </c>
      <c r="N1434" t="s">
        <v>4320</v>
      </c>
      <c r="O1434" t="s">
        <v>250</v>
      </c>
      <c r="P1434">
        <v>8251</v>
      </c>
      <c r="Q1434">
        <v>1222</v>
      </c>
      <c r="R1434" t="s">
        <v>23</v>
      </c>
      <c r="S1434" s="1" t="s">
        <v>34218</v>
      </c>
    </row>
    <row r="1435" spans="1:19" x14ac:dyDescent="0.25">
      <c r="A1435">
        <v>100944524</v>
      </c>
      <c r="B1435" t="s">
        <v>4321</v>
      </c>
      <c r="C1435" t="s">
        <v>313</v>
      </c>
      <c r="F1435" t="str">
        <f>"6088332072"</f>
        <v>6088332072</v>
      </c>
      <c r="G1435" t="s">
        <v>4322</v>
      </c>
      <c r="H1435" t="s">
        <v>2125</v>
      </c>
      <c r="I1435" t="s">
        <v>100</v>
      </c>
      <c r="J1435">
        <v>53562</v>
      </c>
      <c r="K1435">
        <v>3961</v>
      </c>
      <c r="L1435" t="s">
        <v>23</v>
      </c>
      <c r="M1435" t="s">
        <v>4322</v>
      </c>
      <c r="N1435" t="s">
        <v>2125</v>
      </c>
      <c r="O1435" t="s">
        <v>100</v>
      </c>
      <c r="P1435">
        <v>53562</v>
      </c>
      <c r="Q1435">
        <v>3961</v>
      </c>
      <c r="R1435" t="s">
        <v>23</v>
      </c>
      <c r="S1435" s="1" t="s">
        <v>34218</v>
      </c>
    </row>
    <row r="1436" spans="1:19" x14ac:dyDescent="0.25">
      <c r="A1436">
        <v>100943938</v>
      </c>
      <c r="B1436" t="s">
        <v>4323</v>
      </c>
      <c r="C1436" t="s">
        <v>1598</v>
      </c>
      <c r="F1436" t="str">
        <f>"7327331143"</f>
        <v>7327331143</v>
      </c>
      <c r="G1436" t="s">
        <v>4324</v>
      </c>
      <c r="H1436" t="s">
        <v>3828</v>
      </c>
      <c r="I1436" t="s">
        <v>250</v>
      </c>
      <c r="J1436">
        <v>7066</v>
      </c>
      <c r="K1436">
        <v>2503</v>
      </c>
      <c r="L1436" t="s">
        <v>23</v>
      </c>
      <c r="M1436" t="s">
        <v>4324</v>
      </c>
      <c r="N1436" t="s">
        <v>3828</v>
      </c>
      <c r="O1436" t="s">
        <v>250</v>
      </c>
      <c r="P1436">
        <v>7066</v>
      </c>
      <c r="Q1436">
        <v>2503</v>
      </c>
      <c r="R1436" t="s">
        <v>23</v>
      </c>
      <c r="S1436" s="1" t="s">
        <v>34218</v>
      </c>
    </row>
    <row r="1437" spans="1:19" x14ac:dyDescent="0.25">
      <c r="A1437">
        <v>100527798</v>
      </c>
      <c r="B1437" t="s">
        <v>723</v>
      </c>
      <c r="C1437" t="s">
        <v>535</v>
      </c>
      <c r="F1437" t="str">
        <f>"3039895678"</f>
        <v>3039895678</v>
      </c>
      <c r="G1437" t="s">
        <v>4325</v>
      </c>
      <c r="H1437" t="s">
        <v>4326</v>
      </c>
      <c r="I1437" t="s">
        <v>71</v>
      </c>
      <c r="J1437">
        <v>80228</v>
      </c>
      <c r="K1437">
        <v>4861</v>
      </c>
      <c r="L1437" t="s">
        <v>23</v>
      </c>
      <c r="M1437" t="s">
        <v>4325</v>
      </c>
      <c r="N1437" t="s">
        <v>4326</v>
      </c>
      <c r="O1437" t="s">
        <v>71</v>
      </c>
      <c r="P1437">
        <v>80228</v>
      </c>
      <c r="Q1437">
        <v>4861</v>
      </c>
      <c r="R1437" t="s">
        <v>23</v>
      </c>
      <c r="S1437" s="1" t="s">
        <v>34218</v>
      </c>
    </row>
    <row r="1438" spans="1:19" x14ac:dyDescent="0.25">
      <c r="A1438">
        <v>100715118</v>
      </c>
      <c r="B1438" t="s">
        <v>4327</v>
      </c>
      <c r="C1438" t="s">
        <v>466</v>
      </c>
      <c r="F1438" t="str">
        <f>"4146404539"</f>
        <v>4146404539</v>
      </c>
      <c r="G1438" t="s">
        <v>4328</v>
      </c>
      <c r="H1438" t="s">
        <v>389</v>
      </c>
      <c r="I1438" t="s">
        <v>100</v>
      </c>
      <c r="J1438">
        <v>53217</v>
      </c>
      <c r="K1438">
        <v>5322</v>
      </c>
      <c r="L1438" t="s">
        <v>23</v>
      </c>
      <c r="M1438" t="s">
        <v>4328</v>
      </c>
      <c r="N1438" t="s">
        <v>389</v>
      </c>
      <c r="O1438" t="s">
        <v>100</v>
      </c>
      <c r="P1438">
        <v>53217</v>
      </c>
      <c r="Q1438">
        <v>5322</v>
      </c>
      <c r="R1438" t="s">
        <v>23</v>
      </c>
      <c r="S1438" s="1" t="s">
        <v>34218</v>
      </c>
    </row>
    <row r="1439" spans="1:19" x14ac:dyDescent="0.25">
      <c r="A1439">
        <v>100915124</v>
      </c>
      <c r="B1439" t="s">
        <v>4159</v>
      </c>
      <c r="C1439" t="s">
        <v>4329</v>
      </c>
      <c r="F1439" t="str">
        <f>"5208127220"</f>
        <v>5208127220</v>
      </c>
      <c r="G1439" t="s">
        <v>4330</v>
      </c>
      <c r="H1439" t="s">
        <v>4331</v>
      </c>
      <c r="I1439" t="s">
        <v>365</v>
      </c>
      <c r="J1439">
        <v>85653</v>
      </c>
      <c r="K1439">
        <v>9451</v>
      </c>
      <c r="L1439" t="s">
        <v>23</v>
      </c>
      <c r="M1439" t="s">
        <v>4330</v>
      </c>
      <c r="N1439" t="s">
        <v>4331</v>
      </c>
      <c r="O1439" t="s">
        <v>365</v>
      </c>
      <c r="P1439">
        <v>85653</v>
      </c>
      <c r="Q1439">
        <v>9451</v>
      </c>
      <c r="R1439" t="s">
        <v>23</v>
      </c>
      <c r="S1439" s="1" t="s">
        <v>34218</v>
      </c>
    </row>
    <row r="1440" spans="1:19" x14ac:dyDescent="0.25">
      <c r="A1440">
        <v>100761697</v>
      </c>
      <c r="B1440" t="s">
        <v>4332</v>
      </c>
      <c r="C1440" t="s">
        <v>1773</v>
      </c>
      <c r="F1440" t="str">
        <f>"3608941813"</f>
        <v>3608941813</v>
      </c>
      <c r="G1440" t="s">
        <v>4333</v>
      </c>
      <c r="H1440" t="s">
        <v>4334</v>
      </c>
      <c r="I1440" t="s">
        <v>84</v>
      </c>
      <c r="J1440">
        <v>98597</v>
      </c>
      <c r="K1440">
        <v>9086</v>
      </c>
      <c r="L1440" t="s">
        <v>23</v>
      </c>
      <c r="M1440" t="s">
        <v>4333</v>
      </c>
      <c r="N1440" t="s">
        <v>4334</v>
      </c>
      <c r="O1440" t="s">
        <v>84</v>
      </c>
      <c r="P1440">
        <v>98597</v>
      </c>
      <c r="Q1440">
        <v>9086</v>
      </c>
      <c r="R1440" t="s">
        <v>23</v>
      </c>
      <c r="S1440" s="1" t="s">
        <v>34218</v>
      </c>
    </row>
    <row r="1441" spans="1:19" x14ac:dyDescent="0.25">
      <c r="A1441">
        <v>100581489</v>
      </c>
      <c r="B1441" t="s">
        <v>4335</v>
      </c>
      <c r="C1441" t="s">
        <v>1036</v>
      </c>
      <c r="F1441" t="str">
        <f>"4053102618"</f>
        <v>4053102618</v>
      </c>
      <c r="G1441" t="s">
        <v>4336</v>
      </c>
      <c r="H1441" t="s">
        <v>689</v>
      </c>
      <c r="I1441" t="s">
        <v>62</v>
      </c>
      <c r="J1441">
        <v>73071</v>
      </c>
      <c r="K1441">
        <v>1579</v>
      </c>
      <c r="L1441" t="s">
        <v>23</v>
      </c>
      <c r="M1441" t="s">
        <v>4336</v>
      </c>
      <c r="N1441" t="s">
        <v>689</v>
      </c>
      <c r="O1441" t="s">
        <v>62</v>
      </c>
      <c r="P1441">
        <v>73071</v>
      </c>
      <c r="Q1441">
        <v>1579</v>
      </c>
      <c r="R1441" t="s">
        <v>23</v>
      </c>
      <c r="S1441" s="1" t="s">
        <v>34218</v>
      </c>
    </row>
    <row r="1442" spans="1:19" x14ac:dyDescent="0.25">
      <c r="A1442">
        <v>100590552</v>
      </c>
      <c r="B1442" t="s">
        <v>4337</v>
      </c>
      <c r="C1442" t="s">
        <v>3066</v>
      </c>
      <c r="F1442" t="str">
        <f>"2014890867"</f>
        <v>2014890867</v>
      </c>
      <c r="G1442" t="s">
        <v>4338</v>
      </c>
      <c r="H1442" t="s">
        <v>4339</v>
      </c>
      <c r="I1442" t="s">
        <v>250</v>
      </c>
      <c r="J1442">
        <v>7661</v>
      </c>
      <c r="K1442">
        <v>1006</v>
      </c>
      <c r="L1442" t="s">
        <v>23</v>
      </c>
      <c r="M1442" t="s">
        <v>4338</v>
      </c>
      <c r="N1442" t="s">
        <v>4339</v>
      </c>
      <c r="O1442" t="s">
        <v>250</v>
      </c>
      <c r="P1442">
        <v>7661</v>
      </c>
      <c r="Q1442">
        <v>1006</v>
      </c>
      <c r="R1442" t="s">
        <v>23</v>
      </c>
      <c r="S1442" s="1" t="s">
        <v>34218</v>
      </c>
    </row>
    <row r="1443" spans="1:19" x14ac:dyDescent="0.25">
      <c r="A1443">
        <v>100805568</v>
      </c>
      <c r="B1443" t="s">
        <v>2080</v>
      </c>
      <c r="C1443" t="s">
        <v>90</v>
      </c>
      <c r="F1443" t="str">
        <f>"2129231139"</f>
        <v>2129231139</v>
      </c>
      <c r="G1443" t="s">
        <v>4340</v>
      </c>
      <c r="H1443" t="s">
        <v>653</v>
      </c>
      <c r="I1443" t="s">
        <v>117</v>
      </c>
      <c r="J1443">
        <v>10040</v>
      </c>
      <c r="K1443">
        <v>3657</v>
      </c>
      <c r="L1443" t="s">
        <v>23</v>
      </c>
      <c r="M1443" t="s">
        <v>4340</v>
      </c>
      <c r="N1443" t="s">
        <v>653</v>
      </c>
      <c r="O1443" t="s">
        <v>117</v>
      </c>
      <c r="P1443">
        <v>10040</v>
      </c>
      <c r="Q1443">
        <v>3657</v>
      </c>
      <c r="R1443" t="s">
        <v>23</v>
      </c>
      <c r="S1443" s="1" t="s">
        <v>34218</v>
      </c>
    </row>
    <row r="1444" spans="1:19" x14ac:dyDescent="0.25">
      <c r="A1444">
        <v>100844201</v>
      </c>
      <c r="B1444" t="s">
        <v>4341</v>
      </c>
      <c r="C1444" t="s">
        <v>4159</v>
      </c>
      <c r="F1444" t="str">
        <f>"3308811024"</f>
        <v>3308811024</v>
      </c>
      <c r="G1444" t="s">
        <v>4342</v>
      </c>
      <c r="H1444" t="s">
        <v>4343</v>
      </c>
      <c r="I1444" t="s">
        <v>178</v>
      </c>
      <c r="J1444">
        <v>44471</v>
      </c>
      <c r="K1444">
        <v>1354</v>
      </c>
      <c r="L1444" t="s">
        <v>23</v>
      </c>
      <c r="M1444" t="s">
        <v>4342</v>
      </c>
      <c r="N1444" t="s">
        <v>4343</v>
      </c>
      <c r="O1444" t="s">
        <v>178</v>
      </c>
      <c r="P1444">
        <v>44471</v>
      </c>
      <c r="Q1444">
        <v>1354</v>
      </c>
      <c r="R1444" t="s">
        <v>23</v>
      </c>
      <c r="S1444" s="1" t="s">
        <v>34218</v>
      </c>
    </row>
    <row r="1445" spans="1:19" x14ac:dyDescent="0.25">
      <c r="A1445">
        <v>100847735</v>
      </c>
      <c r="B1445" t="s">
        <v>4344</v>
      </c>
      <c r="C1445" t="s">
        <v>4345</v>
      </c>
      <c r="F1445" t="str">
        <f>"9703180074"</f>
        <v>9703180074</v>
      </c>
      <c r="G1445" t="s">
        <v>4346</v>
      </c>
      <c r="H1445" t="s">
        <v>4347</v>
      </c>
      <c r="I1445" t="s">
        <v>71</v>
      </c>
      <c r="J1445">
        <v>81301</v>
      </c>
      <c r="K1445">
        <v>6029</v>
      </c>
      <c r="L1445" t="s">
        <v>23</v>
      </c>
      <c r="M1445" t="s">
        <v>4346</v>
      </c>
      <c r="N1445" t="s">
        <v>4347</v>
      </c>
      <c r="O1445" t="s">
        <v>71</v>
      </c>
      <c r="P1445">
        <v>81301</v>
      </c>
      <c r="Q1445">
        <v>6029</v>
      </c>
      <c r="R1445" t="s">
        <v>23</v>
      </c>
      <c r="S1445" s="1" t="s">
        <v>34218</v>
      </c>
    </row>
    <row r="1446" spans="1:19" x14ac:dyDescent="0.25">
      <c r="A1446">
        <v>101077819</v>
      </c>
      <c r="B1446" t="s">
        <v>1274</v>
      </c>
      <c r="C1446" t="s">
        <v>225</v>
      </c>
      <c r="F1446" t="str">
        <f>"7604891318"</f>
        <v>7604891318</v>
      </c>
      <c r="G1446" t="s">
        <v>4348</v>
      </c>
      <c r="H1446" t="s">
        <v>4349</v>
      </c>
      <c r="I1446" t="s">
        <v>22</v>
      </c>
      <c r="J1446">
        <v>92026</v>
      </c>
      <c r="K1446">
        <v>1461</v>
      </c>
      <c r="L1446" t="s">
        <v>23</v>
      </c>
      <c r="M1446" t="s">
        <v>4348</v>
      </c>
      <c r="N1446" t="s">
        <v>4349</v>
      </c>
      <c r="O1446" t="s">
        <v>22</v>
      </c>
      <c r="P1446">
        <v>92026</v>
      </c>
      <c r="Q1446">
        <v>1461</v>
      </c>
      <c r="R1446" t="s">
        <v>23</v>
      </c>
      <c r="S1446" s="1" t="s">
        <v>34218</v>
      </c>
    </row>
    <row r="1447" spans="1:19" x14ac:dyDescent="0.25">
      <c r="A1447">
        <v>100705998</v>
      </c>
      <c r="B1447" t="s">
        <v>4350</v>
      </c>
      <c r="C1447" t="s">
        <v>498</v>
      </c>
      <c r="F1447" t="str">
        <f>"5704240501"</f>
        <v>5704240501</v>
      </c>
      <c r="G1447" t="s">
        <v>4351</v>
      </c>
      <c r="H1447" t="s">
        <v>4352</v>
      </c>
      <c r="I1447" t="s">
        <v>33</v>
      </c>
      <c r="J1447">
        <v>18360</v>
      </c>
      <c r="K1447">
        <v>2315</v>
      </c>
      <c r="L1447" t="s">
        <v>23</v>
      </c>
      <c r="M1447" t="s">
        <v>4351</v>
      </c>
      <c r="N1447" t="s">
        <v>4352</v>
      </c>
      <c r="O1447" t="s">
        <v>33</v>
      </c>
      <c r="P1447">
        <v>18360</v>
      </c>
      <c r="Q1447">
        <v>2315</v>
      </c>
      <c r="R1447" t="s">
        <v>23</v>
      </c>
      <c r="S1447" s="1" t="s">
        <v>34218</v>
      </c>
    </row>
    <row r="1448" spans="1:19" x14ac:dyDescent="0.25">
      <c r="A1448">
        <v>100898855</v>
      </c>
      <c r="B1448" t="s">
        <v>4353</v>
      </c>
      <c r="C1448" t="s">
        <v>81</v>
      </c>
      <c r="F1448" t="str">
        <f>"7156747711"</f>
        <v>7156747711</v>
      </c>
      <c r="G1448" t="s">
        <v>4354</v>
      </c>
      <c r="H1448" t="s">
        <v>4355</v>
      </c>
      <c r="I1448" t="s">
        <v>100</v>
      </c>
      <c r="J1448">
        <v>54541</v>
      </c>
      <c r="K1448">
        <v>9311</v>
      </c>
      <c r="L1448" t="s">
        <v>23</v>
      </c>
      <c r="M1448" t="s">
        <v>4354</v>
      </c>
      <c r="N1448" t="s">
        <v>4355</v>
      </c>
      <c r="O1448" t="s">
        <v>100</v>
      </c>
      <c r="P1448">
        <v>54541</v>
      </c>
      <c r="Q1448">
        <v>9311</v>
      </c>
      <c r="R1448" t="s">
        <v>23</v>
      </c>
      <c r="S1448" s="1" t="s">
        <v>34218</v>
      </c>
    </row>
    <row r="1449" spans="1:19" x14ac:dyDescent="0.25">
      <c r="A1449">
        <v>100906367</v>
      </c>
      <c r="B1449" t="s">
        <v>4356</v>
      </c>
      <c r="C1449" t="s">
        <v>1205</v>
      </c>
      <c r="F1449" t="str">
        <f>"6088846309"</f>
        <v>6088846309</v>
      </c>
      <c r="G1449" t="s">
        <v>4357</v>
      </c>
      <c r="H1449" t="s">
        <v>1270</v>
      </c>
      <c r="I1449" t="s">
        <v>100</v>
      </c>
      <c r="J1449">
        <v>53534</v>
      </c>
      <c r="K1449">
        <v>2107</v>
      </c>
      <c r="L1449" t="s">
        <v>23</v>
      </c>
      <c r="M1449" t="s">
        <v>4357</v>
      </c>
      <c r="N1449" t="s">
        <v>1270</v>
      </c>
      <c r="O1449" t="s">
        <v>100</v>
      </c>
      <c r="P1449">
        <v>53534</v>
      </c>
      <c r="Q1449">
        <v>2107</v>
      </c>
      <c r="R1449" t="s">
        <v>23</v>
      </c>
      <c r="S1449" s="1" t="s">
        <v>34218</v>
      </c>
    </row>
    <row r="1450" spans="1:19" x14ac:dyDescent="0.25">
      <c r="A1450">
        <v>101103540</v>
      </c>
      <c r="B1450" t="s">
        <v>4358</v>
      </c>
      <c r="C1450" t="s">
        <v>4359</v>
      </c>
      <c r="F1450" t="str">
        <f>"6128707332"</f>
        <v>6128707332</v>
      </c>
      <c r="G1450" t="s">
        <v>4360</v>
      </c>
      <c r="H1450" t="s">
        <v>569</v>
      </c>
      <c r="I1450" t="s">
        <v>187</v>
      </c>
      <c r="J1450">
        <v>55404</v>
      </c>
      <c r="K1450">
        <v>3566</v>
      </c>
      <c r="L1450" t="s">
        <v>23</v>
      </c>
      <c r="M1450" t="s">
        <v>4360</v>
      </c>
      <c r="N1450" t="s">
        <v>569</v>
      </c>
      <c r="O1450" t="s">
        <v>187</v>
      </c>
      <c r="P1450">
        <v>55404</v>
      </c>
      <c r="Q1450">
        <v>3566</v>
      </c>
      <c r="R1450" t="s">
        <v>23</v>
      </c>
      <c r="S1450" s="1" t="s">
        <v>34218</v>
      </c>
    </row>
    <row r="1451" spans="1:19" x14ac:dyDescent="0.25">
      <c r="A1451">
        <v>101273996</v>
      </c>
      <c r="B1451" t="s">
        <v>4361</v>
      </c>
      <c r="C1451" t="s">
        <v>350</v>
      </c>
      <c r="F1451" t="str">
        <f>"8169427587"</f>
        <v>8169427587</v>
      </c>
      <c r="G1451" t="s">
        <v>4362</v>
      </c>
      <c r="H1451" t="s">
        <v>1863</v>
      </c>
      <c r="I1451" t="s">
        <v>126</v>
      </c>
      <c r="J1451">
        <v>64145</v>
      </c>
      <c r="K1451">
        <v>1090</v>
      </c>
      <c r="L1451" t="s">
        <v>23</v>
      </c>
      <c r="M1451" t="s">
        <v>4362</v>
      </c>
      <c r="N1451" t="s">
        <v>1863</v>
      </c>
      <c r="O1451" t="s">
        <v>126</v>
      </c>
      <c r="P1451">
        <v>64145</v>
      </c>
      <c r="Q1451">
        <v>1090</v>
      </c>
      <c r="R1451" t="s">
        <v>23</v>
      </c>
      <c r="S1451" s="1" t="s">
        <v>34218</v>
      </c>
    </row>
    <row r="1452" spans="1:19" x14ac:dyDescent="0.25">
      <c r="A1452">
        <v>101269638</v>
      </c>
      <c r="B1452" t="s">
        <v>4363</v>
      </c>
      <c r="C1452" t="s">
        <v>1622</v>
      </c>
      <c r="F1452" t="str">
        <f>"6094545245"</f>
        <v>6094545245</v>
      </c>
      <c r="G1452" t="s">
        <v>4364</v>
      </c>
      <c r="H1452" t="s">
        <v>4044</v>
      </c>
      <c r="I1452" t="s">
        <v>250</v>
      </c>
      <c r="J1452">
        <v>8540</v>
      </c>
      <c r="K1452">
        <v>5063</v>
      </c>
      <c r="L1452" t="s">
        <v>23</v>
      </c>
      <c r="M1452" t="s">
        <v>4364</v>
      </c>
      <c r="N1452" t="s">
        <v>4044</v>
      </c>
      <c r="O1452" t="s">
        <v>250</v>
      </c>
      <c r="P1452">
        <v>8540</v>
      </c>
      <c r="Q1452">
        <v>5063</v>
      </c>
      <c r="R1452" t="s">
        <v>23</v>
      </c>
      <c r="S1452" s="1" t="s">
        <v>34218</v>
      </c>
    </row>
    <row r="1453" spans="1:19" x14ac:dyDescent="0.25">
      <c r="A1453">
        <v>101282889</v>
      </c>
      <c r="B1453" t="s">
        <v>4365</v>
      </c>
      <c r="C1453" t="s">
        <v>1078</v>
      </c>
      <c r="F1453" t="str">
        <f>"4436558925"</f>
        <v>4436558925</v>
      </c>
      <c r="G1453" t="s">
        <v>4366</v>
      </c>
      <c r="H1453" t="s">
        <v>4367</v>
      </c>
      <c r="I1453" t="s">
        <v>148</v>
      </c>
      <c r="J1453">
        <v>21078</v>
      </c>
      <c r="K1453">
        <v>3537</v>
      </c>
      <c r="L1453" t="s">
        <v>23</v>
      </c>
      <c r="M1453" t="s">
        <v>4366</v>
      </c>
      <c r="N1453" t="s">
        <v>4367</v>
      </c>
      <c r="O1453" t="s">
        <v>148</v>
      </c>
      <c r="P1453">
        <v>21078</v>
      </c>
      <c r="Q1453">
        <v>3537</v>
      </c>
      <c r="R1453" t="s">
        <v>23</v>
      </c>
      <c r="S1453" s="1" t="s">
        <v>34218</v>
      </c>
    </row>
    <row r="1454" spans="1:19" x14ac:dyDescent="0.25">
      <c r="A1454">
        <v>101281969</v>
      </c>
      <c r="B1454" t="s">
        <v>4368</v>
      </c>
      <c r="C1454" t="s">
        <v>1153</v>
      </c>
      <c r="F1454" t="str">
        <f>"6362254238"</f>
        <v>6362254238</v>
      </c>
      <c r="G1454" t="s">
        <v>4369</v>
      </c>
      <c r="H1454" t="s">
        <v>4370</v>
      </c>
      <c r="I1454" t="s">
        <v>126</v>
      </c>
      <c r="J1454">
        <v>63021</v>
      </c>
      <c r="K1454">
        <v>7546</v>
      </c>
      <c r="L1454" t="s">
        <v>23</v>
      </c>
      <c r="M1454" t="s">
        <v>4369</v>
      </c>
      <c r="N1454" t="s">
        <v>4370</v>
      </c>
      <c r="O1454" t="s">
        <v>126</v>
      </c>
      <c r="P1454">
        <v>63021</v>
      </c>
      <c r="Q1454">
        <v>7546</v>
      </c>
      <c r="R1454" t="s">
        <v>23</v>
      </c>
      <c r="S1454" s="1" t="s">
        <v>34218</v>
      </c>
    </row>
    <row r="1455" spans="1:19" x14ac:dyDescent="0.25">
      <c r="A1455">
        <v>100833587</v>
      </c>
      <c r="B1455" t="s">
        <v>4371</v>
      </c>
      <c r="C1455" t="s">
        <v>1463</v>
      </c>
      <c r="F1455" t="str">
        <f>"8566928078"</f>
        <v>8566928078</v>
      </c>
      <c r="G1455" t="s">
        <v>4372</v>
      </c>
      <c r="H1455" t="s">
        <v>4373</v>
      </c>
      <c r="I1455" t="s">
        <v>250</v>
      </c>
      <c r="J1455">
        <v>8360</v>
      </c>
      <c r="K1455">
        <v>2628</v>
      </c>
      <c r="L1455" t="s">
        <v>23</v>
      </c>
      <c r="M1455" t="s">
        <v>4372</v>
      </c>
      <c r="N1455" t="s">
        <v>4373</v>
      </c>
      <c r="O1455" t="s">
        <v>250</v>
      </c>
      <c r="P1455">
        <v>8360</v>
      </c>
      <c r="Q1455">
        <v>2628</v>
      </c>
      <c r="R1455" t="s">
        <v>23</v>
      </c>
      <c r="S1455" s="1" t="s">
        <v>34218</v>
      </c>
    </row>
    <row r="1456" spans="1:19" x14ac:dyDescent="0.25">
      <c r="A1456">
        <v>100614339</v>
      </c>
      <c r="B1456" t="s">
        <v>4374</v>
      </c>
      <c r="C1456" t="s">
        <v>3518</v>
      </c>
      <c r="F1456" t="str">
        <f>"7209891379"</f>
        <v>7209891379</v>
      </c>
      <c r="G1456" t="s">
        <v>4375</v>
      </c>
      <c r="H1456" t="s">
        <v>438</v>
      </c>
      <c r="I1456" t="s">
        <v>71</v>
      </c>
      <c r="J1456">
        <v>80504</v>
      </c>
      <c r="K1456">
        <v>3017</v>
      </c>
      <c r="L1456" t="s">
        <v>23</v>
      </c>
      <c r="M1456" t="s">
        <v>4375</v>
      </c>
      <c r="N1456" t="s">
        <v>438</v>
      </c>
      <c r="O1456" t="s">
        <v>71</v>
      </c>
      <c r="P1456">
        <v>80504</v>
      </c>
      <c r="Q1456">
        <v>3017</v>
      </c>
      <c r="R1456" t="s">
        <v>23</v>
      </c>
      <c r="S1456" s="1" t="s">
        <v>34218</v>
      </c>
    </row>
    <row r="1457" spans="1:19" x14ac:dyDescent="0.25">
      <c r="A1457">
        <v>100708698</v>
      </c>
      <c r="B1457" t="s">
        <v>4376</v>
      </c>
      <c r="C1457" t="s">
        <v>172</v>
      </c>
      <c r="F1457" t="str">
        <f>"5555555555"</f>
        <v>5555555555</v>
      </c>
      <c r="G1457" t="s">
        <v>4377</v>
      </c>
      <c r="H1457" t="s">
        <v>4378</v>
      </c>
      <c r="I1457" t="s">
        <v>38</v>
      </c>
      <c r="J1457">
        <v>77845</v>
      </c>
      <c r="K1457">
        <v>8767</v>
      </c>
      <c r="L1457" t="s">
        <v>23</v>
      </c>
      <c r="M1457" t="s">
        <v>4377</v>
      </c>
      <c r="N1457" t="s">
        <v>4378</v>
      </c>
      <c r="O1457" t="s">
        <v>38</v>
      </c>
      <c r="P1457">
        <v>77845</v>
      </c>
      <c r="Q1457">
        <v>8767</v>
      </c>
      <c r="R1457" t="s">
        <v>23</v>
      </c>
      <c r="S1457" s="1" t="s">
        <v>34218</v>
      </c>
    </row>
    <row r="1458" spans="1:19" x14ac:dyDescent="0.25">
      <c r="A1458">
        <v>100716623</v>
      </c>
      <c r="B1458" t="s">
        <v>4379</v>
      </c>
      <c r="C1458" t="s">
        <v>4380</v>
      </c>
      <c r="F1458" t="str">
        <f>"5755262013"</f>
        <v>5755262013</v>
      </c>
      <c r="G1458" t="s">
        <v>4381</v>
      </c>
      <c r="H1458" t="s">
        <v>4382</v>
      </c>
      <c r="I1458" t="s">
        <v>639</v>
      </c>
      <c r="J1458">
        <v>88005</v>
      </c>
      <c r="K1458">
        <v>1113</v>
      </c>
      <c r="L1458" t="s">
        <v>23</v>
      </c>
      <c r="M1458" t="s">
        <v>4381</v>
      </c>
      <c r="N1458" t="s">
        <v>4382</v>
      </c>
      <c r="O1458" t="s">
        <v>639</v>
      </c>
      <c r="P1458">
        <v>88005</v>
      </c>
      <c r="Q1458">
        <v>1113</v>
      </c>
      <c r="R1458" t="s">
        <v>23</v>
      </c>
      <c r="S1458" s="1" t="s">
        <v>34218</v>
      </c>
    </row>
    <row r="1459" spans="1:19" x14ac:dyDescent="0.25">
      <c r="A1459">
        <v>100727144</v>
      </c>
      <c r="B1459" t="s">
        <v>4383</v>
      </c>
      <c r="C1459" t="s">
        <v>1036</v>
      </c>
      <c r="F1459" t="str">
        <f>"5187662920"</f>
        <v>5187662920</v>
      </c>
      <c r="G1459" t="s">
        <v>4384</v>
      </c>
      <c r="H1459" t="s">
        <v>4385</v>
      </c>
      <c r="I1459" t="s">
        <v>117</v>
      </c>
      <c r="J1459">
        <v>12061</v>
      </c>
      <c r="K1459">
        <v>3508</v>
      </c>
      <c r="L1459" t="s">
        <v>23</v>
      </c>
      <c r="M1459" t="s">
        <v>4384</v>
      </c>
      <c r="N1459" t="s">
        <v>4385</v>
      </c>
      <c r="O1459" t="s">
        <v>117</v>
      </c>
      <c r="P1459">
        <v>12061</v>
      </c>
      <c r="Q1459">
        <v>3508</v>
      </c>
      <c r="R1459" t="s">
        <v>23</v>
      </c>
      <c r="S1459" s="1" t="s">
        <v>34218</v>
      </c>
    </row>
    <row r="1460" spans="1:19" x14ac:dyDescent="0.25">
      <c r="A1460">
        <v>100732937</v>
      </c>
      <c r="B1460" t="s">
        <v>4386</v>
      </c>
      <c r="C1460" t="s">
        <v>1124</v>
      </c>
      <c r="F1460" t="str">
        <f>"5555555555"</f>
        <v>5555555555</v>
      </c>
      <c r="G1460" t="s">
        <v>4387</v>
      </c>
      <c r="H1460" t="s">
        <v>2246</v>
      </c>
      <c r="I1460" t="s">
        <v>22</v>
      </c>
      <c r="J1460">
        <v>94924</v>
      </c>
      <c r="K1460">
        <v>9708</v>
      </c>
      <c r="L1460" t="s">
        <v>23</v>
      </c>
      <c r="M1460" t="s">
        <v>4387</v>
      </c>
      <c r="N1460" t="s">
        <v>2246</v>
      </c>
      <c r="O1460" t="s">
        <v>22</v>
      </c>
      <c r="P1460">
        <v>94924</v>
      </c>
      <c r="Q1460">
        <v>9708</v>
      </c>
      <c r="R1460" t="s">
        <v>23</v>
      </c>
      <c r="S1460" s="1" t="s">
        <v>34218</v>
      </c>
    </row>
    <row r="1461" spans="1:19" x14ac:dyDescent="0.25">
      <c r="A1461">
        <v>100920658</v>
      </c>
      <c r="B1461" t="s">
        <v>4388</v>
      </c>
      <c r="C1461" t="s">
        <v>4389</v>
      </c>
      <c r="F1461" t="str">
        <f>"5094474666"</f>
        <v>5094474666</v>
      </c>
      <c r="G1461" t="s">
        <v>4390</v>
      </c>
      <c r="H1461" t="s">
        <v>4391</v>
      </c>
      <c r="I1461" t="s">
        <v>84</v>
      </c>
      <c r="J1461">
        <v>99156</v>
      </c>
      <c r="K1461">
        <v>9158</v>
      </c>
      <c r="L1461" t="s">
        <v>23</v>
      </c>
      <c r="M1461" t="s">
        <v>4390</v>
      </c>
      <c r="N1461" t="s">
        <v>4391</v>
      </c>
      <c r="O1461" t="s">
        <v>84</v>
      </c>
      <c r="P1461">
        <v>99156</v>
      </c>
      <c r="Q1461">
        <v>9158</v>
      </c>
      <c r="R1461" t="s">
        <v>23</v>
      </c>
      <c r="S1461" s="1" t="s">
        <v>34218</v>
      </c>
    </row>
    <row r="1462" spans="1:19" x14ac:dyDescent="0.25">
      <c r="A1462">
        <v>101414219</v>
      </c>
      <c r="B1462" t="s">
        <v>1291</v>
      </c>
      <c r="C1462" t="s">
        <v>535</v>
      </c>
      <c r="F1462" t="str">
        <f>"4432536030"</f>
        <v>4432536030</v>
      </c>
      <c r="G1462" t="s">
        <v>4392</v>
      </c>
      <c r="H1462" t="s">
        <v>3668</v>
      </c>
      <c r="I1462" t="s">
        <v>148</v>
      </c>
      <c r="J1462">
        <v>21224</v>
      </c>
      <c r="L1462" t="s">
        <v>23</v>
      </c>
      <c r="M1462" t="s">
        <v>4392</v>
      </c>
      <c r="N1462" t="s">
        <v>3668</v>
      </c>
      <c r="O1462" t="s">
        <v>148</v>
      </c>
      <c r="P1462">
        <v>21224</v>
      </c>
      <c r="R1462" t="s">
        <v>23</v>
      </c>
      <c r="S1462" s="1" t="s">
        <v>34218</v>
      </c>
    </row>
    <row r="1463" spans="1:19" x14ac:dyDescent="0.25">
      <c r="A1463">
        <v>100941251</v>
      </c>
      <c r="B1463" t="s">
        <v>744</v>
      </c>
      <c r="C1463" t="s">
        <v>452</v>
      </c>
      <c r="F1463" t="str">
        <f>"7084425085"</f>
        <v>7084425085</v>
      </c>
      <c r="G1463" t="s">
        <v>4393</v>
      </c>
      <c r="H1463" t="s">
        <v>461</v>
      </c>
      <c r="I1463" t="s">
        <v>135</v>
      </c>
      <c r="J1463">
        <v>60546</v>
      </c>
      <c r="K1463">
        <v>1629</v>
      </c>
      <c r="L1463" t="s">
        <v>23</v>
      </c>
      <c r="M1463" t="s">
        <v>4393</v>
      </c>
      <c r="N1463" t="s">
        <v>461</v>
      </c>
      <c r="O1463" t="s">
        <v>135</v>
      </c>
      <c r="P1463">
        <v>60546</v>
      </c>
      <c r="Q1463">
        <v>1629</v>
      </c>
      <c r="R1463" t="s">
        <v>23</v>
      </c>
      <c r="S1463" s="1" t="s">
        <v>34218</v>
      </c>
    </row>
    <row r="1464" spans="1:19" x14ac:dyDescent="0.25">
      <c r="A1464">
        <v>100555159</v>
      </c>
      <c r="B1464" t="s">
        <v>4394</v>
      </c>
      <c r="C1464" t="s">
        <v>4188</v>
      </c>
      <c r="F1464" t="str">
        <f>"5306204548"</f>
        <v>5306204548</v>
      </c>
      <c r="G1464" t="s">
        <v>4395</v>
      </c>
      <c r="H1464" t="s">
        <v>4396</v>
      </c>
      <c r="I1464" t="s">
        <v>22</v>
      </c>
      <c r="J1464">
        <v>95629</v>
      </c>
      <c r="K1464">
        <v>9604</v>
      </c>
      <c r="L1464" t="s">
        <v>23</v>
      </c>
      <c r="M1464" t="s">
        <v>4395</v>
      </c>
      <c r="N1464" t="s">
        <v>4396</v>
      </c>
      <c r="O1464" t="s">
        <v>22</v>
      </c>
      <c r="P1464">
        <v>95629</v>
      </c>
      <c r="Q1464">
        <v>9604</v>
      </c>
      <c r="R1464" t="s">
        <v>23</v>
      </c>
      <c r="S1464" s="1" t="s">
        <v>34218</v>
      </c>
    </row>
    <row r="1465" spans="1:19" x14ac:dyDescent="0.25">
      <c r="A1465">
        <v>100973292</v>
      </c>
      <c r="B1465" t="s">
        <v>4397</v>
      </c>
      <c r="C1465" t="s">
        <v>2220</v>
      </c>
      <c r="F1465" t="str">
        <f>"7075576540"</f>
        <v>7075576540</v>
      </c>
      <c r="G1465" t="s">
        <v>4398</v>
      </c>
      <c r="H1465" t="s">
        <v>1766</v>
      </c>
      <c r="I1465" t="s">
        <v>22</v>
      </c>
      <c r="J1465">
        <v>94591</v>
      </c>
      <c r="K1465">
        <v>5738</v>
      </c>
      <c r="L1465" t="s">
        <v>23</v>
      </c>
      <c r="M1465" t="s">
        <v>4398</v>
      </c>
      <c r="N1465" t="s">
        <v>1766</v>
      </c>
      <c r="O1465" t="s">
        <v>22</v>
      </c>
      <c r="P1465">
        <v>94591</v>
      </c>
      <c r="Q1465">
        <v>5738</v>
      </c>
      <c r="R1465" t="s">
        <v>23</v>
      </c>
      <c r="S1465" s="1" t="s">
        <v>34218</v>
      </c>
    </row>
    <row r="1466" spans="1:19" x14ac:dyDescent="0.25">
      <c r="A1466">
        <v>100587159</v>
      </c>
      <c r="B1466" t="s">
        <v>3590</v>
      </c>
      <c r="C1466" t="s">
        <v>1859</v>
      </c>
      <c r="F1466" t="str">
        <f>"9149661474"</f>
        <v>9149661474</v>
      </c>
      <c r="G1466" t="s">
        <v>4399</v>
      </c>
      <c r="H1466" t="s">
        <v>4400</v>
      </c>
      <c r="I1466" t="s">
        <v>117</v>
      </c>
      <c r="J1466">
        <v>10701</v>
      </c>
      <c r="K1466">
        <v>1116</v>
      </c>
      <c r="L1466" t="s">
        <v>23</v>
      </c>
      <c r="M1466" t="s">
        <v>4399</v>
      </c>
      <c r="N1466" t="s">
        <v>4400</v>
      </c>
      <c r="O1466" t="s">
        <v>117</v>
      </c>
      <c r="P1466">
        <v>10701</v>
      </c>
      <c r="Q1466">
        <v>1116</v>
      </c>
      <c r="R1466" t="s">
        <v>23</v>
      </c>
      <c r="S1466" s="1" t="s">
        <v>34218</v>
      </c>
    </row>
    <row r="1467" spans="1:19" x14ac:dyDescent="0.25">
      <c r="A1467">
        <v>100598782</v>
      </c>
      <c r="B1467" t="s">
        <v>4401</v>
      </c>
      <c r="C1467" t="s">
        <v>535</v>
      </c>
      <c r="F1467" t="str">
        <f>"7074420703"</f>
        <v>7074420703</v>
      </c>
      <c r="G1467" t="s">
        <v>4402</v>
      </c>
      <c r="H1467" t="s">
        <v>1261</v>
      </c>
      <c r="I1467" t="s">
        <v>22</v>
      </c>
      <c r="J1467">
        <v>95501</v>
      </c>
      <c r="K1467">
        <v>2954</v>
      </c>
      <c r="L1467" t="s">
        <v>23</v>
      </c>
      <c r="M1467" t="s">
        <v>4402</v>
      </c>
      <c r="N1467" t="s">
        <v>1261</v>
      </c>
      <c r="O1467" t="s">
        <v>22</v>
      </c>
      <c r="P1467">
        <v>95501</v>
      </c>
      <c r="Q1467">
        <v>2954</v>
      </c>
      <c r="R1467" t="s">
        <v>23</v>
      </c>
      <c r="S1467" s="1" t="s">
        <v>34218</v>
      </c>
    </row>
    <row r="1468" spans="1:19" x14ac:dyDescent="0.25">
      <c r="A1468">
        <v>100592180</v>
      </c>
      <c r="B1468" t="s">
        <v>4403</v>
      </c>
      <c r="C1468" t="s">
        <v>3951</v>
      </c>
      <c r="F1468" t="str">
        <f>"6143894358"</f>
        <v>6143894358</v>
      </c>
      <c r="G1468" t="s">
        <v>4404</v>
      </c>
      <c r="H1468" t="s">
        <v>4405</v>
      </c>
      <c r="I1468" t="s">
        <v>178</v>
      </c>
      <c r="J1468">
        <v>43017</v>
      </c>
      <c r="K1468">
        <v>8731</v>
      </c>
      <c r="L1468" t="s">
        <v>23</v>
      </c>
      <c r="M1468" t="s">
        <v>4404</v>
      </c>
      <c r="N1468" t="s">
        <v>4405</v>
      </c>
      <c r="O1468" t="s">
        <v>178</v>
      </c>
      <c r="P1468">
        <v>43017</v>
      </c>
      <c r="Q1468">
        <v>8731</v>
      </c>
      <c r="R1468" t="s">
        <v>23</v>
      </c>
      <c r="S1468" s="1" t="s">
        <v>34218</v>
      </c>
    </row>
    <row r="1469" spans="1:19" x14ac:dyDescent="0.25">
      <c r="A1469">
        <v>100602568</v>
      </c>
      <c r="B1469" t="s">
        <v>4406</v>
      </c>
      <c r="C1469" t="s">
        <v>4407</v>
      </c>
      <c r="F1469" t="str">
        <f>"4158461556"</f>
        <v>4158461556</v>
      </c>
      <c r="G1469" t="s">
        <v>4408</v>
      </c>
      <c r="H1469" t="s">
        <v>130</v>
      </c>
      <c r="I1469" t="s">
        <v>22</v>
      </c>
      <c r="J1469">
        <v>94133</v>
      </c>
      <c r="K1469">
        <v>1966</v>
      </c>
      <c r="L1469" t="s">
        <v>23</v>
      </c>
      <c r="M1469" t="s">
        <v>4408</v>
      </c>
      <c r="N1469" t="s">
        <v>130</v>
      </c>
      <c r="O1469" t="s">
        <v>22</v>
      </c>
      <c r="P1469">
        <v>94133</v>
      </c>
      <c r="Q1469">
        <v>1966</v>
      </c>
      <c r="R1469" t="s">
        <v>23</v>
      </c>
      <c r="S1469" s="1" t="s">
        <v>34218</v>
      </c>
    </row>
    <row r="1470" spans="1:19" x14ac:dyDescent="0.25">
      <c r="A1470">
        <v>101030190</v>
      </c>
      <c r="B1470" t="s">
        <v>4409</v>
      </c>
      <c r="C1470" t="s">
        <v>2790</v>
      </c>
      <c r="F1470" t="str">
        <f>"6309655605"</f>
        <v>6309655605</v>
      </c>
      <c r="G1470" t="s">
        <v>4410</v>
      </c>
      <c r="H1470" t="s">
        <v>4411</v>
      </c>
      <c r="I1470" t="s">
        <v>135</v>
      </c>
      <c r="J1470">
        <v>60007</v>
      </c>
      <c r="K1470">
        <v>1718</v>
      </c>
      <c r="L1470" t="s">
        <v>23</v>
      </c>
      <c r="M1470" t="s">
        <v>4410</v>
      </c>
      <c r="N1470" t="s">
        <v>4411</v>
      </c>
      <c r="O1470" t="s">
        <v>135</v>
      </c>
      <c r="P1470">
        <v>60007</v>
      </c>
      <c r="Q1470">
        <v>1718</v>
      </c>
      <c r="R1470" t="s">
        <v>23</v>
      </c>
      <c r="S1470" s="1" t="s">
        <v>34218</v>
      </c>
    </row>
    <row r="1471" spans="1:19" x14ac:dyDescent="0.25">
      <c r="A1471">
        <v>100680679</v>
      </c>
      <c r="B1471" t="s">
        <v>4018</v>
      </c>
      <c r="C1471" t="s">
        <v>4412</v>
      </c>
      <c r="F1471" t="str">
        <f>"9137062746"</f>
        <v>9137062746</v>
      </c>
      <c r="G1471" t="s">
        <v>4413</v>
      </c>
      <c r="H1471" t="s">
        <v>240</v>
      </c>
      <c r="I1471" t="s">
        <v>241</v>
      </c>
      <c r="J1471">
        <v>66204</v>
      </c>
      <c r="K1471">
        <v>1460</v>
      </c>
      <c r="L1471" t="s">
        <v>23</v>
      </c>
      <c r="M1471" t="s">
        <v>4413</v>
      </c>
      <c r="N1471" t="s">
        <v>240</v>
      </c>
      <c r="O1471" t="s">
        <v>241</v>
      </c>
      <c r="P1471">
        <v>66204</v>
      </c>
      <c r="Q1471">
        <v>1460</v>
      </c>
      <c r="R1471" t="s">
        <v>23</v>
      </c>
      <c r="S1471" s="1" t="s">
        <v>34218</v>
      </c>
    </row>
    <row r="1472" spans="1:19" x14ac:dyDescent="0.25">
      <c r="A1472">
        <v>100882321</v>
      </c>
      <c r="B1472" t="s">
        <v>1164</v>
      </c>
      <c r="C1472" t="s">
        <v>1658</v>
      </c>
      <c r="F1472" t="str">
        <f>"8149492930"</f>
        <v>8149492930</v>
      </c>
      <c r="G1472" t="s">
        <v>4414</v>
      </c>
      <c r="H1472" t="s">
        <v>4415</v>
      </c>
      <c r="I1472" t="s">
        <v>33</v>
      </c>
      <c r="J1472">
        <v>16602</v>
      </c>
      <c r="K1472">
        <v>5705</v>
      </c>
      <c r="L1472" t="s">
        <v>23</v>
      </c>
      <c r="M1472" t="s">
        <v>4414</v>
      </c>
      <c r="N1472" t="s">
        <v>4415</v>
      </c>
      <c r="O1472" t="s">
        <v>33</v>
      </c>
      <c r="P1472">
        <v>16602</v>
      </c>
      <c r="Q1472">
        <v>5705</v>
      </c>
      <c r="R1472" t="s">
        <v>23</v>
      </c>
      <c r="S1472" s="1" t="s">
        <v>34218</v>
      </c>
    </row>
    <row r="1473" spans="1:19" x14ac:dyDescent="0.25">
      <c r="A1473">
        <v>100634513</v>
      </c>
      <c r="B1473" t="s">
        <v>76</v>
      </c>
      <c r="C1473" t="s">
        <v>4416</v>
      </c>
      <c r="F1473" t="str">
        <f>"4154649445"</f>
        <v>4154649445</v>
      </c>
      <c r="G1473" t="s">
        <v>4417</v>
      </c>
      <c r="H1473" t="s">
        <v>3815</v>
      </c>
      <c r="I1473" t="s">
        <v>22</v>
      </c>
      <c r="J1473">
        <v>94979</v>
      </c>
      <c r="K1473">
        <v>265</v>
      </c>
      <c r="L1473" t="s">
        <v>23</v>
      </c>
      <c r="M1473" t="s">
        <v>4417</v>
      </c>
      <c r="N1473" t="s">
        <v>3815</v>
      </c>
      <c r="O1473" t="s">
        <v>22</v>
      </c>
      <c r="P1473">
        <v>94979</v>
      </c>
      <c r="Q1473">
        <v>265</v>
      </c>
      <c r="R1473" t="s">
        <v>23</v>
      </c>
      <c r="S1473" s="1" t="s">
        <v>34218</v>
      </c>
    </row>
    <row r="1474" spans="1:19" x14ac:dyDescent="0.25">
      <c r="A1474">
        <v>100637086</v>
      </c>
      <c r="B1474" t="s">
        <v>4418</v>
      </c>
      <c r="C1474" t="s">
        <v>498</v>
      </c>
      <c r="F1474" t="str">
        <f>"7037775868"</f>
        <v>7037775868</v>
      </c>
      <c r="G1474" t="s">
        <v>4419</v>
      </c>
      <c r="H1474" t="s">
        <v>4420</v>
      </c>
      <c r="I1474" t="s">
        <v>255</v>
      </c>
      <c r="J1474">
        <v>20176</v>
      </c>
      <c r="K1474">
        <v>5869</v>
      </c>
      <c r="L1474" t="s">
        <v>23</v>
      </c>
      <c r="M1474" t="s">
        <v>4419</v>
      </c>
      <c r="N1474" t="s">
        <v>4420</v>
      </c>
      <c r="O1474" t="s">
        <v>255</v>
      </c>
      <c r="P1474">
        <v>20176</v>
      </c>
      <c r="Q1474">
        <v>5869</v>
      </c>
      <c r="R1474" t="s">
        <v>23</v>
      </c>
      <c r="S1474" s="1" t="s">
        <v>34218</v>
      </c>
    </row>
    <row r="1475" spans="1:19" x14ac:dyDescent="0.25">
      <c r="A1475">
        <v>100642041</v>
      </c>
      <c r="B1475" t="s">
        <v>4421</v>
      </c>
      <c r="C1475" t="s">
        <v>1542</v>
      </c>
      <c r="F1475" t="str">
        <f>"5867316623"</f>
        <v>5867316623</v>
      </c>
      <c r="G1475" t="s">
        <v>4422</v>
      </c>
      <c r="H1475" t="s">
        <v>1214</v>
      </c>
      <c r="I1475" t="s">
        <v>140</v>
      </c>
      <c r="J1475">
        <v>48314</v>
      </c>
      <c r="K1475">
        <v>1351</v>
      </c>
      <c r="L1475" t="s">
        <v>23</v>
      </c>
      <c r="M1475" t="s">
        <v>4422</v>
      </c>
      <c r="N1475" t="s">
        <v>1214</v>
      </c>
      <c r="O1475" t="s">
        <v>140</v>
      </c>
      <c r="P1475">
        <v>48314</v>
      </c>
      <c r="Q1475">
        <v>1351</v>
      </c>
      <c r="R1475" t="s">
        <v>23</v>
      </c>
      <c r="S1475" s="1" t="s">
        <v>34218</v>
      </c>
    </row>
    <row r="1476" spans="1:19" x14ac:dyDescent="0.25">
      <c r="A1476">
        <v>101077208</v>
      </c>
      <c r="B1476" t="s">
        <v>4423</v>
      </c>
      <c r="C1476" t="s">
        <v>403</v>
      </c>
      <c r="F1476" t="str">
        <f>"8172990194"</f>
        <v>8172990194</v>
      </c>
      <c r="G1476" t="s">
        <v>4424</v>
      </c>
      <c r="H1476" t="s">
        <v>1748</v>
      </c>
      <c r="I1476" t="s">
        <v>38</v>
      </c>
      <c r="J1476">
        <v>76012</v>
      </c>
      <c r="K1476">
        <v>3033</v>
      </c>
      <c r="L1476" t="s">
        <v>23</v>
      </c>
      <c r="M1476" t="s">
        <v>4424</v>
      </c>
      <c r="N1476" t="s">
        <v>1748</v>
      </c>
      <c r="O1476" t="s">
        <v>38</v>
      </c>
      <c r="P1476">
        <v>76012</v>
      </c>
      <c r="Q1476">
        <v>3033</v>
      </c>
      <c r="R1476" t="s">
        <v>23</v>
      </c>
      <c r="S1476" s="1" t="s">
        <v>34218</v>
      </c>
    </row>
    <row r="1477" spans="1:19" x14ac:dyDescent="0.25">
      <c r="A1477">
        <v>101103311</v>
      </c>
      <c r="B1477" t="s">
        <v>1220</v>
      </c>
      <c r="C1477" t="s">
        <v>627</v>
      </c>
      <c r="F1477" t="str">
        <f>"5863294200"</f>
        <v>5863294200</v>
      </c>
      <c r="G1477" t="s">
        <v>4425</v>
      </c>
      <c r="H1477" t="s">
        <v>4426</v>
      </c>
      <c r="I1477" t="s">
        <v>140</v>
      </c>
      <c r="J1477">
        <v>48045</v>
      </c>
      <c r="K1477">
        <v>3399</v>
      </c>
      <c r="L1477" t="s">
        <v>23</v>
      </c>
      <c r="M1477" t="s">
        <v>4425</v>
      </c>
      <c r="N1477" t="s">
        <v>4426</v>
      </c>
      <c r="O1477" t="s">
        <v>140</v>
      </c>
      <c r="P1477">
        <v>48045</v>
      </c>
      <c r="Q1477">
        <v>3399</v>
      </c>
      <c r="R1477" t="s">
        <v>23</v>
      </c>
      <c r="S1477" s="1" t="s">
        <v>34218</v>
      </c>
    </row>
    <row r="1478" spans="1:19" x14ac:dyDescent="0.25">
      <c r="A1478">
        <v>101088422</v>
      </c>
      <c r="B1478" t="s">
        <v>806</v>
      </c>
      <c r="C1478" t="s">
        <v>4427</v>
      </c>
      <c r="F1478" t="str">
        <f>"9724237080"</f>
        <v>9724237080</v>
      </c>
      <c r="G1478" t="s">
        <v>4428</v>
      </c>
      <c r="H1478" t="s">
        <v>4429</v>
      </c>
      <c r="I1478" t="s">
        <v>38</v>
      </c>
      <c r="J1478">
        <v>75075</v>
      </c>
      <c r="K1478">
        <v>4020</v>
      </c>
      <c r="L1478" t="s">
        <v>23</v>
      </c>
      <c r="M1478" t="s">
        <v>4428</v>
      </c>
      <c r="N1478" t="s">
        <v>4429</v>
      </c>
      <c r="O1478" t="s">
        <v>38</v>
      </c>
      <c r="P1478">
        <v>75075</v>
      </c>
      <c r="Q1478">
        <v>4020</v>
      </c>
      <c r="R1478" t="s">
        <v>23</v>
      </c>
      <c r="S1478" s="1" t="s">
        <v>34218</v>
      </c>
    </row>
    <row r="1479" spans="1:19" x14ac:dyDescent="0.25">
      <c r="A1479">
        <v>101305506</v>
      </c>
      <c r="B1479" t="s">
        <v>4430</v>
      </c>
      <c r="C1479" t="s">
        <v>1107</v>
      </c>
      <c r="F1479" t="str">
        <f>"4126106334"</f>
        <v>4126106334</v>
      </c>
      <c r="G1479" t="s">
        <v>4431</v>
      </c>
      <c r="H1479" t="s">
        <v>4432</v>
      </c>
      <c r="I1479" t="s">
        <v>33</v>
      </c>
      <c r="J1479">
        <v>15650</v>
      </c>
      <c r="K1479">
        <v>5158</v>
      </c>
      <c r="L1479" t="s">
        <v>23</v>
      </c>
      <c r="M1479" t="s">
        <v>4431</v>
      </c>
      <c r="N1479" t="s">
        <v>4432</v>
      </c>
      <c r="O1479" t="s">
        <v>33</v>
      </c>
      <c r="P1479">
        <v>15650</v>
      </c>
      <c r="Q1479">
        <v>5158</v>
      </c>
      <c r="R1479" t="s">
        <v>23</v>
      </c>
      <c r="S1479" s="1" t="s">
        <v>34218</v>
      </c>
    </row>
    <row r="1480" spans="1:19" x14ac:dyDescent="0.25">
      <c r="A1480">
        <v>101312317</v>
      </c>
      <c r="B1480" t="s">
        <v>4433</v>
      </c>
      <c r="C1480" t="s">
        <v>119</v>
      </c>
      <c r="F1480" t="str">
        <f>"3303050844"</f>
        <v>3303050844</v>
      </c>
      <c r="G1480" t="s">
        <v>4434</v>
      </c>
      <c r="H1480" t="s">
        <v>139</v>
      </c>
      <c r="I1480" t="s">
        <v>178</v>
      </c>
      <c r="J1480">
        <v>44709</v>
      </c>
      <c r="K1480">
        <v>1462</v>
      </c>
      <c r="L1480" t="s">
        <v>23</v>
      </c>
      <c r="M1480" t="s">
        <v>4434</v>
      </c>
      <c r="N1480" t="s">
        <v>139</v>
      </c>
      <c r="O1480" t="s">
        <v>178</v>
      </c>
      <c r="P1480">
        <v>44709</v>
      </c>
      <c r="Q1480">
        <v>1462</v>
      </c>
      <c r="R1480" t="s">
        <v>23</v>
      </c>
      <c r="S1480" s="1" t="s">
        <v>34218</v>
      </c>
    </row>
    <row r="1481" spans="1:19" x14ac:dyDescent="0.25">
      <c r="A1481">
        <v>101317305</v>
      </c>
      <c r="B1481" t="s">
        <v>2486</v>
      </c>
      <c r="C1481" t="s">
        <v>4435</v>
      </c>
      <c r="F1481" t="str">
        <f>"6082386695"</f>
        <v>6082386695</v>
      </c>
      <c r="G1481" t="s">
        <v>4436</v>
      </c>
      <c r="H1481" t="s">
        <v>2375</v>
      </c>
      <c r="I1481" t="s">
        <v>100</v>
      </c>
      <c r="J1481">
        <v>53705</v>
      </c>
      <c r="K1481">
        <v>2131</v>
      </c>
      <c r="L1481" t="s">
        <v>23</v>
      </c>
      <c r="M1481" t="s">
        <v>4436</v>
      </c>
      <c r="N1481" t="s">
        <v>2375</v>
      </c>
      <c r="O1481" t="s">
        <v>100</v>
      </c>
      <c r="P1481">
        <v>53705</v>
      </c>
      <c r="Q1481">
        <v>2131</v>
      </c>
      <c r="R1481" t="s">
        <v>23</v>
      </c>
      <c r="S1481" s="1" t="s">
        <v>34218</v>
      </c>
    </row>
    <row r="1482" spans="1:19" x14ac:dyDescent="0.25">
      <c r="A1482">
        <v>101314225</v>
      </c>
      <c r="B1482" t="s">
        <v>4437</v>
      </c>
      <c r="C1482" t="s">
        <v>1043</v>
      </c>
      <c r="F1482" t="str">
        <f>"4407346944"</f>
        <v>4407346944</v>
      </c>
      <c r="G1482" t="s">
        <v>4438</v>
      </c>
      <c r="H1482" t="s">
        <v>4439</v>
      </c>
      <c r="I1482" t="s">
        <v>178</v>
      </c>
      <c r="J1482">
        <v>44070</v>
      </c>
      <c r="K1482">
        <v>4407</v>
      </c>
      <c r="L1482" t="s">
        <v>23</v>
      </c>
      <c r="M1482" t="s">
        <v>4438</v>
      </c>
      <c r="N1482" t="s">
        <v>4439</v>
      </c>
      <c r="O1482" t="s">
        <v>178</v>
      </c>
      <c r="P1482">
        <v>44070</v>
      </c>
      <c r="Q1482">
        <v>4407</v>
      </c>
      <c r="R1482" t="s">
        <v>23</v>
      </c>
      <c r="S1482" s="1" t="s">
        <v>34218</v>
      </c>
    </row>
    <row r="1483" spans="1:19" x14ac:dyDescent="0.25">
      <c r="A1483">
        <v>101107699</v>
      </c>
      <c r="B1483" t="s">
        <v>4440</v>
      </c>
      <c r="C1483" t="s">
        <v>305</v>
      </c>
      <c r="F1483" t="str">
        <f>"2079475244"</f>
        <v>2079475244</v>
      </c>
      <c r="G1483" t="s">
        <v>4441</v>
      </c>
      <c r="H1483" t="s">
        <v>4442</v>
      </c>
      <c r="I1483" t="s">
        <v>191</v>
      </c>
      <c r="J1483">
        <v>4401</v>
      </c>
      <c r="K1483">
        <v>7085</v>
      </c>
      <c r="L1483" t="s">
        <v>23</v>
      </c>
      <c r="M1483" t="s">
        <v>4441</v>
      </c>
      <c r="N1483" t="s">
        <v>4442</v>
      </c>
      <c r="O1483" t="s">
        <v>191</v>
      </c>
      <c r="P1483">
        <v>4401</v>
      </c>
      <c r="Q1483">
        <v>7085</v>
      </c>
      <c r="R1483" t="s">
        <v>23</v>
      </c>
      <c r="S1483" s="1" t="s">
        <v>34218</v>
      </c>
    </row>
    <row r="1484" spans="1:19" x14ac:dyDescent="0.25">
      <c r="A1484">
        <v>101113455</v>
      </c>
      <c r="B1484" t="s">
        <v>4443</v>
      </c>
      <c r="C1484" t="s">
        <v>2857</v>
      </c>
      <c r="F1484" t="str">
        <f>"5617506277"</f>
        <v>5617506277</v>
      </c>
      <c r="G1484" t="s">
        <v>4444</v>
      </c>
      <c r="H1484" t="s">
        <v>2640</v>
      </c>
      <c r="I1484" t="s">
        <v>52</v>
      </c>
      <c r="J1484">
        <v>33486</v>
      </c>
      <c r="K1484">
        <v>8523</v>
      </c>
      <c r="L1484" t="s">
        <v>23</v>
      </c>
      <c r="M1484" t="s">
        <v>4444</v>
      </c>
      <c r="N1484" t="s">
        <v>2640</v>
      </c>
      <c r="O1484" t="s">
        <v>52</v>
      </c>
      <c r="P1484">
        <v>33486</v>
      </c>
      <c r="Q1484">
        <v>8523</v>
      </c>
      <c r="R1484" t="s">
        <v>23</v>
      </c>
      <c r="S1484" s="1" t="s">
        <v>34218</v>
      </c>
    </row>
    <row r="1485" spans="1:19" x14ac:dyDescent="0.25">
      <c r="A1485">
        <v>101351477</v>
      </c>
      <c r="B1485" t="s">
        <v>4170</v>
      </c>
      <c r="C1485" t="s">
        <v>1043</v>
      </c>
      <c r="F1485" t="str">
        <f>"9199233092"</f>
        <v>9199233092</v>
      </c>
      <c r="G1485" t="s">
        <v>4445</v>
      </c>
      <c r="H1485" t="s">
        <v>4446</v>
      </c>
      <c r="I1485" t="s">
        <v>446</v>
      </c>
      <c r="J1485">
        <v>27278</v>
      </c>
      <c r="K1485">
        <v>8597</v>
      </c>
      <c r="L1485" t="s">
        <v>23</v>
      </c>
      <c r="M1485" t="s">
        <v>4445</v>
      </c>
      <c r="N1485" t="s">
        <v>4446</v>
      </c>
      <c r="O1485" t="s">
        <v>446</v>
      </c>
      <c r="P1485">
        <v>27278</v>
      </c>
      <c r="Q1485">
        <v>8597</v>
      </c>
      <c r="R1485" t="s">
        <v>23</v>
      </c>
      <c r="S1485" s="1" t="s">
        <v>34218</v>
      </c>
    </row>
    <row r="1486" spans="1:19" x14ac:dyDescent="0.25">
      <c r="A1486">
        <v>101354752</v>
      </c>
      <c r="B1486" t="s">
        <v>4447</v>
      </c>
      <c r="C1486" t="s">
        <v>90</v>
      </c>
      <c r="F1486" t="str">
        <f>"6824334119"</f>
        <v>6824334119</v>
      </c>
      <c r="G1486" t="s">
        <v>4448</v>
      </c>
      <c r="H1486" t="s">
        <v>1748</v>
      </c>
      <c r="I1486" t="s">
        <v>38</v>
      </c>
      <c r="J1486">
        <v>76002</v>
      </c>
      <c r="K1486">
        <v>4024</v>
      </c>
      <c r="L1486" t="s">
        <v>23</v>
      </c>
      <c r="M1486" t="s">
        <v>4448</v>
      </c>
      <c r="N1486" t="s">
        <v>1748</v>
      </c>
      <c r="O1486" t="s">
        <v>38</v>
      </c>
      <c r="P1486">
        <v>76002</v>
      </c>
      <c r="Q1486">
        <v>4024</v>
      </c>
      <c r="R1486" t="s">
        <v>23</v>
      </c>
      <c r="S1486" s="1" t="s">
        <v>34218</v>
      </c>
    </row>
    <row r="1487" spans="1:19" x14ac:dyDescent="0.25">
      <c r="A1487">
        <v>100984714</v>
      </c>
      <c r="B1487" t="s">
        <v>4449</v>
      </c>
      <c r="C1487" t="s">
        <v>2357</v>
      </c>
      <c r="F1487" t="str">
        <f>"9726535982"</f>
        <v>9726535982</v>
      </c>
      <c r="G1487" t="s">
        <v>4450</v>
      </c>
      <c r="H1487" t="s">
        <v>380</v>
      </c>
      <c r="I1487" t="s">
        <v>38</v>
      </c>
      <c r="J1487">
        <v>75218</v>
      </c>
      <c r="K1487">
        <v>982</v>
      </c>
      <c r="L1487" t="s">
        <v>23</v>
      </c>
      <c r="M1487" t="s">
        <v>4450</v>
      </c>
      <c r="N1487" t="s">
        <v>380</v>
      </c>
      <c r="O1487" t="s">
        <v>38</v>
      </c>
      <c r="P1487">
        <v>75218</v>
      </c>
      <c r="Q1487">
        <v>982</v>
      </c>
      <c r="R1487" t="s">
        <v>23</v>
      </c>
      <c r="S1487" s="1" t="s">
        <v>34218</v>
      </c>
    </row>
    <row r="1488" spans="1:19" x14ac:dyDescent="0.25">
      <c r="A1488">
        <v>100986185</v>
      </c>
      <c r="B1488" t="s">
        <v>4451</v>
      </c>
      <c r="C1488" t="s">
        <v>119</v>
      </c>
      <c r="F1488" t="str">
        <f>"5413467378"</f>
        <v>5413467378</v>
      </c>
      <c r="G1488" t="s">
        <v>4452</v>
      </c>
      <c r="H1488" t="s">
        <v>1765</v>
      </c>
      <c r="I1488" t="s">
        <v>84</v>
      </c>
      <c r="J1488">
        <v>98502</v>
      </c>
      <c r="K1488">
        <v>4735</v>
      </c>
      <c r="L1488" t="s">
        <v>23</v>
      </c>
      <c r="M1488" t="s">
        <v>4452</v>
      </c>
      <c r="N1488" t="s">
        <v>1765</v>
      </c>
      <c r="O1488" t="s">
        <v>84</v>
      </c>
      <c r="P1488">
        <v>98502</v>
      </c>
      <c r="Q1488">
        <v>4735</v>
      </c>
      <c r="R1488" t="s">
        <v>23</v>
      </c>
      <c r="S1488" s="1" t="s">
        <v>34218</v>
      </c>
    </row>
    <row r="1489" spans="1:19" x14ac:dyDescent="0.25">
      <c r="A1489">
        <v>101179638</v>
      </c>
      <c r="B1489" t="s">
        <v>4453</v>
      </c>
      <c r="C1489" t="s">
        <v>894</v>
      </c>
      <c r="F1489" t="str">
        <f>"9199676863"</f>
        <v>9199676863</v>
      </c>
      <c r="G1489" t="s">
        <v>4454</v>
      </c>
      <c r="H1489" t="s">
        <v>1276</v>
      </c>
      <c r="I1489" t="s">
        <v>446</v>
      </c>
      <c r="J1489">
        <v>27514</v>
      </c>
      <c r="K1489">
        <v>1607</v>
      </c>
      <c r="L1489" t="s">
        <v>23</v>
      </c>
      <c r="M1489" t="s">
        <v>4454</v>
      </c>
      <c r="N1489" t="s">
        <v>1276</v>
      </c>
      <c r="O1489" t="s">
        <v>446</v>
      </c>
      <c r="P1489">
        <v>27514</v>
      </c>
      <c r="Q1489">
        <v>1607</v>
      </c>
      <c r="R1489" t="s">
        <v>23</v>
      </c>
      <c r="S1489" s="1" t="s">
        <v>34218</v>
      </c>
    </row>
    <row r="1490" spans="1:19" x14ac:dyDescent="0.25">
      <c r="A1490">
        <v>101186138</v>
      </c>
      <c r="B1490" t="s">
        <v>308</v>
      </c>
      <c r="C1490" t="s">
        <v>4455</v>
      </c>
      <c r="F1490" t="str">
        <f>"6463054390"</f>
        <v>6463054390</v>
      </c>
      <c r="G1490" t="s">
        <v>4456</v>
      </c>
      <c r="H1490" t="s">
        <v>653</v>
      </c>
      <c r="I1490" t="s">
        <v>117</v>
      </c>
      <c r="J1490">
        <v>10024</v>
      </c>
      <c r="K1490">
        <v>6107</v>
      </c>
      <c r="L1490" t="s">
        <v>23</v>
      </c>
      <c r="M1490" t="s">
        <v>4456</v>
      </c>
      <c r="N1490" t="s">
        <v>653</v>
      </c>
      <c r="O1490" t="s">
        <v>117</v>
      </c>
      <c r="P1490">
        <v>10024</v>
      </c>
      <c r="Q1490">
        <v>6107</v>
      </c>
      <c r="R1490" t="s">
        <v>23</v>
      </c>
      <c r="S1490" s="1" t="s">
        <v>34218</v>
      </c>
    </row>
    <row r="1491" spans="1:19" x14ac:dyDescent="0.25">
      <c r="A1491">
        <v>100887156</v>
      </c>
      <c r="B1491" t="s">
        <v>4457</v>
      </c>
      <c r="C1491" t="s">
        <v>4458</v>
      </c>
      <c r="F1491" t="str">
        <f>"8024510822"</f>
        <v>8024510822</v>
      </c>
      <c r="G1491" t="s">
        <v>4459</v>
      </c>
      <c r="H1491" t="s">
        <v>4460</v>
      </c>
      <c r="I1491" t="s">
        <v>307</v>
      </c>
      <c r="J1491" t="s">
        <v>4461</v>
      </c>
      <c r="K1491">
        <v>6656</v>
      </c>
      <c r="L1491" t="s">
        <v>23</v>
      </c>
      <c r="M1491" t="s">
        <v>4459</v>
      </c>
      <c r="N1491" t="s">
        <v>4460</v>
      </c>
      <c r="O1491" t="s">
        <v>307</v>
      </c>
      <c r="P1491" t="s">
        <v>4461</v>
      </c>
      <c r="Q1491">
        <v>6656</v>
      </c>
      <c r="R1491" t="s">
        <v>23</v>
      </c>
      <c r="S1491" s="1" t="s">
        <v>34218</v>
      </c>
    </row>
    <row r="1492" spans="1:19" x14ac:dyDescent="0.25">
      <c r="A1492">
        <v>101289590</v>
      </c>
      <c r="B1492" t="s">
        <v>4462</v>
      </c>
      <c r="C1492" t="s">
        <v>4463</v>
      </c>
      <c r="F1492" t="str">
        <f>"4105312728"</f>
        <v>4105312728</v>
      </c>
      <c r="G1492" t="s">
        <v>4464</v>
      </c>
      <c r="H1492" t="s">
        <v>3183</v>
      </c>
      <c r="I1492" t="s">
        <v>148</v>
      </c>
      <c r="J1492">
        <v>21036</v>
      </c>
      <c r="K1492">
        <v>1007</v>
      </c>
      <c r="L1492" t="s">
        <v>23</v>
      </c>
      <c r="M1492" t="s">
        <v>4464</v>
      </c>
      <c r="N1492" t="s">
        <v>3183</v>
      </c>
      <c r="O1492" t="s">
        <v>148</v>
      </c>
      <c r="P1492">
        <v>21036</v>
      </c>
      <c r="Q1492">
        <v>1007</v>
      </c>
      <c r="R1492" t="s">
        <v>23</v>
      </c>
      <c r="S1492" s="1" t="s">
        <v>34218</v>
      </c>
    </row>
    <row r="1493" spans="1:19" x14ac:dyDescent="0.25">
      <c r="A1493">
        <v>101299347</v>
      </c>
      <c r="B1493" t="s">
        <v>584</v>
      </c>
      <c r="C1493" t="s">
        <v>1363</v>
      </c>
      <c r="F1493" t="str">
        <f>"5052642648"</f>
        <v>5052642648</v>
      </c>
      <c r="G1493" t="s">
        <v>4465</v>
      </c>
      <c r="H1493" t="s">
        <v>638</v>
      </c>
      <c r="I1493" t="s">
        <v>639</v>
      </c>
      <c r="J1493">
        <v>87108</v>
      </c>
      <c r="K1493">
        <v>1138</v>
      </c>
      <c r="L1493" t="s">
        <v>23</v>
      </c>
      <c r="M1493" t="s">
        <v>4465</v>
      </c>
      <c r="N1493" t="s">
        <v>638</v>
      </c>
      <c r="O1493" t="s">
        <v>639</v>
      </c>
      <c r="P1493">
        <v>87108</v>
      </c>
      <c r="Q1493">
        <v>1138</v>
      </c>
      <c r="R1493" t="s">
        <v>23</v>
      </c>
      <c r="S1493" s="1" t="s">
        <v>34218</v>
      </c>
    </row>
    <row r="1494" spans="1:19" x14ac:dyDescent="0.25">
      <c r="A1494">
        <v>101124736</v>
      </c>
      <c r="B1494" t="s">
        <v>4466</v>
      </c>
      <c r="C1494" t="s">
        <v>907</v>
      </c>
      <c r="F1494" t="str">
        <f>"2624738286"</f>
        <v>2624738286</v>
      </c>
      <c r="G1494" t="s">
        <v>4467</v>
      </c>
      <c r="H1494" t="s">
        <v>4468</v>
      </c>
      <c r="I1494" t="s">
        <v>100</v>
      </c>
      <c r="J1494">
        <v>54220</v>
      </c>
      <c r="K1494">
        <v>2235</v>
      </c>
      <c r="L1494" t="s">
        <v>23</v>
      </c>
      <c r="M1494" t="s">
        <v>4467</v>
      </c>
      <c r="N1494" t="s">
        <v>4468</v>
      </c>
      <c r="O1494" t="s">
        <v>100</v>
      </c>
      <c r="P1494">
        <v>54220</v>
      </c>
      <c r="Q1494">
        <v>2235</v>
      </c>
      <c r="R1494" t="s">
        <v>23</v>
      </c>
      <c r="S1494" s="1" t="s">
        <v>34218</v>
      </c>
    </row>
    <row r="1495" spans="1:19" x14ac:dyDescent="0.25">
      <c r="A1495">
        <v>101130459</v>
      </c>
      <c r="B1495" t="s">
        <v>980</v>
      </c>
      <c r="C1495" t="s">
        <v>883</v>
      </c>
      <c r="F1495" t="str">
        <f>"3147250470"</f>
        <v>3147250470</v>
      </c>
      <c r="G1495" t="s">
        <v>4469</v>
      </c>
      <c r="H1495" t="s">
        <v>4470</v>
      </c>
      <c r="I1495" t="s">
        <v>126</v>
      </c>
      <c r="J1495">
        <v>63130</v>
      </c>
      <c r="K1495">
        <v>4711</v>
      </c>
      <c r="L1495" t="s">
        <v>23</v>
      </c>
      <c r="M1495" t="s">
        <v>4469</v>
      </c>
      <c r="N1495" t="s">
        <v>4470</v>
      </c>
      <c r="O1495" t="s">
        <v>126</v>
      </c>
      <c r="P1495">
        <v>63130</v>
      </c>
      <c r="Q1495">
        <v>4711</v>
      </c>
      <c r="R1495" t="s">
        <v>23</v>
      </c>
      <c r="S1495" s="1" t="s">
        <v>34218</v>
      </c>
    </row>
    <row r="1496" spans="1:19" x14ac:dyDescent="0.25">
      <c r="A1496">
        <v>101385245</v>
      </c>
      <c r="B1496" t="s">
        <v>4471</v>
      </c>
      <c r="C1496" t="s">
        <v>4472</v>
      </c>
      <c r="F1496" t="str">
        <f>"2128737567"</f>
        <v>2128737567</v>
      </c>
      <c r="G1496" t="s">
        <v>4473</v>
      </c>
      <c r="H1496" t="s">
        <v>653</v>
      </c>
      <c r="I1496" t="s">
        <v>117</v>
      </c>
      <c r="J1496">
        <v>10025</v>
      </c>
      <c r="K1496">
        <v>7480</v>
      </c>
      <c r="L1496" t="s">
        <v>23</v>
      </c>
      <c r="M1496" t="s">
        <v>4473</v>
      </c>
      <c r="N1496" t="s">
        <v>653</v>
      </c>
      <c r="O1496" t="s">
        <v>117</v>
      </c>
      <c r="P1496">
        <v>10025</v>
      </c>
      <c r="Q1496">
        <v>7480</v>
      </c>
      <c r="R1496" t="s">
        <v>23</v>
      </c>
      <c r="S1496" s="1" t="s">
        <v>34218</v>
      </c>
    </row>
    <row r="1497" spans="1:19" x14ac:dyDescent="0.25">
      <c r="A1497">
        <v>101404870</v>
      </c>
      <c r="B1497" t="s">
        <v>402</v>
      </c>
      <c r="C1497" t="s">
        <v>286</v>
      </c>
      <c r="F1497" t="str">
        <f>"6512700730"</f>
        <v>6512700730</v>
      </c>
      <c r="G1497" t="s">
        <v>4474</v>
      </c>
      <c r="H1497" t="s">
        <v>3490</v>
      </c>
      <c r="I1497" t="s">
        <v>187</v>
      </c>
      <c r="J1497">
        <v>55118</v>
      </c>
      <c r="K1497">
        <v>1332</v>
      </c>
      <c r="L1497" t="s">
        <v>23</v>
      </c>
      <c r="M1497" t="s">
        <v>4474</v>
      </c>
      <c r="N1497" t="s">
        <v>3490</v>
      </c>
      <c r="O1497" t="s">
        <v>187</v>
      </c>
      <c r="P1497">
        <v>55118</v>
      </c>
      <c r="Q1497">
        <v>1332</v>
      </c>
      <c r="R1497" t="s">
        <v>23</v>
      </c>
      <c r="S1497" s="1" t="s">
        <v>34218</v>
      </c>
    </row>
    <row r="1498" spans="1:19" x14ac:dyDescent="0.25">
      <c r="A1498">
        <v>101413528</v>
      </c>
      <c r="B1498" t="s">
        <v>4475</v>
      </c>
      <c r="C1498" t="s">
        <v>1069</v>
      </c>
      <c r="F1498" t="str">
        <f>"8286852231"</f>
        <v>8286852231</v>
      </c>
      <c r="G1498" t="s">
        <v>4476</v>
      </c>
      <c r="H1498" t="s">
        <v>1048</v>
      </c>
      <c r="I1498" t="s">
        <v>446</v>
      </c>
      <c r="J1498">
        <v>28792</v>
      </c>
      <c r="K1498">
        <v>7813</v>
      </c>
      <c r="L1498" t="s">
        <v>23</v>
      </c>
      <c r="M1498" t="s">
        <v>4476</v>
      </c>
      <c r="N1498" t="s">
        <v>1048</v>
      </c>
      <c r="O1498" t="s">
        <v>446</v>
      </c>
      <c r="P1498">
        <v>28792</v>
      </c>
      <c r="Q1498">
        <v>7813</v>
      </c>
      <c r="R1498" t="s">
        <v>23</v>
      </c>
      <c r="S1498" s="1" t="s">
        <v>34218</v>
      </c>
    </row>
    <row r="1499" spans="1:19" x14ac:dyDescent="0.25">
      <c r="A1499">
        <v>101379359</v>
      </c>
      <c r="B1499" t="s">
        <v>4477</v>
      </c>
      <c r="C1499" t="s">
        <v>535</v>
      </c>
      <c r="F1499" t="str">
        <f>"2102164480"</f>
        <v>2102164480</v>
      </c>
      <c r="G1499" t="s">
        <v>4478</v>
      </c>
      <c r="H1499" t="s">
        <v>1229</v>
      </c>
      <c r="I1499" t="s">
        <v>38</v>
      </c>
      <c r="J1499">
        <v>78254</v>
      </c>
      <c r="K1499">
        <v>5605</v>
      </c>
      <c r="L1499" t="s">
        <v>23</v>
      </c>
      <c r="M1499" t="s">
        <v>4478</v>
      </c>
      <c r="N1499" t="s">
        <v>1229</v>
      </c>
      <c r="O1499" t="s">
        <v>38</v>
      </c>
      <c r="P1499">
        <v>78254</v>
      </c>
      <c r="Q1499">
        <v>5605</v>
      </c>
      <c r="R1499" t="s">
        <v>23</v>
      </c>
      <c r="S1499" s="1" t="s">
        <v>34218</v>
      </c>
    </row>
    <row r="1500" spans="1:19" x14ac:dyDescent="0.25">
      <c r="A1500">
        <v>101044164</v>
      </c>
      <c r="B1500" t="s">
        <v>4479</v>
      </c>
      <c r="C1500" t="s">
        <v>1374</v>
      </c>
      <c r="F1500" t="str">
        <f>"6153992841"</f>
        <v>6153992841</v>
      </c>
      <c r="G1500" t="s">
        <v>4480</v>
      </c>
      <c r="H1500" t="s">
        <v>4481</v>
      </c>
      <c r="I1500" t="s">
        <v>914</v>
      </c>
      <c r="J1500">
        <v>37013</v>
      </c>
      <c r="L1500" t="s">
        <v>23</v>
      </c>
      <c r="M1500" t="s">
        <v>4480</v>
      </c>
      <c r="N1500" t="s">
        <v>4481</v>
      </c>
      <c r="O1500" t="s">
        <v>914</v>
      </c>
      <c r="P1500">
        <v>37013</v>
      </c>
      <c r="R1500" t="s">
        <v>23</v>
      </c>
      <c r="S1500" s="1" t="s">
        <v>34218</v>
      </c>
    </row>
    <row r="1501" spans="1:19" x14ac:dyDescent="0.25">
      <c r="A1501">
        <v>101428346</v>
      </c>
      <c r="B1501" t="s">
        <v>4482</v>
      </c>
      <c r="C1501" t="s">
        <v>571</v>
      </c>
      <c r="F1501" t="str">
        <f>"3012296110"</f>
        <v>3012296110</v>
      </c>
      <c r="G1501" t="s">
        <v>4483</v>
      </c>
      <c r="H1501" t="s">
        <v>165</v>
      </c>
      <c r="I1501" t="s">
        <v>148</v>
      </c>
      <c r="J1501">
        <v>20817</v>
      </c>
      <c r="K1501">
        <v>3135</v>
      </c>
      <c r="L1501" t="s">
        <v>23</v>
      </c>
      <c r="M1501" t="s">
        <v>4483</v>
      </c>
      <c r="N1501" t="s">
        <v>165</v>
      </c>
      <c r="O1501" t="s">
        <v>148</v>
      </c>
      <c r="P1501">
        <v>20817</v>
      </c>
      <c r="Q1501">
        <v>3135</v>
      </c>
      <c r="R1501" t="s">
        <v>23</v>
      </c>
      <c r="S1501" s="1" t="s">
        <v>34218</v>
      </c>
    </row>
    <row r="1502" spans="1:19" x14ac:dyDescent="0.25">
      <c r="A1502">
        <v>101295493</v>
      </c>
      <c r="B1502" t="s">
        <v>4484</v>
      </c>
      <c r="C1502" t="s">
        <v>1676</v>
      </c>
      <c r="F1502" t="str">
        <f>"7074841728"</f>
        <v>7074841728</v>
      </c>
      <c r="G1502" t="s">
        <v>4485</v>
      </c>
      <c r="H1502" t="s">
        <v>4486</v>
      </c>
      <c r="I1502" t="s">
        <v>22</v>
      </c>
      <c r="J1502">
        <v>95492</v>
      </c>
      <c r="K1502">
        <v>8839</v>
      </c>
      <c r="L1502" t="s">
        <v>23</v>
      </c>
      <c r="M1502" t="s">
        <v>4485</v>
      </c>
      <c r="N1502" t="s">
        <v>4486</v>
      </c>
      <c r="O1502" t="s">
        <v>22</v>
      </c>
      <c r="P1502">
        <v>95492</v>
      </c>
      <c r="Q1502">
        <v>8839</v>
      </c>
      <c r="R1502" t="s">
        <v>23</v>
      </c>
      <c r="S1502" s="1" t="s">
        <v>34218</v>
      </c>
    </row>
    <row r="1503" spans="1:19" x14ac:dyDescent="0.25">
      <c r="A1503">
        <v>101311989</v>
      </c>
      <c r="B1503" t="s">
        <v>4487</v>
      </c>
      <c r="C1503" t="s">
        <v>4488</v>
      </c>
      <c r="F1503" t="str">
        <f>"5088752072"</f>
        <v>5088752072</v>
      </c>
      <c r="G1503" t="s">
        <v>4489</v>
      </c>
      <c r="H1503" t="s">
        <v>1080</v>
      </c>
      <c r="I1503" t="s">
        <v>236</v>
      </c>
      <c r="J1503">
        <v>1702</v>
      </c>
      <c r="K1503">
        <v>8108</v>
      </c>
      <c r="L1503" t="s">
        <v>23</v>
      </c>
      <c r="M1503" t="s">
        <v>4489</v>
      </c>
      <c r="N1503" t="s">
        <v>1080</v>
      </c>
      <c r="O1503" t="s">
        <v>236</v>
      </c>
      <c r="P1503">
        <v>1702</v>
      </c>
      <c r="Q1503">
        <v>8108</v>
      </c>
      <c r="R1503" t="s">
        <v>23</v>
      </c>
      <c r="S1503" s="1" t="s">
        <v>34218</v>
      </c>
    </row>
    <row r="1504" spans="1:19" x14ac:dyDescent="0.25">
      <c r="A1504">
        <v>101155646</v>
      </c>
      <c r="B1504" t="s">
        <v>4490</v>
      </c>
      <c r="C1504" t="s">
        <v>4491</v>
      </c>
      <c r="F1504" t="str">
        <f>"5033591818"</f>
        <v>5033591818</v>
      </c>
      <c r="G1504" t="s">
        <v>4492</v>
      </c>
      <c r="H1504" t="s">
        <v>4493</v>
      </c>
      <c r="I1504" t="s">
        <v>43</v>
      </c>
      <c r="J1504">
        <v>97116</v>
      </c>
      <c r="K1504">
        <v>3203</v>
      </c>
      <c r="L1504" t="s">
        <v>23</v>
      </c>
      <c r="M1504" t="s">
        <v>4492</v>
      </c>
      <c r="N1504" t="s">
        <v>4493</v>
      </c>
      <c r="O1504" t="s">
        <v>43</v>
      </c>
      <c r="P1504">
        <v>97116</v>
      </c>
      <c r="Q1504">
        <v>3203</v>
      </c>
      <c r="R1504" t="s">
        <v>23</v>
      </c>
      <c r="S1504" s="1" t="s">
        <v>34218</v>
      </c>
    </row>
    <row r="1505" spans="1:19" x14ac:dyDescent="0.25">
      <c r="A1505">
        <v>101170504</v>
      </c>
      <c r="B1505" t="s">
        <v>2032</v>
      </c>
      <c r="C1505" t="s">
        <v>535</v>
      </c>
      <c r="F1505" t="str">
        <f>"5555555555"</f>
        <v>5555555555</v>
      </c>
      <c r="G1505" t="s">
        <v>4494</v>
      </c>
      <c r="H1505" t="s">
        <v>4495</v>
      </c>
      <c r="I1505" t="s">
        <v>22</v>
      </c>
      <c r="J1505">
        <v>91020</v>
      </c>
      <c r="K1505">
        <v>1286</v>
      </c>
      <c r="L1505" t="s">
        <v>23</v>
      </c>
      <c r="M1505" t="s">
        <v>4494</v>
      </c>
      <c r="N1505" t="s">
        <v>4495</v>
      </c>
      <c r="O1505" t="s">
        <v>22</v>
      </c>
      <c r="P1505">
        <v>91020</v>
      </c>
      <c r="Q1505">
        <v>1286</v>
      </c>
      <c r="R1505" t="s">
        <v>23</v>
      </c>
      <c r="S1505" s="1" t="s">
        <v>34218</v>
      </c>
    </row>
    <row r="1506" spans="1:19" x14ac:dyDescent="0.25">
      <c r="A1506">
        <v>101236753</v>
      </c>
      <c r="B1506" t="s">
        <v>4496</v>
      </c>
      <c r="C1506" t="s">
        <v>4124</v>
      </c>
      <c r="F1506" t="str">
        <f>"9047013350"</f>
        <v>9047013350</v>
      </c>
      <c r="G1506" t="s">
        <v>4497</v>
      </c>
      <c r="H1506" t="s">
        <v>143</v>
      </c>
      <c r="I1506" t="s">
        <v>52</v>
      </c>
      <c r="J1506">
        <v>32233</v>
      </c>
      <c r="K1506">
        <v>2275</v>
      </c>
      <c r="L1506" t="s">
        <v>23</v>
      </c>
      <c r="M1506" t="s">
        <v>4497</v>
      </c>
      <c r="N1506" t="s">
        <v>143</v>
      </c>
      <c r="O1506" t="s">
        <v>52</v>
      </c>
      <c r="P1506">
        <v>32233</v>
      </c>
      <c r="Q1506">
        <v>2275</v>
      </c>
      <c r="R1506" t="s">
        <v>23</v>
      </c>
      <c r="S1506" s="1" t="s">
        <v>34218</v>
      </c>
    </row>
    <row r="1507" spans="1:19" x14ac:dyDescent="0.25">
      <c r="A1507">
        <v>101236798</v>
      </c>
      <c r="B1507" t="s">
        <v>4498</v>
      </c>
      <c r="C1507" t="s">
        <v>4499</v>
      </c>
      <c r="F1507" t="str">
        <f>"4156488680"</f>
        <v>4156488680</v>
      </c>
      <c r="G1507" t="s">
        <v>4500</v>
      </c>
      <c r="H1507" t="s">
        <v>130</v>
      </c>
      <c r="I1507" t="s">
        <v>22</v>
      </c>
      <c r="J1507">
        <v>94131</v>
      </c>
      <c r="K1507">
        <v>2005</v>
      </c>
      <c r="L1507" t="s">
        <v>23</v>
      </c>
      <c r="M1507" t="s">
        <v>4500</v>
      </c>
      <c r="N1507" t="s">
        <v>130</v>
      </c>
      <c r="O1507" t="s">
        <v>22</v>
      </c>
      <c r="P1507">
        <v>94131</v>
      </c>
      <c r="Q1507">
        <v>2005</v>
      </c>
      <c r="R1507" t="s">
        <v>23</v>
      </c>
      <c r="S1507" s="1" t="s">
        <v>34218</v>
      </c>
    </row>
    <row r="1508" spans="1:19" x14ac:dyDescent="0.25">
      <c r="A1508">
        <v>101242398</v>
      </c>
      <c r="B1508" t="s">
        <v>4501</v>
      </c>
      <c r="C1508" t="s">
        <v>4502</v>
      </c>
      <c r="F1508" t="str">
        <f>"5102232801"</f>
        <v>5102232801</v>
      </c>
      <c r="G1508" t="s">
        <v>4503</v>
      </c>
      <c r="H1508" t="s">
        <v>3466</v>
      </c>
      <c r="I1508" t="s">
        <v>22</v>
      </c>
      <c r="J1508">
        <v>94803</v>
      </c>
      <c r="K1508">
        <v>3501</v>
      </c>
      <c r="L1508" t="s">
        <v>23</v>
      </c>
      <c r="M1508" t="s">
        <v>4503</v>
      </c>
      <c r="N1508" t="s">
        <v>3466</v>
      </c>
      <c r="O1508" t="s">
        <v>22</v>
      </c>
      <c r="P1508">
        <v>94803</v>
      </c>
      <c r="Q1508">
        <v>3501</v>
      </c>
      <c r="R1508" t="s">
        <v>23</v>
      </c>
      <c r="S1508" s="1" t="s">
        <v>34218</v>
      </c>
    </row>
    <row r="1509" spans="1:19" x14ac:dyDescent="0.25">
      <c r="A1509">
        <v>101242461</v>
      </c>
      <c r="B1509" t="s">
        <v>4504</v>
      </c>
      <c r="C1509" t="s">
        <v>1384</v>
      </c>
      <c r="F1509" t="str">
        <f>"9732208917"</f>
        <v>9732208917</v>
      </c>
      <c r="G1509" t="s">
        <v>4505</v>
      </c>
      <c r="H1509" t="s">
        <v>4506</v>
      </c>
      <c r="I1509" t="s">
        <v>250</v>
      </c>
      <c r="J1509">
        <v>7512</v>
      </c>
      <c r="K1509">
        <v>2107</v>
      </c>
      <c r="L1509" t="s">
        <v>23</v>
      </c>
      <c r="M1509" t="s">
        <v>4505</v>
      </c>
      <c r="N1509" t="s">
        <v>4506</v>
      </c>
      <c r="O1509" t="s">
        <v>250</v>
      </c>
      <c r="P1509">
        <v>7512</v>
      </c>
      <c r="Q1509">
        <v>2107</v>
      </c>
      <c r="R1509" t="s">
        <v>23</v>
      </c>
      <c r="S1509" s="1" t="s">
        <v>34218</v>
      </c>
    </row>
    <row r="1510" spans="1:19" x14ac:dyDescent="0.25">
      <c r="A1510">
        <v>101244066</v>
      </c>
      <c r="B1510" t="s">
        <v>4507</v>
      </c>
      <c r="C1510" t="s">
        <v>1463</v>
      </c>
      <c r="F1510" t="str">
        <f>"2488820275"</f>
        <v>2488820275</v>
      </c>
      <c r="G1510" t="s">
        <v>4508</v>
      </c>
      <c r="H1510" t="s">
        <v>4509</v>
      </c>
      <c r="I1510" t="s">
        <v>140</v>
      </c>
      <c r="J1510">
        <v>48017</v>
      </c>
      <c r="K1510">
        <v>1021</v>
      </c>
      <c r="L1510" t="s">
        <v>23</v>
      </c>
      <c r="M1510" t="s">
        <v>4508</v>
      </c>
      <c r="N1510" t="s">
        <v>4509</v>
      </c>
      <c r="O1510" t="s">
        <v>140</v>
      </c>
      <c r="P1510">
        <v>48017</v>
      </c>
      <c r="Q1510">
        <v>1021</v>
      </c>
      <c r="R1510" t="s">
        <v>23</v>
      </c>
      <c r="S1510" s="1" t="s">
        <v>34218</v>
      </c>
    </row>
    <row r="1511" spans="1:19" x14ac:dyDescent="0.25">
      <c r="A1511">
        <v>101250359</v>
      </c>
      <c r="B1511" t="s">
        <v>4510</v>
      </c>
      <c r="C1511" t="s">
        <v>123</v>
      </c>
      <c r="F1511" t="str">
        <f>"5306158965"</f>
        <v>5306158965</v>
      </c>
      <c r="G1511" t="s">
        <v>4511</v>
      </c>
      <c r="H1511" t="s">
        <v>2674</v>
      </c>
      <c r="I1511" t="s">
        <v>22</v>
      </c>
      <c r="J1511">
        <v>95945</v>
      </c>
      <c r="K1511">
        <v>4156</v>
      </c>
      <c r="L1511" t="s">
        <v>23</v>
      </c>
      <c r="M1511" t="s">
        <v>4511</v>
      </c>
      <c r="N1511" t="s">
        <v>2674</v>
      </c>
      <c r="O1511" t="s">
        <v>22</v>
      </c>
      <c r="P1511">
        <v>95945</v>
      </c>
      <c r="Q1511">
        <v>4156</v>
      </c>
      <c r="R1511" t="s">
        <v>23</v>
      </c>
      <c r="S1511" s="1" t="s">
        <v>34218</v>
      </c>
    </row>
    <row r="1512" spans="1:19" x14ac:dyDescent="0.25">
      <c r="A1512">
        <v>100991726</v>
      </c>
      <c r="B1512" t="s">
        <v>1124</v>
      </c>
      <c r="C1512" t="s">
        <v>4512</v>
      </c>
      <c r="F1512" t="str">
        <f>"9314380078"</f>
        <v>9314380078</v>
      </c>
      <c r="G1512" t="s">
        <v>4513</v>
      </c>
      <c r="H1512" t="s">
        <v>4514</v>
      </c>
      <c r="I1512" t="s">
        <v>914</v>
      </c>
      <c r="J1512">
        <v>37334</v>
      </c>
      <c r="K1512">
        <v>2934</v>
      </c>
      <c r="L1512" t="s">
        <v>23</v>
      </c>
      <c r="M1512" t="s">
        <v>4513</v>
      </c>
      <c r="N1512" t="s">
        <v>4514</v>
      </c>
      <c r="O1512" t="s">
        <v>914</v>
      </c>
      <c r="P1512">
        <v>37334</v>
      </c>
      <c r="Q1512">
        <v>2934</v>
      </c>
      <c r="R1512" t="s">
        <v>23</v>
      </c>
      <c r="S1512" s="1" t="s">
        <v>34218</v>
      </c>
    </row>
    <row r="1513" spans="1:19" x14ac:dyDescent="0.25">
      <c r="A1513">
        <v>100616926</v>
      </c>
      <c r="B1513" t="s">
        <v>4515</v>
      </c>
      <c r="C1513" t="s">
        <v>167</v>
      </c>
      <c r="F1513" t="str">
        <f>"2535555555"</f>
        <v>2535555555</v>
      </c>
      <c r="G1513" t="s">
        <v>4516</v>
      </c>
      <c r="H1513" t="s">
        <v>1396</v>
      </c>
      <c r="I1513" t="s">
        <v>84</v>
      </c>
      <c r="J1513">
        <v>98001</v>
      </c>
      <c r="K1513">
        <v>5282</v>
      </c>
      <c r="L1513" t="s">
        <v>23</v>
      </c>
      <c r="M1513" t="s">
        <v>4516</v>
      </c>
      <c r="N1513" t="s">
        <v>1396</v>
      </c>
      <c r="O1513" t="s">
        <v>84</v>
      </c>
      <c r="P1513">
        <v>98001</v>
      </c>
      <c r="Q1513">
        <v>5282</v>
      </c>
      <c r="R1513" t="s">
        <v>23</v>
      </c>
      <c r="S1513" s="1" t="s">
        <v>34218</v>
      </c>
    </row>
    <row r="1514" spans="1:19" x14ac:dyDescent="0.25">
      <c r="A1514">
        <v>100615745</v>
      </c>
      <c r="B1514" t="s">
        <v>4517</v>
      </c>
      <c r="C1514" t="s">
        <v>1588</v>
      </c>
      <c r="F1514" t="str">
        <f>"3012926675"</f>
        <v>3012926675</v>
      </c>
      <c r="G1514" t="s">
        <v>4518</v>
      </c>
      <c r="H1514" t="s">
        <v>4519</v>
      </c>
      <c r="I1514" t="s">
        <v>148</v>
      </c>
      <c r="J1514">
        <v>20744</v>
      </c>
      <c r="K1514">
        <v>6513</v>
      </c>
      <c r="L1514" t="s">
        <v>23</v>
      </c>
      <c r="M1514" t="s">
        <v>4518</v>
      </c>
      <c r="N1514" t="s">
        <v>4519</v>
      </c>
      <c r="O1514" t="s">
        <v>148</v>
      </c>
      <c r="P1514">
        <v>20744</v>
      </c>
      <c r="Q1514">
        <v>6513</v>
      </c>
      <c r="R1514" t="s">
        <v>23</v>
      </c>
      <c r="S1514" s="1" t="s">
        <v>34218</v>
      </c>
    </row>
    <row r="1515" spans="1:19" x14ac:dyDescent="0.25">
      <c r="A1515">
        <v>100821031</v>
      </c>
      <c r="B1515" t="s">
        <v>1800</v>
      </c>
      <c r="C1515" t="s">
        <v>874</v>
      </c>
      <c r="F1515" t="str">
        <f>"2183654343"</f>
        <v>2183654343</v>
      </c>
      <c r="G1515" t="s">
        <v>4520</v>
      </c>
      <c r="H1515" t="s">
        <v>4521</v>
      </c>
      <c r="I1515" t="s">
        <v>187</v>
      </c>
      <c r="J1515">
        <v>55731</v>
      </c>
      <c r="K1515">
        <v>8162</v>
      </c>
      <c r="L1515" t="s">
        <v>23</v>
      </c>
      <c r="M1515" t="s">
        <v>4520</v>
      </c>
      <c r="N1515" t="s">
        <v>4521</v>
      </c>
      <c r="O1515" t="s">
        <v>187</v>
      </c>
      <c r="P1515">
        <v>55731</v>
      </c>
      <c r="Q1515">
        <v>8162</v>
      </c>
      <c r="R1515" t="s">
        <v>23</v>
      </c>
      <c r="S1515" s="1" t="s">
        <v>34218</v>
      </c>
    </row>
    <row r="1516" spans="1:19" x14ac:dyDescent="0.25">
      <c r="A1516">
        <v>100592861</v>
      </c>
      <c r="B1516" t="s">
        <v>4522</v>
      </c>
      <c r="C1516" t="s">
        <v>803</v>
      </c>
      <c r="F1516" t="str">
        <f>"3145559937"</f>
        <v>3145559937</v>
      </c>
      <c r="G1516" t="s">
        <v>4523</v>
      </c>
      <c r="H1516" t="s">
        <v>2704</v>
      </c>
      <c r="I1516" t="s">
        <v>126</v>
      </c>
      <c r="J1516">
        <v>63038</v>
      </c>
      <c r="K1516">
        <v>2343</v>
      </c>
      <c r="L1516" t="s">
        <v>23</v>
      </c>
      <c r="M1516" t="s">
        <v>4523</v>
      </c>
      <c r="N1516" t="s">
        <v>2704</v>
      </c>
      <c r="O1516" t="s">
        <v>126</v>
      </c>
      <c r="P1516">
        <v>63038</v>
      </c>
      <c r="Q1516">
        <v>2343</v>
      </c>
      <c r="R1516" t="s">
        <v>23</v>
      </c>
      <c r="S1516" s="1" t="s">
        <v>34218</v>
      </c>
    </row>
    <row r="1517" spans="1:19" x14ac:dyDescent="0.25">
      <c r="A1517">
        <v>100643396</v>
      </c>
      <c r="B1517" t="s">
        <v>4212</v>
      </c>
      <c r="C1517" t="s">
        <v>217</v>
      </c>
      <c r="F1517" t="str">
        <f>"9197327641"</f>
        <v>9197327641</v>
      </c>
      <c r="G1517" t="s">
        <v>4524</v>
      </c>
      <c r="H1517" t="s">
        <v>4446</v>
      </c>
      <c r="I1517" t="s">
        <v>446</v>
      </c>
      <c r="J1517">
        <v>27278</v>
      </c>
      <c r="K1517">
        <v>2556</v>
      </c>
      <c r="L1517" t="s">
        <v>23</v>
      </c>
      <c r="M1517" t="s">
        <v>4524</v>
      </c>
      <c r="N1517" t="s">
        <v>4446</v>
      </c>
      <c r="O1517" t="s">
        <v>446</v>
      </c>
      <c r="P1517">
        <v>27278</v>
      </c>
      <c r="Q1517">
        <v>2556</v>
      </c>
      <c r="R1517" t="s">
        <v>23</v>
      </c>
      <c r="S1517" s="1" t="s">
        <v>34218</v>
      </c>
    </row>
    <row r="1518" spans="1:19" x14ac:dyDescent="0.25">
      <c r="A1518">
        <v>100852562</v>
      </c>
      <c r="B1518" t="s">
        <v>4525</v>
      </c>
      <c r="C1518" t="s">
        <v>557</v>
      </c>
      <c r="F1518" t="str">
        <f>"7176681491"</f>
        <v>7176681491</v>
      </c>
      <c r="G1518" t="s">
        <v>4526</v>
      </c>
      <c r="H1518" t="s">
        <v>4527</v>
      </c>
      <c r="I1518" t="s">
        <v>33</v>
      </c>
      <c r="J1518">
        <v>17404</v>
      </c>
      <c r="K1518">
        <v>2824</v>
      </c>
      <c r="L1518" t="s">
        <v>23</v>
      </c>
      <c r="M1518" t="s">
        <v>4526</v>
      </c>
      <c r="N1518" t="s">
        <v>4527</v>
      </c>
      <c r="O1518" t="s">
        <v>33</v>
      </c>
      <c r="P1518">
        <v>17404</v>
      </c>
      <c r="Q1518">
        <v>2824</v>
      </c>
      <c r="R1518" t="s">
        <v>23</v>
      </c>
      <c r="S1518" s="1" t="s">
        <v>34218</v>
      </c>
    </row>
    <row r="1519" spans="1:19" x14ac:dyDescent="0.25">
      <c r="A1519">
        <v>100718671</v>
      </c>
      <c r="B1519" t="s">
        <v>4528</v>
      </c>
      <c r="C1519" t="s">
        <v>1444</v>
      </c>
      <c r="F1519" t="str">
        <f>"7207376002"</f>
        <v>7207376002</v>
      </c>
      <c r="G1519" t="s">
        <v>4529</v>
      </c>
      <c r="H1519" t="s">
        <v>393</v>
      </c>
      <c r="I1519" t="s">
        <v>71</v>
      </c>
      <c r="J1519">
        <v>80209</v>
      </c>
      <c r="K1519">
        <v>4336</v>
      </c>
      <c r="L1519" t="s">
        <v>23</v>
      </c>
      <c r="M1519" t="s">
        <v>4529</v>
      </c>
      <c r="N1519" t="s">
        <v>393</v>
      </c>
      <c r="O1519" t="s">
        <v>71</v>
      </c>
      <c r="P1519">
        <v>80209</v>
      </c>
      <c r="Q1519">
        <v>4336</v>
      </c>
      <c r="R1519" t="s">
        <v>23</v>
      </c>
      <c r="S1519" s="1" t="s">
        <v>34218</v>
      </c>
    </row>
    <row r="1520" spans="1:19" x14ac:dyDescent="0.25">
      <c r="A1520">
        <v>100915415</v>
      </c>
      <c r="B1520" t="s">
        <v>4530</v>
      </c>
      <c r="C1520" t="s">
        <v>4531</v>
      </c>
      <c r="F1520" t="str">
        <f>"9182989164"</f>
        <v>9182989164</v>
      </c>
      <c r="G1520" t="s">
        <v>4532</v>
      </c>
      <c r="H1520" t="s">
        <v>1489</v>
      </c>
      <c r="I1520" t="s">
        <v>62</v>
      </c>
      <c r="J1520">
        <v>74137</v>
      </c>
      <c r="K1520">
        <v>3645</v>
      </c>
      <c r="L1520" t="s">
        <v>23</v>
      </c>
      <c r="M1520" t="s">
        <v>4532</v>
      </c>
      <c r="N1520" t="s">
        <v>1489</v>
      </c>
      <c r="O1520" t="s">
        <v>62</v>
      </c>
      <c r="P1520">
        <v>74137</v>
      </c>
      <c r="Q1520">
        <v>3645</v>
      </c>
      <c r="R1520" t="s">
        <v>23</v>
      </c>
      <c r="S1520" s="1" t="s">
        <v>34218</v>
      </c>
    </row>
    <row r="1521" spans="1:19" x14ac:dyDescent="0.25">
      <c r="A1521">
        <v>100918540</v>
      </c>
      <c r="B1521" t="s">
        <v>4533</v>
      </c>
      <c r="C1521" t="s">
        <v>1107</v>
      </c>
      <c r="F1521" t="str">
        <f>"9176858302"</f>
        <v>9176858302</v>
      </c>
      <c r="G1521" t="s">
        <v>4534</v>
      </c>
      <c r="H1521" t="s">
        <v>412</v>
      </c>
      <c r="I1521" t="s">
        <v>117</v>
      </c>
      <c r="J1521">
        <v>11228</v>
      </c>
      <c r="K1521">
        <v>2603</v>
      </c>
      <c r="L1521" t="s">
        <v>23</v>
      </c>
      <c r="M1521" t="s">
        <v>4534</v>
      </c>
      <c r="N1521" t="s">
        <v>412</v>
      </c>
      <c r="O1521" t="s">
        <v>117</v>
      </c>
      <c r="P1521">
        <v>11228</v>
      </c>
      <c r="Q1521">
        <v>2603</v>
      </c>
      <c r="R1521" t="s">
        <v>23</v>
      </c>
      <c r="S1521" s="1" t="s">
        <v>34218</v>
      </c>
    </row>
    <row r="1522" spans="1:19" x14ac:dyDescent="0.25">
      <c r="A1522">
        <v>100922804</v>
      </c>
      <c r="B1522" t="s">
        <v>4535</v>
      </c>
      <c r="C1522" t="s">
        <v>4435</v>
      </c>
      <c r="F1522" t="str">
        <f>"8059881048"</f>
        <v>8059881048</v>
      </c>
      <c r="G1522" t="s">
        <v>4536</v>
      </c>
      <c r="H1522" t="s">
        <v>2923</v>
      </c>
      <c r="I1522" t="s">
        <v>22</v>
      </c>
      <c r="J1522">
        <v>93036</v>
      </c>
      <c r="K1522">
        <v>6210</v>
      </c>
      <c r="L1522" t="s">
        <v>23</v>
      </c>
      <c r="M1522" t="s">
        <v>4536</v>
      </c>
      <c r="N1522" t="s">
        <v>2923</v>
      </c>
      <c r="O1522" t="s">
        <v>22</v>
      </c>
      <c r="P1522">
        <v>93036</v>
      </c>
      <c r="Q1522">
        <v>6210</v>
      </c>
      <c r="R1522" t="s">
        <v>23</v>
      </c>
      <c r="S1522" s="1" t="s">
        <v>34218</v>
      </c>
    </row>
    <row r="1523" spans="1:19" x14ac:dyDescent="0.25">
      <c r="A1523">
        <v>100925399</v>
      </c>
      <c r="B1523" t="s">
        <v>4537</v>
      </c>
      <c r="C1523" t="s">
        <v>1588</v>
      </c>
      <c r="F1523" t="str">
        <f>"2172434034"</f>
        <v>2172434034</v>
      </c>
      <c r="G1523" t="s">
        <v>4538</v>
      </c>
      <c r="H1523" t="s">
        <v>143</v>
      </c>
      <c r="I1523" t="s">
        <v>135</v>
      </c>
      <c r="J1523">
        <v>62650</v>
      </c>
      <c r="K1523">
        <v>2354</v>
      </c>
      <c r="L1523" t="s">
        <v>23</v>
      </c>
      <c r="M1523" t="s">
        <v>4538</v>
      </c>
      <c r="N1523" t="s">
        <v>143</v>
      </c>
      <c r="O1523" t="s">
        <v>135</v>
      </c>
      <c r="P1523">
        <v>62650</v>
      </c>
      <c r="Q1523">
        <v>2354</v>
      </c>
      <c r="R1523" t="s">
        <v>23</v>
      </c>
      <c r="S1523" s="1" t="s">
        <v>34218</v>
      </c>
    </row>
    <row r="1524" spans="1:19" x14ac:dyDescent="0.25">
      <c r="A1524">
        <v>100566744</v>
      </c>
      <c r="B1524" t="s">
        <v>1045</v>
      </c>
      <c r="C1524" t="s">
        <v>1737</v>
      </c>
      <c r="F1524" t="str">
        <f>"6785135682"</f>
        <v>6785135682</v>
      </c>
      <c r="G1524" t="s">
        <v>4539</v>
      </c>
      <c r="H1524" t="s">
        <v>4540</v>
      </c>
      <c r="I1524" t="s">
        <v>28</v>
      </c>
      <c r="J1524">
        <v>30041</v>
      </c>
      <c r="K1524">
        <v>9032</v>
      </c>
      <c r="L1524" t="s">
        <v>23</v>
      </c>
      <c r="M1524" t="s">
        <v>4539</v>
      </c>
      <c r="N1524" t="s">
        <v>4540</v>
      </c>
      <c r="O1524" t="s">
        <v>28</v>
      </c>
      <c r="P1524">
        <v>30041</v>
      </c>
      <c r="Q1524">
        <v>9032</v>
      </c>
      <c r="R1524" t="s">
        <v>23</v>
      </c>
      <c r="S1524" s="1" t="s">
        <v>34218</v>
      </c>
    </row>
    <row r="1525" spans="1:19" x14ac:dyDescent="0.25">
      <c r="A1525">
        <v>100971318</v>
      </c>
      <c r="B1525" t="s">
        <v>4541</v>
      </c>
      <c r="C1525" t="s">
        <v>4542</v>
      </c>
      <c r="F1525" t="str">
        <f>"8103854293"</f>
        <v>8103854293</v>
      </c>
      <c r="G1525" t="s">
        <v>4543</v>
      </c>
      <c r="H1525" t="s">
        <v>4544</v>
      </c>
      <c r="I1525" t="s">
        <v>140</v>
      </c>
      <c r="J1525">
        <v>48059</v>
      </c>
      <c r="K1525">
        <v>2815</v>
      </c>
      <c r="L1525" t="s">
        <v>23</v>
      </c>
      <c r="M1525" t="s">
        <v>4543</v>
      </c>
      <c r="N1525" t="s">
        <v>4544</v>
      </c>
      <c r="O1525" t="s">
        <v>140</v>
      </c>
      <c r="P1525">
        <v>48059</v>
      </c>
      <c r="Q1525">
        <v>2815</v>
      </c>
      <c r="R1525" t="s">
        <v>23</v>
      </c>
      <c r="S1525" s="1" t="s">
        <v>34218</v>
      </c>
    </row>
    <row r="1526" spans="1:19" x14ac:dyDescent="0.25">
      <c r="A1526">
        <v>100975814</v>
      </c>
      <c r="B1526" t="s">
        <v>465</v>
      </c>
      <c r="C1526" t="s">
        <v>4545</v>
      </c>
      <c r="F1526" t="str">
        <f>"4093566752"</f>
        <v>4093566752</v>
      </c>
      <c r="G1526" t="s">
        <v>4546</v>
      </c>
      <c r="H1526" t="s">
        <v>4547</v>
      </c>
      <c r="I1526" t="s">
        <v>38</v>
      </c>
      <c r="J1526">
        <v>77662</v>
      </c>
      <c r="K1526">
        <v>6311</v>
      </c>
      <c r="L1526" t="s">
        <v>23</v>
      </c>
      <c r="M1526" t="s">
        <v>4546</v>
      </c>
      <c r="N1526" t="s">
        <v>4547</v>
      </c>
      <c r="O1526" t="s">
        <v>38</v>
      </c>
      <c r="P1526">
        <v>77662</v>
      </c>
      <c r="Q1526">
        <v>6311</v>
      </c>
      <c r="R1526" t="s">
        <v>23</v>
      </c>
      <c r="S1526" s="1" t="s">
        <v>34218</v>
      </c>
    </row>
    <row r="1527" spans="1:19" x14ac:dyDescent="0.25">
      <c r="A1527">
        <v>100702548</v>
      </c>
      <c r="B1527" t="s">
        <v>4548</v>
      </c>
      <c r="C1527" t="s">
        <v>865</v>
      </c>
      <c r="F1527" t="str">
        <f>"9784668875"</f>
        <v>9784668875</v>
      </c>
      <c r="G1527" t="s">
        <v>4549</v>
      </c>
      <c r="H1527" t="s">
        <v>4550</v>
      </c>
      <c r="I1527" t="s">
        <v>236</v>
      </c>
      <c r="J1527">
        <v>1453</v>
      </c>
      <c r="K1527">
        <v>2849</v>
      </c>
      <c r="L1527" t="s">
        <v>23</v>
      </c>
      <c r="M1527" t="s">
        <v>4549</v>
      </c>
      <c r="N1527" t="s">
        <v>4550</v>
      </c>
      <c r="O1527" t="s">
        <v>236</v>
      </c>
      <c r="P1527">
        <v>1453</v>
      </c>
      <c r="Q1527">
        <v>2849</v>
      </c>
      <c r="R1527" t="s">
        <v>23</v>
      </c>
      <c r="S1527" s="1" t="s">
        <v>34218</v>
      </c>
    </row>
    <row r="1528" spans="1:19" x14ac:dyDescent="0.25">
      <c r="A1528">
        <v>101150397</v>
      </c>
      <c r="B1528" t="s">
        <v>4551</v>
      </c>
      <c r="C1528" t="s">
        <v>4552</v>
      </c>
      <c r="F1528" t="str">
        <f>"2243999531"</f>
        <v>2243999531</v>
      </c>
      <c r="G1528" t="s">
        <v>4553</v>
      </c>
      <c r="H1528" t="s">
        <v>2875</v>
      </c>
      <c r="I1528" t="s">
        <v>135</v>
      </c>
      <c r="J1528">
        <v>60031</v>
      </c>
      <c r="K1528">
        <v>3003</v>
      </c>
      <c r="L1528" t="s">
        <v>23</v>
      </c>
      <c r="M1528" t="s">
        <v>4553</v>
      </c>
      <c r="N1528" t="s">
        <v>2875</v>
      </c>
      <c r="O1528" t="s">
        <v>135</v>
      </c>
      <c r="P1528">
        <v>60031</v>
      </c>
      <c r="Q1528">
        <v>3003</v>
      </c>
      <c r="R1528" t="s">
        <v>23</v>
      </c>
      <c r="S1528" s="1" t="s">
        <v>34218</v>
      </c>
    </row>
    <row r="1529" spans="1:19" x14ac:dyDescent="0.25">
      <c r="A1529">
        <v>101141852</v>
      </c>
      <c r="B1529" t="s">
        <v>4554</v>
      </c>
      <c r="C1529" t="s">
        <v>4555</v>
      </c>
      <c r="F1529" t="str">
        <f>"2062421074"</f>
        <v>2062421074</v>
      </c>
      <c r="G1529" t="s">
        <v>4556</v>
      </c>
      <c r="H1529" t="s">
        <v>2445</v>
      </c>
      <c r="I1529" t="s">
        <v>84</v>
      </c>
      <c r="J1529">
        <v>98166</v>
      </c>
      <c r="K1529">
        <v>3137</v>
      </c>
      <c r="L1529" t="s">
        <v>23</v>
      </c>
      <c r="M1529" t="s">
        <v>4556</v>
      </c>
      <c r="N1529" t="s">
        <v>2445</v>
      </c>
      <c r="O1529" t="s">
        <v>84</v>
      </c>
      <c r="P1529">
        <v>98166</v>
      </c>
      <c r="Q1529">
        <v>3137</v>
      </c>
      <c r="R1529" t="s">
        <v>23</v>
      </c>
      <c r="S1529" s="1" t="s">
        <v>34218</v>
      </c>
    </row>
    <row r="1530" spans="1:19" x14ac:dyDescent="0.25">
      <c r="A1530">
        <v>101167060</v>
      </c>
      <c r="B1530" t="s">
        <v>4557</v>
      </c>
      <c r="C1530" t="s">
        <v>1506</v>
      </c>
      <c r="F1530" t="str">
        <f>"5183926250"</f>
        <v>5183926250</v>
      </c>
      <c r="G1530" t="s">
        <v>4558</v>
      </c>
      <c r="H1530" t="s">
        <v>4559</v>
      </c>
      <c r="I1530" t="s">
        <v>117</v>
      </c>
      <c r="J1530">
        <v>12037</v>
      </c>
      <c r="K1530">
        <v>1127</v>
      </c>
      <c r="L1530" t="s">
        <v>23</v>
      </c>
      <c r="M1530" t="s">
        <v>4558</v>
      </c>
      <c r="N1530" t="s">
        <v>4559</v>
      </c>
      <c r="O1530" t="s">
        <v>117</v>
      </c>
      <c r="P1530">
        <v>12037</v>
      </c>
      <c r="Q1530">
        <v>1127</v>
      </c>
      <c r="R1530" t="s">
        <v>23</v>
      </c>
      <c r="S1530" s="1" t="s">
        <v>34218</v>
      </c>
    </row>
    <row r="1531" spans="1:19" x14ac:dyDescent="0.25">
      <c r="A1531">
        <v>101170578</v>
      </c>
      <c r="B1531" t="s">
        <v>4560</v>
      </c>
      <c r="C1531" t="s">
        <v>2044</v>
      </c>
      <c r="F1531" t="str">
        <f>"9107919358"</f>
        <v>9107919358</v>
      </c>
      <c r="G1531" t="s">
        <v>4561</v>
      </c>
      <c r="H1531" t="s">
        <v>2309</v>
      </c>
      <c r="I1531" t="s">
        <v>446</v>
      </c>
      <c r="J1531">
        <v>28409</v>
      </c>
      <c r="K1531">
        <v>4533</v>
      </c>
      <c r="L1531" t="s">
        <v>23</v>
      </c>
      <c r="M1531" t="s">
        <v>4561</v>
      </c>
      <c r="N1531" t="s">
        <v>2309</v>
      </c>
      <c r="O1531" t="s">
        <v>446</v>
      </c>
      <c r="P1531">
        <v>28409</v>
      </c>
      <c r="Q1531">
        <v>4533</v>
      </c>
      <c r="R1531" t="s">
        <v>23</v>
      </c>
      <c r="S1531" s="1" t="s">
        <v>34218</v>
      </c>
    </row>
    <row r="1532" spans="1:19" x14ac:dyDescent="0.25">
      <c r="A1532">
        <v>101025063</v>
      </c>
      <c r="B1532" t="s">
        <v>4562</v>
      </c>
      <c r="C1532" t="s">
        <v>1598</v>
      </c>
      <c r="F1532" t="str">
        <f>"9292751185"</f>
        <v>9292751185</v>
      </c>
      <c r="G1532" t="s">
        <v>4563</v>
      </c>
      <c r="H1532" t="s">
        <v>412</v>
      </c>
      <c r="I1532" t="s">
        <v>117</v>
      </c>
      <c r="J1532">
        <v>11209</v>
      </c>
      <c r="K1532">
        <v>6226</v>
      </c>
      <c r="L1532" t="s">
        <v>23</v>
      </c>
      <c r="M1532" t="s">
        <v>4563</v>
      </c>
      <c r="N1532" t="s">
        <v>412</v>
      </c>
      <c r="O1532" t="s">
        <v>117</v>
      </c>
      <c r="P1532">
        <v>11209</v>
      </c>
      <c r="Q1532">
        <v>6226</v>
      </c>
      <c r="R1532" t="s">
        <v>23</v>
      </c>
      <c r="S1532" s="1" t="s">
        <v>34218</v>
      </c>
    </row>
    <row r="1533" spans="1:19" x14ac:dyDescent="0.25">
      <c r="A1533">
        <v>101247951</v>
      </c>
      <c r="B1533" t="s">
        <v>4564</v>
      </c>
      <c r="C1533" t="s">
        <v>4565</v>
      </c>
      <c r="F1533" t="str">
        <f>"2157821221"</f>
        <v>2157821221</v>
      </c>
      <c r="G1533" t="s">
        <v>4566</v>
      </c>
      <c r="H1533" t="s">
        <v>4567</v>
      </c>
      <c r="I1533" t="s">
        <v>33</v>
      </c>
      <c r="J1533">
        <v>19027</v>
      </c>
      <c r="K1533">
        <v>3048</v>
      </c>
      <c r="L1533" t="s">
        <v>23</v>
      </c>
      <c r="M1533" t="s">
        <v>4566</v>
      </c>
      <c r="N1533" t="s">
        <v>4567</v>
      </c>
      <c r="O1533" t="s">
        <v>33</v>
      </c>
      <c r="P1533">
        <v>19027</v>
      </c>
      <c r="Q1533">
        <v>3048</v>
      </c>
      <c r="R1533" t="s">
        <v>23</v>
      </c>
      <c r="S1533" s="1" t="s">
        <v>34218</v>
      </c>
    </row>
    <row r="1534" spans="1:19" x14ac:dyDescent="0.25">
      <c r="A1534">
        <v>101049209</v>
      </c>
      <c r="B1534" t="s">
        <v>4568</v>
      </c>
      <c r="C1534" t="s">
        <v>894</v>
      </c>
      <c r="F1534" t="str">
        <f>"9414972534"</f>
        <v>9414972534</v>
      </c>
      <c r="G1534" t="s">
        <v>4569</v>
      </c>
      <c r="H1534" t="s">
        <v>4570</v>
      </c>
      <c r="I1534" t="s">
        <v>52</v>
      </c>
      <c r="J1534">
        <v>34293</v>
      </c>
      <c r="K1534">
        <v>5781</v>
      </c>
      <c r="L1534" t="s">
        <v>23</v>
      </c>
      <c r="M1534" t="s">
        <v>4569</v>
      </c>
      <c r="N1534" t="s">
        <v>4570</v>
      </c>
      <c r="O1534" t="s">
        <v>52</v>
      </c>
      <c r="P1534">
        <v>34293</v>
      </c>
      <c r="Q1534">
        <v>5781</v>
      </c>
      <c r="R1534" t="s">
        <v>23</v>
      </c>
      <c r="S1534" s="1" t="s">
        <v>34218</v>
      </c>
    </row>
    <row r="1535" spans="1:19" x14ac:dyDescent="0.25">
      <c r="A1535">
        <v>101277354</v>
      </c>
      <c r="B1535" t="s">
        <v>4571</v>
      </c>
      <c r="C1535" t="s">
        <v>1376</v>
      </c>
      <c r="F1535" t="str">
        <f>"6169845104"</f>
        <v>6169845104</v>
      </c>
      <c r="G1535" t="s">
        <v>4572</v>
      </c>
      <c r="H1535" t="s">
        <v>4573</v>
      </c>
      <c r="I1535" t="s">
        <v>140</v>
      </c>
      <c r="J1535">
        <v>49347</v>
      </c>
      <c r="K1535">
        <v>9756</v>
      </c>
      <c r="L1535" t="s">
        <v>23</v>
      </c>
      <c r="M1535" t="s">
        <v>4572</v>
      </c>
      <c r="N1535" t="s">
        <v>4573</v>
      </c>
      <c r="O1535" t="s">
        <v>140</v>
      </c>
      <c r="P1535">
        <v>49347</v>
      </c>
      <c r="Q1535">
        <v>9756</v>
      </c>
      <c r="R1535" t="s">
        <v>23</v>
      </c>
      <c r="S1535" s="1" t="s">
        <v>34218</v>
      </c>
    </row>
    <row r="1536" spans="1:19" x14ac:dyDescent="0.25">
      <c r="A1536">
        <v>101291956</v>
      </c>
      <c r="B1536" t="s">
        <v>2606</v>
      </c>
      <c r="C1536" t="s">
        <v>1153</v>
      </c>
      <c r="F1536" t="str">
        <f>"8147297529"</f>
        <v>8147297529</v>
      </c>
      <c r="G1536" t="s">
        <v>4574</v>
      </c>
      <c r="H1536" t="s">
        <v>4575</v>
      </c>
      <c r="I1536" t="s">
        <v>33</v>
      </c>
      <c r="J1536">
        <v>16673</v>
      </c>
      <c r="K1536">
        <v>8717</v>
      </c>
      <c r="L1536" t="s">
        <v>23</v>
      </c>
      <c r="M1536" t="s">
        <v>4574</v>
      </c>
      <c r="N1536" t="s">
        <v>4575</v>
      </c>
      <c r="O1536" t="s">
        <v>33</v>
      </c>
      <c r="P1536">
        <v>16673</v>
      </c>
      <c r="Q1536">
        <v>8717</v>
      </c>
      <c r="R1536" t="s">
        <v>23</v>
      </c>
      <c r="S1536" s="1" t="s">
        <v>34218</v>
      </c>
    </row>
    <row r="1537" spans="1:19" x14ac:dyDescent="0.25">
      <c r="A1537">
        <v>101084604</v>
      </c>
      <c r="B1537" t="s">
        <v>744</v>
      </c>
      <c r="C1537" t="s">
        <v>199</v>
      </c>
      <c r="F1537" t="str">
        <f>"9377650388"</f>
        <v>9377650388</v>
      </c>
      <c r="G1537" t="s">
        <v>4576</v>
      </c>
      <c r="H1537" t="s">
        <v>4577</v>
      </c>
      <c r="I1537" t="s">
        <v>178</v>
      </c>
      <c r="J1537">
        <v>45344</v>
      </c>
      <c r="K1537">
        <v>9011</v>
      </c>
      <c r="L1537" t="s">
        <v>23</v>
      </c>
      <c r="M1537" t="s">
        <v>4576</v>
      </c>
      <c r="N1537" t="s">
        <v>4577</v>
      </c>
      <c r="O1537" t="s">
        <v>178</v>
      </c>
      <c r="P1537">
        <v>45344</v>
      </c>
      <c r="Q1537">
        <v>9011</v>
      </c>
      <c r="R1537" t="s">
        <v>23</v>
      </c>
      <c r="S1537" s="1" t="s">
        <v>34218</v>
      </c>
    </row>
    <row r="1538" spans="1:19" x14ac:dyDescent="0.25">
      <c r="A1538">
        <v>101316814</v>
      </c>
      <c r="B1538" t="s">
        <v>286</v>
      </c>
      <c r="C1538" t="s">
        <v>4578</v>
      </c>
      <c r="F1538" t="str">
        <f>"8456794388"</f>
        <v>8456794388</v>
      </c>
      <c r="G1538" t="s">
        <v>4579</v>
      </c>
      <c r="H1538" t="s">
        <v>4580</v>
      </c>
      <c r="I1538" t="s">
        <v>117</v>
      </c>
      <c r="J1538">
        <v>12477</v>
      </c>
      <c r="K1538">
        <v>3123</v>
      </c>
      <c r="L1538" t="s">
        <v>23</v>
      </c>
      <c r="M1538" t="s">
        <v>4579</v>
      </c>
      <c r="N1538" t="s">
        <v>4580</v>
      </c>
      <c r="O1538" t="s">
        <v>117</v>
      </c>
      <c r="P1538">
        <v>12477</v>
      </c>
      <c r="Q1538">
        <v>3123</v>
      </c>
      <c r="R1538" t="s">
        <v>23</v>
      </c>
      <c r="S1538" s="1" t="s">
        <v>34218</v>
      </c>
    </row>
    <row r="1539" spans="1:19" x14ac:dyDescent="0.25">
      <c r="A1539">
        <v>101133907</v>
      </c>
      <c r="B1539" t="s">
        <v>3881</v>
      </c>
      <c r="C1539" t="s">
        <v>2127</v>
      </c>
      <c r="F1539" t="str">
        <f>"3522166238"</f>
        <v>3522166238</v>
      </c>
      <c r="G1539" t="s">
        <v>4581</v>
      </c>
      <c r="H1539" t="s">
        <v>1250</v>
      </c>
      <c r="I1539" t="s">
        <v>52</v>
      </c>
      <c r="J1539">
        <v>34470</v>
      </c>
      <c r="K1539">
        <v>4938</v>
      </c>
      <c r="L1539" t="s">
        <v>23</v>
      </c>
      <c r="M1539" t="s">
        <v>4581</v>
      </c>
      <c r="N1539" t="s">
        <v>1250</v>
      </c>
      <c r="O1539" t="s">
        <v>52</v>
      </c>
      <c r="P1539">
        <v>34470</v>
      </c>
      <c r="Q1539">
        <v>4938</v>
      </c>
      <c r="R1539" t="s">
        <v>23</v>
      </c>
      <c r="S1539" s="1" t="s">
        <v>34218</v>
      </c>
    </row>
    <row r="1540" spans="1:19" x14ac:dyDescent="0.25">
      <c r="A1540">
        <v>101147712</v>
      </c>
      <c r="B1540" t="s">
        <v>4582</v>
      </c>
      <c r="C1540" t="s">
        <v>4583</v>
      </c>
      <c r="F1540" t="str">
        <f>"8159414590"</f>
        <v>8159414590</v>
      </c>
      <c r="G1540" t="s">
        <v>4584</v>
      </c>
      <c r="H1540" t="s">
        <v>4585</v>
      </c>
      <c r="I1540" t="s">
        <v>135</v>
      </c>
      <c r="J1540">
        <v>60410</v>
      </c>
      <c r="K1540">
        <v>5369</v>
      </c>
      <c r="L1540" t="s">
        <v>23</v>
      </c>
      <c r="M1540" t="s">
        <v>4584</v>
      </c>
      <c r="N1540" t="s">
        <v>4585</v>
      </c>
      <c r="O1540" t="s">
        <v>135</v>
      </c>
      <c r="P1540">
        <v>60410</v>
      </c>
      <c r="Q1540">
        <v>5369</v>
      </c>
      <c r="R1540" t="s">
        <v>23</v>
      </c>
      <c r="S1540" s="1" t="s">
        <v>34218</v>
      </c>
    </row>
    <row r="1541" spans="1:19" x14ac:dyDescent="0.25">
      <c r="A1541">
        <v>101390132</v>
      </c>
      <c r="B1541" t="s">
        <v>4586</v>
      </c>
      <c r="C1541" t="s">
        <v>4587</v>
      </c>
      <c r="F1541" t="str">
        <f>"8107357901"</f>
        <v>8107357901</v>
      </c>
      <c r="G1541" t="s">
        <v>4588</v>
      </c>
      <c r="H1541" t="s">
        <v>4589</v>
      </c>
      <c r="I1541" t="s">
        <v>140</v>
      </c>
      <c r="J1541">
        <v>48430</v>
      </c>
      <c r="K1541">
        <v>9014</v>
      </c>
      <c r="L1541" t="s">
        <v>23</v>
      </c>
      <c r="M1541" t="s">
        <v>4588</v>
      </c>
      <c r="N1541" t="s">
        <v>4589</v>
      </c>
      <c r="O1541" t="s">
        <v>140</v>
      </c>
      <c r="P1541">
        <v>48430</v>
      </c>
      <c r="Q1541">
        <v>9014</v>
      </c>
      <c r="R1541" t="s">
        <v>23</v>
      </c>
      <c r="S1541" s="1" t="s">
        <v>34218</v>
      </c>
    </row>
    <row r="1542" spans="1:19" x14ac:dyDescent="0.25">
      <c r="A1542">
        <v>101070931</v>
      </c>
      <c r="B1542" t="s">
        <v>4590</v>
      </c>
      <c r="C1542" t="s">
        <v>294</v>
      </c>
      <c r="F1542" t="str">
        <f>"4106650881"</f>
        <v>4106650881</v>
      </c>
      <c r="G1542" t="s">
        <v>4591</v>
      </c>
      <c r="H1542" t="s">
        <v>4592</v>
      </c>
      <c r="I1542" t="s">
        <v>148</v>
      </c>
      <c r="J1542">
        <v>21234</v>
      </c>
      <c r="K1542">
        <v>4258</v>
      </c>
      <c r="L1542" t="s">
        <v>23</v>
      </c>
      <c r="M1542" t="s">
        <v>4591</v>
      </c>
      <c r="N1542" t="s">
        <v>4592</v>
      </c>
      <c r="O1542" t="s">
        <v>148</v>
      </c>
      <c r="P1542">
        <v>21234</v>
      </c>
      <c r="Q1542">
        <v>4258</v>
      </c>
      <c r="R1542" t="s">
        <v>23</v>
      </c>
      <c r="S1542" s="1" t="s">
        <v>34218</v>
      </c>
    </row>
    <row r="1543" spans="1:19" x14ac:dyDescent="0.25">
      <c r="A1543">
        <v>101088280</v>
      </c>
      <c r="B1543" t="s">
        <v>4593</v>
      </c>
      <c r="C1543" t="s">
        <v>4594</v>
      </c>
      <c r="F1543" t="str">
        <f>"3102544665"</f>
        <v>3102544665</v>
      </c>
      <c r="G1543" t="s">
        <v>4595</v>
      </c>
      <c r="H1543" t="s">
        <v>299</v>
      </c>
      <c r="I1543" t="s">
        <v>22</v>
      </c>
      <c r="J1543">
        <v>90034</v>
      </c>
      <c r="K1543">
        <v>1841</v>
      </c>
      <c r="L1543" t="s">
        <v>23</v>
      </c>
      <c r="M1543" t="s">
        <v>4595</v>
      </c>
      <c r="N1543" t="s">
        <v>299</v>
      </c>
      <c r="O1543" t="s">
        <v>22</v>
      </c>
      <c r="P1543">
        <v>90034</v>
      </c>
      <c r="Q1543">
        <v>1841</v>
      </c>
      <c r="R1543" t="s">
        <v>23</v>
      </c>
      <c r="S1543" s="1" t="s">
        <v>34218</v>
      </c>
    </row>
    <row r="1544" spans="1:19" x14ac:dyDescent="0.25">
      <c r="A1544">
        <v>101317456</v>
      </c>
      <c r="B1544" t="s">
        <v>3956</v>
      </c>
      <c r="C1544" t="s">
        <v>2044</v>
      </c>
      <c r="F1544" t="str">
        <f>"6024223609"</f>
        <v>6024223609</v>
      </c>
      <c r="G1544" t="s">
        <v>4596</v>
      </c>
      <c r="H1544" t="s">
        <v>471</v>
      </c>
      <c r="I1544" t="s">
        <v>365</v>
      </c>
      <c r="J1544">
        <v>85254</v>
      </c>
      <c r="K1544">
        <v>4559</v>
      </c>
      <c r="L1544" t="s">
        <v>23</v>
      </c>
      <c r="M1544" t="s">
        <v>4596</v>
      </c>
      <c r="N1544" t="s">
        <v>471</v>
      </c>
      <c r="O1544" t="s">
        <v>365</v>
      </c>
      <c r="P1544">
        <v>85254</v>
      </c>
      <c r="Q1544">
        <v>4559</v>
      </c>
      <c r="R1544" t="s">
        <v>23</v>
      </c>
      <c r="S1544" s="1" t="s">
        <v>34218</v>
      </c>
    </row>
    <row r="1545" spans="1:19" x14ac:dyDescent="0.25">
      <c r="A1545">
        <v>100968766</v>
      </c>
      <c r="B1545" t="s">
        <v>4597</v>
      </c>
      <c r="C1545" t="s">
        <v>4598</v>
      </c>
      <c r="F1545" t="str">
        <f>"8027638766"</f>
        <v>8027638766</v>
      </c>
      <c r="G1545" t="s">
        <v>4599</v>
      </c>
      <c r="H1545" t="s">
        <v>4600</v>
      </c>
      <c r="I1545" t="s">
        <v>307</v>
      </c>
      <c r="J1545">
        <v>5068</v>
      </c>
      <c r="K1545">
        <v>5316</v>
      </c>
      <c r="L1545" t="s">
        <v>23</v>
      </c>
      <c r="M1545" t="s">
        <v>4599</v>
      </c>
      <c r="N1545" t="s">
        <v>4600</v>
      </c>
      <c r="O1545" t="s">
        <v>307</v>
      </c>
      <c r="P1545">
        <v>5068</v>
      </c>
      <c r="Q1545">
        <v>5316</v>
      </c>
      <c r="R1545" t="s">
        <v>23</v>
      </c>
      <c r="S1545" s="1" t="s">
        <v>34218</v>
      </c>
    </row>
    <row r="1546" spans="1:19" x14ac:dyDescent="0.25">
      <c r="A1546">
        <v>100977477</v>
      </c>
      <c r="B1546" t="s">
        <v>4601</v>
      </c>
      <c r="C1546" t="s">
        <v>4602</v>
      </c>
      <c r="F1546" t="str">
        <f>"6317650000"</f>
        <v>6317650000</v>
      </c>
      <c r="G1546" t="s">
        <v>4603</v>
      </c>
      <c r="H1546" t="s">
        <v>4604</v>
      </c>
      <c r="I1546" t="s">
        <v>117</v>
      </c>
      <c r="J1546">
        <v>11958</v>
      </c>
      <c r="K1546">
        <v>456</v>
      </c>
      <c r="L1546" t="s">
        <v>23</v>
      </c>
      <c r="M1546" t="s">
        <v>4603</v>
      </c>
      <c r="N1546" t="s">
        <v>4604</v>
      </c>
      <c r="O1546" t="s">
        <v>117</v>
      </c>
      <c r="P1546">
        <v>11958</v>
      </c>
      <c r="Q1546">
        <v>456</v>
      </c>
      <c r="R1546" t="s">
        <v>23</v>
      </c>
      <c r="S1546" s="1" t="s">
        <v>34218</v>
      </c>
    </row>
    <row r="1547" spans="1:19" x14ac:dyDescent="0.25">
      <c r="A1547">
        <v>101178623</v>
      </c>
      <c r="B1547" t="s">
        <v>276</v>
      </c>
      <c r="C1547" t="s">
        <v>3058</v>
      </c>
      <c r="F1547" t="str">
        <f>"8082651854"</f>
        <v>8082651854</v>
      </c>
      <c r="G1547" t="s">
        <v>4605</v>
      </c>
      <c r="H1547" t="s">
        <v>4606</v>
      </c>
      <c r="I1547" t="s">
        <v>984</v>
      </c>
      <c r="J1547">
        <v>96766</v>
      </c>
      <c r="K1547">
        <v>2135</v>
      </c>
      <c r="L1547" t="s">
        <v>23</v>
      </c>
      <c r="M1547" t="s">
        <v>4605</v>
      </c>
      <c r="N1547" t="s">
        <v>4606</v>
      </c>
      <c r="O1547" t="s">
        <v>984</v>
      </c>
      <c r="P1547">
        <v>96766</v>
      </c>
      <c r="Q1547">
        <v>2135</v>
      </c>
      <c r="R1547" t="s">
        <v>23</v>
      </c>
      <c r="S1547" s="1" t="s">
        <v>34218</v>
      </c>
    </row>
    <row r="1548" spans="1:19" x14ac:dyDescent="0.25">
      <c r="A1548">
        <v>101175041</v>
      </c>
      <c r="B1548" t="s">
        <v>4607</v>
      </c>
      <c r="C1548" t="s">
        <v>554</v>
      </c>
      <c r="F1548" t="str">
        <f>"5206631535"</f>
        <v>5206631535</v>
      </c>
      <c r="G1548" t="s">
        <v>4608</v>
      </c>
      <c r="H1548" t="s">
        <v>1439</v>
      </c>
      <c r="I1548" t="s">
        <v>365</v>
      </c>
      <c r="J1548">
        <v>85756</v>
      </c>
      <c r="K1548">
        <v>9736</v>
      </c>
      <c r="L1548" t="s">
        <v>23</v>
      </c>
      <c r="M1548" t="s">
        <v>4608</v>
      </c>
      <c r="N1548" t="s">
        <v>1439</v>
      </c>
      <c r="O1548" t="s">
        <v>365</v>
      </c>
      <c r="P1548">
        <v>85756</v>
      </c>
      <c r="Q1548">
        <v>9736</v>
      </c>
      <c r="R1548" t="s">
        <v>23</v>
      </c>
      <c r="S1548" s="1" t="s">
        <v>34218</v>
      </c>
    </row>
    <row r="1549" spans="1:19" x14ac:dyDescent="0.25">
      <c r="A1549">
        <v>101193773</v>
      </c>
      <c r="B1549" t="s">
        <v>4609</v>
      </c>
      <c r="C1549" t="s">
        <v>167</v>
      </c>
      <c r="F1549" t="str">
        <f>"6302055459"</f>
        <v>6302055459</v>
      </c>
      <c r="G1549" t="s">
        <v>4610</v>
      </c>
      <c r="H1549" t="s">
        <v>4611</v>
      </c>
      <c r="I1549" t="s">
        <v>135</v>
      </c>
      <c r="J1549">
        <v>60137</v>
      </c>
      <c r="K1549">
        <v>3692</v>
      </c>
      <c r="L1549" t="s">
        <v>23</v>
      </c>
      <c r="M1549" t="s">
        <v>4610</v>
      </c>
      <c r="N1549" t="s">
        <v>4611</v>
      </c>
      <c r="O1549" t="s">
        <v>135</v>
      </c>
      <c r="P1549">
        <v>60137</v>
      </c>
      <c r="Q1549">
        <v>3692</v>
      </c>
      <c r="R1549" t="s">
        <v>23</v>
      </c>
      <c r="S1549" s="1" t="s">
        <v>34218</v>
      </c>
    </row>
    <row r="1550" spans="1:19" x14ac:dyDescent="0.25">
      <c r="A1550">
        <v>100946162</v>
      </c>
      <c r="B1550" t="s">
        <v>4612</v>
      </c>
      <c r="C1550" t="s">
        <v>4140</v>
      </c>
      <c r="F1550" t="str">
        <f>"2184264067"</f>
        <v>2184264067</v>
      </c>
      <c r="G1550" t="s">
        <v>4613</v>
      </c>
      <c r="H1550" t="s">
        <v>4614</v>
      </c>
      <c r="I1550" t="s">
        <v>187</v>
      </c>
      <c r="J1550">
        <v>55787</v>
      </c>
      <c r="K1550">
        <v>4446</v>
      </c>
      <c r="L1550" t="s">
        <v>23</v>
      </c>
      <c r="M1550" t="s">
        <v>4613</v>
      </c>
      <c r="N1550" t="s">
        <v>4614</v>
      </c>
      <c r="O1550" t="s">
        <v>187</v>
      </c>
      <c r="P1550">
        <v>55787</v>
      </c>
      <c r="Q1550">
        <v>4446</v>
      </c>
      <c r="R1550" t="s">
        <v>23</v>
      </c>
      <c r="S1550" s="1" t="s">
        <v>34218</v>
      </c>
    </row>
    <row r="1551" spans="1:19" x14ac:dyDescent="0.25">
      <c r="A1551">
        <v>101165410</v>
      </c>
      <c r="B1551" t="s">
        <v>626</v>
      </c>
      <c r="C1551" t="s">
        <v>4615</v>
      </c>
      <c r="F1551" t="str">
        <f>"8455382653"</f>
        <v>8455382653</v>
      </c>
      <c r="G1551" t="s">
        <v>4616</v>
      </c>
      <c r="H1551" t="s">
        <v>4617</v>
      </c>
      <c r="I1551" t="s">
        <v>117</v>
      </c>
      <c r="J1551">
        <v>10901</v>
      </c>
      <c r="K1551">
        <v>4289</v>
      </c>
      <c r="L1551" t="s">
        <v>23</v>
      </c>
      <c r="M1551" t="s">
        <v>4616</v>
      </c>
      <c r="N1551" t="s">
        <v>4617</v>
      </c>
      <c r="O1551" t="s">
        <v>117</v>
      </c>
      <c r="P1551">
        <v>10901</v>
      </c>
      <c r="Q1551">
        <v>4289</v>
      </c>
      <c r="R1551" t="s">
        <v>23</v>
      </c>
      <c r="S1551" s="1" t="s">
        <v>34218</v>
      </c>
    </row>
    <row r="1552" spans="1:19" x14ac:dyDescent="0.25">
      <c r="A1552">
        <v>101169343</v>
      </c>
      <c r="B1552" t="s">
        <v>4618</v>
      </c>
      <c r="C1552" t="s">
        <v>1036</v>
      </c>
      <c r="F1552" t="str">
        <f>"9782879572"</f>
        <v>9782879572</v>
      </c>
      <c r="G1552" t="s">
        <v>4619</v>
      </c>
      <c r="H1552" t="s">
        <v>761</v>
      </c>
      <c r="I1552" t="s">
        <v>236</v>
      </c>
      <c r="J1552">
        <v>1742</v>
      </c>
      <c r="K1552">
        <v>3605</v>
      </c>
      <c r="L1552" t="s">
        <v>23</v>
      </c>
      <c r="M1552" t="s">
        <v>4619</v>
      </c>
      <c r="N1552" t="s">
        <v>761</v>
      </c>
      <c r="O1552" t="s">
        <v>236</v>
      </c>
      <c r="P1552">
        <v>1742</v>
      </c>
      <c r="Q1552">
        <v>3605</v>
      </c>
      <c r="R1552" t="s">
        <v>23</v>
      </c>
      <c r="S1552" s="1" t="s">
        <v>34218</v>
      </c>
    </row>
    <row r="1553" spans="1:19" x14ac:dyDescent="0.25">
      <c r="A1553">
        <v>101168060</v>
      </c>
      <c r="B1553" t="s">
        <v>4620</v>
      </c>
      <c r="C1553" t="s">
        <v>2010</v>
      </c>
      <c r="F1553" t="str">
        <f>"5184750760"</f>
        <v>5184750760</v>
      </c>
      <c r="G1553" t="s">
        <v>4621</v>
      </c>
      <c r="H1553" t="s">
        <v>4622</v>
      </c>
      <c r="I1553" t="s">
        <v>117</v>
      </c>
      <c r="J1553">
        <v>12054</v>
      </c>
      <c r="K1553">
        <v>3321</v>
      </c>
      <c r="L1553" t="s">
        <v>23</v>
      </c>
      <c r="M1553" t="s">
        <v>4621</v>
      </c>
      <c r="N1553" t="s">
        <v>4622</v>
      </c>
      <c r="O1553" t="s">
        <v>117</v>
      </c>
      <c r="P1553">
        <v>12054</v>
      </c>
      <c r="Q1553">
        <v>3321</v>
      </c>
      <c r="R1553" t="s">
        <v>23</v>
      </c>
      <c r="S1553" s="1" t="s">
        <v>34218</v>
      </c>
    </row>
    <row r="1554" spans="1:19" x14ac:dyDescent="0.25">
      <c r="A1554">
        <v>101355766</v>
      </c>
      <c r="B1554" t="s">
        <v>4623</v>
      </c>
      <c r="C1554" t="s">
        <v>4624</v>
      </c>
      <c r="F1554" t="str">
        <f>"8474396475"</f>
        <v>8474396475</v>
      </c>
      <c r="G1554" t="s">
        <v>4625</v>
      </c>
      <c r="H1554" t="s">
        <v>4411</v>
      </c>
      <c r="I1554" t="s">
        <v>135</v>
      </c>
      <c r="J1554">
        <v>60007</v>
      </c>
      <c r="K1554">
        <v>3418</v>
      </c>
      <c r="L1554" t="s">
        <v>23</v>
      </c>
      <c r="M1554" t="s">
        <v>4625</v>
      </c>
      <c r="N1554" t="s">
        <v>4411</v>
      </c>
      <c r="O1554" t="s">
        <v>135</v>
      </c>
      <c r="P1554">
        <v>60007</v>
      </c>
      <c r="Q1554">
        <v>3418</v>
      </c>
      <c r="R1554" t="s">
        <v>23</v>
      </c>
      <c r="S1554" s="1" t="s">
        <v>34218</v>
      </c>
    </row>
    <row r="1555" spans="1:19" x14ac:dyDescent="0.25">
      <c r="A1555">
        <v>101348616</v>
      </c>
      <c r="B1555" t="s">
        <v>4626</v>
      </c>
      <c r="C1555" t="s">
        <v>1992</v>
      </c>
      <c r="F1555" t="str">
        <f>"4156216204"</f>
        <v>4156216204</v>
      </c>
      <c r="G1555" t="s">
        <v>4627</v>
      </c>
      <c r="H1555" t="s">
        <v>130</v>
      </c>
      <c r="I1555" t="s">
        <v>22</v>
      </c>
      <c r="J1555">
        <v>94110</v>
      </c>
      <c r="K1555">
        <v>1514</v>
      </c>
      <c r="L1555" t="s">
        <v>23</v>
      </c>
      <c r="M1555" t="s">
        <v>4627</v>
      </c>
      <c r="N1555" t="s">
        <v>130</v>
      </c>
      <c r="O1555" t="s">
        <v>22</v>
      </c>
      <c r="P1555">
        <v>94110</v>
      </c>
      <c r="Q1555">
        <v>1514</v>
      </c>
      <c r="R1555" t="s">
        <v>23</v>
      </c>
      <c r="S1555" s="1" t="s">
        <v>34218</v>
      </c>
    </row>
    <row r="1556" spans="1:19" x14ac:dyDescent="0.25">
      <c r="A1556">
        <v>101376463</v>
      </c>
      <c r="B1556" t="s">
        <v>4628</v>
      </c>
      <c r="C1556" t="s">
        <v>4587</v>
      </c>
      <c r="F1556" t="str">
        <f>"6035555555"</f>
        <v>6035555555</v>
      </c>
      <c r="G1556" t="s">
        <v>4629</v>
      </c>
      <c r="H1556" t="s">
        <v>1877</v>
      </c>
      <c r="I1556" t="s">
        <v>353</v>
      </c>
      <c r="J1556">
        <v>3079</v>
      </c>
      <c r="K1556">
        <v>3667</v>
      </c>
      <c r="L1556" t="s">
        <v>23</v>
      </c>
      <c r="M1556" t="s">
        <v>4629</v>
      </c>
      <c r="N1556" t="s">
        <v>1877</v>
      </c>
      <c r="O1556" t="s">
        <v>353</v>
      </c>
      <c r="P1556">
        <v>3079</v>
      </c>
      <c r="Q1556">
        <v>3667</v>
      </c>
      <c r="R1556" t="s">
        <v>23</v>
      </c>
      <c r="S1556" s="1" t="s">
        <v>34218</v>
      </c>
    </row>
    <row r="1557" spans="1:19" x14ac:dyDescent="0.25">
      <c r="A1557">
        <v>101292261</v>
      </c>
      <c r="B1557" t="s">
        <v>2300</v>
      </c>
      <c r="C1557" t="s">
        <v>4630</v>
      </c>
      <c r="F1557" t="str">
        <f>"6142891017"</f>
        <v>6142891017</v>
      </c>
      <c r="G1557" t="s">
        <v>4631</v>
      </c>
      <c r="H1557" t="s">
        <v>4632</v>
      </c>
      <c r="I1557" t="s">
        <v>178</v>
      </c>
      <c r="J1557">
        <v>43230</v>
      </c>
      <c r="K1557">
        <v>9838</v>
      </c>
      <c r="L1557" t="s">
        <v>23</v>
      </c>
      <c r="M1557" t="s">
        <v>4631</v>
      </c>
      <c r="N1557" t="s">
        <v>4632</v>
      </c>
      <c r="O1557" t="s">
        <v>178</v>
      </c>
      <c r="P1557">
        <v>43230</v>
      </c>
      <c r="Q1557">
        <v>9838</v>
      </c>
      <c r="R1557" t="s">
        <v>23</v>
      </c>
      <c r="S1557" s="1" t="s">
        <v>34218</v>
      </c>
    </row>
    <row r="1558" spans="1:19" x14ac:dyDescent="0.25">
      <c r="A1558">
        <v>101299280</v>
      </c>
      <c r="B1558" t="s">
        <v>4633</v>
      </c>
      <c r="C1558" t="s">
        <v>1327</v>
      </c>
      <c r="F1558" t="str">
        <f>"8283578210"</f>
        <v>8283578210</v>
      </c>
      <c r="G1558" t="s">
        <v>4634</v>
      </c>
      <c r="H1558" t="s">
        <v>4635</v>
      </c>
      <c r="I1558" t="s">
        <v>446</v>
      </c>
      <c r="J1558">
        <v>28711</v>
      </c>
      <c r="K1558">
        <v>3119</v>
      </c>
      <c r="L1558" t="s">
        <v>23</v>
      </c>
      <c r="M1558" t="s">
        <v>4634</v>
      </c>
      <c r="N1558" t="s">
        <v>4635</v>
      </c>
      <c r="O1558" t="s">
        <v>446</v>
      </c>
      <c r="P1558">
        <v>28711</v>
      </c>
      <c r="Q1558">
        <v>3119</v>
      </c>
      <c r="R1558" t="s">
        <v>23</v>
      </c>
      <c r="S1558" s="1" t="s">
        <v>34218</v>
      </c>
    </row>
    <row r="1559" spans="1:19" x14ac:dyDescent="0.25">
      <c r="A1559">
        <v>101307719</v>
      </c>
      <c r="B1559" t="s">
        <v>141</v>
      </c>
      <c r="C1559" t="s">
        <v>286</v>
      </c>
      <c r="F1559" t="str">
        <f>"5106583382"</f>
        <v>5106583382</v>
      </c>
      <c r="G1559" t="s">
        <v>4636</v>
      </c>
      <c r="H1559" t="s">
        <v>88</v>
      </c>
      <c r="I1559" t="s">
        <v>22</v>
      </c>
      <c r="J1559">
        <v>94618</v>
      </c>
      <c r="K1559">
        <v>1213</v>
      </c>
      <c r="L1559" t="s">
        <v>23</v>
      </c>
      <c r="M1559" t="s">
        <v>4636</v>
      </c>
      <c r="N1559" t="s">
        <v>88</v>
      </c>
      <c r="O1559" t="s">
        <v>22</v>
      </c>
      <c r="P1559">
        <v>94618</v>
      </c>
      <c r="Q1559">
        <v>1213</v>
      </c>
      <c r="R1559" t="s">
        <v>23</v>
      </c>
      <c r="S1559" s="1" t="s">
        <v>34218</v>
      </c>
    </row>
    <row r="1560" spans="1:19" x14ac:dyDescent="0.25">
      <c r="A1560">
        <v>101246312</v>
      </c>
      <c r="B1560" t="s">
        <v>4637</v>
      </c>
      <c r="C1560" t="s">
        <v>4638</v>
      </c>
      <c r="F1560" t="str">
        <f>"7199377693"</f>
        <v>7199377693</v>
      </c>
      <c r="G1560" t="s">
        <v>4639</v>
      </c>
      <c r="H1560" t="s">
        <v>4640</v>
      </c>
      <c r="I1560" t="s">
        <v>71</v>
      </c>
      <c r="J1560">
        <v>81131</v>
      </c>
      <c r="L1560" t="s">
        <v>23</v>
      </c>
      <c r="M1560" t="s">
        <v>4639</v>
      </c>
      <c r="N1560" t="s">
        <v>4640</v>
      </c>
      <c r="O1560" t="s">
        <v>71</v>
      </c>
      <c r="P1560">
        <v>81131</v>
      </c>
      <c r="R1560" t="s">
        <v>23</v>
      </c>
      <c r="S1560" s="1" t="s">
        <v>34218</v>
      </c>
    </row>
    <row r="1561" spans="1:19" x14ac:dyDescent="0.25">
      <c r="A1561">
        <v>101139405</v>
      </c>
      <c r="B1561" t="s">
        <v>4641</v>
      </c>
      <c r="C1561" t="s">
        <v>1124</v>
      </c>
      <c r="F1561" t="str">
        <f>"7327400919"</f>
        <v>7327400919</v>
      </c>
      <c r="G1561" t="s">
        <v>4642</v>
      </c>
      <c r="H1561" t="s">
        <v>2309</v>
      </c>
      <c r="I1561" t="s">
        <v>446</v>
      </c>
      <c r="J1561">
        <v>28411</v>
      </c>
      <c r="K1561">
        <v>8122</v>
      </c>
      <c r="L1561" t="s">
        <v>23</v>
      </c>
      <c r="M1561" t="s">
        <v>4642</v>
      </c>
      <c r="N1561" t="s">
        <v>2309</v>
      </c>
      <c r="O1561" t="s">
        <v>446</v>
      </c>
      <c r="P1561">
        <v>28411</v>
      </c>
      <c r="Q1561">
        <v>8122</v>
      </c>
      <c r="R1561" t="s">
        <v>23</v>
      </c>
      <c r="S1561" s="1" t="s">
        <v>34218</v>
      </c>
    </row>
    <row r="1562" spans="1:19" x14ac:dyDescent="0.25">
      <c r="A1562">
        <v>101143058</v>
      </c>
      <c r="B1562" t="s">
        <v>4643</v>
      </c>
      <c r="C1562" t="s">
        <v>4644</v>
      </c>
      <c r="F1562" t="str">
        <f>"7152469632"</f>
        <v>7152469632</v>
      </c>
      <c r="G1562" t="s">
        <v>4645</v>
      </c>
      <c r="H1562" t="s">
        <v>4646</v>
      </c>
      <c r="I1562" t="s">
        <v>100</v>
      </c>
      <c r="J1562">
        <v>54025</v>
      </c>
      <c r="K1562">
        <v>7506</v>
      </c>
      <c r="L1562" t="s">
        <v>23</v>
      </c>
      <c r="M1562" t="s">
        <v>4645</v>
      </c>
      <c r="N1562" t="s">
        <v>4646</v>
      </c>
      <c r="O1562" t="s">
        <v>100</v>
      </c>
      <c r="P1562">
        <v>54025</v>
      </c>
      <c r="Q1562">
        <v>7506</v>
      </c>
      <c r="R1562" t="s">
        <v>23</v>
      </c>
      <c r="S1562" s="1" t="s">
        <v>34218</v>
      </c>
    </row>
    <row r="1563" spans="1:19" x14ac:dyDescent="0.25">
      <c r="A1563">
        <v>101409673</v>
      </c>
      <c r="B1563" t="s">
        <v>2637</v>
      </c>
      <c r="C1563" t="s">
        <v>286</v>
      </c>
      <c r="F1563" t="str">
        <f>"3308341704"</f>
        <v>3308341704</v>
      </c>
      <c r="G1563" t="s">
        <v>4647</v>
      </c>
      <c r="H1563" t="s">
        <v>4648</v>
      </c>
      <c r="I1563" t="s">
        <v>178</v>
      </c>
      <c r="J1563">
        <v>44647</v>
      </c>
      <c r="K1563">
        <v>6123</v>
      </c>
      <c r="L1563" t="s">
        <v>23</v>
      </c>
      <c r="M1563" t="s">
        <v>4647</v>
      </c>
      <c r="N1563" t="s">
        <v>4648</v>
      </c>
      <c r="O1563" t="s">
        <v>178</v>
      </c>
      <c r="P1563">
        <v>44647</v>
      </c>
      <c r="Q1563">
        <v>6123</v>
      </c>
      <c r="R1563" t="s">
        <v>23</v>
      </c>
      <c r="S1563" s="1" t="s">
        <v>34218</v>
      </c>
    </row>
    <row r="1564" spans="1:19" x14ac:dyDescent="0.25">
      <c r="A1564">
        <v>101354802</v>
      </c>
      <c r="B1564" t="s">
        <v>4649</v>
      </c>
      <c r="C1564" t="s">
        <v>1327</v>
      </c>
      <c r="F1564" t="str">
        <f>"3527422658"</f>
        <v>3527422658</v>
      </c>
      <c r="G1564" t="s">
        <v>4650</v>
      </c>
      <c r="H1564" t="s">
        <v>4651</v>
      </c>
      <c r="I1564" t="s">
        <v>4652</v>
      </c>
      <c r="J1564">
        <v>57702</v>
      </c>
      <c r="K1564">
        <v>6565</v>
      </c>
      <c r="L1564" t="s">
        <v>23</v>
      </c>
      <c r="M1564" t="s">
        <v>4650</v>
      </c>
      <c r="N1564" t="s">
        <v>4651</v>
      </c>
      <c r="O1564" t="s">
        <v>4652</v>
      </c>
      <c r="P1564">
        <v>57702</v>
      </c>
      <c r="Q1564">
        <v>6565</v>
      </c>
      <c r="R1564" t="s">
        <v>23</v>
      </c>
      <c r="S1564" s="1" t="s">
        <v>34218</v>
      </c>
    </row>
    <row r="1565" spans="1:19" x14ac:dyDescent="0.25">
      <c r="A1565">
        <v>100801489</v>
      </c>
      <c r="B1565" t="s">
        <v>4653</v>
      </c>
      <c r="C1565" t="s">
        <v>4654</v>
      </c>
      <c r="F1565" t="str">
        <f>"5555555555"</f>
        <v>5555555555</v>
      </c>
      <c r="G1565" t="s">
        <v>4655</v>
      </c>
      <c r="H1565" t="s">
        <v>685</v>
      </c>
      <c r="I1565" t="s">
        <v>187</v>
      </c>
      <c r="J1565">
        <v>55431</v>
      </c>
      <c r="K1565">
        <v>3538</v>
      </c>
      <c r="L1565" t="s">
        <v>23</v>
      </c>
      <c r="M1565" t="s">
        <v>4655</v>
      </c>
      <c r="N1565" t="s">
        <v>685</v>
      </c>
      <c r="O1565" t="s">
        <v>187</v>
      </c>
      <c r="P1565">
        <v>55431</v>
      </c>
      <c r="Q1565">
        <v>3538</v>
      </c>
      <c r="R1565" t="s">
        <v>23</v>
      </c>
      <c r="S1565" s="1" t="s">
        <v>34218</v>
      </c>
    </row>
    <row r="1566" spans="1:19" x14ac:dyDescent="0.25">
      <c r="A1566">
        <v>101205564</v>
      </c>
      <c r="B1566" t="s">
        <v>799</v>
      </c>
      <c r="C1566" t="s">
        <v>1426</v>
      </c>
      <c r="F1566" t="str">
        <f>"7035551212"</f>
        <v>7035551212</v>
      </c>
      <c r="G1566" t="s">
        <v>4656</v>
      </c>
      <c r="H1566" t="s">
        <v>357</v>
      </c>
      <c r="I1566" t="s">
        <v>255</v>
      </c>
      <c r="J1566">
        <v>22307</v>
      </c>
      <c r="K1566">
        <v>6604</v>
      </c>
      <c r="L1566" t="s">
        <v>23</v>
      </c>
      <c r="M1566" t="s">
        <v>4656</v>
      </c>
      <c r="N1566" t="s">
        <v>357</v>
      </c>
      <c r="O1566" t="s">
        <v>255</v>
      </c>
      <c r="P1566">
        <v>22307</v>
      </c>
      <c r="Q1566">
        <v>6604</v>
      </c>
      <c r="R1566" t="s">
        <v>23</v>
      </c>
      <c r="S1566" s="1" t="s">
        <v>34218</v>
      </c>
    </row>
    <row r="1567" spans="1:19" x14ac:dyDescent="0.25">
      <c r="A1567">
        <v>101205075</v>
      </c>
      <c r="B1567" t="s">
        <v>858</v>
      </c>
      <c r="C1567" t="s">
        <v>1153</v>
      </c>
      <c r="F1567" t="str">
        <f>"8478549114"</f>
        <v>8478549114</v>
      </c>
      <c r="G1567" t="s">
        <v>4657</v>
      </c>
      <c r="H1567" t="s">
        <v>4658</v>
      </c>
      <c r="I1567" t="s">
        <v>135</v>
      </c>
      <c r="J1567">
        <v>60156</v>
      </c>
      <c r="K1567">
        <v>1130</v>
      </c>
      <c r="L1567" t="s">
        <v>23</v>
      </c>
      <c r="M1567" t="s">
        <v>4657</v>
      </c>
      <c r="N1567" t="s">
        <v>4658</v>
      </c>
      <c r="O1567" t="s">
        <v>135</v>
      </c>
      <c r="P1567">
        <v>60156</v>
      </c>
      <c r="Q1567">
        <v>1130</v>
      </c>
      <c r="R1567" t="s">
        <v>23</v>
      </c>
      <c r="S1567" s="1" t="s">
        <v>34218</v>
      </c>
    </row>
    <row r="1568" spans="1:19" x14ac:dyDescent="0.25">
      <c r="A1568">
        <v>101097603</v>
      </c>
      <c r="B1568" t="s">
        <v>4659</v>
      </c>
      <c r="C1568" t="s">
        <v>522</v>
      </c>
      <c r="F1568" t="str">
        <f>"5417409077"</f>
        <v>5417409077</v>
      </c>
      <c r="G1568" t="s">
        <v>4660</v>
      </c>
      <c r="H1568" t="s">
        <v>4661</v>
      </c>
      <c r="I1568" t="s">
        <v>43</v>
      </c>
      <c r="J1568">
        <v>97360</v>
      </c>
      <c r="L1568" t="s">
        <v>23</v>
      </c>
      <c r="M1568" t="s">
        <v>4660</v>
      </c>
      <c r="N1568" t="s">
        <v>4661</v>
      </c>
      <c r="O1568" t="s">
        <v>43</v>
      </c>
      <c r="P1568">
        <v>97360</v>
      </c>
      <c r="R1568" t="s">
        <v>23</v>
      </c>
      <c r="S1568" s="1" t="s">
        <v>34218</v>
      </c>
    </row>
    <row r="1569" spans="1:19" x14ac:dyDescent="0.25">
      <c r="A1569">
        <v>101241654</v>
      </c>
      <c r="B1569" t="s">
        <v>4662</v>
      </c>
      <c r="C1569" t="s">
        <v>209</v>
      </c>
      <c r="F1569" t="str">
        <f>"6154977870"</f>
        <v>6154977870</v>
      </c>
      <c r="G1569" t="s">
        <v>4663</v>
      </c>
      <c r="H1569" t="s">
        <v>4664</v>
      </c>
      <c r="I1569" t="s">
        <v>914</v>
      </c>
      <c r="J1569">
        <v>37086</v>
      </c>
      <c r="K1569">
        <v>5284</v>
      </c>
      <c r="L1569" t="s">
        <v>23</v>
      </c>
      <c r="M1569" t="s">
        <v>4663</v>
      </c>
      <c r="N1569" t="s">
        <v>4664</v>
      </c>
      <c r="O1569" t="s">
        <v>914</v>
      </c>
      <c r="P1569">
        <v>37086</v>
      </c>
      <c r="Q1569">
        <v>5284</v>
      </c>
      <c r="R1569" t="s">
        <v>23</v>
      </c>
      <c r="S1569" s="1" t="s">
        <v>34218</v>
      </c>
    </row>
    <row r="1570" spans="1:19" x14ac:dyDescent="0.25">
      <c r="A1570">
        <v>101348239</v>
      </c>
      <c r="B1570" t="s">
        <v>4665</v>
      </c>
      <c r="C1570" t="s">
        <v>158</v>
      </c>
      <c r="F1570" t="str">
        <f>"5555555555"</f>
        <v>5555555555</v>
      </c>
      <c r="G1570" t="s">
        <v>4666</v>
      </c>
      <c r="H1570" t="s">
        <v>4667</v>
      </c>
      <c r="I1570" t="s">
        <v>22</v>
      </c>
      <c r="J1570">
        <v>91701</v>
      </c>
      <c r="K1570">
        <v>1202</v>
      </c>
      <c r="L1570" t="s">
        <v>23</v>
      </c>
      <c r="M1570" t="s">
        <v>4666</v>
      </c>
      <c r="N1570" t="s">
        <v>4667</v>
      </c>
      <c r="O1570" t="s">
        <v>22</v>
      </c>
      <c r="P1570">
        <v>91701</v>
      </c>
      <c r="Q1570">
        <v>1202</v>
      </c>
      <c r="R1570" t="s">
        <v>23</v>
      </c>
      <c r="S1570" s="1" t="s">
        <v>34218</v>
      </c>
    </row>
    <row r="1571" spans="1:19" x14ac:dyDescent="0.25">
      <c r="A1571">
        <v>101356295</v>
      </c>
      <c r="B1571" t="s">
        <v>4668</v>
      </c>
      <c r="C1571" t="s">
        <v>329</v>
      </c>
      <c r="F1571" t="str">
        <f>"8456874444"</f>
        <v>8456874444</v>
      </c>
      <c r="G1571" t="s">
        <v>4669</v>
      </c>
      <c r="H1571" t="s">
        <v>3449</v>
      </c>
      <c r="I1571" t="s">
        <v>117</v>
      </c>
      <c r="J1571">
        <v>12401</v>
      </c>
      <c r="K1571">
        <v>7867</v>
      </c>
      <c r="L1571" t="s">
        <v>23</v>
      </c>
      <c r="M1571" t="s">
        <v>4669</v>
      </c>
      <c r="N1571" t="s">
        <v>3449</v>
      </c>
      <c r="O1571" t="s">
        <v>117</v>
      </c>
      <c r="P1571">
        <v>12401</v>
      </c>
      <c r="Q1571">
        <v>7867</v>
      </c>
      <c r="R1571" t="s">
        <v>23</v>
      </c>
      <c r="S1571" s="1" t="s">
        <v>34218</v>
      </c>
    </row>
    <row r="1572" spans="1:19" x14ac:dyDescent="0.25">
      <c r="A1572">
        <v>100742885</v>
      </c>
      <c r="B1572" t="s">
        <v>4670</v>
      </c>
      <c r="C1572" t="s">
        <v>158</v>
      </c>
      <c r="F1572" t="str">
        <f>"2038310899"</f>
        <v>2038310899</v>
      </c>
      <c r="G1572" t="s">
        <v>4671</v>
      </c>
      <c r="H1572" t="s">
        <v>2540</v>
      </c>
      <c r="I1572" t="s">
        <v>161</v>
      </c>
      <c r="J1572">
        <v>6855</v>
      </c>
      <c r="K1572">
        <v>2402</v>
      </c>
      <c r="L1572" t="s">
        <v>23</v>
      </c>
      <c r="M1572" t="s">
        <v>4671</v>
      </c>
      <c r="N1572" t="s">
        <v>2540</v>
      </c>
      <c r="O1572" t="s">
        <v>161</v>
      </c>
      <c r="P1572">
        <v>6855</v>
      </c>
      <c r="Q1572">
        <v>2402</v>
      </c>
      <c r="R1572" t="s">
        <v>23</v>
      </c>
      <c r="S1572" s="1" t="s">
        <v>34218</v>
      </c>
    </row>
    <row r="1573" spans="1:19" x14ac:dyDescent="0.25">
      <c r="A1573">
        <v>100979040</v>
      </c>
      <c r="B1573" t="s">
        <v>4672</v>
      </c>
      <c r="C1573" t="s">
        <v>4673</v>
      </c>
      <c r="F1573" t="str">
        <f>"8085726989"</f>
        <v>8085726989</v>
      </c>
      <c r="G1573" t="s">
        <v>4674</v>
      </c>
      <c r="H1573" t="s">
        <v>4675</v>
      </c>
      <c r="I1573" t="s">
        <v>984</v>
      </c>
      <c r="J1573">
        <v>96708</v>
      </c>
      <c r="K1573">
        <v>567</v>
      </c>
      <c r="L1573" t="s">
        <v>23</v>
      </c>
      <c r="M1573" t="s">
        <v>4674</v>
      </c>
      <c r="N1573" t="s">
        <v>4675</v>
      </c>
      <c r="O1573" t="s">
        <v>984</v>
      </c>
      <c r="P1573">
        <v>96708</v>
      </c>
      <c r="Q1573">
        <v>567</v>
      </c>
      <c r="R1573" t="s">
        <v>23</v>
      </c>
      <c r="S1573" s="1" t="s">
        <v>34218</v>
      </c>
    </row>
    <row r="1574" spans="1:19" x14ac:dyDescent="0.25">
      <c r="A1574">
        <v>100990312</v>
      </c>
      <c r="B1574" t="s">
        <v>4676</v>
      </c>
      <c r="C1574" t="s">
        <v>247</v>
      </c>
      <c r="F1574" t="str">
        <f>"5863216996"</f>
        <v>5863216996</v>
      </c>
      <c r="G1574" t="s">
        <v>4677</v>
      </c>
      <c r="H1574" t="s">
        <v>4678</v>
      </c>
      <c r="I1574" t="s">
        <v>140</v>
      </c>
      <c r="J1574">
        <v>48074</v>
      </c>
      <c r="K1574">
        <v>1344</v>
      </c>
      <c r="L1574" t="s">
        <v>23</v>
      </c>
      <c r="M1574" t="s">
        <v>4677</v>
      </c>
      <c r="N1574" t="s">
        <v>4678</v>
      </c>
      <c r="O1574" t="s">
        <v>140</v>
      </c>
      <c r="P1574">
        <v>48074</v>
      </c>
      <c r="Q1574">
        <v>1344</v>
      </c>
      <c r="R1574" t="s">
        <v>23</v>
      </c>
      <c r="S1574" s="1" t="s">
        <v>34218</v>
      </c>
    </row>
    <row r="1575" spans="1:19" x14ac:dyDescent="0.25">
      <c r="A1575">
        <v>101185366</v>
      </c>
      <c r="B1575" t="s">
        <v>4679</v>
      </c>
      <c r="C1575" t="s">
        <v>403</v>
      </c>
      <c r="F1575" t="str">
        <f>"3606123473"</f>
        <v>3606123473</v>
      </c>
      <c r="G1575" t="s">
        <v>4680</v>
      </c>
      <c r="H1575" t="s">
        <v>4681</v>
      </c>
      <c r="I1575" t="s">
        <v>84</v>
      </c>
      <c r="J1575">
        <v>98550</v>
      </c>
      <c r="K1575">
        <v>1726</v>
      </c>
      <c r="L1575" t="s">
        <v>23</v>
      </c>
      <c r="M1575" t="s">
        <v>4680</v>
      </c>
      <c r="N1575" t="s">
        <v>4681</v>
      </c>
      <c r="O1575" t="s">
        <v>84</v>
      </c>
      <c r="P1575">
        <v>98550</v>
      </c>
      <c r="Q1575">
        <v>1726</v>
      </c>
      <c r="R1575" t="s">
        <v>23</v>
      </c>
      <c r="S1575" s="1" t="s">
        <v>34218</v>
      </c>
    </row>
    <row r="1576" spans="1:19" x14ac:dyDescent="0.25">
      <c r="A1576">
        <v>101296369</v>
      </c>
      <c r="B1576" t="s">
        <v>4682</v>
      </c>
      <c r="C1576" t="s">
        <v>4683</v>
      </c>
      <c r="F1576" t="str">
        <f>"4064543598"</f>
        <v>4064543598</v>
      </c>
      <c r="G1576" t="s">
        <v>4684</v>
      </c>
      <c r="H1576" t="s">
        <v>4685</v>
      </c>
      <c r="I1576" t="s">
        <v>1000</v>
      </c>
      <c r="J1576">
        <v>59404</v>
      </c>
      <c r="K1576">
        <v>6115</v>
      </c>
      <c r="L1576" t="s">
        <v>23</v>
      </c>
      <c r="M1576" t="s">
        <v>4684</v>
      </c>
      <c r="N1576" t="s">
        <v>4685</v>
      </c>
      <c r="O1576" t="s">
        <v>1000</v>
      </c>
      <c r="P1576">
        <v>59404</v>
      </c>
      <c r="Q1576">
        <v>6115</v>
      </c>
      <c r="R1576" t="s">
        <v>23</v>
      </c>
      <c r="S1576" s="1" t="s">
        <v>34218</v>
      </c>
    </row>
    <row r="1577" spans="1:19" x14ac:dyDescent="0.25">
      <c r="A1577">
        <v>101294218</v>
      </c>
      <c r="B1577" t="s">
        <v>1164</v>
      </c>
      <c r="C1577" t="s">
        <v>890</v>
      </c>
      <c r="F1577" t="str">
        <f>"7323400550"</f>
        <v>7323400550</v>
      </c>
      <c r="G1577" t="s">
        <v>4686</v>
      </c>
      <c r="H1577" t="s">
        <v>4687</v>
      </c>
      <c r="I1577" t="s">
        <v>250</v>
      </c>
      <c r="J1577">
        <v>7067</v>
      </c>
      <c r="K1577">
        <v>1815</v>
      </c>
      <c r="L1577" t="s">
        <v>23</v>
      </c>
      <c r="M1577" t="s">
        <v>4686</v>
      </c>
      <c r="N1577" t="s">
        <v>4687</v>
      </c>
      <c r="O1577" t="s">
        <v>250</v>
      </c>
      <c r="P1577">
        <v>7067</v>
      </c>
      <c r="Q1577">
        <v>1815</v>
      </c>
      <c r="R1577" t="s">
        <v>23</v>
      </c>
      <c r="S1577" s="1" t="s">
        <v>34218</v>
      </c>
    </row>
    <row r="1578" spans="1:19" x14ac:dyDescent="0.25">
      <c r="A1578">
        <v>101301269</v>
      </c>
      <c r="B1578" t="s">
        <v>1526</v>
      </c>
      <c r="C1578" t="s">
        <v>102</v>
      </c>
      <c r="F1578" t="str">
        <f>"3309983716"</f>
        <v>3309983716</v>
      </c>
      <c r="G1578" t="s">
        <v>4688</v>
      </c>
      <c r="H1578" t="s">
        <v>4689</v>
      </c>
      <c r="I1578" t="s">
        <v>178</v>
      </c>
      <c r="J1578">
        <v>44044</v>
      </c>
      <c r="K1578">
        <v>9735</v>
      </c>
      <c r="L1578" t="s">
        <v>23</v>
      </c>
      <c r="M1578" t="s">
        <v>4688</v>
      </c>
      <c r="N1578" t="s">
        <v>4689</v>
      </c>
      <c r="O1578" t="s">
        <v>178</v>
      </c>
      <c r="P1578">
        <v>44044</v>
      </c>
      <c r="Q1578">
        <v>9735</v>
      </c>
      <c r="R1578" t="s">
        <v>23</v>
      </c>
      <c r="S1578" s="1" t="s">
        <v>34218</v>
      </c>
    </row>
    <row r="1579" spans="1:19" x14ac:dyDescent="0.25">
      <c r="A1579">
        <v>101288251</v>
      </c>
      <c r="B1579" t="s">
        <v>4690</v>
      </c>
      <c r="C1579" t="s">
        <v>4691</v>
      </c>
      <c r="F1579" t="str">
        <f>"5617896079"</f>
        <v>5617896079</v>
      </c>
      <c r="G1579" t="s">
        <v>4692</v>
      </c>
      <c r="H1579" t="s">
        <v>4693</v>
      </c>
      <c r="I1579" t="s">
        <v>52</v>
      </c>
      <c r="J1579">
        <v>33446</v>
      </c>
      <c r="L1579" t="s">
        <v>23</v>
      </c>
      <c r="M1579" t="s">
        <v>4692</v>
      </c>
      <c r="N1579" t="s">
        <v>4693</v>
      </c>
      <c r="O1579" t="s">
        <v>52</v>
      </c>
      <c r="P1579">
        <v>33446</v>
      </c>
      <c r="R1579" t="s">
        <v>23</v>
      </c>
      <c r="S1579" s="1" t="s">
        <v>34218</v>
      </c>
    </row>
    <row r="1580" spans="1:19" x14ac:dyDescent="0.25">
      <c r="A1580">
        <v>101165887</v>
      </c>
      <c r="B1580" t="s">
        <v>4694</v>
      </c>
      <c r="C1580" t="s">
        <v>1374</v>
      </c>
      <c r="F1580" t="str">
        <f>"7735547619"</f>
        <v>7735547619</v>
      </c>
      <c r="G1580" t="s">
        <v>4695</v>
      </c>
      <c r="H1580" t="s">
        <v>134</v>
      </c>
      <c r="I1580" t="s">
        <v>135</v>
      </c>
      <c r="J1580">
        <v>60626</v>
      </c>
      <c r="K1580">
        <v>2317</v>
      </c>
      <c r="L1580" t="s">
        <v>23</v>
      </c>
      <c r="M1580" t="s">
        <v>4695</v>
      </c>
      <c r="N1580" t="s">
        <v>134</v>
      </c>
      <c r="O1580" t="s">
        <v>135</v>
      </c>
      <c r="P1580">
        <v>60626</v>
      </c>
      <c r="Q1580">
        <v>2317</v>
      </c>
      <c r="R1580" t="s">
        <v>23</v>
      </c>
      <c r="S1580" s="1" t="s">
        <v>34218</v>
      </c>
    </row>
    <row r="1581" spans="1:19" x14ac:dyDescent="0.25">
      <c r="A1581">
        <v>100941222</v>
      </c>
      <c r="B1581" t="s">
        <v>4696</v>
      </c>
      <c r="C1581" t="s">
        <v>2287</v>
      </c>
      <c r="F1581" t="str">
        <f>"6036432332"</f>
        <v>6036432332</v>
      </c>
      <c r="G1581" t="s">
        <v>4697</v>
      </c>
      <c r="H1581" t="s">
        <v>526</v>
      </c>
      <c r="I1581" t="s">
        <v>353</v>
      </c>
      <c r="J1581" t="s">
        <v>4698</v>
      </c>
      <c r="K1581">
        <v>2027</v>
      </c>
      <c r="L1581" t="s">
        <v>23</v>
      </c>
      <c r="M1581" t="s">
        <v>4697</v>
      </c>
      <c r="N1581" t="s">
        <v>526</v>
      </c>
      <c r="O1581" t="s">
        <v>353</v>
      </c>
      <c r="P1581" t="s">
        <v>4698</v>
      </c>
      <c r="Q1581">
        <v>2027</v>
      </c>
      <c r="R1581" t="s">
        <v>23</v>
      </c>
      <c r="S1581" s="1" t="s">
        <v>34218</v>
      </c>
    </row>
    <row r="1582" spans="1:19" x14ac:dyDescent="0.25">
      <c r="A1582">
        <v>101131861</v>
      </c>
      <c r="B1582" t="s">
        <v>4699</v>
      </c>
      <c r="C1582" t="s">
        <v>4700</v>
      </c>
      <c r="F1582" t="str">
        <f>"5555555555"</f>
        <v>5555555555</v>
      </c>
      <c r="G1582" t="s">
        <v>4701</v>
      </c>
      <c r="H1582" t="s">
        <v>688</v>
      </c>
      <c r="I1582" t="s">
        <v>140</v>
      </c>
      <c r="J1582">
        <v>48306</v>
      </c>
      <c r="K1582">
        <v>4591</v>
      </c>
      <c r="L1582" t="s">
        <v>23</v>
      </c>
      <c r="M1582" t="s">
        <v>4701</v>
      </c>
      <c r="N1582" t="s">
        <v>688</v>
      </c>
      <c r="O1582" t="s">
        <v>140</v>
      </c>
      <c r="P1582">
        <v>48306</v>
      </c>
      <c r="Q1582">
        <v>4591</v>
      </c>
      <c r="R1582" t="s">
        <v>23</v>
      </c>
      <c r="S1582" s="1" t="s">
        <v>34218</v>
      </c>
    </row>
    <row r="1583" spans="1:19" x14ac:dyDescent="0.25">
      <c r="A1583">
        <v>101395137</v>
      </c>
      <c r="B1583" t="s">
        <v>3881</v>
      </c>
      <c r="C1583" t="s">
        <v>4702</v>
      </c>
      <c r="F1583" t="str">
        <f>"7185960618"</f>
        <v>7185960618</v>
      </c>
      <c r="G1583" t="s">
        <v>4703</v>
      </c>
      <c r="H1583" t="s">
        <v>412</v>
      </c>
      <c r="I1583" t="s">
        <v>117</v>
      </c>
      <c r="J1583">
        <v>11201</v>
      </c>
      <c r="K1583">
        <v>6909</v>
      </c>
      <c r="L1583" t="s">
        <v>23</v>
      </c>
      <c r="M1583" t="s">
        <v>4703</v>
      </c>
      <c r="N1583" t="s">
        <v>412</v>
      </c>
      <c r="O1583" t="s">
        <v>117</v>
      </c>
      <c r="P1583">
        <v>11201</v>
      </c>
      <c r="Q1583">
        <v>6909</v>
      </c>
      <c r="R1583" t="s">
        <v>23</v>
      </c>
      <c r="S1583" s="1" t="s">
        <v>34218</v>
      </c>
    </row>
    <row r="1584" spans="1:19" x14ac:dyDescent="0.25">
      <c r="A1584">
        <v>101404955</v>
      </c>
      <c r="B1584" t="s">
        <v>4704</v>
      </c>
      <c r="C1584" t="s">
        <v>699</v>
      </c>
      <c r="F1584" t="str">
        <f>"9737943190"</f>
        <v>9737943190</v>
      </c>
      <c r="G1584" t="s">
        <v>4705</v>
      </c>
      <c r="H1584" t="s">
        <v>4706</v>
      </c>
      <c r="I1584" t="s">
        <v>250</v>
      </c>
      <c r="J1584">
        <v>7082</v>
      </c>
      <c r="K1584">
        <v>1352</v>
      </c>
      <c r="L1584" t="s">
        <v>23</v>
      </c>
      <c r="M1584" t="s">
        <v>4705</v>
      </c>
      <c r="N1584" t="s">
        <v>4706</v>
      </c>
      <c r="O1584" t="s">
        <v>250</v>
      </c>
      <c r="P1584">
        <v>7082</v>
      </c>
      <c r="Q1584">
        <v>1352</v>
      </c>
      <c r="R1584" t="s">
        <v>23</v>
      </c>
      <c r="S1584" s="1" t="s">
        <v>34218</v>
      </c>
    </row>
    <row r="1585" spans="1:19" x14ac:dyDescent="0.25">
      <c r="A1585">
        <v>101413623</v>
      </c>
      <c r="B1585" t="s">
        <v>4707</v>
      </c>
      <c r="C1585" t="s">
        <v>4708</v>
      </c>
      <c r="F1585" t="str">
        <f>"7065541364"</f>
        <v>7065541364</v>
      </c>
      <c r="G1585" t="s">
        <v>4709</v>
      </c>
      <c r="H1585" t="s">
        <v>4710</v>
      </c>
      <c r="I1585" t="s">
        <v>28</v>
      </c>
      <c r="J1585">
        <v>30830</v>
      </c>
      <c r="K1585">
        <v>1240</v>
      </c>
      <c r="L1585" t="s">
        <v>23</v>
      </c>
      <c r="M1585" t="s">
        <v>4709</v>
      </c>
      <c r="N1585" t="s">
        <v>4710</v>
      </c>
      <c r="O1585" t="s">
        <v>28</v>
      </c>
      <c r="P1585">
        <v>30830</v>
      </c>
      <c r="Q1585">
        <v>1240</v>
      </c>
      <c r="R1585" t="s">
        <v>23</v>
      </c>
      <c r="S1585" s="1" t="s">
        <v>34218</v>
      </c>
    </row>
    <row r="1586" spans="1:19" x14ac:dyDescent="0.25">
      <c r="A1586">
        <v>101334060</v>
      </c>
      <c r="B1586" t="s">
        <v>3457</v>
      </c>
      <c r="C1586" t="s">
        <v>209</v>
      </c>
      <c r="F1586" t="str">
        <f>"6194670577"</f>
        <v>6194670577</v>
      </c>
      <c r="G1586" t="s">
        <v>4711</v>
      </c>
      <c r="H1586" t="s">
        <v>1614</v>
      </c>
      <c r="I1586" t="s">
        <v>22</v>
      </c>
      <c r="J1586">
        <v>92054</v>
      </c>
      <c r="K1586">
        <v>3662</v>
      </c>
      <c r="L1586" t="s">
        <v>23</v>
      </c>
      <c r="M1586" t="s">
        <v>4711</v>
      </c>
      <c r="N1586" t="s">
        <v>1614</v>
      </c>
      <c r="O1586" t="s">
        <v>22</v>
      </c>
      <c r="P1586">
        <v>92054</v>
      </c>
      <c r="Q1586">
        <v>3662</v>
      </c>
      <c r="R1586" t="s">
        <v>23</v>
      </c>
      <c r="S1586" s="1" t="s">
        <v>34218</v>
      </c>
    </row>
    <row r="1587" spans="1:19" x14ac:dyDescent="0.25">
      <c r="A1587">
        <v>100527497</v>
      </c>
      <c r="B1587" t="s">
        <v>4712</v>
      </c>
      <c r="C1587" t="s">
        <v>208</v>
      </c>
      <c r="F1587" t="str">
        <f>"4259234292"</f>
        <v>4259234292</v>
      </c>
      <c r="G1587" t="s">
        <v>4713</v>
      </c>
      <c r="H1587" t="s">
        <v>1113</v>
      </c>
      <c r="I1587" t="s">
        <v>365</v>
      </c>
      <c r="J1587">
        <v>86005</v>
      </c>
      <c r="K1587">
        <v>6541</v>
      </c>
      <c r="L1587" t="s">
        <v>23</v>
      </c>
      <c r="M1587" t="s">
        <v>4713</v>
      </c>
      <c r="N1587" t="s">
        <v>1113</v>
      </c>
      <c r="O1587" t="s">
        <v>365</v>
      </c>
      <c r="P1587">
        <v>86005</v>
      </c>
      <c r="Q1587">
        <v>6541</v>
      </c>
      <c r="R1587" t="s">
        <v>23</v>
      </c>
      <c r="S1587" s="1" t="s">
        <v>34218</v>
      </c>
    </row>
    <row r="1588" spans="1:19" x14ac:dyDescent="0.25">
      <c r="A1588">
        <v>101169968</v>
      </c>
      <c r="B1588" t="s">
        <v>4714</v>
      </c>
      <c r="C1588" t="s">
        <v>1647</v>
      </c>
      <c r="F1588" t="str">
        <f>"8318698762"</f>
        <v>8318698762</v>
      </c>
      <c r="G1588" t="s">
        <v>4715</v>
      </c>
      <c r="H1588" t="s">
        <v>3856</v>
      </c>
      <c r="I1588" t="s">
        <v>22</v>
      </c>
      <c r="J1588">
        <v>93955</v>
      </c>
      <c r="K1588">
        <v>4104</v>
      </c>
      <c r="L1588" t="s">
        <v>23</v>
      </c>
      <c r="M1588" t="s">
        <v>4715</v>
      </c>
      <c r="N1588" t="s">
        <v>3856</v>
      </c>
      <c r="O1588" t="s">
        <v>22</v>
      </c>
      <c r="P1588">
        <v>93955</v>
      </c>
      <c r="Q1588">
        <v>4104</v>
      </c>
      <c r="R1588" t="s">
        <v>23</v>
      </c>
      <c r="S1588" s="1" t="s">
        <v>34218</v>
      </c>
    </row>
    <row r="1589" spans="1:19" x14ac:dyDescent="0.25">
      <c r="A1589">
        <v>101202413</v>
      </c>
      <c r="B1589" t="s">
        <v>4716</v>
      </c>
      <c r="C1589" t="s">
        <v>309</v>
      </c>
      <c r="F1589" t="str">
        <f>"5058219302"</f>
        <v>5058219302</v>
      </c>
      <c r="G1589" t="s">
        <v>4717</v>
      </c>
      <c r="H1589" t="s">
        <v>638</v>
      </c>
      <c r="I1589" t="s">
        <v>639</v>
      </c>
      <c r="J1589">
        <v>87111</v>
      </c>
      <c r="K1589">
        <v>3738</v>
      </c>
      <c r="L1589" t="s">
        <v>23</v>
      </c>
      <c r="M1589" t="s">
        <v>4717</v>
      </c>
      <c r="N1589" t="s">
        <v>638</v>
      </c>
      <c r="O1589" t="s">
        <v>639</v>
      </c>
      <c r="P1589">
        <v>87111</v>
      </c>
      <c r="Q1589">
        <v>3738</v>
      </c>
      <c r="R1589" t="s">
        <v>23</v>
      </c>
      <c r="S1589" s="1" t="s">
        <v>34218</v>
      </c>
    </row>
    <row r="1590" spans="1:19" x14ac:dyDescent="0.25">
      <c r="A1590">
        <v>101174952</v>
      </c>
      <c r="B1590" t="s">
        <v>4718</v>
      </c>
      <c r="C1590" t="s">
        <v>180</v>
      </c>
      <c r="F1590" t="str">
        <f>"6305845992"</f>
        <v>6305845992</v>
      </c>
      <c r="G1590">
        <v>60174</v>
      </c>
      <c r="H1590" t="s">
        <v>1193</v>
      </c>
      <c r="I1590" t="s">
        <v>135</v>
      </c>
      <c r="J1590">
        <v>60174</v>
      </c>
      <c r="L1590" t="s">
        <v>23</v>
      </c>
      <c r="M1590">
        <v>60174</v>
      </c>
      <c r="N1590" t="s">
        <v>1193</v>
      </c>
      <c r="O1590" t="s">
        <v>135</v>
      </c>
      <c r="P1590">
        <v>60174</v>
      </c>
      <c r="R1590" t="s">
        <v>23</v>
      </c>
      <c r="S1590" s="1" t="s">
        <v>34218</v>
      </c>
    </row>
    <row r="1591" spans="1:19" x14ac:dyDescent="0.25">
      <c r="A1591">
        <v>101296179</v>
      </c>
      <c r="B1591" t="s">
        <v>1745</v>
      </c>
      <c r="C1591" t="s">
        <v>4719</v>
      </c>
      <c r="F1591" t="str">
        <f>"9063603978"</f>
        <v>9063603978</v>
      </c>
      <c r="G1591" t="s">
        <v>4720</v>
      </c>
      <c r="H1591" t="s">
        <v>4721</v>
      </c>
      <c r="I1591" t="s">
        <v>140</v>
      </c>
      <c r="J1591">
        <v>49885</v>
      </c>
      <c r="K1591">
        <v>9423</v>
      </c>
      <c r="L1591" t="s">
        <v>23</v>
      </c>
      <c r="M1591" t="s">
        <v>4720</v>
      </c>
      <c r="N1591" t="s">
        <v>4721</v>
      </c>
      <c r="O1591" t="s">
        <v>140</v>
      </c>
      <c r="P1591">
        <v>49885</v>
      </c>
      <c r="Q1591">
        <v>9423</v>
      </c>
      <c r="R1591" t="s">
        <v>23</v>
      </c>
      <c r="S1591" s="1" t="s">
        <v>34218</v>
      </c>
    </row>
    <row r="1592" spans="1:19" x14ac:dyDescent="0.25">
      <c r="A1592">
        <v>100993437</v>
      </c>
      <c r="B1592" t="s">
        <v>1355</v>
      </c>
      <c r="C1592" t="s">
        <v>4722</v>
      </c>
      <c r="F1592" t="str">
        <f>"9259690808"</f>
        <v>9259690808</v>
      </c>
      <c r="G1592" t="s">
        <v>4723</v>
      </c>
      <c r="H1592" t="s">
        <v>761</v>
      </c>
      <c r="I1592" t="s">
        <v>22</v>
      </c>
      <c r="J1592">
        <v>94521</v>
      </c>
      <c r="K1592">
        <v>4041</v>
      </c>
      <c r="L1592" t="s">
        <v>23</v>
      </c>
      <c r="M1592" t="s">
        <v>4723</v>
      </c>
      <c r="N1592" t="s">
        <v>761</v>
      </c>
      <c r="O1592" t="s">
        <v>22</v>
      </c>
      <c r="P1592">
        <v>94521</v>
      </c>
      <c r="Q1592">
        <v>4041</v>
      </c>
      <c r="R1592" t="s">
        <v>23</v>
      </c>
      <c r="S1592" s="1" t="s">
        <v>34218</v>
      </c>
    </row>
    <row r="1593" spans="1:19" x14ac:dyDescent="0.25">
      <c r="A1593">
        <v>101204779</v>
      </c>
      <c r="B1593" t="s">
        <v>369</v>
      </c>
      <c r="C1593" t="s">
        <v>803</v>
      </c>
      <c r="F1593" t="str">
        <f>"8027357987"</f>
        <v>8027357987</v>
      </c>
      <c r="G1593" t="s">
        <v>4724</v>
      </c>
      <c r="H1593" t="s">
        <v>4725</v>
      </c>
      <c r="I1593" t="s">
        <v>307</v>
      </c>
      <c r="J1593">
        <v>5473</v>
      </c>
      <c r="K1593">
        <v>7016</v>
      </c>
      <c r="L1593" t="s">
        <v>23</v>
      </c>
      <c r="M1593" t="s">
        <v>4724</v>
      </c>
      <c r="N1593" t="s">
        <v>4725</v>
      </c>
      <c r="O1593" t="s">
        <v>307</v>
      </c>
      <c r="P1593">
        <v>5473</v>
      </c>
      <c r="Q1593">
        <v>7016</v>
      </c>
      <c r="R1593" t="s">
        <v>23</v>
      </c>
      <c r="S1593" s="1" t="s">
        <v>34218</v>
      </c>
    </row>
    <row r="1594" spans="1:19" x14ac:dyDescent="0.25">
      <c r="A1594">
        <v>101064766</v>
      </c>
      <c r="B1594" t="s">
        <v>1631</v>
      </c>
      <c r="C1594" t="s">
        <v>4245</v>
      </c>
      <c r="F1594" t="str">
        <f>"9899440227"</f>
        <v>9899440227</v>
      </c>
      <c r="G1594" t="s">
        <v>4726</v>
      </c>
      <c r="H1594" t="s">
        <v>4727</v>
      </c>
      <c r="I1594" t="s">
        <v>140</v>
      </c>
      <c r="J1594">
        <v>48618</v>
      </c>
      <c r="K1594">
        <v>9636</v>
      </c>
      <c r="L1594" t="s">
        <v>23</v>
      </c>
      <c r="M1594" t="s">
        <v>4726</v>
      </c>
      <c r="N1594" t="s">
        <v>4727</v>
      </c>
      <c r="O1594" t="s">
        <v>140</v>
      </c>
      <c r="P1594">
        <v>48618</v>
      </c>
      <c r="Q1594">
        <v>9636</v>
      </c>
      <c r="R1594" t="s">
        <v>23</v>
      </c>
      <c r="S1594" s="1" t="s">
        <v>34218</v>
      </c>
    </row>
    <row r="1595" spans="1:19" x14ac:dyDescent="0.25">
      <c r="A1595">
        <v>100746987</v>
      </c>
      <c r="B1595" t="s">
        <v>4728</v>
      </c>
      <c r="C1595" t="s">
        <v>4299</v>
      </c>
      <c r="F1595" t="str">
        <f>"7164002187"</f>
        <v>7164002187</v>
      </c>
      <c r="G1595" t="s">
        <v>4729</v>
      </c>
      <c r="H1595" t="s">
        <v>4730</v>
      </c>
      <c r="I1595" t="s">
        <v>117</v>
      </c>
      <c r="J1595">
        <v>14225</v>
      </c>
      <c r="K1595">
        <v>3712</v>
      </c>
      <c r="L1595" t="s">
        <v>23</v>
      </c>
      <c r="M1595" t="s">
        <v>4729</v>
      </c>
      <c r="N1595" t="s">
        <v>4730</v>
      </c>
      <c r="O1595" t="s">
        <v>117</v>
      </c>
      <c r="P1595">
        <v>14225</v>
      </c>
      <c r="Q1595">
        <v>3712</v>
      </c>
      <c r="R1595" t="s">
        <v>23</v>
      </c>
      <c r="S1595" s="1" t="s">
        <v>34218</v>
      </c>
    </row>
    <row r="1596" spans="1:19" x14ac:dyDescent="0.25">
      <c r="A1596">
        <v>101257156</v>
      </c>
      <c r="B1596" t="s">
        <v>93</v>
      </c>
      <c r="C1596" t="s">
        <v>102</v>
      </c>
      <c r="F1596" t="str">
        <f>"3012776544"</f>
        <v>3012776544</v>
      </c>
      <c r="G1596" t="s">
        <v>4731</v>
      </c>
      <c r="H1596" t="s">
        <v>4732</v>
      </c>
      <c r="I1596" t="s">
        <v>148</v>
      </c>
      <c r="J1596">
        <v>20782</v>
      </c>
      <c r="K1596">
        <v>2116</v>
      </c>
      <c r="L1596" t="s">
        <v>23</v>
      </c>
      <c r="M1596" t="s">
        <v>4731</v>
      </c>
      <c r="N1596" t="s">
        <v>4732</v>
      </c>
      <c r="O1596" t="s">
        <v>148</v>
      </c>
      <c r="P1596">
        <v>20782</v>
      </c>
      <c r="Q1596">
        <v>2116</v>
      </c>
      <c r="R1596" t="s">
        <v>23</v>
      </c>
      <c r="S1596" s="1" t="s">
        <v>34218</v>
      </c>
    </row>
    <row r="1597" spans="1:19" x14ac:dyDescent="0.25">
      <c r="A1597">
        <v>101257523</v>
      </c>
      <c r="B1597" t="s">
        <v>2891</v>
      </c>
      <c r="C1597" t="s">
        <v>233</v>
      </c>
      <c r="F1597" t="str">
        <f>"6263515189"</f>
        <v>6263515189</v>
      </c>
      <c r="G1597" t="s">
        <v>4733</v>
      </c>
      <c r="H1597" t="s">
        <v>147</v>
      </c>
      <c r="I1597" t="s">
        <v>22</v>
      </c>
      <c r="J1597">
        <v>91107</v>
      </c>
      <c r="K1597">
        <v>2253</v>
      </c>
      <c r="L1597" t="s">
        <v>23</v>
      </c>
      <c r="M1597" t="s">
        <v>4733</v>
      </c>
      <c r="N1597" t="s">
        <v>147</v>
      </c>
      <c r="O1597" t="s">
        <v>22</v>
      </c>
      <c r="P1597">
        <v>91107</v>
      </c>
      <c r="Q1597">
        <v>2253</v>
      </c>
      <c r="R1597" t="s">
        <v>23</v>
      </c>
      <c r="S1597" s="1" t="s">
        <v>34218</v>
      </c>
    </row>
    <row r="1598" spans="1:19" x14ac:dyDescent="0.25">
      <c r="A1598">
        <v>101264928</v>
      </c>
      <c r="B1598" t="s">
        <v>4734</v>
      </c>
      <c r="C1598" t="s">
        <v>3590</v>
      </c>
      <c r="F1598" t="str">
        <f>"9897237515"</f>
        <v>9897237515</v>
      </c>
      <c r="G1598" t="s">
        <v>4735</v>
      </c>
      <c r="H1598" t="s">
        <v>4736</v>
      </c>
      <c r="I1598" t="s">
        <v>140</v>
      </c>
      <c r="J1598">
        <v>48867</v>
      </c>
      <c r="K1598">
        <v>2241</v>
      </c>
      <c r="L1598" t="s">
        <v>23</v>
      </c>
      <c r="M1598" t="s">
        <v>4735</v>
      </c>
      <c r="N1598" t="s">
        <v>4736</v>
      </c>
      <c r="O1598" t="s">
        <v>140</v>
      </c>
      <c r="P1598">
        <v>48867</v>
      </c>
      <c r="Q1598">
        <v>2241</v>
      </c>
      <c r="R1598" t="s">
        <v>23</v>
      </c>
      <c r="S1598" s="1" t="s">
        <v>34218</v>
      </c>
    </row>
    <row r="1599" spans="1:19" x14ac:dyDescent="0.25">
      <c r="A1599">
        <v>100996131</v>
      </c>
      <c r="B1599" t="s">
        <v>1536</v>
      </c>
      <c r="C1599" t="s">
        <v>225</v>
      </c>
      <c r="F1599" t="str">
        <f>"2488916138"</f>
        <v>2488916138</v>
      </c>
      <c r="G1599" t="s">
        <v>4737</v>
      </c>
      <c r="H1599" t="s">
        <v>4738</v>
      </c>
      <c r="I1599" t="s">
        <v>140</v>
      </c>
      <c r="J1599">
        <v>48428</v>
      </c>
      <c r="K1599">
        <v>9752</v>
      </c>
      <c r="L1599" t="s">
        <v>23</v>
      </c>
      <c r="M1599" t="s">
        <v>4737</v>
      </c>
      <c r="N1599" t="s">
        <v>4738</v>
      </c>
      <c r="O1599" t="s">
        <v>140</v>
      </c>
      <c r="P1599">
        <v>48428</v>
      </c>
      <c r="Q1599">
        <v>9752</v>
      </c>
      <c r="R1599" t="s">
        <v>23</v>
      </c>
      <c r="S1599" s="1" t="s">
        <v>34218</v>
      </c>
    </row>
    <row r="1600" spans="1:19" x14ac:dyDescent="0.25">
      <c r="A1600">
        <v>101045122</v>
      </c>
      <c r="B1600" t="s">
        <v>4739</v>
      </c>
      <c r="C1600" t="s">
        <v>1117</v>
      </c>
      <c r="F1600" t="str">
        <f>"4404612019"</f>
        <v>4404612019</v>
      </c>
      <c r="G1600" t="s">
        <v>4740</v>
      </c>
      <c r="H1600" t="s">
        <v>4741</v>
      </c>
      <c r="I1600" t="s">
        <v>178</v>
      </c>
      <c r="J1600">
        <v>44124</v>
      </c>
      <c r="K1600">
        <v>1454</v>
      </c>
      <c r="L1600" t="s">
        <v>23</v>
      </c>
      <c r="M1600" t="s">
        <v>4740</v>
      </c>
      <c r="N1600" t="s">
        <v>4741</v>
      </c>
      <c r="O1600" t="s">
        <v>178</v>
      </c>
      <c r="P1600">
        <v>44124</v>
      </c>
      <c r="Q1600">
        <v>1454</v>
      </c>
      <c r="R1600" t="s">
        <v>23</v>
      </c>
      <c r="S1600" s="1" t="s">
        <v>34218</v>
      </c>
    </row>
    <row r="1601" spans="1:19" x14ac:dyDescent="0.25">
      <c r="A1601">
        <v>101245422</v>
      </c>
      <c r="B1601" t="s">
        <v>4742</v>
      </c>
      <c r="C1601" t="s">
        <v>989</v>
      </c>
      <c r="F1601" t="str">
        <f>"3605558888"</f>
        <v>3605558888</v>
      </c>
      <c r="G1601" t="s">
        <v>4743</v>
      </c>
      <c r="H1601" t="s">
        <v>1765</v>
      </c>
      <c r="I1601" t="s">
        <v>84</v>
      </c>
      <c r="J1601">
        <v>98501</v>
      </c>
      <c r="K1601">
        <v>2928</v>
      </c>
      <c r="L1601" t="s">
        <v>23</v>
      </c>
      <c r="M1601" t="s">
        <v>4743</v>
      </c>
      <c r="N1601" t="s">
        <v>1765</v>
      </c>
      <c r="O1601" t="s">
        <v>84</v>
      </c>
      <c r="P1601">
        <v>98501</v>
      </c>
      <c r="Q1601">
        <v>2928</v>
      </c>
      <c r="R1601" t="s">
        <v>23</v>
      </c>
      <c r="S1601" s="1" t="s">
        <v>34218</v>
      </c>
    </row>
    <row r="1602" spans="1:19" x14ac:dyDescent="0.25">
      <c r="A1602">
        <v>101264527</v>
      </c>
      <c r="B1602" t="s">
        <v>4744</v>
      </c>
      <c r="C1602" t="s">
        <v>155</v>
      </c>
      <c r="F1602" t="str">
        <f>"6317664455"</f>
        <v>6317664455</v>
      </c>
      <c r="G1602" t="s">
        <v>4745</v>
      </c>
      <c r="H1602" t="s">
        <v>4746</v>
      </c>
      <c r="I1602" t="s">
        <v>117</v>
      </c>
      <c r="J1602">
        <v>11782</v>
      </c>
      <c r="K1602">
        <v>1449</v>
      </c>
      <c r="L1602" t="s">
        <v>23</v>
      </c>
      <c r="M1602" t="s">
        <v>4745</v>
      </c>
      <c r="N1602" t="s">
        <v>4746</v>
      </c>
      <c r="O1602" t="s">
        <v>117</v>
      </c>
      <c r="P1602">
        <v>11782</v>
      </c>
      <c r="Q1602">
        <v>1449</v>
      </c>
      <c r="R1602" t="s">
        <v>23</v>
      </c>
      <c r="S1602" s="1" t="s">
        <v>34218</v>
      </c>
    </row>
    <row r="1603" spans="1:19" x14ac:dyDescent="0.25">
      <c r="A1603">
        <v>101085163</v>
      </c>
      <c r="B1603" t="s">
        <v>4747</v>
      </c>
      <c r="C1603" t="s">
        <v>90</v>
      </c>
      <c r="F1603" t="str">
        <f>"5555555555"</f>
        <v>5555555555</v>
      </c>
      <c r="G1603" t="s">
        <v>4748</v>
      </c>
      <c r="H1603" t="s">
        <v>1421</v>
      </c>
      <c r="I1603" t="s">
        <v>22</v>
      </c>
      <c r="J1603">
        <v>92014</v>
      </c>
      <c r="K1603">
        <v>4230</v>
      </c>
      <c r="L1603" t="s">
        <v>23</v>
      </c>
      <c r="M1603" t="s">
        <v>4748</v>
      </c>
      <c r="N1603" t="s">
        <v>1421</v>
      </c>
      <c r="O1603" t="s">
        <v>22</v>
      </c>
      <c r="P1603">
        <v>92014</v>
      </c>
      <c r="Q1603">
        <v>4230</v>
      </c>
      <c r="R1603" t="s">
        <v>23</v>
      </c>
      <c r="S1603" s="1" t="s">
        <v>34218</v>
      </c>
    </row>
    <row r="1604" spans="1:19" x14ac:dyDescent="0.25">
      <c r="A1604">
        <v>101319810</v>
      </c>
      <c r="B1604" t="s">
        <v>4749</v>
      </c>
      <c r="C1604" t="s">
        <v>1542</v>
      </c>
      <c r="F1604" t="str">
        <f>"6023299755"</f>
        <v>6023299755</v>
      </c>
      <c r="G1604" t="s">
        <v>4750</v>
      </c>
      <c r="H1604" t="s">
        <v>682</v>
      </c>
      <c r="I1604" t="s">
        <v>365</v>
      </c>
      <c r="J1604">
        <v>85022</v>
      </c>
      <c r="K1604">
        <v>1514</v>
      </c>
      <c r="L1604" t="s">
        <v>23</v>
      </c>
      <c r="M1604" t="s">
        <v>4750</v>
      </c>
      <c r="N1604" t="s">
        <v>682</v>
      </c>
      <c r="O1604" t="s">
        <v>365</v>
      </c>
      <c r="P1604">
        <v>85022</v>
      </c>
      <c r="Q1604">
        <v>1514</v>
      </c>
      <c r="R1604" t="s">
        <v>23</v>
      </c>
      <c r="S1604" s="1" t="s">
        <v>34218</v>
      </c>
    </row>
    <row r="1605" spans="1:19" x14ac:dyDescent="0.25">
      <c r="A1605">
        <v>101314684</v>
      </c>
      <c r="B1605" t="s">
        <v>4751</v>
      </c>
      <c r="C1605" t="s">
        <v>286</v>
      </c>
      <c r="F1605" t="str">
        <f>"2032885652"</f>
        <v>2032885652</v>
      </c>
      <c r="G1605" t="s">
        <v>4752</v>
      </c>
      <c r="H1605" t="s">
        <v>4753</v>
      </c>
      <c r="I1605" t="s">
        <v>161</v>
      </c>
      <c r="J1605">
        <v>6473</v>
      </c>
      <c r="K1605">
        <v>2943</v>
      </c>
      <c r="L1605" t="s">
        <v>23</v>
      </c>
      <c r="M1605" t="s">
        <v>4752</v>
      </c>
      <c r="N1605" t="s">
        <v>4753</v>
      </c>
      <c r="O1605" t="s">
        <v>161</v>
      </c>
      <c r="P1605">
        <v>6473</v>
      </c>
      <c r="Q1605">
        <v>2943</v>
      </c>
      <c r="R1605" t="s">
        <v>23</v>
      </c>
      <c r="S1605" s="1" t="s">
        <v>34218</v>
      </c>
    </row>
    <row r="1606" spans="1:19" x14ac:dyDescent="0.25">
      <c r="A1606">
        <v>101327434</v>
      </c>
      <c r="B1606" t="s">
        <v>4754</v>
      </c>
      <c r="C1606" t="s">
        <v>4755</v>
      </c>
      <c r="F1606" t="str">
        <f>"5302444841"</f>
        <v>5302444841</v>
      </c>
      <c r="G1606" t="s">
        <v>4756</v>
      </c>
      <c r="H1606" t="s">
        <v>3525</v>
      </c>
      <c r="I1606" t="s">
        <v>22</v>
      </c>
      <c r="J1606">
        <v>96001</v>
      </c>
      <c r="K1606">
        <v>5666</v>
      </c>
      <c r="L1606" t="s">
        <v>23</v>
      </c>
      <c r="M1606" t="s">
        <v>4756</v>
      </c>
      <c r="N1606" t="s">
        <v>3525</v>
      </c>
      <c r="O1606" t="s">
        <v>22</v>
      </c>
      <c r="P1606">
        <v>96001</v>
      </c>
      <c r="Q1606">
        <v>5666</v>
      </c>
      <c r="R1606" t="s">
        <v>23</v>
      </c>
      <c r="S1606" s="1" t="s">
        <v>34218</v>
      </c>
    </row>
    <row r="1607" spans="1:19" x14ac:dyDescent="0.25">
      <c r="A1607">
        <v>101329888</v>
      </c>
      <c r="B1607" t="s">
        <v>4757</v>
      </c>
      <c r="C1607" t="s">
        <v>1350</v>
      </c>
      <c r="F1607" t="str">
        <f>"7075422753"</f>
        <v>7075422753</v>
      </c>
      <c r="G1607" t="s">
        <v>4758</v>
      </c>
      <c r="H1607" t="s">
        <v>21</v>
      </c>
      <c r="I1607" t="s">
        <v>22</v>
      </c>
      <c r="J1607">
        <v>95405</v>
      </c>
      <c r="K1607">
        <v>3506</v>
      </c>
      <c r="L1607" t="s">
        <v>23</v>
      </c>
      <c r="M1607" t="s">
        <v>4758</v>
      </c>
      <c r="N1607" t="s">
        <v>21</v>
      </c>
      <c r="O1607" t="s">
        <v>22</v>
      </c>
      <c r="P1607">
        <v>95405</v>
      </c>
      <c r="Q1607">
        <v>3506</v>
      </c>
      <c r="R1607" t="s">
        <v>23</v>
      </c>
      <c r="S1607" s="1" t="s">
        <v>34218</v>
      </c>
    </row>
    <row r="1608" spans="1:19" x14ac:dyDescent="0.25">
      <c r="A1608">
        <v>101337490</v>
      </c>
      <c r="B1608" t="s">
        <v>1164</v>
      </c>
      <c r="C1608" t="s">
        <v>30</v>
      </c>
      <c r="F1608" t="str">
        <f>"7066630753"</f>
        <v>7066630753</v>
      </c>
      <c r="G1608" t="s">
        <v>4759</v>
      </c>
      <c r="H1608" t="s">
        <v>4760</v>
      </c>
      <c r="I1608" t="s">
        <v>28</v>
      </c>
      <c r="J1608">
        <v>31822</v>
      </c>
      <c r="K1608">
        <v>2511</v>
      </c>
      <c r="L1608" t="s">
        <v>23</v>
      </c>
      <c r="M1608" t="s">
        <v>4759</v>
      </c>
      <c r="N1608" t="s">
        <v>4760</v>
      </c>
      <c r="O1608" t="s">
        <v>28</v>
      </c>
      <c r="P1608">
        <v>31822</v>
      </c>
      <c r="Q1608">
        <v>2511</v>
      </c>
      <c r="R1608" t="s">
        <v>23</v>
      </c>
      <c r="S1608" s="1" t="s">
        <v>34218</v>
      </c>
    </row>
    <row r="1609" spans="1:19" x14ac:dyDescent="0.25">
      <c r="A1609">
        <v>101110414</v>
      </c>
      <c r="B1609" t="s">
        <v>2087</v>
      </c>
      <c r="C1609" t="s">
        <v>1487</v>
      </c>
      <c r="F1609" t="str">
        <f>"7078435773"</f>
        <v>7078435773</v>
      </c>
      <c r="G1609" t="s">
        <v>4761</v>
      </c>
      <c r="H1609" t="s">
        <v>21</v>
      </c>
      <c r="I1609" t="s">
        <v>22</v>
      </c>
      <c r="J1609">
        <v>95404</v>
      </c>
      <c r="K1609">
        <v>2230</v>
      </c>
      <c r="L1609" t="s">
        <v>23</v>
      </c>
      <c r="M1609" t="s">
        <v>4761</v>
      </c>
      <c r="N1609" t="s">
        <v>21</v>
      </c>
      <c r="O1609" t="s">
        <v>22</v>
      </c>
      <c r="P1609">
        <v>95404</v>
      </c>
      <c r="Q1609">
        <v>2230</v>
      </c>
      <c r="R1609" t="s">
        <v>23</v>
      </c>
      <c r="S1609" s="1" t="s">
        <v>34218</v>
      </c>
    </row>
    <row r="1610" spans="1:19" x14ac:dyDescent="0.25">
      <c r="A1610">
        <v>101348167</v>
      </c>
      <c r="B1610" t="s">
        <v>4762</v>
      </c>
      <c r="C1610" t="s">
        <v>483</v>
      </c>
      <c r="F1610" t="str">
        <f>"9702569649"</f>
        <v>9702569649</v>
      </c>
      <c r="G1610" t="s">
        <v>4763</v>
      </c>
      <c r="H1610" t="s">
        <v>4764</v>
      </c>
      <c r="I1610" t="s">
        <v>71</v>
      </c>
      <c r="J1610">
        <v>81507</v>
      </c>
      <c r="K1610">
        <v>9732</v>
      </c>
      <c r="L1610" t="s">
        <v>23</v>
      </c>
      <c r="M1610" t="s">
        <v>4763</v>
      </c>
      <c r="N1610" t="s">
        <v>4764</v>
      </c>
      <c r="O1610" t="s">
        <v>71</v>
      </c>
      <c r="P1610">
        <v>81507</v>
      </c>
      <c r="Q1610">
        <v>9732</v>
      </c>
      <c r="R1610" t="s">
        <v>23</v>
      </c>
      <c r="S1610" s="1" t="s">
        <v>34218</v>
      </c>
    </row>
    <row r="1611" spans="1:19" x14ac:dyDescent="0.25">
      <c r="A1611">
        <v>101350090</v>
      </c>
      <c r="B1611" t="s">
        <v>4765</v>
      </c>
      <c r="C1611" t="s">
        <v>1179</v>
      </c>
      <c r="F1611" t="str">
        <f>"4257466897"</f>
        <v>4257466897</v>
      </c>
      <c r="G1611" t="s">
        <v>4766</v>
      </c>
      <c r="H1611" t="s">
        <v>92</v>
      </c>
      <c r="I1611" t="s">
        <v>84</v>
      </c>
      <c r="J1611">
        <v>98006</v>
      </c>
      <c r="K1611">
        <v>2649</v>
      </c>
      <c r="L1611" t="s">
        <v>23</v>
      </c>
      <c r="M1611" t="s">
        <v>4766</v>
      </c>
      <c r="N1611" t="s">
        <v>92</v>
      </c>
      <c r="O1611" t="s">
        <v>84</v>
      </c>
      <c r="P1611">
        <v>98006</v>
      </c>
      <c r="Q1611">
        <v>2649</v>
      </c>
      <c r="R1611" t="s">
        <v>23</v>
      </c>
      <c r="S1611" s="1" t="s">
        <v>34218</v>
      </c>
    </row>
    <row r="1612" spans="1:19" x14ac:dyDescent="0.25">
      <c r="A1612">
        <v>101350401</v>
      </c>
      <c r="B1612" t="s">
        <v>4767</v>
      </c>
      <c r="C1612" t="s">
        <v>466</v>
      </c>
      <c r="F1612" t="str">
        <f>"9529299423"</f>
        <v>9529299423</v>
      </c>
      <c r="G1612" t="s">
        <v>4768</v>
      </c>
      <c r="H1612" t="s">
        <v>4769</v>
      </c>
      <c r="I1612" t="s">
        <v>187</v>
      </c>
      <c r="J1612">
        <v>55416</v>
      </c>
      <c r="K1612">
        <v>2046</v>
      </c>
      <c r="L1612" t="s">
        <v>23</v>
      </c>
      <c r="M1612" t="s">
        <v>4768</v>
      </c>
      <c r="N1612" t="s">
        <v>4769</v>
      </c>
      <c r="O1612" t="s">
        <v>187</v>
      </c>
      <c r="P1612">
        <v>55416</v>
      </c>
      <c r="Q1612">
        <v>2046</v>
      </c>
      <c r="R1612" t="s">
        <v>23</v>
      </c>
      <c r="S1612" s="1" t="s">
        <v>34218</v>
      </c>
    </row>
    <row r="1613" spans="1:19" x14ac:dyDescent="0.25">
      <c r="A1613">
        <v>100860909</v>
      </c>
      <c r="B1613" t="s">
        <v>4770</v>
      </c>
      <c r="C1613" t="s">
        <v>1223</v>
      </c>
      <c r="F1613" t="str">
        <f>"8052172323"</f>
        <v>8052172323</v>
      </c>
      <c r="G1613" t="s">
        <v>4771</v>
      </c>
      <c r="H1613" t="s">
        <v>4772</v>
      </c>
      <c r="I1613" t="s">
        <v>22</v>
      </c>
      <c r="J1613">
        <v>91362</v>
      </c>
      <c r="K1613">
        <v>4742</v>
      </c>
      <c r="L1613" t="s">
        <v>23</v>
      </c>
      <c r="M1613" t="s">
        <v>4771</v>
      </c>
      <c r="N1613" t="s">
        <v>4772</v>
      </c>
      <c r="O1613" t="s">
        <v>22</v>
      </c>
      <c r="P1613">
        <v>91362</v>
      </c>
      <c r="Q1613">
        <v>4742</v>
      </c>
      <c r="R1613" t="s">
        <v>23</v>
      </c>
      <c r="S1613" s="1" t="s">
        <v>34218</v>
      </c>
    </row>
    <row r="1614" spans="1:19" x14ac:dyDescent="0.25">
      <c r="A1614">
        <v>101125721</v>
      </c>
      <c r="B1614" t="s">
        <v>4773</v>
      </c>
      <c r="C1614" t="s">
        <v>4512</v>
      </c>
      <c r="F1614" t="str">
        <f>"2156729241"</f>
        <v>2156729241</v>
      </c>
      <c r="G1614" t="s">
        <v>4774</v>
      </c>
      <c r="H1614" t="s">
        <v>4775</v>
      </c>
      <c r="I1614" t="s">
        <v>33</v>
      </c>
      <c r="J1614">
        <v>18974</v>
      </c>
      <c r="K1614">
        <v>3733</v>
      </c>
      <c r="L1614" t="s">
        <v>23</v>
      </c>
      <c r="M1614" t="s">
        <v>4774</v>
      </c>
      <c r="N1614" t="s">
        <v>4775</v>
      </c>
      <c r="O1614" t="s">
        <v>33</v>
      </c>
      <c r="P1614">
        <v>18974</v>
      </c>
      <c r="Q1614">
        <v>3733</v>
      </c>
      <c r="R1614" t="s">
        <v>23</v>
      </c>
      <c r="S1614" s="1" t="s">
        <v>34218</v>
      </c>
    </row>
    <row r="1615" spans="1:19" x14ac:dyDescent="0.25">
      <c r="A1615">
        <v>101408267</v>
      </c>
      <c r="B1615" t="s">
        <v>4776</v>
      </c>
      <c r="C1615" t="s">
        <v>4777</v>
      </c>
      <c r="F1615" t="str">
        <f>"5124718582"</f>
        <v>5124718582</v>
      </c>
      <c r="G1615" t="s">
        <v>4778</v>
      </c>
      <c r="H1615" t="s">
        <v>37</v>
      </c>
      <c r="I1615" t="s">
        <v>38</v>
      </c>
      <c r="J1615">
        <v>78750</v>
      </c>
      <c r="K1615">
        <v>8264</v>
      </c>
      <c r="L1615" t="s">
        <v>23</v>
      </c>
      <c r="M1615" t="s">
        <v>4778</v>
      </c>
      <c r="N1615" t="s">
        <v>37</v>
      </c>
      <c r="O1615" t="s">
        <v>38</v>
      </c>
      <c r="P1615">
        <v>78750</v>
      </c>
      <c r="Q1615">
        <v>8264</v>
      </c>
      <c r="R1615" t="s">
        <v>23</v>
      </c>
      <c r="S1615" s="1" t="s">
        <v>34218</v>
      </c>
    </row>
    <row r="1616" spans="1:19" x14ac:dyDescent="0.25">
      <c r="A1616">
        <v>101191614</v>
      </c>
      <c r="B1616" t="s">
        <v>4779</v>
      </c>
      <c r="C1616" t="s">
        <v>575</v>
      </c>
      <c r="F1616" t="str">
        <f>"5097682150"</f>
        <v>5097682150</v>
      </c>
      <c r="G1616" t="s">
        <v>4780</v>
      </c>
      <c r="H1616" t="s">
        <v>4781</v>
      </c>
      <c r="I1616" t="s">
        <v>84</v>
      </c>
      <c r="J1616">
        <v>99004</v>
      </c>
      <c r="K1616">
        <v>1879</v>
      </c>
      <c r="L1616" t="s">
        <v>23</v>
      </c>
      <c r="M1616" t="s">
        <v>4780</v>
      </c>
      <c r="N1616" t="s">
        <v>4781</v>
      </c>
      <c r="O1616" t="s">
        <v>84</v>
      </c>
      <c r="P1616">
        <v>99004</v>
      </c>
      <c r="Q1616">
        <v>1879</v>
      </c>
      <c r="R1616" t="s">
        <v>23</v>
      </c>
      <c r="S1616" s="1" t="s">
        <v>34218</v>
      </c>
    </row>
    <row r="1617" spans="1:19" x14ac:dyDescent="0.25">
      <c r="A1617">
        <v>101294055</v>
      </c>
      <c r="B1617" t="s">
        <v>3625</v>
      </c>
      <c r="C1617" t="s">
        <v>119</v>
      </c>
      <c r="F1617" t="str">
        <f>"9708468517"</f>
        <v>9708468517</v>
      </c>
      <c r="G1617" t="s">
        <v>4782</v>
      </c>
      <c r="H1617" t="s">
        <v>4764</v>
      </c>
      <c r="I1617" t="s">
        <v>71</v>
      </c>
      <c r="J1617">
        <v>81507</v>
      </c>
      <c r="K1617">
        <v>1580</v>
      </c>
      <c r="L1617" t="s">
        <v>23</v>
      </c>
      <c r="M1617" t="s">
        <v>4782</v>
      </c>
      <c r="N1617" t="s">
        <v>4764</v>
      </c>
      <c r="O1617" t="s">
        <v>71</v>
      </c>
      <c r="P1617">
        <v>81507</v>
      </c>
      <c r="Q1617">
        <v>1580</v>
      </c>
      <c r="R1617" t="s">
        <v>23</v>
      </c>
      <c r="S1617" s="1" t="s">
        <v>34218</v>
      </c>
    </row>
    <row r="1618" spans="1:19" x14ac:dyDescent="0.25">
      <c r="A1618">
        <v>101019858</v>
      </c>
      <c r="B1618" t="s">
        <v>4783</v>
      </c>
      <c r="C1618" t="s">
        <v>180</v>
      </c>
      <c r="F1618" t="str">
        <f>"2535842603"</f>
        <v>2535842603</v>
      </c>
      <c r="G1618" t="s">
        <v>4784</v>
      </c>
      <c r="H1618" t="s">
        <v>4326</v>
      </c>
      <c r="I1618" t="s">
        <v>84</v>
      </c>
      <c r="J1618">
        <v>98498</v>
      </c>
      <c r="K1618">
        <v>1151</v>
      </c>
      <c r="L1618" t="s">
        <v>23</v>
      </c>
      <c r="M1618" t="s">
        <v>4784</v>
      </c>
      <c r="N1618" t="s">
        <v>4326</v>
      </c>
      <c r="O1618" t="s">
        <v>84</v>
      </c>
      <c r="P1618">
        <v>98498</v>
      </c>
      <c r="Q1618">
        <v>1151</v>
      </c>
      <c r="R1618" t="s">
        <v>23</v>
      </c>
      <c r="S1618" s="1" t="s">
        <v>34218</v>
      </c>
    </row>
    <row r="1619" spans="1:19" x14ac:dyDescent="0.25">
      <c r="A1619">
        <v>101411739</v>
      </c>
      <c r="B1619" t="s">
        <v>4785</v>
      </c>
      <c r="C1619" t="s">
        <v>1331</v>
      </c>
      <c r="F1619" t="str">
        <f>"5555555555"</f>
        <v>5555555555</v>
      </c>
      <c r="G1619" t="s">
        <v>4786</v>
      </c>
      <c r="H1619" t="s">
        <v>4787</v>
      </c>
      <c r="I1619" t="s">
        <v>52</v>
      </c>
      <c r="J1619">
        <v>32754</v>
      </c>
      <c r="K1619">
        <v>5679</v>
      </c>
      <c r="L1619" t="s">
        <v>23</v>
      </c>
      <c r="M1619" t="s">
        <v>4786</v>
      </c>
      <c r="N1619" t="s">
        <v>4787</v>
      </c>
      <c r="O1619" t="s">
        <v>52</v>
      </c>
      <c r="P1619">
        <v>32754</v>
      </c>
      <c r="Q1619">
        <v>5679</v>
      </c>
      <c r="R1619" t="s">
        <v>23</v>
      </c>
      <c r="S1619" s="1" t="s">
        <v>34218</v>
      </c>
    </row>
    <row r="1620" spans="1:19" x14ac:dyDescent="0.25">
      <c r="A1620">
        <v>101341804</v>
      </c>
      <c r="B1620" t="s">
        <v>3383</v>
      </c>
      <c r="C1620" t="s">
        <v>4788</v>
      </c>
      <c r="F1620" t="str">
        <f>"2064596817"</f>
        <v>2064596817</v>
      </c>
      <c r="G1620" t="s">
        <v>4789</v>
      </c>
      <c r="H1620" t="s">
        <v>4790</v>
      </c>
      <c r="I1620" t="s">
        <v>22</v>
      </c>
      <c r="J1620">
        <v>92694</v>
      </c>
      <c r="K1620">
        <v>100</v>
      </c>
      <c r="L1620" t="s">
        <v>23</v>
      </c>
      <c r="M1620" t="s">
        <v>4789</v>
      </c>
      <c r="N1620" t="s">
        <v>4790</v>
      </c>
      <c r="O1620" t="s">
        <v>22</v>
      </c>
      <c r="P1620">
        <v>92694</v>
      </c>
      <c r="Q1620">
        <v>100</v>
      </c>
      <c r="R1620" t="s">
        <v>23</v>
      </c>
      <c r="S1620" s="1" t="s">
        <v>34218</v>
      </c>
    </row>
    <row r="1621" spans="1:19" x14ac:dyDescent="0.25">
      <c r="A1621">
        <v>100993459</v>
      </c>
      <c r="B1621" t="s">
        <v>4791</v>
      </c>
      <c r="C1621" t="s">
        <v>158</v>
      </c>
      <c r="F1621" t="str">
        <f>"7073387444"</f>
        <v>7073387444</v>
      </c>
      <c r="G1621" t="s">
        <v>4792</v>
      </c>
      <c r="H1621" t="s">
        <v>2175</v>
      </c>
      <c r="I1621" t="s">
        <v>52</v>
      </c>
      <c r="J1621">
        <v>34295</v>
      </c>
      <c r="K1621">
        <v>1017</v>
      </c>
      <c r="L1621" t="s">
        <v>23</v>
      </c>
      <c r="M1621" t="s">
        <v>4792</v>
      </c>
      <c r="N1621" t="s">
        <v>2175</v>
      </c>
      <c r="O1621" t="s">
        <v>52</v>
      </c>
      <c r="P1621">
        <v>34295</v>
      </c>
      <c r="Q1621">
        <v>1017</v>
      </c>
      <c r="R1621" t="s">
        <v>23</v>
      </c>
      <c r="S1621" s="1" t="s">
        <v>34218</v>
      </c>
    </row>
    <row r="1622" spans="1:19" x14ac:dyDescent="0.25">
      <c r="A1622">
        <v>101408483</v>
      </c>
      <c r="B1622" t="s">
        <v>4793</v>
      </c>
      <c r="C1622" t="s">
        <v>1873</v>
      </c>
      <c r="F1622" t="str">
        <f>"6077220232"</f>
        <v>6077220232</v>
      </c>
      <c r="G1622" t="s">
        <v>4794</v>
      </c>
      <c r="H1622" t="s">
        <v>1308</v>
      </c>
      <c r="I1622" t="s">
        <v>117</v>
      </c>
      <c r="J1622">
        <v>13903</v>
      </c>
      <c r="K1622">
        <v>1443</v>
      </c>
      <c r="L1622" t="s">
        <v>23</v>
      </c>
      <c r="M1622" t="s">
        <v>4794</v>
      </c>
      <c r="N1622" t="s">
        <v>1308</v>
      </c>
      <c r="O1622" t="s">
        <v>117</v>
      </c>
      <c r="P1622">
        <v>13903</v>
      </c>
      <c r="Q1622">
        <v>1443</v>
      </c>
      <c r="R1622" t="s">
        <v>23</v>
      </c>
      <c r="S1622" s="1" t="s">
        <v>34218</v>
      </c>
    </row>
    <row r="1623" spans="1:19" x14ac:dyDescent="0.25">
      <c r="A1623">
        <v>100732924</v>
      </c>
      <c r="B1623" t="s">
        <v>4795</v>
      </c>
      <c r="C1623" t="s">
        <v>959</v>
      </c>
      <c r="F1623" t="str">
        <f>"3237985039"</f>
        <v>3237985039</v>
      </c>
      <c r="G1623" t="s">
        <v>4796</v>
      </c>
      <c r="H1623" t="s">
        <v>299</v>
      </c>
      <c r="I1623" t="s">
        <v>22</v>
      </c>
      <c r="J1623">
        <v>90027</v>
      </c>
      <c r="K1623">
        <v>3480</v>
      </c>
      <c r="L1623" t="s">
        <v>23</v>
      </c>
      <c r="M1623" t="s">
        <v>4796</v>
      </c>
      <c r="N1623" t="s">
        <v>299</v>
      </c>
      <c r="O1623" t="s">
        <v>22</v>
      </c>
      <c r="P1623">
        <v>90027</v>
      </c>
      <c r="Q1623">
        <v>3480</v>
      </c>
      <c r="R1623" t="s">
        <v>23</v>
      </c>
      <c r="S1623" s="1" t="s">
        <v>34218</v>
      </c>
    </row>
    <row r="1624" spans="1:19" x14ac:dyDescent="0.25">
      <c r="A1624">
        <v>101257514</v>
      </c>
      <c r="B1624" t="s">
        <v>4797</v>
      </c>
      <c r="C1624" t="s">
        <v>1124</v>
      </c>
      <c r="F1624" t="str">
        <f>"9163625003"</f>
        <v>9163625003</v>
      </c>
      <c r="G1624" t="s">
        <v>4798</v>
      </c>
      <c r="H1624" t="s">
        <v>4799</v>
      </c>
      <c r="I1624" t="s">
        <v>22</v>
      </c>
      <c r="J1624">
        <v>95670</v>
      </c>
      <c r="K1624">
        <v>3637</v>
      </c>
      <c r="L1624" t="s">
        <v>23</v>
      </c>
      <c r="M1624" t="s">
        <v>4798</v>
      </c>
      <c r="N1624" t="s">
        <v>4799</v>
      </c>
      <c r="O1624" t="s">
        <v>22</v>
      </c>
      <c r="P1624">
        <v>95670</v>
      </c>
      <c r="Q1624">
        <v>3637</v>
      </c>
      <c r="R1624" t="s">
        <v>23</v>
      </c>
      <c r="S1624" s="1" t="s">
        <v>34218</v>
      </c>
    </row>
    <row r="1625" spans="1:19" x14ac:dyDescent="0.25">
      <c r="A1625">
        <v>101052496</v>
      </c>
      <c r="B1625" t="s">
        <v>2132</v>
      </c>
      <c r="C1625" t="s">
        <v>4800</v>
      </c>
      <c r="F1625" t="str">
        <f>"2122345678"</f>
        <v>2122345678</v>
      </c>
      <c r="G1625" t="s">
        <v>4801</v>
      </c>
      <c r="H1625" t="s">
        <v>653</v>
      </c>
      <c r="I1625" t="s">
        <v>117</v>
      </c>
      <c r="J1625">
        <v>10025</v>
      </c>
      <c r="K1625">
        <v>1680</v>
      </c>
      <c r="L1625" t="s">
        <v>23</v>
      </c>
      <c r="M1625" t="s">
        <v>4801</v>
      </c>
      <c r="N1625" t="s">
        <v>653</v>
      </c>
      <c r="O1625" t="s">
        <v>117</v>
      </c>
      <c r="P1625">
        <v>10025</v>
      </c>
      <c r="Q1625">
        <v>1680</v>
      </c>
      <c r="R1625" t="s">
        <v>23</v>
      </c>
      <c r="S1625" s="1" t="s">
        <v>34218</v>
      </c>
    </row>
    <row r="1626" spans="1:19" x14ac:dyDescent="0.25">
      <c r="A1626">
        <v>101335510</v>
      </c>
      <c r="B1626" t="s">
        <v>4802</v>
      </c>
      <c r="C1626" t="s">
        <v>247</v>
      </c>
      <c r="F1626" t="str">
        <f>"8282870585"</f>
        <v>8282870585</v>
      </c>
      <c r="G1626" t="s">
        <v>4803</v>
      </c>
      <c r="H1626" t="s">
        <v>4804</v>
      </c>
      <c r="I1626" t="s">
        <v>446</v>
      </c>
      <c r="J1626">
        <v>28139</v>
      </c>
      <c r="K1626">
        <v>5305</v>
      </c>
      <c r="L1626" t="s">
        <v>23</v>
      </c>
      <c r="M1626" t="s">
        <v>4803</v>
      </c>
      <c r="N1626" t="s">
        <v>4804</v>
      </c>
      <c r="O1626" t="s">
        <v>446</v>
      </c>
      <c r="P1626">
        <v>28139</v>
      </c>
      <c r="Q1626">
        <v>5305</v>
      </c>
      <c r="R1626" t="s">
        <v>23</v>
      </c>
      <c r="S1626" s="1" t="s">
        <v>34218</v>
      </c>
    </row>
    <row r="1627" spans="1:19" x14ac:dyDescent="0.25">
      <c r="A1627">
        <v>100542477</v>
      </c>
      <c r="B1627" t="s">
        <v>4805</v>
      </c>
      <c r="C1627" t="s">
        <v>621</v>
      </c>
      <c r="F1627" t="str">
        <f>"7247126723"</f>
        <v>7247126723</v>
      </c>
      <c r="G1627" t="s">
        <v>4806</v>
      </c>
      <c r="H1627" t="s">
        <v>2802</v>
      </c>
      <c r="I1627" t="s">
        <v>33</v>
      </c>
      <c r="J1627">
        <v>15055</v>
      </c>
      <c r="K1627">
        <v>1042</v>
      </c>
      <c r="L1627" t="s">
        <v>23</v>
      </c>
      <c r="M1627" t="s">
        <v>4806</v>
      </c>
      <c r="N1627" t="s">
        <v>2802</v>
      </c>
      <c r="O1627" t="s">
        <v>33</v>
      </c>
      <c r="P1627">
        <v>15055</v>
      </c>
      <c r="Q1627">
        <v>1042</v>
      </c>
      <c r="R1627" t="s">
        <v>23</v>
      </c>
      <c r="S1627" s="1" t="s">
        <v>34218</v>
      </c>
    </row>
    <row r="1628" spans="1:19" x14ac:dyDescent="0.25">
      <c r="A1628">
        <v>100742204</v>
      </c>
      <c r="B1628" t="s">
        <v>3098</v>
      </c>
      <c r="C1628" t="s">
        <v>180</v>
      </c>
      <c r="F1628" t="str">
        <f>"8315555555"</f>
        <v>8315555555</v>
      </c>
      <c r="G1628" t="s">
        <v>4807</v>
      </c>
      <c r="H1628" t="s">
        <v>2296</v>
      </c>
      <c r="I1628" t="s">
        <v>22</v>
      </c>
      <c r="J1628">
        <v>95003</v>
      </c>
      <c r="K1628">
        <v>9762</v>
      </c>
      <c r="L1628" t="s">
        <v>23</v>
      </c>
      <c r="M1628" t="s">
        <v>4807</v>
      </c>
      <c r="N1628" t="s">
        <v>2296</v>
      </c>
      <c r="O1628" t="s">
        <v>22</v>
      </c>
      <c r="P1628">
        <v>95003</v>
      </c>
      <c r="Q1628">
        <v>9762</v>
      </c>
      <c r="R1628" t="s">
        <v>23</v>
      </c>
      <c r="S1628" s="1" t="s">
        <v>34218</v>
      </c>
    </row>
    <row r="1629" spans="1:19" x14ac:dyDescent="0.25">
      <c r="A1629">
        <v>100551578</v>
      </c>
      <c r="B1629" t="s">
        <v>4808</v>
      </c>
      <c r="C1629" t="s">
        <v>30</v>
      </c>
      <c r="F1629" t="str">
        <f>"5086676719"</f>
        <v>5086676719</v>
      </c>
      <c r="G1629" t="s">
        <v>4809</v>
      </c>
      <c r="H1629" t="s">
        <v>4810</v>
      </c>
      <c r="I1629" t="s">
        <v>236</v>
      </c>
      <c r="J1629">
        <v>1609</v>
      </c>
      <c r="K1629">
        <v>2089</v>
      </c>
      <c r="L1629" t="s">
        <v>23</v>
      </c>
      <c r="M1629" t="s">
        <v>4809</v>
      </c>
      <c r="N1629" t="s">
        <v>4810</v>
      </c>
      <c r="O1629" t="s">
        <v>236</v>
      </c>
      <c r="P1629">
        <v>1609</v>
      </c>
      <c r="Q1629">
        <v>2089</v>
      </c>
      <c r="R1629" t="s">
        <v>23</v>
      </c>
      <c r="S1629" s="1" t="s">
        <v>34218</v>
      </c>
    </row>
    <row r="1630" spans="1:19" x14ac:dyDescent="0.25">
      <c r="A1630">
        <v>100559579</v>
      </c>
      <c r="B1630" t="s">
        <v>4811</v>
      </c>
      <c r="C1630" t="s">
        <v>4812</v>
      </c>
      <c r="F1630" t="str">
        <f>"5207950281"</f>
        <v>5207950281</v>
      </c>
      <c r="G1630" t="s">
        <v>4813</v>
      </c>
      <c r="H1630" t="s">
        <v>1439</v>
      </c>
      <c r="I1630" t="s">
        <v>365</v>
      </c>
      <c r="J1630">
        <v>85719</v>
      </c>
      <c r="K1630">
        <v>2441</v>
      </c>
      <c r="L1630" t="s">
        <v>23</v>
      </c>
      <c r="M1630" t="s">
        <v>4813</v>
      </c>
      <c r="N1630" t="s">
        <v>1439</v>
      </c>
      <c r="O1630" t="s">
        <v>365</v>
      </c>
      <c r="P1630">
        <v>85719</v>
      </c>
      <c r="Q1630">
        <v>2441</v>
      </c>
      <c r="R1630" t="s">
        <v>23</v>
      </c>
      <c r="S1630" s="1" t="s">
        <v>34218</v>
      </c>
    </row>
    <row r="1631" spans="1:19" x14ac:dyDescent="0.25">
      <c r="A1631">
        <v>100775804</v>
      </c>
      <c r="B1631" t="s">
        <v>4814</v>
      </c>
      <c r="C1631" t="s">
        <v>119</v>
      </c>
      <c r="F1631" t="str">
        <f>"7702427835"</f>
        <v>7702427835</v>
      </c>
      <c r="G1631" t="s">
        <v>4815</v>
      </c>
      <c r="H1631" t="s">
        <v>2178</v>
      </c>
      <c r="I1631" t="s">
        <v>28</v>
      </c>
      <c r="J1631">
        <v>30096</v>
      </c>
      <c r="K1631">
        <v>6033</v>
      </c>
      <c r="L1631" t="s">
        <v>23</v>
      </c>
      <c r="M1631" t="s">
        <v>4815</v>
      </c>
      <c r="N1631" t="s">
        <v>2178</v>
      </c>
      <c r="O1631" t="s">
        <v>28</v>
      </c>
      <c r="P1631">
        <v>30096</v>
      </c>
      <c r="Q1631">
        <v>6033</v>
      </c>
      <c r="R1631" t="s">
        <v>23</v>
      </c>
      <c r="S1631" s="1" t="s">
        <v>34218</v>
      </c>
    </row>
    <row r="1632" spans="1:19" x14ac:dyDescent="0.25">
      <c r="A1632">
        <v>101314532</v>
      </c>
      <c r="B1632" t="s">
        <v>2637</v>
      </c>
      <c r="C1632" t="s">
        <v>874</v>
      </c>
      <c r="F1632" t="str">
        <f>"9737465695"</f>
        <v>9737465695</v>
      </c>
      <c r="G1632" t="s">
        <v>4816</v>
      </c>
      <c r="H1632" t="s">
        <v>4817</v>
      </c>
      <c r="I1632" t="s">
        <v>250</v>
      </c>
      <c r="J1632">
        <v>7042</v>
      </c>
      <c r="L1632" t="s">
        <v>23</v>
      </c>
      <c r="M1632" t="s">
        <v>4816</v>
      </c>
      <c r="N1632" t="s">
        <v>4817</v>
      </c>
      <c r="O1632" t="s">
        <v>250</v>
      </c>
      <c r="P1632">
        <v>7042</v>
      </c>
      <c r="R1632" t="s">
        <v>23</v>
      </c>
      <c r="S1632" s="1" t="s">
        <v>34218</v>
      </c>
    </row>
    <row r="1633" spans="1:19" x14ac:dyDescent="0.25">
      <c r="A1633">
        <v>100801567</v>
      </c>
      <c r="B1633" t="s">
        <v>3708</v>
      </c>
      <c r="C1633" t="s">
        <v>286</v>
      </c>
      <c r="F1633" t="str">
        <f>"3152208083"</f>
        <v>3152208083</v>
      </c>
      <c r="G1633" t="s">
        <v>4818</v>
      </c>
      <c r="H1633" t="s">
        <v>4819</v>
      </c>
      <c r="I1633" t="s">
        <v>117</v>
      </c>
      <c r="J1633">
        <v>13165</v>
      </c>
      <c r="K1633">
        <v>1351</v>
      </c>
      <c r="L1633" t="s">
        <v>23</v>
      </c>
      <c r="M1633" t="s">
        <v>4818</v>
      </c>
      <c r="N1633" t="s">
        <v>4819</v>
      </c>
      <c r="O1633" t="s">
        <v>117</v>
      </c>
      <c r="P1633">
        <v>13165</v>
      </c>
      <c r="Q1633">
        <v>1351</v>
      </c>
      <c r="R1633" t="s">
        <v>23</v>
      </c>
      <c r="S1633" s="1" t="s">
        <v>34218</v>
      </c>
    </row>
    <row r="1634" spans="1:19" x14ac:dyDescent="0.25">
      <c r="A1634">
        <v>100890400</v>
      </c>
      <c r="B1634" t="s">
        <v>4820</v>
      </c>
      <c r="C1634" t="s">
        <v>1906</v>
      </c>
      <c r="F1634" t="str">
        <f>"5088653472"</f>
        <v>5088653472</v>
      </c>
      <c r="G1634" t="s">
        <v>4821</v>
      </c>
      <c r="H1634" t="s">
        <v>4822</v>
      </c>
      <c r="I1634" t="s">
        <v>236</v>
      </c>
      <c r="J1634">
        <v>1527</v>
      </c>
      <c r="K1634">
        <v>3450</v>
      </c>
      <c r="L1634" t="s">
        <v>23</v>
      </c>
      <c r="M1634" t="s">
        <v>4821</v>
      </c>
      <c r="N1634" t="s">
        <v>4822</v>
      </c>
      <c r="O1634" t="s">
        <v>236</v>
      </c>
      <c r="P1634">
        <v>1527</v>
      </c>
      <c r="Q1634">
        <v>3450</v>
      </c>
      <c r="R1634" t="s">
        <v>23</v>
      </c>
      <c r="S1634" s="1" t="s">
        <v>34218</v>
      </c>
    </row>
    <row r="1635" spans="1:19" x14ac:dyDescent="0.25">
      <c r="A1635">
        <v>100633261</v>
      </c>
      <c r="B1635" t="s">
        <v>4823</v>
      </c>
      <c r="C1635" t="s">
        <v>4824</v>
      </c>
      <c r="F1635" t="str">
        <f>"9255229723"</f>
        <v>9255229723</v>
      </c>
      <c r="G1635" t="s">
        <v>4825</v>
      </c>
      <c r="H1635" t="s">
        <v>4826</v>
      </c>
      <c r="I1635" t="s">
        <v>2310</v>
      </c>
      <c r="J1635">
        <v>19971</v>
      </c>
      <c r="K1635">
        <v>4100</v>
      </c>
      <c r="L1635" t="s">
        <v>23</v>
      </c>
      <c r="M1635" t="s">
        <v>4825</v>
      </c>
      <c r="N1635" t="s">
        <v>4826</v>
      </c>
      <c r="O1635" t="s">
        <v>2310</v>
      </c>
      <c r="P1635">
        <v>19971</v>
      </c>
      <c r="Q1635">
        <v>4100</v>
      </c>
      <c r="R1635" t="s">
        <v>23</v>
      </c>
      <c r="S1635" s="1" t="s">
        <v>34218</v>
      </c>
    </row>
    <row r="1636" spans="1:19" x14ac:dyDescent="0.25">
      <c r="A1636">
        <v>100636912</v>
      </c>
      <c r="B1636" t="s">
        <v>4827</v>
      </c>
      <c r="C1636" t="s">
        <v>4828</v>
      </c>
      <c r="F1636" t="str">
        <f>"2016564802"</f>
        <v>2016564802</v>
      </c>
      <c r="G1636" t="s">
        <v>4829</v>
      </c>
      <c r="H1636" t="s">
        <v>4830</v>
      </c>
      <c r="I1636" t="s">
        <v>250</v>
      </c>
      <c r="J1636">
        <v>7030</v>
      </c>
      <c r="K1636">
        <v>2250</v>
      </c>
      <c r="L1636" t="s">
        <v>23</v>
      </c>
      <c r="M1636" t="s">
        <v>4829</v>
      </c>
      <c r="N1636" t="s">
        <v>4830</v>
      </c>
      <c r="O1636" t="s">
        <v>250</v>
      </c>
      <c r="P1636">
        <v>7030</v>
      </c>
      <c r="Q1636">
        <v>2250</v>
      </c>
      <c r="R1636" t="s">
        <v>23</v>
      </c>
      <c r="S1636" s="1" t="s">
        <v>34218</v>
      </c>
    </row>
    <row r="1637" spans="1:19" x14ac:dyDescent="0.25">
      <c r="A1637">
        <v>100854044</v>
      </c>
      <c r="B1637" t="s">
        <v>4831</v>
      </c>
      <c r="C1637" t="s">
        <v>4832</v>
      </c>
      <c r="F1637" t="str">
        <f>"2018662915"</f>
        <v>2018662915</v>
      </c>
      <c r="G1637" t="s">
        <v>4833</v>
      </c>
      <c r="H1637" t="s">
        <v>4834</v>
      </c>
      <c r="I1637" t="s">
        <v>250</v>
      </c>
      <c r="J1637">
        <v>7086</v>
      </c>
      <c r="K1637">
        <v>7072</v>
      </c>
      <c r="L1637" t="s">
        <v>23</v>
      </c>
      <c r="M1637" t="s">
        <v>4833</v>
      </c>
      <c r="N1637" t="s">
        <v>4834</v>
      </c>
      <c r="O1637" t="s">
        <v>250</v>
      </c>
      <c r="P1637">
        <v>7086</v>
      </c>
      <c r="Q1637">
        <v>7072</v>
      </c>
      <c r="R1637" t="s">
        <v>23</v>
      </c>
      <c r="S1637" s="1" t="s">
        <v>34218</v>
      </c>
    </row>
    <row r="1638" spans="1:19" x14ac:dyDescent="0.25">
      <c r="A1638">
        <v>101072073</v>
      </c>
      <c r="B1638" t="s">
        <v>4835</v>
      </c>
      <c r="C1638" t="s">
        <v>266</v>
      </c>
      <c r="F1638" t="str">
        <f>"8314233746"</f>
        <v>8314233746</v>
      </c>
      <c r="G1638" t="s">
        <v>4836</v>
      </c>
      <c r="H1638" t="s">
        <v>1293</v>
      </c>
      <c r="I1638" t="s">
        <v>22</v>
      </c>
      <c r="J1638">
        <v>95060</v>
      </c>
      <c r="K1638">
        <v>3640</v>
      </c>
      <c r="L1638" t="s">
        <v>23</v>
      </c>
      <c r="M1638" t="s">
        <v>4836</v>
      </c>
      <c r="N1638" t="s">
        <v>1293</v>
      </c>
      <c r="O1638" t="s">
        <v>22</v>
      </c>
      <c r="P1638">
        <v>95060</v>
      </c>
      <c r="Q1638">
        <v>3640</v>
      </c>
      <c r="R1638" t="s">
        <v>23</v>
      </c>
      <c r="S1638" s="1" t="s">
        <v>34218</v>
      </c>
    </row>
    <row r="1639" spans="1:19" x14ac:dyDescent="0.25">
      <c r="A1639">
        <v>100898895</v>
      </c>
      <c r="B1639" t="s">
        <v>4837</v>
      </c>
      <c r="C1639" t="s">
        <v>4838</v>
      </c>
      <c r="F1639" t="str">
        <f>"7183886569"</f>
        <v>7183886569</v>
      </c>
      <c r="G1639" t="s">
        <v>4839</v>
      </c>
      <c r="H1639" t="s">
        <v>412</v>
      </c>
      <c r="I1639" t="s">
        <v>117</v>
      </c>
      <c r="J1639">
        <v>11206</v>
      </c>
      <c r="K1639">
        <v>1936</v>
      </c>
      <c r="L1639" t="s">
        <v>23</v>
      </c>
      <c r="M1639" t="s">
        <v>4839</v>
      </c>
      <c r="N1639" t="s">
        <v>412</v>
      </c>
      <c r="O1639" t="s">
        <v>117</v>
      </c>
      <c r="P1639">
        <v>11206</v>
      </c>
      <c r="Q1639">
        <v>1936</v>
      </c>
      <c r="R1639" t="s">
        <v>23</v>
      </c>
      <c r="S1639" s="1" t="s">
        <v>34218</v>
      </c>
    </row>
    <row r="1640" spans="1:19" x14ac:dyDescent="0.25">
      <c r="A1640">
        <v>100908647</v>
      </c>
      <c r="B1640" t="s">
        <v>4840</v>
      </c>
      <c r="C1640" t="s">
        <v>440</v>
      </c>
      <c r="F1640" t="str">
        <f>"3604573859"</f>
        <v>3604573859</v>
      </c>
      <c r="G1640" t="s">
        <v>4841</v>
      </c>
      <c r="H1640" t="s">
        <v>2215</v>
      </c>
      <c r="I1640" t="s">
        <v>84</v>
      </c>
      <c r="J1640">
        <v>98362</v>
      </c>
      <c r="K1640">
        <v>3101</v>
      </c>
      <c r="L1640" t="s">
        <v>23</v>
      </c>
      <c r="M1640" t="s">
        <v>4841</v>
      </c>
      <c r="N1640" t="s">
        <v>2215</v>
      </c>
      <c r="O1640" t="s">
        <v>84</v>
      </c>
      <c r="P1640">
        <v>98362</v>
      </c>
      <c r="Q1640">
        <v>3101</v>
      </c>
      <c r="R1640" t="s">
        <v>23</v>
      </c>
      <c r="S1640" s="1" t="s">
        <v>34218</v>
      </c>
    </row>
    <row r="1641" spans="1:19" x14ac:dyDescent="0.25">
      <c r="A1641">
        <v>100715481</v>
      </c>
      <c r="B1641" t="s">
        <v>4842</v>
      </c>
      <c r="C1641" t="s">
        <v>1376</v>
      </c>
      <c r="F1641" t="str">
        <f>"7165551212"</f>
        <v>7165551212</v>
      </c>
      <c r="G1641" t="s">
        <v>4843</v>
      </c>
      <c r="H1641" t="s">
        <v>4844</v>
      </c>
      <c r="I1641" t="s">
        <v>117</v>
      </c>
      <c r="J1641">
        <v>14779</v>
      </c>
      <c r="K1641">
        <v>1519</v>
      </c>
      <c r="L1641" t="s">
        <v>23</v>
      </c>
      <c r="M1641" t="s">
        <v>4843</v>
      </c>
      <c r="N1641" t="s">
        <v>4844</v>
      </c>
      <c r="O1641" t="s">
        <v>117</v>
      </c>
      <c r="P1641">
        <v>14779</v>
      </c>
      <c r="Q1641">
        <v>1519</v>
      </c>
      <c r="R1641" t="s">
        <v>23</v>
      </c>
      <c r="S1641" s="1" t="s">
        <v>34218</v>
      </c>
    </row>
    <row r="1642" spans="1:19" x14ac:dyDescent="0.25">
      <c r="A1642">
        <v>100920376</v>
      </c>
      <c r="B1642" t="s">
        <v>2712</v>
      </c>
      <c r="C1642" t="s">
        <v>4845</v>
      </c>
      <c r="F1642" t="str">
        <f>"6055943851"</f>
        <v>6055943851</v>
      </c>
      <c r="G1642" t="s">
        <v>4846</v>
      </c>
      <c r="H1642" t="s">
        <v>4847</v>
      </c>
      <c r="I1642" t="s">
        <v>4652</v>
      </c>
      <c r="J1642">
        <v>57030</v>
      </c>
      <c r="K1642">
        <v>6020</v>
      </c>
      <c r="L1642" t="s">
        <v>23</v>
      </c>
      <c r="M1642" t="s">
        <v>4846</v>
      </c>
      <c r="N1642" t="s">
        <v>4847</v>
      </c>
      <c r="O1642" t="s">
        <v>4652</v>
      </c>
      <c r="P1642">
        <v>57030</v>
      </c>
      <c r="Q1642">
        <v>6020</v>
      </c>
      <c r="R1642" t="s">
        <v>23</v>
      </c>
      <c r="S1642" s="1" t="s">
        <v>34218</v>
      </c>
    </row>
    <row r="1643" spans="1:19" x14ac:dyDescent="0.25">
      <c r="A1643">
        <v>100940155</v>
      </c>
      <c r="B1643" t="s">
        <v>4848</v>
      </c>
      <c r="C1643" t="s">
        <v>1581</v>
      </c>
      <c r="F1643" t="str">
        <f>"3129680988"</f>
        <v>3129680988</v>
      </c>
      <c r="G1643" t="s">
        <v>4849</v>
      </c>
      <c r="H1643" t="s">
        <v>4850</v>
      </c>
      <c r="I1643" t="s">
        <v>135</v>
      </c>
      <c r="J1643">
        <v>62661</v>
      </c>
      <c r="K1643">
        <v>3155</v>
      </c>
      <c r="L1643" t="s">
        <v>23</v>
      </c>
      <c r="M1643" t="s">
        <v>4849</v>
      </c>
      <c r="N1643" t="s">
        <v>4850</v>
      </c>
      <c r="O1643" t="s">
        <v>135</v>
      </c>
      <c r="P1643">
        <v>62661</v>
      </c>
      <c r="Q1643">
        <v>3155</v>
      </c>
      <c r="R1643" t="s">
        <v>23</v>
      </c>
      <c r="S1643" s="1" t="s">
        <v>34218</v>
      </c>
    </row>
    <row r="1644" spans="1:19" x14ac:dyDescent="0.25">
      <c r="A1644">
        <v>100961539</v>
      </c>
      <c r="B1644" t="s">
        <v>4851</v>
      </c>
      <c r="C1644" t="s">
        <v>846</v>
      </c>
      <c r="F1644" t="str">
        <f>"4808319417"</f>
        <v>4808319417</v>
      </c>
      <c r="G1644" t="s">
        <v>4852</v>
      </c>
      <c r="H1644" t="s">
        <v>625</v>
      </c>
      <c r="I1644" t="s">
        <v>365</v>
      </c>
      <c r="J1644">
        <v>85207</v>
      </c>
      <c r="K1644">
        <v>4539</v>
      </c>
      <c r="L1644" t="s">
        <v>23</v>
      </c>
      <c r="M1644" t="s">
        <v>4852</v>
      </c>
      <c r="N1644" t="s">
        <v>625</v>
      </c>
      <c r="O1644" t="s">
        <v>365</v>
      </c>
      <c r="P1644">
        <v>85207</v>
      </c>
      <c r="Q1644">
        <v>4539</v>
      </c>
      <c r="R1644" t="s">
        <v>23</v>
      </c>
      <c r="S1644" s="1" t="s">
        <v>34218</v>
      </c>
    </row>
    <row r="1645" spans="1:19" x14ac:dyDescent="0.25">
      <c r="A1645">
        <v>101149124</v>
      </c>
      <c r="B1645" t="s">
        <v>4853</v>
      </c>
      <c r="C1645" t="s">
        <v>4854</v>
      </c>
      <c r="F1645" t="str">
        <f>"7607897824"</f>
        <v>7607897824</v>
      </c>
      <c r="G1645" t="s">
        <v>4855</v>
      </c>
      <c r="H1645" t="s">
        <v>4856</v>
      </c>
      <c r="I1645" t="s">
        <v>22</v>
      </c>
      <c r="J1645">
        <v>92065</v>
      </c>
      <c r="K1645">
        <v>4349</v>
      </c>
      <c r="L1645" t="s">
        <v>23</v>
      </c>
      <c r="M1645" t="s">
        <v>4855</v>
      </c>
      <c r="N1645" t="s">
        <v>4856</v>
      </c>
      <c r="O1645" t="s">
        <v>22</v>
      </c>
      <c r="P1645">
        <v>92065</v>
      </c>
      <c r="Q1645">
        <v>4349</v>
      </c>
      <c r="R1645" t="s">
        <v>23</v>
      </c>
      <c r="S1645" s="1" t="s">
        <v>34218</v>
      </c>
    </row>
    <row r="1646" spans="1:19" x14ac:dyDescent="0.25">
      <c r="A1646">
        <v>100602560</v>
      </c>
      <c r="B1646" t="s">
        <v>2490</v>
      </c>
      <c r="C1646" t="s">
        <v>4857</v>
      </c>
      <c r="F1646" t="str">
        <f>"3015271199"</f>
        <v>3015271199</v>
      </c>
      <c r="G1646" t="s">
        <v>4858</v>
      </c>
      <c r="H1646" t="s">
        <v>4859</v>
      </c>
      <c r="I1646" t="s">
        <v>148</v>
      </c>
      <c r="J1646">
        <v>20878</v>
      </c>
      <c r="K1646">
        <v>5608</v>
      </c>
      <c r="L1646" t="s">
        <v>23</v>
      </c>
      <c r="M1646" t="s">
        <v>4858</v>
      </c>
      <c r="N1646" t="s">
        <v>4859</v>
      </c>
      <c r="O1646" t="s">
        <v>148</v>
      </c>
      <c r="P1646">
        <v>20878</v>
      </c>
      <c r="Q1646">
        <v>5608</v>
      </c>
      <c r="R1646" t="s">
        <v>23</v>
      </c>
      <c r="S1646" s="1" t="s">
        <v>34218</v>
      </c>
    </row>
    <row r="1647" spans="1:19" x14ac:dyDescent="0.25">
      <c r="A1647">
        <v>100813065</v>
      </c>
      <c r="B1647" t="s">
        <v>4860</v>
      </c>
      <c r="C1647" t="s">
        <v>4861</v>
      </c>
      <c r="F1647" t="str">
        <f>"2694291284"</f>
        <v>2694291284</v>
      </c>
      <c r="G1647" t="s">
        <v>4862</v>
      </c>
      <c r="H1647" t="s">
        <v>4863</v>
      </c>
      <c r="I1647" t="s">
        <v>140</v>
      </c>
      <c r="J1647">
        <v>49127</v>
      </c>
      <c r="K1647">
        <v>9659</v>
      </c>
      <c r="L1647" t="s">
        <v>23</v>
      </c>
      <c r="M1647" t="s">
        <v>4862</v>
      </c>
      <c r="N1647" t="s">
        <v>4863</v>
      </c>
      <c r="O1647" t="s">
        <v>140</v>
      </c>
      <c r="P1647">
        <v>49127</v>
      </c>
      <c r="Q1647">
        <v>9659</v>
      </c>
      <c r="R1647" t="s">
        <v>23</v>
      </c>
      <c r="S1647" s="1" t="s">
        <v>34218</v>
      </c>
    </row>
    <row r="1648" spans="1:19" x14ac:dyDescent="0.25">
      <c r="A1648">
        <v>101232523</v>
      </c>
      <c r="B1648" t="s">
        <v>4864</v>
      </c>
      <c r="C1648" t="s">
        <v>406</v>
      </c>
      <c r="F1648" t="str">
        <f>"9149078337"</f>
        <v>9149078337</v>
      </c>
      <c r="G1648" t="s">
        <v>4865</v>
      </c>
      <c r="H1648" t="s">
        <v>4866</v>
      </c>
      <c r="I1648" t="s">
        <v>22</v>
      </c>
      <c r="J1648">
        <v>92264</v>
      </c>
      <c r="K1648">
        <v>9196</v>
      </c>
      <c r="L1648" t="s">
        <v>23</v>
      </c>
      <c r="M1648" t="s">
        <v>4865</v>
      </c>
      <c r="N1648" t="s">
        <v>4866</v>
      </c>
      <c r="O1648" t="s">
        <v>22</v>
      </c>
      <c r="P1648">
        <v>92264</v>
      </c>
      <c r="Q1648">
        <v>9196</v>
      </c>
      <c r="R1648" t="s">
        <v>23</v>
      </c>
      <c r="S1648" s="1" t="s">
        <v>34218</v>
      </c>
    </row>
    <row r="1649" spans="1:19" x14ac:dyDescent="0.25">
      <c r="A1649">
        <v>100999242</v>
      </c>
      <c r="B1649" t="s">
        <v>4867</v>
      </c>
      <c r="C1649" t="s">
        <v>1036</v>
      </c>
      <c r="F1649" t="str">
        <f>"7407019793"</f>
        <v>7407019793</v>
      </c>
      <c r="G1649" t="s">
        <v>4868</v>
      </c>
      <c r="H1649" t="s">
        <v>4869</v>
      </c>
      <c r="I1649" t="s">
        <v>178</v>
      </c>
      <c r="J1649">
        <v>45601</v>
      </c>
      <c r="K1649">
        <v>9466</v>
      </c>
      <c r="L1649" t="s">
        <v>23</v>
      </c>
      <c r="M1649" t="s">
        <v>4868</v>
      </c>
      <c r="N1649" t="s">
        <v>4869</v>
      </c>
      <c r="O1649" t="s">
        <v>178</v>
      </c>
      <c r="P1649">
        <v>45601</v>
      </c>
      <c r="Q1649">
        <v>9466</v>
      </c>
      <c r="R1649" t="s">
        <v>23</v>
      </c>
      <c r="S1649" s="1" t="s">
        <v>34218</v>
      </c>
    </row>
    <row r="1650" spans="1:19" x14ac:dyDescent="0.25">
      <c r="A1650">
        <v>101007929</v>
      </c>
      <c r="B1650" t="s">
        <v>4058</v>
      </c>
      <c r="C1650" t="s">
        <v>274</v>
      </c>
      <c r="F1650" t="str">
        <f>"9316456995"</f>
        <v>9316456995</v>
      </c>
      <c r="G1650" t="s">
        <v>4870</v>
      </c>
      <c r="H1650" t="s">
        <v>4871</v>
      </c>
      <c r="I1650" t="s">
        <v>914</v>
      </c>
      <c r="J1650">
        <v>37191</v>
      </c>
      <c r="K1650">
        <v>9202</v>
      </c>
      <c r="L1650" t="s">
        <v>23</v>
      </c>
      <c r="M1650" t="s">
        <v>4870</v>
      </c>
      <c r="N1650" t="s">
        <v>4871</v>
      </c>
      <c r="O1650" t="s">
        <v>914</v>
      </c>
      <c r="P1650">
        <v>37191</v>
      </c>
      <c r="Q1650">
        <v>9202</v>
      </c>
      <c r="R1650" t="s">
        <v>23</v>
      </c>
      <c r="S1650" s="1" t="s">
        <v>34218</v>
      </c>
    </row>
    <row r="1651" spans="1:19" x14ac:dyDescent="0.25">
      <c r="A1651">
        <v>101061609</v>
      </c>
      <c r="B1651" t="s">
        <v>4872</v>
      </c>
      <c r="C1651" t="s">
        <v>627</v>
      </c>
      <c r="F1651" t="str">
        <f>"9787686229"</f>
        <v>9787686229</v>
      </c>
      <c r="G1651" t="s">
        <v>4873</v>
      </c>
      <c r="H1651" t="s">
        <v>4874</v>
      </c>
      <c r="I1651" t="s">
        <v>236</v>
      </c>
      <c r="J1651">
        <v>1929</v>
      </c>
      <c r="K1651">
        <v>1061</v>
      </c>
      <c r="L1651" t="s">
        <v>23</v>
      </c>
      <c r="M1651" t="s">
        <v>4873</v>
      </c>
      <c r="N1651" t="s">
        <v>4874</v>
      </c>
      <c r="O1651" t="s">
        <v>236</v>
      </c>
      <c r="P1651">
        <v>1929</v>
      </c>
      <c r="Q1651">
        <v>1061</v>
      </c>
      <c r="R1651" t="s">
        <v>23</v>
      </c>
      <c r="S1651" s="1" t="s">
        <v>34218</v>
      </c>
    </row>
    <row r="1652" spans="1:19" x14ac:dyDescent="0.25">
      <c r="A1652">
        <v>101265795</v>
      </c>
      <c r="B1652" t="s">
        <v>4875</v>
      </c>
      <c r="C1652" t="s">
        <v>1153</v>
      </c>
      <c r="F1652" t="str">
        <f>"8148997512"</f>
        <v>8148997512</v>
      </c>
      <c r="G1652" t="s">
        <v>4876</v>
      </c>
      <c r="H1652" t="s">
        <v>511</v>
      </c>
      <c r="I1652" t="s">
        <v>33</v>
      </c>
      <c r="J1652">
        <v>16510</v>
      </c>
      <c r="K1652">
        <v>3228</v>
      </c>
      <c r="L1652" t="s">
        <v>23</v>
      </c>
      <c r="M1652" t="s">
        <v>4876</v>
      </c>
      <c r="N1652" t="s">
        <v>511</v>
      </c>
      <c r="O1652" t="s">
        <v>33</v>
      </c>
      <c r="P1652">
        <v>16510</v>
      </c>
      <c r="Q1652">
        <v>3228</v>
      </c>
      <c r="R1652" t="s">
        <v>23</v>
      </c>
      <c r="S1652" s="1" t="s">
        <v>34218</v>
      </c>
    </row>
    <row r="1653" spans="1:19" x14ac:dyDescent="0.25">
      <c r="A1653">
        <v>101277282</v>
      </c>
      <c r="B1653" t="s">
        <v>4877</v>
      </c>
      <c r="C1653" t="s">
        <v>1658</v>
      </c>
      <c r="F1653" t="str">
        <f>"2248584594"</f>
        <v>2248584594</v>
      </c>
      <c r="G1653" t="s">
        <v>4878</v>
      </c>
      <c r="H1653" t="s">
        <v>1361</v>
      </c>
      <c r="I1653" t="s">
        <v>135</v>
      </c>
      <c r="J1653">
        <v>60142</v>
      </c>
      <c r="K1653">
        <v>6414</v>
      </c>
      <c r="L1653" t="s">
        <v>23</v>
      </c>
      <c r="M1653" t="s">
        <v>4878</v>
      </c>
      <c r="N1653" t="s">
        <v>1361</v>
      </c>
      <c r="O1653" t="s">
        <v>135</v>
      </c>
      <c r="P1653">
        <v>60142</v>
      </c>
      <c r="Q1653">
        <v>6414</v>
      </c>
      <c r="R1653" t="s">
        <v>23</v>
      </c>
      <c r="S1653" s="1" t="s">
        <v>34218</v>
      </c>
    </row>
    <row r="1654" spans="1:19" x14ac:dyDescent="0.25">
      <c r="A1654">
        <v>100987372</v>
      </c>
      <c r="B1654" t="s">
        <v>4879</v>
      </c>
      <c r="C1654" t="s">
        <v>155</v>
      </c>
      <c r="F1654" t="str">
        <f>"5202256451"</f>
        <v>5202256451</v>
      </c>
      <c r="G1654" t="s">
        <v>4880</v>
      </c>
      <c r="H1654" t="s">
        <v>1439</v>
      </c>
      <c r="I1654" t="s">
        <v>365</v>
      </c>
      <c r="J1654">
        <v>85741</v>
      </c>
      <c r="K1654">
        <v>1430</v>
      </c>
      <c r="L1654" t="s">
        <v>23</v>
      </c>
      <c r="M1654" t="s">
        <v>4880</v>
      </c>
      <c r="N1654" t="s">
        <v>1439</v>
      </c>
      <c r="O1654" t="s">
        <v>365</v>
      </c>
      <c r="P1654">
        <v>85741</v>
      </c>
      <c r="Q1654">
        <v>1430</v>
      </c>
      <c r="R1654" t="s">
        <v>23</v>
      </c>
      <c r="S1654" s="1" t="s">
        <v>34218</v>
      </c>
    </row>
    <row r="1655" spans="1:19" x14ac:dyDescent="0.25">
      <c r="A1655">
        <v>101182296</v>
      </c>
      <c r="B1655" t="s">
        <v>105</v>
      </c>
      <c r="C1655" t="s">
        <v>1327</v>
      </c>
      <c r="F1655" t="str">
        <f>"9162345678"</f>
        <v>9162345678</v>
      </c>
      <c r="G1655" t="s">
        <v>4881</v>
      </c>
      <c r="H1655" t="s">
        <v>650</v>
      </c>
      <c r="I1655" t="s">
        <v>22</v>
      </c>
      <c r="J1655">
        <v>95816</v>
      </c>
      <c r="K1655">
        <v>3426</v>
      </c>
      <c r="L1655" t="s">
        <v>23</v>
      </c>
      <c r="M1655" t="s">
        <v>4881</v>
      </c>
      <c r="N1655" t="s">
        <v>650</v>
      </c>
      <c r="O1655" t="s">
        <v>22</v>
      </c>
      <c r="P1655">
        <v>95816</v>
      </c>
      <c r="Q1655">
        <v>3426</v>
      </c>
      <c r="R1655" t="s">
        <v>23</v>
      </c>
      <c r="S1655" s="1" t="s">
        <v>34218</v>
      </c>
    </row>
    <row r="1656" spans="1:19" x14ac:dyDescent="0.25">
      <c r="A1656">
        <v>101193912</v>
      </c>
      <c r="B1656" t="s">
        <v>1164</v>
      </c>
      <c r="C1656" t="s">
        <v>4245</v>
      </c>
      <c r="F1656" t="str">
        <f>"7032664466"</f>
        <v>7032664466</v>
      </c>
      <c r="G1656" t="s">
        <v>4882</v>
      </c>
      <c r="H1656" t="s">
        <v>3424</v>
      </c>
      <c r="I1656" t="s">
        <v>255</v>
      </c>
      <c r="J1656">
        <v>20121</v>
      </c>
      <c r="K1656">
        <v>3036</v>
      </c>
      <c r="L1656" t="s">
        <v>23</v>
      </c>
      <c r="M1656" t="s">
        <v>4882</v>
      </c>
      <c r="N1656" t="s">
        <v>3424</v>
      </c>
      <c r="O1656" t="s">
        <v>255</v>
      </c>
      <c r="P1656">
        <v>20121</v>
      </c>
      <c r="Q1656">
        <v>3036</v>
      </c>
      <c r="R1656" t="s">
        <v>23</v>
      </c>
      <c r="S1656" s="1" t="s">
        <v>34218</v>
      </c>
    </row>
    <row r="1657" spans="1:19" x14ac:dyDescent="0.25">
      <c r="A1657">
        <v>101192095</v>
      </c>
      <c r="B1657" t="s">
        <v>3749</v>
      </c>
      <c r="C1657" t="s">
        <v>1327</v>
      </c>
      <c r="F1657" t="str">
        <f>"5612792591"</f>
        <v>5612792591</v>
      </c>
      <c r="G1657" t="s">
        <v>4883</v>
      </c>
      <c r="H1657" t="s">
        <v>4693</v>
      </c>
      <c r="I1657" t="s">
        <v>52</v>
      </c>
      <c r="J1657">
        <v>33483</v>
      </c>
      <c r="K1657">
        <v>4914</v>
      </c>
      <c r="L1657" t="s">
        <v>23</v>
      </c>
      <c r="M1657" t="s">
        <v>4883</v>
      </c>
      <c r="N1657" t="s">
        <v>4693</v>
      </c>
      <c r="O1657" t="s">
        <v>52</v>
      </c>
      <c r="P1657">
        <v>33483</v>
      </c>
      <c r="Q1657">
        <v>4914</v>
      </c>
      <c r="R1657" t="s">
        <v>23</v>
      </c>
      <c r="S1657" s="1" t="s">
        <v>34218</v>
      </c>
    </row>
    <row r="1658" spans="1:19" x14ac:dyDescent="0.25">
      <c r="A1658">
        <v>101247179</v>
      </c>
      <c r="B1658" t="s">
        <v>4884</v>
      </c>
      <c r="C1658" t="s">
        <v>247</v>
      </c>
      <c r="F1658" t="str">
        <f>"8055230515"</f>
        <v>8055230515</v>
      </c>
      <c r="G1658" t="s">
        <v>4885</v>
      </c>
      <c r="H1658" t="s">
        <v>4886</v>
      </c>
      <c r="I1658" t="s">
        <v>22</v>
      </c>
      <c r="J1658" t="s">
        <v>4887</v>
      </c>
      <c r="K1658">
        <v>1332</v>
      </c>
      <c r="L1658" t="s">
        <v>23</v>
      </c>
      <c r="M1658" t="s">
        <v>4885</v>
      </c>
      <c r="N1658" t="s">
        <v>4886</v>
      </c>
      <c r="O1658" t="s">
        <v>22</v>
      </c>
      <c r="P1658" t="s">
        <v>4887</v>
      </c>
      <c r="Q1658">
        <v>1332</v>
      </c>
      <c r="R1658" t="s">
        <v>23</v>
      </c>
      <c r="S1658" s="1" t="s">
        <v>34218</v>
      </c>
    </row>
    <row r="1659" spans="1:19" x14ac:dyDescent="0.25">
      <c r="A1659">
        <v>101266997</v>
      </c>
      <c r="B1659" t="s">
        <v>4888</v>
      </c>
      <c r="C1659" t="s">
        <v>1523</v>
      </c>
      <c r="F1659" t="str">
        <f>"3177709832"</f>
        <v>3177709832</v>
      </c>
      <c r="G1659" t="s">
        <v>4889</v>
      </c>
      <c r="H1659" t="s">
        <v>4890</v>
      </c>
      <c r="I1659" t="s">
        <v>57</v>
      </c>
      <c r="J1659">
        <v>46060</v>
      </c>
      <c r="K1659">
        <v>7250</v>
      </c>
      <c r="L1659" t="s">
        <v>23</v>
      </c>
      <c r="M1659" t="s">
        <v>4889</v>
      </c>
      <c r="N1659" t="s">
        <v>4890</v>
      </c>
      <c r="O1659" t="s">
        <v>57</v>
      </c>
      <c r="P1659">
        <v>46060</v>
      </c>
      <c r="Q1659">
        <v>7250</v>
      </c>
      <c r="R1659" t="s">
        <v>23</v>
      </c>
      <c r="S1659" s="1" t="s">
        <v>34218</v>
      </c>
    </row>
    <row r="1660" spans="1:19" x14ac:dyDescent="0.25">
      <c r="A1660">
        <v>101282047</v>
      </c>
      <c r="B1660" t="s">
        <v>4891</v>
      </c>
      <c r="C1660" t="s">
        <v>167</v>
      </c>
      <c r="F1660" t="str">
        <f>"6503221717"</f>
        <v>6503221717</v>
      </c>
      <c r="G1660" t="s">
        <v>4892</v>
      </c>
      <c r="H1660" t="s">
        <v>4893</v>
      </c>
      <c r="I1660" t="s">
        <v>22</v>
      </c>
      <c r="J1660">
        <v>94025</v>
      </c>
      <c r="K1660">
        <v>3738</v>
      </c>
      <c r="L1660" t="s">
        <v>23</v>
      </c>
      <c r="M1660" t="s">
        <v>4892</v>
      </c>
      <c r="N1660" t="s">
        <v>4893</v>
      </c>
      <c r="O1660" t="s">
        <v>22</v>
      </c>
      <c r="P1660">
        <v>94025</v>
      </c>
      <c r="Q1660">
        <v>3738</v>
      </c>
      <c r="R1660" t="s">
        <v>23</v>
      </c>
      <c r="S1660" s="1" t="s">
        <v>34218</v>
      </c>
    </row>
    <row r="1661" spans="1:19" x14ac:dyDescent="0.25">
      <c r="A1661">
        <v>101219342</v>
      </c>
      <c r="B1661" t="s">
        <v>4894</v>
      </c>
      <c r="C1661" t="s">
        <v>4895</v>
      </c>
      <c r="F1661" t="str">
        <f>"5138051797"</f>
        <v>5138051797</v>
      </c>
      <c r="G1661" t="s">
        <v>4896</v>
      </c>
      <c r="H1661" t="s">
        <v>1561</v>
      </c>
      <c r="I1661" t="s">
        <v>178</v>
      </c>
      <c r="J1661">
        <v>45242</v>
      </c>
      <c r="K1661">
        <v>4307</v>
      </c>
      <c r="L1661" t="s">
        <v>23</v>
      </c>
      <c r="M1661" t="s">
        <v>4896</v>
      </c>
      <c r="N1661" t="s">
        <v>1561</v>
      </c>
      <c r="O1661" t="s">
        <v>178</v>
      </c>
      <c r="P1661">
        <v>45242</v>
      </c>
      <c r="Q1661">
        <v>4307</v>
      </c>
      <c r="R1661" t="s">
        <v>23</v>
      </c>
      <c r="S1661" s="1" t="s">
        <v>34218</v>
      </c>
    </row>
    <row r="1662" spans="1:19" x14ac:dyDescent="0.25">
      <c r="A1662">
        <v>101217915</v>
      </c>
      <c r="B1662" t="s">
        <v>4897</v>
      </c>
      <c r="C1662" t="s">
        <v>3583</v>
      </c>
      <c r="F1662" t="str">
        <f>"3013788638"</f>
        <v>3013788638</v>
      </c>
      <c r="G1662" t="s">
        <v>4898</v>
      </c>
      <c r="H1662" t="s">
        <v>4512</v>
      </c>
      <c r="I1662" t="s">
        <v>148</v>
      </c>
      <c r="J1662">
        <v>21703</v>
      </c>
      <c r="K1662">
        <v>2834</v>
      </c>
      <c r="L1662" t="s">
        <v>23</v>
      </c>
      <c r="M1662" t="s">
        <v>4898</v>
      </c>
      <c r="N1662" t="s">
        <v>4512</v>
      </c>
      <c r="O1662" t="s">
        <v>148</v>
      </c>
      <c r="P1662">
        <v>21703</v>
      </c>
      <c r="Q1662">
        <v>2834</v>
      </c>
      <c r="R1662" t="s">
        <v>23</v>
      </c>
      <c r="S1662" s="1" t="s">
        <v>34218</v>
      </c>
    </row>
    <row r="1663" spans="1:19" x14ac:dyDescent="0.25">
      <c r="A1663">
        <v>101042530</v>
      </c>
      <c r="B1663" t="s">
        <v>4899</v>
      </c>
      <c r="C1663" t="s">
        <v>4900</v>
      </c>
      <c r="F1663" t="str">
        <f>"6168970272"</f>
        <v>6168970272</v>
      </c>
      <c r="G1663" t="s">
        <v>4901</v>
      </c>
      <c r="H1663" t="s">
        <v>4902</v>
      </c>
      <c r="I1663" t="s">
        <v>140</v>
      </c>
      <c r="J1663">
        <v>49331</v>
      </c>
      <c r="K1663">
        <v>9763</v>
      </c>
      <c r="L1663" t="s">
        <v>23</v>
      </c>
      <c r="M1663" t="s">
        <v>4901</v>
      </c>
      <c r="N1663" t="s">
        <v>4902</v>
      </c>
      <c r="O1663" t="s">
        <v>140</v>
      </c>
      <c r="P1663">
        <v>49331</v>
      </c>
      <c r="Q1663">
        <v>9763</v>
      </c>
      <c r="R1663" t="s">
        <v>23</v>
      </c>
      <c r="S1663" s="1" t="s">
        <v>34218</v>
      </c>
    </row>
    <row r="1664" spans="1:19" x14ac:dyDescent="0.25">
      <c r="A1664">
        <v>101234196</v>
      </c>
      <c r="B1664" t="s">
        <v>4903</v>
      </c>
      <c r="C1664" t="s">
        <v>4904</v>
      </c>
      <c r="F1664" t="str">
        <f>"8053202955"</f>
        <v>8053202955</v>
      </c>
      <c r="G1664" t="s">
        <v>4905</v>
      </c>
      <c r="H1664" t="s">
        <v>2923</v>
      </c>
      <c r="I1664" t="s">
        <v>22</v>
      </c>
      <c r="J1664">
        <v>93035</v>
      </c>
      <c r="K1664">
        <v>3743</v>
      </c>
      <c r="L1664" t="s">
        <v>23</v>
      </c>
      <c r="M1664" t="s">
        <v>4905</v>
      </c>
      <c r="N1664" t="s">
        <v>2923</v>
      </c>
      <c r="O1664" t="s">
        <v>22</v>
      </c>
      <c r="P1664">
        <v>93035</v>
      </c>
      <c r="Q1664">
        <v>3743</v>
      </c>
      <c r="R1664" t="s">
        <v>23</v>
      </c>
      <c r="S1664" s="1" t="s">
        <v>34218</v>
      </c>
    </row>
    <row r="1665" spans="1:19" x14ac:dyDescent="0.25">
      <c r="A1665">
        <v>101237796</v>
      </c>
      <c r="B1665" t="s">
        <v>4906</v>
      </c>
      <c r="C1665" t="s">
        <v>1933</v>
      </c>
      <c r="F1665" t="str">
        <f>"2165200538"</f>
        <v>2165200538</v>
      </c>
      <c r="G1665" t="s">
        <v>4907</v>
      </c>
      <c r="H1665" t="s">
        <v>4908</v>
      </c>
      <c r="I1665" t="s">
        <v>178</v>
      </c>
      <c r="J1665">
        <v>44131</v>
      </c>
      <c r="K1665">
        <v>5949</v>
      </c>
      <c r="L1665" t="s">
        <v>23</v>
      </c>
      <c r="M1665" t="s">
        <v>4907</v>
      </c>
      <c r="N1665" t="s">
        <v>4908</v>
      </c>
      <c r="O1665" t="s">
        <v>178</v>
      </c>
      <c r="P1665">
        <v>44131</v>
      </c>
      <c r="Q1665">
        <v>5949</v>
      </c>
      <c r="R1665" t="s">
        <v>23</v>
      </c>
      <c r="S1665" s="1" t="s">
        <v>34218</v>
      </c>
    </row>
    <row r="1666" spans="1:19" x14ac:dyDescent="0.25">
      <c r="A1666">
        <v>101240552</v>
      </c>
      <c r="B1666" t="s">
        <v>4909</v>
      </c>
      <c r="C1666" t="s">
        <v>1153</v>
      </c>
      <c r="F1666" t="str">
        <f>"8083371077"</f>
        <v>8083371077</v>
      </c>
      <c r="G1666" t="s">
        <v>4910</v>
      </c>
      <c r="H1666" t="s">
        <v>4911</v>
      </c>
      <c r="I1666" t="s">
        <v>984</v>
      </c>
      <c r="J1666">
        <v>96752</v>
      </c>
      <c r="L1666" t="s">
        <v>23</v>
      </c>
      <c r="M1666" t="s">
        <v>4910</v>
      </c>
      <c r="N1666" t="s">
        <v>4911</v>
      </c>
      <c r="O1666" t="s">
        <v>984</v>
      </c>
      <c r="P1666">
        <v>96752</v>
      </c>
      <c r="R1666" t="s">
        <v>23</v>
      </c>
      <c r="S1666" s="1" t="s">
        <v>34218</v>
      </c>
    </row>
    <row r="1667" spans="1:19" x14ac:dyDescent="0.25">
      <c r="A1667">
        <v>101228208</v>
      </c>
      <c r="B1667" t="s">
        <v>4912</v>
      </c>
      <c r="C1667" t="s">
        <v>4913</v>
      </c>
      <c r="F1667" t="str">
        <f>"7074073232"</f>
        <v>7074073232</v>
      </c>
      <c r="G1667" t="s">
        <v>4914</v>
      </c>
      <c r="H1667" t="s">
        <v>1261</v>
      </c>
      <c r="I1667" t="s">
        <v>22</v>
      </c>
      <c r="J1667">
        <v>95503</v>
      </c>
      <c r="K1667">
        <v>4749</v>
      </c>
      <c r="L1667" t="s">
        <v>23</v>
      </c>
      <c r="M1667" t="s">
        <v>4914</v>
      </c>
      <c r="N1667" t="s">
        <v>1261</v>
      </c>
      <c r="O1667" t="s">
        <v>22</v>
      </c>
      <c r="P1667">
        <v>95503</v>
      </c>
      <c r="Q1667">
        <v>4749</v>
      </c>
      <c r="R1667" t="s">
        <v>23</v>
      </c>
      <c r="S1667" s="1" t="s">
        <v>34218</v>
      </c>
    </row>
    <row r="1668" spans="1:19" x14ac:dyDescent="0.25">
      <c r="A1668">
        <v>101228661</v>
      </c>
      <c r="B1668" t="s">
        <v>4915</v>
      </c>
      <c r="C1668" t="s">
        <v>432</v>
      </c>
      <c r="F1668" t="str">
        <f>"7852305584"</f>
        <v>7852305584</v>
      </c>
      <c r="G1668" t="s">
        <v>4916</v>
      </c>
      <c r="H1668" t="s">
        <v>4917</v>
      </c>
      <c r="I1668" t="s">
        <v>241</v>
      </c>
      <c r="J1668">
        <v>66614</v>
      </c>
      <c r="K1668">
        <v>4468</v>
      </c>
      <c r="L1668" t="s">
        <v>23</v>
      </c>
      <c r="M1668" t="s">
        <v>4916</v>
      </c>
      <c r="N1668" t="s">
        <v>4917</v>
      </c>
      <c r="O1668" t="s">
        <v>241</v>
      </c>
      <c r="P1668">
        <v>66614</v>
      </c>
      <c r="Q1668">
        <v>4468</v>
      </c>
      <c r="R1668" t="s">
        <v>23</v>
      </c>
      <c r="S1668" s="1" t="s">
        <v>34218</v>
      </c>
    </row>
    <row r="1669" spans="1:19" x14ac:dyDescent="0.25">
      <c r="A1669">
        <v>101250198</v>
      </c>
      <c r="B1669" t="s">
        <v>4918</v>
      </c>
      <c r="C1669" t="s">
        <v>180</v>
      </c>
      <c r="F1669" t="str">
        <f>"7246589791"</f>
        <v>7246589791</v>
      </c>
      <c r="G1669" t="s">
        <v>4919</v>
      </c>
      <c r="H1669" t="s">
        <v>4920</v>
      </c>
      <c r="I1669" t="s">
        <v>33</v>
      </c>
      <c r="J1669">
        <v>16105</v>
      </c>
      <c r="K1669">
        <v>1511</v>
      </c>
      <c r="L1669" t="s">
        <v>23</v>
      </c>
      <c r="M1669" t="s">
        <v>4919</v>
      </c>
      <c r="N1669" t="s">
        <v>4920</v>
      </c>
      <c r="O1669" t="s">
        <v>33</v>
      </c>
      <c r="P1669">
        <v>16105</v>
      </c>
      <c r="Q1669">
        <v>1511</v>
      </c>
      <c r="R1669" t="s">
        <v>23</v>
      </c>
      <c r="S1669" s="1" t="s">
        <v>34218</v>
      </c>
    </row>
    <row r="1670" spans="1:19" x14ac:dyDescent="0.25">
      <c r="A1670">
        <v>101299353</v>
      </c>
      <c r="B1670" t="s">
        <v>4921</v>
      </c>
      <c r="C1670" t="s">
        <v>1205</v>
      </c>
      <c r="F1670" t="str">
        <f>"8054991606"</f>
        <v>8054991606</v>
      </c>
      <c r="G1670" t="s">
        <v>4922</v>
      </c>
      <c r="H1670" t="s">
        <v>3214</v>
      </c>
      <c r="I1670" t="s">
        <v>22</v>
      </c>
      <c r="J1670">
        <v>91320</v>
      </c>
      <c r="K1670">
        <v>4745</v>
      </c>
      <c r="L1670" t="s">
        <v>23</v>
      </c>
      <c r="M1670" t="s">
        <v>4922</v>
      </c>
      <c r="N1670" t="s">
        <v>3214</v>
      </c>
      <c r="O1670" t="s">
        <v>22</v>
      </c>
      <c r="P1670">
        <v>91320</v>
      </c>
      <c r="Q1670">
        <v>4745</v>
      </c>
      <c r="R1670" t="s">
        <v>23</v>
      </c>
      <c r="S1670" s="1" t="s">
        <v>34218</v>
      </c>
    </row>
    <row r="1671" spans="1:19" x14ac:dyDescent="0.25">
      <c r="A1671">
        <v>101294286</v>
      </c>
      <c r="B1671" t="s">
        <v>3956</v>
      </c>
      <c r="C1671" t="s">
        <v>4923</v>
      </c>
      <c r="F1671" t="str">
        <f>"3106331415"</f>
        <v>3106331415</v>
      </c>
      <c r="G1671" t="s">
        <v>4924</v>
      </c>
      <c r="H1671" t="s">
        <v>726</v>
      </c>
      <c r="I1671" t="s">
        <v>22</v>
      </c>
      <c r="J1671">
        <v>90405</v>
      </c>
      <c r="K1671">
        <v>4303</v>
      </c>
      <c r="L1671" t="s">
        <v>23</v>
      </c>
      <c r="M1671" t="s">
        <v>4924</v>
      </c>
      <c r="N1671" t="s">
        <v>726</v>
      </c>
      <c r="O1671" t="s">
        <v>22</v>
      </c>
      <c r="P1671">
        <v>90405</v>
      </c>
      <c r="Q1671">
        <v>4303</v>
      </c>
      <c r="R1671" t="s">
        <v>23</v>
      </c>
      <c r="S1671" s="1" t="s">
        <v>34218</v>
      </c>
    </row>
    <row r="1672" spans="1:19" x14ac:dyDescent="0.25">
      <c r="A1672">
        <v>101298553</v>
      </c>
      <c r="B1672" t="s">
        <v>966</v>
      </c>
      <c r="C1672" t="s">
        <v>3442</v>
      </c>
      <c r="F1672" t="str">
        <f>"9704208711"</f>
        <v>9704208711</v>
      </c>
      <c r="G1672" t="s">
        <v>4925</v>
      </c>
      <c r="H1672" t="s">
        <v>2399</v>
      </c>
      <c r="I1672" t="s">
        <v>71</v>
      </c>
      <c r="J1672">
        <v>80525</v>
      </c>
      <c r="K1672">
        <v>6201</v>
      </c>
      <c r="L1672" t="s">
        <v>23</v>
      </c>
      <c r="M1672" t="s">
        <v>4925</v>
      </c>
      <c r="N1672" t="s">
        <v>2399</v>
      </c>
      <c r="O1672" t="s">
        <v>71</v>
      </c>
      <c r="P1672">
        <v>80525</v>
      </c>
      <c r="Q1672">
        <v>6201</v>
      </c>
      <c r="R1672" t="s">
        <v>23</v>
      </c>
      <c r="S1672" s="1" t="s">
        <v>34218</v>
      </c>
    </row>
    <row r="1673" spans="1:19" x14ac:dyDescent="0.25">
      <c r="A1673">
        <v>101297201</v>
      </c>
      <c r="B1673" t="s">
        <v>4926</v>
      </c>
      <c r="C1673" t="s">
        <v>4927</v>
      </c>
      <c r="F1673" t="str">
        <f>"8606936843"</f>
        <v>8606936843</v>
      </c>
      <c r="G1673" t="s">
        <v>4928</v>
      </c>
      <c r="H1673" t="s">
        <v>4929</v>
      </c>
      <c r="I1673" t="s">
        <v>161</v>
      </c>
      <c r="J1673">
        <v>6001</v>
      </c>
      <c r="K1673">
        <v>3135</v>
      </c>
      <c r="L1673" t="s">
        <v>23</v>
      </c>
      <c r="M1673" t="s">
        <v>4928</v>
      </c>
      <c r="N1673" t="s">
        <v>4929</v>
      </c>
      <c r="O1673" t="s">
        <v>161</v>
      </c>
      <c r="P1673">
        <v>6001</v>
      </c>
      <c r="Q1673">
        <v>3135</v>
      </c>
      <c r="R1673" t="s">
        <v>23</v>
      </c>
      <c r="S1673" s="1" t="s">
        <v>34218</v>
      </c>
    </row>
    <row r="1674" spans="1:19" x14ac:dyDescent="0.25">
      <c r="A1674">
        <v>101129532</v>
      </c>
      <c r="B1674" t="s">
        <v>4930</v>
      </c>
      <c r="C1674" t="s">
        <v>2547</v>
      </c>
      <c r="F1674" t="str">
        <f>"2178402637"</f>
        <v>2178402637</v>
      </c>
      <c r="G1674" t="s">
        <v>4931</v>
      </c>
      <c r="H1674" t="s">
        <v>4932</v>
      </c>
      <c r="I1674" t="s">
        <v>135</v>
      </c>
      <c r="J1674">
        <v>61920</v>
      </c>
      <c r="K1674">
        <v>3218</v>
      </c>
      <c r="L1674" t="s">
        <v>23</v>
      </c>
      <c r="M1674" t="s">
        <v>4931</v>
      </c>
      <c r="N1674" t="s">
        <v>4932</v>
      </c>
      <c r="O1674" t="s">
        <v>135</v>
      </c>
      <c r="P1674">
        <v>61920</v>
      </c>
      <c r="Q1674">
        <v>3218</v>
      </c>
      <c r="R1674" t="s">
        <v>23</v>
      </c>
      <c r="S1674" s="1" t="s">
        <v>34218</v>
      </c>
    </row>
    <row r="1675" spans="1:19" x14ac:dyDescent="0.25">
      <c r="A1675">
        <v>101130891</v>
      </c>
      <c r="B1675" t="s">
        <v>985</v>
      </c>
      <c r="C1675" t="s">
        <v>4933</v>
      </c>
      <c r="F1675" t="str">
        <f>"6508545495"</f>
        <v>6508545495</v>
      </c>
      <c r="G1675" t="s">
        <v>4934</v>
      </c>
      <c r="H1675" t="s">
        <v>4893</v>
      </c>
      <c r="I1675" t="s">
        <v>22</v>
      </c>
      <c r="J1675">
        <v>94025</v>
      </c>
      <c r="K1675">
        <v>6315</v>
      </c>
      <c r="L1675" t="s">
        <v>23</v>
      </c>
      <c r="M1675" t="s">
        <v>4934</v>
      </c>
      <c r="N1675" t="s">
        <v>4893</v>
      </c>
      <c r="O1675" t="s">
        <v>22</v>
      </c>
      <c r="P1675">
        <v>94025</v>
      </c>
      <c r="Q1675">
        <v>6315</v>
      </c>
      <c r="R1675" t="s">
        <v>23</v>
      </c>
      <c r="S1675" s="1" t="s">
        <v>34218</v>
      </c>
    </row>
    <row r="1676" spans="1:19" x14ac:dyDescent="0.25">
      <c r="A1676">
        <v>101138753</v>
      </c>
      <c r="B1676" t="s">
        <v>4935</v>
      </c>
      <c r="C1676" t="s">
        <v>2127</v>
      </c>
      <c r="F1676" t="str">
        <f>"6305846074"</f>
        <v>6305846074</v>
      </c>
      <c r="G1676" t="s">
        <v>4936</v>
      </c>
      <c r="H1676" t="s">
        <v>4937</v>
      </c>
      <c r="I1676" t="s">
        <v>135</v>
      </c>
      <c r="J1676">
        <v>60174</v>
      </c>
      <c r="K1676">
        <v>4362</v>
      </c>
      <c r="L1676" t="s">
        <v>23</v>
      </c>
      <c r="M1676" t="s">
        <v>4936</v>
      </c>
      <c r="N1676" t="s">
        <v>4937</v>
      </c>
      <c r="O1676" t="s">
        <v>135</v>
      </c>
      <c r="P1676">
        <v>60174</v>
      </c>
      <c r="Q1676">
        <v>4362</v>
      </c>
      <c r="R1676" t="s">
        <v>23</v>
      </c>
      <c r="S1676" s="1" t="s">
        <v>34218</v>
      </c>
    </row>
    <row r="1677" spans="1:19" x14ac:dyDescent="0.25">
      <c r="A1677">
        <v>101148029</v>
      </c>
      <c r="B1677" t="s">
        <v>4938</v>
      </c>
      <c r="C1677" t="s">
        <v>180</v>
      </c>
      <c r="F1677" t="str">
        <f>"9162138041"</f>
        <v>9162138041</v>
      </c>
      <c r="G1677" t="s">
        <v>4939</v>
      </c>
      <c r="H1677" t="s">
        <v>1636</v>
      </c>
      <c r="I1677" t="s">
        <v>22</v>
      </c>
      <c r="J1677">
        <v>93901</v>
      </c>
      <c r="K1677">
        <v>2570</v>
      </c>
      <c r="L1677" t="s">
        <v>23</v>
      </c>
      <c r="M1677" t="s">
        <v>4939</v>
      </c>
      <c r="N1677" t="s">
        <v>1636</v>
      </c>
      <c r="O1677" t="s">
        <v>22</v>
      </c>
      <c r="P1677">
        <v>93901</v>
      </c>
      <c r="Q1677">
        <v>2570</v>
      </c>
      <c r="R1677" t="s">
        <v>23</v>
      </c>
      <c r="S1677" s="1" t="s">
        <v>34218</v>
      </c>
    </row>
    <row r="1678" spans="1:19" x14ac:dyDescent="0.25">
      <c r="A1678">
        <v>101148601</v>
      </c>
      <c r="B1678" t="s">
        <v>4940</v>
      </c>
      <c r="C1678" t="s">
        <v>4941</v>
      </c>
      <c r="F1678" t="str">
        <f>"7187962318"</f>
        <v>7187962318</v>
      </c>
      <c r="G1678" t="s">
        <v>4942</v>
      </c>
      <c r="H1678" t="s">
        <v>1105</v>
      </c>
      <c r="I1678" t="s">
        <v>117</v>
      </c>
      <c r="J1678">
        <v>10463</v>
      </c>
      <c r="K1678">
        <v>3311</v>
      </c>
      <c r="L1678" t="s">
        <v>23</v>
      </c>
      <c r="M1678" t="s">
        <v>4942</v>
      </c>
      <c r="N1678" t="s">
        <v>1105</v>
      </c>
      <c r="O1678" t="s">
        <v>117</v>
      </c>
      <c r="P1678">
        <v>10463</v>
      </c>
      <c r="Q1678">
        <v>3311</v>
      </c>
      <c r="R1678" t="s">
        <v>23</v>
      </c>
      <c r="S1678" s="1" t="s">
        <v>34218</v>
      </c>
    </row>
    <row r="1679" spans="1:19" x14ac:dyDescent="0.25">
      <c r="A1679">
        <v>101277047</v>
      </c>
      <c r="B1679" t="s">
        <v>3386</v>
      </c>
      <c r="C1679" t="s">
        <v>4943</v>
      </c>
      <c r="F1679" t="str">
        <f>"7144966325"</f>
        <v>7144966325</v>
      </c>
      <c r="G1679" t="s">
        <v>4944</v>
      </c>
      <c r="H1679" t="s">
        <v>2359</v>
      </c>
      <c r="I1679" t="s">
        <v>22</v>
      </c>
      <c r="J1679">
        <v>92672</v>
      </c>
      <c r="K1679">
        <v>4783</v>
      </c>
      <c r="L1679" t="s">
        <v>23</v>
      </c>
      <c r="M1679" t="s">
        <v>4944</v>
      </c>
      <c r="N1679" t="s">
        <v>2359</v>
      </c>
      <c r="O1679" t="s">
        <v>22</v>
      </c>
      <c r="P1679">
        <v>92672</v>
      </c>
      <c r="Q1679">
        <v>4783</v>
      </c>
      <c r="R1679" t="s">
        <v>23</v>
      </c>
      <c r="S1679" s="1" t="s">
        <v>34218</v>
      </c>
    </row>
    <row r="1680" spans="1:19" x14ac:dyDescent="0.25">
      <c r="A1680">
        <v>101337424</v>
      </c>
      <c r="B1680" t="s">
        <v>4945</v>
      </c>
      <c r="C1680" t="s">
        <v>123</v>
      </c>
      <c r="F1680" t="str">
        <f>"5416839977"</f>
        <v>5416839977</v>
      </c>
      <c r="G1680" t="s">
        <v>4946</v>
      </c>
      <c r="H1680" t="s">
        <v>1452</v>
      </c>
      <c r="I1680" t="s">
        <v>43</v>
      </c>
      <c r="J1680">
        <v>97408</v>
      </c>
      <c r="K1680">
        <v>7389</v>
      </c>
      <c r="L1680" t="s">
        <v>23</v>
      </c>
      <c r="M1680" t="s">
        <v>4946</v>
      </c>
      <c r="N1680" t="s">
        <v>1452</v>
      </c>
      <c r="O1680" t="s">
        <v>43</v>
      </c>
      <c r="P1680">
        <v>97408</v>
      </c>
      <c r="Q1680">
        <v>7389</v>
      </c>
      <c r="R1680" t="s">
        <v>23</v>
      </c>
      <c r="S1680" s="1" t="s">
        <v>34218</v>
      </c>
    </row>
    <row r="1681" spans="1:19" x14ac:dyDescent="0.25">
      <c r="A1681">
        <v>101334984</v>
      </c>
      <c r="B1681" t="s">
        <v>4947</v>
      </c>
      <c r="C1681" t="s">
        <v>252</v>
      </c>
      <c r="F1681" t="str">
        <f>"6195012012"</f>
        <v>6195012012</v>
      </c>
      <c r="G1681" t="s">
        <v>4948</v>
      </c>
      <c r="H1681" t="s">
        <v>198</v>
      </c>
      <c r="I1681" t="s">
        <v>22</v>
      </c>
      <c r="J1681">
        <v>92105</v>
      </c>
      <c r="K1681">
        <v>5339</v>
      </c>
      <c r="L1681" t="s">
        <v>23</v>
      </c>
      <c r="M1681" t="s">
        <v>4948</v>
      </c>
      <c r="N1681" t="s">
        <v>198</v>
      </c>
      <c r="O1681" t="s">
        <v>22</v>
      </c>
      <c r="P1681">
        <v>92105</v>
      </c>
      <c r="Q1681">
        <v>5339</v>
      </c>
      <c r="R1681" t="s">
        <v>23</v>
      </c>
      <c r="S1681" s="1" t="s">
        <v>34218</v>
      </c>
    </row>
    <row r="1682" spans="1:19" x14ac:dyDescent="0.25">
      <c r="A1682">
        <v>100724584</v>
      </c>
      <c r="B1682" t="s">
        <v>4949</v>
      </c>
      <c r="C1682" t="s">
        <v>406</v>
      </c>
      <c r="F1682" t="str">
        <f>"3132999913"</f>
        <v>3132999913</v>
      </c>
      <c r="G1682" t="s">
        <v>4950</v>
      </c>
      <c r="H1682" t="s">
        <v>4951</v>
      </c>
      <c r="I1682" t="s">
        <v>140</v>
      </c>
      <c r="J1682">
        <v>48125</v>
      </c>
      <c r="L1682" t="s">
        <v>23</v>
      </c>
      <c r="M1682" t="s">
        <v>4950</v>
      </c>
      <c r="N1682" t="s">
        <v>4951</v>
      </c>
      <c r="O1682" t="s">
        <v>140</v>
      </c>
      <c r="P1682">
        <v>48125</v>
      </c>
      <c r="R1682" t="s">
        <v>23</v>
      </c>
      <c r="S1682" s="1" t="s">
        <v>34218</v>
      </c>
    </row>
    <row r="1683" spans="1:19" x14ac:dyDescent="0.25">
      <c r="A1683">
        <v>100553763</v>
      </c>
      <c r="B1683" t="s">
        <v>1164</v>
      </c>
      <c r="C1683" t="s">
        <v>217</v>
      </c>
      <c r="F1683" t="str">
        <f>"9077804356"</f>
        <v>9077804356</v>
      </c>
      <c r="G1683" t="s">
        <v>4952</v>
      </c>
      <c r="H1683" t="s">
        <v>4953</v>
      </c>
      <c r="I1683" t="s">
        <v>2566</v>
      </c>
      <c r="J1683">
        <v>99801</v>
      </c>
      <c r="K1683">
        <v>7219</v>
      </c>
      <c r="L1683" t="s">
        <v>23</v>
      </c>
      <c r="M1683" t="s">
        <v>4952</v>
      </c>
      <c r="N1683" t="s">
        <v>4953</v>
      </c>
      <c r="O1683" t="s">
        <v>2566</v>
      </c>
      <c r="P1683">
        <v>99801</v>
      </c>
      <c r="Q1683">
        <v>7219</v>
      </c>
      <c r="R1683" t="s">
        <v>23</v>
      </c>
      <c r="S1683" s="1" t="s">
        <v>34218</v>
      </c>
    </row>
    <row r="1684" spans="1:19" x14ac:dyDescent="0.25">
      <c r="A1684">
        <v>100822187</v>
      </c>
      <c r="B1684" t="s">
        <v>1889</v>
      </c>
      <c r="C1684" t="s">
        <v>1374</v>
      </c>
      <c r="F1684" t="str">
        <f>"4107391659"</f>
        <v>4107391659</v>
      </c>
      <c r="G1684" t="s">
        <v>4954</v>
      </c>
      <c r="H1684" t="s">
        <v>4955</v>
      </c>
      <c r="I1684" t="s">
        <v>148</v>
      </c>
      <c r="J1684">
        <v>21623</v>
      </c>
      <c r="K1684">
        <v>1287</v>
      </c>
      <c r="L1684" t="s">
        <v>23</v>
      </c>
      <c r="M1684" t="s">
        <v>4954</v>
      </c>
      <c r="N1684" t="s">
        <v>4955</v>
      </c>
      <c r="O1684" t="s">
        <v>148</v>
      </c>
      <c r="P1684">
        <v>21623</v>
      </c>
      <c r="Q1684">
        <v>1287</v>
      </c>
      <c r="R1684" t="s">
        <v>23</v>
      </c>
      <c r="S1684" s="1" t="s">
        <v>34218</v>
      </c>
    </row>
    <row r="1685" spans="1:19" x14ac:dyDescent="0.25">
      <c r="A1685">
        <v>101045748</v>
      </c>
      <c r="B1685" t="s">
        <v>4956</v>
      </c>
      <c r="C1685" t="s">
        <v>362</v>
      </c>
      <c r="F1685" t="str">
        <f>"7089413359"</f>
        <v>7089413359</v>
      </c>
      <c r="G1685" t="s">
        <v>4957</v>
      </c>
      <c r="H1685" t="s">
        <v>4958</v>
      </c>
      <c r="I1685" t="s">
        <v>332</v>
      </c>
      <c r="J1685">
        <v>84020</v>
      </c>
      <c r="K1685">
        <v>7972</v>
      </c>
      <c r="L1685" t="s">
        <v>23</v>
      </c>
      <c r="M1685" t="s">
        <v>4957</v>
      </c>
      <c r="N1685" t="s">
        <v>4958</v>
      </c>
      <c r="O1685" t="s">
        <v>332</v>
      </c>
      <c r="P1685">
        <v>84020</v>
      </c>
      <c r="Q1685">
        <v>7972</v>
      </c>
      <c r="R1685" t="s">
        <v>23</v>
      </c>
      <c r="S1685" s="1" t="s">
        <v>34218</v>
      </c>
    </row>
    <row r="1686" spans="1:19" x14ac:dyDescent="0.25">
      <c r="A1686">
        <v>101275791</v>
      </c>
      <c r="B1686" t="s">
        <v>4959</v>
      </c>
      <c r="C1686" t="s">
        <v>4960</v>
      </c>
      <c r="F1686" t="str">
        <f>"7195489512"</f>
        <v>7195489512</v>
      </c>
      <c r="G1686" t="s">
        <v>4961</v>
      </c>
      <c r="H1686" t="s">
        <v>1985</v>
      </c>
      <c r="I1686" t="s">
        <v>71</v>
      </c>
      <c r="J1686">
        <v>80920</v>
      </c>
      <c r="K1686">
        <v>3813</v>
      </c>
      <c r="L1686" t="s">
        <v>23</v>
      </c>
      <c r="M1686" t="s">
        <v>4961</v>
      </c>
      <c r="N1686" t="s">
        <v>1985</v>
      </c>
      <c r="O1686" t="s">
        <v>71</v>
      </c>
      <c r="P1686">
        <v>80920</v>
      </c>
      <c r="Q1686">
        <v>3813</v>
      </c>
      <c r="R1686" t="s">
        <v>23</v>
      </c>
      <c r="S1686" s="1" t="s">
        <v>34218</v>
      </c>
    </row>
    <row r="1687" spans="1:19" x14ac:dyDescent="0.25">
      <c r="A1687">
        <v>101290383</v>
      </c>
      <c r="B1687" t="s">
        <v>4962</v>
      </c>
      <c r="C1687" t="s">
        <v>4963</v>
      </c>
      <c r="F1687" t="str">
        <f>"5306160571"</f>
        <v>5306160571</v>
      </c>
      <c r="G1687" t="s">
        <v>4964</v>
      </c>
      <c r="H1687" t="s">
        <v>1626</v>
      </c>
      <c r="I1687" t="s">
        <v>702</v>
      </c>
      <c r="J1687">
        <v>89441</v>
      </c>
      <c r="K1687">
        <v>7261</v>
      </c>
      <c r="L1687" t="s">
        <v>23</v>
      </c>
      <c r="M1687" t="s">
        <v>4964</v>
      </c>
      <c r="N1687" t="s">
        <v>1626</v>
      </c>
      <c r="O1687" t="s">
        <v>702</v>
      </c>
      <c r="P1687">
        <v>89441</v>
      </c>
      <c r="Q1687">
        <v>7261</v>
      </c>
      <c r="R1687" t="s">
        <v>23</v>
      </c>
      <c r="S1687" s="1" t="s">
        <v>34218</v>
      </c>
    </row>
    <row r="1688" spans="1:19" x14ac:dyDescent="0.25">
      <c r="A1688">
        <v>101084894</v>
      </c>
      <c r="B1688" t="s">
        <v>4965</v>
      </c>
      <c r="C1688" t="s">
        <v>4966</v>
      </c>
      <c r="F1688" t="str">
        <f>"9195595794"</f>
        <v>9195595794</v>
      </c>
      <c r="G1688" t="s">
        <v>4967</v>
      </c>
      <c r="H1688" t="s">
        <v>653</v>
      </c>
      <c r="I1688" t="s">
        <v>117</v>
      </c>
      <c r="J1688">
        <v>10012</v>
      </c>
      <c r="K1688">
        <v>3591</v>
      </c>
      <c r="L1688" t="s">
        <v>23</v>
      </c>
      <c r="M1688" t="s">
        <v>4967</v>
      </c>
      <c r="N1688" t="s">
        <v>653</v>
      </c>
      <c r="O1688" t="s">
        <v>117</v>
      </c>
      <c r="P1688">
        <v>10012</v>
      </c>
      <c r="Q1688">
        <v>3591</v>
      </c>
      <c r="R1688" t="s">
        <v>23</v>
      </c>
      <c r="S1688" s="1" t="s">
        <v>34218</v>
      </c>
    </row>
    <row r="1689" spans="1:19" x14ac:dyDescent="0.25">
      <c r="A1689">
        <v>101094189</v>
      </c>
      <c r="B1689" t="s">
        <v>4968</v>
      </c>
      <c r="C1689" t="s">
        <v>4969</v>
      </c>
      <c r="F1689" t="str">
        <f>"8655665561"</f>
        <v>8655665561</v>
      </c>
      <c r="G1689" t="s">
        <v>4970</v>
      </c>
      <c r="H1689" t="s">
        <v>4971</v>
      </c>
      <c r="I1689" t="s">
        <v>914</v>
      </c>
      <c r="J1689">
        <v>37840</v>
      </c>
      <c r="K1689">
        <v>1336</v>
      </c>
      <c r="L1689" t="s">
        <v>23</v>
      </c>
      <c r="M1689" t="s">
        <v>4970</v>
      </c>
      <c r="N1689" t="s">
        <v>4971</v>
      </c>
      <c r="O1689" t="s">
        <v>914</v>
      </c>
      <c r="P1689">
        <v>37840</v>
      </c>
      <c r="Q1689">
        <v>1336</v>
      </c>
      <c r="R1689" t="s">
        <v>23</v>
      </c>
      <c r="S1689" s="1" t="s">
        <v>34218</v>
      </c>
    </row>
    <row r="1690" spans="1:19" x14ac:dyDescent="0.25">
      <c r="A1690">
        <v>101302825</v>
      </c>
      <c r="B1690" t="s">
        <v>4972</v>
      </c>
      <c r="C1690" t="s">
        <v>4973</v>
      </c>
      <c r="F1690" t="str">
        <f>"7607587324"</f>
        <v>7607587324</v>
      </c>
      <c r="G1690" t="s">
        <v>4974</v>
      </c>
      <c r="H1690" t="s">
        <v>2468</v>
      </c>
      <c r="I1690" t="s">
        <v>22</v>
      </c>
      <c r="J1690">
        <v>92083</v>
      </c>
      <c r="K1690">
        <v>4727</v>
      </c>
      <c r="L1690" t="s">
        <v>23</v>
      </c>
      <c r="M1690" t="s">
        <v>4974</v>
      </c>
      <c r="N1690" t="s">
        <v>2468</v>
      </c>
      <c r="O1690" t="s">
        <v>22</v>
      </c>
      <c r="P1690">
        <v>92083</v>
      </c>
      <c r="Q1690">
        <v>4727</v>
      </c>
      <c r="R1690" t="s">
        <v>23</v>
      </c>
      <c r="S1690" s="1" t="s">
        <v>34218</v>
      </c>
    </row>
    <row r="1691" spans="1:19" x14ac:dyDescent="0.25">
      <c r="A1691">
        <v>101322655</v>
      </c>
      <c r="B1691" t="s">
        <v>4975</v>
      </c>
      <c r="C1691" t="s">
        <v>2642</v>
      </c>
      <c r="F1691" t="str">
        <f>"9169275570"</f>
        <v>9169275570</v>
      </c>
      <c r="G1691" t="s">
        <v>4976</v>
      </c>
      <c r="H1691" t="s">
        <v>650</v>
      </c>
      <c r="I1691" t="s">
        <v>22</v>
      </c>
      <c r="J1691">
        <v>95825</v>
      </c>
      <c r="K1691">
        <v>6860</v>
      </c>
      <c r="L1691" t="s">
        <v>23</v>
      </c>
      <c r="M1691" t="s">
        <v>4976</v>
      </c>
      <c r="N1691" t="s">
        <v>650</v>
      </c>
      <c r="O1691" t="s">
        <v>22</v>
      </c>
      <c r="P1691">
        <v>95825</v>
      </c>
      <c r="Q1691">
        <v>6860</v>
      </c>
      <c r="R1691" t="s">
        <v>23</v>
      </c>
      <c r="S1691" s="1" t="s">
        <v>34218</v>
      </c>
    </row>
    <row r="1692" spans="1:19" x14ac:dyDescent="0.25">
      <c r="A1692">
        <v>100898836</v>
      </c>
      <c r="B1692" t="s">
        <v>4977</v>
      </c>
      <c r="C1692" t="s">
        <v>119</v>
      </c>
      <c r="F1692" t="str">
        <f>"2077862346"</f>
        <v>2077862346</v>
      </c>
      <c r="G1692" t="s">
        <v>4978</v>
      </c>
      <c r="H1692" t="s">
        <v>4979</v>
      </c>
      <c r="I1692" t="s">
        <v>191</v>
      </c>
      <c r="J1692">
        <v>4106</v>
      </c>
      <c r="K1692">
        <v>3808</v>
      </c>
      <c r="L1692" t="s">
        <v>23</v>
      </c>
      <c r="M1692" t="s">
        <v>4978</v>
      </c>
      <c r="N1692" t="s">
        <v>4979</v>
      </c>
      <c r="O1692" t="s">
        <v>191</v>
      </c>
      <c r="P1692">
        <v>4106</v>
      </c>
      <c r="Q1692">
        <v>3808</v>
      </c>
      <c r="R1692" t="s">
        <v>23</v>
      </c>
      <c r="S1692" s="1" t="s">
        <v>34218</v>
      </c>
    </row>
    <row r="1693" spans="1:19" x14ac:dyDescent="0.25">
      <c r="A1693">
        <v>101346364</v>
      </c>
      <c r="B1693" t="s">
        <v>3395</v>
      </c>
      <c r="C1693" t="s">
        <v>1714</v>
      </c>
      <c r="F1693" t="str">
        <f>"3143062187"</f>
        <v>3143062187</v>
      </c>
      <c r="G1693" t="s">
        <v>4980</v>
      </c>
      <c r="H1693" t="s">
        <v>125</v>
      </c>
      <c r="I1693" t="s">
        <v>126</v>
      </c>
      <c r="J1693">
        <v>63110</v>
      </c>
      <c r="K1693">
        <v>2939</v>
      </c>
      <c r="L1693" t="s">
        <v>23</v>
      </c>
      <c r="M1693" t="s">
        <v>4980</v>
      </c>
      <c r="N1693" t="s">
        <v>125</v>
      </c>
      <c r="O1693" t="s">
        <v>126</v>
      </c>
      <c r="P1693">
        <v>63110</v>
      </c>
      <c r="Q1693">
        <v>2939</v>
      </c>
      <c r="R1693" t="s">
        <v>23</v>
      </c>
      <c r="S1693" s="1" t="s">
        <v>34218</v>
      </c>
    </row>
    <row r="1694" spans="1:19" x14ac:dyDescent="0.25">
      <c r="A1694">
        <v>101296380</v>
      </c>
      <c r="B1694" t="s">
        <v>4981</v>
      </c>
      <c r="C1694" t="s">
        <v>4982</v>
      </c>
      <c r="F1694" t="str">
        <f>"3192361526"</f>
        <v>3192361526</v>
      </c>
      <c r="G1694" t="s">
        <v>4983</v>
      </c>
      <c r="H1694" t="s">
        <v>4819</v>
      </c>
      <c r="I1694" t="s">
        <v>565</v>
      </c>
      <c r="J1694">
        <v>50702</v>
      </c>
      <c r="K1694">
        <v>5438</v>
      </c>
      <c r="L1694" t="s">
        <v>23</v>
      </c>
      <c r="M1694" t="s">
        <v>4983</v>
      </c>
      <c r="N1694" t="s">
        <v>4819</v>
      </c>
      <c r="O1694" t="s">
        <v>565</v>
      </c>
      <c r="P1694">
        <v>50702</v>
      </c>
      <c r="Q1694">
        <v>5438</v>
      </c>
      <c r="R1694" t="s">
        <v>23</v>
      </c>
      <c r="S1694" s="1" t="s">
        <v>34218</v>
      </c>
    </row>
    <row r="1695" spans="1:19" x14ac:dyDescent="0.25">
      <c r="A1695">
        <v>101295519</v>
      </c>
      <c r="B1695" t="s">
        <v>4984</v>
      </c>
      <c r="C1695" t="s">
        <v>4124</v>
      </c>
      <c r="F1695" t="str">
        <f>"5123764278"</f>
        <v>5123764278</v>
      </c>
      <c r="G1695" t="s">
        <v>4985</v>
      </c>
      <c r="H1695" t="s">
        <v>4986</v>
      </c>
      <c r="I1695" t="s">
        <v>38</v>
      </c>
      <c r="J1695">
        <v>78644</v>
      </c>
      <c r="K1695">
        <v>1812</v>
      </c>
      <c r="L1695" t="s">
        <v>23</v>
      </c>
      <c r="M1695" t="s">
        <v>4985</v>
      </c>
      <c r="N1695" t="s">
        <v>4986</v>
      </c>
      <c r="O1695" t="s">
        <v>38</v>
      </c>
      <c r="P1695">
        <v>78644</v>
      </c>
      <c r="Q1695">
        <v>1812</v>
      </c>
      <c r="R1695" t="s">
        <v>23</v>
      </c>
      <c r="S1695" s="1" t="s">
        <v>34218</v>
      </c>
    </row>
    <row r="1696" spans="1:19" x14ac:dyDescent="0.25">
      <c r="A1696">
        <v>101300527</v>
      </c>
      <c r="B1696" t="s">
        <v>4987</v>
      </c>
      <c r="C1696" t="s">
        <v>959</v>
      </c>
      <c r="F1696" t="str">
        <f>"3603200531"</f>
        <v>3603200531</v>
      </c>
      <c r="G1696" t="s">
        <v>4988</v>
      </c>
      <c r="H1696" t="s">
        <v>4989</v>
      </c>
      <c r="I1696" t="s">
        <v>84</v>
      </c>
      <c r="J1696">
        <v>98282</v>
      </c>
      <c r="K1696">
        <v>8441</v>
      </c>
      <c r="L1696" t="s">
        <v>23</v>
      </c>
      <c r="M1696" t="s">
        <v>4988</v>
      </c>
      <c r="N1696" t="s">
        <v>4989</v>
      </c>
      <c r="O1696" t="s">
        <v>84</v>
      </c>
      <c r="P1696">
        <v>98282</v>
      </c>
      <c r="Q1696">
        <v>8441</v>
      </c>
      <c r="R1696" t="s">
        <v>23</v>
      </c>
      <c r="S1696" s="1" t="s">
        <v>34218</v>
      </c>
    </row>
    <row r="1697" spans="1:19" x14ac:dyDescent="0.25">
      <c r="A1697">
        <v>101296698</v>
      </c>
      <c r="B1697" t="s">
        <v>4990</v>
      </c>
      <c r="C1697" t="s">
        <v>535</v>
      </c>
      <c r="F1697" t="str">
        <f>"6172271534"</f>
        <v>6172271534</v>
      </c>
      <c r="G1697" t="s">
        <v>4991</v>
      </c>
      <c r="H1697" t="s">
        <v>2514</v>
      </c>
      <c r="I1697" t="s">
        <v>236</v>
      </c>
      <c r="J1697">
        <v>2109</v>
      </c>
      <c r="K1697">
        <v>1197</v>
      </c>
      <c r="L1697" t="s">
        <v>23</v>
      </c>
      <c r="M1697" t="s">
        <v>4991</v>
      </c>
      <c r="N1697" t="s">
        <v>2514</v>
      </c>
      <c r="O1697" t="s">
        <v>236</v>
      </c>
      <c r="P1697">
        <v>2109</v>
      </c>
      <c r="Q1697">
        <v>1197</v>
      </c>
      <c r="R1697" t="s">
        <v>23</v>
      </c>
      <c r="S1697" s="1" t="s">
        <v>34218</v>
      </c>
    </row>
    <row r="1698" spans="1:19" x14ac:dyDescent="0.25">
      <c r="A1698">
        <v>101306067</v>
      </c>
      <c r="B1698" t="s">
        <v>4992</v>
      </c>
      <c r="C1698" t="s">
        <v>498</v>
      </c>
      <c r="F1698" t="str">
        <f>"2084214575"</f>
        <v>2084214575</v>
      </c>
      <c r="G1698" t="s">
        <v>4993</v>
      </c>
      <c r="H1698" t="s">
        <v>4994</v>
      </c>
      <c r="I1698" t="s">
        <v>348</v>
      </c>
      <c r="J1698">
        <v>83301</v>
      </c>
      <c r="K1698">
        <v>7506</v>
      </c>
      <c r="L1698" t="s">
        <v>23</v>
      </c>
      <c r="M1698" t="s">
        <v>4993</v>
      </c>
      <c r="N1698" t="s">
        <v>4994</v>
      </c>
      <c r="O1698" t="s">
        <v>348</v>
      </c>
      <c r="P1698">
        <v>83301</v>
      </c>
      <c r="Q1698">
        <v>7506</v>
      </c>
      <c r="R1698" t="s">
        <v>23</v>
      </c>
      <c r="S1698" s="1" t="s">
        <v>34218</v>
      </c>
    </row>
    <row r="1699" spans="1:19" x14ac:dyDescent="0.25">
      <c r="A1699">
        <v>101137702</v>
      </c>
      <c r="B1699" t="s">
        <v>1662</v>
      </c>
      <c r="C1699" t="s">
        <v>4995</v>
      </c>
      <c r="F1699" t="str">
        <f>"8315555555"</f>
        <v>8315555555</v>
      </c>
      <c r="G1699" t="s">
        <v>4996</v>
      </c>
      <c r="H1699" t="s">
        <v>1293</v>
      </c>
      <c r="I1699" t="s">
        <v>22</v>
      </c>
      <c r="J1699">
        <v>95062</v>
      </c>
      <c r="K1699">
        <v>4058</v>
      </c>
      <c r="L1699" t="s">
        <v>23</v>
      </c>
      <c r="M1699" t="s">
        <v>4996</v>
      </c>
      <c r="N1699" t="s">
        <v>1293</v>
      </c>
      <c r="O1699" t="s">
        <v>22</v>
      </c>
      <c r="P1699">
        <v>95062</v>
      </c>
      <c r="Q1699">
        <v>4058</v>
      </c>
      <c r="R1699" t="s">
        <v>23</v>
      </c>
      <c r="S1699" s="1" t="s">
        <v>34218</v>
      </c>
    </row>
    <row r="1700" spans="1:19" x14ac:dyDescent="0.25">
      <c r="A1700">
        <v>101412269</v>
      </c>
      <c r="B1700" t="s">
        <v>4997</v>
      </c>
      <c r="C1700" t="s">
        <v>543</v>
      </c>
      <c r="F1700" t="str">
        <f>"6317264658"</f>
        <v>6317264658</v>
      </c>
      <c r="G1700" t="s">
        <v>4998</v>
      </c>
      <c r="H1700" t="s">
        <v>4999</v>
      </c>
      <c r="I1700" t="s">
        <v>117</v>
      </c>
      <c r="J1700">
        <v>11976</v>
      </c>
      <c r="K1700">
        <v>1360</v>
      </c>
      <c r="L1700" t="s">
        <v>23</v>
      </c>
      <c r="M1700" t="s">
        <v>4998</v>
      </c>
      <c r="N1700" t="s">
        <v>4999</v>
      </c>
      <c r="O1700" t="s">
        <v>117</v>
      </c>
      <c r="P1700">
        <v>11976</v>
      </c>
      <c r="Q1700">
        <v>1360</v>
      </c>
      <c r="R1700" t="s">
        <v>23</v>
      </c>
      <c r="S1700" s="1" t="s">
        <v>34218</v>
      </c>
    </row>
    <row r="1701" spans="1:19" x14ac:dyDescent="0.25">
      <c r="A1701">
        <v>101415851</v>
      </c>
      <c r="B1701" t="s">
        <v>5000</v>
      </c>
      <c r="C1701" t="s">
        <v>25</v>
      </c>
      <c r="F1701" t="str">
        <f>"7327391070"</f>
        <v>7327391070</v>
      </c>
      <c r="G1701" t="s">
        <v>5001</v>
      </c>
      <c r="H1701" t="s">
        <v>3195</v>
      </c>
      <c r="I1701" t="s">
        <v>250</v>
      </c>
      <c r="J1701">
        <v>7735</v>
      </c>
      <c r="K1701">
        <v>1861</v>
      </c>
      <c r="L1701" t="s">
        <v>23</v>
      </c>
      <c r="M1701" t="s">
        <v>5001</v>
      </c>
      <c r="N1701" t="s">
        <v>3195</v>
      </c>
      <c r="O1701" t="s">
        <v>250</v>
      </c>
      <c r="P1701">
        <v>7735</v>
      </c>
      <c r="Q1701">
        <v>1861</v>
      </c>
      <c r="R1701" t="s">
        <v>23</v>
      </c>
      <c r="S1701" s="1" t="s">
        <v>34218</v>
      </c>
    </row>
    <row r="1702" spans="1:19" x14ac:dyDescent="0.25">
      <c r="A1702">
        <v>100711441</v>
      </c>
      <c r="B1702" t="s">
        <v>5002</v>
      </c>
      <c r="C1702" t="s">
        <v>1153</v>
      </c>
      <c r="F1702" t="str">
        <f>"3608662901"</f>
        <v>3608662901</v>
      </c>
      <c r="G1702" t="s">
        <v>5003</v>
      </c>
      <c r="H1702" t="s">
        <v>1765</v>
      </c>
      <c r="I1702" t="s">
        <v>84</v>
      </c>
      <c r="J1702">
        <v>98502</v>
      </c>
      <c r="L1702" t="s">
        <v>23</v>
      </c>
      <c r="M1702" t="s">
        <v>5003</v>
      </c>
      <c r="N1702" t="s">
        <v>1765</v>
      </c>
      <c r="O1702" t="s">
        <v>84</v>
      </c>
      <c r="P1702">
        <v>98502</v>
      </c>
      <c r="R1702" t="s">
        <v>23</v>
      </c>
      <c r="S1702" s="1" t="s">
        <v>34218</v>
      </c>
    </row>
    <row r="1703" spans="1:19" x14ac:dyDescent="0.25">
      <c r="A1703">
        <v>101275062</v>
      </c>
      <c r="B1703" t="s">
        <v>5004</v>
      </c>
      <c r="C1703" t="s">
        <v>483</v>
      </c>
      <c r="F1703" t="str">
        <f>"8602770220"</f>
        <v>8602770220</v>
      </c>
      <c r="G1703" t="s">
        <v>5005</v>
      </c>
      <c r="H1703" t="s">
        <v>5006</v>
      </c>
      <c r="I1703" t="s">
        <v>161</v>
      </c>
      <c r="J1703">
        <v>6248</v>
      </c>
      <c r="L1703" t="s">
        <v>23</v>
      </c>
      <c r="M1703" t="s">
        <v>5005</v>
      </c>
      <c r="N1703" t="s">
        <v>5006</v>
      </c>
      <c r="O1703" t="s">
        <v>161</v>
      </c>
      <c r="P1703">
        <v>6248</v>
      </c>
      <c r="R1703" t="s">
        <v>23</v>
      </c>
      <c r="S1703" s="1" t="s">
        <v>34218</v>
      </c>
    </row>
    <row r="1704" spans="1:19" x14ac:dyDescent="0.25">
      <c r="A1704">
        <v>101193794</v>
      </c>
      <c r="B1704" t="s">
        <v>5007</v>
      </c>
      <c r="C1704" t="s">
        <v>1036</v>
      </c>
      <c r="F1704" t="str">
        <f>"6027059226"</f>
        <v>6027059226</v>
      </c>
      <c r="G1704" t="s">
        <v>5008</v>
      </c>
      <c r="H1704" t="s">
        <v>682</v>
      </c>
      <c r="I1704" t="s">
        <v>365</v>
      </c>
      <c r="J1704">
        <v>85022</v>
      </c>
      <c r="K1704">
        <v>5880</v>
      </c>
      <c r="L1704" t="s">
        <v>23</v>
      </c>
      <c r="M1704" t="s">
        <v>5008</v>
      </c>
      <c r="N1704" t="s">
        <v>682</v>
      </c>
      <c r="O1704" t="s">
        <v>365</v>
      </c>
      <c r="P1704">
        <v>85022</v>
      </c>
      <c r="Q1704">
        <v>5880</v>
      </c>
      <c r="R1704" t="s">
        <v>23</v>
      </c>
      <c r="S1704" s="1" t="s">
        <v>34218</v>
      </c>
    </row>
    <row r="1705" spans="1:19" x14ac:dyDescent="0.25">
      <c r="A1705">
        <v>101164950</v>
      </c>
      <c r="B1705" t="s">
        <v>1144</v>
      </c>
      <c r="C1705" t="s">
        <v>5009</v>
      </c>
      <c r="F1705" t="str">
        <f>"5032321701"</f>
        <v>5032321701</v>
      </c>
      <c r="G1705" t="s">
        <v>5010</v>
      </c>
      <c r="H1705" t="s">
        <v>227</v>
      </c>
      <c r="I1705" t="s">
        <v>43</v>
      </c>
      <c r="J1705">
        <v>97215</v>
      </c>
      <c r="K1705">
        <v>3943</v>
      </c>
      <c r="L1705" t="s">
        <v>23</v>
      </c>
      <c r="M1705" t="s">
        <v>5010</v>
      </c>
      <c r="N1705" t="s">
        <v>227</v>
      </c>
      <c r="O1705" t="s">
        <v>43</v>
      </c>
      <c r="P1705">
        <v>97215</v>
      </c>
      <c r="Q1705">
        <v>3943</v>
      </c>
      <c r="R1705" t="s">
        <v>23</v>
      </c>
      <c r="S1705" s="1" t="s">
        <v>34218</v>
      </c>
    </row>
    <row r="1706" spans="1:19" x14ac:dyDescent="0.25">
      <c r="A1706">
        <v>100650896</v>
      </c>
      <c r="B1706" t="s">
        <v>5011</v>
      </c>
      <c r="C1706" t="s">
        <v>5012</v>
      </c>
      <c r="F1706" t="str">
        <f>"6034982782"</f>
        <v>6034982782</v>
      </c>
      <c r="G1706" t="s">
        <v>5013</v>
      </c>
      <c r="H1706" t="s">
        <v>5014</v>
      </c>
      <c r="I1706" t="s">
        <v>353</v>
      </c>
      <c r="J1706">
        <v>3801</v>
      </c>
      <c r="K1706">
        <v>5897</v>
      </c>
      <c r="L1706" t="s">
        <v>23</v>
      </c>
      <c r="M1706" t="s">
        <v>5013</v>
      </c>
      <c r="N1706" t="s">
        <v>5014</v>
      </c>
      <c r="O1706" t="s">
        <v>353</v>
      </c>
      <c r="P1706">
        <v>3801</v>
      </c>
      <c r="Q1706">
        <v>5897</v>
      </c>
      <c r="R1706" t="s">
        <v>23</v>
      </c>
      <c r="S1706" s="1" t="s">
        <v>34218</v>
      </c>
    </row>
    <row r="1707" spans="1:19" x14ac:dyDescent="0.25">
      <c r="A1707">
        <v>101229877</v>
      </c>
      <c r="B1707" t="s">
        <v>5015</v>
      </c>
      <c r="C1707" t="s">
        <v>5016</v>
      </c>
      <c r="F1707" t="str">
        <f>"2819331259"</f>
        <v>2819331259</v>
      </c>
      <c r="G1707" t="s">
        <v>5017</v>
      </c>
      <c r="H1707" t="s">
        <v>1402</v>
      </c>
      <c r="I1707" t="s">
        <v>38</v>
      </c>
      <c r="J1707">
        <v>77072</v>
      </c>
      <c r="K1707">
        <v>3907</v>
      </c>
      <c r="L1707" t="s">
        <v>23</v>
      </c>
      <c r="M1707" t="s">
        <v>5017</v>
      </c>
      <c r="N1707" t="s">
        <v>1402</v>
      </c>
      <c r="O1707" t="s">
        <v>38</v>
      </c>
      <c r="P1707">
        <v>77072</v>
      </c>
      <c r="Q1707">
        <v>3907</v>
      </c>
      <c r="R1707" t="s">
        <v>23</v>
      </c>
      <c r="S1707" s="1" t="s">
        <v>34218</v>
      </c>
    </row>
    <row r="1708" spans="1:19" x14ac:dyDescent="0.25">
      <c r="A1708">
        <v>101259410</v>
      </c>
      <c r="B1708" t="s">
        <v>5018</v>
      </c>
      <c r="C1708" t="s">
        <v>1363</v>
      </c>
      <c r="F1708" t="str">
        <f>"4803634540"</f>
        <v>4803634540</v>
      </c>
      <c r="G1708" t="s">
        <v>5019</v>
      </c>
      <c r="H1708" t="s">
        <v>471</v>
      </c>
      <c r="I1708" t="s">
        <v>365</v>
      </c>
      <c r="J1708">
        <v>85259</v>
      </c>
      <c r="K1708">
        <v>2655</v>
      </c>
      <c r="L1708" t="s">
        <v>23</v>
      </c>
      <c r="M1708" t="s">
        <v>5019</v>
      </c>
      <c r="N1708" t="s">
        <v>471</v>
      </c>
      <c r="O1708" t="s">
        <v>365</v>
      </c>
      <c r="P1708">
        <v>85259</v>
      </c>
      <c r="Q1708">
        <v>2655</v>
      </c>
      <c r="R1708" t="s">
        <v>23</v>
      </c>
      <c r="S1708" s="1" t="s">
        <v>34218</v>
      </c>
    </row>
    <row r="1709" spans="1:19" x14ac:dyDescent="0.25">
      <c r="A1709">
        <v>100577327</v>
      </c>
      <c r="B1709" t="s">
        <v>5020</v>
      </c>
      <c r="C1709" t="s">
        <v>483</v>
      </c>
      <c r="F1709" t="str">
        <f>"5867077072"</f>
        <v>5867077072</v>
      </c>
      <c r="G1709" t="s">
        <v>5021</v>
      </c>
      <c r="H1709" t="s">
        <v>5022</v>
      </c>
      <c r="I1709" t="s">
        <v>914</v>
      </c>
      <c r="J1709">
        <v>37876</v>
      </c>
      <c r="L1709" t="s">
        <v>23</v>
      </c>
      <c r="M1709" t="s">
        <v>5021</v>
      </c>
      <c r="N1709" t="s">
        <v>5022</v>
      </c>
      <c r="O1709" t="s">
        <v>914</v>
      </c>
      <c r="P1709">
        <v>37876</v>
      </c>
      <c r="R1709" t="s">
        <v>23</v>
      </c>
      <c r="S1709" s="1" t="s">
        <v>34218</v>
      </c>
    </row>
    <row r="1710" spans="1:19" x14ac:dyDescent="0.25">
      <c r="A1710">
        <v>101200776</v>
      </c>
      <c r="B1710" t="s">
        <v>224</v>
      </c>
      <c r="C1710" t="s">
        <v>1623</v>
      </c>
      <c r="F1710" t="str">
        <f>"8316884770"</f>
        <v>8316884770</v>
      </c>
      <c r="H1710" t="s">
        <v>5023</v>
      </c>
      <c r="I1710" t="s">
        <v>22</v>
      </c>
      <c r="J1710">
        <v>95010</v>
      </c>
      <c r="L1710" t="s">
        <v>23</v>
      </c>
      <c r="N1710" t="s">
        <v>5023</v>
      </c>
      <c r="O1710" t="s">
        <v>22</v>
      </c>
      <c r="P1710">
        <v>95010</v>
      </c>
      <c r="R1710" t="s">
        <v>23</v>
      </c>
      <c r="S1710" s="1" t="s">
        <v>34218</v>
      </c>
    </row>
    <row r="1711" spans="1:19" x14ac:dyDescent="0.25">
      <c r="A1711">
        <v>101077207</v>
      </c>
      <c r="B1711" t="s">
        <v>2385</v>
      </c>
      <c r="C1711" t="s">
        <v>5024</v>
      </c>
      <c r="F1711" t="str">
        <f>"3015934898"</f>
        <v>3015934898</v>
      </c>
      <c r="G1711" t="s">
        <v>5025</v>
      </c>
      <c r="H1711" t="s">
        <v>758</v>
      </c>
      <c r="I1711" t="s">
        <v>148</v>
      </c>
      <c r="J1711">
        <v>20902</v>
      </c>
      <c r="L1711" t="s">
        <v>23</v>
      </c>
      <c r="M1711" t="s">
        <v>5025</v>
      </c>
      <c r="N1711" t="s">
        <v>758</v>
      </c>
      <c r="O1711" t="s">
        <v>148</v>
      </c>
      <c r="P1711">
        <v>20902</v>
      </c>
      <c r="R1711" t="s">
        <v>23</v>
      </c>
      <c r="S1711" s="1" t="s">
        <v>34218</v>
      </c>
    </row>
    <row r="1712" spans="1:19" x14ac:dyDescent="0.25">
      <c r="A1712">
        <v>101346650</v>
      </c>
      <c r="B1712" t="s">
        <v>5026</v>
      </c>
      <c r="C1712" t="s">
        <v>5027</v>
      </c>
      <c r="F1712" t="str">
        <f>"9209691063"</f>
        <v>9209691063</v>
      </c>
      <c r="G1712" t="s">
        <v>5028</v>
      </c>
      <c r="H1712" t="s">
        <v>5029</v>
      </c>
      <c r="I1712" t="s">
        <v>100</v>
      </c>
      <c r="J1712">
        <v>54952</v>
      </c>
      <c r="K1712">
        <v>3214</v>
      </c>
      <c r="L1712" t="s">
        <v>23</v>
      </c>
      <c r="M1712" t="s">
        <v>5028</v>
      </c>
      <c r="N1712" t="s">
        <v>5029</v>
      </c>
      <c r="O1712" t="s">
        <v>100</v>
      </c>
      <c r="P1712">
        <v>54952</v>
      </c>
      <c r="Q1712">
        <v>3214</v>
      </c>
      <c r="R1712" t="s">
        <v>23</v>
      </c>
      <c r="S1712" s="1" t="s">
        <v>34218</v>
      </c>
    </row>
    <row r="1713" spans="1:19" x14ac:dyDescent="0.25">
      <c r="A1713">
        <v>101356350</v>
      </c>
      <c r="B1713" t="s">
        <v>5030</v>
      </c>
      <c r="C1713" t="s">
        <v>102</v>
      </c>
      <c r="F1713" t="str">
        <f>"9529349371"</f>
        <v>9529349371</v>
      </c>
      <c r="G1713" t="s">
        <v>5031</v>
      </c>
      <c r="H1713" t="s">
        <v>186</v>
      </c>
      <c r="I1713" t="s">
        <v>187</v>
      </c>
      <c r="J1713">
        <v>55345</v>
      </c>
      <c r="K1713">
        <v>5428</v>
      </c>
      <c r="L1713" t="s">
        <v>23</v>
      </c>
      <c r="M1713" t="s">
        <v>5031</v>
      </c>
      <c r="N1713" t="s">
        <v>186</v>
      </c>
      <c r="O1713" t="s">
        <v>187</v>
      </c>
      <c r="P1713">
        <v>55345</v>
      </c>
      <c r="Q1713">
        <v>5428</v>
      </c>
      <c r="R1713" t="s">
        <v>23</v>
      </c>
      <c r="S1713" s="1" t="s">
        <v>34218</v>
      </c>
    </row>
    <row r="1714" spans="1:19" x14ac:dyDescent="0.25">
      <c r="A1714">
        <v>101199862</v>
      </c>
      <c r="B1714" t="s">
        <v>5032</v>
      </c>
      <c r="C1714" t="s">
        <v>3432</v>
      </c>
      <c r="F1714" t="str">
        <f>"7075996009"</f>
        <v>7075996009</v>
      </c>
      <c r="G1714" t="s">
        <v>5033</v>
      </c>
      <c r="H1714" t="s">
        <v>5034</v>
      </c>
      <c r="I1714" t="s">
        <v>22</v>
      </c>
      <c r="J1714">
        <v>95524</v>
      </c>
      <c r="K1714">
        <v>9301</v>
      </c>
      <c r="L1714" t="s">
        <v>23</v>
      </c>
      <c r="M1714" t="s">
        <v>5033</v>
      </c>
      <c r="N1714" t="s">
        <v>5034</v>
      </c>
      <c r="O1714" t="s">
        <v>22</v>
      </c>
      <c r="P1714">
        <v>95524</v>
      </c>
      <c r="Q1714">
        <v>9301</v>
      </c>
      <c r="R1714" t="s">
        <v>23</v>
      </c>
      <c r="S1714" s="1" t="s">
        <v>34218</v>
      </c>
    </row>
    <row r="1715" spans="1:19" x14ac:dyDescent="0.25">
      <c r="A1715">
        <v>101304758</v>
      </c>
      <c r="B1715" t="s">
        <v>5035</v>
      </c>
      <c r="C1715" t="s">
        <v>252</v>
      </c>
      <c r="F1715" t="str">
        <f>"6174847024"</f>
        <v>6174847024</v>
      </c>
      <c r="G1715" t="s">
        <v>5036</v>
      </c>
      <c r="H1715" t="s">
        <v>5037</v>
      </c>
      <c r="I1715" t="s">
        <v>236</v>
      </c>
      <c r="J1715">
        <v>2478</v>
      </c>
      <c r="K1715">
        <v>1027</v>
      </c>
      <c r="L1715" t="s">
        <v>23</v>
      </c>
      <c r="M1715" t="s">
        <v>5036</v>
      </c>
      <c r="N1715" t="s">
        <v>5037</v>
      </c>
      <c r="O1715" t="s">
        <v>236</v>
      </c>
      <c r="P1715">
        <v>2478</v>
      </c>
      <c r="Q1715">
        <v>1027</v>
      </c>
      <c r="R1715" t="s">
        <v>23</v>
      </c>
      <c r="S1715" s="1" t="s">
        <v>34218</v>
      </c>
    </row>
    <row r="1716" spans="1:19" x14ac:dyDescent="0.25">
      <c r="A1716">
        <v>101189897</v>
      </c>
      <c r="B1716" t="s">
        <v>5038</v>
      </c>
      <c r="C1716" t="s">
        <v>1298</v>
      </c>
      <c r="F1716" t="str">
        <f>"8184867417"</f>
        <v>8184867417</v>
      </c>
      <c r="G1716" t="s">
        <v>5039</v>
      </c>
      <c r="H1716" t="s">
        <v>5040</v>
      </c>
      <c r="I1716" t="s">
        <v>241</v>
      </c>
      <c r="J1716">
        <v>66203</v>
      </c>
      <c r="K1716">
        <v>3042</v>
      </c>
      <c r="L1716" t="s">
        <v>23</v>
      </c>
      <c r="M1716" t="s">
        <v>5039</v>
      </c>
      <c r="N1716" t="s">
        <v>5040</v>
      </c>
      <c r="O1716" t="s">
        <v>241</v>
      </c>
      <c r="P1716">
        <v>66203</v>
      </c>
      <c r="Q1716">
        <v>3042</v>
      </c>
      <c r="R1716" t="s">
        <v>23</v>
      </c>
      <c r="S1716" s="1" t="s">
        <v>34218</v>
      </c>
    </row>
    <row r="1717" spans="1:19" x14ac:dyDescent="0.25">
      <c r="A1717">
        <v>100955907</v>
      </c>
      <c r="B1717" t="s">
        <v>5041</v>
      </c>
      <c r="C1717" t="s">
        <v>644</v>
      </c>
      <c r="F1717" t="str">
        <f>"9146281279"</f>
        <v>9146281279</v>
      </c>
      <c r="G1717" t="s">
        <v>5042</v>
      </c>
      <c r="H1717" t="s">
        <v>5043</v>
      </c>
      <c r="I1717" t="s">
        <v>117</v>
      </c>
      <c r="J1717">
        <v>10505</v>
      </c>
      <c r="K1717">
        <v>2019</v>
      </c>
      <c r="L1717" t="s">
        <v>23</v>
      </c>
      <c r="M1717" t="s">
        <v>5042</v>
      </c>
      <c r="N1717" t="s">
        <v>5043</v>
      </c>
      <c r="O1717" t="s">
        <v>117</v>
      </c>
      <c r="P1717">
        <v>10505</v>
      </c>
      <c r="Q1717">
        <v>2019</v>
      </c>
      <c r="R1717" t="s">
        <v>23</v>
      </c>
      <c r="S1717" s="1" t="s">
        <v>34218</v>
      </c>
    </row>
    <row r="1718" spans="1:19" x14ac:dyDescent="0.25">
      <c r="A1718">
        <v>101170876</v>
      </c>
      <c r="B1718" t="s">
        <v>5044</v>
      </c>
      <c r="C1718" t="s">
        <v>1050</v>
      </c>
      <c r="F1718" t="str">
        <f>"9207761058"</f>
        <v>9207761058</v>
      </c>
      <c r="G1718" t="s">
        <v>5045</v>
      </c>
      <c r="H1718" t="s">
        <v>5046</v>
      </c>
      <c r="I1718" t="s">
        <v>100</v>
      </c>
      <c r="J1718">
        <v>54241</v>
      </c>
      <c r="K1718">
        <v>9086</v>
      </c>
      <c r="L1718" t="s">
        <v>23</v>
      </c>
      <c r="M1718" t="s">
        <v>5045</v>
      </c>
      <c r="N1718" t="s">
        <v>5046</v>
      </c>
      <c r="O1718" t="s">
        <v>100</v>
      </c>
      <c r="P1718">
        <v>54241</v>
      </c>
      <c r="Q1718">
        <v>9086</v>
      </c>
      <c r="R1718" t="s">
        <v>23</v>
      </c>
      <c r="S1718" s="1" t="s">
        <v>34218</v>
      </c>
    </row>
    <row r="1719" spans="1:19" x14ac:dyDescent="0.25">
      <c r="A1719">
        <v>101396886</v>
      </c>
      <c r="B1719" t="s">
        <v>5047</v>
      </c>
      <c r="C1719" t="s">
        <v>1153</v>
      </c>
      <c r="F1719" t="str">
        <f>"4128550741"</f>
        <v>4128550741</v>
      </c>
      <c r="G1719" t="s">
        <v>5048</v>
      </c>
      <c r="H1719" t="s">
        <v>5049</v>
      </c>
      <c r="I1719" t="s">
        <v>33</v>
      </c>
      <c r="J1719">
        <v>15116</v>
      </c>
      <c r="K1719">
        <v>2746</v>
      </c>
      <c r="L1719" t="s">
        <v>23</v>
      </c>
      <c r="M1719" t="s">
        <v>5048</v>
      </c>
      <c r="N1719" t="s">
        <v>5049</v>
      </c>
      <c r="O1719" t="s">
        <v>33</v>
      </c>
      <c r="P1719">
        <v>15116</v>
      </c>
      <c r="Q1719">
        <v>2746</v>
      </c>
      <c r="R1719" t="s">
        <v>23</v>
      </c>
      <c r="S1719" s="1" t="s">
        <v>34218</v>
      </c>
    </row>
    <row r="1720" spans="1:19" x14ac:dyDescent="0.25">
      <c r="A1720">
        <v>101404981</v>
      </c>
      <c r="B1720" t="s">
        <v>5050</v>
      </c>
      <c r="C1720" t="s">
        <v>1117</v>
      </c>
      <c r="F1720" t="str">
        <f>"9254651230"</f>
        <v>9254651230</v>
      </c>
      <c r="G1720" t="s">
        <v>5051</v>
      </c>
      <c r="H1720" t="s">
        <v>88</v>
      </c>
      <c r="I1720" t="s">
        <v>22</v>
      </c>
      <c r="J1720">
        <v>94619</v>
      </c>
      <c r="K1720">
        <v>3111</v>
      </c>
      <c r="L1720" t="s">
        <v>23</v>
      </c>
      <c r="M1720" t="s">
        <v>5051</v>
      </c>
      <c r="N1720" t="s">
        <v>88</v>
      </c>
      <c r="O1720" t="s">
        <v>22</v>
      </c>
      <c r="P1720">
        <v>94619</v>
      </c>
      <c r="Q1720">
        <v>3111</v>
      </c>
      <c r="R1720" t="s">
        <v>23</v>
      </c>
      <c r="S1720" s="1" t="s">
        <v>34218</v>
      </c>
    </row>
    <row r="1721" spans="1:19" x14ac:dyDescent="0.25">
      <c r="A1721">
        <v>101404887</v>
      </c>
      <c r="B1721" t="s">
        <v>5052</v>
      </c>
      <c r="C1721" t="s">
        <v>2642</v>
      </c>
      <c r="F1721" t="str">
        <f>"4079052501"</f>
        <v>4079052501</v>
      </c>
      <c r="G1721" t="s">
        <v>5053</v>
      </c>
      <c r="H1721" t="s">
        <v>5054</v>
      </c>
      <c r="I1721" t="s">
        <v>52</v>
      </c>
      <c r="J1721">
        <v>34761</v>
      </c>
      <c r="K1721">
        <v>3719</v>
      </c>
      <c r="L1721" t="s">
        <v>23</v>
      </c>
      <c r="M1721" t="s">
        <v>5053</v>
      </c>
      <c r="N1721" t="s">
        <v>5054</v>
      </c>
      <c r="O1721" t="s">
        <v>52</v>
      </c>
      <c r="P1721">
        <v>34761</v>
      </c>
      <c r="Q1721">
        <v>3719</v>
      </c>
      <c r="R1721" t="s">
        <v>23</v>
      </c>
      <c r="S1721" s="1" t="s">
        <v>34218</v>
      </c>
    </row>
    <row r="1722" spans="1:19" x14ac:dyDescent="0.25">
      <c r="A1722">
        <v>101338905</v>
      </c>
      <c r="B1722" t="s">
        <v>2158</v>
      </c>
      <c r="C1722" t="s">
        <v>2653</v>
      </c>
      <c r="F1722" t="str">
        <f>"7142035811"</f>
        <v>7142035811</v>
      </c>
      <c r="G1722" t="s">
        <v>5055</v>
      </c>
      <c r="H1722" t="s">
        <v>5056</v>
      </c>
      <c r="I1722" t="s">
        <v>22</v>
      </c>
      <c r="J1722">
        <v>92707</v>
      </c>
      <c r="K1722">
        <v>4315</v>
      </c>
      <c r="L1722" t="s">
        <v>23</v>
      </c>
      <c r="M1722" t="s">
        <v>5055</v>
      </c>
      <c r="N1722" t="s">
        <v>5056</v>
      </c>
      <c r="O1722" t="s">
        <v>22</v>
      </c>
      <c r="P1722">
        <v>92707</v>
      </c>
      <c r="Q1722">
        <v>4315</v>
      </c>
      <c r="R1722" t="s">
        <v>23</v>
      </c>
      <c r="S1722" s="1" t="s">
        <v>34218</v>
      </c>
    </row>
    <row r="1723" spans="1:19" x14ac:dyDescent="0.25">
      <c r="A1723">
        <v>101300999</v>
      </c>
      <c r="B1723" t="s">
        <v>5057</v>
      </c>
      <c r="C1723" t="s">
        <v>1588</v>
      </c>
      <c r="F1723" t="str">
        <f>"7609099088"</f>
        <v>7609099088</v>
      </c>
      <c r="G1723" t="s">
        <v>5058</v>
      </c>
      <c r="H1723" t="s">
        <v>5059</v>
      </c>
      <c r="I1723" t="s">
        <v>22</v>
      </c>
      <c r="J1723">
        <v>92539</v>
      </c>
      <c r="K1723">
        <v>1942</v>
      </c>
      <c r="L1723" t="s">
        <v>23</v>
      </c>
      <c r="M1723" t="s">
        <v>5058</v>
      </c>
      <c r="N1723" t="s">
        <v>5059</v>
      </c>
      <c r="O1723" t="s">
        <v>22</v>
      </c>
      <c r="P1723">
        <v>92539</v>
      </c>
      <c r="Q1723">
        <v>1942</v>
      </c>
      <c r="R1723" t="s">
        <v>23</v>
      </c>
      <c r="S1723" s="1" t="s">
        <v>34218</v>
      </c>
    </row>
    <row r="1724" spans="1:19" x14ac:dyDescent="0.25">
      <c r="A1724">
        <v>100770857</v>
      </c>
      <c r="B1724" t="s">
        <v>5060</v>
      </c>
      <c r="C1724" t="s">
        <v>1422</v>
      </c>
      <c r="F1724" t="str">
        <f>"3147250629"</f>
        <v>3147250629</v>
      </c>
      <c r="G1724" t="s">
        <v>5061</v>
      </c>
      <c r="H1724" t="s">
        <v>125</v>
      </c>
      <c r="I1724" t="s">
        <v>126</v>
      </c>
      <c r="J1724">
        <v>63130</v>
      </c>
      <c r="K1724">
        <v>3041</v>
      </c>
      <c r="L1724" t="s">
        <v>23</v>
      </c>
      <c r="M1724" t="s">
        <v>5061</v>
      </c>
      <c r="N1724" t="s">
        <v>125</v>
      </c>
      <c r="O1724" t="s">
        <v>126</v>
      </c>
      <c r="P1724">
        <v>63130</v>
      </c>
      <c r="Q1724">
        <v>3041</v>
      </c>
      <c r="R1724" t="s">
        <v>23</v>
      </c>
      <c r="S1724" s="1" t="s">
        <v>34218</v>
      </c>
    </row>
    <row r="1725" spans="1:19" x14ac:dyDescent="0.25">
      <c r="A1725">
        <v>100995867</v>
      </c>
      <c r="B1725" t="s">
        <v>2080</v>
      </c>
      <c r="C1725" t="s">
        <v>216</v>
      </c>
      <c r="F1725" t="str">
        <f>"9169419826"</f>
        <v>9169419826</v>
      </c>
      <c r="G1725" t="s">
        <v>5062</v>
      </c>
      <c r="H1725" t="s">
        <v>5063</v>
      </c>
      <c r="I1725" t="s">
        <v>22</v>
      </c>
      <c r="J1725">
        <v>95762</v>
      </c>
      <c r="K1725">
        <v>9747</v>
      </c>
      <c r="L1725" t="s">
        <v>23</v>
      </c>
      <c r="M1725" t="s">
        <v>5062</v>
      </c>
      <c r="N1725" t="s">
        <v>5063</v>
      </c>
      <c r="O1725" t="s">
        <v>22</v>
      </c>
      <c r="P1725">
        <v>95762</v>
      </c>
      <c r="Q1725">
        <v>9747</v>
      </c>
      <c r="R1725" t="s">
        <v>23</v>
      </c>
      <c r="S1725" s="1" t="s">
        <v>34218</v>
      </c>
    </row>
    <row r="1726" spans="1:19" x14ac:dyDescent="0.25">
      <c r="A1726">
        <v>101287233</v>
      </c>
      <c r="B1726" t="s">
        <v>281</v>
      </c>
      <c r="C1726" t="s">
        <v>1540</v>
      </c>
      <c r="F1726" t="str">
        <f>"3145782907"</f>
        <v>3145782907</v>
      </c>
      <c r="G1726">
        <v>63116</v>
      </c>
      <c r="H1726" t="s">
        <v>125</v>
      </c>
      <c r="I1726" t="s">
        <v>126</v>
      </c>
      <c r="J1726">
        <v>63116</v>
      </c>
      <c r="L1726" t="s">
        <v>23</v>
      </c>
      <c r="M1726">
        <v>63116</v>
      </c>
      <c r="N1726" t="s">
        <v>125</v>
      </c>
      <c r="O1726" t="s">
        <v>126</v>
      </c>
      <c r="P1726">
        <v>63116</v>
      </c>
      <c r="R1726" t="s">
        <v>23</v>
      </c>
      <c r="S1726" s="1" t="s">
        <v>34218</v>
      </c>
    </row>
    <row r="1727" spans="1:19" x14ac:dyDescent="0.25">
      <c r="A1727">
        <v>101245849</v>
      </c>
      <c r="B1727" t="s">
        <v>5064</v>
      </c>
      <c r="C1727" t="s">
        <v>180</v>
      </c>
      <c r="F1727" t="str">
        <f>"6167940514"</f>
        <v>6167940514</v>
      </c>
      <c r="G1727" t="s">
        <v>5065</v>
      </c>
      <c r="H1727" t="s">
        <v>5066</v>
      </c>
      <c r="I1727" t="s">
        <v>140</v>
      </c>
      <c r="J1727">
        <v>48809</v>
      </c>
      <c r="K1727">
        <v>2417</v>
      </c>
      <c r="L1727" t="s">
        <v>23</v>
      </c>
      <c r="M1727" t="s">
        <v>5065</v>
      </c>
      <c r="N1727" t="s">
        <v>5066</v>
      </c>
      <c r="O1727" t="s">
        <v>140</v>
      </c>
      <c r="P1727">
        <v>48809</v>
      </c>
      <c r="Q1727">
        <v>2417</v>
      </c>
      <c r="R1727" t="s">
        <v>23</v>
      </c>
      <c r="S1727" s="1" t="s">
        <v>34218</v>
      </c>
    </row>
    <row r="1728" spans="1:19" x14ac:dyDescent="0.25">
      <c r="A1728">
        <v>101255066</v>
      </c>
      <c r="B1728" t="s">
        <v>5067</v>
      </c>
      <c r="C1728" t="s">
        <v>5068</v>
      </c>
      <c r="F1728" t="str">
        <f>"5039572043"</f>
        <v>5039572043</v>
      </c>
      <c r="G1728" t="s">
        <v>5069</v>
      </c>
      <c r="H1728" t="s">
        <v>5070</v>
      </c>
      <c r="I1728" t="s">
        <v>84</v>
      </c>
      <c r="J1728">
        <v>98662</v>
      </c>
      <c r="K1728">
        <v>1729</v>
      </c>
      <c r="L1728" t="s">
        <v>23</v>
      </c>
      <c r="M1728" t="s">
        <v>5069</v>
      </c>
      <c r="N1728" t="s">
        <v>5070</v>
      </c>
      <c r="O1728" t="s">
        <v>84</v>
      </c>
      <c r="P1728">
        <v>98662</v>
      </c>
      <c r="Q1728">
        <v>1729</v>
      </c>
      <c r="R1728" t="s">
        <v>23</v>
      </c>
      <c r="S1728" s="1" t="s">
        <v>34218</v>
      </c>
    </row>
    <row r="1729" spans="1:19" x14ac:dyDescent="0.25">
      <c r="A1729">
        <v>100735818</v>
      </c>
      <c r="B1729" t="s">
        <v>5071</v>
      </c>
      <c r="C1729" t="s">
        <v>286</v>
      </c>
      <c r="F1729" t="str">
        <f>"9702668191"</f>
        <v>9702668191</v>
      </c>
      <c r="G1729" t="s">
        <v>5072</v>
      </c>
      <c r="H1729" t="s">
        <v>2399</v>
      </c>
      <c r="I1729" t="s">
        <v>71</v>
      </c>
      <c r="J1729" t="s">
        <v>5073</v>
      </c>
      <c r="K1729">
        <v>3459</v>
      </c>
      <c r="L1729" t="s">
        <v>23</v>
      </c>
      <c r="M1729" t="s">
        <v>5072</v>
      </c>
      <c r="N1729" t="s">
        <v>2399</v>
      </c>
      <c r="O1729" t="s">
        <v>71</v>
      </c>
      <c r="P1729" t="s">
        <v>5073</v>
      </c>
      <c r="Q1729">
        <v>3459</v>
      </c>
      <c r="R1729" t="s">
        <v>23</v>
      </c>
      <c r="S1729" s="1" t="s">
        <v>34218</v>
      </c>
    </row>
    <row r="1730" spans="1:19" x14ac:dyDescent="0.25">
      <c r="A1730">
        <v>101301291</v>
      </c>
      <c r="B1730" t="s">
        <v>5074</v>
      </c>
      <c r="C1730" t="s">
        <v>5075</v>
      </c>
      <c r="F1730" t="str">
        <f>"7732622614"</f>
        <v>7732622614</v>
      </c>
      <c r="G1730" t="s">
        <v>5076</v>
      </c>
      <c r="H1730" t="s">
        <v>134</v>
      </c>
      <c r="I1730" t="s">
        <v>135</v>
      </c>
      <c r="J1730">
        <v>60645</v>
      </c>
      <c r="K1730">
        <v>3217</v>
      </c>
      <c r="L1730" t="s">
        <v>23</v>
      </c>
      <c r="M1730" t="s">
        <v>5076</v>
      </c>
      <c r="N1730" t="s">
        <v>134</v>
      </c>
      <c r="O1730" t="s">
        <v>135</v>
      </c>
      <c r="P1730">
        <v>60645</v>
      </c>
      <c r="Q1730">
        <v>3217</v>
      </c>
      <c r="R1730" t="s">
        <v>23</v>
      </c>
      <c r="S1730" s="1" t="s">
        <v>34218</v>
      </c>
    </row>
    <row r="1731" spans="1:19" x14ac:dyDescent="0.25">
      <c r="A1731">
        <v>101334452</v>
      </c>
      <c r="B1731" t="s">
        <v>1004</v>
      </c>
      <c r="C1731" t="s">
        <v>3643</v>
      </c>
      <c r="F1731" t="str">
        <f>"3107291234"</f>
        <v>3107291234</v>
      </c>
      <c r="G1731" t="s">
        <v>5077</v>
      </c>
      <c r="H1731" t="s">
        <v>2086</v>
      </c>
      <c r="I1731" t="s">
        <v>178</v>
      </c>
      <c r="J1731">
        <v>45206</v>
      </c>
      <c r="K1731">
        <v>1423</v>
      </c>
      <c r="L1731" t="s">
        <v>23</v>
      </c>
      <c r="M1731" t="s">
        <v>5077</v>
      </c>
      <c r="N1731" t="s">
        <v>2086</v>
      </c>
      <c r="O1731" t="s">
        <v>178</v>
      </c>
      <c r="P1731">
        <v>45206</v>
      </c>
      <c r="Q1731">
        <v>1423</v>
      </c>
      <c r="R1731" t="s">
        <v>23</v>
      </c>
      <c r="S1731" s="1" t="s">
        <v>34218</v>
      </c>
    </row>
    <row r="1732" spans="1:19" x14ac:dyDescent="0.25">
      <c r="A1732">
        <v>101272518</v>
      </c>
      <c r="B1732" t="s">
        <v>5078</v>
      </c>
      <c r="C1732" t="s">
        <v>5079</v>
      </c>
      <c r="F1732" t="str">
        <f>"5032924176"</f>
        <v>5032924176</v>
      </c>
      <c r="G1732" t="s">
        <v>5080</v>
      </c>
      <c r="H1732" t="s">
        <v>227</v>
      </c>
      <c r="I1732" t="s">
        <v>43</v>
      </c>
      <c r="J1732">
        <v>97215</v>
      </c>
      <c r="K1732">
        <v>3831</v>
      </c>
      <c r="L1732" t="s">
        <v>23</v>
      </c>
      <c r="M1732" t="s">
        <v>5080</v>
      </c>
      <c r="N1732" t="s">
        <v>227</v>
      </c>
      <c r="O1732" t="s">
        <v>43</v>
      </c>
      <c r="P1732">
        <v>97215</v>
      </c>
      <c r="Q1732">
        <v>3831</v>
      </c>
      <c r="R1732" t="s">
        <v>23</v>
      </c>
      <c r="S1732" s="1" t="s">
        <v>34218</v>
      </c>
    </row>
    <row r="1733" spans="1:19" x14ac:dyDescent="0.25">
      <c r="A1733">
        <v>101152490</v>
      </c>
      <c r="B1733" t="s">
        <v>5081</v>
      </c>
      <c r="C1733" t="s">
        <v>2781</v>
      </c>
      <c r="F1733" t="str">
        <f>"6782097642"</f>
        <v>6782097642</v>
      </c>
      <c r="G1733" t="s">
        <v>5082</v>
      </c>
      <c r="H1733" t="s">
        <v>177</v>
      </c>
      <c r="I1733" t="s">
        <v>43</v>
      </c>
      <c r="J1733" t="s">
        <v>5083</v>
      </c>
      <c r="K1733">
        <v>2712</v>
      </c>
      <c r="L1733" t="s">
        <v>23</v>
      </c>
      <c r="M1733" t="s">
        <v>5082</v>
      </c>
      <c r="N1733" t="s">
        <v>177</v>
      </c>
      <c r="O1733" t="s">
        <v>43</v>
      </c>
      <c r="P1733" t="s">
        <v>5083</v>
      </c>
      <c r="Q1733">
        <v>2712</v>
      </c>
      <c r="R1733" t="s">
        <v>23</v>
      </c>
      <c r="S1733" s="1" t="s">
        <v>34218</v>
      </c>
    </row>
    <row r="1734" spans="1:19" x14ac:dyDescent="0.25">
      <c r="A1734">
        <v>101292830</v>
      </c>
      <c r="B1734" t="s">
        <v>5084</v>
      </c>
      <c r="C1734" t="s">
        <v>5085</v>
      </c>
      <c r="F1734" t="str">
        <f>"5417530129"</f>
        <v>5417530129</v>
      </c>
      <c r="G1734" t="s">
        <v>5086</v>
      </c>
      <c r="H1734" t="s">
        <v>3498</v>
      </c>
      <c r="I1734" t="s">
        <v>43</v>
      </c>
      <c r="J1734" t="s">
        <v>5087</v>
      </c>
      <c r="K1734">
        <v>2444</v>
      </c>
      <c r="L1734" t="s">
        <v>23</v>
      </c>
      <c r="M1734" t="s">
        <v>5086</v>
      </c>
      <c r="N1734" t="s">
        <v>3498</v>
      </c>
      <c r="O1734" t="s">
        <v>43</v>
      </c>
      <c r="P1734" t="s">
        <v>5087</v>
      </c>
      <c r="Q1734">
        <v>2444</v>
      </c>
      <c r="R1734" t="s">
        <v>23</v>
      </c>
      <c r="S1734" s="1" t="s">
        <v>34218</v>
      </c>
    </row>
    <row r="1735" spans="1:19" x14ac:dyDescent="0.25">
      <c r="A1735">
        <v>101139411</v>
      </c>
      <c r="B1735" t="s">
        <v>3011</v>
      </c>
      <c r="C1735" t="s">
        <v>1027</v>
      </c>
      <c r="F1735" t="str">
        <f>"9528985988"</f>
        <v>9528985988</v>
      </c>
      <c r="G1735" t="s">
        <v>5088</v>
      </c>
      <c r="H1735" t="s">
        <v>5089</v>
      </c>
      <c r="I1735" t="s">
        <v>187</v>
      </c>
      <c r="J1735">
        <v>55306</v>
      </c>
      <c r="K1735">
        <v>1698</v>
      </c>
      <c r="L1735" t="s">
        <v>23</v>
      </c>
      <c r="M1735" t="s">
        <v>5088</v>
      </c>
      <c r="N1735" t="s">
        <v>5089</v>
      </c>
      <c r="O1735" t="s">
        <v>187</v>
      </c>
      <c r="P1735">
        <v>55306</v>
      </c>
      <c r="Q1735">
        <v>1698</v>
      </c>
      <c r="R1735" t="s">
        <v>23</v>
      </c>
      <c r="S1735" s="1" t="s">
        <v>34218</v>
      </c>
    </row>
    <row r="1736" spans="1:19" x14ac:dyDescent="0.25">
      <c r="A1736">
        <v>100617664</v>
      </c>
      <c r="B1736" t="s">
        <v>5090</v>
      </c>
      <c r="C1736" t="s">
        <v>5091</v>
      </c>
      <c r="F1736" t="str">
        <f>"8314762767"</f>
        <v>8314762767</v>
      </c>
      <c r="G1736" t="s">
        <v>5092</v>
      </c>
      <c r="H1736" t="s">
        <v>1293</v>
      </c>
      <c r="I1736" t="s">
        <v>22</v>
      </c>
      <c r="J1736">
        <v>95065</v>
      </c>
      <c r="L1736" t="s">
        <v>23</v>
      </c>
      <c r="M1736" t="s">
        <v>5092</v>
      </c>
      <c r="N1736" t="s">
        <v>1293</v>
      </c>
      <c r="O1736" t="s">
        <v>22</v>
      </c>
      <c r="P1736">
        <v>95065</v>
      </c>
      <c r="R1736" t="s">
        <v>23</v>
      </c>
      <c r="S1736" s="1" t="s">
        <v>34218</v>
      </c>
    </row>
    <row r="1737" spans="1:19" x14ac:dyDescent="0.25">
      <c r="A1737">
        <v>101133158</v>
      </c>
      <c r="B1737" t="s">
        <v>5093</v>
      </c>
      <c r="C1737" t="s">
        <v>5094</v>
      </c>
      <c r="F1737" t="str">
        <f>"2067209788"</f>
        <v>2067209788</v>
      </c>
      <c r="G1737" t="s">
        <v>5095</v>
      </c>
      <c r="H1737" t="s">
        <v>1531</v>
      </c>
      <c r="I1737" t="s">
        <v>84</v>
      </c>
      <c r="J1737">
        <v>98102</v>
      </c>
      <c r="K1737">
        <v>5401</v>
      </c>
      <c r="L1737" t="s">
        <v>23</v>
      </c>
      <c r="M1737" t="s">
        <v>5095</v>
      </c>
      <c r="N1737" t="s">
        <v>1531</v>
      </c>
      <c r="O1737" t="s">
        <v>84</v>
      </c>
      <c r="P1737">
        <v>98102</v>
      </c>
      <c r="Q1737">
        <v>5401</v>
      </c>
      <c r="R1737" t="s">
        <v>23</v>
      </c>
      <c r="S1737" s="1" t="s">
        <v>34218</v>
      </c>
    </row>
    <row r="1738" spans="1:19" x14ac:dyDescent="0.25">
      <c r="A1738">
        <v>100972162</v>
      </c>
      <c r="B1738" t="s">
        <v>5096</v>
      </c>
      <c r="C1738" t="s">
        <v>1218</v>
      </c>
      <c r="F1738" t="str">
        <f>"9062267111"</f>
        <v>9062267111</v>
      </c>
      <c r="G1738" t="s">
        <v>5097</v>
      </c>
      <c r="H1738" t="s">
        <v>277</v>
      </c>
      <c r="I1738" t="s">
        <v>140</v>
      </c>
      <c r="J1738">
        <v>49855</v>
      </c>
      <c r="L1738" t="s">
        <v>23</v>
      </c>
      <c r="M1738" t="s">
        <v>5097</v>
      </c>
      <c r="N1738" t="s">
        <v>277</v>
      </c>
      <c r="O1738" t="s">
        <v>140</v>
      </c>
      <c r="P1738">
        <v>49855</v>
      </c>
      <c r="R1738" t="s">
        <v>23</v>
      </c>
      <c r="S1738" s="1" t="s">
        <v>34218</v>
      </c>
    </row>
    <row r="1739" spans="1:19" x14ac:dyDescent="0.25">
      <c r="A1739">
        <v>100633949</v>
      </c>
      <c r="B1739" t="s">
        <v>166</v>
      </c>
      <c r="C1739" t="s">
        <v>5098</v>
      </c>
      <c r="F1739" t="str">
        <f>"3604923016"</f>
        <v>3604923016</v>
      </c>
      <c r="G1739" t="s">
        <v>5099</v>
      </c>
      <c r="H1739" t="s">
        <v>5100</v>
      </c>
      <c r="I1739" t="s">
        <v>84</v>
      </c>
      <c r="J1739">
        <v>98355</v>
      </c>
      <c r="K1739">
        <v>9720</v>
      </c>
      <c r="L1739" t="s">
        <v>23</v>
      </c>
      <c r="M1739" t="s">
        <v>5099</v>
      </c>
      <c r="N1739" t="s">
        <v>5100</v>
      </c>
      <c r="O1739" t="s">
        <v>84</v>
      </c>
      <c r="P1739">
        <v>98355</v>
      </c>
      <c r="Q1739">
        <v>9720</v>
      </c>
      <c r="R1739" t="s">
        <v>23</v>
      </c>
      <c r="S1739" s="1" t="s">
        <v>34218</v>
      </c>
    </row>
    <row r="1740" spans="1:19" x14ac:dyDescent="0.25">
      <c r="A1740">
        <v>100918610</v>
      </c>
      <c r="B1740" t="s">
        <v>5101</v>
      </c>
      <c r="C1740" t="s">
        <v>286</v>
      </c>
      <c r="F1740" t="str">
        <f>"8042232073"</f>
        <v>8042232073</v>
      </c>
      <c r="G1740" t="s">
        <v>5102</v>
      </c>
      <c r="H1740" t="s">
        <v>4212</v>
      </c>
      <c r="I1740" t="s">
        <v>255</v>
      </c>
      <c r="J1740" t="s">
        <v>5103</v>
      </c>
      <c r="K1740">
        <v>4604</v>
      </c>
      <c r="L1740" t="s">
        <v>23</v>
      </c>
      <c r="M1740" t="s">
        <v>5102</v>
      </c>
      <c r="N1740" t="s">
        <v>4212</v>
      </c>
      <c r="O1740" t="s">
        <v>255</v>
      </c>
      <c r="P1740" t="s">
        <v>5103</v>
      </c>
      <c r="Q1740">
        <v>4604</v>
      </c>
      <c r="R1740" t="s">
        <v>23</v>
      </c>
      <c r="S1740" s="1" t="s">
        <v>34218</v>
      </c>
    </row>
    <row r="1741" spans="1:19" x14ac:dyDescent="0.25">
      <c r="A1741">
        <v>100925759</v>
      </c>
      <c r="B1741" t="s">
        <v>5104</v>
      </c>
      <c r="C1741" t="s">
        <v>367</v>
      </c>
      <c r="F1741" t="str">
        <f>"3178784210"</f>
        <v>3178784210</v>
      </c>
      <c r="G1741" t="s">
        <v>5105</v>
      </c>
      <c r="H1741" t="s">
        <v>5106</v>
      </c>
      <c r="I1741" t="s">
        <v>57</v>
      </c>
      <c r="J1741">
        <v>46181</v>
      </c>
      <c r="K1741">
        <v>8851</v>
      </c>
      <c r="L1741" t="s">
        <v>23</v>
      </c>
      <c r="M1741" t="s">
        <v>5105</v>
      </c>
      <c r="N1741" t="s">
        <v>5106</v>
      </c>
      <c r="O1741" t="s">
        <v>57</v>
      </c>
      <c r="P1741">
        <v>46181</v>
      </c>
      <c r="Q1741">
        <v>8851</v>
      </c>
      <c r="R1741" t="s">
        <v>23</v>
      </c>
      <c r="S1741" s="1" t="s">
        <v>34218</v>
      </c>
    </row>
    <row r="1742" spans="1:19" x14ac:dyDescent="0.25">
      <c r="A1742">
        <v>101438291</v>
      </c>
      <c r="B1742" t="s">
        <v>5107</v>
      </c>
      <c r="C1742" t="s">
        <v>664</v>
      </c>
      <c r="F1742" t="str">
        <f>"7084795802"</f>
        <v>7084795802</v>
      </c>
      <c r="G1742" t="s">
        <v>5108</v>
      </c>
      <c r="H1742" t="s">
        <v>5109</v>
      </c>
      <c r="I1742" t="s">
        <v>135</v>
      </c>
      <c r="J1742">
        <v>60901</v>
      </c>
      <c r="K1742">
        <v>7578</v>
      </c>
      <c r="L1742" t="s">
        <v>23</v>
      </c>
      <c r="M1742" t="s">
        <v>5108</v>
      </c>
      <c r="N1742" t="s">
        <v>5109</v>
      </c>
      <c r="O1742" t="s">
        <v>135</v>
      </c>
      <c r="P1742">
        <v>60901</v>
      </c>
      <c r="Q1742">
        <v>7578</v>
      </c>
      <c r="R1742" t="s">
        <v>23</v>
      </c>
      <c r="S1742" s="1" t="s">
        <v>34218</v>
      </c>
    </row>
    <row r="1743" spans="1:19" x14ac:dyDescent="0.25">
      <c r="A1743">
        <v>101042561</v>
      </c>
      <c r="B1743" t="s">
        <v>4593</v>
      </c>
      <c r="C1743" t="s">
        <v>5110</v>
      </c>
      <c r="F1743" t="str">
        <f>"4176193575"</f>
        <v>4176193575</v>
      </c>
      <c r="G1743" t="s">
        <v>5111</v>
      </c>
      <c r="H1743" t="s">
        <v>2378</v>
      </c>
      <c r="I1743" t="s">
        <v>126</v>
      </c>
      <c r="J1743">
        <v>64056</v>
      </c>
      <c r="K1743">
        <v>2150</v>
      </c>
      <c r="L1743" t="s">
        <v>23</v>
      </c>
      <c r="M1743" t="s">
        <v>5111</v>
      </c>
      <c r="N1743" t="s">
        <v>2378</v>
      </c>
      <c r="O1743" t="s">
        <v>126</v>
      </c>
      <c r="P1743">
        <v>64056</v>
      </c>
      <c r="Q1743">
        <v>2150</v>
      </c>
      <c r="R1743" t="s">
        <v>23</v>
      </c>
      <c r="S1743" s="1" t="s">
        <v>34218</v>
      </c>
    </row>
    <row r="1744" spans="1:19" x14ac:dyDescent="0.25">
      <c r="A1744">
        <v>100568096</v>
      </c>
      <c r="B1744" t="s">
        <v>5112</v>
      </c>
      <c r="C1744" t="s">
        <v>5113</v>
      </c>
      <c r="F1744" t="str">
        <f>"5105433399"</f>
        <v>5105433399</v>
      </c>
      <c r="G1744" t="s">
        <v>5114</v>
      </c>
      <c r="H1744" t="s">
        <v>1431</v>
      </c>
      <c r="I1744" t="s">
        <v>639</v>
      </c>
      <c r="J1744">
        <v>87502</v>
      </c>
      <c r="K1744">
        <v>3631</v>
      </c>
      <c r="L1744" t="s">
        <v>23</v>
      </c>
      <c r="M1744" t="s">
        <v>5114</v>
      </c>
      <c r="N1744" t="s">
        <v>1431</v>
      </c>
      <c r="O1744" t="s">
        <v>639</v>
      </c>
      <c r="P1744">
        <v>87502</v>
      </c>
      <c r="Q1744">
        <v>3631</v>
      </c>
      <c r="R1744" t="s">
        <v>23</v>
      </c>
      <c r="S1744" s="1" t="s">
        <v>34218</v>
      </c>
    </row>
    <row r="1745" spans="1:19" x14ac:dyDescent="0.25">
      <c r="A1745">
        <v>100630213</v>
      </c>
      <c r="B1745" t="s">
        <v>5115</v>
      </c>
      <c r="C1745" t="s">
        <v>2411</v>
      </c>
      <c r="F1745" t="str">
        <f>"5618914707"</f>
        <v>5618914707</v>
      </c>
      <c r="G1745" t="s">
        <v>5116</v>
      </c>
      <c r="H1745" t="s">
        <v>5117</v>
      </c>
      <c r="I1745" t="s">
        <v>236</v>
      </c>
      <c r="J1745">
        <v>2482</v>
      </c>
      <c r="K1745">
        <v>7044</v>
      </c>
      <c r="L1745" t="s">
        <v>23</v>
      </c>
      <c r="M1745" t="s">
        <v>5116</v>
      </c>
      <c r="N1745" t="s">
        <v>5117</v>
      </c>
      <c r="O1745" t="s">
        <v>236</v>
      </c>
      <c r="P1745">
        <v>2482</v>
      </c>
      <c r="Q1745">
        <v>7044</v>
      </c>
      <c r="R1745" t="s">
        <v>23</v>
      </c>
      <c r="S1745" s="1" t="s">
        <v>34218</v>
      </c>
    </row>
    <row r="1746" spans="1:19" x14ac:dyDescent="0.25">
      <c r="A1746">
        <v>101369901</v>
      </c>
      <c r="B1746" t="s">
        <v>5118</v>
      </c>
      <c r="C1746" t="s">
        <v>846</v>
      </c>
      <c r="F1746" t="str">
        <f>"7199307864"</f>
        <v>7199307864</v>
      </c>
      <c r="G1746" t="s">
        <v>5119</v>
      </c>
      <c r="H1746" t="s">
        <v>1985</v>
      </c>
      <c r="I1746" t="s">
        <v>71</v>
      </c>
      <c r="J1746">
        <v>80918</v>
      </c>
      <c r="K1746">
        <v>2160</v>
      </c>
      <c r="L1746" t="s">
        <v>23</v>
      </c>
      <c r="M1746" t="s">
        <v>5119</v>
      </c>
      <c r="N1746" t="s">
        <v>1985</v>
      </c>
      <c r="O1746" t="s">
        <v>71</v>
      </c>
      <c r="P1746">
        <v>80918</v>
      </c>
      <c r="Q1746">
        <v>2160</v>
      </c>
      <c r="R1746" t="s">
        <v>23</v>
      </c>
      <c r="S1746" s="1" t="s">
        <v>34218</v>
      </c>
    </row>
    <row r="1747" spans="1:19" x14ac:dyDescent="0.25">
      <c r="A1747">
        <v>101472327</v>
      </c>
      <c r="B1747" t="s">
        <v>5120</v>
      </c>
      <c r="C1747" t="s">
        <v>4416</v>
      </c>
      <c r="F1747" t="str">
        <f>"2402042018"</f>
        <v>2402042018</v>
      </c>
      <c r="G1747" t="s">
        <v>5121</v>
      </c>
      <c r="H1747" t="s">
        <v>165</v>
      </c>
      <c r="I1747" t="s">
        <v>148</v>
      </c>
      <c r="J1747">
        <v>20814</v>
      </c>
      <c r="K1747">
        <v>4149</v>
      </c>
      <c r="L1747" t="s">
        <v>23</v>
      </c>
      <c r="M1747" t="s">
        <v>5121</v>
      </c>
      <c r="N1747" t="s">
        <v>165</v>
      </c>
      <c r="O1747" t="s">
        <v>148</v>
      </c>
      <c r="P1747">
        <v>20814</v>
      </c>
      <c r="Q1747">
        <v>4149</v>
      </c>
      <c r="R1747" t="s">
        <v>23</v>
      </c>
      <c r="S1747" s="1" t="s">
        <v>34218</v>
      </c>
    </row>
    <row r="1748" spans="1:19" x14ac:dyDescent="0.25">
      <c r="A1748">
        <v>101213698</v>
      </c>
      <c r="B1748" t="s">
        <v>5122</v>
      </c>
      <c r="C1748" t="s">
        <v>5123</v>
      </c>
      <c r="F1748" t="str">
        <f>"4157587055"</f>
        <v>4157587055</v>
      </c>
      <c r="G1748" t="s">
        <v>5124</v>
      </c>
      <c r="H1748" t="s">
        <v>5125</v>
      </c>
      <c r="I1748" t="s">
        <v>22</v>
      </c>
      <c r="J1748" t="s">
        <v>5126</v>
      </c>
      <c r="K1748">
        <v>1561</v>
      </c>
      <c r="L1748" t="s">
        <v>23</v>
      </c>
      <c r="M1748" t="s">
        <v>5124</v>
      </c>
      <c r="N1748" t="s">
        <v>5125</v>
      </c>
      <c r="O1748" t="s">
        <v>22</v>
      </c>
      <c r="P1748" t="s">
        <v>5126</v>
      </c>
      <c r="Q1748">
        <v>1561</v>
      </c>
      <c r="R1748" t="s">
        <v>23</v>
      </c>
      <c r="S1748" s="1" t="s">
        <v>34218</v>
      </c>
    </row>
    <row r="1749" spans="1:19" x14ac:dyDescent="0.25">
      <c r="A1749">
        <v>100743615</v>
      </c>
      <c r="B1749" t="s">
        <v>5127</v>
      </c>
      <c r="C1749" t="s">
        <v>313</v>
      </c>
      <c r="F1749" t="str">
        <f>"5419712790"</f>
        <v>5419712790</v>
      </c>
      <c r="G1749" t="s">
        <v>5128</v>
      </c>
      <c r="H1749" t="s">
        <v>1052</v>
      </c>
      <c r="I1749" t="s">
        <v>43</v>
      </c>
      <c r="J1749">
        <v>97322</v>
      </c>
      <c r="K1749">
        <v>8414</v>
      </c>
      <c r="L1749" t="s">
        <v>23</v>
      </c>
      <c r="M1749" t="s">
        <v>5128</v>
      </c>
      <c r="N1749" t="s">
        <v>1052</v>
      </c>
      <c r="O1749" t="s">
        <v>43</v>
      </c>
      <c r="P1749">
        <v>97322</v>
      </c>
      <c r="Q1749">
        <v>8414</v>
      </c>
      <c r="R1749" t="s">
        <v>23</v>
      </c>
      <c r="S1749" s="1" t="s">
        <v>34218</v>
      </c>
    </row>
    <row r="1750" spans="1:19" x14ac:dyDescent="0.25">
      <c r="A1750">
        <v>100825194</v>
      </c>
      <c r="B1750" t="s">
        <v>3462</v>
      </c>
      <c r="C1750" t="s">
        <v>1107</v>
      </c>
      <c r="F1750" t="str">
        <f>"7346624826"</f>
        <v>7346624826</v>
      </c>
      <c r="G1750">
        <v>48103</v>
      </c>
      <c r="H1750" t="s">
        <v>976</v>
      </c>
      <c r="I1750" t="s">
        <v>140</v>
      </c>
      <c r="J1750">
        <v>48103</v>
      </c>
      <c r="L1750" t="s">
        <v>23</v>
      </c>
      <c r="M1750">
        <v>48103</v>
      </c>
      <c r="N1750" t="s">
        <v>976</v>
      </c>
      <c r="O1750" t="s">
        <v>140</v>
      </c>
      <c r="P1750">
        <v>48103</v>
      </c>
      <c r="R1750" t="s">
        <v>23</v>
      </c>
      <c r="S1750" s="1" t="s">
        <v>34218</v>
      </c>
    </row>
    <row r="1751" spans="1:19" x14ac:dyDescent="0.25">
      <c r="A1751">
        <v>100994943</v>
      </c>
      <c r="B1751" t="s">
        <v>5129</v>
      </c>
      <c r="C1751" t="s">
        <v>440</v>
      </c>
      <c r="F1751" t="str">
        <f>"3044601511"</f>
        <v>3044601511</v>
      </c>
      <c r="G1751" t="s">
        <v>5130</v>
      </c>
      <c r="H1751" t="s">
        <v>5131</v>
      </c>
      <c r="I1751" t="s">
        <v>327</v>
      </c>
      <c r="J1751" t="s">
        <v>5132</v>
      </c>
      <c r="K1751">
        <v>7338</v>
      </c>
      <c r="L1751" t="s">
        <v>23</v>
      </c>
      <c r="M1751" t="s">
        <v>5130</v>
      </c>
      <c r="N1751" t="s">
        <v>5131</v>
      </c>
      <c r="O1751" t="s">
        <v>327</v>
      </c>
      <c r="P1751" t="s">
        <v>5132</v>
      </c>
      <c r="Q1751">
        <v>7338</v>
      </c>
      <c r="R1751" t="s">
        <v>23</v>
      </c>
      <c r="S1751" s="1" t="s">
        <v>34218</v>
      </c>
    </row>
    <row r="1752" spans="1:19" x14ac:dyDescent="0.25">
      <c r="A1752">
        <v>101286869</v>
      </c>
      <c r="B1752" t="s">
        <v>5133</v>
      </c>
      <c r="C1752" t="s">
        <v>5134</v>
      </c>
      <c r="F1752" t="str">
        <f>"6089572003"</f>
        <v>6089572003</v>
      </c>
      <c r="G1752" t="s">
        <v>5135</v>
      </c>
      <c r="H1752" t="s">
        <v>2375</v>
      </c>
      <c r="I1752" t="s">
        <v>100</v>
      </c>
      <c r="J1752" t="s">
        <v>5136</v>
      </c>
      <c r="K1752">
        <v>3921</v>
      </c>
      <c r="L1752" t="s">
        <v>23</v>
      </c>
      <c r="M1752" t="s">
        <v>5135</v>
      </c>
      <c r="N1752" t="s">
        <v>2375</v>
      </c>
      <c r="O1752" t="s">
        <v>100</v>
      </c>
      <c r="P1752" t="s">
        <v>5136</v>
      </c>
      <c r="Q1752">
        <v>3921</v>
      </c>
      <c r="R1752" t="s">
        <v>23</v>
      </c>
      <c r="S1752" s="1" t="s">
        <v>34218</v>
      </c>
    </row>
    <row r="1753" spans="1:19" x14ac:dyDescent="0.25">
      <c r="A1753">
        <v>100935774</v>
      </c>
      <c r="B1753" t="s">
        <v>5137</v>
      </c>
      <c r="C1753" t="s">
        <v>2938</v>
      </c>
      <c r="F1753" t="str">
        <f>"3603205137"</f>
        <v>3603205137</v>
      </c>
      <c r="G1753" t="s">
        <v>5138</v>
      </c>
      <c r="H1753" t="s">
        <v>3884</v>
      </c>
      <c r="I1753" t="s">
        <v>84</v>
      </c>
      <c r="J1753">
        <v>98260</v>
      </c>
      <c r="K1753">
        <v>1549</v>
      </c>
      <c r="L1753" t="s">
        <v>23</v>
      </c>
      <c r="M1753" t="s">
        <v>5138</v>
      </c>
      <c r="N1753" t="s">
        <v>3884</v>
      </c>
      <c r="O1753" t="s">
        <v>84</v>
      </c>
      <c r="P1753">
        <v>98260</v>
      </c>
      <c r="Q1753">
        <v>1549</v>
      </c>
      <c r="R1753" t="s">
        <v>23</v>
      </c>
      <c r="S1753" s="1" t="s">
        <v>34218</v>
      </c>
    </row>
    <row r="1754" spans="1:19" x14ac:dyDescent="0.25">
      <c r="A1754">
        <v>100727862</v>
      </c>
      <c r="B1754" t="s">
        <v>205</v>
      </c>
      <c r="C1754" t="s">
        <v>1117</v>
      </c>
      <c r="F1754" t="str">
        <f>"5048888881"</f>
        <v>5048888881</v>
      </c>
      <c r="G1754" t="s">
        <v>5139</v>
      </c>
      <c r="H1754" t="s">
        <v>152</v>
      </c>
      <c r="I1754" t="s">
        <v>153</v>
      </c>
      <c r="J1754">
        <v>70005</v>
      </c>
      <c r="K1754">
        <v>1524</v>
      </c>
      <c r="L1754" t="s">
        <v>23</v>
      </c>
      <c r="M1754" t="s">
        <v>5139</v>
      </c>
      <c r="N1754" t="s">
        <v>152</v>
      </c>
      <c r="O1754" t="s">
        <v>153</v>
      </c>
      <c r="P1754">
        <v>70005</v>
      </c>
      <c r="Q1754">
        <v>1524</v>
      </c>
      <c r="R1754" t="s">
        <v>23</v>
      </c>
      <c r="S1754" s="1" t="s">
        <v>34218</v>
      </c>
    </row>
    <row r="1755" spans="1:19" x14ac:dyDescent="0.25">
      <c r="A1755">
        <v>100632369</v>
      </c>
      <c r="B1755" t="s">
        <v>5140</v>
      </c>
      <c r="C1755" t="s">
        <v>1726</v>
      </c>
      <c r="F1755" t="str">
        <f>"7349290366"</f>
        <v>7349290366</v>
      </c>
      <c r="G1755" t="s">
        <v>5141</v>
      </c>
      <c r="H1755" t="s">
        <v>976</v>
      </c>
      <c r="I1755" t="s">
        <v>140</v>
      </c>
      <c r="J1755">
        <v>48104</v>
      </c>
      <c r="K1755">
        <v>2410</v>
      </c>
      <c r="L1755" t="s">
        <v>23</v>
      </c>
      <c r="M1755" t="s">
        <v>5141</v>
      </c>
      <c r="N1755" t="s">
        <v>976</v>
      </c>
      <c r="O1755" t="s">
        <v>140</v>
      </c>
      <c r="P1755">
        <v>48104</v>
      </c>
      <c r="Q1755">
        <v>2410</v>
      </c>
      <c r="R1755" t="s">
        <v>23</v>
      </c>
      <c r="S1755" s="1" t="s">
        <v>34218</v>
      </c>
    </row>
    <row r="1756" spans="1:19" x14ac:dyDescent="0.25">
      <c r="A1756">
        <v>100728272</v>
      </c>
      <c r="B1756" t="s">
        <v>5142</v>
      </c>
      <c r="C1756" t="s">
        <v>180</v>
      </c>
      <c r="F1756" t="str">
        <f>"7346638649"</f>
        <v>7346638649</v>
      </c>
      <c r="G1756" t="s">
        <v>5143</v>
      </c>
      <c r="H1756" t="s">
        <v>976</v>
      </c>
      <c r="I1756" t="s">
        <v>140</v>
      </c>
      <c r="J1756">
        <v>48103</v>
      </c>
      <c r="K1756">
        <v>9399</v>
      </c>
      <c r="L1756" t="s">
        <v>23</v>
      </c>
      <c r="M1756" t="s">
        <v>5143</v>
      </c>
      <c r="N1756" t="s">
        <v>976</v>
      </c>
      <c r="O1756" t="s">
        <v>140</v>
      </c>
      <c r="P1756">
        <v>48103</v>
      </c>
      <c r="Q1756">
        <v>9399</v>
      </c>
      <c r="R1756" t="s">
        <v>23</v>
      </c>
      <c r="S1756" s="1" t="s">
        <v>34218</v>
      </c>
    </row>
    <row r="1757" spans="1:19" x14ac:dyDescent="0.25">
      <c r="A1757">
        <v>100903018</v>
      </c>
      <c r="B1757" t="s">
        <v>5144</v>
      </c>
      <c r="C1757" t="s">
        <v>1555</v>
      </c>
      <c r="F1757" t="str">
        <f>"4024685584"</f>
        <v>4024685584</v>
      </c>
      <c r="G1757" t="s">
        <v>5145</v>
      </c>
      <c r="H1757" t="s">
        <v>5146</v>
      </c>
      <c r="I1757" t="s">
        <v>370</v>
      </c>
      <c r="J1757">
        <v>68023</v>
      </c>
      <c r="K1757">
        <v>3549</v>
      </c>
      <c r="L1757" t="s">
        <v>23</v>
      </c>
      <c r="M1757" t="s">
        <v>5145</v>
      </c>
      <c r="N1757" t="s">
        <v>5146</v>
      </c>
      <c r="O1757" t="s">
        <v>370</v>
      </c>
      <c r="P1757">
        <v>68023</v>
      </c>
      <c r="Q1757">
        <v>3549</v>
      </c>
      <c r="R1757" t="s">
        <v>23</v>
      </c>
      <c r="S1757" s="1" t="s">
        <v>34218</v>
      </c>
    </row>
    <row r="1758" spans="1:19" x14ac:dyDescent="0.25">
      <c r="A1758">
        <v>100857880</v>
      </c>
      <c r="B1758" t="s">
        <v>2032</v>
      </c>
      <c r="C1758" t="s">
        <v>119</v>
      </c>
      <c r="F1758" t="str">
        <f>"5852442415"</f>
        <v>5852442415</v>
      </c>
      <c r="G1758" t="s">
        <v>5147</v>
      </c>
      <c r="H1758" t="s">
        <v>688</v>
      </c>
      <c r="I1758" t="s">
        <v>117</v>
      </c>
      <c r="J1758">
        <v>14610</v>
      </c>
      <c r="K1758">
        <v>3322</v>
      </c>
      <c r="L1758" t="s">
        <v>23</v>
      </c>
      <c r="M1758" t="s">
        <v>5147</v>
      </c>
      <c r="N1758" t="s">
        <v>688</v>
      </c>
      <c r="O1758" t="s">
        <v>117</v>
      </c>
      <c r="P1758">
        <v>14610</v>
      </c>
      <c r="Q1758">
        <v>3322</v>
      </c>
      <c r="R1758" t="s">
        <v>23</v>
      </c>
      <c r="S1758" s="1" t="s">
        <v>34218</v>
      </c>
    </row>
    <row r="1759" spans="1:19" x14ac:dyDescent="0.25">
      <c r="A1759">
        <v>101071229</v>
      </c>
      <c r="B1759" t="s">
        <v>208</v>
      </c>
      <c r="C1759" t="s">
        <v>699</v>
      </c>
      <c r="F1759" t="str">
        <f>"2398239940"</f>
        <v>2398239940</v>
      </c>
      <c r="G1759" t="s">
        <v>5148</v>
      </c>
      <c r="H1759" t="s">
        <v>5149</v>
      </c>
      <c r="I1759" t="s">
        <v>52</v>
      </c>
      <c r="J1759" t="s">
        <v>5150</v>
      </c>
      <c r="K1759">
        <v>5307</v>
      </c>
      <c r="L1759" t="s">
        <v>23</v>
      </c>
      <c r="M1759" t="s">
        <v>5148</v>
      </c>
      <c r="N1759" t="s">
        <v>5149</v>
      </c>
      <c r="O1759" t="s">
        <v>52</v>
      </c>
      <c r="P1759" t="s">
        <v>5150</v>
      </c>
      <c r="Q1759">
        <v>5307</v>
      </c>
      <c r="R1759" t="s">
        <v>23</v>
      </c>
      <c r="S1759" s="1" t="s">
        <v>34218</v>
      </c>
    </row>
    <row r="1760" spans="1:19" x14ac:dyDescent="0.25">
      <c r="A1760">
        <v>100813101</v>
      </c>
      <c r="B1760" t="s">
        <v>5151</v>
      </c>
      <c r="C1760" t="s">
        <v>865</v>
      </c>
      <c r="F1760" t="str">
        <f>"3034229075"</f>
        <v>3034229075</v>
      </c>
      <c r="G1760" t="s">
        <v>5152</v>
      </c>
      <c r="H1760" t="s">
        <v>4326</v>
      </c>
      <c r="I1760" t="s">
        <v>71</v>
      </c>
      <c r="J1760" t="s">
        <v>5153</v>
      </c>
      <c r="K1760">
        <v>1757</v>
      </c>
      <c r="L1760" t="s">
        <v>23</v>
      </c>
      <c r="M1760" t="s">
        <v>5152</v>
      </c>
      <c r="N1760" t="s">
        <v>4326</v>
      </c>
      <c r="O1760" t="s">
        <v>71</v>
      </c>
      <c r="P1760" t="s">
        <v>5153</v>
      </c>
      <c r="Q1760">
        <v>1757</v>
      </c>
      <c r="R1760" t="s">
        <v>23</v>
      </c>
      <c r="S1760" s="1" t="s">
        <v>34218</v>
      </c>
    </row>
    <row r="1761" spans="1:19" x14ac:dyDescent="0.25">
      <c r="A1761">
        <v>100539629</v>
      </c>
      <c r="B1761" t="s">
        <v>303</v>
      </c>
      <c r="C1761" t="s">
        <v>432</v>
      </c>
      <c r="F1761" t="str">
        <f>"6102869676"</f>
        <v>6102869676</v>
      </c>
      <c r="G1761" t="s">
        <v>5154</v>
      </c>
      <c r="H1761" t="s">
        <v>5155</v>
      </c>
      <c r="I1761" t="s">
        <v>33</v>
      </c>
      <c r="J1761">
        <v>19508</v>
      </c>
      <c r="K1761">
        <v>8024</v>
      </c>
      <c r="L1761" t="s">
        <v>23</v>
      </c>
      <c r="M1761" t="s">
        <v>5154</v>
      </c>
      <c r="N1761" t="s">
        <v>5155</v>
      </c>
      <c r="O1761" t="s">
        <v>33</v>
      </c>
      <c r="P1761">
        <v>19508</v>
      </c>
      <c r="Q1761">
        <v>8024</v>
      </c>
      <c r="R1761" t="s">
        <v>23</v>
      </c>
      <c r="S1761" s="1" t="s">
        <v>34218</v>
      </c>
    </row>
    <row r="1762" spans="1:19" x14ac:dyDescent="0.25">
      <c r="A1762">
        <v>101030140</v>
      </c>
      <c r="B1762" t="s">
        <v>5156</v>
      </c>
      <c r="C1762" t="s">
        <v>1350</v>
      </c>
      <c r="F1762" t="str">
        <f>"8283502896"</f>
        <v>8283502896</v>
      </c>
      <c r="G1762" t="s">
        <v>5157</v>
      </c>
      <c r="H1762" t="s">
        <v>2103</v>
      </c>
      <c r="I1762" t="s">
        <v>161</v>
      </c>
      <c r="J1762">
        <v>6820</v>
      </c>
      <c r="K1762">
        <v>2331</v>
      </c>
      <c r="L1762" t="s">
        <v>23</v>
      </c>
      <c r="M1762" t="s">
        <v>5157</v>
      </c>
      <c r="N1762" t="s">
        <v>2103</v>
      </c>
      <c r="O1762" t="s">
        <v>161</v>
      </c>
      <c r="P1762">
        <v>6820</v>
      </c>
      <c r="Q1762">
        <v>2331</v>
      </c>
      <c r="R1762" t="s">
        <v>23</v>
      </c>
      <c r="S1762" s="1" t="s">
        <v>34218</v>
      </c>
    </row>
    <row r="1763" spans="1:19" x14ac:dyDescent="0.25">
      <c r="A1763">
        <v>100692594</v>
      </c>
      <c r="B1763" t="s">
        <v>105</v>
      </c>
      <c r="C1763" t="s">
        <v>1306</v>
      </c>
      <c r="F1763" t="str">
        <f>"2127445874"</f>
        <v>2127445874</v>
      </c>
      <c r="G1763" t="s">
        <v>5158</v>
      </c>
      <c r="H1763" t="s">
        <v>653</v>
      </c>
      <c r="I1763" t="s">
        <v>117</v>
      </c>
      <c r="J1763">
        <v>10021</v>
      </c>
      <c r="K1763">
        <v>2770</v>
      </c>
      <c r="L1763" t="s">
        <v>23</v>
      </c>
      <c r="M1763" t="s">
        <v>5158</v>
      </c>
      <c r="N1763" t="s">
        <v>653</v>
      </c>
      <c r="O1763" t="s">
        <v>117</v>
      </c>
      <c r="P1763">
        <v>10021</v>
      </c>
      <c r="Q1763">
        <v>2770</v>
      </c>
      <c r="R1763" t="s">
        <v>23</v>
      </c>
      <c r="S1763" s="1" t="s">
        <v>34218</v>
      </c>
    </row>
    <row r="1764" spans="1:19" x14ac:dyDescent="0.25">
      <c r="A1764">
        <v>100559628</v>
      </c>
      <c r="B1764" t="s">
        <v>806</v>
      </c>
      <c r="C1764" t="s">
        <v>4284</v>
      </c>
      <c r="F1764" t="str">
        <f>"2604361800"</f>
        <v>2604361800</v>
      </c>
      <c r="G1764" t="s">
        <v>5159</v>
      </c>
      <c r="H1764" t="s">
        <v>56</v>
      </c>
      <c r="I1764" t="s">
        <v>57</v>
      </c>
      <c r="J1764">
        <v>46804</v>
      </c>
      <c r="K1764">
        <v>3987</v>
      </c>
      <c r="L1764" t="s">
        <v>23</v>
      </c>
      <c r="M1764" t="s">
        <v>5159</v>
      </c>
      <c r="N1764" t="s">
        <v>56</v>
      </c>
      <c r="O1764" t="s">
        <v>57</v>
      </c>
      <c r="P1764">
        <v>46804</v>
      </c>
      <c r="Q1764">
        <v>3987</v>
      </c>
      <c r="R1764" t="s">
        <v>23</v>
      </c>
      <c r="S1764" s="1" t="s">
        <v>34218</v>
      </c>
    </row>
    <row r="1765" spans="1:19" x14ac:dyDescent="0.25">
      <c r="A1765">
        <v>100643407</v>
      </c>
      <c r="B1765" t="s">
        <v>5160</v>
      </c>
      <c r="C1765" t="s">
        <v>2515</v>
      </c>
      <c r="F1765" t="str">
        <f>"3608507133"</f>
        <v>3608507133</v>
      </c>
      <c r="G1765" t="s">
        <v>5161</v>
      </c>
      <c r="H1765" t="s">
        <v>5162</v>
      </c>
      <c r="I1765" t="s">
        <v>22</v>
      </c>
      <c r="J1765" t="s">
        <v>5163</v>
      </c>
      <c r="K1765">
        <v>1806</v>
      </c>
      <c r="L1765" t="s">
        <v>23</v>
      </c>
      <c r="M1765" t="s">
        <v>5161</v>
      </c>
      <c r="N1765" t="s">
        <v>5162</v>
      </c>
      <c r="O1765" t="s">
        <v>22</v>
      </c>
      <c r="P1765" t="s">
        <v>5163</v>
      </c>
      <c r="Q1765">
        <v>1806</v>
      </c>
      <c r="R1765" t="s">
        <v>23</v>
      </c>
      <c r="S1765" s="1" t="s">
        <v>34218</v>
      </c>
    </row>
    <row r="1766" spans="1:19" x14ac:dyDescent="0.25">
      <c r="A1766">
        <v>101217933</v>
      </c>
      <c r="B1766" t="s">
        <v>5164</v>
      </c>
      <c r="C1766" t="s">
        <v>132</v>
      </c>
      <c r="F1766" t="str">
        <f>"5745867115"</f>
        <v>5745867115</v>
      </c>
      <c r="G1766" t="s">
        <v>5165</v>
      </c>
      <c r="H1766" t="s">
        <v>5166</v>
      </c>
      <c r="I1766" t="s">
        <v>57</v>
      </c>
      <c r="J1766" t="s">
        <v>5167</v>
      </c>
      <c r="K1766">
        <v>9373</v>
      </c>
      <c r="L1766" t="s">
        <v>23</v>
      </c>
      <c r="M1766" t="s">
        <v>5165</v>
      </c>
      <c r="N1766" t="s">
        <v>5166</v>
      </c>
      <c r="O1766" t="s">
        <v>57</v>
      </c>
      <c r="P1766" t="s">
        <v>5167</v>
      </c>
      <c r="Q1766">
        <v>9373</v>
      </c>
      <c r="R1766" t="s">
        <v>23</v>
      </c>
      <c r="S1766" s="1" t="s">
        <v>34218</v>
      </c>
    </row>
    <row r="1767" spans="1:19" x14ac:dyDescent="0.25">
      <c r="A1767">
        <v>100900413</v>
      </c>
      <c r="B1767" t="s">
        <v>5168</v>
      </c>
      <c r="C1767" t="s">
        <v>959</v>
      </c>
      <c r="F1767" t="str">
        <f>"9518498045"</f>
        <v>9518498045</v>
      </c>
      <c r="G1767" t="s">
        <v>5169</v>
      </c>
      <c r="H1767" t="s">
        <v>3553</v>
      </c>
      <c r="I1767" t="s">
        <v>22</v>
      </c>
      <c r="J1767" t="s">
        <v>5170</v>
      </c>
      <c r="K1767">
        <v>3446</v>
      </c>
      <c r="L1767" t="s">
        <v>23</v>
      </c>
      <c r="M1767" t="s">
        <v>5169</v>
      </c>
      <c r="N1767" t="s">
        <v>3553</v>
      </c>
      <c r="O1767" t="s">
        <v>22</v>
      </c>
      <c r="P1767" t="s">
        <v>5170</v>
      </c>
      <c r="Q1767">
        <v>3446</v>
      </c>
      <c r="R1767" t="s">
        <v>23</v>
      </c>
      <c r="S1767" s="1" t="s">
        <v>34218</v>
      </c>
    </row>
    <row r="1768" spans="1:19" x14ac:dyDescent="0.25">
      <c r="A1768">
        <v>101229955</v>
      </c>
      <c r="B1768" t="s">
        <v>5171</v>
      </c>
      <c r="C1768" t="s">
        <v>1429</v>
      </c>
      <c r="F1768" t="str">
        <f>"7142569836"</f>
        <v>7142569836</v>
      </c>
      <c r="G1768" t="s">
        <v>5172</v>
      </c>
      <c r="H1768" t="s">
        <v>147</v>
      </c>
      <c r="I1768" t="s">
        <v>22</v>
      </c>
      <c r="J1768" t="s">
        <v>5173</v>
      </c>
      <c r="K1768">
        <v>1404</v>
      </c>
      <c r="L1768" t="s">
        <v>23</v>
      </c>
      <c r="M1768" t="s">
        <v>5172</v>
      </c>
      <c r="N1768" t="s">
        <v>147</v>
      </c>
      <c r="O1768" t="s">
        <v>22</v>
      </c>
      <c r="P1768" t="s">
        <v>5173</v>
      </c>
      <c r="Q1768">
        <v>1404</v>
      </c>
      <c r="R1768" t="s">
        <v>23</v>
      </c>
      <c r="S1768" s="1" t="s">
        <v>34218</v>
      </c>
    </row>
    <row r="1769" spans="1:19" x14ac:dyDescent="0.25">
      <c r="A1769">
        <v>100947574</v>
      </c>
      <c r="B1769" t="s">
        <v>333</v>
      </c>
      <c r="C1769" t="s">
        <v>1588</v>
      </c>
      <c r="F1769" t="str">
        <f>"6503247978"</f>
        <v>6503247978</v>
      </c>
      <c r="G1769" t="s">
        <v>5174</v>
      </c>
      <c r="H1769" t="s">
        <v>1325</v>
      </c>
      <c r="I1769" t="s">
        <v>22</v>
      </c>
      <c r="J1769" t="s">
        <v>5175</v>
      </c>
      <c r="K1769">
        <v>1006</v>
      </c>
      <c r="L1769" t="s">
        <v>23</v>
      </c>
      <c r="M1769" t="s">
        <v>5174</v>
      </c>
      <c r="N1769" t="s">
        <v>1325</v>
      </c>
      <c r="O1769" t="s">
        <v>22</v>
      </c>
      <c r="P1769" t="s">
        <v>5175</v>
      </c>
      <c r="Q1769">
        <v>1006</v>
      </c>
      <c r="R1769" t="s">
        <v>23</v>
      </c>
      <c r="S1769" s="1" t="s">
        <v>34218</v>
      </c>
    </row>
    <row r="1770" spans="1:19" x14ac:dyDescent="0.25">
      <c r="A1770">
        <v>101019337</v>
      </c>
      <c r="B1770" t="s">
        <v>5176</v>
      </c>
      <c r="C1770" t="s">
        <v>5177</v>
      </c>
      <c r="F1770" t="str">
        <f>"7187932046"</f>
        <v>7187932046</v>
      </c>
      <c r="G1770" t="s">
        <v>5178</v>
      </c>
      <c r="H1770" t="s">
        <v>5179</v>
      </c>
      <c r="I1770" t="s">
        <v>236</v>
      </c>
      <c r="J1770">
        <v>2143</v>
      </c>
      <c r="K1770">
        <v>1507</v>
      </c>
      <c r="L1770" t="s">
        <v>23</v>
      </c>
      <c r="M1770" t="s">
        <v>5178</v>
      </c>
      <c r="N1770" t="s">
        <v>5179</v>
      </c>
      <c r="O1770" t="s">
        <v>236</v>
      </c>
      <c r="P1770">
        <v>2143</v>
      </c>
      <c r="Q1770">
        <v>1507</v>
      </c>
      <c r="R1770" t="s">
        <v>23</v>
      </c>
      <c r="S1770" s="1" t="s">
        <v>34218</v>
      </c>
    </row>
    <row r="1771" spans="1:19" x14ac:dyDescent="0.25">
      <c r="A1771">
        <v>100586207</v>
      </c>
      <c r="B1771" t="s">
        <v>5180</v>
      </c>
      <c r="C1771" t="s">
        <v>5181</v>
      </c>
      <c r="F1771" t="str">
        <f>"2148257444"</f>
        <v>2148257444</v>
      </c>
      <c r="G1771" t="s">
        <v>5182</v>
      </c>
      <c r="H1771" t="s">
        <v>4429</v>
      </c>
      <c r="I1771" t="s">
        <v>38</v>
      </c>
      <c r="J1771">
        <v>75025</v>
      </c>
      <c r="L1771" t="s">
        <v>23</v>
      </c>
      <c r="M1771" t="s">
        <v>5182</v>
      </c>
      <c r="N1771" t="s">
        <v>4429</v>
      </c>
      <c r="O1771" t="s">
        <v>38</v>
      </c>
      <c r="P1771">
        <v>75025</v>
      </c>
      <c r="R1771" t="s">
        <v>23</v>
      </c>
      <c r="S1771" s="1" t="s">
        <v>34218</v>
      </c>
    </row>
    <row r="1772" spans="1:19" x14ac:dyDescent="0.25">
      <c r="A1772">
        <v>100752646</v>
      </c>
      <c r="B1772" t="s">
        <v>727</v>
      </c>
      <c r="C1772" t="s">
        <v>5183</v>
      </c>
      <c r="F1772" t="str">
        <f>"3234663286"</f>
        <v>3234663286</v>
      </c>
      <c r="G1772" t="s">
        <v>5184</v>
      </c>
      <c r="H1772" t="s">
        <v>653</v>
      </c>
      <c r="I1772" t="s">
        <v>117</v>
      </c>
      <c r="J1772">
        <v>10021</v>
      </c>
      <c r="L1772" t="s">
        <v>23</v>
      </c>
      <c r="M1772" t="s">
        <v>5184</v>
      </c>
      <c r="N1772" t="s">
        <v>653</v>
      </c>
      <c r="O1772" t="s">
        <v>117</v>
      </c>
      <c r="P1772">
        <v>10021</v>
      </c>
      <c r="R1772" t="s">
        <v>23</v>
      </c>
      <c r="S1772" s="1" t="s">
        <v>34218</v>
      </c>
    </row>
    <row r="1773" spans="1:19" x14ac:dyDescent="0.25">
      <c r="A1773">
        <v>100643223</v>
      </c>
      <c r="B1773" t="s">
        <v>5185</v>
      </c>
      <c r="C1773" t="s">
        <v>803</v>
      </c>
      <c r="F1773" t="str">
        <f>"7346490508"</f>
        <v>7346490508</v>
      </c>
      <c r="G1773" t="s">
        <v>5186</v>
      </c>
      <c r="H1773" t="s">
        <v>5187</v>
      </c>
      <c r="I1773" t="s">
        <v>140</v>
      </c>
      <c r="J1773">
        <v>48130</v>
      </c>
      <c r="K1773">
        <v>9431</v>
      </c>
      <c r="L1773" t="s">
        <v>23</v>
      </c>
      <c r="M1773" t="s">
        <v>5186</v>
      </c>
      <c r="N1773" t="s">
        <v>5187</v>
      </c>
      <c r="O1773" t="s">
        <v>140</v>
      </c>
      <c r="P1773">
        <v>48130</v>
      </c>
      <c r="Q1773">
        <v>9431</v>
      </c>
      <c r="R1773" t="s">
        <v>23</v>
      </c>
      <c r="S1773" s="1" t="s">
        <v>34218</v>
      </c>
    </row>
    <row r="1774" spans="1:19" x14ac:dyDescent="0.25">
      <c r="A1774">
        <v>101053834</v>
      </c>
      <c r="B1774" t="s">
        <v>5188</v>
      </c>
      <c r="C1774" t="s">
        <v>554</v>
      </c>
      <c r="F1774" t="str">
        <f>"2072553597"</f>
        <v>2072553597</v>
      </c>
      <c r="G1774" t="s">
        <v>5189</v>
      </c>
      <c r="H1774" t="s">
        <v>5190</v>
      </c>
      <c r="I1774" t="s">
        <v>22</v>
      </c>
      <c r="J1774">
        <v>94930</v>
      </c>
      <c r="K1774">
        <v>1341</v>
      </c>
      <c r="L1774" t="s">
        <v>23</v>
      </c>
      <c r="M1774" t="s">
        <v>5189</v>
      </c>
      <c r="N1774" t="s">
        <v>5190</v>
      </c>
      <c r="O1774" t="s">
        <v>22</v>
      </c>
      <c r="P1774">
        <v>94930</v>
      </c>
      <c r="Q1774">
        <v>1341</v>
      </c>
      <c r="R1774" t="s">
        <v>23</v>
      </c>
      <c r="S1774" s="1" t="s">
        <v>34218</v>
      </c>
    </row>
    <row r="1775" spans="1:19" x14ac:dyDescent="0.25">
      <c r="A1775">
        <v>100927072</v>
      </c>
      <c r="B1775" t="s">
        <v>5191</v>
      </c>
      <c r="C1775" t="s">
        <v>5192</v>
      </c>
      <c r="F1775" t="str">
        <f>"8084426148"</f>
        <v>8084426148</v>
      </c>
      <c r="G1775" t="s">
        <v>5193</v>
      </c>
      <c r="H1775" t="s">
        <v>5194</v>
      </c>
      <c r="I1775" t="s">
        <v>307</v>
      </c>
      <c r="J1775">
        <v>5201</v>
      </c>
      <c r="L1775" t="s">
        <v>23</v>
      </c>
      <c r="M1775" t="s">
        <v>5193</v>
      </c>
      <c r="N1775" t="s">
        <v>5194</v>
      </c>
      <c r="O1775" t="s">
        <v>307</v>
      </c>
      <c r="P1775">
        <v>5201</v>
      </c>
      <c r="R1775" t="s">
        <v>23</v>
      </c>
      <c r="S1775" s="1" t="s">
        <v>34218</v>
      </c>
    </row>
    <row r="1776" spans="1:19" x14ac:dyDescent="0.25">
      <c r="A1776">
        <v>101415902</v>
      </c>
      <c r="B1776" t="s">
        <v>5195</v>
      </c>
      <c r="C1776" t="s">
        <v>5196</v>
      </c>
      <c r="F1776" t="str">
        <f>"9199292846"</f>
        <v>9199292846</v>
      </c>
      <c r="G1776" t="s">
        <v>5197</v>
      </c>
      <c r="H1776" t="s">
        <v>5198</v>
      </c>
      <c r="I1776" t="s">
        <v>446</v>
      </c>
      <c r="J1776" t="s">
        <v>5199</v>
      </c>
      <c r="K1776">
        <v>5503</v>
      </c>
      <c r="L1776" t="s">
        <v>23</v>
      </c>
      <c r="M1776" t="s">
        <v>5197</v>
      </c>
      <c r="N1776" t="s">
        <v>5198</v>
      </c>
      <c r="O1776" t="s">
        <v>446</v>
      </c>
      <c r="P1776" t="s">
        <v>5199</v>
      </c>
      <c r="Q1776">
        <v>5503</v>
      </c>
      <c r="R1776" t="s">
        <v>23</v>
      </c>
      <c r="S1776" s="1" t="s">
        <v>34218</v>
      </c>
    </row>
    <row r="1777" spans="1:19" x14ac:dyDescent="0.25">
      <c r="A1777">
        <v>100712155</v>
      </c>
      <c r="B1777" t="s">
        <v>5200</v>
      </c>
      <c r="C1777" t="s">
        <v>2343</v>
      </c>
      <c r="F1777" t="str">
        <f>"3475557544"</f>
        <v>3475557544</v>
      </c>
      <c r="G1777" t="s">
        <v>5201</v>
      </c>
      <c r="H1777" t="s">
        <v>5202</v>
      </c>
      <c r="I1777" t="s">
        <v>140</v>
      </c>
      <c r="J1777">
        <v>48212</v>
      </c>
      <c r="K1777">
        <v>3602</v>
      </c>
      <c r="L1777" t="s">
        <v>23</v>
      </c>
      <c r="M1777" t="s">
        <v>5201</v>
      </c>
      <c r="N1777" t="s">
        <v>5202</v>
      </c>
      <c r="O1777" t="s">
        <v>140</v>
      </c>
      <c r="P1777">
        <v>48212</v>
      </c>
      <c r="Q1777">
        <v>3602</v>
      </c>
      <c r="R1777" t="s">
        <v>23</v>
      </c>
      <c r="S1777" s="1" t="s">
        <v>34218</v>
      </c>
    </row>
    <row r="1778" spans="1:19" x14ac:dyDescent="0.25">
      <c r="A1778">
        <v>100726854</v>
      </c>
      <c r="B1778" t="s">
        <v>2503</v>
      </c>
      <c r="C1778" t="s">
        <v>5203</v>
      </c>
      <c r="F1778" t="str">
        <f>"6515520816"</f>
        <v>6515520816</v>
      </c>
      <c r="G1778">
        <v>97703</v>
      </c>
      <c r="H1778" t="s">
        <v>2391</v>
      </c>
      <c r="I1778" t="s">
        <v>43</v>
      </c>
      <c r="J1778">
        <v>97703</v>
      </c>
      <c r="L1778" t="s">
        <v>23</v>
      </c>
      <c r="M1778">
        <v>97703</v>
      </c>
      <c r="N1778" t="s">
        <v>2391</v>
      </c>
      <c r="O1778" t="s">
        <v>43</v>
      </c>
      <c r="P1778">
        <v>97703</v>
      </c>
      <c r="R1778" t="s">
        <v>23</v>
      </c>
      <c r="S1778" s="1" t="s">
        <v>34218</v>
      </c>
    </row>
    <row r="1779" spans="1:19" x14ac:dyDescent="0.25">
      <c r="A1779">
        <v>101265132</v>
      </c>
      <c r="B1779" t="s">
        <v>4477</v>
      </c>
      <c r="C1779" t="s">
        <v>543</v>
      </c>
      <c r="F1779" t="str">
        <f>"2674032398"</f>
        <v>2674032398</v>
      </c>
      <c r="G1779" t="s">
        <v>5204</v>
      </c>
      <c r="H1779" t="s">
        <v>573</v>
      </c>
      <c r="I1779" t="s">
        <v>33</v>
      </c>
      <c r="J1779" t="s">
        <v>5205</v>
      </c>
      <c r="K1779">
        <v>2940</v>
      </c>
      <c r="L1779" t="s">
        <v>23</v>
      </c>
      <c r="M1779" t="s">
        <v>5204</v>
      </c>
      <c r="N1779" t="s">
        <v>573</v>
      </c>
      <c r="O1779" t="s">
        <v>33</v>
      </c>
      <c r="P1779" t="s">
        <v>5205</v>
      </c>
      <c r="Q1779">
        <v>2940</v>
      </c>
      <c r="R1779" t="s">
        <v>23</v>
      </c>
      <c r="S1779" s="1" t="s">
        <v>34218</v>
      </c>
    </row>
    <row r="1780" spans="1:19" x14ac:dyDescent="0.25">
      <c r="A1780">
        <v>100547300</v>
      </c>
      <c r="B1780" t="s">
        <v>5206</v>
      </c>
      <c r="C1780" t="s">
        <v>1444</v>
      </c>
      <c r="F1780" t="str">
        <f>"5124663854"</f>
        <v>5124663854</v>
      </c>
      <c r="G1780" t="s">
        <v>5207</v>
      </c>
      <c r="H1780" t="s">
        <v>5208</v>
      </c>
      <c r="I1780" t="s">
        <v>38</v>
      </c>
      <c r="J1780">
        <v>79843</v>
      </c>
      <c r="L1780" t="s">
        <v>23</v>
      </c>
      <c r="M1780" t="s">
        <v>5207</v>
      </c>
      <c r="N1780" t="s">
        <v>5208</v>
      </c>
      <c r="O1780" t="s">
        <v>38</v>
      </c>
      <c r="P1780">
        <v>79843</v>
      </c>
      <c r="R1780" t="s">
        <v>23</v>
      </c>
      <c r="S1780" s="1" t="s">
        <v>34218</v>
      </c>
    </row>
    <row r="1781" spans="1:19" x14ac:dyDescent="0.25">
      <c r="A1781">
        <v>101287931</v>
      </c>
      <c r="B1781" t="s">
        <v>5209</v>
      </c>
      <c r="C1781" t="s">
        <v>1179</v>
      </c>
      <c r="F1781" t="str">
        <f>"9715447395"</f>
        <v>9715447395</v>
      </c>
      <c r="G1781" t="s">
        <v>5210</v>
      </c>
      <c r="H1781" t="s">
        <v>227</v>
      </c>
      <c r="I1781" t="s">
        <v>43</v>
      </c>
      <c r="J1781">
        <v>97219</v>
      </c>
      <c r="K1781">
        <v>6804</v>
      </c>
      <c r="L1781" t="s">
        <v>23</v>
      </c>
      <c r="M1781" t="s">
        <v>5210</v>
      </c>
      <c r="N1781" t="s">
        <v>227</v>
      </c>
      <c r="O1781" t="s">
        <v>43</v>
      </c>
      <c r="P1781">
        <v>97219</v>
      </c>
      <c r="Q1781">
        <v>6804</v>
      </c>
      <c r="R1781" t="s">
        <v>23</v>
      </c>
      <c r="S1781" s="1" t="s">
        <v>34218</v>
      </c>
    </row>
    <row r="1782" spans="1:19" x14ac:dyDescent="0.25">
      <c r="A1782">
        <v>101045223</v>
      </c>
      <c r="B1782" t="s">
        <v>5211</v>
      </c>
      <c r="C1782" t="s">
        <v>1671</v>
      </c>
      <c r="F1782" t="str">
        <f>"5076452701"</f>
        <v>5076452701</v>
      </c>
      <c r="G1782" t="s">
        <v>5212</v>
      </c>
      <c r="H1782" t="s">
        <v>2077</v>
      </c>
      <c r="I1782" t="s">
        <v>187</v>
      </c>
      <c r="J1782">
        <v>55057</v>
      </c>
      <c r="K1782">
        <v>3001</v>
      </c>
      <c r="L1782" t="s">
        <v>23</v>
      </c>
      <c r="M1782" t="s">
        <v>5212</v>
      </c>
      <c r="N1782" t="s">
        <v>2077</v>
      </c>
      <c r="O1782" t="s">
        <v>187</v>
      </c>
      <c r="P1782">
        <v>55057</v>
      </c>
      <c r="Q1782">
        <v>3001</v>
      </c>
      <c r="R1782" t="s">
        <v>23</v>
      </c>
      <c r="S1782" s="1" t="s">
        <v>34218</v>
      </c>
    </row>
    <row r="1783" spans="1:19" x14ac:dyDescent="0.25">
      <c r="A1783">
        <v>100712157</v>
      </c>
      <c r="B1783" t="s">
        <v>5213</v>
      </c>
      <c r="C1783" t="s">
        <v>547</v>
      </c>
      <c r="F1783" t="str">
        <f>"2165551234"</f>
        <v>2165551234</v>
      </c>
      <c r="G1783" t="s">
        <v>5214</v>
      </c>
      <c r="H1783" t="s">
        <v>5215</v>
      </c>
      <c r="I1783" t="s">
        <v>178</v>
      </c>
      <c r="J1783">
        <v>44117</v>
      </c>
      <c r="K1783">
        <v>2107</v>
      </c>
      <c r="L1783" t="s">
        <v>23</v>
      </c>
      <c r="M1783" t="s">
        <v>5214</v>
      </c>
      <c r="N1783" t="s">
        <v>5215</v>
      </c>
      <c r="O1783" t="s">
        <v>178</v>
      </c>
      <c r="P1783">
        <v>44117</v>
      </c>
      <c r="Q1783">
        <v>2107</v>
      </c>
      <c r="R1783" t="s">
        <v>23</v>
      </c>
      <c r="S1783" s="1" t="s">
        <v>34218</v>
      </c>
    </row>
    <row r="1784" spans="1:19" x14ac:dyDescent="0.25">
      <c r="A1784">
        <v>100537646</v>
      </c>
      <c r="B1784" t="s">
        <v>5216</v>
      </c>
      <c r="C1784" t="s">
        <v>4587</v>
      </c>
      <c r="F1784" t="str">
        <f>"2025558888"</f>
        <v>2025558888</v>
      </c>
      <c r="G1784" t="s">
        <v>5217</v>
      </c>
      <c r="H1784" t="s">
        <v>1705</v>
      </c>
      <c r="I1784" t="s">
        <v>140</v>
      </c>
      <c r="J1784">
        <v>48067</v>
      </c>
      <c r="K1784">
        <v>2418</v>
      </c>
      <c r="L1784" t="s">
        <v>23</v>
      </c>
      <c r="M1784" t="s">
        <v>5217</v>
      </c>
      <c r="N1784" t="s">
        <v>1705</v>
      </c>
      <c r="O1784" t="s">
        <v>140</v>
      </c>
      <c r="P1784">
        <v>48067</v>
      </c>
      <c r="Q1784">
        <v>2418</v>
      </c>
      <c r="R1784" t="s">
        <v>23</v>
      </c>
      <c r="S1784" s="1" t="s">
        <v>34218</v>
      </c>
    </row>
    <row r="1785" spans="1:19" x14ac:dyDescent="0.25">
      <c r="A1785">
        <v>101277243</v>
      </c>
      <c r="B1785" t="s">
        <v>5218</v>
      </c>
      <c r="C1785" t="s">
        <v>4184</v>
      </c>
      <c r="F1785" t="str">
        <f>"6176501214"</f>
        <v>6176501214</v>
      </c>
      <c r="G1785" t="s">
        <v>5219</v>
      </c>
      <c r="H1785" t="s">
        <v>47</v>
      </c>
      <c r="I1785" t="s">
        <v>236</v>
      </c>
      <c r="J1785">
        <v>2155</v>
      </c>
      <c r="K1785">
        <v>5311</v>
      </c>
      <c r="L1785" t="s">
        <v>23</v>
      </c>
      <c r="M1785" t="s">
        <v>5219</v>
      </c>
      <c r="N1785" t="s">
        <v>47</v>
      </c>
      <c r="O1785" t="s">
        <v>236</v>
      </c>
      <c r="P1785">
        <v>2155</v>
      </c>
      <c r="Q1785">
        <v>5311</v>
      </c>
      <c r="R1785" t="s">
        <v>23</v>
      </c>
      <c r="S1785" s="1" t="s">
        <v>34218</v>
      </c>
    </row>
    <row r="1786" spans="1:19" x14ac:dyDescent="0.25">
      <c r="A1786">
        <v>100838255</v>
      </c>
      <c r="B1786" t="s">
        <v>5220</v>
      </c>
      <c r="C1786" t="s">
        <v>1647</v>
      </c>
      <c r="F1786" t="str">
        <f>"2025469857"</f>
        <v>2025469857</v>
      </c>
      <c r="G1786" t="s">
        <v>5221</v>
      </c>
      <c r="H1786" t="s">
        <v>4732</v>
      </c>
      <c r="I1786" t="s">
        <v>148</v>
      </c>
      <c r="J1786" t="s">
        <v>5222</v>
      </c>
      <c r="K1786">
        <v>2133</v>
      </c>
      <c r="L1786" t="s">
        <v>23</v>
      </c>
      <c r="M1786" t="s">
        <v>5221</v>
      </c>
      <c r="N1786" t="s">
        <v>4732</v>
      </c>
      <c r="O1786" t="s">
        <v>148</v>
      </c>
      <c r="P1786" t="s">
        <v>5222</v>
      </c>
      <c r="Q1786">
        <v>2133</v>
      </c>
      <c r="R1786" t="s">
        <v>23</v>
      </c>
      <c r="S1786" s="1" t="s">
        <v>34218</v>
      </c>
    </row>
    <row r="1787" spans="1:19" x14ac:dyDescent="0.25">
      <c r="A1787">
        <v>100987167</v>
      </c>
      <c r="B1787" t="s">
        <v>4966</v>
      </c>
      <c r="C1787" t="s">
        <v>5223</v>
      </c>
      <c r="F1787" t="str">
        <f>"3212439451"</f>
        <v>3212439451</v>
      </c>
      <c r="G1787" t="s">
        <v>5224</v>
      </c>
      <c r="H1787" t="s">
        <v>5225</v>
      </c>
      <c r="I1787" t="s">
        <v>914</v>
      </c>
      <c r="J1787" t="s">
        <v>5226</v>
      </c>
      <c r="K1787">
        <v>4570</v>
      </c>
      <c r="L1787" t="s">
        <v>23</v>
      </c>
      <c r="M1787" t="s">
        <v>5224</v>
      </c>
      <c r="N1787" t="s">
        <v>5225</v>
      </c>
      <c r="O1787" t="s">
        <v>914</v>
      </c>
      <c r="P1787" t="s">
        <v>5226</v>
      </c>
      <c r="Q1787">
        <v>4570</v>
      </c>
      <c r="R1787" t="s">
        <v>23</v>
      </c>
      <c r="S1787" s="1" t="s">
        <v>34218</v>
      </c>
    </row>
    <row r="1788" spans="1:19" x14ac:dyDescent="0.25">
      <c r="A1788">
        <v>100706423</v>
      </c>
      <c r="B1788" t="s">
        <v>3708</v>
      </c>
      <c r="C1788" t="s">
        <v>1487</v>
      </c>
      <c r="F1788" t="str">
        <f>"6036542996"</f>
        <v>6036542996</v>
      </c>
      <c r="G1788" t="s">
        <v>5227</v>
      </c>
      <c r="H1788" t="s">
        <v>5228</v>
      </c>
      <c r="I1788" t="s">
        <v>353</v>
      </c>
      <c r="J1788">
        <v>3082</v>
      </c>
      <c r="L1788" t="s">
        <v>23</v>
      </c>
      <c r="M1788" t="s">
        <v>5227</v>
      </c>
      <c r="N1788" t="s">
        <v>5228</v>
      </c>
      <c r="O1788" t="s">
        <v>353</v>
      </c>
      <c r="P1788">
        <v>3082</v>
      </c>
      <c r="R1788" t="s">
        <v>23</v>
      </c>
      <c r="S1788" s="1" t="s">
        <v>34218</v>
      </c>
    </row>
    <row r="1789" spans="1:19" x14ac:dyDescent="0.25">
      <c r="A1789">
        <v>101166723</v>
      </c>
      <c r="B1789" t="s">
        <v>5229</v>
      </c>
      <c r="C1789" t="s">
        <v>1793</v>
      </c>
      <c r="F1789" t="str">
        <f>"3019048973"</f>
        <v>3019048973</v>
      </c>
      <c r="G1789" t="s">
        <v>5230</v>
      </c>
      <c r="H1789" t="s">
        <v>5231</v>
      </c>
      <c r="I1789" t="s">
        <v>148</v>
      </c>
      <c r="J1789" t="s">
        <v>5232</v>
      </c>
      <c r="K1789">
        <v>4215</v>
      </c>
      <c r="L1789" t="s">
        <v>23</v>
      </c>
      <c r="M1789" t="s">
        <v>5230</v>
      </c>
      <c r="N1789" t="s">
        <v>5231</v>
      </c>
      <c r="O1789" t="s">
        <v>148</v>
      </c>
      <c r="P1789" t="s">
        <v>5232</v>
      </c>
      <c r="Q1789">
        <v>4215</v>
      </c>
      <c r="R1789" t="s">
        <v>23</v>
      </c>
      <c r="S1789" s="1" t="s">
        <v>34218</v>
      </c>
    </row>
    <row r="1790" spans="1:19" x14ac:dyDescent="0.25">
      <c r="A1790">
        <v>101355939</v>
      </c>
      <c r="B1790" t="s">
        <v>281</v>
      </c>
      <c r="C1790" t="s">
        <v>498</v>
      </c>
      <c r="F1790" t="str">
        <f>"8052206666"</f>
        <v>8052206666</v>
      </c>
      <c r="G1790" t="s">
        <v>5233</v>
      </c>
      <c r="H1790" t="s">
        <v>108</v>
      </c>
      <c r="I1790" t="s">
        <v>22</v>
      </c>
      <c r="J1790">
        <v>93003</v>
      </c>
      <c r="K1790">
        <v>8260</v>
      </c>
      <c r="L1790" t="s">
        <v>23</v>
      </c>
      <c r="M1790" t="s">
        <v>5233</v>
      </c>
      <c r="N1790" t="s">
        <v>108</v>
      </c>
      <c r="O1790" t="s">
        <v>22</v>
      </c>
      <c r="P1790">
        <v>93003</v>
      </c>
      <c r="Q1790">
        <v>8260</v>
      </c>
      <c r="R1790" t="s">
        <v>23</v>
      </c>
      <c r="S1790" s="1" t="s">
        <v>34218</v>
      </c>
    </row>
    <row r="1791" spans="1:19" x14ac:dyDescent="0.25">
      <c r="A1791">
        <v>101452472</v>
      </c>
      <c r="B1791" t="s">
        <v>5234</v>
      </c>
      <c r="C1791" t="s">
        <v>5235</v>
      </c>
      <c r="F1791" t="str">
        <f>"2142420008"</f>
        <v>2142420008</v>
      </c>
      <c r="G1791" t="s">
        <v>5236</v>
      </c>
      <c r="H1791" t="s">
        <v>380</v>
      </c>
      <c r="I1791" t="s">
        <v>38</v>
      </c>
      <c r="J1791">
        <v>75248</v>
      </c>
      <c r="K1791">
        <v>2811</v>
      </c>
      <c r="L1791" t="s">
        <v>23</v>
      </c>
      <c r="M1791" t="s">
        <v>5236</v>
      </c>
      <c r="N1791" t="s">
        <v>380</v>
      </c>
      <c r="O1791" t="s">
        <v>38</v>
      </c>
      <c r="P1791">
        <v>75248</v>
      </c>
      <c r="Q1791">
        <v>2811</v>
      </c>
      <c r="R1791" t="s">
        <v>23</v>
      </c>
      <c r="S1791" s="1" t="s">
        <v>34218</v>
      </c>
    </row>
    <row r="1792" spans="1:19" x14ac:dyDescent="0.25">
      <c r="A1792">
        <v>101231093</v>
      </c>
      <c r="B1792" t="s">
        <v>5237</v>
      </c>
      <c r="C1792" t="s">
        <v>1153</v>
      </c>
      <c r="F1792" t="str">
        <f>"2406043102"</f>
        <v>2406043102</v>
      </c>
      <c r="G1792" t="s">
        <v>5238</v>
      </c>
      <c r="H1792" t="s">
        <v>4859</v>
      </c>
      <c r="I1792" t="s">
        <v>148</v>
      </c>
      <c r="J1792">
        <v>20877</v>
      </c>
      <c r="K1792">
        <v>3651</v>
      </c>
      <c r="L1792" t="s">
        <v>23</v>
      </c>
      <c r="M1792" t="s">
        <v>5238</v>
      </c>
      <c r="N1792" t="s">
        <v>4859</v>
      </c>
      <c r="O1792" t="s">
        <v>148</v>
      </c>
      <c r="P1792">
        <v>20877</v>
      </c>
      <c r="Q1792">
        <v>3651</v>
      </c>
      <c r="R1792" t="s">
        <v>23</v>
      </c>
      <c r="S1792" s="1" t="s">
        <v>34218</v>
      </c>
    </row>
    <row r="1793" spans="1:19" x14ac:dyDescent="0.25">
      <c r="A1793">
        <v>100949169</v>
      </c>
      <c r="B1793" t="s">
        <v>5239</v>
      </c>
      <c r="C1793" t="s">
        <v>846</v>
      </c>
      <c r="F1793" t="str">
        <f>"3309665272"</f>
        <v>3309665272</v>
      </c>
      <c r="G1793" t="s">
        <v>5240</v>
      </c>
      <c r="H1793" t="s">
        <v>139</v>
      </c>
      <c r="I1793" t="s">
        <v>178</v>
      </c>
      <c r="J1793" t="s">
        <v>5241</v>
      </c>
      <c r="K1793">
        <v>1007</v>
      </c>
      <c r="L1793" t="s">
        <v>23</v>
      </c>
      <c r="M1793" t="s">
        <v>5240</v>
      </c>
      <c r="N1793" t="s">
        <v>139</v>
      </c>
      <c r="O1793" t="s">
        <v>178</v>
      </c>
      <c r="P1793" t="s">
        <v>5241</v>
      </c>
      <c r="Q1793">
        <v>1007</v>
      </c>
      <c r="R1793" t="s">
        <v>23</v>
      </c>
      <c r="S1793" s="1" t="s">
        <v>34218</v>
      </c>
    </row>
    <row r="1794" spans="1:19" x14ac:dyDescent="0.25">
      <c r="A1794">
        <v>101054142</v>
      </c>
      <c r="B1794" t="s">
        <v>5242</v>
      </c>
      <c r="C1794" t="s">
        <v>313</v>
      </c>
      <c r="F1794" t="str">
        <f>"9493879195"</f>
        <v>9493879195</v>
      </c>
      <c r="G1794" t="s">
        <v>5243</v>
      </c>
      <c r="H1794" t="s">
        <v>2335</v>
      </c>
      <c r="I1794" t="s">
        <v>22</v>
      </c>
      <c r="J1794" t="s">
        <v>5244</v>
      </c>
      <c r="K1794">
        <v>120</v>
      </c>
      <c r="L1794" t="s">
        <v>23</v>
      </c>
      <c r="M1794" t="s">
        <v>5243</v>
      </c>
      <c r="N1794" t="s">
        <v>2335</v>
      </c>
      <c r="O1794" t="s">
        <v>22</v>
      </c>
      <c r="P1794" t="s">
        <v>5244</v>
      </c>
      <c r="Q1794">
        <v>120</v>
      </c>
      <c r="R1794" t="s">
        <v>23</v>
      </c>
      <c r="S1794" s="1" t="s">
        <v>34218</v>
      </c>
    </row>
    <row r="1795" spans="1:19" x14ac:dyDescent="0.25">
      <c r="A1795">
        <v>100997616</v>
      </c>
      <c r="B1795" t="s">
        <v>5245</v>
      </c>
      <c r="C1795" t="s">
        <v>1588</v>
      </c>
      <c r="F1795" t="str">
        <f>"6503441050"</f>
        <v>6503441050</v>
      </c>
      <c r="G1795" t="s">
        <v>5246</v>
      </c>
      <c r="H1795" t="s">
        <v>4446</v>
      </c>
      <c r="I1795" t="s">
        <v>22</v>
      </c>
      <c r="J1795" t="s">
        <v>5247</v>
      </c>
      <c r="K1795">
        <v>6428</v>
      </c>
      <c r="L1795" t="s">
        <v>23</v>
      </c>
      <c r="M1795" t="s">
        <v>5246</v>
      </c>
      <c r="N1795" t="s">
        <v>4446</v>
      </c>
      <c r="O1795" t="s">
        <v>22</v>
      </c>
      <c r="P1795" t="s">
        <v>5247</v>
      </c>
      <c r="Q1795">
        <v>6428</v>
      </c>
      <c r="R1795" t="s">
        <v>23</v>
      </c>
      <c r="S1795" s="1" t="s">
        <v>34218</v>
      </c>
    </row>
    <row r="1796" spans="1:19" x14ac:dyDescent="0.25">
      <c r="A1796">
        <v>101019788</v>
      </c>
      <c r="B1796" t="s">
        <v>5248</v>
      </c>
      <c r="C1796" t="s">
        <v>3350</v>
      </c>
      <c r="F1796" t="str">
        <f>"6123862751"</f>
        <v>6123862751</v>
      </c>
      <c r="G1796" t="s">
        <v>5249</v>
      </c>
      <c r="H1796" t="s">
        <v>569</v>
      </c>
      <c r="I1796" t="s">
        <v>187</v>
      </c>
      <c r="J1796" t="s">
        <v>5250</v>
      </c>
      <c r="K1796">
        <v>1634</v>
      </c>
      <c r="L1796" t="s">
        <v>23</v>
      </c>
      <c r="M1796" t="s">
        <v>5249</v>
      </c>
      <c r="N1796" t="s">
        <v>569</v>
      </c>
      <c r="O1796" t="s">
        <v>187</v>
      </c>
      <c r="P1796" t="s">
        <v>5250</v>
      </c>
      <c r="Q1796">
        <v>1634</v>
      </c>
      <c r="R1796" t="s">
        <v>23</v>
      </c>
      <c r="S1796" s="1" t="s">
        <v>34218</v>
      </c>
    </row>
    <row r="1797" spans="1:19" x14ac:dyDescent="0.25">
      <c r="A1797">
        <v>101427967</v>
      </c>
      <c r="B1797" t="s">
        <v>744</v>
      </c>
      <c r="C1797" t="s">
        <v>1179</v>
      </c>
      <c r="F1797" t="str">
        <f>"5412958513"</f>
        <v>5412958513</v>
      </c>
      <c r="G1797" t="s">
        <v>5251</v>
      </c>
      <c r="H1797" t="s">
        <v>458</v>
      </c>
      <c r="I1797" t="s">
        <v>43</v>
      </c>
      <c r="J1797" t="s">
        <v>5252</v>
      </c>
      <c r="K1797">
        <v>3146</v>
      </c>
      <c r="L1797" t="s">
        <v>23</v>
      </c>
      <c r="M1797" t="s">
        <v>5251</v>
      </c>
      <c r="N1797" t="s">
        <v>458</v>
      </c>
      <c r="O1797" t="s">
        <v>43</v>
      </c>
      <c r="P1797" t="s">
        <v>5252</v>
      </c>
      <c r="Q1797">
        <v>3146</v>
      </c>
      <c r="R1797" t="s">
        <v>23</v>
      </c>
      <c r="S1797" s="1" t="s">
        <v>34218</v>
      </c>
    </row>
    <row r="1798" spans="1:19" x14ac:dyDescent="0.25">
      <c r="A1798">
        <v>101249678</v>
      </c>
      <c r="B1798" t="s">
        <v>5253</v>
      </c>
      <c r="C1798" t="s">
        <v>399</v>
      </c>
      <c r="F1798" t="str">
        <f>"4342950805"</f>
        <v>4342950805</v>
      </c>
      <c r="G1798" t="s">
        <v>5254</v>
      </c>
      <c r="H1798" t="s">
        <v>254</v>
      </c>
      <c r="I1798" t="s">
        <v>255</v>
      </c>
      <c r="J1798">
        <v>22902</v>
      </c>
      <c r="K1798">
        <v>6164</v>
      </c>
      <c r="L1798" t="s">
        <v>23</v>
      </c>
      <c r="M1798" t="s">
        <v>5254</v>
      </c>
      <c r="N1798" t="s">
        <v>254</v>
      </c>
      <c r="O1798" t="s">
        <v>255</v>
      </c>
      <c r="P1798">
        <v>22902</v>
      </c>
      <c r="Q1798">
        <v>6164</v>
      </c>
      <c r="R1798" t="s">
        <v>23</v>
      </c>
      <c r="S1798" s="1" t="s">
        <v>34218</v>
      </c>
    </row>
    <row r="1799" spans="1:19" x14ac:dyDescent="0.25">
      <c r="A1799">
        <v>101361913</v>
      </c>
      <c r="B1799" t="s">
        <v>5255</v>
      </c>
      <c r="C1799" t="s">
        <v>5256</v>
      </c>
      <c r="F1799" t="str">
        <f>"3103995315"</f>
        <v>3103995315</v>
      </c>
      <c r="G1799" t="s">
        <v>5257</v>
      </c>
      <c r="H1799" t="s">
        <v>4570</v>
      </c>
      <c r="I1799" t="s">
        <v>22</v>
      </c>
      <c r="J1799">
        <v>90291</v>
      </c>
      <c r="K1799">
        <v>3942</v>
      </c>
      <c r="L1799" t="s">
        <v>23</v>
      </c>
      <c r="M1799" t="s">
        <v>5257</v>
      </c>
      <c r="N1799" t="s">
        <v>4570</v>
      </c>
      <c r="O1799" t="s">
        <v>22</v>
      </c>
      <c r="P1799">
        <v>90291</v>
      </c>
      <c r="Q1799">
        <v>3942</v>
      </c>
      <c r="R1799" t="s">
        <v>23</v>
      </c>
      <c r="S1799" s="1" t="s">
        <v>34218</v>
      </c>
    </row>
    <row r="1800" spans="1:19" x14ac:dyDescent="0.25">
      <c r="A1800">
        <v>101383883</v>
      </c>
      <c r="B1800" t="s">
        <v>5258</v>
      </c>
      <c r="C1800" t="s">
        <v>2173</v>
      </c>
      <c r="F1800" t="str">
        <f>"9516835056"</f>
        <v>9516835056</v>
      </c>
      <c r="G1800" t="s">
        <v>5259</v>
      </c>
      <c r="H1800" t="s">
        <v>461</v>
      </c>
      <c r="I1800" t="s">
        <v>22</v>
      </c>
      <c r="J1800">
        <v>92507</v>
      </c>
      <c r="K1800">
        <v>2744</v>
      </c>
      <c r="L1800" t="s">
        <v>23</v>
      </c>
      <c r="M1800" t="s">
        <v>5259</v>
      </c>
      <c r="N1800" t="s">
        <v>461</v>
      </c>
      <c r="O1800" t="s">
        <v>22</v>
      </c>
      <c r="P1800">
        <v>92507</v>
      </c>
      <c r="Q1800">
        <v>2744</v>
      </c>
      <c r="R1800" t="s">
        <v>23</v>
      </c>
      <c r="S1800" s="1" t="s">
        <v>34218</v>
      </c>
    </row>
    <row r="1801" spans="1:19" x14ac:dyDescent="0.25">
      <c r="A1801">
        <v>101085877</v>
      </c>
      <c r="B1801" t="s">
        <v>3037</v>
      </c>
      <c r="C1801" t="s">
        <v>167</v>
      </c>
      <c r="F1801" t="str">
        <f>"9705551212"</f>
        <v>9705551212</v>
      </c>
      <c r="G1801" t="s">
        <v>5260</v>
      </c>
      <c r="H1801" t="s">
        <v>2399</v>
      </c>
      <c r="I1801" t="s">
        <v>71</v>
      </c>
      <c r="J1801">
        <v>80521</v>
      </c>
      <c r="L1801" t="s">
        <v>23</v>
      </c>
      <c r="M1801" t="s">
        <v>5260</v>
      </c>
      <c r="N1801" t="s">
        <v>2399</v>
      </c>
      <c r="O1801" t="s">
        <v>71</v>
      </c>
      <c r="P1801">
        <v>80521</v>
      </c>
      <c r="R1801" t="s">
        <v>23</v>
      </c>
      <c r="S1801" s="1" t="s">
        <v>34218</v>
      </c>
    </row>
    <row r="1802" spans="1:19" x14ac:dyDescent="0.25">
      <c r="A1802">
        <v>101391228</v>
      </c>
      <c r="B1802" t="s">
        <v>5261</v>
      </c>
      <c r="C1802" t="s">
        <v>2941</v>
      </c>
      <c r="F1802" t="str">
        <f>"8479488217"</f>
        <v>8479488217</v>
      </c>
      <c r="G1802" t="s">
        <v>5262</v>
      </c>
      <c r="H1802" t="s">
        <v>5263</v>
      </c>
      <c r="I1802" t="s">
        <v>135</v>
      </c>
      <c r="J1802">
        <v>60069</v>
      </c>
      <c r="K1802">
        <v>3906</v>
      </c>
      <c r="L1802" t="s">
        <v>23</v>
      </c>
      <c r="M1802" t="s">
        <v>5262</v>
      </c>
      <c r="N1802" t="s">
        <v>5263</v>
      </c>
      <c r="O1802" t="s">
        <v>135</v>
      </c>
      <c r="P1802">
        <v>60069</v>
      </c>
      <c r="Q1802">
        <v>3906</v>
      </c>
      <c r="R1802" t="s">
        <v>23</v>
      </c>
      <c r="S1802" s="1" t="s">
        <v>34218</v>
      </c>
    </row>
    <row r="1803" spans="1:19" x14ac:dyDescent="0.25">
      <c r="A1803">
        <v>101386351</v>
      </c>
      <c r="B1803" t="s">
        <v>5264</v>
      </c>
      <c r="C1803" t="s">
        <v>579</v>
      </c>
      <c r="F1803" t="str">
        <f>"2127771855"</f>
        <v>2127771855</v>
      </c>
      <c r="G1803" t="s">
        <v>5265</v>
      </c>
      <c r="H1803" t="s">
        <v>653</v>
      </c>
      <c r="I1803" t="s">
        <v>117</v>
      </c>
      <c r="J1803">
        <v>10012</v>
      </c>
      <c r="K1803">
        <v>2430</v>
      </c>
      <c r="L1803" t="s">
        <v>23</v>
      </c>
      <c r="M1803" t="s">
        <v>5265</v>
      </c>
      <c r="N1803" t="s">
        <v>653</v>
      </c>
      <c r="O1803" t="s">
        <v>117</v>
      </c>
      <c r="P1803">
        <v>10012</v>
      </c>
      <c r="Q1803">
        <v>2430</v>
      </c>
      <c r="R1803" t="s">
        <v>23</v>
      </c>
      <c r="S1803" s="1" t="s">
        <v>34218</v>
      </c>
    </row>
    <row r="1804" spans="1:19" x14ac:dyDescent="0.25">
      <c r="A1804">
        <v>101408450</v>
      </c>
      <c r="B1804" t="s">
        <v>5266</v>
      </c>
      <c r="C1804" t="s">
        <v>5267</v>
      </c>
      <c r="F1804" t="str">
        <f>"4242634100"</f>
        <v>4242634100</v>
      </c>
      <c r="G1804" t="s">
        <v>5268</v>
      </c>
      <c r="H1804" t="s">
        <v>5269</v>
      </c>
      <c r="I1804" t="s">
        <v>22</v>
      </c>
      <c r="J1804">
        <v>90505</v>
      </c>
      <c r="K1804">
        <v>7160</v>
      </c>
      <c r="L1804" t="s">
        <v>23</v>
      </c>
      <c r="M1804" t="s">
        <v>5268</v>
      </c>
      <c r="N1804" t="s">
        <v>5269</v>
      </c>
      <c r="O1804" t="s">
        <v>22</v>
      </c>
      <c r="P1804">
        <v>90505</v>
      </c>
      <c r="Q1804">
        <v>7160</v>
      </c>
      <c r="R1804" t="s">
        <v>23</v>
      </c>
      <c r="S1804" s="1" t="s">
        <v>34218</v>
      </c>
    </row>
    <row r="1805" spans="1:19" x14ac:dyDescent="0.25">
      <c r="A1805">
        <v>101406067</v>
      </c>
      <c r="B1805" t="s">
        <v>5270</v>
      </c>
      <c r="C1805" t="s">
        <v>3993</v>
      </c>
      <c r="F1805" t="str">
        <f>"9375448108"</f>
        <v>9375448108</v>
      </c>
      <c r="G1805" t="s">
        <v>5271</v>
      </c>
      <c r="H1805" t="s">
        <v>5272</v>
      </c>
      <c r="I1805" t="s">
        <v>178</v>
      </c>
      <c r="J1805">
        <v>45693</v>
      </c>
      <c r="K1805">
        <v>1346</v>
      </c>
      <c r="L1805" t="s">
        <v>23</v>
      </c>
      <c r="M1805" t="s">
        <v>5271</v>
      </c>
      <c r="N1805" t="s">
        <v>5272</v>
      </c>
      <c r="O1805" t="s">
        <v>178</v>
      </c>
      <c r="P1805">
        <v>45693</v>
      </c>
      <c r="Q1805">
        <v>1346</v>
      </c>
      <c r="R1805" t="s">
        <v>23</v>
      </c>
      <c r="S1805" s="1" t="s">
        <v>34218</v>
      </c>
    </row>
    <row r="1806" spans="1:19" x14ac:dyDescent="0.25">
      <c r="A1806">
        <v>101414333</v>
      </c>
      <c r="B1806" t="s">
        <v>5273</v>
      </c>
      <c r="C1806" t="s">
        <v>5274</v>
      </c>
      <c r="F1806" t="str">
        <f>"3042763658"</f>
        <v>3042763658</v>
      </c>
      <c r="G1806" t="s">
        <v>5275</v>
      </c>
      <c r="H1806" t="s">
        <v>2913</v>
      </c>
      <c r="I1806" t="s">
        <v>327</v>
      </c>
      <c r="J1806">
        <v>26508</v>
      </c>
      <c r="K1806">
        <v>4722</v>
      </c>
      <c r="L1806" t="s">
        <v>23</v>
      </c>
      <c r="M1806" t="s">
        <v>5275</v>
      </c>
      <c r="N1806" t="s">
        <v>2913</v>
      </c>
      <c r="O1806" t="s">
        <v>327</v>
      </c>
      <c r="P1806">
        <v>26508</v>
      </c>
      <c r="Q1806">
        <v>4722</v>
      </c>
      <c r="R1806" t="s">
        <v>23</v>
      </c>
      <c r="S1806" s="1" t="s">
        <v>34218</v>
      </c>
    </row>
    <row r="1807" spans="1:19" x14ac:dyDescent="0.25">
      <c r="A1807">
        <v>101417208</v>
      </c>
      <c r="B1807" t="s">
        <v>5276</v>
      </c>
      <c r="C1807" t="s">
        <v>123</v>
      </c>
      <c r="F1807" t="str">
        <f>"6503935805"</f>
        <v>6503935805</v>
      </c>
      <c r="G1807" t="s">
        <v>5277</v>
      </c>
      <c r="H1807" t="s">
        <v>5278</v>
      </c>
      <c r="I1807" t="s">
        <v>22</v>
      </c>
      <c r="J1807">
        <v>94401</v>
      </c>
      <c r="K1807">
        <v>2663</v>
      </c>
      <c r="L1807" t="s">
        <v>23</v>
      </c>
      <c r="M1807" t="s">
        <v>5277</v>
      </c>
      <c r="N1807" t="s">
        <v>5278</v>
      </c>
      <c r="O1807" t="s">
        <v>22</v>
      </c>
      <c r="P1807">
        <v>94401</v>
      </c>
      <c r="Q1807">
        <v>2663</v>
      </c>
      <c r="R1807" t="s">
        <v>23</v>
      </c>
      <c r="S1807" s="1" t="s">
        <v>34218</v>
      </c>
    </row>
    <row r="1808" spans="1:19" x14ac:dyDescent="0.25">
      <c r="A1808">
        <v>100801474</v>
      </c>
      <c r="B1808" t="s">
        <v>81</v>
      </c>
      <c r="C1808" t="s">
        <v>49</v>
      </c>
      <c r="F1808" t="str">
        <f>"8189851350"</f>
        <v>8189851350</v>
      </c>
      <c r="G1808" t="s">
        <v>5279</v>
      </c>
      <c r="H1808" t="s">
        <v>2987</v>
      </c>
      <c r="I1808" t="s">
        <v>22</v>
      </c>
      <c r="J1808">
        <v>91602</v>
      </c>
      <c r="K1808">
        <v>2147</v>
      </c>
      <c r="L1808" t="s">
        <v>23</v>
      </c>
      <c r="M1808" t="s">
        <v>5279</v>
      </c>
      <c r="N1808" t="s">
        <v>2987</v>
      </c>
      <c r="O1808" t="s">
        <v>22</v>
      </c>
      <c r="P1808">
        <v>91602</v>
      </c>
      <c r="Q1808">
        <v>2147</v>
      </c>
      <c r="R1808" t="s">
        <v>23</v>
      </c>
      <c r="S1808" s="1" t="s">
        <v>34218</v>
      </c>
    </row>
    <row r="1809" spans="1:19" x14ac:dyDescent="0.25">
      <c r="A1809">
        <v>101300136</v>
      </c>
      <c r="B1809" t="s">
        <v>5280</v>
      </c>
      <c r="C1809" t="s">
        <v>846</v>
      </c>
      <c r="F1809" t="str">
        <f>"7168169970"</f>
        <v>7168169970</v>
      </c>
      <c r="G1809" t="s">
        <v>5281</v>
      </c>
      <c r="H1809" t="s">
        <v>227</v>
      </c>
      <c r="I1809" t="s">
        <v>43</v>
      </c>
      <c r="J1809">
        <v>97211</v>
      </c>
      <c r="K1809">
        <v>4866</v>
      </c>
      <c r="L1809" t="s">
        <v>23</v>
      </c>
      <c r="M1809" t="s">
        <v>5281</v>
      </c>
      <c r="N1809" t="s">
        <v>227</v>
      </c>
      <c r="O1809" t="s">
        <v>43</v>
      </c>
      <c r="P1809">
        <v>97211</v>
      </c>
      <c r="Q1809">
        <v>4866</v>
      </c>
      <c r="R1809" t="s">
        <v>23</v>
      </c>
      <c r="S1809" s="1" t="s">
        <v>34218</v>
      </c>
    </row>
    <row r="1810" spans="1:19" x14ac:dyDescent="0.25">
      <c r="A1810">
        <v>100783708</v>
      </c>
      <c r="B1810" t="s">
        <v>5282</v>
      </c>
      <c r="C1810" t="s">
        <v>5283</v>
      </c>
      <c r="F1810" t="str">
        <f>"6023744103"</f>
        <v>6023744103</v>
      </c>
      <c r="G1810" t="s">
        <v>5284</v>
      </c>
      <c r="H1810" t="s">
        <v>2169</v>
      </c>
      <c r="I1810" t="s">
        <v>365</v>
      </c>
      <c r="J1810">
        <v>85284</v>
      </c>
      <c r="K1810">
        <v>4712</v>
      </c>
      <c r="L1810" t="s">
        <v>23</v>
      </c>
      <c r="M1810" t="s">
        <v>5284</v>
      </c>
      <c r="N1810" t="s">
        <v>2169</v>
      </c>
      <c r="O1810" t="s">
        <v>365</v>
      </c>
      <c r="P1810">
        <v>85284</v>
      </c>
      <c r="Q1810">
        <v>4712</v>
      </c>
      <c r="R1810" t="s">
        <v>23</v>
      </c>
      <c r="S1810" s="1" t="s">
        <v>34218</v>
      </c>
    </row>
    <row r="1811" spans="1:19" x14ac:dyDescent="0.25">
      <c r="A1811">
        <v>101225348</v>
      </c>
      <c r="B1811" t="s">
        <v>5285</v>
      </c>
      <c r="C1811" t="s">
        <v>483</v>
      </c>
      <c r="F1811" t="str">
        <f>"5414821111"</f>
        <v>5414821111</v>
      </c>
      <c r="G1811" t="s">
        <v>5286</v>
      </c>
      <c r="H1811" t="s">
        <v>177</v>
      </c>
      <c r="I1811" t="s">
        <v>43</v>
      </c>
      <c r="J1811">
        <v>97520</v>
      </c>
      <c r="K1811">
        <v>9399</v>
      </c>
      <c r="L1811" t="s">
        <v>23</v>
      </c>
      <c r="M1811" t="s">
        <v>5286</v>
      </c>
      <c r="N1811" t="s">
        <v>177</v>
      </c>
      <c r="O1811" t="s">
        <v>43</v>
      </c>
      <c r="P1811">
        <v>97520</v>
      </c>
      <c r="Q1811">
        <v>9399</v>
      </c>
      <c r="R1811" t="s">
        <v>23</v>
      </c>
      <c r="S1811" s="1" t="s">
        <v>34218</v>
      </c>
    </row>
    <row r="1812" spans="1:19" x14ac:dyDescent="0.25">
      <c r="A1812">
        <v>100941219</v>
      </c>
      <c r="B1812" t="s">
        <v>5287</v>
      </c>
      <c r="C1812" t="s">
        <v>5288</v>
      </c>
      <c r="F1812" t="str">
        <f>"5555555555"</f>
        <v>5555555555</v>
      </c>
      <c r="G1812" t="s">
        <v>5289</v>
      </c>
      <c r="H1812" t="s">
        <v>5290</v>
      </c>
      <c r="I1812" t="s">
        <v>22</v>
      </c>
      <c r="J1812">
        <v>91335</v>
      </c>
      <c r="K1812">
        <v>7301</v>
      </c>
      <c r="L1812" t="s">
        <v>23</v>
      </c>
      <c r="M1812" t="s">
        <v>5289</v>
      </c>
      <c r="N1812" t="s">
        <v>5290</v>
      </c>
      <c r="O1812" t="s">
        <v>22</v>
      </c>
      <c r="P1812">
        <v>91335</v>
      </c>
      <c r="Q1812">
        <v>7301</v>
      </c>
      <c r="R1812" t="s">
        <v>23</v>
      </c>
      <c r="S1812" s="1" t="s">
        <v>34218</v>
      </c>
    </row>
    <row r="1813" spans="1:19" x14ac:dyDescent="0.25">
      <c r="A1813">
        <v>101334919</v>
      </c>
      <c r="B1813" t="s">
        <v>5291</v>
      </c>
      <c r="C1813" t="s">
        <v>102</v>
      </c>
      <c r="F1813" t="str">
        <f>"6199937025"</f>
        <v>6199937025</v>
      </c>
      <c r="G1813" t="s">
        <v>5292</v>
      </c>
      <c r="H1813" t="s">
        <v>198</v>
      </c>
      <c r="I1813" t="s">
        <v>22</v>
      </c>
      <c r="J1813">
        <v>92117</v>
      </c>
      <c r="K1813">
        <v>5719</v>
      </c>
      <c r="L1813" t="s">
        <v>23</v>
      </c>
      <c r="M1813" t="s">
        <v>5292</v>
      </c>
      <c r="N1813" t="s">
        <v>198</v>
      </c>
      <c r="O1813" t="s">
        <v>22</v>
      </c>
      <c r="P1813">
        <v>92117</v>
      </c>
      <c r="Q1813">
        <v>5719</v>
      </c>
      <c r="R1813" t="s">
        <v>23</v>
      </c>
      <c r="S1813" s="1" t="s">
        <v>34218</v>
      </c>
    </row>
    <row r="1814" spans="1:19" x14ac:dyDescent="0.25">
      <c r="A1814">
        <v>101217850</v>
      </c>
      <c r="B1814" t="s">
        <v>289</v>
      </c>
      <c r="C1814" t="s">
        <v>2287</v>
      </c>
      <c r="F1814" t="str">
        <f>"5093898593"</f>
        <v>5093898593</v>
      </c>
      <c r="G1814" t="s">
        <v>5293</v>
      </c>
      <c r="H1814" t="s">
        <v>3129</v>
      </c>
      <c r="I1814" t="s">
        <v>84</v>
      </c>
      <c r="J1814">
        <v>99208</v>
      </c>
      <c r="K1814">
        <v>7057</v>
      </c>
      <c r="L1814" t="s">
        <v>23</v>
      </c>
      <c r="M1814" t="s">
        <v>5293</v>
      </c>
      <c r="N1814" t="s">
        <v>3129</v>
      </c>
      <c r="O1814" t="s">
        <v>84</v>
      </c>
      <c r="P1814">
        <v>99208</v>
      </c>
      <c r="Q1814">
        <v>7057</v>
      </c>
      <c r="R1814" t="s">
        <v>23</v>
      </c>
      <c r="S1814" s="1" t="s">
        <v>34218</v>
      </c>
    </row>
    <row r="1815" spans="1:19" x14ac:dyDescent="0.25">
      <c r="A1815">
        <v>100530786</v>
      </c>
      <c r="B1815" t="s">
        <v>5294</v>
      </c>
      <c r="C1815" t="s">
        <v>274</v>
      </c>
      <c r="F1815" t="str">
        <f>"2693279505"</f>
        <v>2693279505</v>
      </c>
      <c r="H1815" t="s">
        <v>5295</v>
      </c>
      <c r="I1815" t="s">
        <v>140</v>
      </c>
      <c r="J1815">
        <v>40924</v>
      </c>
      <c r="L1815" t="s">
        <v>23</v>
      </c>
      <c r="N1815" t="s">
        <v>5295</v>
      </c>
      <c r="O1815" t="s">
        <v>140</v>
      </c>
      <c r="P1815">
        <v>40924</v>
      </c>
      <c r="R1815" t="s">
        <v>23</v>
      </c>
      <c r="S1815" s="1" t="s">
        <v>34218</v>
      </c>
    </row>
    <row r="1816" spans="1:19" x14ac:dyDescent="0.25">
      <c r="A1816">
        <v>100971297</v>
      </c>
      <c r="B1816" t="s">
        <v>5296</v>
      </c>
      <c r="C1816" t="s">
        <v>278</v>
      </c>
      <c r="F1816" t="str">
        <f>"6266840987"</f>
        <v>6266840987</v>
      </c>
      <c r="G1816" t="s">
        <v>5297</v>
      </c>
      <c r="H1816" t="s">
        <v>5298</v>
      </c>
      <c r="I1816" t="s">
        <v>22</v>
      </c>
      <c r="J1816">
        <v>91770</v>
      </c>
      <c r="K1816">
        <v>3020</v>
      </c>
      <c r="L1816" t="s">
        <v>23</v>
      </c>
      <c r="M1816" t="s">
        <v>5297</v>
      </c>
      <c r="N1816" t="s">
        <v>5298</v>
      </c>
      <c r="O1816" t="s">
        <v>22</v>
      </c>
      <c r="P1816">
        <v>91770</v>
      </c>
      <c r="Q1816">
        <v>3020</v>
      </c>
      <c r="R1816" t="s">
        <v>23</v>
      </c>
      <c r="S1816" s="1" t="s">
        <v>34218</v>
      </c>
    </row>
    <row r="1817" spans="1:19" x14ac:dyDescent="0.25">
      <c r="A1817">
        <v>100535014</v>
      </c>
      <c r="B1817" t="s">
        <v>5299</v>
      </c>
      <c r="C1817" t="s">
        <v>119</v>
      </c>
      <c r="F1817" t="str">
        <f>"6235944040"</f>
        <v>6235944040</v>
      </c>
      <c r="G1817" t="s">
        <v>5300</v>
      </c>
      <c r="H1817" t="s">
        <v>1233</v>
      </c>
      <c r="I1817" t="s">
        <v>365</v>
      </c>
      <c r="J1817" t="s">
        <v>5301</v>
      </c>
      <c r="K1817">
        <v>5626</v>
      </c>
      <c r="L1817" t="s">
        <v>23</v>
      </c>
      <c r="M1817" t="s">
        <v>5300</v>
      </c>
      <c r="N1817" t="s">
        <v>1233</v>
      </c>
      <c r="O1817" t="s">
        <v>365</v>
      </c>
      <c r="P1817" t="s">
        <v>5301</v>
      </c>
      <c r="Q1817">
        <v>5626</v>
      </c>
      <c r="R1817" t="s">
        <v>23</v>
      </c>
      <c r="S1817" s="1" t="s">
        <v>34218</v>
      </c>
    </row>
    <row r="1818" spans="1:19" x14ac:dyDescent="0.25">
      <c r="A1818">
        <v>101018167</v>
      </c>
      <c r="B1818" t="s">
        <v>5302</v>
      </c>
      <c r="C1818" t="s">
        <v>2127</v>
      </c>
      <c r="F1818" t="str">
        <f>"4147914120"</f>
        <v>4147914120</v>
      </c>
      <c r="G1818" t="s">
        <v>5303</v>
      </c>
      <c r="H1818" t="s">
        <v>5304</v>
      </c>
      <c r="I1818" t="s">
        <v>52</v>
      </c>
      <c r="J1818">
        <v>34134</v>
      </c>
      <c r="L1818" t="s">
        <v>23</v>
      </c>
      <c r="M1818" t="s">
        <v>5303</v>
      </c>
      <c r="N1818" t="s">
        <v>5304</v>
      </c>
      <c r="O1818" t="s">
        <v>52</v>
      </c>
      <c r="P1818">
        <v>34134</v>
      </c>
      <c r="R1818" t="s">
        <v>23</v>
      </c>
      <c r="S1818" s="1" t="s">
        <v>34218</v>
      </c>
    </row>
    <row r="1819" spans="1:19" x14ac:dyDescent="0.25">
      <c r="A1819">
        <v>101296666</v>
      </c>
      <c r="B1819" t="s">
        <v>5305</v>
      </c>
      <c r="C1819" t="s">
        <v>2557</v>
      </c>
      <c r="F1819" t="str">
        <f>"5093933606"</f>
        <v>5093933606</v>
      </c>
      <c r="G1819" t="s">
        <v>5306</v>
      </c>
      <c r="H1819" t="s">
        <v>4989</v>
      </c>
      <c r="I1819" t="s">
        <v>84</v>
      </c>
      <c r="J1819">
        <v>98282</v>
      </c>
      <c r="K1819">
        <v>7272</v>
      </c>
      <c r="L1819" t="s">
        <v>23</v>
      </c>
      <c r="M1819" t="s">
        <v>5306</v>
      </c>
      <c r="N1819" t="s">
        <v>4989</v>
      </c>
      <c r="O1819" t="s">
        <v>84</v>
      </c>
      <c r="P1819">
        <v>98282</v>
      </c>
      <c r="Q1819">
        <v>7272</v>
      </c>
      <c r="R1819" t="s">
        <v>23</v>
      </c>
      <c r="S1819" s="1" t="s">
        <v>34218</v>
      </c>
    </row>
    <row r="1820" spans="1:19" x14ac:dyDescent="0.25">
      <c r="A1820">
        <v>101250433</v>
      </c>
      <c r="B1820" t="s">
        <v>5307</v>
      </c>
      <c r="C1820" t="s">
        <v>5308</v>
      </c>
      <c r="F1820" t="str">
        <f>"7344280720"</f>
        <v>7344280720</v>
      </c>
      <c r="H1820" t="s">
        <v>5309</v>
      </c>
      <c r="I1820" t="s">
        <v>140</v>
      </c>
      <c r="J1820">
        <v>48458</v>
      </c>
      <c r="L1820" t="s">
        <v>23</v>
      </c>
      <c r="N1820" t="s">
        <v>5309</v>
      </c>
      <c r="O1820" t="s">
        <v>140</v>
      </c>
      <c r="P1820">
        <v>48458</v>
      </c>
      <c r="R1820" t="s">
        <v>23</v>
      </c>
      <c r="S1820" s="1" t="s">
        <v>34218</v>
      </c>
    </row>
    <row r="1821" spans="1:19" x14ac:dyDescent="0.25">
      <c r="A1821">
        <v>101398490</v>
      </c>
      <c r="B1821" t="s">
        <v>5310</v>
      </c>
      <c r="C1821" t="s">
        <v>2037</v>
      </c>
      <c r="F1821" t="str">
        <f>"2139876541"</f>
        <v>2139876541</v>
      </c>
      <c r="G1821" t="s">
        <v>5311</v>
      </c>
      <c r="H1821" t="s">
        <v>4199</v>
      </c>
      <c r="I1821" t="s">
        <v>22</v>
      </c>
      <c r="J1821">
        <v>94549</v>
      </c>
      <c r="L1821" t="s">
        <v>23</v>
      </c>
      <c r="M1821" t="s">
        <v>5311</v>
      </c>
      <c r="N1821" t="s">
        <v>4199</v>
      </c>
      <c r="O1821" t="s">
        <v>22</v>
      </c>
      <c r="P1821">
        <v>94549</v>
      </c>
      <c r="R1821" t="s">
        <v>23</v>
      </c>
      <c r="S1821" s="1" t="s">
        <v>34218</v>
      </c>
    </row>
    <row r="1822" spans="1:19" x14ac:dyDescent="0.25">
      <c r="A1822">
        <v>101197780</v>
      </c>
      <c r="B1822" t="s">
        <v>3708</v>
      </c>
      <c r="C1822" t="s">
        <v>5312</v>
      </c>
      <c r="F1822" t="str">
        <f>"7048711954"</f>
        <v>7048711954</v>
      </c>
      <c r="G1822" t="s">
        <v>5313</v>
      </c>
      <c r="H1822" t="s">
        <v>5314</v>
      </c>
      <c r="I1822" t="s">
        <v>446</v>
      </c>
      <c r="J1822" t="s">
        <v>5315</v>
      </c>
      <c r="K1822">
        <v>7925</v>
      </c>
      <c r="L1822" t="s">
        <v>23</v>
      </c>
      <c r="M1822" t="s">
        <v>5313</v>
      </c>
      <c r="N1822" t="s">
        <v>5314</v>
      </c>
      <c r="O1822" t="s">
        <v>446</v>
      </c>
      <c r="P1822" t="s">
        <v>5315</v>
      </c>
      <c r="Q1822">
        <v>7925</v>
      </c>
      <c r="R1822" t="s">
        <v>23</v>
      </c>
      <c r="S1822" s="1" t="s">
        <v>34218</v>
      </c>
    </row>
    <row r="1823" spans="1:19" x14ac:dyDescent="0.25">
      <c r="A1823">
        <v>101323425</v>
      </c>
      <c r="B1823" t="s">
        <v>5316</v>
      </c>
      <c r="C1823" t="s">
        <v>1616</v>
      </c>
      <c r="F1823" t="str">
        <f>"6304163146"</f>
        <v>6304163146</v>
      </c>
      <c r="G1823" t="s">
        <v>5317</v>
      </c>
      <c r="H1823" t="s">
        <v>694</v>
      </c>
      <c r="I1823" t="s">
        <v>135</v>
      </c>
      <c r="J1823" t="s">
        <v>5318</v>
      </c>
      <c r="K1823">
        <v>392</v>
      </c>
      <c r="L1823" t="s">
        <v>23</v>
      </c>
      <c r="M1823" t="s">
        <v>5317</v>
      </c>
      <c r="N1823" t="s">
        <v>694</v>
      </c>
      <c r="O1823" t="s">
        <v>135</v>
      </c>
      <c r="P1823" t="s">
        <v>5318</v>
      </c>
      <c r="Q1823">
        <v>392</v>
      </c>
      <c r="R1823" t="s">
        <v>23</v>
      </c>
      <c r="S1823" s="1" t="s">
        <v>34218</v>
      </c>
    </row>
    <row r="1824" spans="1:19" x14ac:dyDescent="0.25">
      <c r="A1824">
        <v>100858583</v>
      </c>
      <c r="B1824" t="s">
        <v>5319</v>
      </c>
      <c r="C1824" t="s">
        <v>180</v>
      </c>
      <c r="F1824" t="str">
        <f>"9192451753"</f>
        <v>9192451753</v>
      </c>
      <c r="G1824" t="s">
        <v>5320</v>
      </c>
      <c r="H1824" t="s">
        <v>5321</v>
      </c>
      <c r="I1824" t="s">
        <v>1482</v>
      </c>
      <c r="J1824" t="s">
        <v>5322</v>
      </c>
      <c r="K1824">
        <v>4718</v>
      </c>
      <c r="L1824" t="s">
        <v>23</v>
      </c>
      <c r="M1824" t="s">
        <v>5320</v>
      </c>
      <c r="N1824" t="s">
        <v>5321</v>
      </c>
      <c r="O1824" t="s">
        <v>1482</v>
      </c>
      <c r="P1824" t="s">
        <v>5322</v>
      </c>
      <c r="Q1824">
        <v>4718</v>
      </c>
      <c r="R1824" t="s">
        <v>23</v>
      </c>
      <c r="S1824" s="1" t="s">
        <v>34218</v>
      </c>
    </row>
    <row r="1825" spans="1:19" x14ac:dyDescent="0.25">
      <c r="A1825">
        <v>101301814</v>
      </c>
      <c r="B1825" t="s">
        <v>5323</v>
      </c>
      <c r="C1825" t="s">
        <v>180</v>
      </c>
      <c r="F1825" t="str">
        <f>"5036403434"</f>
        <v>5036403434</v>
      </c>
      <c r="G1825" t="s">
        <v>5324</v>
      </c>
      <c r="H1825" t="s">
        <v>4162</v>
      </c>
      <c r="I1825" t="s">
        <v>43</v>
      </c>
      <c r="J1825" t="s">
        <v>5325</v>
      </c>
      <c r="K1825">
        <v>4044</v>
      </c>
      <c r="L1825" t="s">
        <v>23</v>
      </c>
      <c r="M1825" t="s">
        <v>5324</v>
      </c>
      <c r="N1825" t="s">
        <v>4162</v>
      </c>
      <c r="O1825" t="s">
        <v>43</v>
      </c>
      <c r="P1825" t="s">
        <v>5325</v>
      </c>
      <c r="Q1825">
        <v>4044</v>
      </c>
      <c r="R1825" t="s">
        <v>23</v>
      </c>
      <c r="S1825" s="1" t="s">
        <v>34218</v>
      </c>
    </row>
    <row r="1826" spans="1:19" x14ac:dyDescent="0.25">
      <c r="A1826">
        <v>100903451</v>
      </c>
      <c r="B1826" t="s">
        <v>5326</v>
      </c>
      <c r="C1826" t="s">
        <v>535</v>
      </c>
      <c r="F1826" t="str">
        <f>"7209490787"</f>
        <v>7209490787</v>
      </c>
      <c r="G1826" t="s">
        <v>5327</v>
      </c>
      <c r="H1826" t="s">
        <v>4326</v>
      </c>
      <c r="I1826" t="s">
        <v>71</v>
      </c>
      <c r="J1826" t="s">
        <v>5328</v>
      </c>
      <c r="K1826">
        <v>3301</v>
      </c>
      <c r="L1826" t="s">
        <v>23</v>
      </c>
      <c r="M1826" t="s">
        <v>5327</v>
      </c>
      <c r="N1826" t="s">
        <v>4326</v>
      </c>
      <c r="O1826" t="s">
        <v>71</v>
      </c>
      <c r="P1826" t="s">
        <v>5328</v>
      </c>
      <c r="Q1826">
        <v>3301</v>
      </c>
      <c r="R1826" t="s">
        <v>23</v>
      </c>
      <c r="S1826" s="1" t="s">
        <v>34218</v>
      </c>
    </row>
    <row r="1827" spans="1:19" x14ac:dyDescent="0.25">
      <c r="A1827">
        <v>100560808</v>
      </c>
      <c r="B1827" t="s">
        <v>5329</v>
      </c>
      <c r="C1827" t="s">
        <v>30</v>
      </c>
      <c r="F1827" t="str">
        <f>"5052426058"</f>
        <v>5052426058</v>
      </c>
      <c r="G1827" t="s">
        <v>5330</v>
      </c>
      <c r="H1827" t="s">
        <v>638</v>
      </c>
      <c r="I1827" t="s">
        <v>639</v>
      </c>
      <c r="J1827">
        <v>87104</v>
      </c>
      <c r="L1827" t="s">
        <v>23</v>
      </c>
      <c r="M1827" t="s">
        <v>5330</v>
      </c>
      <c r="N1827" t="s">
        <v>638</v>
      </c>
      <c r="O1827" t="s">
        <v>639</v>
      </c>
      <c r="P1827">
        <v>87104</v>
      </c>
      <c r="R1827" t="s">
        <v>23</v>
      </c>
      <c r="S1827" s="1" t="s">
        <v>34218</v>
      </c>
    </row>
    <row r="1828" spans="1:19" x14ac:dyDescent="0.25">
      <c r="A1828">
        <v>101296517</v>
      </c>
      <c r="B1828" t="s">
        <v>1377</v>
      </c>
      <c r="C1828" t="s">
        <v>4124</v>
      </c>
      <c r="F1828" t="str">
        <f>"2073316463"</f>
        <v>2073316463</v>
      </c>
      <c r="G1828" t="s">
        <v>5331</v>
      </c>
      <c r="H1828" t="s">
        <v>5332</v>
      </c>
      <c r="I1828" t="s">
        <v>191</v>
      </c>
      <c r="J1828">
        <v>4064</v>
      </c>
      <c r="K1828">
        <v>1057</v>
      </c>
      <c r="L1828" t="s">
        <v>23</v>
      </c>
      <c r="M1828" t="s">
        <v>5331</v>
      </c>
      <c r="N1828" t="s">
        <v>5332</v>
      </c>
      <c r="O1828" t="s">
        <v>191</v>
      </c>
      <c r="P1828">
        <v>4064</v>
      </c>
      <c r="Q1828">
        <v>1057</v>
      </c>
      <c r="R1828" t="s">
        <v>23</v>
      </c>
      <c r="S1828" s="1" t="s">
        <v>34218</v>
      </c>
    </row>
    <row r="1829" spans="1:19" x14ac:dyDescent="0.25">
      <c r="A1829">
        <v>101146803</v>
      </c>
      <c r="B1829" t="s">
        <v>5333</v>
      </c>
      <c r="C1829" t="s">
        <v>543</v>
      </c>
      <c r="F1829" t="str">
        <f>"8286589988"</f>
        <v>8286589988</v>
      </c>
      <c r="G1829" t="s">
        <v>5334</v>
      </c>
      <c r="H1829" t="s">
        <v>5335</v>
      </c>
      <c r="I1829" t="s">
        <v>446</v>
      </c>
      <c r="J1829">
        <v>28078</v>
      </c>
      <c r="K1829">
        <v>9346</v>
      </c>
      <c r="L1829" t="s">
        <v>23</v>
      </c>
      <c r="M1829" t="s">
        <v>5334</v>
      </c>
      <c r="N1829" t="s">
        <v>5335</v>
      </c>
      <c r="O1829" t="s">
        <v>446</v>
      </c>
      <c r="P1829">
        <v>28078</v>
      </c>
      <c r="Q1829">
        <v>9346</v>
      </c>
      <c r="R1829" t="s">
        <v>23</v>
      </c>
      <c r="S1829" s="1" t="s">
        <v>34218</v>
      </c>
    </row>
    <row r="1830" spans="1:19" x14ac:dyDescent="0.25">
      <c r="A1830">
        <v>100585147</v>
      </c>
      <c r="B1830" t="s">
        <v>5336</v>
      </c>
      <c r="C1830" t="s">
        <v>286</v>
      </c>
      <c r="F1830" t="str">
        <f>"3155555555"</f>
        <v>3155555555</v>
      </c>
      <c r="G1830" t="s">
        <v>5337</v>
      </c>
      <c r="H1830" t="s">
        <v>2969</v>
      </c>
      <c r="I1830" t="s">
        <v>117</v>
      </c>
      <c r="J1830">
        <v>13027</v>
      </c>
      <c r="K1830">
        <v>6343</v>
      </c>
      <c r="L1830" t="s">
        <v>23</v>
      </c>
      <c r="M1830" t="s">
        <v>5337</v>
      </c>
      <c r="N1830" t="s">
        <v>2969</v>
      </c>
      <c r="O1830" t="s">
        <v>117</v>
      </c>
      <c r="P1830">
        <v>13027</v>
      </c>
      <c r="Q1830">
        <v>6343</v>
      </c>
      <c r="R1830" t="s">
        <v>23</v>
      </c>
      <c r="S1830" s="1" t="s">
        <v>34218</v>
      </c>
    </row>
    <row r="1831" spans="1:19" x14ac:dyDescent="0.25">
      <c r="A1831">
        <v>101163875</v>
      </c>
      <c r="B1831" t="s">
        <v>5338</v>
      </c>
      <c r="C1831" t="s">
        <v>158</v>
      </c>
      <c r="F1831" t="str">
        <f>"9707280954"</f>
        <v>9707280954</v>
      </c>
      <c r="G1831" t="s">
        <v>5339</v>
      </c>
      <c r="H1831" t="s">
        <v>5340</v>
      </c>
      <c r="I1831" t="s">
        <v>71</v>
      </c>
      <c r="J1831">
        <v>81435</v>
      </c>
      <c r="L1831" t="s">
        <v>23</v>
      </c>
      <c r="M1831" t="s">
        <v>5339</v>
      </c>
      <c r="N1831" t="s">
        <v>5340</v>
      </c>
      <c r="O1831" t="s">
        <v>71</v>
      </c>
      <c r="P1831">
        <v>81435</v>
      </c>
      <c r="R1831" t="s">
        <v>23</v>
      </c>
      <c r="S1831" s="1" t="s">
        <v>34218</v>
      </c>
    </row>
    <row r="1832" spans="1:19" x14ac:dyDescent="0.25">
      <c r="A1832">
        <v>100680620</v>
      </c>
      <c r="B1832" t="s">
        <v>1026</v>
      </c>
      <c r="C1832" t="s">
        <v>1679</v>
      </c>
      <c r="F1832" t="str">
        <f>"4082838100"</f>
        <v>4082838100</v>
      </c>
      <c r="G1832" t="s">
        <v>5341</v>
      </c>
      <c r="H1832" t="s">
        <v>481</v>
      </c>
      <c r="I1832" t="s">
        <v>22</v>
      </c>
      <c r="J1832">
        <v>95112</v>
      </c>
      <c r="K1832">
        <v>5237</v>
      </c>
      <c r="L1832" t="s">
        <v>23</v>
      </c>
      <c r="M1832" t="s">
        <v>5341</v>
      </c>
      <c r="N1832" t="s">
        <v>481</v>
      </c>
      <c r="O1832" t="s">
        <v>22</v>
      </c>
      <c r="P1832">
        <v>95112</v>
      </c>
      <c r="Q1832">
        <v>5237</v>
      </c>
      <c r="R1832" t="s">
        <v>23</v>
      </c>
      <c r="S1832" s="1" t="s">
        <v>34218</v>
      </c>
    </row>
    <row r="1833" spans="1:19" x14ac:dyDescent="0.25">
      <c r="A1833">
        <v>101246338</v>
      </c>
      <c r="B1833" t="s">
        <v>5342</v>
      </c>
      <c r="C1833" t="s">
        <v>2127</v>
      </c>
      <c r="F1833" t="str">
        <f>"8055551212"</f>
        <v>8055551212</v>
      </c>
      <c r="G1833" t="s">
        <v>5343</v>
      </c>
      <c r="H1833" t="s">
        <v>4772</v>
      </c>
      <c r="I1833" t="s">
        <v>22</v>
      </c>
      <c r="J1833">
        <v>91361</v>
      </c>
      <c r="L1833" t="s">
        <v>23</v>
      </c>
      <c r="M1833" t="s">
        <v>5343</v>
      </c>
      <c r="N1833" t="s">
        <v>4772</v>
      </c>
      <c r="O1833" t="s">
        <v>22</v>
      </c>
      <c r="P1833">
        <v>91361</v>
      </c>
      <c r="R1833" t="s">
        <v>23</v>
      </c>
      <c r="S1833" s="1" t="s">
        <v>34218</v>
      </c>
    </row>
    <row r="1834" spans="1:19" x14ac:dyDescent="0.25">
      <c r="A1834">
        <v>101030272</v>
      </c>
      <c r="B1834" t="s">
        <v>5344</v>
      </c>
      <c r="C1834" t="s">
        <v>1374</v>
      </c>
      <c r="F1834" t="str">
        <f>"2065260979"</f>
        <v>2065260979</v>
      </c>
      <c r="G1834" t="s">
        <v>5345</v>
      </c>
      <c r="H1834" t="s">
        <v>1531</v>
      </c>
      <c r="I1834" t="s">
        <v>84</v>
      </c>
      <c r="J1834">
        <v>98105</v>
      </c>
      <c r="L1834" t="s">
        <v>23</v>
      </c>
      <c r="M1834" t="s">
        <v>5345</v>
      </c>
      <c r="N1834" t="s">
        <v>1531</v>
      </c>
      <c r="O1834" t="s">
        <v>84</v>
      </c>
      <c r="P1834">
        <v>98105</v>
      </c>
      <c r="R1834" t="s">
        <v>23</v>
      </c>
      <c r="S1834" s="1" t="s">
        <v>34218</v>
      </c>
    </row>
    <row r="1835" spans="1:19" x14ac:dyDescent="0.25">
      <c r="A1835">
        <v>101310348</v>
      </c>
      <c r="B1835" t="s">
        <v>5346</v>
      </c>
      <c r="C1835" t="s">
        <v>5347</v>
      </c>
      <c r="F1835" t="str">
        <f>"9372232219"</f>
        <v>9372232219</v>
      </c>
      <c r="G1835" t="s">
        <v>5348</v>
      </c>
      <c r="H1835" t="s">
        <v>3183</v>
      </c>
      <c r="I1835" t="s">
        <v>178</v>
      </c>
      <c r="J1835">
        <v>45429</v>
      </c>
      <c r="K1835">
        <v>6256</v>
      </c>
      <c r="L1835" t="s">
        <v>23</v>
      </c>
      <c r="M1835" t="s">
        <v>5348</v>
      </c>
      <c r="N1835" t="s">
        <v>3183</v>
      </c>
      <c r="O1835" t="s">
        <v>178</v>
      </c>
      <c r="P1835">
        <v>45429</v>
      </c>
      <c r="Q1835">
        <v>6256</v>
      </c>
      <c r="R1835" t="s">
        <v>23</v>
      </c>
      <c r="S1835" s="1" t="s">
        <v>34218</v>
      </c>
    </row>
    <row r="1836" spans="1:19" x14ac:dyDescent="0.25">
      <c r="A1836">
        <v>100600766</v>
      </c>
      <c r="B1836" t="s">
        <v>199</v>
      </c>
      <c r="C1836" t="s">
        <v>5349</v>
      </c>
      <c r="F1836" t="str">
        <f>"4358908952"</f>
        <v>4358908952</v>
      </c>
      <c r="G1836" t="s">
        <v>5350</v>
      </c>
      <c r="H1836" t="s">
        <v>4186</v>
      </c>
      <c r="I1836" t="s">
        <v>84</v>
      </c>
      <c r="J1836">
        <v>98052</v>
      </c>
      <c r="K1836">
        <v>6166</v>
      </c>
      <c r="L1836" t="s">
        <v>23</v>
      </c>
      <c r="M1836" t="s">
        <v>5350</v>
      </c>
      <c r="N1836" t="s">
        <v>4186</v>
      </c>
      <c r="O1836" t="s">
        <v>84</v>
      </c>
      <c r="P1836">
        <v>98052</v>
      </c>
      <c r="Q1836">
        <v>6166</v>
      </c>
      <c r="R1836" t="s">
        <v>23</v>
      </c>
      <c r="S1836" s="1" t="s">
        <v>34218</v>
      </c>
    </row>
    <row r="1837" spans="1:19" x14ac:dyDescent="0.25">
      <c r="A1837">
        <v>100607697</v>
      </c>
      <c r="B1837" t="s">
        <v>5351</v>
      </c>
      <c r="C1837" t="s">
        <v>40</v>
      </c>
      <c r="F1837" t="str">
        <f>"6034653996"</f>
        <v>6034653996</v>
      </c>
      <c r="G1837" t="s">
        <v>5352</v>
      </c>
      <c r="H1837" t="s">
        <v>5353</v>
      </c>
      <c r="I1837" t="s">
        <v>353</v>
      </c>
      <c r="J1837">
        <v>3049</v>
      </c>
      <c r="K1837">
        <v>6271</v>
      </c>
      <c r="L1837" t="s">
        <v>23</v>
      </c>
      <c r="M1837" t="s">
        <v>5352</v>
      </c>
      <c r="N1837" t="s">
        <v>5353</v>
      </c>
      <c r="O1837" t="s">
        <v>353</v>
      </c>
      <c r="P1837">
        <v>3049</v>
      </c>
      <c r="Q1837">
        <v>6271</v>
      </c>
      <c r="R1837" t="s">
        <v>23</v>
      </c>
      <c r="S1837" s="1" t="s">
        <v>34218</v>
      </c>
    </row>
    <row r="1838" spans="1:19" x14ac:dyDescent="0.25">
      <c r="A1838">
        <v>101298063</v>
      </c>
      <c r="B1838" t="s">
        <v>5354</v>
      </c>
      <c r="C1838" t="s">
        <v>1135</v>
      </c>
      <c r="F1838" t="str">
        <f>"9165799774"</f>
        <v>9165799774</v>
      </c>
      <c r="G1838" t="s">
        <v>5355</v>
      </c>
      <c r="H1838" t="s">
        <v>1009</v>
      </c>
      <c r="I1838" t="s">
        <v>22</v>
      </c>
      <c r="J1838">
        <v>92780</v>
      </c>
      <c r="K1838">
        <v>5825</v>
      </c>
      <c r="L1838" t="s">
        <v>23</v>
      </c>
      <c r="M1838" t="s">
        <v>5355</v>
      </c>
      <c r="N1838" t="s">
        <v>1009</v>
      </c>
      <c r="O1838" t="s">
        <v>22</v>
      </c>
      <c r="P1838">
        <v>92780</v>
      </c>
      <c r="Q1838">
        <v>5825</v>
      </c>
      <c r="R1838" t="s">
        <v>23</v>
      </c>
      <c r="S1838" s="1" t="s">
        <v>34218</v>
      </c>
    </row>
    <row r="1839" spans="1:19" x14ac:dyDescent="0.25">
      <c r="A1839">
        <v>101193812</v>
      </c>
      <c r="B1839" t="s">
        <v>5356</v>
      </c>
      <c r="C1839" t="s">
        <v>3705</v>
      </c>
      <c r="F1839" t="str">
        <f>"4254661275"</f>
        <v>4254661275</v>
      </c>
      <c r="G1839" t="s">
        <v>5357</v>
      </c>
      <c r="H1839" t="s">
        <v>1531</v>
      </c>
      <c r="I1839" t="s">
        <v>84</v>
      </c>
      <c r="J1839">
        <v>98122</v>
      </c>
      <c r="K1839">
        <v>6805</v>
      </c>
      <c r="L1839" t="s">
        <v>23</v>
      </c>
      <c r="M1839" t="s">
        <v>5357</v>
      </c>
      <c r="N1839" t="s">
        <v>1531</v>
      </c>
      <c r="O1839" t="s">
        <v>84</v>
      </c>
      <c r="P1839">
        <v>98122</v>
      </c>
      <c r="Q1839">
        <v>6805</v>
      </c>
      <c r="R1839" t="s">
        <v>23</v>
      </c>
      <c r="S1839" s="1" t="s">
        <v>34218</v>
      </c>
    </row>
    <row r="1840" spans="1:19" x14ac:dyDescent="0.25">
      <c r="A1840">
        <v>100524731</v>
      </c>
      <c r="B1840" t="s">
        <v>5358</v>
      </c>
      <c r="C1840" t="s">
        <v>535</v>
      </c>
      <c r="F1840" t="str">
        <f>"3606943092"</f>
        <v>3606943092</v>
      </c>
      <c r="G1840" t="s">
        <v>5359</v>
      </c>
      <c r="H1840" t="s">
        <v>5070</v>
      </c>
      <c r="I1840" t="s">
        <v>84</v>
      </c>
      <c r="J1840">
        <v>98683</v>
      </c>
      <c r="K1840">
        <v>4311</v>
      </c>
      <c r="L1840" t="s">
        <v>23</v>
      </c>
      <c r="M1840" t="s">
        <v>5359</v>
      </c>
      <c r="N1840" t="s">
        <v>5070</v>
      </c>
      <c r="O1840" t="s">
        <v>84</v>
      </c>
      <c r="P1840">
        <v>98683</v>
      </c>
      <c r="Q1840">
        <v>4311</v>
      </c>
      <c r="R1840" t="s">
        <v>23</v>
      </c>
      <c r="S1840" s="1" t="s">
        <v>34218</v>
      </c>
    </row>
    <row r="1841" spans="1:19" x14ac:dyDescent="0.25">
      <c r="A1841">
        <v>101077928</v>
      </c>
      <c r="B1841" t="s">
        <v>5360</v>
      </c>
      <c r="C1841" t="s">
        <v>1241</v>
      </c>
      <c r="F1841" t="str">
        <f>"3109939049"</f>
        <v>3109939049</v>
      </c>
      <c r="G1841" t="s">
        <v>5361</v>
      </c>
      <c r="H1841" t="s">
        <v>299</v>
      </c>
      <c r="I1841" t="s">
        <v>22</v>
      </c>
      <c r="J1841">
        <v>90036</v>
      </c>
      <c r="K1841">
        <v>3209</v>
      </c>
      <c r="L1841" t="s">
        <v>23</v>
      </c>
      <c r="M1841" t="s">
        <v>5361</v>
      </c>
      <c r="N1841" t="s">
        <v>299</v>
      </c>
      <c r="O1841" t="s">
        <v>22</v>
      </c>
      <c r="P1841">
        <v>90036</v>
      </c>
      <c r="Q1841">
        <v>3209</v>
      </c>
      <c r="R1841" t="s">
        <v>23</v>
      </c>
      <c r="S1841" s="1" t="s">
        <v>34218</v>
      </c>
    </row>
    <row r="1842" spans="1:19" x14ac:dyDescent="0.25">
      <c r="A1842">
        <v>100970868</v>
      </c>
      <c r="B1842" t="s">
        <v>465</v>
      </c>
      <c r="C1842" t="s">
        <v>5362</v>
      </c>
      <c r="F1842" t="str">
        <f>"6308861030"</f>
        <v>6308861030</v>
      </c>
      <c r="G1842" t="s">
        <v>5363</v>
      </c>
      <c r="H1842" t="s">
        <v>471</v>
      </c>
      <c r="I1842" t="s">
        <v>365</v>
      </c>
      <c r="J1842">
        <v>85255</v>
      </c>
      <c r="K1842">
        <v>8945</v>
      </c>
      <c r="L1842" t="s">
        <v>23</v>
      </c>
      <c r="M1842" t="s">
        <v>5363</v>
      </c>
      <c r="N1842" t="s">
        <v>471</v>
      </c>
      <c r="O1842" t="s">
        <v>365</v>
      </c>
      <c r="P1842">
        <v>85255</v>
      </c>
      <c r="Q1842">
        <v>8945</v>
      </c>
      <c r="R1842" t="s">
        <v>23</v>
      </c>
      <c r="S1842" s="1" t="s">
        <v>34218</v>
      </c>
    </row>
    <row r="1843" spans="1:19" x14ac:dyDescent="0.25">
      <c r="A1843">
        <v>101177744</v>
      </c>
      <c r="B1843" t="s">
        <v>5364</v>
      </c>
      <c r="C1843" t="s">
        <v>2127</v>
      </c>
      <c r="F1843" t="str">
        <f>"8059645396"</f>
        <v>8059645396</v>
      </c>
      <c r="G1843" t="s">
        <v>5365</v>
      </c>
      <c r="H1843" t="s">
        <v>112</v>
      </c>
      <c r="I1843" t="s">
        <v>22</v>
      </c>
      <c r="J1843" t="s">
        <v>5366</v>
      </c>
      <c r="K1843">
        <v>1175</v>
      </c>
      <c r="L1843" t="s">
        <v>23</v>
      </c>
      <c r="M1843" t="s">
        <v>5365</v>
      </c>
      <c r="N1843" t="s">
        <v>112</v>
      </c>
      <c r="O1843" t="s">
        <v>22</v>
      </c>
      <c r="P1843" t="s">
        <v>5366</v>
      </c>
      <c r="Q1843">
        <v>1175</v>
      </c>
      <c r="R1843" t="s">
        <v>23</v>
      </c>
      <c r="S1843" s="1" t="s">
        <v>34218</v>
      </c>
    </row>
    <row r="1844" spans="1:19" x14ac:dyDescent="0.25">
      <c r="A1844">
        <v>100748818</v>
      </c>
      <c r="B1844" t="s">
        <v>5367</v>
      </c>
      <c r="C1844" t="s">
        <v>5368</v>
      </c>
      <c r="F1844" t="str">
        <f>"4152829603"</f>
        <v>4152829603</v>
      </c>
      <c r="G1844" t="s">
        <v>5369</v>
      </c>
      <c r="H1844" t="s">
        <v>5370</v>
      </c>
      <c r="I1844" t="s">
        <v>22</v>
      </c>
      <c r="J1844" t="s">
        <v>5371</v>
      </c>
      <c r="K1844">
        <v>3577</v>
      </c>
      <c r="L1844" t="s">
        <v>23</v>
      </c>
      <c r="M1844" t="s">
        <v>5369</v>
      </c>
      <c r="N1844" t="s">
        <v>5370</v>
      </c>
      <c r="O1844" t="s">
        <v>22</v>
      </c>
      <c r="P1844" t="s">
        <v>5371</v>
      </c>
      <c r="Q1844">
        <v>3577</v>
      </c>
      <c r="R1844" t="s">
        <v>23</v>
      </c>
      <c r="S1844" s="1" t="s">
        <v>34218</v>
      </c>
    </row>
    <row r="1845" spans="1:19" x14ac:dyDescent="0.25">
      <c r="A1845">
        <v>100768467</v>
      </c>
      <c r="B1845" t="s">
        <v>3089</v>
      </c>
      <c r="C1845" t="s">
        <v>5372</v>
      </c>
      <c r="F1845" t="str">
        <f>"4349781517"</f>
        <v>4349781517</v>
      </c>
      <c r="G1845" t="s">
        <v>5373</v>
      </c>
      <c r="H1845" t="s">
        <v>254</v>
      </c>
      <c r="I1845" t="s">
        <v>255</v>
      </c>
      <c r="J1845" t="s">
        <v>5374</v>
      </c>
      <c r="K1845">
        <v>8234</v>
      </c>
      <c r="L1845" t="s">
        <v>23</v>
      </c>
      <c r="M1845" t="s">
        <v>5373</v>
      </c>
      <c r="N1845" t="s">
        <v>254</v>
      </c>
      <c r="O1845" t="s">
        <v>255</v>
      </c>
      <c r="P1845" t="s">
        <v>5374</v>
      </c>
      <c r="Q1845">
        <v>8234</v>
      </c>
      <c r="R1845" t="s">
        <v>23</v>
      </c>
      <c r="S1845" s="1" t="s">
        <v>34218</v>
      </c>
    </row>
    <row r="1846" spans="1:19" x14ac:dyDescent="0.25">
      <c r="A1846">
        <v>101163489</v>
      </c>
      <c r="B1846" t="s">
        <v>5375</v>
      </c>
      <c r="C1846" t="s">
        <v>5376</v>
      </c>
      <c r="F1846" t="str">
        <f>"5024269399"</f>
        <v>5024269399</v>
      </c>
      <c r="G1846" t="s">
        <v>5377</v>
      </c>
      <c r="H1846" t="s">
        <v>1096</v>
      </c>
      <c r="I1846" t="s">
        <v>1097</v>
      </c>
      <c r="J1846" t="s">
        <v>5378</v>
      </c>
      <c r="K1846">
        <v>3100</v>
      </c>
      <c r="L1846" t="s">
        <v>23</v>
      </c>
      <c r="M1846" t="s">
        <v>5377</v>
      </c>
      <c r="N1846" t="s">
        <v>1096</v>
      </c>
      <c r="O1846" t="s">
        <v>1097</v>
      </c>
      <c r="P1846" t="s">
        <v>5378</v>
      </c>
      <c r="Q1846">
        <v>3100</v>
      </c>
      <c r="R1846" t="s">
        <v>23</v>
      </c>
      <c r="S1846" s="1" t="s">
        <v>34218</v>
      </c>
    </row>
    <row r="1847" spans="1:19" x14ac:dyDescent="0.25">
      <c r="A1847">
        <v>101145415</v>
      </c>
      <c r="B1847" t="s">
        <v>5379</v>
      </c>
      <c r="C1847" t="s">
        <v>1992</v>
      </c>
      <c r="F1847" t="str">
        <f>"4158217845"</f>
        <v>4158217845</v>
      </c>
      <c r="G1847" t="s">
        <v>5380</v>
      </c>
      <c r="H1847" t="s">
        <v>130</v>
      </c>
      <c r="I1847" t="s">
        <v>22</v>
      </c>
      <c r="J1847" t="s">
        <v>5381</v>
      </c>
      <c r="K1847">
        <v>5813</v>
      </c>
      <c r="L1847" t="s">
        <v>23</v>
      </c>
      <c r="M1847" t="s">
        <v>5380</v>
      </c>
      <c r="N1847" t="s">
        <v>130</v>
      </c>
      <c r="O1847" t="s">
        <v>22</v>
      </c>
      <c r="P1847" t="s">
        <v>5381</v>
      </c>
      <c r="Q1847">
        <v>5813</v>
      </c>
      <c r="R1847" t="s">
        <v>23</v>
      </c>
      <c r="S1847" s="1" t="s">
        <v>34218</v>
      </c>
    </row>
    <row r="1848" spans="1:19" x14ac:dyDescent="0.25">
      <c r="A1848">
        <v>101331287</v>
      </c>
      <c r="B1848" t="s">
        <v>5382</v>
      </c>
      <c r="C1848" t="s">
        <v>535</v>
      </c>
      <c r="F1848" t="str">
        <f>"7032727110"</f>
        <v>7032727110</v>
      </c>
      <c r="G1848" t="s">
        <v>5383</v>
      </c>
      <c r="H1848" t="s">
        <v>5190</v>
      </c>
      <c r="I1848" t="s">
        <v>255</v>
      </c>
      <c r="J1848">
        <v>22030</v>
      </c>
      <c r="K1848">
        <v>1737</v>
      </c>
      <c r="L1848" t="s">
        <v>23</v>
      </c>
      <c r="M1848" t="s">
        <v>5383</v>
      </c>
      <c r="N1848" t="s">
        <v>5190</v>
      </c>
      <c r="O1848" t="s">
        <v>255</v>
      </c>
      <c r="P1848">
        <v>22030</v>
      </c>
      <c r="Q1848">
        <v>1737</v>
      </c>
      <c r="R1848" t="s">
        <v>23</v>
      </c>
      <c r="S1848" s="1" t="s">
        <v>34218</v>
      </c>
    </row>
    <row r="1849" spans="1:19" x14ac:dyDescent="0.25">
      <c r="A1849">
        <v>100935828</v>
      </c>
      <c r="B1849" t="s">
        <v>5384</v>
      </c>
      <c r="C1849" t="s">
        <v>718</v>
      </c>
      <c r="F1849" t="str">
        <f>"4078777712"</f>
        <v>4078777712</v>
      </c>
      <c r="G1849" t="s">
        <v>5385</v>
      </c>
      <c r="H1849" t="s">
        <v>5386</v>
      </c>
      <c r="I1849" t="s">
        <v>52</v>
      </c>
      <c r="J1849">
        <v>34787</v>
      </c>
      <c r="K1849">
        <v>3174</v>
      </c>
      <c r="L1849" t="s">
        <v>23</v>
      </c>
      <c r="M1849" t="s">
        <v>5385</v>
      </c>
      <c r="N1849" t="s">
        <v>5386</v>
      </c>
      <c r="O1849" t="s">
        <v>52</v>
      </c>
      <c r="P1849">
        <v>34787</v>
      </c>
      <c r="Q1849">
        <v>3174</v>
      </c>
      <c r="R1849" t="s">
        <v>23</v>
      </c>
      <c r="S1849" s="1" t="s">
        <v>34218</v>
      </c>
    </row>
    <row r="1850" spans="1:19" x14ac:dyDescent="0.25">
      <c r="A1850">
        <v>101413385</v>
      </c>
      <c r="B1850" t="s">
        <v>5387</v>
      </c>
      <c r="C1850" t="s">
        <v>2653</v>
      </c>
      <c r="F1850" t="str">
        <f>"9725704783"</f>
        <v>9725704783</v>
      </c>
      <c r="G1850" t="s">
        <v>5388</v>
      </c>
      <c r="H1850" t="s">
        <v>3867</v>
      </c>
      <c r="I1850" t="s">
        <v>38</v>
      </c>
      <c r="J1850">
        <v>75062</v>
      </c>
      <c r="K1850">
        <v>4350</v>
      </c>
      <c r="L1850" t="s">
        <v>23</v>
      </c>
      <c r="M1850" t="s">
        <v>5388</v>
      </c>
      <c r="N1850" t="s">
        <v>3867</v>
      </c>
      <c r="O1850" t="s">
        <v>38</v>
      </c>
      <c r="P1850">
        <v>75062</v>
      </c>
      <c r="Q1850">
        <v>4350</v>
      </c>
      <c r="R1850" t="s">
        <v>23</v>
      </c>
      <c r="S1850" s="1" t="s">
        <v>34218</v>
      </c>
    </row>
    <row r="1851" spans="1:19" x14ac:dyDescent="0.25">
      <c r="A1851">
        <v>101019846</v>
      </c>
      <c r="B1851" t="s">
        <v>5389</v>
      </c>
      <c r="C1851" t="s">
        <v>1153</v>
      </c>
      <c r="F1851" t="str">
        <f>"6309153527"</f>
        <v>6309153527</v>
      </c>
      <c r="G1851" t="s">
        <v>5390</v>
      </c>
      <c r="H1851" t="s">
        <v>1579</v>
      </c>
      <c r="I1851" t="s">
        <v>135</v>
      </c>
      <c r="J1851">
        <v>60504</v>
      </c>
      <c r="K1851">
        <v>5927</v>
      </c>
      <c r="L1851" t="s">
        <v>23</v>
      </c>
      <c r="M1851" t="s">
        <v>5390</v>
      </c>
      <c r="N1851" t="s">
        <v>1579</v>
      </c>
      <c r="O1851" t="s">
        <v>135</v>
      </c>
      <c r="P1851">
        <v>60504</v>
      </c>
      <c r="Q1851">
        <v>5927</v>
      </c>
      <c r="R1851" t="s">
        <v>23</v>
      </c>
      <c r="S1851" s="1" t="s">
        <v>34218</v>
      </c>
    </row>
    <row r="1852" spans="1:19" x14ac:dyDescent="0.25">
      <c r="A1852">
        <v>101281490</v>
      </c>
      <c r="B1852" t="s">
        <v>5391</v>
      </c>
      <c r="C1852" t="s">
        <v>90</v>
      </c>
      <c r="F1852" t="str">
        <f>"6304654308"</f>
        <v>6304654308</v>
      </c>
      <c r="G1852" t="s">
        <v>5392</v>
      </c>
      <c r="H1852" t="s">
        <v>5393</v>
      </c>
      <c r="I1852" t="s">
        <v>43</v>
      </c>
      <c r="J1852">
        <v>97086</v>
      </c>
      <c r="K1852">
        <v>6074</v>
      </c>
      <c r="L1852" t="s">
        <v>23</v>
      </c>
      <c r="M1852" t="s">
        <v>5392</v>
      </c>
      <c r="N1852" t="s">
        <v>5393</v>
      </c>
      <c r="O1852" t="s">
        <v>43</v>
      </c>
      <c r="P1852">
        <v>97086</v>
      </c>
      <c r="Q1852">
        <v>6074</v>
      </c>
      <c r="R1852" t="s">
        <v>23</v>
      </c>
      <c r="S1852" s="1" t="s">
        <v>34218</v>
      </c>
    </row>
    <row r="1853" spans="1:19" x14ac:dyDescent="0.25">
      <c r="A1853">
        <v>101296522</v>
      </c>
      <c r="B1853" t="s">
        <v>5137</v>
      </c>
      <c r="C1853" t="s">
        <v>25</v>
      </c>
      <c r="F1853" t="str">
        <f>"5127589595"</f>
        <v>5127589595</v>
      </c>
      <c r="G1853" t="s">
        <v>5394</v>
      </c>
      <c r="H1853" t="s">
        <v>5395</v>
      </c>
      <c r="I1853" t="s">
        <v>38</v>
      </c>
      <c r="J1853" t="s">
        <v>5396</v>
      </c>
      <c r="K1853">
        <v>6141</v>
      </c>
      <c r="L1853" t="s">
        <v>23</v>
      </c>
      <c r="M1853" t="s">
        <v>5394</v>
      </c>
      <c r="N1853" t="s">
        <v>5395</v>
      </c>
      <c r="O1853" t="s">
        <v>38</v>
      </c>
      <c r="P1853" t="s">
        <v>5396</v>
      </c>
      <c r="Q1853">
        <v>6141</v>
      </c>
      <c r="R1853" t="s">
        <v>23</v>
      </c>
      <c r="S1853" s="1" t="s">
        <v>34218</v>
      </c>
    </row>
    <row r="1854" spans="1:19" x14ac:dyDescent="0.25">
      <c r="A1854">
        <v>100879063</v>
      </c>
      <c r="B1854" t="s">
        <v>5397</v>
      </c>
      <c r="C1854" t="s">
        <v>707</v>
      </c>
      <c r="F1854" t="str">
        <f>"2126832173"</f>
        <v>2126832173</v>
      </c>
      <c r="G1854" t="s">
        <v>5398</v>
      </c>
      <c r="H1854" t="s">
        <v>412</v>
      </c>
      <c r="I1854" t="s">
        <v>117</v>
      </c>
      <c r="J1854" t="s">
        <v>5399</v>
      </c>
      <c r="K1854">
        <v>1447</v>
      </c>
      <c r="L1854" t="s">
        <v>23</v>
      </c>
      <c r="M1854" t="s">
        <v>5398</v>
      </c>
      <c r="N1854" t="s">
        <v>412</v>
      </c>
      <c r="O1854" t="s">
        <v>117</v>
      </c>
      <c r="P1854" t="s">
        <v>5399</v>
      </c>
      <c r="Q1854">
        <v>1447</v>
      </c>
      <c r="R1854" t="s">
        <v>23</v>
      </c>
      <c r="S1854" s="1" t="s">
        <v>34218</v>
      </c>
    </row>
    <row r="1855" spans="1:19" x14ac:dyDescent="0.25">
      <c r="A1855">
        <v>101269024</v>
      </c>
      <c r="B1855" t="s">
        <v>5400</v>
      </c>
      <c r="C1855" t="s">
        <v>5401</v>
      </c>
      <c r="F1855" t="str">
        <f>"4179999999"</f>
        <v>4179999999</v>
      </c>
      <c r="G1855" t="s">
        <v>5402</v>
      </c>
      <c r="H1855" t="s">
        <v>5403</v>
      </c>
      <c r="I1855" t="s">
        <v>126</v>
      </c>
      <c r="J1855">
        <v>65773</v>
      </c>
      <c r="L1855" t="s">
        <v>23</v>
      </c>
      <c r="M1855" t="s">
        <v>5402</v>
      </c>
      <c r="N1855" t="s">
        <v>5403</v>
      </c>
      <c r="O1855" t="s">
        <v>126</v>
      </c>
      <c r="P1855">
        <v>65773</v>
      </c>
      <c r="R1855" t="s">
        <v>23</v>
      </c>
      <c r="S1855" s="1" t="s">
        <v>34218</v>
      </c>
    </row>
    <row r="1856" spans="1:19" x14ac:dyDescent="0.25">
      <c r="A1856">
        <v>100629788</v>
      </c>
      <c r="B1856" t="s">
        <v>5404</v>
      </c>
      <c r="C1856" t="s">
        <v>329</v>
      </c>
      <c r="F1856" t="str">
        <f>"7279536091"</f>
        <v>7279536091</v>
      </c>
      <c r="G1856" t="s">
        <v>5405</v>
      </c>
      <c r="H1856" t="s">
        <v>5406</v>
      </c>
      <c r="I1856" t="s">
        <v>52</v>
      </c>
      <c r="J1856">
        <v>34698</v>
      </c>
      <c r="K1856">
        <v>4801</v>
      </c>
      <c r="L1856" t="s">
        <v>23</v>
      </c>
      <c r="M1856" t="s">
        <v>5405</v>
      </c>
      <c r="N1856" t="s">
        <v>5406</v>
      </c>
      <c r="O1856" t="s">
        <v>52</v>
      </c>
      <c r="P1856">
        <v>34698</v>
      </c>
      <c r="Q1856">
        <v>4801</v>
      </c>
      <c r="R1856" t="s">
        <v>23</v>
      </c>
      <c r="S1856" s="1" t="s">
        <v>34218</v>
      </c>
    </row>
    <row r="1857" spans="1:19" x14ac:dyDescent="0.25">
      <c r="A1857">
        <v>100815119</v>
      </c>
      <c r="B1857" t="s">
        <v>5407</v>
      </c>
      <c r="C1857" t="s">
        <v>1933</v>
      </c>
      <c r="F1857" t="str">
        <f>"8508775737"</f>
        <v>8508775737</v>
      </c>
      <c r="G1857" t="s">
        <v>5408</v>
      </c>
      <c r="H1857" t="s">
        <v>1196</v>
      </c>
      <c r="I1857" t="s">
        <v>52</v>
      </c>
      <c r="J1857">
        <v>32312</v>
      </c>
      <c r="K1857">
        <v>2207</v>
      </c>
      <c r="L1857" t="s">
        <v>23</v>
      </c>
      <c r="M1857" t="s">
        <v>5408</v>
      </c>
      <c r="N1857" t="s">
        <v>1196</v>
      </c>
      <c r="O1857" t="s">
        <v>52</v>
      </c>
      <c r="P1857">
        <v>32312</v>
      </c>
      <c r="Q1857">
        <v>2207</v>
      </c>
      <c r="R1857" t="s">
        <v>23</v>
      </c>
      <c r="S1857" s="1" t="s">
        <v>34218</v>
      </c>
    </row>
    <row r="1858" spans="1:19" x14ac:dyDescent="0.25">
      <c r="A1858">
        <v>100540115</v>
      </c>
      <c r="B1858" t="s">
        <v>5409</v>
      </c>
      <c r="C1858" t="s">
        <v>3100</v>
      </c>
      <c r="F1858" t="str">
        <f>"8478685782"</f>
        <v>8478685782</v>
      </c>
      <c r="G1858" t="s">
        <v>5410</v>
      </c>
      <c r="H1858" t="s">
        <v>1754</v>
      </c>
      <c r="I1858" t="s">
        <v>135</v>
      </c>
      <c r="J1858">
        <v>60201</v>
      </c>
      <c r="K1858">
        <v>2636</v>
      </c>
      <c r="L1858" t="s">
        <v>23</v>
      </c>
      <c r="M1858" t="s">
        <v>5410</v>
      </c>
      <c r="N1858" t="s">
        <v>1754</v>
      </c>
      <c r="O1858" t="s">
        <v>135</v>
      </c>
      <c r="P1858">
        <v>60201</v>
      </c>
      <c r="Q1858">
        <v>2636</v>
      </c>
      <c r="R1858" t="s">
        <v>23</v>
      </c>
      <c r="S1858" s="1" t="s">
        <v>34218</v>
      </c>
    </row>
    <row r="1859" spans="1:19" x14ac:dyDescent="0.25">
      <c r="A1859">
        <v>100736833</v>
      </c>
      <c r="B1859" t="s">
        <v>654</v>
      </c>
      <c r="C1859" t="s">
        <v>5411</v>
      </c>
      <c r="F1859" t="str">
        <f>"2488880887"</f>
        <v>2488880887</v>
      </c>
      <c r="G1859" t="s">
        <v>5412</v>
      </c>
      <c r="H1859" t="s">
        <v>5413</v>
      </c>
      <c r="I1859" t="s">
        <v>140</v>
      </c>
      <c r="J1859">
        <v>48336</v>
      </c>
      <c r="K1859">
        <v>5057</v>
      </c>
      <c r="L1859" t="s">
        <v>23</v>
      </c>
      <c r="M1859" t="s">
        <v>5412</v>
      </c>
      <c r="N1859" t="s">
        <v>5413</v>
      </c>
      <c r="O1859" t="s">
        <v>140</v>
      </c>
      <c r="P1859">
        <v>48336</v>
      </c>
      <c r="Q1859">
        <v>5057</v>
      </c>
      <c r="R1859" t="s">
        <v>23</v>
      </c>
      <c r="S1859" s="1" t="s">
        <v>34218</v>
      </c>
    </row>
    <row r="1860" spans="1:19" x14ac:dyDescent="0.25">
      <c r="A1860">
        <v>100757222</v>
      </c>
      <c r="B1860" t="s">
        <v>5414</v>
      </c>
      <c r="C1860" t="s">
        <v>699</v>
      </c>
      <c r="F1860" t="str">
        <f>"5025280037"</f>
        <v>5025280037</v>
      </c>
      <c r="G1860" t="s">
        <v>5415</v>
      </c>
      <c r="H1860" t="s">
        <v>1096</v>
      </c>
      <c r="I1860" t="s">
        <v>1097</v>
      </c>
      <c r="J1860">
        <v>40219</v>
      </c>
      <c r="K1860">
        <v>1909</v>
      </c>
      <c r="L1860" t="s">
        <v>23</v>
      </c>
      <c r="M1860" t="s">
        <v>5415</v>
      </c>
      <c r="N1860" t="s">
        <v>1096</v>
      </c>
      <c r="O1860" t="s">
        <v>1097</v>
      </c>
      <c r="P1860">
        <v>40219</v>
      </c>
      <c r="Q1860">
        <v>1909</v>
      </c>
      <c r="R1860" t="s">
        <v>23</v>
      </c>
      <c r="S1860" s="1" t="s">
        <v>34218</v>
      </c>
    </row>
    <row r="1861" spans="1:19" x14ac:dyDescent="0.25">
      <c r="A1861">
        <v>100565565</v>
      </c>
      <c r="B1861" t="s">
        <v>5416</v>
      </c>
      <c r="C1861" t="s">
        <v>247</v>
      </c>
      <c r="F1861" t="str">
        <f>"3368355324"</f>
        <v>3368355324</v>
      </c>
      <c r="G1861" t="s">
        <v>5417</v>
      </c>
      <c r="H1861" t="s">
        <v>5418</v>
      </c>
      <c r="I1861" t="s">
        <v>446</v>
      </c>
      <c r="J1861">
        <v>28676</v>
      </c>
      <c r="K1861">
        <v>8860</v>
      </c>
      <c r="L1861" t="s">
        <v>23</v>
      </c>
      <c r="M1861" t="s">
        <v>5417</v>
      </c>
      <c r="N1861" t="s">
        <v>5418</v>
      </c>
      <c r="O1861" t="s">
        <v>446</v>
      </c>
      <c r="P1861">
        <v>28676</v>
      </c>
      <c r="Q1861">
        <v>8860</v>
      </c>
      <c r="R1861" t="s">
        <v>23</v>
      </c>
      <c r="S1861" s="1" t="s">
        <v>34218</v>
      </c>
    </row>
    <row r="1862" spans="1:19" x14ac:dyDescent="0.25">
      <c r="A1862">
        <v>100571951</v>
      </c>
      <c r="B1862" t="s">
        <v>5419</v>
      </c>
      <c r="C1862" t="s">
        <v>5420</v>
      </c>
      <c r="F1862" t="str">
        <f>"3108202065"</f>
        <v>3108202065</v>
      </c>
      <c r="G1862" t="s">
        <v>5421</v>
      </c>
      <c r="H1862" t="s">
        <v>299</v>
      </c>
      <c r="I1862" t="s">
        <v>22</v>
      </c>
      <c r="J1862">
        <v>90049</v>
      </c>
      <c r="K1862">
        <v>5555</v>
      </c>
      <c r="L1862" t="s">
        <v>23</v>
      </c>
      <c r="M1862" t="s">
        <v>5421</v>
      </c>
      <c r="N1862" t="s">
        <v>299</v>
      </c>
      <c r="O1862" t="s">
        <v>22</v>
      </c>
      <c r="P1862">
        <v>90049</v>
      </c>
      <c r="Q1862">
        <v>5555</v>
      </c>
      <c r="R1862" t="s">
        <v>23</v>
      </c>
      <c r="S1862" s="1" t="s">
        <v>34218</v>
      </c>
    </row>
    <row r="1863" spans="1:19" x14ac:dyDescent="0.25">
      <c r="A1863">
        <v>100776888</v>
      </c>
      <c r="B1863" t="s">
        <v>5422</v>
      </c>
      <c r="C1863" t="s">
        <v>2758</v>
      </c>
      <c r="F1863" t="str">
        <f>"6309687812"</f>
        <v>6309687812</v>
      </c>
      <c r="G1863" t="s">
        <v>5423</v>
      </c>
      <c r="H1863" t="s">
        <v>1170</v>
      </c>
      <c r="I1863" t="s">
        <v>135</v>
      </c>
      <c r="J1863">
        <v>60515</v>
      </c>
      <c r="K1863">
        <v>3541</v>
      </c>
      <c r="L1863" t="s">
        <v>23</v>
      </c>
      <c r="M1863" t="s">
        <v>5423</v>
      </c>
      <c r="N1863" t="s">
        <v>1170</v>
      </c>
      <c r="O1863" t="s">
        <v>135</v>
      </c>
      <c r="P1863">
        <v>60515</v>
      </c>
      <c r="Q1863">
        <v>3541</v>
      </c>
      <c r="R1863" t="s">
        <v>23</v>
      </c>
      <c r="S1863" s="1" t="s">
        <v>34218</v>
      </c>
    </row>
    <row r="1864" spans="1:19" x14ac:dyDescent="0.25">
      <c r="A1864">
        <v>100872290</v>
      </c>
      <c r="B1864" t="s">
        <v>5424</v>
      </c>
      <c r="C1864" t="s">
        <v>180</v>
      </c>
      <c r="F1864" t="str">
        <f>"9703792216"</f>
        <v>9703792216</v>
      </c>
      <c r="G1864" t="s">
        <v>5425</v>
      </c>
      <c r="H1864" t="s">
        <v>5426</v>
      </c>
      <c r="I1864" t="s">
        <v>71</v>
      </c>
      <c r="J1864">
        <v>81623</v>
      </c>
      <c r="K1864">
        <v>9562</v>
      </c>
      <c r="L1864" t="s">
        <v>23</v>
      </c>
      <c r="M1864" t="s">
        <v>5425</v>
      </c>
      <c r="N1864" t="s">
        <v>5426</v>
      </c>
      <c r="O1864" t="s">
        <v>71</v>
      </c>
      <c r="P1864">
        <v>81623</v>
      </c>
      <c r="Q1864">
        <v>9562</v>
      </c>
      <c r="R1864" t="s">
        <v>23</v>
      </c>
      <c r="S1864" s="1" t="s">
        <v>34218</v>
      </c>
    </row>
    <row r="1865" spans="1:19" x14ac:dyDescent="0.25">
      <c r="A1865">
        <v>100797884</v>
      </c>
      <c r="B1865" t="s">
        <v>4982</v>
      </c>
      <c r="C1865" t="s">
        <v>883</v>
      </c>
      <c r="F1865" t="str">
        <f>"7045453457"</f>
        <v>7045453457</v>
      </c>
      <c r="G1865" t="s">
        <v>5427</v>
      </c>
      <c r="H1865" t="s">
        <v>5428</v>
      </c>
      <c r="I1865" t="s">
        <v>446</v>
      </c>
      <c r="J1865">
        <v>28227</v>
      </c>
      <c r="K1865">
        <v>9731</v>
      </c>
      <c r="L1865" t="s">
        <v>23</v>
      </c>
      <c r="M1865" t="s">
        <v>5427</v>
      </c>
      <c r="N1865" t="s">
        <v>5428</v>
      </c>
      <c r="O1865" t="s">
        <v>446</v>
      </c>
      <c r="P1865">
        <v>28227</v>
      </c>
      <c r="Q1865">
        <v>9731</v>
      </c>
      <c r="R1865" t="s">
        <v>23</v>
      </c>
      <c r="S1865" s="1" t="s">
        <v>34218</v>
      </c>
    </row>
    <row r="1866" spans="1:19" x14ac:dyDescent="0.25">
      <c r="A1866">
        <v>100638638</v>
      </c>
      <c r="B1866" t="s">
        <v>793</v>
      </c>
      <c r="C1866" t="s">
        <v>54</v>
      </c>
      <c r="F1866" t="str">
        <f>"7706342045"</f>
        <v>7706342045</v>
      </c>
      <c r="G1866" t="s">
        <v>5429</v>
      </c>
      <c r="H1866" t="s">
        <v>4540</v>
      </c>
      <c r="I1866" t="s">
        <v>28</v>
      </c>
      <c r="J1866">
        <v>30041</v>
      </c>
      <c r="K1866">
        <v>7952</v>
      </c>
      <c r="L1866" t="s">
        <v>23</v>
      </c>
      <c r="M1866" t="s">
        <v>5429</v>
      </c>
      <c r="N1866" t="s">
        <v>4540</v>
      </c>
      <c r="O1866" t="s">
        <v>28</v>
      </c>
      <c r="P1866">
        <v>30041</v>
      </c>
      <c r="Q1866">
        <v>7952</v>
      </c>
      <c r="R1866" t="s">
        <v>23</v>
      </c>
      <c r="S1866" s="1" t="s">
        <v>34218</v>
      </c>
    </row>
    <row r="1867" spans="1:19" x14ac:dyDescent="0.25">
      <c r="A1867">
        <v>100638012</v>
      </c>
      <c r="B1867" t="s">
        <v>5430</v>
      </c>
      <c r="C1867" t="s">
        <v>1616</v>
      </c>
      <c r="F1867" t="str">
        <f>"5617509799"</f>
        <v>5617509799</v>
      </c>
      <c r="G1867" t="s">
        <v>5431</v>
      </c>
      <c r="H1867" t="s">
        <v>2640</v>
      </c>
      <c r="I1867" t="s">
        <v>52</v>
      </c>
      <c r="J1867">
        <v>33433</v>
      </c>
      <c r="K1867">
        <v>3323</v>
      </c>
      <c r="L1867" t="s">
        <v>23</v>
      </c>
      <c r="M1867" t="s">
        <v>5431</v>
      </c>
      <c r="N1867" t="s">
        <v>2640</v>
      </c>
      <c r="O1867" t="s">
        <v>52</v>
      </c>
      <c r="P1867">
        <v>33433</v>
      </c>
      <c r="Q1867">
        <v>3323</v>
      </c>
      <c r="R1867" t="s">
        <v>23</v>
      </c>
      <c r="S1867" s="1" t="s">
        <v>34218</v>
      </c>
    </row>
    <row r="1868" spans="1:19" x14ac:dyDescent="0.25">
      <c r="A1868">
        <v>100643838</v>
      </c>
      <c r="B1868" t="s">
        <v>5432</v>
      </c>
      <c r="C1868" t="s">
        <v>664</v>
      </c>
      <c r="F1868" t="str">
        <f>"8056878921"</f>
        <v>8056878921</v>
      </c>
      <c r="G1868" t="s">
        <v>5433</v>
      </c>
      <c r="H1868" t="s">
        <v>174</v>
      </c>
      <c r="I1868" t="s">
        <v>22</v>
      </c>
      <c r="J1868">
        <v>93105</v>
      </c>
      <c r="K1868">
        <v>2143</v>
      </c>
      <c r="L1868" t="s">
        <v>23</v>
      </c>
      <c r="M1868" t="s">
        <v>5433</v>
      </c>
      <c r="N1868" t="s">
        <v>174</v>
      </c>
      <c r="O1868" t="s">
        <v>22</v>
      </c>
      <c r="P1868">
        <v>93105</v>
      </c>
      <c r="Q1868">
        <v>2143</v>
      </c>
      <c r="R1868" t="s">
        <v>23</v>
      </c>
      <c r="S1868" s="1" t="s">
        <v>34218</v>
      </c>
    </row>
    <row r="1869" spans="1:19" x14ac:dyDescent="0.25">
      <c r="A1869">
        <v>100644984</v>
      </c>
      <c r="B1869" t="s">
        <v>5434</v>
      </c>
      <c r="C1869" t="s">
        <v>5435</v>
      </c>
      <c r="F1869" t="str">
        <f>"5418373450"</f>
        <v>5418373450</v>
      </c>
      <c r="G1869" t="s">
        <v>5436</v>
      </c>
      <c r="H1869" t="s">
        <v>5437</v>
      </c>
      <c r="I1869" t="s">
        <v>43</v>
      </c>
      <c r="J1869">
        <v>97410</v>
      </c>
      <c r="K1869">
        <v>152</v>
      </c>
      <c r="L1869" t="s">
        <v>23</v>
      </c>
      <c r="M1869" t="s">
        <v>5436</v>
      </c>
      <c r="N1869" t="s">
        <v>5437</v>
      </c>
      <c r="O1869" t="s">
        <v>43</v>
      </c>
      <c r="P1869">
        <v>97410</v>
      </c>
      <c r="Q1869">
        <v>152</v>
      </c>
      <c r="R1869" t="s">
        <v>23</v>
      </c>
      <c r="S1869" s="1" t="s">
        <v>34218</v>
      </c>
    </row>
    <row r="1870" spans="1:19" x14ac:dyDescent="0.25">
      <c r="A1870">
        <v>100840615</v>
      </c>
      <c r="B1870" t="s">
        <v>5438</v>
      </c>
      <c r="C1870" t="s">
        <v>613</v>
      </c>
      <c r="F1870" t="str">
        <f>"2485154661"</f>
        <v>2485154661</v>
      </c>
      <c r="G1870" t="s">
        <v>5439</v>
      </c>
      <c r="H1870" t="s">
        <v>688</v>
      </c>
      <c r="I1870" t="s">
        <v>140</v>
      </c>
      <c r="J1870">
        <v>48307</v>
      </c>
      <c r="K1870">
        <v>1114</v>
      </c>
      <c r="L1870" t="s">
        <v>23</v>
      </c>
      <c r="M1870" t="s">
        <v>5439</v>
      </c>
      <c r="N1870" t="s">
        <v>688</v>
      </c>
      <c r="O1870" t="s">
        <v>140</v>
      </c>
      <c r="P1870">
        <v>48307</v>
      </c>
      <c r="Q1870">
        <v>1114</v>
      </c>
      <c r="R1870" t="s">
        <v>23</v>
      </c>
      <c r="S1870" s="1" t="s">
        <v>34218</v>
      </c>
    </row>
    <row r="1871" spans="1:19" x14ac:dyDescent="0.25">
      <c r="A1871">
        <v>100849469</v>
      </c>
      <c r="B1871" t="s">
        <v>5440</v>
      </c>
      <c r="C1871" t="s">
        <v>1161</v>
      </c>
      <c r="F1871" t="str">
        <f>"2062912242"</f>
        <v>2062912242</v>
      </c>
      <c r="G1871" t="s">
        <v>5441</v>
      </c>
      <c r="H1871" t="s">
        <v>1531</v>
      </c>
      <c r="I1871" t="s">
        <v>84</v>
      </c>
      <c r="J1871">
        <v>98177</v>
      </c>
      <c r="K1871">
        <v>5214</v>
      </c>
      <c r="L1871" t="s">
        <v>23</v>
      </c>
      <c r="M1871" t="s">
        <v>5441</v>
      </c>
      <c r="N1871" t="s">
        <v>1531</v>
      </c>
      <c r="O1871" t="s">
        <v>84</v>
      </c>
      <c r="P1871">
        <v>98177</v>
      </c>
      <c r="Q1871">
        <v>5214</v>
      </c>
      <c r="R1871" t="s">
        <v>23</v>
      </c>
      <c r="S1871" s="1" t="s">
        <v>34218</v>
      </c>
    </row>
    <row r="1872" spans="1:19" x14ac:dyDescent="0.25">
      <c r="A1872">
        <v>100848524</v>
      </c>
      <c r="B1872" t="s">
        <v>5442</v>
      </c>
      <c r="C1872" t="s">
        <v>102</v>
      </c>
      <c r="F1872" t="str">
        <f>"9416812578"</f>
        <v>9416812578</v>
      </c>
      <c r="G1872" t="s">
        <v>5443</v>
      </c>
      <c r="H1872" t="s">
        <v>2175</v>
      </c>
      <c r="I1872" t="s">
        <v>52</v>
      </c>
      <c r="J1872">
        <v>34223</v>
      </c>
      <c r="K1872">
        <v>8107</v>
      </c>
      <c r="L1872" t="s">
        <v>23</v>
      </c>
      <c r="M1872" t="s">
        <v>5443</v>
      </c>
      <c r="N1872" t="s">
        <v>2175</v>
      </c>
      <c r="O1872" t="s">
        <v>52</v>
      </c>
      <c r="P1872">
        <v>34223</v>
      </c>
      <c r="Q1872">
        <v>8107</v>
      </c>
      <c r="R1872" t="s">
        <v>23</v>
      </c>
      <c r="S1872" s="1" t="s">
        <v>34218</v>
      </c>
    </row>
    <row r="1873" spans="1:19" x14ac:dyDescent="0.25">
      <c r="A1873">
        <v>100523449</v>
      </c>
      <c r="B1873" t="s">
        <v>5444</v>
      </c>
      <c r="C1873" t="s">
        <v>1598</v>
      </c>
      <c r="F1873" t="str">
        <f>"7039090168"</f>
        <v>7039090168</v>
      </c>
      <c r="G1873" t="s">
        <v>5445</v>
      </c>
      <c r="H1873" t="s">
        <v>5446</v>
      </c>
      <c r="I1873" t="s">
        <v>255</v>
      </c>
      <c r="J1873">
        <v>22192</v>
      </c>
      <c r="K1873">
        <v>3368</v>
      </c>
      <c r="L1873" t="s">
        <v>23</v>
      </c>
      <c r="M1873" t="s">
        <v>5445</v>
      </c>
      <c r="N1873" t="s">
        <v>5446</v>
      </c>
      <c r="O1873" t="s">
        <v>255</v>
      </c>
      <c r="P1873">
        <v>22192</v>
      </c>
      <c r="Q1873">
        <v>3368</v>
      </c>
      <c r="R1873" t="s">
        <v>23</v>
      </c>
      <c r="S1873" s="1" t="s">
        <v>34218</v>
      </c>
    </row>
    <row r="1874" spans="1:19" x14ac:dyDescent="0.25">
      <c r="A1874">
        <v>100915364</v>
      </c>
      <c r="B1874" t="s">
        <v>5447</v>
      </c>
      <c r="C1874" t="s">
        <v>644</v>
      </c>
      <c r="F1874" t="str">
        <f>"9705352922"</f>
        <v>9705352922</v>
      </c>
      <c r="G1874" t="s">
        <v>5448</v>
      </c>
      <c r="H1874" t="s">
        <v>5449</v>
      </c>
      <c r="I1874" t="s">
        <v>71</v>
      </c>
      <c r="J1874">
        <v>80542</v>
      </c>
      <c r="K1874">
        <v>4547</v>
      </c>
      <c r="L1874" t="s">
        <v>23</v>
      </c>
      <c r="M1874" t="s">
        <v>5448</v>
      </c>
      <c r="N1874" t="s">
        <v>5449</v>
      </c>
      <c r="O1874" t="s">
        <v>71</v>
      </c>
      <c r="P1874">
        <v>80542</v>
      </c>
      <c r="Q1874">
        <v>4547</v>
      </c>
      <c r="R1874" t="s">
        <v>23</v>
      </c>
      <c r="S1874" s="1" t="s">
        <v>34218</v>
      </c>
    </row>
    <row r="1875" spans="1:19" x14ac:dyDescent="0.25">
      <c r="A1875">
        <v>100685657</v>
      </c>
      <c r="B1875" t="s">
        <v>5450</v>
      </c>
      <c r="C1875" t="s">
        <v>5451</v>
      </c>
      <c r="F1875" t="str">
        <f>"8054597883"</f>
        <v>8054597883</v>
      </c>
      <c r="G1875" t="s">
        <v>5452</v>
      </c>
      <c r="H1875" t="s">
        <v>1181</v>
      </c>
      <c r="I1875" t="s">
        <v>22</v>
      </c>
      <c r="J1875">
        <v>93402</v>
      </c>
      <c r="K1875">
        <v>2330</v>
      </c>
      <c r="L1875" t="s">
        <v>23</v>
      </c>
      <c r="M1875" t="s">
        <v>5452</v>
      </c>
      <c r="N1875" t="s">
        <v>1181</v>
      </c>
      <c r="O1875" t="s">
        <v>22</v>
      </c>
      <c r="P1875">
        <v>93402</v>
      </c>
      <c r="Q1875">
        <v>2330</v>
      </c>
      <c r="R1875" t="s">
        <v>23</v>
      </c>
      <c r="S1875" s="1" t="s">
        <v>34218</v>
      </c>
    </row>
    <row r="1876" spans="1:19" x14ac:dyDescent="0.25">
      <c r="A1876">
        <v>100693662</v>
      </c>
      <c r="B1876" t="s">
        <v>5453</v>
      </c>
      <c r="C1876" t="s">
        <v>1658</v>
      </c>
      <c r="F1876" t="str">
        <f>"7347823882"</f>
        <v>7347823882</v>
      </c>
      <c r="G1876" t="s">
        <v>5454</v>
      </c>
      <c r="H1876" t="s">
        <v>5455</v>
      </c>
      <c r="I1876" t="s">
        <v>140</v>
      </c>
      <c r="J1876">
        <v>48134</v>
      </c>
      <c r="K1876">
        <v>1271</v>
      </c>
      <c r="L1876" t="s">
        <v>23</v>
      </c>
      <c r="M1876" t="s">
        <v>5454</v>
      </c>
      <c r="N1876" t="s">
        <v>5455</v>
      </c>
      <c r="O1876" t="s">
        <v>140</v>
      </c>
      <c r="P1876">
        <v>48134</v>
      </c>
      <c r="Q1876">
        <v>1271</v>
      </c>
      <c r="R1876" t="s">
        <v>23</v>
      </c>
      <c r="S1876" s="1" t="s">
        <v>34218</v>
      </c>
    </row>
    <row r="1877" spans="1:19" x14ac:dyDescent="0.25">
      <c r="A1877">
        <v>100695400</v>
      </c>
      <c r="B1877" t="s">
        <v>5456</v>
      </c>
      <c r="C1877" t="s">
        <v>1470</v>
      </c>
      <c r="F1877" t="str">
        <f>"7078494967"</f>
        <v>7078494967</v>
      </c>
      <c r="G1877" t="s">
        <v>5457</v>
      </c>
      <c r="H1877" t="s">
        <v>5458</v>
      </c>
      <c r="I1877" t="s">
        <v>22</v>
      </c>
      <c r="J1877">
        <v>95589</v>
      </c>
      <c r="K1877">
        <v>201</v>
      </c>
      <c r="L1877" t="s">
        <v>23</v>
      </c>
      <c r="M1877" t="s">
        <v>5457</v>
      </c>
      <c r="N1877" t="s">
        <v>5458</v>
      </c>
      <c r="O1877" t="s">
        <v>22</v>
      </c>
      <c r="P1877">
        <v>95589</v>
      </c>
      <c r="Q1877">
        <v>201</v>
      </c>
      <c r="R1877" t="s">
        <v>23</v>
      </c>
      <c r="S1877" s="1" t="s">
        <v>34218</v>
      </c>
    </row>
    <row r="1878" spans="1:19" x14ac:dyDescent="0.25">
      <c r="A1878">
        <v>100695503</v>
      </c>
      <c r="B1878" t="s">
        <v>5459</v>
      </c>
      <c r="C1878" t="s">
        <v>45</v>
      </c>
      <c r="F1878" t="str">
        <f>"9199428396"</f>
        <v>9199428396</v>
      </c>
      <c r="G1878" t="s">
        <v>5460</v>
      </c>
      <c r="H1878" t="s">
        <v>1276</v>
      </c>
      <c r="I1878" t="s">
        <v>446</v>
      </c>
      <c r="J1878">
        <v>27516</v>
      </c>
      <c r="K1878">
        <v>9740</v>
      </c>
      <c r="L1878" t="s">
        <v>23</v>
      </c>
      <c r="M1878" t="s">
        <v>5460</v>
      </c>
      <c r="N1878" t="s">
        <v>1276</v>
      </c>
      <c r="O1878" t="s">
        <v>446</v>
      </c>
      <c r="P1878">
        <v>27516</v>
      </c>
      <c r="Q1878">
        <v>9740</v>
      </c>
      <c r="R1878" t="s">
        <v>23</v>
      </c>
      <c r="S1878" s="1" t="s">
        <v>34218</v>
      </c>
    </row>
    <row r="1879" spans="1:19" x14ac:dyDescent="0.25">
      <c r="A1879">
        <v>100903096</v>
      </c>
      <c r="B1879" t="s">
        <v>5461</v>
      </c>
      <c r="C1879" t="s">
        <v>3113</v>
      </c>
      <c r="F1879" t="str">
        <f>"3107918662"</f>
        <v>3107918662</v>
      </c>
      <c r="G1879" t="s">
        <v>5462</v>
      </c>
      <c r="H1879" t="s">
        <v>1885</v>
      </c>
      <c r="I1879" t="s">
        <v>22</v>
      </c>
      <c r="J1879">
        <v>90277</v>
      </c>
      <c r="K1879">
        <v>5811</v>
      </c>
      <c r="L1879" t="s">
        <v>23</v>
      </c>
      <c r="M1879" t="s">
        <v>5462</v>
      </c>
      <c r="N1879" t="s">
        <v>1885</v>
      </c>
      <c r="O1879" t="s">
        <v>22</v>
      </c>
      <c r="P1879">
        <v>90277</v>
      </c>
      <c r="Q1879">
        <v>5811</v>
      </c>
      <c r="R1879" t="s">
        <v>23</v>
      </c>
      <c r="S1879" s="1" t="s">
        <v>34218</v>
      </c>
    </row>
    <row r="1880" spans="1:19" x14ac:dyDescent="0.25">
      <c r="A1880">
        <v>101054481</v>
      </c>
      <c r="B1880" t="s">
        <v>5463</v>
      </c>
      <c r="C1880" t="s">
        <v>209</v>
      </c>
      <c r="F1880" t="str">
        <f>"7737520245"</f>
        <v>7737520245</v>
      </c>
      <c r="G1880" t="s">
        <v>5464</v>
      </c>
      <c r="H1880" t="s">
        <v>134</v>
      </c>
      <c r="I1880" t="s">
        <v>135</v>
      </c>
      <c r="J1880">
        <v>60615</v>
      </c>
      <c r="K1880">
        <v>5484</v>
      </c>
      <c r="L1880" t="s">
        <v>23</v>
      </c>
      <c r="M1880" t="s">
        <v>5464</v>
      </c>
      <c r="N1880" t="s">
        <v>134</v>
      </c>
      <c r="O1880" t="s">
        <v>135</v>
      </c>
      <c r="P1880">
        <v>60615</v>
      </c>
      <c r="Q1880">
        <v>5484</v>
      </c>
      <c r="R1880" t="s">
        <v>23</v>
      </c>
      <c r="S1880" s="1" t="s">
        <v>34218</v>
      </c>
    </row>
    <row r="1881" spans="1:19" x14ac:dyDescent="0.25">
      <c r="A1881">
        <v>101057935</v>
      </c>
      <c r="B1881" t="s">
        <v>5465</v>
      </c>
      <c r="C1881" t="s">
        <v>410</v>
      </c>
      <c r="F1881" t="str">
        <f>"2443302707"</f>
        <v>2443302707</v>
      </c>
      <c r="G1881" t="s">
        <v>5466</v>
      </c>
      <c r="H1881" t="s">
        <v>2468</v>
      </c>
      <c r="I1881" t="s">
        <v>22</v>
      </c>
      <c r="J1881">
        <v>92081</v>
      </c>
      <c r="K1881">
        <v>8925</v>
      </c>
      <c r="L1881" t="s">
        <v>23</v>
      </c>
      <c r="M1881" t="s">
        <v>5466</v>
      </c>
      <c r="N1881" t="s">
        <v>2468</v>
      </c>
      <c r="O1881" t="s">
        <v>22</v>
      </c>
      <c r="P1881">
        <v>92081</v>
      </c>
      <c r="Q1881">
        <v>8925</v>
      </c>
      <c r="R1881" t="s">
        <v>23</v>
      </c>
      <c r="S1881" s="1" t="s">
        <v>34218</v>
      </c>
    </row>
    <row r="1882" spans="1:19" x14ac:dyDescent="0.25">
      <c r="A1882">
        <v>101058015</v>
      </c>
      <c r="B1882" t="s">
        <v>5467</v>
      </c>
      <c r="C1882" t="s">
        <v>483</v>
      </c>
      <c r="F1882" t="str">
        <f>"4195092493"</f>
        <v>4195092493</v>
      </c>
      <c r="G1882" t="s">
        <v>5468</v>
      </c>
      <c r="H1882" t="s">
        <v>2894</v>
      </c>
      <c r="I1882" t="s">
        <v>178</v>
      </c>
      <c r="J1882">
        <v>43613</v>
      </c>
      <c r="K1882">
        <v>5138</v>
      </c>
      <c r="L1882" t="s">
        <v>23</v>
      </c>
      <c r="M1882" t="s">
        <v>5468</v>
      </c>
      <c r="N1882" t="s">
        <v>2894</v>
      </c>
      <c r="O1882" t="s">
        <v>178</v>
      </c>
      <c r="P1882">
        <v>43613</v>
      </c>
      <c r="Q1882">
        <v>5138</v>
      </c>
      <c r="R1882" t="s">
        <v>23</v>
      </c>
      <c r="S1882" s="1" t="s">
        <v>34218</v>
      </c>
    </row>
    <row r="1883" spans="1:19" x14ac:dyDescent="0.25">
      <c r="A1883">
        <v>101262895</v>
      </c>
      <c r="B1883" t="s">
        <v>5469</v>
      </c>
      <c r="C1883" t="s">
        <v>1669</v>
      </c>
      <c r="F1883" t="str">
        <f>"5555551212"</f>
        <v>5555551212</v>
      </c>
      <c r="G1883" t="s">
        <v>5470</v>
      </c>
      <c r="H1883" t="s">
        <v>5471</v>
      </c>
      <c r="I1883" t="s">
        <v>255</v>
      </c>
      <c r="J1883">
        <v>23113</v>
      </c>
      <c r="K1883">
        <v>2714</v>
      </c>
      <c r="L1883" t="s">
        <v>23</v>
      </c>
      <c r="M1883" t="s">
        <v>5470</v>
      </c>
      <c r="N1883" t="s">
        <v>5471</v>
      </c>
      <c r="O1883" t="s">
        <v>255</v>
      </c>
      <c r="P1883">
        <v>23113</v>
      </c>
      <c r="Q1883">
        <v>2714</v>
      </c>
      <c r="R1883" t="s">
        <v>23</v>
      </c>
      <c r="S1883" s="1" t="s">
        <v>34218</v>
      </c>
    </row>
    <row r="1884" spans="1:19" x14ac:dyDescent="0.25">
      <c r="A1884">
        <v>101084596</v>
      </c>
      <c r="B1884" t="s">
        <v>5472</v>
      </c>
      <c r="C1884" t="s">
        <v>2776</v>
      </c>
      <c r="F1884" t="str">
        <f>"6038487525"</f>
        <v>6038487525</v>
      </c>
      <c r="G1884" t="s">
        <v>5473</v>
      </c>
      <c r="H1884" t="s">
        <v>5474</v>
      </c>
      <c r="I1884" t="s">
        <v>353</v>
      </c>
      <c r="J1884">
        <v>3275</v>
      </c>
      <c r="K1884">
        <v>3915</v>
      </c>
      <c r="L1884" t="s">
        <v>23</v>
      </c>
      <c r="M1884" t="s">
        <v>5473</v>
      </c>
      <c r="N1884" t="s">
        <v>5474</v>
      </c>
      <c r="O1884" t="s">
        <v>353</v>
      </c>
      <c r="P1884">
        <v>3275</v>
      </c>
      <c r="Q1884">
        <v>3915</v>
      </c>
      <c r="R1884" t="s">
        <v>23</v>
      </c>
      <c r="S1884" s="1" t="s">
        <v>34218</v>
      </c>
    </row>
    <row r="1885" spans="1:19" x14ac:dyDescent="0.25">
      <c r="A1885">
        <v>100536000</v>
      </c>
      <c r="B1885" t="s">
        <v>5475</v>
      </c>
      <c r="C1885" t="s">
        <v>110</v>
      </c>
      <c r="F1885" t="str">
        <f>"5555555656"</f>
        <v>5555555656</v>
      </c>
      <c r="G1885" t="s">
        <v>5476</v>
      </c>
      <c r="H1885" t="s">
        <v>393</v>
      </c>
      <c r="I1885" t="s">
        <v>71</v>
      </c>
      <c r="J1885">
        <v>80202</v>
      </c>
      <c r="K1885">
        <v>1257</v>
      </c>
      <c r="L1885" t="s">
        <v>23</v>
      </c>
      <c r="M1885" t="s">
        <v>5476</v>
      </c>
      <c r="N1885" t="s">
        <v>393</v>
      </c>
      <c r="O1885" t="s">
        <v>71</v>
      </c>
      <c r="P1885">
        <v>80202</v>
      </c>
      <c r="Q1885">
        <v>1257</v>
      </c>
      <c r="R1885" t="s">
        <v>23</v>
      </c>
      <c r="S1885" s="1" t="s">
        <v>34218</v>
      </c>
    </row>
    <row r="1886" spans="1:19" x14ac:dyDescent="0.25">
      <c r="A1886">
        <v>100536024</v>
      </c>
      <c r="B1886" t="s">
        <v>5477</v>
      </c>
      <c r="C1886" t="s">
        <v>5478</v>
      </c>
      <c r="F1886" t="str">
        <f>"5106462027"</f>
        <v>5106462027</v>
      </c>
      <c r="G1886" t="s">
        <v>5479</v>
      </c>
      <c r="H1886" t="s">
        <v>66</v>
      </c>
      <c r="I1886" t="s">
        <v>22</v>
      </c>
      <c r="J1886">
        <v>94703</v>
      </c>
      <c r="K1886">
        <v>2400</v>
      </c>
      <c r="L1886" t="s">
        <v>23</v>
      </c>
      <c r="M1886" t="s">
        <v>5479</v>
      </c>
      <c r="N1886" t="s">
        <v>66</v>
      </c>
      <c r="O1886" t="s">
        <v>22</v>
      </c>
      <c r="P1886">
        <v>94703</v>
      </c>
      <c r="Q1886">
        <v>2400</v>
      </c>
      <c r="R1886" t="s">
        <v>23</v>
      </c>
      <c r="S1886" s="1" t="s">
        <v>34218</v>
      </c>
    </row>
    <row r="1887" spans="1:19" x14ac:dyDescent="0.25">
      <c r="A1887">
        <v>100535289</v>
      </c>
      <c r="B1887" t="s">
        <v>5480</v>
      </c>
      <c r="C1887" t="s">
        <v>3376</v>
      </c>
      <c r="F1887" t="str">
        <f>"5129978541"</f>
        <v>5129978541</v>
      </c>
      <c r="G1887" t="s">
        <v>5481</v>
      </c>
      <c r="H1887" t="s">
        <v>37</v>
      </c>
      <c r="I1887" t="s">
        <v>38</v>
      </c>
      <c r="J1887">
        <v>78758</v>
      </c>
      <c r="K1887">
        <v>2444</v>
      </c>
      <c r="L1887" t="s">
        <v>23</v>
      </c>
      <c r="M1887" t="s">
        <v>5481</v>
      </c>
      <c r="N1887" t="s">
        <v>37</v>
      </c>
      <c r="O1887" t="s">
        <v>38</v>
      </c>
      <c r="P1887">
        <v>78758</v>
      </c>
      <c r="Q1887">
        <v>2444</v>
      </c>
      <c r="R1887" t="s">
        <v>23</v>
      </c>
      <c r="S1887" s="1" t="s">
        <v>34218</v>
      </c>
    </row>
    <row r="1888" spans="1:19" x14ac:dyDescent="0.25">
      <c r="A1888">
        <v>100741971</v>
      </c>
      <c r="B1888" t="s">
        <v>5482</v>
      </c>
      <c r="C1888" t="s">
        <v>286</v>
      </c>
      <c r="F1888" t="str">
        <f>"7632198793"</f>
        <v>7632198793</v>
      </c>
      <c r="G1888" t="s">
        <v>5483</v>
      </c>
      <c r="H1888" t="s">
        <v>2235</v>
      </c>
      <c r="I1888" t="s">
        <v>187</v>
      </c>
      <c r="J1888">
        <v>55429</v>
      </c>
      <c r="K1888">
        <v>3256</v>
      </c>
      <c r="L1888" t="s">
        <v>23</v>
      </c>
      <c r="M1888" t="s">
        <v>5483</v>
      </c>
      <c r="N1888" t="s">
        <v>2235</v>
      </c>
      <c r="O1888" t="s">
        <v>187</v>
      </c>
      <c r="P1888">
        <v>55429</v>
      </c>
      <c r="Q1888">
        <v>3256</v>
      </c>
      <c r="R1888" t="s">
        <v>23</v>
      </c>
      <c r="S1888" s="1" t="s">
        <v>34218</v>
      </c>
    </row>
    <row r="1889" spans="1:19" x14ac:dyDescent="0.25">
      <c r="A1889">
        <v>100756498</v>
      </c>
      <c r="B1889" t="s">
        <v>882</v>
      </c>
      <c r="C1889" t="s">
        <v>4103</v>
      </c>
      <c r="F1889" t="str">
        <f>"9253767754"</f>
        <v>9253767754</v>
      </c>
      <c r="G1889" t="s">
        <v>5484</v>
      </c>
      <c r="H1889" t="s">
        <v>5485</v>
      </c>
      <c r="I1889" t="s">
        <v>22</v>
      </c>
      <c r="J1889">
        <v>94556</v>
      </c>
      <c r="K1889">
        <v>2512</v>
      </c>
      <c r="L1889" t="s">
        <v>23</v>
      </c>
      <c r="M1889" t="s">
        <v>5484</v>
      </c>
      <c r="N1889" t="s">
        <v>5485</v>
      </c>
      <c r="O1889" t="s">
        <v>22</v>
      </c>
      <c r="P1889">
        <v>94556</v>
      </c>
      <c r="Q1889">
        <v>2512</v>
      </c>
      <c r="R1889" t="s">
        <v>23</v>
      </c>
      <c r="S1889" s="1" t="s">
        <v>34218</v>
      </c>
    </row>
    <row r="1890" spans="1:19" x14ac:dyDescent="0.25">
      <c r="A1890">
        <v>100935367</v>
      </c>
      <c r="B1890" t="s">
        <v>5486</v>
      </c>
      <c r="C1890" t="s">
        <v>509</v>
      </c>
      <c r="F1890" t="str">
        <f>"8102380923"</f>
        <v>8102380923</v>
      </c>
      <c r="G1890" t="s">
        <v>5487</v>
      </c>
      <c r="H1890" t="s">
        <v>5488</v>
      </c>
      <c r="I1890" t="s">
        <v>140</v>
      </c>
      <c r="J1890">
        <v>48507</v>
      </c>
      <c r="K1890">
        <v>2348</v>
      </c>
      <c r="L1890" t="s">
        <v>23</v>
      </c>
      <c r="M1890" t="s">
        <v>5487</v>
      </c>
      <c r="N1890" t="s">
        <v>5488</v>
      </c>
      <c r="O1890" t="s">
        <v>140</v>
      </c>
      <c r="P1890">
        <v>48507</v>
      </c>
      <c r="Q1890">
        <v>2348</v>
      </c>
      <c r="R1890" t="s">
        <v>23</v>
      </c>
      <c r="S1890" s="1" t="s">
        <v>34218</v>
      </c>
    </row>
    <row r="1891" spans="1:19" x14ac:dyDescent="0.25">
      <c r="A1891">
        <v>100568294</v>
      </c>
      <c r="B1891" t="s">
        <v>1415</v>
      </c>
      <c r="C1891" t="s">
        <v>547</v>
      </c>
      <c r="F1891" t="str">
        <f>"7066803060"</f>
        <v>7066803060</v>
      </c>
      <c r="G1891" t="s">
        <v>5489</v>
      </c>
      <c r="H1891" t="s">
        <v>5490</v>
      </c>
      <c r="I1891" t="s">
        <v>28</v>
      </c>
      <c r="J1891">
        <v>30635</v>
      </c>
      <c r="K1891">
        <v>1411</v>
      </c>
      <c r="L1891" t="s">
        <v>23</v>
      </c>
      <c r="M1891" t="s">
        <v>5489</v>
      </c>
      <c r="N1891" t="s">
        <v>5490</v>
      </c>
      <c r="O1891" t="s">
        <v>28</v>
      </c>
      <c r="P1891">
        <v>30635</v>
      </c>
      <c r="Q1891">
        <v>1411</v>
      </c>
      <c r="R1891" t="s">
        <v>23</v>
      </c>
      <c r="S1891" s="1" t="s">
        <v>34218</v>
      </c>
    </row>
    <row r="1892" spans="1:19" x14ac:dyDescent="0.25">
      <c r="A1892">
        <v>100568043</v>
      </c>
      <c r="B1892" t="s">
        <v>5491</v>
      </c>
      <c r="C1892" t="s">
        <v>5492</v>
      </c>
      <c r="F1892" t="str">
        <f>"4152992125"</f>
        <v>4152992125</v>
      </c>
      <c r="G1892" t="s">
        <v>5493</v>
      </c>
      <c r="H1892" t="s">
        <v>130</v>
      </c>
      <c r="I1892" t="s">
        <v>22</v>
      </c>
      <c r="J1892">
        <v>94121</v>
      </c>
      <c r="K1892">
        <v>3517</v>
      </c>
      <c r="L1892" t="s">
        <v>23</v>
      </c>
      <c r="M1892" t="s">
        <v>5493</v>
      </c>
      <c r="N1892" t="s">
        <v>130</v>
      </c>
      <c r="O1892" t="s">
        <v>22</v>
      </c>
      <c r="P1892">
        <v>94121</v>
      </c>
      <c r="Q1892">
        <v>3517</v>
      </c>
      <c r="R1892" t="s">
        <v>23</v>
      </c>
      <c r="S1892" s="1" t="s">
        <v>34218</v>
      </c>
    </row>
    <row r="1893" spans="1:19" x14ac:dyDescent="0.25">
      <c r="A1893">
        <v>100765523</v>
      </c>
      <c r="B1893" t="s">
        <v>2509</v>
      </c>
      <c r="C1893" t="s">
        <v>2463</v>
      </c>
      <c r="F1893" t="str">
        <f>"3086858516"</f>
        <v>3086858516</v>
      </c>
      <c r="G1893" t="s">
        <v>5494</v>
      </c>
      <c r="H1893" t="s">
        <v>1911</v>
      </c>
      <c r="I1893" t="s">
        <v>52</v>
      </c>
      <c r="J1893">
        <v>32773</v>
      </c>
      <c r="K1893">
        <v>6445</v>
      </c>
      <c r="L1893" t="s">
        <v>23</v>
      </c>
      <c r="M1893" t="s">
        <v>5494</v>
      </c>
      <c r="N1893" t="s">
        <v>1911</v>
      </c>
      <c r="O1893" t="s">
        <v>52</v>
      </c>
      <c r="P1893">
        <v>32773</v>
      </c>
      <c r="Q1893">
        <v>6445</v>
      </c>
      <c r="R1893" t="s">
        <v>23</v>
      </c>
      <c r="S1893" s="1" t="s">
        <v>34218</v>
      </c>
    </row>
    <row r="1894" spans="1:19" x14ac:dyDescent="0.25">
      <c r="A1894">
        <v>100975816</v>
      </c>
      <c r="B1894" t="s">
        <v>5495</v>
      </c>
      <c r="C1894" t="s">
        <v>2776</v>
      </c>
      <c r="F1894" t="str">
        <f>"7344519950"</f>
        <v>7344519950</v>
      </c>
      <c r="G1894" t="s">
        <v>5496</v>
      </c>
      <c r="H1894" t="s">
        <v>139</v>
      </c>
      <c r="I1894" t="s">
        <v>140</v>
      </c>
      <c r="J1894">
        <v>48187</v>
      </c>
      <c r="K1894">
        <v>1163</v>
      </c>
      <c r="L1894" t="s">
        <v>23</v>
      </c>
      <c r="M1894" t="s">
        <v>5496</v>
      </c>
      <c r="N1894" t="s">
        <v>139</v>
      </c>
      <c r="O1894" t="s">
        <v>140</v>
      </c>
      <c r="P1894">
        <v>48187</v>
      </c>
      <c r="Q1894">
        <v>1163</v>
      </c>
      <c r="R1894" t="s">
        <v>23</v>
      </c>
      <c r="S1894" s="1" t="s">
        <v>34218</v>
      </c>
    </row>
    <row r="1895" spans="1:19" x14ac:dyDescent="0.25">
      <c r="A1895">
        <v>100583079</v>
      </c>
      <c r="B1895" t="s">
        <v>5497</v>
      </c>
      <c r="C1895" t="s">
        <v>1463</v>
      </c>
      <c r="F1895" t="str">
        <f>"9528734270"</f>
        <v>9528734270</v>
      </c>
      <c r="G1895" t="s">
        <v>5498</v>
      </c>
      <c r="H1895" t="s">
        <v>5499</v>
      </c>
      <c r="I1895" t="s">
        <v>187</v>
      </c>
      <c r="J1895">
        <v>56011</v>
      </c>
      <c r="K1895">
        <v>2906</v>
      </c>
      <c r="L1895" t="s">
        <v>23</v>
      </c>
      <c r="M1895" t="s">
        <v>5498</v>
      </c>
      <c r="N1895" t="s">
        <v>5499</v>
      </c>
      <c r="O1895" t="s">
        <v>187</v>
      </c>
      <c r="P1895">
        <v>56011</v>
      </c>
      <c r="Q1895">
        <v>2906</v>
      </c>
      <c r="R1895" t="s">
        <v>23</v>
      </c>
      <c r="S1895" s="1" t="s">
        <v>34218</v>
      </c>
    </row>
    <row r="1896" spans="1:19" x14ac:dyDescent="0.25">
      <c r="A1896">
        <v>100587207</v>
      </c>
      <c r="B1896" t="s">
        <v>786</v>
      </c>
      <c r="C1896" t="s">
        <v>5500</v>
      </c>
      <c r="F1896" t="str">
        <f>"2018693662"</f>
        <v>2018693662</v>
      </c>
      <c r="G1896" t="s">
        <v>5501</v>
      </c>
      <c r="H1896" t="s">
        <v>5502</v>
      </c>
      <c r="I1896" t="s">
        <v>250</v>
      </c>
      <c r="J1896">
        <v>7093</v>
      </c>
      <c r="K1896">
        <v>3408</v>
      </c>
      <c r="L1896" t="s">
        <v>23</v>
      </c>
      <c r="M1896" t="s">
        <v>5501</v>
      </c>
      <c r="N1896" t="s">
        <v>5502</v>
      </c>
      <c r="O1896" t="s">
        <v>250</v>
      </c>
      <c r="P1896">
        <v>7093</v>
      </c>
      <c r="Q1896">
        <v>3408</v>
      </c>
      <c r="R1896" t="s">
        <v>23</v>
      </c>
      <c r="S1896" s="1" t="s">
        <v>34218</v>
      </c>
    </row>
    <row r="1897" spans="1:19" x14ac:dyDescent="0.25">
      <c r="A1897">
        <v>100599974</v>
      </c>
      <c r="B1897" t="s">
        <v>5503</v>
      </c>
      <c r="C1897" t="s">
        <v>25</v>
      </c>
      <c r="F1897" t="str">
        <f>"8184394978"</f>
        <v>8184394978</v>
      </c>
      <c r="G1897" t="s">
        <v>5504</v>
      </c>
      <c r="H1897" t="s">
        <v>1748</v>
      </c>
      <c r="I1897" t="s">
        <v>255</v>
      </c>
      <c r="J1897">
        <v>22202</v>
      </c>
      <c r="K1897">
        <v>2972</v>
      </c>
      <c r="L1897" t="s">
        <v>23</v>
      </c>
      <c r="M1897" t="s">
        <v>5504</v>
      </c>
      <c r="N1897" t="s">
        <v>1748</v>
      </c>
      <c r="O1897" t="s">
        <v>255</v>
      </c>
      <c r="P1897">
        <v>22202</v>
      </c>
      <c r="Q1897">
        <v>2972</v>
      </c>
      <c r="R1897" t="s">
        <v>23</v>
      </c>
      <c r="S1897" s="1" t="s">
        <v>34218</v>
      </c>
    </row>
    <row r="1898" spans="1:19" x14ac:dyDescent="0.25">
      <c r="A1898">
        <v>101021118</v>
      </c>
      <c r="B1898" t="s">
        <v>744</v>
      </c>
      <c r="C1898" t="s">
        <v>5505</v>
      </c>
      <c r="F1898" t="str">
        <f>"2062421940"</f>
        <v>2062421940</v>
      </c>
      <c r="G1898" t="s">
        <v>5506</v>
      </c>
      <c r="H1898" t="s">
        <v>2445</v>
      </c>
      <c r="I1898" t="s">
        <v>84</v>
      </c>
      <c r="J1898">
        <v>98168</v>
      </c>
      <c r="K1898">
        <v>2114</v>
      </c>
      <c r="L1898" t="s">
        <v>23</v>
      </c>
      <c r="M1898" t="s">
        <v>5506</v>
      </c>
      <c r="N1898" t="s">
        <v>2445</v>
      </c>
      <c r="O1898" t="s">
        <v>84</v>
      </c>
      <c r="P1898">
        <v>98168</v>
      </c>
      <c r="Q1898">
        <v>2114</v>
      </c>
      <c r="R1898" t="s">
        <v>23</v>
      </c>
      <c r="S1898" s="1" t="s">
        <v>34218</v>
      </c>
    </row>
    <row r="1899" spans="1:19" x14ac:dyDescent="0.25">
      <c r="A1899">
        <v>101024783</v>
      </c>
      <c r="B1899" t="s">
        <v>812</v>
      </c>
      <c r="C1899" t="s">
        <v>5507</v>
      </c>
      <c r="F1899" t="str">
        <f>"8605262620"</f>
        <v>8605262620</v>
      </c>
      <c r="G1899" t="s">
        <v>5508</v>
      </c>
      <c r="H1899" t="s">
        <v>5509</v>
      </c>
      <c r="I1899" t="s">
        <v>161</v>
      </c>
      <c r="J1899">
        <v>6439</v>
      </c>
      <c r="K1899">
        <v>302</v>
      </c>
      <c r="L1899" t="s">
        <v>23</v>
      </c>
      <c r="M1899" t="s">
        <v>5508</v>
      </c>
      <c r="N1899" t="s">
        <v>5509</v>
      </c>
      <c r="O1899" t="s">
        <v>161</v>
      </c>
      <c r="P1899">
        <v>6439</v>
      </c>
      <c r="Q1899">
        <v>302</v>
      </c>
      <c r="R1899" t="s">
        <v>23</v>
      </c>
      <c r="S1899" s="1" t="s">
        <v>34218</v>
      </c>
    </row>
    <row r="1900" spans="1:19" x14ac:dyDescent="0.25">
      <c r="A1900">
        <v>100884037</v>
      </c>
      <c r="B1900" t="s">
        <v>5510</v>
      </c>
      <c r="C1900" t="s">
        <v>440</v>
      </c>
      <c r="F1900" t="str">
        <f>"8704258294"</f>
        <v>8704258294</v>
      </c>
      <c r="G1900" t="s">
        <v>5511</v>
      </c>
      <c r="H1900" t="s">
        <v>5512</v>
      </c>
      <c r="I1900" t="s">
        <v>2537</v>
      </c>
      <c r="J1900">
        <v>72653</v>
      </c>
      <c r="K1900">
        <v>3024</v>
      </c>
      <c r="L1900" t="s">
        <v>23</v>
      </c>
      <c r="M1900" t="s">
        <v>5511</v>
      </c>
      <c r="N1900" t="s">
        <v>5512</v>
      </c>
      <c r="O1900" t="s">
        <v>2537</v>
      </c>
      <c r="P1900">
        <v>72653</v>
      </c>
      <c r="Q1900">
        <v>3024</v>
      </c>
      <c r="R1900" t="s">
        <v>23</v>
      </c>
      <c r="S1900" s="1" t="s">
        <v>34218</v>
      </c>
    </row>
    <row r="1901" spans="1:19" x14ac:dyDescent="0.25">
      <c r="A1901">
        <v>100851683</v>
      </c>
      <c r="B1901" t="s">
        <v>5513</v>
      </c>
      <c r="C1901" t="s">
        <v>554</v>
      </c>
      <c r="F1901" t="str">
        <f>"6174847628"</f>
        <v>6174847628</v>
      </c>
      <c r="G1901" t="s">
        <v>5514</v>
      </c>
      <c r="H1901" t="s">
        <v>5037</v>
      </c>
      <c r="I1901" t="s">
        <v>236</v>
      </c>
      <c r="J1901">
        <v>2478</v>
      </c>
      <c r="K1901">
        <v>3550</v>
      </c>
      <c r="L1901" t="s">
        <v>23</v>
      </c>
      <c r="M1901" t="s">
        <v>5514</v>
      </c>
      <c r="N1901" t="s">
        <v>5037</v>
      </c>
      <c r="O1901" t="s">
        <v>236</v>
      </c>
      <c r="P1901">
        <v>2478</v>
      </c>
      <c r="Q1901">
        <v>3550</v>
      </c>
      <c r="R1901" t="s">
        <v>23</v>
      </c>
      <c r="S1901" s="1" t="s">
        <v>34218</v>
      </c>
    </row>
    <row r="1902" spans="1:19" x14ac:dyDescent="0.25">
      <c r="A1902">
        <v>100860824</v>
      </c>
      <c r="B1902" t="s">
        <v>5515</v>
      </c>
      <c r="C1902" t="s">
        <v>644</v>
      </c>
      <c r="F1902" t="str">
        <f>"7084811639"</f>
        <v>7084811639</v>
      </c>
      <c r="G1902" t="s">
        <v>5516</v>
      </c>
      <c r="H1902" t="s">
        <v>5517</v>
      </c>
      <c r="I1902" t="s">
        <v>135</v>
      </c>
      <c r="J1902">
        <v>60417</v>
      </c>
      <c r="K1902">
        <v>9685</v>
      </c>
      <c r="L1902" t="s">
        <v>23</v>
      </c>
      <c r="M1902" t="s">
        <v>5516</v>
      </c>
      <c r="N1902" t="s">
        <v>5517</v>
      </c>
      <c r="O1902" t="s">
        <v>135</v>
      </c>
      <c r="P1902">
        <v>60417</v>
      </c>
      <c r="Q1902">
        <v>9685</v>
      </c>
      <c r="R1902" t="s">
        <v>23</v>
      </c>
      <c r="S1902" s="1" t="s">
        <v>34218</v>
      </c>
    </row>
    <row r="1903" spans="1:19" x14ac:dyDescent="0.25">
      <c r="A1903">
        <v>100710330</v>
      </c>
      <c r="B1903" t="s">
        <v>5518</v>
      </c>
      <c r="C1903" t="s">
        <v>1239</v>
      </c>
      <c r="F1903" t="str">
        <f>"8036943275"</f>
        <v>8036943275</v>
      </c>
      <c r="G1903" t="s">
        <v>5519</v>
      </c>
      <c r="H1903" t="s">
        <v>5520</v>
      </c>
      <c r="I1903" t="s">
        <v>1482</v>
      </c>
      <c r="J1903">
        <v>29178</v>
      </c>
      <c r="K1903">
        <v>1544</v>
      </c>
      <c r="L1903" t="s">
        <v>23</v>
      </c>
      <c r="M1903" t="s">
        <v>5519</v>
      </c>
      <c r="N1903" t="s">
        <v>5520</v>
      </c>
      <c r="O1903" t="s">
        <v>1482</v>
      </c>
      <c r="P1903">
        <v>29178</v>
      </c>
      <c r="Q1903">
        <v>1544</v>
      </c>
      <c r="R1903" t="s">
        <v>23</v>
      </c>
      <c r="S1903" s="1" t="s">
        <v>34218</v>
      </c>
    </row>
    <row r="1904" spans="1:19" x14ac:dyDescent="0.25">
      <c r="A1904">
        <v>100889995</v>
      </c>
      <c r="B1904" t="s">
        <v>5521</v>
      </c>
      <c r="C1904" t="s">
        <v>123</v>
      </c>
      <c r="F1904" t="str">
        <f>"8088881111"</f>
        <v>8088881111</v>
      </c>
      <c r="G1904" t="s">
        <v>5522</v>
      </c>
      <c r="H1904" t="s">
        <v>5523</v>
      </c>
      <c r="I1904" t="s">
        <v>984</v>
      </c>
      <c r="J1904">
        <v>96768</v>
      </c>
      <c r="K1904">
        <v>1749</v>
      </c>
      <c r="L1904" t="s">
        <v>23</v>
      </c>
      <c r="M1904" t="s">
        <v>5522</v>
      </c>
      <c r="N1904" t="s">
        <v>5523</v>
      </c>
      <c r="O1904" t="s">
        <v>984</v>
      </c>
      <c r="P1904">
        <v>96768</v>
      </c>
      <c r="Q1904">
        <v>1749</v>
      </c>
      <c r="R1904" t="s">
        <v>23</v>
      </c>
      <c r="S1904" s="1" t="s">
        <v>34218</v>
      </c>
    </row>
    <row r="1905" spans="1:19" x14ac:dyDescent="0.25">
      <c r="A1905">
        <v>101063843</v>
      </c>
      <c r="B1905" t="s">
        <v>3816</v>
      </c>
      <c r="C1905" t="s">
        <v>102</v>
      </c>
      <c r="F1905" t="str">
        <f>"7407774709"</f>
        <v>7407774709</v>
      </c>
      <c r="G1905" t="s">
        <v>5524</v>
      </c>
      <c r="H1905" t="s">
        <v>5525</v>
      </c>
      <c r="I1905" t="s">
        <v>178</v>
      </c>
      <c r="J1905">
        <v>43055</v>
      </c>
      <c r="K1905">
        <v>6518</v>
      </c>
      <c r="L1905" t="s">
        <v>23</v>
      </c>
      <c r="M1905" t="s">
        <v>5524</v>
      </c>
      <c r="N1905" t="s">
        <v>5525</v>
      </c>
      <c r="O1905" t="s">
        <v>178</v>
      </c>
      <c r="P1905">
        <v>43055</v>
      </c>
      <c r="Q1905">
        <v>6518</v>
      </c>
      <c r="R1905" t="s">
        <v>23</v>
      </c>
      <c r="S1905" s="1" t="s">
        <v>34218</v>
      </c>
    </row>
    <row r="1906" spans="1:19" x14ac:dyDescent="0.25">
      <c r="A1906">
        <v>101279349</v>
      </c>
      <c r="B1906" t="s">
        <v>5526</v>
      </c>
      <c r="C1906" t="s">
        <v>119</v>
      </c>
      <c r="F1906" t="str">
        <f>"5416833686"</f>
        <v>5416833686</v>
      </c>
      <c r="G1906" t="s">
        <v>5527</v>
      </c>
      <c r="H1906" t="s">
        <v>1452</v>
      </c>
      <c r="I1906" t="s">
        <v>43</v>
      </c>
      <c r="J1906">
        <v>97402</v>
      </c>
      <c r="K1906">
        <v>5254</v>
      </c>
      <c r="L1906" t="s">
        <v>23</v>
      </c>
      <c r="M1906" t="s">
        <v>5527</v>
      </c>
      <c r="N1906" t="s">
        <v>1452</v>
      </c>
      <c r="O1906" t="s">
        <v>43</v>
      </c>
      <c r="P1906">
        <v>97402</v>
      </c>
      <c r="Q1906">
        <v>5254</v>
      </c>
      <c r="R1906" t="s">
        <v>23</v>
      </c>
      <c r="S1906" s="1" t="s">
        <v>34218</v>
      </c>
    </row>
    <row r="1907" spans="1:19" x14ac:dyDescent="0.25">
      <c r="A1907">
        <v>101286876</v>
      </c>
      <c r="B1907" t="s">
        <v>5528</v>
      </c>
      <c r="C1907" t="s">
        <v>575</v>
      </c>
      <c r="F1907" t="str">
        <f>"2157729087"</f>
        <v>2157729087</v>
      </c>
      <c r="G1907" t="s">
        <v>5529</v>
      </c>
      <c r="H1907" t="s">
        <v>2422</v>
      </c>
      <c r="I1907" t="s">
        <v>255</v>
      </c>
      <c r="J1907">
        <v>24401</v>
      </c>
      <c r="K1907">
        <v>3412</v>
      </c>
      <c r="L1907" t="s">
        <v>23</v>
      </c>
      <c r="M1907" t="s">
        <v>5529</v>
      </c>
      <c r="N1907" t="s">
        <v>2422</v>
      </c>
      <c r="O1907" t="s">
        <v>255</v>
      </c>
      <c r="P1907">
        <v>24401</v>
      </c>
      <c r="Q1907">
        <v>3412</v>
      </c>
      <c r="R1907" t="s">
        <v>23</v>
      </c>
      <c r="S1907" s="1" t="s">
        <v>34218</v>
      </c>
    </row>
    <row r="1908" spans="1:19" x14ac:dyDescent="0.25">
      <c r="A1908">
        <v>101292329</v>
      </c>
      <c r="B1908" t="s">
        <v>5530</v>
      </c>
      <c r="C1908" t="s">
        <v>1598</v>
      </c>
      <c r="F1908" t="str">
        <f>"8456358777"</f>
        <v>8456358777</v>
      </c>
      <c r="G1908" t="s">
        <v>5531</v>
      </c>
      <c r="H1908" t="s">
        <v>5532</v>
      </c>
      <c r="I1908" t="s">
        <v>117</v>
      </c>
      <c r="J1908">
        <v>12578</v>
      </c>
      <c r="K1908">
        <v>3118</v>
      </c>
      <c r="L1908" t="s">
        <v>23</v>
      </c>
      <c r="M1908" t="s">
        <v>5531</v>
      </c>
      <c r="N1908" t="s">
        <v>5532</v>
      </c>
      <c r="O1908" t="s">
        <v>117</v>
      </c>
      <c r="P1908">
        <v>12578</v>
      </c>
      <c r="Q1908">
        <v>3118</v>
      </c>
      <c r="R1908" t="s">
        <v>23</v>
      </c>
      <c r="S1908" s="1" t="s">
        <v>34218</v>
      </c>
    </row>
    <row r="1909" spans="1:19" x14ac:dyDescent="0.25">
      <c r="A1909">
        <v>101323442</v>
      </c>
      <c r="B1909" t="s">
        <v>5533</v>
      </c>
      <c r="C1909" t="s">
        <v>40</v>
      </c>
      <c r="F1909" t="str">
        <f>"7148925700"</f>
        <v>7148925700</v>
      </c>
      <c r="G1909" t="s">
        <v>5534</v>
      </c>
      <c r="H1909" t="s">
        <v>5535</v>
      </c>
      <c r="I1909" t="s">
        <v>22</v>
      </c>
      <c r="J1909">
        <v>92845</v>
      </c>
      <c r="K1909">
        <v>2946</v>
      </c>
      <c r="L1909" t="s">
        <v>23</v>
      </c>
      <c r="M1909" t="s">
        <v>5534</v>
      </c>
      <c r="N1909" t="s">
        <v>5535</v>
      </c>
      <c r="O1909" t="s">
        <v>22</v>
      </c>
      <c r="P1909">
        <v>92845</v>
      </c>
      <c r="Q1909">
        <v>2946</v>
      </c>
      <c r="R1909" t="s">
        <v>23</v>
      </c>
      <c r="S1909" s="1" t="s">
        <v>34218</v>
      </c>
    </row>
    <row r="1910" spans="1:19" x14ac:dyDescent="0.25">
      <c r="A1910">
        <v>101330550</v>
      </c>
      <c r="B1910" t="s">
        <v>5536</v>
      </c>
      <c r="C1910" t="s">
        <v>535</v>
      </c>
      <c r="F1910" t="str">
        <f>"2074697961"</f>
        <v>2074697961</v>
      </c>
      <c r="G1910" t="s">
        <v>5537</v>
      </c>
      <c r="H1910" t="s">
        <v>5538</v>
      </c>
      <c r="I1910" t="s">
        <v>191</v>
      </c>
      <c r="J1910">
        <v>4915</v>
      </c>
      <c r="K1910">
        <v>6512</v>
      </c>
      <c r="L1910" t="s">
        <v>23</v>
      </c>
      <c r="M1910" t="s">
        <v>5537</v>
      </c>
      <c r="N1910" t="s">
        <v>5538</v>
      </c>
      <c r="O1910" t="s">
        <v>191</v>
      </c>
      <c r="P1910">
        <v>4915</v>
      </c>
      <c r="Q1910">
        <v>6512</v>
      </c>
      <c r="R1910" t="s">
        <v>23</v>
      </c>
      <c r="S1910" s="1" t="s">
        <v>34218</v>
      </c>
    </row>
    <row r="1911" spans="1:19" x14ac:dyDescent="0.25">
      <c r="A1911">
        <v>101107056</v>
      </c>
      <c r="B1911" t="s">
        <v>224</v>
      </c>
      <c r="C1911" t="s">
        <v>803</v>
      </c>
      <c r="F1911" t="str">
        <f>"7349985655"</f>
        <v>7349985655</v>
      </c>
      <c r="G1911" t="s">
        <v>5539</v>
      </c>
      <c r="H1911" t="s">
        <v>5540</v>
      </c>
      <c r="I1911" t="s">
        <v>140</v>
      </c>
      <c r="J1911">
        <v>48843</v>
      </c>
      <c r="K1911">
        <v>4141</v>
      </c>
      <c r="L1911" t="s">
        <v>23</v>
      </c>
      <c r="M1911" t="s">
        <v>5539</v>
      </c>
      <c r="N1911" t="s">
        <v>5540</v>
      </c>
      <c r="O1911" t="s">
        <v>140</v>
      </c>
      <c r="P1911">
        <v>48843</v>
      </c>
      <c r="Q1911">
        <v>4141</v>
      </c>
      <c r="R1911" t="s">
        <v>23</v>
      </c>
      <c r="S1911" s="1" t="s">
        <v>34218</v>
      </c>
    </row>
    <row r="1912" spans="1:19" x14ac:dyDescent="0.25">
      <c r="A1912">
        <v>101111137</v>
      </c>
      <c r="B1912" t="s">
        <v>5541</v>
      </c>
      <c r="C1912" t="s">
        <v>505</v>
      </c>
      <c r="F1912" t="str">
        <f>"4126464412"</f>
        <v>4126464412</v>
      </c>
      <c r="G1912" t="s">
        <v>5542</v>
      </c>
      <c r="H1912" t="s">
        <v>3102</v>
      </c>
      <c r="I1912" t="s">
        <v>33</v>
      </c>
      <c r="J1912">
        <v>15085</v>
      </c>
      <c r="K1912">
        <v>1222</v>
      </c>
      <c r="L1912" t="s">
        <v>23</v>
      </c>
      <c r="M1912" t="s">
        <v>5542</v>
      </c>
      <c r="N1912" t="s">
        <v>3102</v>
      </c>
      <c r="O1912" t="s">
        <v>33</v>
      </c>
      <c r="P1912">
        <v>15085</v>
      </c>
      <c r="Q1912">
        <v>1222</v>
      </c>
      <c r="R1912" t="s">
        <v>23</v>
      </c>
      <c r="S1912" s="1" t="s">
        <v>34218</v>
      </c>
    </row>
    <row r="1913" spans="1:19" x14ac:dyDescent="0.25">
      <c r="A1913">
        <v>101115995</v>
      </c>
      <c r="B1913" t="s">
        <v>5543</v>
      </c>
      <c r="C1913" t="s">
        <v>5544</v>
      </c>
      <c r="F1913" t="str">
        <f>"3104535500"</f>
        <v>3104535500</v>
      </c>
      <c r="G1913" t="s">
        <v>5545</v>
      </c>
      <c r="H1913" t="s">
        <v>726</v>
      </c>
      <c r="I1913" t="s">
        <v>22</v>
      </c>
      <c r="J1913">
        <v>90404</v>
      </c>
      <c r="K1913">
        <v>3150</v>
      </c>
      <c r="L1913" t="s">
        <v>23</v>
      </c>
      <c r="M1913" t="s">
        <v>5545</v>
      </c>
      <c r="N1913" t="s">
        <v>726</v>
      </c>
      <c r="O1913" t="s">
        <v>22</v>
      </c>
      <c r="P1913">
        <v>90404</v>
      </c>
      <c r="Q1913">
        <v>3150</v>
      </c>
      <c r="R1913" t="s">
        <v>23</v>
      </c>
      <c r="S1913" s="1" t="s">
        <v>34218</v>
      </c>
    </row>
    <row r="1914" spans="1:19" x14ac:dyDescent="0.25">
      <c r="A1914">
        <v>100531372</v>
      </c>
      <c r="B1914" t="s">
        <v>5546</v>
      </c>
      <c r="C1914" t="s">
        <v>5547</v>
      </c>
      <c r="F1914" t="str">
        <f>"5555555555"</f>
        <v>5555555555</v>
      </c>
      <c r="G1914" t="s">
        <v>5548</v>
      </c>
      <c r="H1914" t="s">
        <v>694</v>
      </c>
      <c r="I1914" t="s">
        <v>135</v>
      </c>
      <c r="J1914">
        <v>60565</v>
      </c>
      <c r="K1914">
        <v>2100</v>
      </c>
      <c r="L1914" t="s">
        <v>23</v>
      </c>
      <c r="M1914" t="s">
        <v>5548</v>
      </c>
      <c r="N1914" t="s">
        <v>694</v>
      </c>
      <c r="O1914" t="s">
        <v>135</v>
      </c>
      <c r="P1914">
        <v>60565</v>
      </c>
      <c r="Q1914">
        <v>2100</v>
      </c>
      <c r="R1914" t="s">
        <v>23</v>
      </c>
      <c r="S1914" s="1" t="s">
        <v>34218</v>
      </c>
    </row>
    <row r="1915" spans="1:19" x14ac:dyDescent="0.25">
      <c r="A1915">
        <v>100741689</v>
      </c>
      <c r="B1915" t="s">
        <v>5549</v>
      </c>
      <c r="C1915" t="s">
        <v>1054</v>
      </c>
      <c r="F1915" t="str">
        <f>"5302443851"</f>
        <v>5302443851</v>
      </c>
      <c r="G1915" t="s">
        <v>5550</v>
      </c>
      <c r="H1915" t="s">
        <v>3525</v>
      </c>
      <c r="I1915" t="s">
        <v>22</v>
      </c>
      <c r="J1915">
        <v>96003</v>
      </c>
      <c r="K1915">
        <v>3119</v>
      </c>
      <c r="L1915" t="s">
        <v>23</v>
      </c>
      <c r="M1915" t="s">
        <v>5550</v>
      </c>
      <c r="N1915" t="s">
        <v>3525</v>
      </c>
      <c r="O1915" t="s">
        <v>22</v>
      </c>
      <c r="P1915">
        <v>96003</v>
      </c>
      <c r="Q1915">
        <v>3119</v>
      </c>
      <c r="R1915" t="s">
        <v>23</v>
      </c>
      <c r="S1915" s="1" t="s">
        <v>34218</v>
      </c>
    </row>
    <row r="1916" spans="1:19" x14ac:dyDescent="0.25">
      <c r="A1916">
        <v>100608608</v>
      </c>
      <c r="B1916" t="s">
        <v>5551</v>
      </c>
      <c r="C1916" t="s">
        <v>547</v>
      </c>
      <c r="F1916" t="str">
        <f>"2816665577"</f>
        <v>2816665577</v>
      </c>
      <c r="G1916" t="s">
        <v>5552</v>
      </c>
      <c r="H1916" t="s">
        <v>2937</v>
      </c>
      <c r="I1916" t="s">
        <v>38</v>
      </c>
      <c r="J1916">
        <v>77365</v>
      </c>
      <c r="K1916">
        <v>1154</v>
      </c>
      <c r="L1916" t="s">
        <v>23</v>
      </c>
      <c r="M1916" t="s">
        <v>5552</v>
      </c>
      <c r="N1916" t="s">
        <v>2937</v>
      </c>
      <c r="O1916" t="s">
        <v>38</v>
      </c>
      <c r="P1916">
        <v>77365</v>
      </c>
      <c r="Q1916">
        <v>1154</v>
      </c>
      <c r="R1916" t="s">
        <v>23</v>
      </c>
      <c r="S1916" s="1" t="s">
        <v>34218</v>
      </c>
    </row>
    <row r="1917" spans="1:19" x14ac:dyDescent="0.25">
      <c r="A1917">
        <v>100625194</v>
      </c>
      <c r="B1917" t="s">
        <v>5553</v>
      </c>
      <c r="C1917" t="s">
        <v>403</v>
      </c>
      <c r="F1917" t="str">
        <f>"3239347058"</f>
        <v>3239347058</v>
      </c>
      <c r="G1917" t="s">
        <v>5554</v>
      </c>
      <c r="H1917" t="s">
        <v>299</v>
      </c>
      <c r="I1917" t="s">
        <v>22</v>
      </c>
      <c r="J1917">
        <v>90036</v>
      </c>
      <c r="K1917">
        <v>2926</v>
      </c>
      <c r="L1917" t="s">
        <v>23</v>
      </c>
      <c r="M1917" t="s">
        <v>5554</v>
      </c>
      <c r="N1917" t="s">
        <v>299</v>
      </c>
      <c r="O1917" t="s">
        <v>22</v>
      </c>
      <c r="P1917">
        <v>90036</v>
      </c>
      <c r="Q1917">
        <v>2926</v>
      </c>
      <c r="R1917" t="s">
        <v>23</v>
      </c>
      <c r="S1917" s="1" t="s">
        <v>34218</v>
      </c>
    </row>
    <row r="1918" spans="1:19" x14ac:dyDescent="0.25">
      <c r="A1918">
        <v>100625230</v>
      </c>
      <c r="B1918" t="s">
        <v>5555</v>
      </c>
      <c r="C1918" t="s">
        <v>1327</v>
      </c>
      <c r="F1918" t="str">
        <f>"6783287979"</f>
        <v>6783287979</v>
      </c>
      <c r="G1918" t="s">
        <v>5556</v>
      </c>
      <c r="H1918" t="s">
        <v>5557</v>
      </c>
      <c r="I1918" t="s">
        <v>365</v>
      </c>
      <c r="J1918">
        <v>85641</v>
      </c>
      <c r="K1918">
        <v>2846</v>
      </c>
      <c r="L1918" t="s">
        <v>23</v>
      </c>
      <c r="M1918" t="s">
        <v>5556</v>
      </c>
      <c r="N1918" t="s">
        <v>5557</v>
      </c>
      <c r="O1918" t="s">
        <v>365</v>
      </c>
      <c r="P1918">
        <v>85641</v>
      </c>
      <c r="Q1918">
        <v>2846</v>
      </c>
      <c r="R1918" t="s">
        <v>23</v>
      </c>
      <c r="S1918" s="1" t="s">
        <v>34218</v>
      </c>
    </row>
    <row r="1919" spans="1:19" x14ac:dyDescent="0.25">
      <c r="A1919">
        <v>100551620</v>
      </c>
      <c r="B1919" t="s">
        <v>5558</v>
      </c>
      <c r="C1919" t="s">
        <v>247</v>
      </c>
      <c r="F1919" t="str">
        <f>"6174899663"</f>
        <v>6174899663</v>
      </c>
      <c r="G1919" t="s">
        <v>5559</v>
      </c>
      <c r="H1919" t="s">
        <v>5037</v>
      </c>
      <c r="I1919" t="s">
        <v>236</v>
      </c>
      <c r="J1919">
        <v>2478</v>
      </c>
      <c r="K1919">
        <v>3801</v>
      </c>
      <c r="L1919" t="s">
        <v>23</v>
      </c>
      <c r="M1919" t="s">
        <v>5559</v>
      </c>
      <c r="N1919" t="s">
        <v>5037</v>
      </c>
      <c r="O1919" t="s">
        <v>236</v>
      </c>
      <c r="P1919">
        <v>2478</v>
      </c>
      <c r="Q1919">
        <v>3801</v>
      </c>
      <c r="R1919" t="s">
        <v>23</v>
      </c>
      <c r="S1919" s="1" t="s">
        <v>34218</v>
      </c>
    </row>
    <row r="1920" spans="1:19" x14ac:dyDescent="0.25">
      <c r="A1920">
        <v>100554704</v>
      </c>
      <c r="B1920" t="s">
        <v>3513</v>
      </c>
      <c r="C1920" t="s">
        <v>5560</v>
      </c>
      <c r="F1920" t="str">
        <f>"3303274618"</f>
        <v>3303274618</v>
      </c>
      <c r="G1920" t="s">
        <v>5561</v>
      </c>
      <c r="H1920" t="s">
        <v>4632</v>
      </c>
      <c r="I1920" t="s">
        <v>178</v>
      </c>
      <c r="J1920">
        <v>43230</v>
      </c>
      <c r="K1920">
        <v>2874</v>
      </c>
      <c r="L1920" t="s">
        <v>23</v>
      </c>
      <c r="M1920" t="s">
        <v>5561</v>
      </c>
      <c r="N1920" t="s">
        <v>4632</v>
      </c>
      <c r="O1920" t="s">
        <v>178</v>
      </c>
      <c r="P1920">
        <v>43230</v>
      </c>
      <c r="Q1920">
        <v>2874</v>
      </c>
      <c r="R1920" t="s">
        <v>23</v>
      </c>
      <c r="S1920" s="1" t="s">
        <v>34218</v>
      </c>
    </row>
    <row r="1921" spans="1:19" x14ac:dyDescent="0.25">
      <c r="A1921">
        <v>100561197</v>
      </c>
      <c r="B1921" t="s">
        <v>5562</v>
      </c>
      <c r="C1921" t="s">
        <v>1069</v>
      </c>
      <c r="F1921" t="str">
        <f>"8286649236"</f>
        <v>8286649236</v>
      </c>
      <c r="G1921" t="s">
        <v>5563</v>
      </c>
      <c r="H1921" t="s">
        <v>4635</v>
      </c>
      <c r="I1921" t="s">
        <v>446</v>
      </c>
      <c r="J1921">
        <v>28711</v>
      </c>
      <c r="K1921">
        <v>8622</v>
      </c>
      <c r="L1921" t="s">
        <v>23</v>
      </c>
      <c r="M1921" t="s">
        <v>5563</v>
      </c>
      <c r="N1921" t="s">
        <v>4635</v>
      </c>
      <c r="O1921" t="s">
        <v>446</v>
      </c>
      <c r="P1921">
        <v>28711</v>
      </c>
      <c r="Q1921">
        <v>8622</v>
      </c>
      <c r="R1921" t="s">
        <v>23</v>
      </c>
      <c r="S1921" s="1" t="s">
        <v>34218</v>
      </c>
    </row>
    <row r="1922" spans="1:19" x14ac:dyDescent="0.25">
      <c r="A1922">
        <v>100560830</v>
      </c>
      <c r="B1922" t="s">
        <v>2417</v>
      </c>
      <c r="C1922" t="s">
        <v>5564</v>
      </c>
      <c r="F1922" t="str">
        <f>"7085080351"</f>
        <v>7085080351</v>
      </c>
      <c r="G1922" t="s">
        <v>5565</v>
      </c>
      <c r="H1922" t="s">
        <v>5566</v>
      </c>
      <c r="I1922" t="s">
        <v>135</v>
      </c>
      <c r="J1922">
        <v>60477</v>
      </c>
      <c r="K1922">
        <v>1418</v>
      </c>
      <c r="L1922" t="s">
        <v>23</v>
      </c>
      <c r="M1922" t="s">
        <v>5565</v>
      </c>
      <c r="N1922" t="s">
        <v>5566</v>
      </c>
      <c r="O1922" t="s">
        <v>135</v>
      </c>
      <c r="P1922">
        <v>60477</v>
      </c>
      <c r="Q1922">
        <v>1418</v>
      </c>
      <c r="R1922" t="s">
        <v>23</v>
      </c>
      <c r="S1922" s="1" t="s">
        <v>34218</v>
      </c>
    </row>
    <row r="1923" spans="1:19" x14ac:dyDescent="0.25">
      <c r="A1923">
        <v>100571614</v>
      </c>
      <c r="B1923" t="s">
        <v>5567</v>
      </c>
      <c r="C1923" t="s">
        <v>2846</v>
      </c>
      <c r="F1923" t="str">
        <f>"4123668896"</f>
        <v>4123668896</v>
      </c>
      <c r="G1923" t="s">
        <v>5568</v>
      </c>
      <c r="H1923" t="s">
        <v>3363</v>
      </c>
      <c r="I1923" t="s">
        <v>33</v>
      </c>
      <c r="J1923">
        <v>15237</v>
      </c>
      <c r="K1923">
        <v>3747</v>
      </c>
      <c r="L1923" t="s">
        <v>23</v>
      </c>
      <c r="M1923" t="s">
        <v>5568</v>
      </c>
      <c r="N1923" t="s">
        <v>3363</v>
      </c>
      <c r="O1923" t="s">
        <v>33</v>
      </c>
      <c r="P1923">
        <v>15237</v>
      </c>
      <c r="Q1923">
        <v>3747</v>
      </c>
      <c r="R1923" t="s">
        <v>23</v>
      </c>
      <c r="S1923" s="1" t="s">
        <v>34218</v>
      </c>
    </row>
    <row r="1924" spans="1:19" x14ac:dyDescent="0.25">
      <c r="A1924">
        <v>100575915</v>
      </c>
      <c r="B1924" t="s">
        <v>5569</v>
      </c>
      <c r="C1924" t="s">
        <v>403</v>
      </c>
      <c r="F1924" t="str">
        <f>"4257789100"</f>
        <v>4257789100</v>
      </c>
      <c r="G1924" t="s">
        <v>5570</v>
      </c>
      <c r="H1924" t="s">
        <v>5571</v>
      </c>
      <c r="I1924" t="s">
        <v>84</v>
      </c>
      <c r="J1924">
        <v>98043</v>
      </c>
      <c r="K1924">
        <v>5248</v>
      </c>
      <c r="L1924" t="s">
        <v>23</v>
      </c>
      <c r="M1924" t="s">
        <v>5570</v>
      </c>
      <c r="N1924" t="s">
        <v>5571</v>
      </c>
      <c r="O1924" t="s">
        <v>84</v>
      </c>
      <c r="P1924">
        <v>98043</v>
      </c>
      <c r="Q1924">
        <v>5248</v>
      </c>
      <c r="R1924" t="s">
        <v>23</v>
      </c>
      <c r="S1924" s="1" t="s">
        <v>34218</v>
      </c>
    </row>
    <row r="1925" spans="1:19" x14ac:dyDescent="0.25">
      <c r="A1925">
        <v>100865752</v>
      </c>
      <c r="B1925" t="s">
        <v>3303</v>
      </c>
      <c r="C1925" t="s">
        <v>613</v>
      </c>
      <c r="F1925" t="str">
        <f>"7203338865"</f>
        <v>7203338865</v>
      </c>
      <c r="G1925" t="s">
        <v>5572</v>
      </c>
      <c r="H1925" t="s">
        <v>4199</v>
      </c>
      <c r="I1925" t="s">
        <v>71</v>
      </c>
      <c r="J1925">
        <v>80026</v>
      </c>
      <c r="K1925">
        <v>1307</v>
      </c>
      <c r="L1925" t="s">
        <v>23</v>
      </c>
      <c r="M1925" t="s">
        <v>5572</v>
      </c>
      <c r="N1925" t="s">
        <v>4199</v>
      </c>
      <c r="O1925" t="s">
        <v>71</v>
      </c>
      <c r="P1925">
        <v>80026</v>
      </c>
      <c r="Q1925">
        <v>1307</v>
      </c>
      <c r="R1925" t="s">
        <v>23</v>
      </c>
      <c r="S1925" s="1" t="s">
        <v>34218</v>
      </c>
    </row>
    <row r="1926" spans="1:19" x14ac:dyDescent="0.25">
      <c r="A1926">
        <v>100881211</v>
      </c>
      <c r="B1926" t="s">
        <v>5573</v>
      </c>
      <c r="C1926" t="s">
        <v>1117</v>
      </c>
      <c r="F1926" t="str">
        <f>"7603649090"</f>
        <v>7603649090</v>
      </c>
      <c r="G1926" t="s">
        <v>5574</v>
      </c>
      <c r="H1926" t="s">
        <v>5575</v>
      </c>
      <c r="I1926" t="s">
        <v>22</v>
      </c>
      <c r="J1926">
        <v>90640</v>
      </c>
      <c r="K1926">
        <v>3505</v>
      </c>
      <c r="L1926" t="s">
        <v>23</v>
      </c>
      <c r="M1926" t="s">
        <v>5574</v>
      </c>
      <c r="N1926" t="s">
        <v>5575</v>
      </c>
      <c r="O1926" t="s">
        <v>22</v>
      </c>
      <c r="P1926">
        <v>90640</v>
      </c>
      <c r="Q1926">
        <v>3505</v>
      </c>
      <c r="R1926" t="s">
        <v>23</v>
      </c>
      <c r="S1926" s="1" t="s">
        <v>34218</v>
      </c>
    </row>
    <row r="1927" spans="1:19" x14ac:dyDescent="0.25">
      <c r="A1927">
        <v>100858059</v>
      </c>
      <c r="B1927" t="s">
        <v>5576</v>
      </c>
      <c r="C1927" t="s">
        <v>1157</v>
      </c>
      <c r="F1927" t="str">
        <f>"3155555555"</f>
        <v>3155555555</v>
      </c>
      <c r="G1927" t="s">
        <v>5577</v>
      </c>
      <c r="H1927" t="s">
        <v>2091</v>
      </c>
      <c r="I1927" t="s">
        <v>117</v>
      </c>
      <c r="J1927">
        <v>13205</v>
      </c>
      <c r="K1927">
        <v>2539</v>
      </c>
      <c r="L1927" t="s">
        <v>23</v>
      </c>
      <c r="M1927" t="s">
        <v>5577</v>
      </c>
      <c r="N1927" t="s">
        <v>2091</v>
      </c>
      <c r="O1927" t="s">
        <v>117</v>
      </c>
      <c r="P1927">
        <v>13205</v>
      </c>
      <c r="Q1927">
        <v>2539</v>
      </c>
      <c r="R1927" t="s">
        <v>23</v>
      </c>
      <c r="S1927" s="1" t="s">
        <v>34218</v>
      </c>
    </row>
    <row r="1928" spans="1:19" x14ac:dyDescent="0.25">
      <c r="A1928">
        <v>100693794</v>
      </c>
      <c r="B1928" t="s">
        <v>3286</v>
      </c>
      <c r="C1928" t="s">
        <v>575</v>
      </c>
      <c r="F1928" t="str">
        <f>"3367689051"</f>
        <v>3367689051</v>
      </c>
      <c r="G1928" t="s">
        <v>5578</v>
      </c>
      <c r="H1928" t="s">
        <v>5579</v>
      </c>
      <c r="I1928" t="s">
        <v>446</v>
      </c>
      <c r="J1928">
        <v>27103</v>
      </c>
      <c r="K1928">
        <v>5504</v>
      </c>
      <c r="L1928" t="s">
        <v>23</v>
      </c>
      <c r="M1928" t="s">
        <v>5578</v>
      </c>
      <c r="N1928" t="s">
        <v>5579</v>
      </c>
      <c r="O1928" t="s">
        <v>446</v>
      </c>
      <c r="P1928">
        <v>27103</v>
      </c>
      <c r="Q1928">
        <v>5504</v>
      </c>
      <c r="R1928" t="s">
        <v>23</v>
      </c>
      <c r="S1928" s="1" t="s">
        <v>34218</v>
      </c>
    </row>
    <row r="1929" spans="1:19" x14ac:dyDescent="0.25">
      <c r="A1929">
        <v>100695741</v>
      </c>
      <c r="B1929" t="s">
        <v>5580</v>
      </c>
      <c r="C1929" t="s">
        <v>4828</v>
      </c>
      <c r="F1929" t="str">
        <f>"2069383886"</f>
        <v>2069383886</v>
      </c>
      <c r="G1929" t="s">
        <v>5581</v>
      </c>
      <c r="H1929" t="s">
        <v>1531</v>
      </c>
      <c r="I1929" t="s">
        <v>84</v>
      </c>
      <c r="J1929">
        <v>98136</v>
      </c>
      <c r="K1929">
        <v>2701</v>
      </c>
      <c r="L1929" t="s">
        <v>23</v>
      </c>
      <c r="M1929" t="s">
        <v>5581</v>
      </c>
      <c r="N1929" t="s">
        <v>1531</v>
      </c>
      <c r="O1929" t="s">
        <v>84</v>
      </c>
      <c r="P1929">
        <v>98136</v>
      </c>
      <c r="Q1929">
        <v>2701</v>
      </c>
      <c r="R1929" t="s">
        <v>23</v>
      </c>
      <c r="S1929" s="1" t="s">
        <v>34218</v>
      </c>
    </row>
    <row r="1930" spans="1:19" x14ac:dyDescent="0.25">
      <c r="A1930">
        <v>100699784</v>
      </c>
      <c r="B1930" t="s">
        <v>2429</v>
      </c>
      <c r="C1930" t="s">
        <v>145</v>
      </c>
      <c r="F1930" t="str">
        <f>"2078088827"</f>
        <v>2078088827</v>
      </c>
      <c r="G1930" t="s">
        <v>5582</v>
      </c>
      <c r="H1930" t="s">
        <v>227</v>
      </c>
      <c r="I1930" t="s">
        <v>191</v>
      </c>
      <c r="J1930">
        <v>4103</v>
      </c>
      <c r="K1930">
        <v>4164</v>
      </c>
      <c r="L1930" t="s">
        <v>23</v>
      </c>
      <c r="M1930" t="s">
        <v>5582</v>
      </c>
      <c r="N1930" t="s">
        <v>227</v>
      </c>
      <c r="O1930" t="s">
        <v>191</v>
      </c>
      <c r="P1930">
        <v>4103</v>
      </c>
      <c r="Q1930">
        <v>4164</v>
      </c>
      <c r="R1930" t="s">
        <v>23</v>
      </c>
      <c r="S1930" s="1" t="s">
        <v>34218</v>
      </c>
    </row>
    <row r="1931" spans="1:19" x14ac:dyDescent="0.25">
      <c r="A1931">
        <v>100894482</v>
      </c>
      <c r="B1931" t="s">
        <v>5583</v>
      </c>
      <c r="C1931" t="s">
        <v>4124</v>
      </c>
      <c r="F1931" t="str">
        <f>"3016953708"</f>
        <v>3016953708</v>
      </c>
      <c r="G1931" t="s">
        <v>5584</v>
      </c>
      <c r="H1931" t="s">
        <v>4512</v>
      </c>
      <c r="I1931" t="s">
        <v>148</v>
      </c>
      <c r="J1931">
        <v>21703</v>
      </c>
      <c r="K1931">
        <v>8692</v>
      </c>
      <c r="L1931" t="s">
        <v>23</v>
      </c>
      <c r="M1931" t="s">
        <v>5584</v>
      </c>
      <c r="N1931" t="s">
        <v>4512</v>
      </c>
      <c r="O1931" t="s">
        <v>148</v>
      </c>
      <c r="P1931">
        <v>21703</v>
      </c>
      <c r="Q1931">
        <v>8692</v>
      </c>
      <c r="R1931" t="s">
        <v>23</v>
      </c>
      <c r="S1931" s="1" t="s">
        <v>34218</v>
      </c>
    </row>
    <row r="1932" spans="1:19" x14ac:dyDescent="0.25">
      <c r="A1932">
        <v>100903410</v>
      </c>
      <c r="B1932" t="s">
        <v>5585</v>
      </c>
      <c r="C1932" t="s">
        <v>1205</v>
      </c>
      <c r="F1932" t="str">
        <f>"7127282199"</f>
        <v>7127282199</v>
      </c>
      <c r="G1932" t="s">
        <v>5586</v>
      </c>
      <c r="H1932" t="s">
        <v>5587</v>
      </c>
      <c r="I1932" t="s">
        <v>565</v>
      </c>
      <c r="J1932">
        <v>51346</v>
      </c>
      <c r="K1932">
        <v>7496</v>
      </c>
      <c r="L1932" t="s">
        <v>23</v>
      </c>
      <c r="M1932" t="s">
        <v>5586</v>
      </c>
      <c r="N1932" t="s">
        <v>5587</v>
      </c>
      <c r="O1932" t="s">
        <v>565</v>
      </c>
      <c r="P1932">
        <v>51346</v>
      </c>
      <c r="Q1932">
        <v>7496</v>
      </c>
      <c r="R1932" t="s">
        <v>23</v>
      </c>
      <c r="S1932" s="1" t="s">
        <v>34218</v>
      </c>
    </row>
    <row r="1933" spans="1:19" x14ac:dyDescent="0.25">
      <c r="A1933">
        <v>100916035</v>
      </c>
      <c r="B1933" t="s">
        <v>3089</v>
      </c>
      <c r="C1933" t="s">
        <v>2463</v>
      </c>
      <c r="F1933" t="str">
        <f>"5124239009"</f>
        <v>5124239009</v>
      </c>
      <c r="G1933" t="s">
        <v>5588</v>
      </c>
      <c r="H1933" t="s">
        <v>143</v>
      </c>
      <c r="I1933" t="s">
        <v>38</v>
      </c>
      <c r="J1933">
        <v>75766</v>
      </c>
      <c r="K1933">
        <v>9208</v>
      </c>
      <c r="L1933" t="s">
        <v>23</v>
      </c>
      <c r="M1933" t="s">
        <v>5588</v>
      </c>
      <c r="N1933" t="s">
        <v>143</v>
      </c>
      <c r="O1933" t="s">
        <v>38</v>
      </c>
      <c r="P1933">
        <v>75766</v>
      </c>
      <c r="Q1933">
        <v>9208</v>
      </c>
      <c r="R1933" t="s">
        <v>23</v>
      </c>
      <c r="S1933" s="1" t="s">
        <v>34218</v>
      </c>
    </row>
    <row r="1934" spans="1:19" x14ac:dyDescent="0.25">
      <c r="A1934">
        <v>100517254</v>
      </c>
      <c r="B1934" t="s">
        <v>1001</v>
      </c>
      <c r="C1934" t="s">
        <v>1218</v>
      </c>
      <c r="F1934" t="str">
        <f>"5132131128"</f>
        <v>5132131128</v>
      </c>
      <c r="G1934" t="s">
        <v>5589</v>
      </c>
      <c r="H1934" t="s">
        <v>2086</v>
      </c>
      <c r="I1934" t="s">
        <v>178</v>
      </c>
      <c r="J1934">
        <v>45233</v>
      </c>
      <c r="K1934">
        <v>1086</v>
      </c>
      <c r="L1934" t="s">
        <v>23</v>
      </c>
      <c r="M1934" t="s">
        <v>5589</v>
      </c>
      <c r="N1934" t="s">
        <v>2086</v>
      </c>
      <c r="O1934" t="s">
        <v>178</v>
      </c>
      <c r="P1934">
        <v>45233</v>
      </c>
      <c r="Q1934">
        <v>1086</v>
      </c>
      <c r="R1934" t="s">
        <v>23</v>
      </c>
      <c r="S1934" s="1" t="s">
        <v>34218</v>
      </c>
    </row>
    <row r="1935" spans="1:19" x14ac:dyDescent="0.25">
      <c r="A1935">
        <v>100927076</v>
      </c>
      <c r="B1935" t="s">
        <v>5590</v>
      </c>
      <c r="C1935" t="s">
        <v>1506</v>
      </c>
      <c r="F1935" t="str">
        <f>"5742736281"</f>
        <v>5742736281</v>
      </c>
      <c r="G1935" t="s">
        <v>5591</v>
      </c>
      <c r="H1935" t="s">
        <v>5592</v>
      </c>
      <c r="I1935" t="s">
        <v>57</v>
      </c>
      <c r="J1935">
        <v>46530</v>
      </c>
      <c r="K1935">
        <v>8618</v>
      </c>
      <c r="L1935" t="s">
        <v>23</v>
      </c>
      <c r="M1935" t="s">
        <v>5591</v>
      </c>
      <c r="N1935" t="s">
        <v>5592</v>
      </c>
      <c r="O1935" t="s">
        <v>57</v>
      </c>
      <c r="P1935">
        <v>46530</v>
      </c>
      <c r="Q1935">
        <v>8618</v>
      </c>
      <c r="R1935" t="s">
        <v>23</v>
      </c>
      <c r="S1935" s="1" t="s">
        <v>34218</v>
      </c>
    </row>
    <row r="1936" spans="1:19" x14ac:dyDescent="0.25">
      <c r="A1936">
        <v>100938759</v>
      </c>
      <c r="B1936" t="s">
        <v>5593</v>
      </c>
      <c r="C1936" t="s">
        <v>575</v>
      </c>
      <c r="F1936" t="str">
        <f>"7176425480"</f>
        <v>7176425480</v>
      </c>
      <c r="G1936" t="s">
        <v>5594</v>
      </c>
      <c r="H1936" t="s">
        <v>5595</v>
      </c>
      <c r="I1936" t="s">
        <v>33</v>
      </c>
      <c r="J1936">
        <v>17325</v>
      </c>
      <c r="K1936">
        <v>7322</v>
      </c>
      <c r="L1936" t="s">
        <v>23</v>
      </c>
      <c r="M1936" t="s">
        <v>5594</v>
      </c>
      <c r="N1936" t="s">
        <v>5595</v>
      </c>
      <c r="O1936" t="s">
        <v>33</v>
      </c>
      <c r="P1936">
        <v>17325</v>
      </c>
      <c r="Q1936">
        <v>7322</v>
      </c>
      <c r="R1936" t="s">
        <v>23</v>
      </c>
      <c r="S1936" s="1" t="s">
        <v>34218</v>
      </c>
    </row>
    <row r="1937" spans="1:19" x14ac:dyDescent="0.25">
      <c r="A1937">
        <v>101129281</v>
      </c>
      <c r="B1937" t="s">
        <v>1204</v>
      </c>
      <c r="C1937" t="s">
        <v>274</v>
      </c>
      <c r="F1937" t="str">
        <f>"5099223855"</f>
        <v>5099223855</v>
      </c>
      <c r="G1937" t="s">
        <v>5596</v>
      </c>
      <c r="H1937" t="s">
        <v>5597</v>
      </c>
      <c r="I1937" t="s">
        <v>84</v>
      </c>
      <c r="J1937">
        <v>99216</v>
      </c>
      <c r="K1937">
        <v>202</v>
      </c>
      <c r="L1937" t="s">
        <v>23</v>
      </c>
      <c r="M1937" t="s">
        <v>5596</v>
      </c>
      <c r="N1937" t="s">
        <v>5597</v>
      </c>
      <c r="O1937" t="s">
        <v>84</v>
      </c>
      <c r="P1937">
        <v>99216</v>
      </c>
      <c r="Q1937">
        <v>202</v>
      </c>
      <c r="R1937" t="s">
        <v>23</v>
      </c>
      <c r="S1937" s="1" t="s">
        <v>34218</v>
      </c>
    </row>
    <row r="1938" spans="1:19" x14ac:dyDescent="0.25">
      <c r="A1938">
        <v>100757270</v>
      </c>
      <c r="B1938" t="s">
        <v>5598</v>
      </c>
      <c r="C1938" t="s">
        <v>5599</v>
      </c>
      <c r="F1938" t="str">
        <f>"9124375387"</f>
        <v>9124375387</v>
      </c>
      <c r="G1938" t="s">
        <v>5600</v>
      </c>
      <c r="H1938" t="s">
        <v>2103</v>
      </c>
      <c r="I1938" t="s">
        <v>28</v>
      </c>
      <c r="J1938">
        <v>31305</v>
      </c>
      <c r="K1938">
        <v>8720</v>
      </c>
      <c r="L1938" t="s">
        <v>23</v>
      </c>
      <c r="M1938" t="s">
        <v>5600</v>
      </c>
      <c r="N1938" t="s">
        <v>2103</v>
      </c>
      <c r="O1938" t="s">
        <v>28</v>
      </c>
      <c r="P1938">
        <v>31305</v>
      </c>
      <c r="Q1938">
        <v>8720</v>
      </c>
      <c r="R1938" t="s">
        <v>23</v>
      </c>
      <c r="S1938" s="1" t="s">
        <v>34218</v>
      </c>
    </row>
    <row r="1939" spans="1:19" x14ac:dyDescent="0.25">
      <c r="A1939">
        <v>100758203</v>
      </c>
      <c r="B1939" t="s">
        <v>5601</v>
      </c>
      <c r="C1939" t="s">
        <v>575</v>
      </c>
      <c r="F1939" t="str">
        <f>"5162321991"</f>
        <v>5162321991</v>
      </c>
      <c r="G1939" t="s">
        <v>5602</v>
      </c>
      <c r="H1939" t="s">
        <v>5603</v>
      </c>
      <c r="I1939" t="s">
        <v>117</v>
      </c>
      <c r="J1939">
        <v>11040</v>
      </c>
      <c r="K1939">
        <v>2401</v>
      </c>
      <c r="L1939" t="s">
        <v>23</v>
      </c>
      <c r="M1939" t="s">
        <v>5602</v>
      </c>
      <c r="N1939" t="s">
        <v>5603</v>
      </c>
      <c r="O1939" t="s">
        <v>117</v>
      </c>
      <c r="P1939">
        <v>11040</v>
      </c>
      <c r="Q1939">
        <v>2401</v>
      </c>
      <c r="R1939" t="s">
        <v>23</v>
      </c>
      <c r="S1939" s="1" t="s">
        <v>34218</v>
      </c>
    </row>
    <row r="1940" spans="1:19" x14ac:dyDescent="0.25">
      <c r="A1940">
        <v>100813149</v>
      </c>
      <c r="B1940" t="s">
        <v>5604</v>
      </c>
      <c r="C1940" t="s">
        <v>329</v>
      </c>
      <c r="F1940" t="str">
        <f>"7088539288"</f>
        <v>7088539288</v>
      </c>
      <c r="G1940" t="s">
        <v>5605</v>
      </c>
      <c r="H1940" t="s">
        <v>461</v>
      </c>
      <c r="I1940" t="s">
        <v>135</v>
      </c>
      <c r="J1940">
        <v>60546</v>
      </c>
      <c r="K1940">
        <v>1801</v>
      </c>
      <c r="L1940" t="s">
        <v>23</v>
      </c>
      <c r="M1940" t="s">
        <v>5605</v>
      </c>
      <c r="N1940" t="s">
        <v>461</v>
      </c>
      <c r="O1940" t="s">
        <v>135</v>
      </c>
      <c r="P1940">
        <v>60546</v>
      </c>
      <c r="Q1940">
        <v>1801</v>
      </c>
      <c r="R1940" t="s">
        <v>23</v>
      </c>
      <c r="S1940" s="1" t="s">
        <v>34218</v>
      </c>
    </row>
    <row r="1941" spans="1:19" x14ac:dyDescent="0.25">
      <c r="A1941">
        <v>101042326</v>
      </c>
      <c r="B1941" t="s">
        <v>5606</v>
      </c>
      <c r="C1941" t="s">
        <v>102</v>
      </c>
      <c r="F1941" t="str">
        <f>"2074534136"</f>
        <v>2074534136</v>
      </c>
      <c r="G1941" t="s">
        <v>5607</v>
      </c>
      <c r="H1941" t="s">
        <v>5608</v>
      </c>
      <c r="I1941" t="s">
        <v>191</v>
      </c>
      <c r="J1941">
        <v>4910</v>
      </c>
      <c r="K1941">
        <v>185</v>
      </c>
      <c r="L1941" t="s">
        <v>23</v>
      </c>
      <c r="M1941" t="s">
        <v>5607</v>
      </c>
      <c r="N1941" t="s">
        <v>5608</v>
      </c>
      <c r="O1941" t="s">
        <v>191</v>
      </c>
      <c r="P1941">
        <v>4910</v>
      </c>
      <c r="Q1941">
        <v>185</v>
      </c>
      <c r="R1941" t="s">
        <v>23</v>
      </c>
      <c r="S1941" s="1" t="s">
        <v>34218</v>
      </c>
    </row>
    <row r="1942" spans="1:19" x14ac:dyDescent="0.25">
      <c r="A1942">
        <v>100823340</v>
      </c>
      <c r="B1942" t="s">
        <v>2349</v>
      </c>
      <c r="C1942" t="s">
        <v>1955</v>
      </c>
      <c r="F1942" t="str">
        <f>"5302676117"</f>
        <v>5302676117</v>
      </c>
      <c r="G1942" t="s">
        <v>5609</v>
      </c>
      <c r="H1942" t="s">
        <v>121</v>
      </c>
      <c r="I1942" t="s">
        <v>22</v>
      </c>
      <c r="J1942">
        <v>95928</v>
      </c>
      <c r="K1942">
        <v>9468</v>
      </c>
      <c r="L1942" t="s">
        <v>23</v>
      </c>
      <c r="M1942" t="s">
        <v>5609</v>
      </c>
      <c r="N1942" t="s">
        <v>121</v>
      </c>
      <c r="O1942" t="s">
        <v>22</v>
      </c>
      <c r="P1942">
        <v>95928</v>
      </c>
      <c r="Q1942">
        <v>9468</v>
      </c>
      <c r="R1942" t="s">
        <v>23</v>
      </c>
      <c r="S1942" s="1" t="s">
        <v>34218</v>
      </c>
    </row>
    <row r="1943" spans="1:19" x14ac:dyDescent="0.25">
      <c r="A1943">
        <v>100531589</v>
      </c>
      <c r="B1943" t="s">
        <v>4315</v>
      </c>
      <c r="C1943" t="s">
        <v>5610</v>
      </c>
      <c r="F1943" t="str">
        <f>"5622120563"</f>
        <v>5622120563</v>
      </c>
      <c r="G1943" t="s">
        <v>5611</v>
      </c>
      <c r="H1943" t="s">
        <v>311</v>
      </c>
      <c r="I1943" t="s">
        <v>22</v>
      </c>
      <c r="J1943">
        <v>90804</v>
      </c>
      <c r="K1943">
        <v>4407</v>
      </c>
      <c r="L1943" t="s">
        <v>23</v>
      </c>
      <c r="M1943" t="s">
        <v>5611</v>
      </c>
      <c r="N1943" t="s">
        <v>311</v>
      </c>
      <c r="O1943" t="s">
        <v>22</v>
      </c>
      <c r="P1943">
        <v>90804</v>
      </c>
      <c r="Q1943">
        <v>4407</v>
      </c>
      <c r="R1943" t="s">
        <v>23</v>
      </c>
      <c r="S1943" s="1" t="s">
        <v>34218</v>
      </c>
    </row>
    <row r="1944" spans="1:19" x14ac:dyDescent="0.25">
      <c r="A1944">
        <v>100604906</v>
      </c>
      <c r="B1944" t="s">
        <v>5612</v>
      </c>
      <c r="C1944" t="s">
        <v>5613</v>
      </c>
      <c r="F1944" t="str">
        <f>"5083582817"</f>
        <v>5083582817</v>
      </c>
      <c r="G1944" t="s">
        <v>5614</v>
      </c>
      <c r="H1944" t="s">
        <v>5615</v>
      </c>
      <c r="I1944" t="s">
        <v>236</v>
      </c>
      <c r="J1944">
        <v>1778</v>
      </c>
      <c r="K1944">
        <v>3908</v>
      </c>
      <c r="L1944" t="s">
        <v>23</v>
      </c>
      <c r="M1944" t="s">
        <v>5614</v>
      </c>
      <c r="N1944" t="s">
        <v>5615</v>
      </c>
      <c r="O1944" t="s">
        <v>236</v>
      </c>
      <c r="P1944">
        <v>1778</v>
      </c>
      <c r="Q1944">
        <v>3908</v>
      </c>
      <c r="R1944" t="s">
        <v>23</v>
      </c>
      <c r="S1944" s="1" t="s">
        <v>34218</v>
      </c>
    </row>
    <row r="1945" spans="1:19" x14ac:dyDescent="0.25">
      <c r="A1945">
        <v>100612657</v>
      </c>
      <c r="B1945" t="s">
        <v>5616</v>
      </c>
      <c r="C1945" t="s">
        <v>128</v>
      </c>
      <c r="F1945" t="str">
        <f>"7074479709"</f>
        <v>7074479709</v>
      </c>
      <c r="G1945" t="s">
        <v>5617</v>
      </c>
      <c r="H1945" t="s">
        <v>3880</v>
      </c>
      <c r="I1945" t="s">
        <v>22</v>
      </c>
      <c r="J1945">
        <v>95688</v>
      </c>
      <c r="K1945">
        <v>2934</v>
      </c>
      <c r="L1945" t="s">
        <v>23</v>
      </c>
      <c r="M1945" t="s">
        <v>5617</v>
      </c>
      <c r="N1945" t="s">
        <v>3880</v>
      </c>
      <c r="O1945" t="s">
        <v>22</v>
      </c>
      <c r="P1945">
        <v>95688</v>
      </c>
      <c r="Q1945">
        <v>2934</v>
      </c>
      <c r="R1945" t="s">
        <v>23</v>
      </c>
      <c r="S1945" s="1" t="s">
        <v>34218</v>
      </c>
    </row>
    <row r="1946" spans="1:19" x14ac:dyDescent="0.25">
      <c r="A1946">
        <v>100623332</v>
      </c>
      <c r="B1946" t="s">
        <v>5618</v>
      </c>
      <c r="C1946" t="s">
        <v>1363</v>
      </c>
      <c r="F1946" t="str">
        <f>"9784620109"</f>
        <v>9784620109</v>
      </c>
      <c r="G1946" t="s">
        <v>5619</v>
      </c>
      <c r="H1946" t="s">
        <v>5620</v>
      </c>
      <c r="I1946" t="s">
        <v>236</v>
      </c>
      <c r="J1946">
        <v>1950</v>
      </c>
      <c r="K1946">
        <v>3237</v>
      </c>
      <c r="L1946" t="s">
        <v>23</v>
      </c>
      <c r="M1946" t="s">
        <v>5619</v>
      </c>
      <c r="N1946" t="s">
        <v>5620</v>
      </c>
      <c r="O1946" t="s">
        <v>236</v>
      </c>
      <c r="P1946">
        <v>1950</v>
      </c>
      <c r="Q1946">
        <v>3237</v>
      </c>
      <c r="R1946" t="s">
        <v>23</v>
      </c>
      <c r="S1946" s="1" t="s">
        <v>34218</v>
      </c>
    </row>
    <row r="1947" spans="1:19" x14ac:dyDescent="0.25">
      <c r="A1947">
        <v>100633762</v>
      </c>
      <c r="B1947" t="s">
        <v>5621</v>
      </c>
      <c r="C1947" t="s">
        <v>5622</v>
      </c>
      <c r="F1947" t="str">
        <f>"3107451595"</f>
        <v>3107451595</v>
      </c>
      <c r="G1947" t="s">
        <v>5623</v>
      </c>
      <c r="H1947" t="s">
        <v>4570</v>
      </c>
      <c r="I1947" t="s">
        <v>22</v>
      </c>
      <c r="J1947">
        <v>90291</v>
      </c>
      <c r="K1947">
        <v>4266</v>
      </c>
      <c r="L1947" t="s">
        <v>23</v>
      </c>
      <c r="M1947" t="s">
        <v>5623</v>
      </c>
      <c r="N1947" t="s">
        <v>4570</v>
      </c>
      <c r="O1947" t="s">
        <v>22</v>
      </c>
      <c r="P1947">
        <v>90291</v>
      </c>
      <c r="Q1947">
        <v>4266</v>
      </c>
      <c r="R1947" t="s">
        <v>23</v>
      </c>
      <c r="S1947" s="1" t="s">
        <v>34218</v>
      </c>
    </row>
    <row r="1948" spans="1:19" x14ac:dyDescent="0.25">
      <c r="A1948">
        <v>100633770</v>
      </c>
      <c r="B1948" t="s">
        <v>5624</v>
      </c>
      <c r="C1948" t="s">
        <v>5610</v>
      </c>
      <c r="F1948" t="str">
        <f>"9204126645"</f>
        <v>9204126645</v>
      </c>
      <c r="G1948" t="s">
        <v>5625</v>
      </c>
      <c r="H1948" t="s">
        <v>5626</v>
      </c>
      <c r="I1948" t="s">
        <v>100</v>
      </c>
      <c r="J1948">
        <v>54311</v>
      </c>
      <c r="K1948">
        <v>9510</v>
      </c>
      <c r="L1948" t="s">
        <v>23</v>
      </c>
      <c r="M1948" t="s">
        <v>5625</v>
      </c>
      <c r="N1948" t="s">
        <v>5626</v>
      </c>
      <c r="O1948" t="s">
        <v>100</v>
      </c>
      <c r="P1948">
        <v>54311</v>
      </c>
      <c r="Q1948">
        <v>9510</v>
      </c>
      <c r="R1948" t="s">
        <v>23</v>
      </c>
      <c r="S1948" s="1" t="s">
        <v>34218</v>
      </c>
    </row>
    <row r="1949" spans="1:19" x14ac:dyDescent="0.25">
      <c r="A1949">
        <v>100815044</v>
      </c>
      <c r="B1949" t="s">
        <v>5627</v>
      </c>
      <c r="C1949" t="s">
        <v>274</v>
      </c>
      <c r="F1949" t="str">
        <f>"5083613647"</f>
        <v>5083613647</v>
      </c>
      <c r="G1949" t="s">
        <v>5628</v>
      </c>
      <c r="H1949" t="s">
        <v>5629</v>
      </c>
      <c r="I1949" t="s">
        <v>236</v>
      </c>
      <c r="J1949">
        <v>2072</v>
      </c>
      <c r="K1949">
        <v>4914</v>
      </c>
      <c r="L1949" t="s">
        <v>23</v>
      </c>
      <c r="M1949" t="s">
        <v>5628</v>
      </c>
      <c r="N1949" t="s">
        <v>5629</v>
      </c>
      <c r="O1949" t="s">
        <v>236</v>
      </c>
      <c r="P1949">
        <v>2072</v>
      </c>
      <c r="Q1949">
        <v>4914</v>
      </c>
      <c r="R1949" t="s">
        <v>23</v>
      </c>
      <c r="S1949" s="1" t="s">
        <v>34218</v>
      </c>
    </row>
    <row r="1950" spans="1:19" x14ac:dyDescent="0.25">
      <c r="A1950">
        <v>100821011</v>
      </c>
      <c r="B1950" t="s">
        <v>377</v>
      </c>
      <c r="C1950" t="s">
        <v>907</v>
      </c>
      <c r="F1950" t="str">
        <f>"7143172818"</f>
        <v>7143172818</v>
      </c>
      <c r="G1950" t="s">
        <v>5630</v>
      </c>
      <c r="H1950" t="s">
        <v>5535</v>
      </c>
      <c r="I1950" t="s">
        <v>22</v>
      </c>
      <c r="J1950">
        <v>92840</v>
      </c>
      <c r="K1950">
        <v>4208</v>
      </c>
      <c r="L1950" t="s">
        <v>23</v>
      </c>
      <c r="M1950" t="s">
        <v>5630</v>
      </c>
      <c r="N1950" t="s">
        <v>5535</v>
      </c>
      <c r="O1950" t="s">
        <v>22</v>
      </c>
      <c r="P1950">
        <v>92840</v>
      </c>
      <c r="Q1950">
        <v>4208</v>
      </c>
      <c r="R1950" t="s">
        <v>23</v>
      </c>
      <c r="S1950" s="1" t="s">
        <v>34218</v>
      </c>
    </row>
    <row r="1951" spans="1:19" x14ac:dyDescent="0.25">
      <c r="A1951">
        <v>100595650</v>
      </c>
      <c r="B1951" t="s">
        <v>5631</v>
      </c>
      <c r="C1951" t="s">
        <v>119</v>
      </c>
      <c r="F1951" t="str">
        <f>"2193227239"</f>
        <v>2193227239</v>
      </c>
      <c r="G1951" t="s">
        <v>5632</v>
      </c>
      <c r="H1951" t="s">
        <v>5633</v>
      </c>
      <c r="I1951" t="s">
        <v>57</v>
      </c>
      <c r="J1951">
        <v>46375</v>
      </c>
      <c r="K1951">
        <v>2250</v>
      </c>
      <c r="L1951" t="s">
        <v>23</v>
      </c>
      <c r="M1951" t="s">
        <v>5632</v>
      </c>
      <c r="N1951" t="s">
        <v>5633</v>
      </c>
      <c r="O1951" t="s">
        <v>57</v>
      </c>
      <c r="P1951">
        <v>46375</v>
      </c>
      <c r="Q1951">
        <v>2250</v>
      </c>
      <c r="R1951" t="s">
        <v>23</v>
      </c>
      <c r="S1951" s="1" t="s">
        <v>34218</v>
      </c>
    </row>
    <row r="1952" spans="1:19" x14ac:dyDescent="0.25">
      <c r="A1952">
        <v>100640940</v>
      </c>
      <c r="B1952" t="s">
        <v>5634</v>
      </c>
      <c r="C1952" t="s">
        <v>2151</v>
      </c>
      <c r="F1952" t="str">
        <f>"5159724444"</f>
        <v>5159724444</v>
      </c>
      <c r="G1952" t="s">
        <v>5635</v>
      </c>
      <c r="H1952" t="s">
        <v>5636</v>
      </c>
      <c r="I1952" t="s">
        <v>565</v>
      </c>
      <c r="J1952">
        <v>50569</v>
      </c>
      <c r="K1952">
        <v>1214</v>
      </c>
      <c r="L1952" t="s">
        <v>23</v>
      </c>
      <c r="M1952" t="s">
        <v>5635</v>
      </c>
      <c r="N1952" t="s">
        <v>5636</v>
      </c>
      <c r="O1952" t="s">
        <v>565</v>
      </c>
      <c r="P1952">
        <v>50569</v>
      </c>
      <c r="Q1952">
        <v>1214</v>
      </c>
      <c r="R1952" t="s">
        <v>23</v>
      </c>
      <c r="S1952" s="1" t="s">
        <v>34218</v>
      </c>
    </row>
    <row r="1953" spans="1:19" x14ac:dyDescent="0.25">
      <c r="A1953">
        <v>100840614</v>
      </c>
      <c r="B1953" t="s">
        <v>5637</v>
      </c>
      <c r="C1953" t="s">
        <v>123</v>
      </c>
      <c r="F1953" t="str">
        <f>"2222222222"</f>
        <v>2222222222</v>
      </c>
      <c r="G1953" t="s">
        <v>5638</v>
      </c>
      <c r="H1953" t="s">
        <v>5639</v>
      </c>
      <c r="I1953" t="s">
        <v>565</v>
      </c>
      <c r="J1953">
        <v>50613</v>
      </c>
      <c r="K1953">
        <v>8913</v>
      </c>
      <c r="L1953" t="s">
        <v>23</v>
      </c>
      <c r="M1953" t="s">
        <v>5638</v>
      </c>
      <c r="N1953" t="s">
        <v>5639</v>
      </c>
      <c r="O1953" t="s">
        <v>565</v>
      </c>
      <c r="P1953">
        <v>50613</v>
      </c>
      <c r="Q1953">
        <v>8913</v>
      </c>
      <c r="R1953" t="s">
        <v>23</v>
      </c>
      <c r="S1953" s="1" t="s">
        <v>34218</v>
      </c>
    </row>
    <row r="1954" spans="1:19" x14ac:dyDescent="0.25">
      <c r="A1954">
        <v>100853510</v>
      </c>
      <c r="B1954" t="s">
        <v>5640</v>
      </c>
      <c r="C1954" t="s">
        <v>90</v>
      </c>
      <c r="F1954" t="str">
        <f>"9209220629"</f>
        <v>9209220629</v>
      </c>
      <c r="G1954" t="s">
        <v>5641</v>
      </c>
      <c r="H1954" t="s">
        <v>792</v>
      </c>
      <c r="I1954" t="s">
        <v>100</v>
      </c>
      <c r="J1954">
        <v>54935</v>
      </c>
      <c r="K1954">
        <v>5436</v>
      </c>
      <c r="L1954" t="s">
        <v>23</v>
      </c>
      <c r="M1954" t="s">
        <v>5641</v>
      </c>
      <c r="N1954" t="s">
        <v>792</v>
      </c>
      <c r="O1954" t="s">
        <v>100</v>
      </c>
      <c r="P1954">
        <v>54935</v>
      </c>
      <c r="Q1954">
        <v>5436</v>
      </c>
      <c r="R1954" t="s">
        <v>23</v>
      </c>
      <c r="S1954" s="1" t="s">
        <v>34218</v>
      </c>
    </row>
    <row r="1955" spans="1:19" x14ac:dyDescent="0.25">
      <c r="A1955">
        <v>100924695</v>
      </c>
      <c r="B1955" t="s">
        <v>5642</v>
      </c>
      <c r="C1955" t="s">
        <v>1441</v>
      </c>
      <c r="F1955" t="str">
        <f>"4026722931"</f>
        <v>4026722931</v>
      </c>
      <c r="G1955" t="s">
        <v>5643</v>
      </c>
      <c r="H1955" t="s">
        <v>5644</v>
      </c>
      <c r="I1955" t="s">
        <v>370</v>
      </c>
      <c r="J1955">
        <v>68108</v>
      </c>
      <c r="K1955">
        <v>3139</v>
      </c>
      <c r="L1955" t="s">
        <v>23</v>
      </c>
      <c r="M1955" t="s">
        <v>5643</v>
      </c>
      <c r="N1955" t="s">
        <v>5644</v>
      </c>
      <c r="O1955" t="s">
        <v>370</v>
      </c>
      <c r="P1955">
        <v>68108</v>
      </c>
      <c r="Q1955">
        <v>3139</v>
      </c>
      <c r="R1955" t="s">
        <v>23</v>
      </c>
      <c r="S1955" s="1" t="s">
        <v>34218</v>
      </c>
    </row>
    <row r="1956" spans="1:19" x14ac:dyDescent="0.25">
      <c r="A1956">
        <v>101448202</v>
      </c>
      <c r="B1956" t="s">
        <v>5645</v>
      </c>
      <c r="C1956" t="s">
        <v>286</v>
      </c>
      <c r="F1956" t="str">
        <f>"8589451430"</f>
        <v>8589451430</v>
      </c>
      <c r="G1956" t="s">
        <v>5646</v>
      </c>
      <c r="H1956" t="s">
        <v>1780</v>
      </c>
      <c r="I1956" t="s">
        <v>22</v>
      </c>
      <c r="J1956">
        <v>92024</v>
      </c>
      <c r="K1956">
        <v>1528</v>
      </c>
      <c r="L1956" t="s">
        <v>23</v>
      </c>
      <c r="M1956" t="s">
        <v>5646</v>
      </c>
      <c r="N1956" t="s">
        <v>1780</v>
      </c>
      <c r="O1956" t="s">
        <v>22</v>
      </c>
      <c r="P1956">
        <v>92024</v>
      </c>
      <c r="Q1956">
        <v>1528</v>
      </c>
      <c r="R1956" t="s">
        <v>23</v>
      </c>
      <c r="S1956" s="1" t="s">
        <v>34218</v>
      </c>
    </row>
    <row r="1957" spans="1:19" x14ac:dyDescent="0.25">
      <c r="A1957">
        <v>100678464</v>
      </c>
      <c r="B1957" t="s">
        <v>5647</v>
      </c>
      <c r="C1957" t="s">
        <v>5648</v>
      </c>
      <c r="F1957" t="str">
        <f>"5085551212"</f>
        <v>5085551212</v>
      </c>
      <c r="G1957" t="s">
        <v>5649</v>
      </c>
      <c r="H1957" t="s">
        <v>5650</v>
      </c>
      <c r="I1957" t="s">
        <v>236</v>
      </c>
      <c r="J1957">
        <v>2540</v>
      </c>
      <c r="K1957">
        <v>2912</v>
      </c>
      <c r="L1957" t="s">
        <v>23</v>
      </c>
      <c r="M1957" t="s">
        <v>5649</v>
      </c>
      <c r="N1957" t="s">
        <v>5650</v>
      </c>
      <c r="O1957" t="s">
        <v>236</v>
      </c>
      <c r="P1957">
        <v>2540</v>
      </c>
      <c r="Q1957">
        <v>2912</v>
      </c>
      <c r="R1957" t="s">
        <v>23</v>
      </c>
      <c r="S1957" s="1" t="s">
        <v>34218</v>
      </c>
    </row>
    <row r="1958" spans="1:19" x14ac:dyDescent="0.25">
      <c r="A1958">
        <v>100881390</v>
      </c>
      <c r="B1958" t="s">
        <v>5651</v>
      </c>
      <c r="C1958" t="s">
        <v>2557</v>
      </c>
      <c r="F1958" t="str">
        <f>"8314239059"</f>
        <v>8314239059</v>
      </c>
      <c r="G1958" t="s">
        <v>5652</v>
      </c>
      <c r="H1958" t="s">
        <v>1293</v>
      </c>
      <c r="I1958" t="s">
        <v>22</v>
      </c>
      <c r="J1958">
        <v>95065</v>
      </c>
      <c r="K1958">
        <v>9660</v>
      </c>
      <c r="L1958" t="s">
        <v>23</v>
      </c>
      <c r="M1958" t="s">
        <v>5652</v>
      </c>
      <c r="N1958" t="s">
        <v>1293</v>
      </c>
      <c r="O1958" t="s">
        <v>22</v>
      </c>
      <c r="P1958">
        <v>95065</v>
      </c>
      <c r="Q1958">
        <v>9660</v>
      </c>
      <c r="R1958" t="s">
        <v>23</v>
      </c>
      <c r="S1958" s="1" t="s">
        <v>34218</v>
      </c>
    </row>
    <row r="1959" spans="1:19" x14ac:dyDescent="0.25">
      <c r="A1959">
        <v>100887446</v>
      </c>
      <c r="B1959" t="s">
        <v>5653</v>
      </c>
      <c r="C1959" t="s">
        <v>2071</v>
      </c>
      <c r="F1959" t="str">
        <f>"9517800248"</f>
        <v>9517800248</v>
      </c>
      <c r="G1959" t="s">
        <v>5654</v>
      </c>
      <c r="H1959" t="s">
        <v>461</v>
      </c>
      <c r="I1959" t="s">
        <v>22</v>
      </c>
      <c r="J1959">
        <v>92506</v>
      </c>
      <c r="K1959">
        <v>5763</v>
      </c>
      <c r="L1959" t="s">
        <v>23</v>
      </c>
      <c r="M1959" t="s">
        <v>5654</v>
      </c>
      <c r="N1959" t="s">
        <v>461</v>
      </c>
      <c r="O1959" t="s">
        <v>22</v>
      </c>
      <c r="P1959">
        <v>92506</v>
      </c>
      <c r="Q1959">
        <v>5763</v>
      </c>
      <c r="R1959" t="s">
        <v>23</v>
      </c>
      <c r="S1959" s="1" t="s">
        <v>34218</v>
      </c>
    </row>
    <row r="1960" spans="1:19" x14ac:dyDescent="0.25">
      <c r="A1960">
        <v>100705702</v>
      </c>
      <c r="B1960" t="s">
        <v>3535</v>
      </c>
      <c r="C1960" t="s">
        <v>1873</v>
      </c>
      <c r="F1960" t="str">
        <f>"6096380392"</f>
        <v>6096380392</v>
      </c>
      <c r="G1960" t="s">
        <v>5655</v>
      </c>
      <c r="H1960" t="s">
        <v>5656</v>
      </c>
      <c r="I1960" t="s">
        <v>250</v>
      </c>
      <c r="J1960">
        <v>8109</v>
      </c>
      <c r="K1960">
        <v>5403</v>
      </c>
      <c r="L1960" t="s">
        <v>23</v>
      </c>
      <c r="M1960" t="s">
        <v>5655</v>
      </c>
      <c r="N1960" t="s">
        <v>5656</v>
      </c>
      <c r="O1960" t="s">
        <v>250</v>
      </c>
      <c r="P1960">
        <v>8109</v>
      </c>
      <c r="Q1960">
        <v>5403</v>
      </c>
      <c r="R1960" t="s">
        <v>23</v>
      </c>
      <c r="S1960" s="1" t="s">
        <v>34218</v>
      </c>
    </row>
    <row r="1961" spans="1:19" x14ac:dyDescent="0.25">
      <c r="A1961">
        <v>100706044</v>
      </c>
      <c r="B1961" t="s">
        <v>5657</v>
      </c>
      <c r="C1961" t="s">
        <v>535</v>
      </c>
      <c r="F1961" t="str">
        <f>"2165247299"</f>
        <v>2165247299</v>
      </c>
      <c r="G1961" t="s">
        <v>5658</v>
      </c>
      <c r="H1961" t="s">
        <v>4908</v>
      </c>
      <c r="I1961" t="s">
        <v>178</v>
      </c>
      <c r="J1961">
        <v>44131</v>
      </c>
      <c r="K1961">
        <v>3127</v>
      </c>
      <c r="L1961" t="s">
        <v>23</v>
      </c>
      <c r="M1961" t="s">
        <v>5658</v>
      </c>
      <c r="N1961" t="s">
        <v>4908</v>
      </c>
      <c r="O1961" t="s">
        <v>178</v>
      </c>
      <c r="P1961">
        <v>44131</v>
      </c>
      <c r="Q1961">
        <v>3127</v>
      </c>
      <c r="R1961" t="s">
        <v>23</v>
      </c>
      <c r="S1961" s="1" t="s">
        <v>34218</v>
      </c>
    </row>
    <row r="1962" spans="1:19" x14ac:dyDescent="0.25">
      <c r="A1962">
        <v>101109373</v>
      </c>
      <c r="B1962" t="s">
        <v>5659</v>
      </c>
      <c r="C1962" t="s">
        <v>4273</v>
      </c>
      <c r="F1962" t="str">
        <f>"5035310415"</f>
        <v>5035310415</v>
      </c>
      <c r="G1962" t="s">
        <v>5660</v>
      </c>
      <c r="H1962" t="s">
        <v>818</v>
      </c>
      <c r="I1962" t="s">
        <v>43</v>
      </c>
      <c r="J1962">
        <v>97003</v>
      </c>
      <c r="K1962">
        <v>2402</v>
      </c>
      <c r="L1962" t="s">
        <v>23</v>
      </c>
      <c r="M1962" t="s">
        <v>5660</v>
      </c>
      <c r="N1962" t="s">
        <v>818</v>
      </c>
      <c r="O1962" t="s">
        <v>43</v>
      </c>
      <c r="P1962">
        <v>97003</v>
      </c>
      <c r="Q1962">
        <v>2402</v>
      </c>
      <c r="R1962" t="s">
        <v>23</v>
      </c>
      <c r="S1962" s="1" t="s">
        <v>34218</v>
      </c>
    </row>
    <row r="1963" spans="1:19" x14ac:dyDescent="0.25">
      <c r="A1963">
        <v>101104782</v>
      </c>
      <c r="B1963" t="s">
        <v>3510</v>
      </c>
      <c r="C1963" t="s">
        <v>911</v>
      </c>
      <c r="F1963" t="str">
        <f>"5032681074"</f>
        <v>5032681074</v>
      </c>
      <c r="G1963" t="s">
        <v>5661</v>
      </c>
      <c r="H1963" t="s">
        <v>4162</v>
      </c>
      <c r="I1963" t="s">
        <v>43</v>
      </c>
      <c r="J1963">
        <v>97123</v>
      </c>
      <c r="K1963">
        <v>6557</v>
      </c>
      <c r="L1963" t="s">
        <v>23</v>
      </c>
      <c r="M1963" t="s">
        <v>5661</v>
      </c>
      <c r="N1963" t="s">
        <v>4162</v>
      </c>
      <c r="O1963" t="s">
        <v>43</v>
      </c>
      <c r="P1963">
        <v>97123</v>
      </c>
      <c r="Q1963">
        <v>6557</v>
      </c>
      <c r="R1963" t="s">
        <v>23</v>
      </c>
      <c r="S1963" s="1" t="s">
        <v>34218</v>
      </c>
    </row>
    <row r="1964" spans="1:19" x14ac:dyDescent="0.25">
      <c r="A1964">
        <v>101111619</v>
      </c>
      <c r="B1964" t="s">
        <v>5662</v>
      </c>
      <c r="C1964" t="s">
        <v>225</v>
      </c>
      <c r="F1964" t="str">
        <f>"8888888888"</f>
        <v>8888888888</v>
      </c>
      <c r="G1964" t="s">
        <v>5663</v>
      </c>
      <c r="H1964" t="s">
        <v>591</v>
      </c>
      <c r="I1964" t="s">
        <v>84</v>
      </c>
      <c r="J1964">
        <v>98225</v>
      </c>
      <c r="K1964">
        <v>4844</v>
      </c>
      <c r="L1964" t="s">
        <v>23</v>
      </c>
      <c r="M1964" t="s">
        <v>5663</v>
      </c>
      <c r="N1964" t="s">
        <v>591</v>
      </c>
      <c r="O1964" t="s">
        <v>84</v>
      </c>
      <c r="P1964">
        <v>98225</v>
      </c>
      <c r="Q1964">
        <v>4844</v>
      </c>
      <c r="R1964" t="s">
        <v>23</v>
      </c>
      <c r="S1964" s="1" t="s">
        <v>34218</v>
      </c>
    </row>
    <row r="1965" spans="1:19" x14ac:dyDescent="0.25">
      <c r="A1965">
        <v>100947089</v>
      </c>
      <c r="B1965" t="s">
        <v>5664</v>
      </c>
      <c r="C1965" t="s">
        <v>5665</v>
      </c>
      <c r="F1965" t="str">
        <f>"3107093071"</f>
        <v>3107093071</v>
      </c>
      <c r="G1965" t="s">
        <v>5666</v>
      </c>
      <c r="H1965" t="s">
        <v>299</v>
      </c>
      <c r="I1965" t="s">
        <v>22</v>
      </c>
      <c r="J1965">
        <v>90025</v>
      </c>
      <c r="K1965">
        <v>3916</v>
      </c>
      <c r="L1965" t="s">
        <v>23</v>
      </c>
      <c r="M1965" t="s">
        <v>5666</v>
      </c>
      <c r="N1965" t="s">
        <v>299</v>
      </c>
      <c r="O1965" t="s">
        <v>22</v>
      </c>
      <c r="P1965">
        <v>90025</v>
      </c>
      <c r="Q1965">
        <v>3916</v>
      </c>
      <c r="R1965" t="s">
        <v>23</v>
      </c>
      <c r="S1965" s="1" t="s">
        <v>34218</v>
      </c>
    </row>
    <row r="1966" spans="1:19" x14ac:dyDescent="0.25">
      <c r="A1966">
        <v>100960997</v>
      </c>
      <c r="B1966" t="s">
        <v>5667</v>
      </c>
      <c r="C1966" t="s">
        <v>1147</v>
      </c>
      <c r="F1966" t="str">
        <f>"3016518936"</f>
        <v>3016518936</v>
      </c>
      <c r="G1966" t="s">
        <v>5668</v>
      </c>
      <c r="H1966" t="s">
        <v>758</v>
      </c>
      <c r="I1966" t="s">
        <v>148</v>
      </c>
      <c r="J1966">
        <v>20902</v>
      </c>
      <c r="K1966">
        <v>3430</v>
      </c>
      <c r="L1966" t="s">
        <v>23</v>
      </c>
      <c r="M1966" t="s">
        <v>5668</v>
      </c>
      <c r="N1966" t="s">
        <v>758</v>
      </c>
      <c r="O1966" t="s">
        <v>148</v>
      </c>
      <c r="P1966">
        <v>20902</v>
      </c>
      <c r="Q1966">
        <v>3430</v>
      </c>
      <c r="R1966" t="s">
        <v>23</v>
      </c>
      <c r="S1966" s="1" t="s">
        <v>34218</v>
      </c>
    </row>
    <row r="1967" spans="1:19" x14ac:dyDescent="0.25">
      <c r="A1967">
        <v>100965808</v>
      </c>
      <c r="B1967" t="s">
        <v>5669</v>
      </c>
      <c r="C1967" t="s">
        <v>2127</v>
      </c>
      <c r="F1967" t="str">
        <f>"7408142361"</f>
        <v>7408142361</v>
      </c>
      <c r="G1967" t="s">
        <v>5670</v>
      </c>
      <c r="H1967" t="s">
        <v>3169</v>
      </c>
      <c r="I1967" t="s">
        <v>84</v>
      </c>
      <c r="J1967">
        <v>98407</v>
      </c>
      <c r="K1967">
        <v>2515</v>
      </c>
      <c r="L1967" t="s">
        <v>23</v>
      </c>
      <c r="M1967" t="s">
        <v>5670</v>
      </c>
      <c r="N1967" t="s">
        <v>3169</v>
      </c>
      <c r="O1967" t="s">
        <v>84</v>
      </c>
      <c r="P1967">
        <v>98407</v>
      </c>
      <c r="Q1967">
        <v>2515</v>
      </c>
      <c r="R1967" t="s">
        <v>23</v>
      </c>
      <c r="S1967" s="1" t="s">
        <v>34218</v>
      </c>
    </row>
    <row r="1968" spans="1:19" x14ac:dyDescent="0.25">
      <c r="A1968">
        <v>101154647</v>
      </c>
      <c r="B1968" t="s">
        <v>2130</v>
      </c>
      <c r="C1968" t="s">
        <v>5671</v>
      </c>
      <c r="F1968" t="str">
        <f>"8018564393"</f>
        <v>8018564393</v>
      </c>
      <c r="G1968" t="s">
        <v>5672</v>
      </c>
      <c r="H1968" t="s">
        <v>331</v>
      </c>
      <c r="I1968" t="s">
        <v>332</v>
      </c>
      <c r="J1968">
        <v>84121</v>
      </c>
      <c r="K1968">
        <v>4951</v>
      </c>
      <c r="L1968" t="s">
        <v>23</v>
      </c>
      <c r="M1968" t="s">
        <v>5672</v>
      </c>
      <c r="N1968" t="s">
        <v>331</v>
      </c>
      <c r="O1968" t="s">
        <v>332</v>
      </c>
      <c r="P1968">
        <v>84121</v>
      </c>
      <c r="Q1968">
        <v>4951</v>
      </c>
      <c r="R1968" t="s">
        <v>23</v>
      </c>
      <c r="S1968" s="1" t="s">
        <v>34218</v>
      </c>
    </row>
    <row r="1969" spans="1:19" x14ac:dyDescent="0.25">
      <c r="A1969">
        <v>101165531</v>
      </c>
      <c r="B1969" t="s">
        <v>5673</v>
      </c>
      <c r="C1969" t="s">
        <v>30</v>
      </c>
      <c r="F1969" t="str">
        <f>"8142372580"</f>
        <v>8142372580</v>
      </c>
      <c r="G1969" t="s">
        <v>5674</v>
      </c>
      <c r="H1969" t="s">
        <v>5675</v>
      </c>
      <c r="I1969" t="s">
        <v>33</v>
      </c>
      <c r="J1969">
        <v>16803</v>
      </c>
      <c r="K1969">
        <v>2111</v>
      </c>
      <c r="L1969" t="s">
        <v>23</v>
      </c>
      <c r="M1969" t="s">
        <v>5674</v>
      </c>
      <c r="N1969" t="s">
        <v>5675</v>
      </c>
      <c r="O1969" t="s">
        <v>33</v>
      </c>
      <c r="P1969">
        <v>16803</v>
      </c>
      <c r="Q1969">
        <v>2111</v>
      </c>
      <c r="R1969" t="s">
        <v>23</v>
      </c>
      <c r="S1969" s="1" t="s">
        <v>34218</v>
      </c>
    </row>
    <row r="1970" spans="1:19" x14ac:dyDescent="0.25">
      <c r="A1970">
        <v>101019717</v>
      </c>
      <c r="B1970" t="s">
        <v>3123</v>
      </c>
      <c r="C1970" t="s">
        <v>2653</v>
      </c>
      <c r="F1970" t="str">
        <f>"3172084985"</f>
        <v>3172084985</v>
      </c>
      <c r="G1970" t="s">
        <v>5676</v>
      </c>
      <c r="H1970" t="s">
        <v>1951</v>
      </c>
      <c r="I1970" t="s">
        <v>57</v>
      </c>
      <c r="J1970">
        <v>46074</v>
      </c>
      <c r="K1970">
        <v>8875</v>
      </c>
      <c r="L1970" t="s">
        <v>23</v>
      </c>
      <c r="M1970" t="s">
        <v>5676</v>
      </c>
      <c r="N1970" t="s">
        <v>1951</v>
      </c>
      <c r="O1970" t="s">
        <v>57</v>
      </c>
      <c r="P1970">
        <v>46074</v>
      </c>
      <c r="Q1970">
        <v>8875</v>
      </c>
      <c r="R1970" t="s">
        <v>23</v>
      </c>
      <c r="S1970" s="1" t="s">
        <v>34218</v>
      </c>
    </row>
    <row r="1971" spans="1:19" x14ac:dyDescent="0.25">
      <c r="A1971">
        <v>100532246</v>
      </c>
      <c r="B1971" t="s">
        <v>5677</v>
      </c>
      <c r="C1971" t="s">
        <v>5678</v>
      </c>
      <c r="F1971" t="str">
        <f>"2094658906"</f>
        <v>2094658906</v>
      </c>
      <c r="G1971" t="s">
        <v>5679</v>
      </c>
      <c r="H1971" t="s">
        <v>1768</v>
      </c>
      <c r="I1971" t="s">
        <v>22</v>
      </c>
      <c r="J1971">
        <v>95203</v>
      </c>
      <c r="K1971">
        <v>1318</v>
      </c>
      <c r="L1971" t="s">
        <v>23</v>
      </c>
      <c r="M1971" t="s">
        <v>5679</v>
      </c>
      <c r="N1971" t="s">
        <v>1768</v>
      </c>
      <c r="O1971" t="s">
        <v>22</v>
      </c>
      <c r="P1971">
        <v>95203</v>
      </c>
      <c r="Q1971">
        <v>1318</v>
      </c>
      <c r="R1971" t="s">
        <v>23</v>
      </c>
      <c r="S1971" s="1" t="s">
        <v>34218</v>
      </c>
    </row>
    <row r="1972" spans="1:19" x14ac:dyDescent="0.25">
      <c r="A1972">
        <v>100542010</v>
      </c>
      <c r="B1972" t="s">
        <v>5680</v>
      </c>
      <c r="C1972" t="s">
        <v>5681</v>
      </c>
      <c r="F1972" t="str">
        <f>"3214092531"</f>
        <v>3214092531</v>
      </c>
      <c r="G1972" t="s">
        <v>5682</v>
      </c>
      <c r="H1972" t="s">
        <v>5683</v>
      </c>
      <c r="I1972" t="s">
        <v>52</v>
      </c>
      <c r="J1972">
        <v>32927</v>
      </c>
      <c r="K1972">
        <v>8440</v>
      </c>
      <c r="L1972" t="s">
        <v>23</v>
      </c>
      <c r="M1972" t="s">
        <v>5682</v>
      </c>
      <c r="N1972" t="s">
        <v>5683</v>
      </c>
      <c r="O1972" t="s">
        <v>52</v>
      </c>
      <c r="P1972">
        <v>32927</v>
      </c>
      <c r="Q1972">
        <v>8440</v>
      </c>
      <c r="R1972" t="s">
        <v>23</v>
      </c>
      <c r="S1972" s="1" t="s">
        <v>34218</v>
      </c>
    </row>
    <row r="1973" spans="1:19" x14ac:dyDescent="0.25">
      <c r="A1973">
        <v>100816841</v>
      </c>
      <c r="B1973" t="s">
        <v>4139</v>
      </c>
      <c r="C1973" t="s">
        <v>4407</v>
      </c>
      <c r="F1973" t="str">
        <f>"4323623132"</f>
        <v>4323623132</v>
      </c>
      <c r="G1973" t="s">
        <v>5684</v>
      </c>
      <c r="H1973" t="s">
        <v>5685</v>
      </c>
      <c r="I1973" t="s">
        <v>38</v>
      </c>
      <c r="J1973">
        <v>79768</v>
      </c>
      <c r="K1973">
        <v>2033</v>
      </c>
      <c r="L1973" t="s">
        <v>23</v>
      </c>
      <c r="M1973" t="s">
        <v>5684</v>
      </c>
      <c r="N1973" t="s">
        <v>5685</v>
      </c>
      <c r="O1973" t="s">
        <v>38</v>
      </c>
      <c r="P1973">
        <v>79768</v>
      </c>
      <c r="Q1973">
        <v>2033</v>
      </c>
      <c r="R1973" t="s">
        <v>23</v>
      </c>
      <c r="S1973" s="1" t="s">
        <v>34218</v>
      </c>
    </row>
    <row r="1974" spans="1:19" x14ac:dyDescent="0.25">
      <c r="A1974">
        <v>100666997</v>
      </c>
      <c r="B1974" t="s">
        <v>5686</v>
      </c>
      <c r="C1974" t="s">
        <v>4502</v>
      </c>
      <c r="F1974" t="str">
        <f>"2034831458"</f>
        <v>2034831458</v>
      </c>
      <c r="G1974" t="s">
        <v>5687</v>
      </c>
      <c r="H1974" t="s">
        <v>5688</v>
      </c>
      <c r="I1974" t="s">
        <v>161</v>
      </c>
      <c r="J1974">
        <v>6405</v>
      </c>
      <c r="K1974">
        <v>1355</v>
      </c>
      <c r="L1974" t="s">
        <v>23</v>
      </c>
      <c r="M1974" t="s">
        <v>5687</v>
      </c>
      <c r="N1974" t="s">
        <v>5688</v>
      </c>
      <c r="O1974" t="s">
        <v>161</v>
      </c>
      <c r="P1974">
        <v>6405</v>
      </c>
      <c r="Q1974">
        <v>1355</v>
      </c>
      <c r="R1974" t="s">
        <v>23</v>
      </c>
      <c r="S1974" s="1" t="s">
        <v>34218</v>
      </c>
    </row>
    <row r="1975" spans="1:19" x14ac:dyDescent="0.25">
      <c r="A1975">
        <v>100680646</v>
      </c>
      <c r="B1975" t="s">
        <v>4440</v>
      </c>
      <c r="C1975" t="s">
        <v>1218</v>
      </c>
      <c r="F1975" t="str">
        <f>"9207664185"</f>
        <v>9207664185</v>
      </c>
      <c r="G1975" t="s">
        <v>5689</v>
      </c>
      <c r="H1975" t="s">
        <v>5690</v>
      </c>
      <c r="I1975" t="s">
        <v>100</v>
      </c>
      <c r="J1975">
        <v>54130</v>
      </c>
      <c r="K1975">
        <v>1803</v>
      </c>
      <c r="L1975" t="s">
        <v>23</v>
      </c>
      <c r="M1975" t="s">
        <v>5689</v>
      </c>
      <c r="N1975" t="s">
        <v>5690</v>
      </c>
      <c r="O1975" t="s">
        <v>100</v>
      </c>
      <c r="P1975">
        <v>54130</v>
      </c>
      <c r="Q1975">
        <v>1803</v>
      </c>
      <c r="R1975" t="s">
        <v>23</v>
      </c>
      <c r="S1975" s="1" t="s">
        <v>34218</v>
      </c>
    </row>
    <row r="1976" spans="1:19" x14ac:dyDescent="0.25">
      <c r="A1976">
        <v>100876734</v>
      </c>
      <c r="B1976" t="s">
        <v>3450</v>
      </c>
      <c r="C1976" t="s">
        <v>313</v>
      </c>
      <c r="F1976" t="str">
        <f>"4105551212"</f>
        <v>4105551212</v>
      </c>
      <c r="G1976" t="s">
        <v>5691</v>
      </c>
      <c r="H1976" t="s">
        <v>3668</v>
      </c>
      <c r="I1976" t="s">
        <v>148</v>
      </c>
      <c r="J1976">
        <v>21234</v>
      </c>
      <c r="K1976">
        <v>3319</v>
      </c>
      <c r="L1976" t="s">
        <v>23</v>
      </c>
      <c r="M1976" t="s">
        <v>5691</v>
      </c>
      <c r="N1976" t="s">
        <v>3668</v>
      </c>
      <c r="O1976" t="s">
        <v>148</v>
      </c>
      <c r="P1976">
        <v>21234</v>
      </c>
      <c r="Q1976">
        <v>3319</v>
      </c>
      <c r="R1976" t="s">
        <v>23</v>
      </c>
      <c r="S1976" s="1" t="s">
        <v>34218</v>
      </c>
    </row>
    <row r="1977" spans="1:19" x14ac:dyDescent="0.25">
      <c r="A1977">
        <v>100879052</v>
      </c>
      <c r="B1977" t="s">
        <v>5692</v>
      </c>
      <c r="C1977" t="s">
        <v>644</v>
      </c>
      <c r="F1977" t="str">
        <f>"6034445617"</f>
        <v>6034445617</v>
      </c>
      <c r="G1977" t="s">
        <v>5693</v>
      </c>
      <c r="H1977" t="s">
        <v>4069</v>
      </c>
      <c r="I1977" t="s">
        <v>353</v>
      </c>
      <c r="J1977">
        <v>3561</v>
      </c>
      <c r="K1977">
        <v>3902</v>
      </c>
      <c r="L1977" t="s">
        <v>23</v>
      </c>
      <c r="M1977" t="s">
        <v>5693</v>
      </c>
      <c r="N1977" t="s">
        <v>4069</v>
      </c>
      <c r="O1977" t="s">
        <v>353</v>
      </c>
      <c r="P1977">
        <v>3561</v>
      </c>
      <c r="Q1977">
        <v>3902</v>
      </c>
      <c r="R1977" t="s">
        <v>23</v>
      </c>
      <c r="S1977" s="1" t="s">
        <v>34218</v>
      </c>
    </row>
    <row r="1978" spans="1:19" x14ac:dyDescent="0.25">
      <c r="A1978">
        <v>100879115</v>
      </c>
      <c r="B1978" t="s">
        <v>5694</v>
      </c>
      <c r="C1978" t="s">
        <v>5695</v>
      </c>
      <c r="F1978" t="str">
        <f>"6315435149"</f>
        <v>6315435149</v>
      </c>
      <c r="G1978" t="s">
        <v>5696</v>
      </c>
      <c r="H1978" t="s">
        <v>5697</v>
      </c>
      <c r="I1978" t="s">
        <v>117</v>
      </c>
      <c r="J1978">
        <v>11725</v>
      </c>
      <c r="K1978">
        <v>1342</v>
      </c>
      <c r="L1978" t="s">
        <v>23</v>
      </c>
      <c r="M1978" t="s">
        <v>5696</v>
      </c>
      <c r="N1978" t="s">
        <v>5697</v>
      </c>
      <c r="O1978" t="s">
        <v>117</v>
      </c>
      <c r="P1978">
        <v>11725</v>
      </c>
      <c r="Q1978">
        <v>1342</v>
      </c>
      <c r="R1978" t="s">
        <v>23</v>
      </c>
      <c r="S1978" s="1" t="s">
        <v>34218</v>
      </c>
    </row>
    <row r="1979" spans="1:19" x14ac:dyDescent="0.25">
      <c r="A1979">
        <v>100527649</v>
      </c>
      <c r="B1979" t="s">
        <v>5698</v>
      </c>
      <c r="C1979" t="s">
        <v>543</v>
      </c>
      <c r="F1979" t="str">
        <f>"8456796001"</f>
        <v>8456796001</v>
      </c>
      <c r="G1979" t="s">
        <v>5699</v>
      </c>
      <c r="H1979" t="s">
        <v>5700</v>
      </c>
      <c r="I1979" t="s">
        <v>117</v>
      </c>
      <c r="J1979">
        <v>12498</v>
      </c>
      <c r="K1979">
        <v>2247</v>
      </c>
      <c r="L1979" t="s">
        <v>23</v>
      </c>
      <c r="M1979" t="s">
        <v>5699</v>
      </c>
      <c r="N1979" t="s">
        <v>5700</v>
      </c>
      <c r="O1979" t="s">
        <v>117</v>
      </c>
      <c r="P1979">
        <v>12498</v>
      </c>
      <c r="Q1979">
        <v>2247</v>
      </c>
      <c r="R1979" t="s">
        <v>23</v>
      </c>
      <c r="S1979" s="1" t="s">
        <v>34218</v>
      </c>
    </row>
    <row r="1980" spans="1:19" x14ac:dyDescent="0.25">
      <c r="A1980">
        <v>100548147</v>
      </c>
      <c r="B1980" t="s">
        <v>303</v>
      </c>
      <c r="C1980" t="s">
        <v>3376</v>
      </c>
      <c r="F1980" t="str">
        <f>"3342714458"</f>
        <v>3342714458</v>
      </c>
      <c r="G1980" t="s">
        <v>5701</v>
      </c>
      <c r="H1980" t="s">
        <v>1561</v>
      </c>
      <c r="I1980" t="s">
        <v>1387</v>
      </c>
      <c r="J1980">
        <v>36109</v>
      </c>
      <c r="K1980">
        <v>4613</v>
      </c>
      <c r="L1980" t="s">
        <v>23</v>
      </c>
      <c r="M1980" t="s">
        <v>5701</v>
      </c>
      <c r="N1980" t="s">
        <v>1561</v>
      </c>
      <c r="O1980" t="s">
        <v>1387</v>
      </c>
      <c r="P1980">
        <v>36109</v>
      </c>
      <c r="Q1980">
        <v>4613</v>
      </c>
      <c r="R1980" t="s">
        <v>23</v>
      </c>
      <c r="S1980" s="1" t="s">
        <v>34218</v>
      </c>
    </row>
    <row r="1981" spans="1:19" x14ac:dyDescent="0.25">
      <c r="A1981">
        <v>100565497</v>
      </c>
      <c r="B1981" t="s">
        <v>5702</v>
      </c>
      <c r="C1981" t="s">
        <v>286</v>
      </c>
      <c r="F1981" t="str">
        <f>"5704898409"</f>
        <v>5704898409</v>
      </c>
      <c r="G1981" t="s">
        <v>5703</v>
      </c>
      <c r="H1981" t="s">
        <v>5704</v>
      </c>
      <c r="I1981" t="s">
        <v>33</v>
      </c>
      <c r="J1981">
        <v>18519</v>
      </c>
      <c r="K1981">
        <v>1429</v>
      </c>
      <c r="L1981" t="s">
        <v>23</v>
      </c>
      <c r="M1981" t="s">
        <v>5703</v>
      </c>
      <c r="N1981" t="s">
        <v>5704</v>
      </c>
      <c r="O1981" t="s">
        <v>33</v>
      </c>
      <c r="P1981">
        <v>18519</v>
      </c>
      <c r="Q1981">
        <v>1429</v>
      </c>
      <c r="R1981" t="s">
        <v>23</v>
      </c>
      <c r="S1981" s="1" t="s">
        <v>34218</v>
      </c>
    </row>
    <row r="1982" spans="1:19" x14ac:dyDescent="0.25">
      <c r="A1982">
        <v>100569681</v>
      </c>
      <c r="B1982" t="s">
        <v>5705</v>
      </c>
      <c r="C1982" t="s">
        <v>2642</v>
      </c>
      <c r="F1982" t="str">
        <f>"9524324942"</f>
        <v>9524324942</v>
      </c>
      <c r="G1982" t="s">
        <v>5706</v>
      </c>
      <c r="H1982" t="s">
        <v>1405</v>
      </c>
      <c r="I1982" t="s">
        <v>187</v>
      </c>
      <c r="J1982">
        <v>55124</v>
      </c>
      <c r="K1982">
        <v>7142</v>
      </c>
      <c r="L1982" t="s">
        <v>23</v>
      </c>
      <c r="M1982" t="s">
        <v>5706</v>
      </c>
      <c r="N1982" t="s">
        <v>1405</v>
      </c>
      <c r="O1982" t="s">
        <v>187</v>
      </c>
      <c r="P1982">
        <v>55124</v>
      </c>
      <c r="Q1982">
        <v>7142</v>
      </c>
      <c r="R1982" t="s">
        <v>23</v>
      </c>
      <c r="S1982" s="1" t="s">
        <v>34218</v>
      </c>
    </row>
    <row r="1983" spans="1:19" x14ac:dyDescent="0.25">
      <c r="A1983">
        <v>100766261</v>
      </c>
      <c r="B1983" t="s">
        <v>5432</v>
      </c>
      <c r="C1983" t="s">
        <v>145</v>
      </c>
      <c r="F1983" t="str">
        <f>"8472721670"</f>
        <v>8472721670</v>
      </c>
      <c r="G1983" t="s">
        <v>5707</v>
      </c>
      <c r="H1983" t="s">
        <v>2139</v>
      </c>
      <c r="I1983" t="s">
        <v>135</v>
      </c>
      <c r="J1983">
        <v>60062</v>
      </c>
      <c r="K1983">
        <v>4650</v>
      </c>
      <c r="L1983" t="s">
        <v>23</v>
      </c>
      <c r="M1983" t="s">
        <v>5707</v>
      </c>
      <c r="N1983" t="s">
        <v>2139</v>
      </c>
      <c r="O1983" t="s">
        <v>135</v>
      </c>
      <c r="P1983">
        <v>60062</v>
      </c>
      <c r="Q1983">
        <v>4650</v>
      </c>
      <c r="R1983" t="s">
        <v>23</v>
      </c>
      <c r="S1983" s="1" t="s">
        <v>34218</v>
      </c>
    </row>
    <row r="1984" spans="1:19" x14ac:dyDescent="0.25">
      <c r="A1984">
        <v>100810152</v>
      </c>
      <c r="B1984" t="s">
        <v>5708</v>
      </c>
      <c r="C1984" t="s">
        <v>5709</v>
      </c>
      <c r="F1984" t="str">
        <f>"5107122576"</f>
        <v>5107122576</v>
      </c>
      <c r="G1984" t="s">
        <v>5710</v>
      </c>
      <c r="H1984" t="s">
        <v>88</v>
      </c>
      <c r="I1984" t="s">
        <v>22</v>
      </c>
      <c r="J1984">
        <v>94621</v>
      </c>
      <c r="K1984">
        <v>3962</v>
      </c>
      <c r="L1984" t="s">
        <v>23</v>
      </c>
      <c r="M1984" t="s">
        <v>5710</v>
      </c>
      <c r="N1984" t="s">
        <v>88</v>
      </c>
      <c r="O1984" t="s">
        <v>22</v>
      </c>
      <c r="P1984">
        <v>94621</v>
      </c>
      <c r="Q1984">
        <v>3962</v>
      </c>
      <c r="R1984" t="s">
        <v>23</v>
      </c>
      <c r="S1984" s="1" t="s">
        <v>34218</v>
      </c>
    </row>
    <row r="1985" spans="1:19" x14ac:dyDescent="0.25">
      <c r="A1985">
        <v>101025753</v>
      </c>
      <c r="B1985" t="s">
        <v>247</v>
      </c>
      <c r="C1985" t="s">
        <v>5711</v>
      </c>
      <c r="F1985" t="str">
        <f>"6508518641"</f>
        <v>6508518641</v>
      </c>
      <c r="G1985" t="s">
        <v>5712</v>
      </c>
      <c r="H1985" t="s">
        <v>1287</v>
      </c>
      <c r="I1985" t="s">
        <v>22</v>
      </c>
      <c r="J1985">
        <v>94062</v>
      </c>
      <c r="K1985">
        <v>4307</v>
      </c>
      <c r="L1985" t="s">
        <v>23</v>
      </c>
      <c r="M1985" t="s">
        <v>5712</v>
      </c>
      <c r="N1985" t="s">
        <v>1287</v>
      </c>
      <c r="O1985" t="s">
        <v>22</v>
      </c>
      <c r="P1985">
        <v>94062</v>
      </c>
      <c r="Q1985">
        <v>4307</v>
      </c>
      <c r="R1985" t="s">
        <v>23</v>
      </c>
      <c r="S1985" s="1" t="s">
        <v>34218</v>
      </c>
    </row>
    <row r="1986" spans="1:19" x14ac:dyDescent="0.25">
      <c r="A1986">
        <v>100647353</v>
      </c>
      <c r="B1986" t="s">
        <v>5713</v>
      </c>
      <c r="C1986" t="s">
        <v>5714</v>
      </c>
      <c r="D1986" t="s">
        <v>383</v>
      </c>
      <c r="F1986" t="str">
        <f>"4156514900"</f>
        <v>4156514900</v>
      </c>
      <c r="G1986" t="s">
        <v>5715</v>
      </c>
      <c r="H1986" t="s">
        <v>130</v>
      </c>
      <c r="I1986" t="s">
        <v>22</v>
      </c>
      <c r="J1986">
        <v>94115</v>
      </c>
      <c r="K1986">
        <v>2948</v>
      </c>
      <c r="L1986" t="s">
        <v>23</v>
      </c>
      <c r="M1986" t="s">
        <v>5715</v>
      </c>
      <c r="N1986" t="s">
        <v>130</v>
      </c>
      <c r="O1986" t="s">
        <v>22</v>
      </c>
      <c r="P1986">
        <v>94115</v>
      </c>
      <c r="Q1986">
        <v>2948</v>
      </c>
      <c r="R1986" t="s">
        <v>23</v>
      </c>
      <c r="S1986" s="1" t="s">
        <v>34218</v>
      </c>
    </row>
    <row r="1987" spans="1:19" x14ac:dyDescent="0.25">
      <c r="A1987">
        <v>100845149</v>
      </c>
      <c r="B1987" t="s">
        <v>5716</v>
      </c>
      <c r="C1987" t="s">
        <v>535</v>
      </c>
      <c r="F1987" t="str">
        <f>"5302727261"</f>
        <v>5302727261</v>
      </c>
      <c r="G1987" t="s">
        <v>5717</v>
      </c>
      <c r="H1987" t="s">
        <v>2674</v>
      </c>
      <c r="I1987" t="s">
        <v>22</v>
      </c>
      <c r="J1987">
        <v>95949</v>
      </c>
      <c r="K1987">
        <v>7658</v>
      </c>
      <c r="L1987" t="s">
        <v>23</v>
      </c>
      <c r="M1987" t="s">
        <v>5717</v>
      </c>
      <c r="N1987" t="s">
        <v>2674</v>
      </c>
      <c r="O1987" t="s">
        <v>22</v>
      </c>
      <c r="P1987">
        <v>95949</v>
      </c>
      <c r="Q1987">
        <v>7658</v>
      </c>
      <c r="R1987" t="s">
        <v>23</v>
      </c>
      <c r="S1987" s="1" t="s">
        <v>34218</v>
      </c>
    </row>
    <row r="1988" spans="1:19" x14ac:dyDescent="0.25">
      <c r="A1988">
        <v>101082280</v>
      </c>
      <c r="B1988" t="s">
        <v>5718</v>
      </c>
      <c r="C1988" t="s">
        <v>5719</v>
      </c>
      <c r="F1988" t="str">
        <f>"4122867835"</f>
        <v>4122867835</v>
      </c>
      <c r="G1988" t="s">
        <v>5720</v>
      </c>
      <c r="H1988" t="s">
        <v>3363</v>
      </c>
      <c r="I1988" t="s">
        <v>33</v>
      </c>
      <c r="J1988">
        <v>15218</v>
      </c>
      <c r="K1988">
        <v>1001</v>
      </c>
      <c r="L1988" t="s">
        <v>23</v>
      </c>
      <c r="M1988" t="s">
        <v>5720</v>
      </c>
      <c r="N1988" t="s">
        <v>3363</v>
      </c>
      <c r="O1988" t="s">
        <v>33</v>
      </c>
      <c r="P1988">
        <v>15218</v>
      </c>
      <c r="Q1988">
        <v>1001</v>
      </c>
      <c r="R1988" t="s">
        <v>23</v>
      </c>
      <c r="S1988" s="1" t="s">
        <v>34218</v>
      </c>
    </row>
    <row r="1989" spans="1:19" x14ac:dyDescent="0.25">
      <c r="A1989">
        <v>100747719</v>
      </c>
      <c r="B1989" t="s">
        <v>5721</v>
      </c>
      <c r="C1989" t="s">
        <v>406</v>
      </c>
      <c r="F1989" t="str">
        <f>"7154624322"</f>
        <v>7154624322</v>
      </c>
      <c r="G1989" t="s">
        <v>520</v>
      </c>
      <c r="H1989" t="s">
        <v>521</v>
      </c>
      <c r="I1989" t="s">
        <v>100</v>
      </c>
      <c r="J1989">
        <v>54843</v>
      </c>
      <c r="K1989">
        <v>4093</v>
      </c>
      <c r="L1989" t="s">
        <v>23</v>
      </c>
      <c r="M1989" t="s">
        <v>520</v>
      </c>
      <c r="N1989" t="s">
        <v>521</v>
      </c>
      <c r="O1989" t="s">
        <v>100</v>
      </c>
      <c r="P1989">
        <v>54843</v>
      </c>
      <c r="Q1989">
        <v>4093</v>
      </c>
      <c r="R1989" t="s">
        <v>23</v>
      </c>
      <c r="S1989" s="1" t="s">
        <v>34218</v>
      </c>
    </row>
    <row r="1990" spans="1:19" x14ac:dyDescent="0.25">
      <c r="A1990">
        <v>100747731</v>
      </c>
      <c r="B1990" t="s">
        <v>5722</v>
      </c>
      <c r="C1990" t="s">
        <v>5723</v>
      </c>
      <c r="F1990" t="str">
        <f>"9285261801"</f>
        <v>9285261801</v>
      </c>
      <c r="G1990" t="s">
        <v>5724</v>
      </c>
      <c r="H1990" t="s">
        <v>1113</v>
      </c>
      <c r="I1990" t="s">
        <v>365</v>
      </c>
      <c r="J1990">
        <v>86005</v>
      </c>
      <c r="K1990">
        <v>6925</v>
      </c>
      <c r="L1990" t="s">
        <v>23</v>
      </c>
      <c r="M1990" t="s">
        <v>5724</v>
      </c>
      <c r="N1990" t="s">
        <v>1113</v>
      </c>
      <c r="O1990" t="s">
        <v>365</v>
      </c>
      <c r="P1990">
        <v>86005</v>
      </c>
      <c r="Q1990">
        <v>6925</v>
      </c>
      <c r="R1990" t="s">
        <v>23</v>
      </c>
      <c r="S1990" s="1" t="s">
        <v>34218</v>
      </c>
    </row>
    <row r="1991" spans="1:19" x14ac:dyDescent="0.25">
      <c r="A1991">
        <v>101052469</v>
      </c>
      <c r="B1991" t="s">
        <v>3893</v>
      </c>
      <c r="C1991" t="s">
        <v>522</v>
      </c>
      <c r="F1991" t="str">
        <f>"5302653696"</f>
        <v>5302653696</v>
      </c>
      <c r="G1991" t="s">
        <v>5725</v>
      </c>
      <c r="H1991" t="s">
        <v>3230</v>
      </c>
      <c r="I1991" t="s">
        <v>22</v>
      </c>
      <c r="J1991">
        <v>95959</v>
      </c>
      <c r="K1991">
        <v>2856</v>
      </c>
      <c r="L1991" t="s">
        <v>23</v>
      </c>
      <c r="M1991" t="s">
        <v>5725</v>
      </c>
      <c r="N1991" t="s">
        <v>3230</v>
      </c>
      <c r="O1991" t="s">
        <v>22</v>
      </c>
      <c r="P1991">
        <v>95959</v>
      </c>
      <c r="Q1991">
        <v>2856</v>
      </c>
      <c r="R1991" t="s">
        <v>23</v>
      </c>
      <c r="S1991" s="1" t="s">
        <v>34218</v>
      </c>
    </row>
    <row r="1992" spans="1:19" x14ac:dyDescent="0.25">
      <c r="A1992">
        <v>101275905</v>
      </c>
      <c r="B1992" t="s">
        <v>5726</v>
      </c>
      <c r="C1992" t="s">
        <v>40</v>
      </c>
      <c r="F1992" t="str">
        <f>"5052275639"</f>
        <v>5052275639</v>
      </c>
      <c r="G1992" t="s">
        <v>5727</v>
      </c>
      <c r="H1992" t="s">
        <v>2313</v>
      </c>
      <c r="I1992" t="s">
        <v>639</v>
      </c>
      <c r="J1992">
        <v>87174</v>
      </c>
      <c r="K1992">
        <v>333</v>
      </c>
      <c r="L1992" t="s">
        <v>23</v>
      </c>
      <c r="M1992" t="s">
        <v>5727</v>
      </c>
      <c r="N1992" t="s">
        <v>2313</v>
      </c>
      <c r="O1992" t="s">
        <v>639</v>
      </c>
      <c r="P1992">
        <v>87174</v>
      </c>
      <c r="Q1992">
        <v>333</v>
      </c>
      <c r="R1992" t="s">
        <v>23</v>
      </c>
      <c r="S1992" s="1" t="s">
        <v>34218</v>
      </c>
    </row>
    <row r="1993" spans="1:19" x14ac:dyDescent="0.25">
      <c r="A1993">
        <v>101288444</v>
      </c>
      <c r="B1993" t="s">
        <v>1168</v>
      </c>
      <c r="C1993" t="s">
        <v>390</v>
      </c>
      <c r="F1993" t="str">
        <f>"2063704513"</f>
        <v>2063704513</v>
      </c>
      <c r="G1993" t="s">
        <v>5728</v>
      </c>
      <c r="H1993" t="s">
        <v>5729</v>
      </c>
      <c r="I1993" t="s">
        <v>84</v>
      </c>
      <c r="J1993">
        <v>98188</v>
      </c>
      <c r="K1993">
        <v>2525</v>
      </c>
      <c r="L1993" t="s">
        <v>23</v>
      </c>
      <c r="M1993" t="s">
        <v>5728</v>
      </c>
      <c r="N1993" t="s">
        <v>5729</v>
      </c>
      <c r="O1993" t="s">
        <v>84</v>
      </c>
      <c r="P1993">
        <v>98188</v>
      </c>
      <c r="Q1993">
        <v>2525</v>
      </c>
      <c r="R1993" t="s">
        <v>23</v>
      </c>
      <c r="S1993" s="1" t="s">
        <v>34218</v>
      </c>
    </row>
    <row r="1994" spans="1:19" x14ac:dyDescent="0.25">
      <c r="A1994">
        <v>101290512</v>
      </c>
      <c r="B1994" t="s">
        <v>5730</v>
      </c>
      <c r="C1994" t="s">
        <v>1450</v>
      </c>
      <c r="F1994" t="str">
        <f>"2405650030"</f>
        <v>2405650030</v>
      </c>
      <c r="G1994" t="s">
        <v>5731</v>
      </c>
      <c r="H1994" t="s">
        <v>5732</v>
      </c>
      <c r="I1994" t="s">
        <v>148</v>
      </c>
      <c r="J1994">
        <v>21042</v>
      </c>
      <c r="K1994">
        <v>5325</v>
      </c>
      <c r="L1994" t="s">
        <v>23</v>
      </c>
      <c r="M1994" t="s">
        <v>5731</v>
      </c>
      <c r="N1994" t="s">
        <v>5732</v>
      </c>
      <c r="O1994" t="s">
        <v>148</v>
      </c>
      <c r="P1994">
        <v>21042</v>
      </c>
      <c r="Q1994">
        <v>5325</v>
      </c>
      <c r="R1994" t="s">
        <v>23</v>
      </c>
      <c r="S1994" s="1" t="s">
        <v>34218</v>
      </c>
    </row>
    <row r="1995" spans="1:19" x14ac:dyDescent="0.25">
      <c r="A1995">
        <v>101305469</v>
      </c>
      <c r="B1995" t="s">
        <v>5733</v>
      </c>
      <c r="C1995" t="s">
        <v>1835</v>
      </c>
      <c r="F1995" t="str">
        <f>"5707487511"</f>
        <v>5707487511</v>
      </c>
      <c r="G1995" t="s">
        <v>5734</v>
      </c>
      <c r="H1995" t="s">
        <v>5735</v>
      </c>
      <c r="I1995" t="s">
        <v>33</v>
      </c>
      <c r="J1995">
        <v>17745</v>
      </c>
      <c r="K1995">
        <v>8153</v>
      </c>
      <c r="L1995" t="s">
        <v>23</v>
      </c>
      <c r="M1995" t="s">
        <v>5734</v>
      </c>
      <c r="N1995" t="s">
        <v>5735</v>
      </c>
      <c r="O1995" t="s">
        <v>33</v>
      </c>
      <c r="P1995">
        <v>17745</v>
      </c>
      <c r="Q1995">
        <v>8153</v>
      </c>
      <c r="R1995" t="s">
        <v>23</v>
      </c>
      <c r="S1995" s="1" t="s">
        <v>34218</v>
      </c>
    </row>
    <row r="1996" spans="1:19" x14ac:dyDescent="0.25">
      <c r="A1996">
        <v>101314457</v>
      </c>
      <c r="B1996" t="s">
        <v>5736</v>
      </c>
      <c r="C1996" t="s">
        <v>4103</v>
      </c>
      <c r="F1996" t="str">
        <f>"8476740321"</f>
        <v>8476740321</v>
      </c>
      <c r="G1996" t="s">
        <v>5737</v>
      </c>
      <c r="H1996" t="s">
        <v>5738</v>
      </c>
      <c r="I1996" t="s">
        <v>135</v>
      </c>
      <c r="J1996">
        <v>60076</v>
      </c>
      <c r="K1996">
        <v>3710</v>
      </c>
      <c r="L1996" t="s">
        <v>23</v>
      </c>
      <c r="M1996" t="s">
        <v>5737</v>
      </c>
      <c r="N1996" t="s">
        <v>5738</v>
      </c>
      <c r="O1996" t="s">
        <v>135</v>
      </c>
      <c r="P1996">
        <v>60076</v>
      </c>
      <c r="Q1996">
        <v>3710</v>
      </c>
      <c r="R1996" t="s">
        <v>23</v>
      </c>
      <c r="S1996" s="1" t="s">
        <v>34218</v>
      </c>
    </row>
    <row r="1997" spans="1:19" x14ac:dyDescent="0.25">
      <c r="A1997">
        <v>101328466</v>
      </c>
      <c r="B1997" t="s">
        <v>5739</v>
      </c>
      <c r="C1997" t="s">
        <v>5740</v>
      </c>
      <c r="F1997" t="str">
        <f>"7325513870"</f>
        <v>7325513870</v>
      </c>
      <c r="G1997" t="s">
        <v>5741</v>
      </c>
      <c r="H1997" t="s">
        <v>5742</v>
      </c>
      <c r="I1997" t="s">
        <v>250</v>
      </c>
      <c r="J1997">
        <v>8757</v>
      </c>
      <c r="K1997">
        <v>4606</v>
      </c>
      <c r="L1997" t="s">
        <v>23</v>
      </c>
      <c r="M1997" t="s">
        <v>5741</v>
      </c>
      <c r="N1997" t="s">
        <v>5742</v>
      </c>
      <c r="O1997" t="s">
        <v>250</v>
      </c>
      <c r="P1997">
        <v>8757</v>
      </c>
      <c r="Q1997">
        <v>4606</v>
      </c>
      <c r="R1997" t="s">
        <v>23</v>
      </c>
      <c r="S1997" s="1" t="s">
        <v>34218</v>
      </c>
    </row>
    <row r="1998" spans="1:19" x14ac:dyDescent="0.25">
      <c r="A1998">
        <v>100899402</v>
      </c>
      <c r="B1998" t="s">
        <v>5743</v>
      </c>
      <c r="C1998" t="s">
        <v>718</v>
      </c>
      <c r="F1998" t="str">
        <f>"2035582372"</f>
        <v>2035582372</v>
      </c>
      <c r="G1998" t="s">
        <v>5744</v>
      </c>
      <c r="H1998" t="s">
        <v>5745</v>
      </c>
      <c r="I1998" t="s">
        <v>236</v>
      </c>
      <c r="J1998">
        <v>2452</v>
      </c>
      <c r="K1998">
        <v>5613</v>
      </c>
      <c r="L1998" t="s">
        <v>23</v>
      </c>
      <c r="M1998" t="s">
        <v>5744</v>
      </c>
      <c r="N1998" t="s">
        <v>5745</v>
      </c>
      <c r="O1998" t="s">
        <v>236</v>
      </c>
      <c r="P1998">
        <v>2452</v>
      </c>
      <c r="Q1998">
        <v>5613</v>
      </c>
      <c r="R1998" t="s">
        <v>23</v>
      </c>
      <c r="S1998" s="1" t="s">
        <v>34218</v>
      </c>
    </row>
    <row r="1999" spans="1:19" x14ac:dyDescent="0.25">
      <c r="A1999">
        <v>100900526</v>
      </c>
      <c r="B1999" t="s">
        <v>34</v>
      </c>
      <c r="C1999" t="s">
        <v>2938</v>
      </c>
      <c r="F1999" t="str">
        <f>"5415391637"</f>
        <v>5415391637</v>
      </c>
      <c r="G1999" t="s">
        <v>5746</v>
      </c>
      <c r="H1999" t="s">
        <v>5747</v>
      </c>
      <c r="I1999" t="s">
        <v>43</v>
      </c>
      <c r="J1999">
        <v>97624</v>
      </c>
      <c r="K1999">
        <v>1403</v>
      </c>
      <c r="L1999" t="s">
        <v>23</v>
      </c>
      <c r="M1999" t="s">
        <v>5746</v>
      </c>
      <c r="N1999" t="s">
        <v>5747</v>
      </c>
      <c r="O1999" t="s">
        <v>43</v>
      </c>
      <c r="P1999">
        <v>97624</v>
      </c>
      <c r="Q1999">
        <v>1403</v>
      </c>
      <c r="R1999" t="s">
        <v>23</v>
      </c>
      <c r="S1999" s="1" t="s">
        <v>34218</v>
      </c>
    </row>
    <row r="2000" spans="1:19" x14ac:dyDescent="0.25">
      <c r="A2000">
        <v>100617155</v>
      </c>
      <c r="B2000" t="s">
        <v>5748</v>
      </c>
      <c r="C2000" t="s">
        <v>535</v>
      </c>
      <c r="F2000" t="str">
        <f>"2167894811"</f>
        <v>2167894811</v>
      </c>
      <c r="G2000" t="s">
        <v>5749</v>
      </c>
      <c r="H2000" t="s">
        <v>5750</v>
      </c>
      <c r="I2000" t="s">
        <v>178</v>
      </c>
      <c r="J2000">
        <v>44121</v>
      </c>
      <c r="K2000">
        <v>3809</v>
      </c>
      <c r="L2000" t="s">
        <v>23</v>
      </c>
      <c r="M2000" t="s">
        <v>5749</v>
      </c>
      <c r="N2000" t="s">
        <v>5750</v>
      </c>
      <c r="O2000" t="s">
        <v>178</v>
      </c>
      <c r="P2000">
        <v>44121</v>
      </c>
      <c r="Q2000">
        <v>3809</v>
      </c>
      <c r="R2000" t="s">
        <v>23</v>
      </c>
      <c r="S2000" s="1" t="s">
        <v>34218</v>
      </c>
    </row>
    <row r="2001" spans="1:19" x14ac:dyDescent="0.25">
      <c r="A2001">
        <v>100623749</v>
      </c>
      <c r="B2001" t="s">
        <v>5751</v>
      </c>
      <c r="C2001" t="s">
        <v>535</v>
      </c>
      <c r="F2001" t="str">
        <f>"9723100766"</f>
        <v>9723100766</v>
      </c>
      <c r="G2001" t="s">
        <v>5752</v>
      </c>
      <c r="H2001" t="s">
        <v>3745</v>
      </c>
      <c r="I2001" t="s">
        <v>38</v>
      </c>
      <c r="J2001">
        <v>75104</v>
      </c>
      <c r="K2001">
        <v>2643</v>
      </c>
      <c r="L2001" t="s">
        <v>23</v>
      </c>
      <c r="M2001" t="s">
        <v>5752</v>
      </c>
      <c r="N2001" t="s">
        <v>3745</v>
      </c>
      <c r="O2001" t="s">
        <v>38</v>
      </c>
      <c r="P2001">
        <v>75104</v>
      </c>
      <c r="Q2001">
        <v>2643</v>
      </c>
      <c r="R2001" t="s">
        <v>23</v>
      </c>
      <c r="S2001" s="1" t="s">
        <v>34218</v>
      </c>
    </row>
    <row r="2002" spans="1:19" x14ac:dyDescent="0.25">
      <c r="A2002">
        <v>100894591</v>
      </c>
      <c r="B2002" t="s">
        <v>4747</v>
      </c>
      <c r="C2002" t="s">
        <v>5753</v>
      </c>
      <c r="F2002" t="str">
        <f>"2125661234"</f>
        <v>2125661234</v>
      </c>
      <c r="G2002" t="s">
        <v>5754</v>
      </c>
      <c r="H2002" t="s">
        <v>5755</v>
      </c>
      <c r="I2002" t="s">
        <v>161</v>
      </c>
      <c r="J2002">
        <v>6031</v>
      </c>
      <c r="L2002" t="s">
        <v>23</v>
      </c>
      <c r="M2002" t="s">
        <v>5754</v>
      </c>
      <c r="N2002" t="s">
        <v>5755</v>
      </c>
      <c r="O2002" t="s">
        <v>161</v>
      </c>
      <c r="P2002">
        <v>6031</v>
      </c>
      <c r="R2002" t="s">
        <v>23</v>
      </c>
      <c r="S2002" s="1" t="s">
        <v>34218</v>
      </c>
    </row>
    <row r="2003" spans="1:19" x14ac:dyDescent="0.25">
      <c r="A2003">
        <v>100537631</v>
      </c>
      <c r="B2003" t="s">
        <v>5756</v>
      </c>
      <c r="C2003" t="s">
        <v>575</v>
      </c>
      <c r="F2003" t="str">
        <f>"5132319866"</f>
        <v>5132319866</v>
      </c>
      <c r="G2003" t="s">
        <v>5757</v>
      </c>
      <c r="H2003" t="s">
        <v>2086</v>
      </c>
      <c r="I2003" t="s">
        <v>178</v>
      </c>
      <c r="J2003">
        <v>45230</v>
      </c>
      <c r="K2003">
        <v>2129</v>
      </c>
      <c r="L2003" t="s">
        <v>23</v>
      </c>
      <c r="M2003" t="s">
        <v>5757</v>
      </c>
      <c r="N2003" t="s">
        <v>2086</v>
      </c>
      <c r="O2003" t="s">
        <v>178</v>
      </c>
      <c r="P2003">
        <v>45230</v>
      </c>
      <c r="Q2003">
        <v>2129</v>
      </c>
      <c r="R2003" t="s">
        <v>23</v>
      </c>
      <c r="S2003" s="1" t="s">
        <v>34218</v>
      </c>
    </row>
    <row r="2004" spans="1:19" x14ac:dyDescent="0.25">
      <c r="A2004">
        <v>100547139</v>
      </c>
      <c r="B2004" t="s">
        <v>1697</v>
      </c>
      <c r="C2004" t="s">
        <v>180</v>
      </c>
      <c r="F2004" t="str">
        <f>"3036812688"</f>
        <v>3036812688</v>
      </c>
      <c r="G2004" t="s">
        <v>5758</v>
      </c>
      <c r="H2004" t="s">
        <v>5125</v>
      </c>
      <c r="I2004" t="s">
        <v>71</v>
      </c>
      <c r="J2004">
        <v>80118</v>
      </c>
      <c r="K2004">
        <v>8114</v>
      </c>
      <c r="L2004" t="s">
        <v>23</v>
      </c>
      <c r="M2004" t="s">
        <v>5758</v>
      </c>
      <c r="N2004" t="s">
        <v>5125</v>
      </c>
      <c r="O2004" t="s">
        <v>71</v>
      </c>
      <c r="P2004">
        <v>80118</v>
      </c>
      <c r="Q2004">
        <v>8114</v>
      </c>
      <c r="R2004" t="s">
        <v>23</v>
      </c>
      <c r="S2004" s="1" t="s">
        <v>34218</v>
      </c>
    </row>
    <row r="2005" spans="1:19" x14ac:dyDescent="0.25">
      <c r="A2005">
        <v>100752641</v>
      </c>
      <c r="B2005" t="s">
        <v>5759</v>
      </c>
      <c r="C2005" t="s">
        <v>4140</v>
      </c>
      <c r="F2005" t="str">
        <f>"5032447271"</f>
        <v>5032447271</v>
      </c>
      <c r="G2005" t="s">
        <v>5760</v>
      </c>
      <c r="H2005" t="s">
        <v>227</v>
      </c>
      <c r="I2005" t="s">
        <v>43</v>
      </c>
      <c r="J2005">
        <v>97219</v>
      </c>
      <c r="K2005">
        <v>7655</v>
      </c>
      <c r="L2005" t="s">
        <v>23</v>
      </c>
      <c r="M2005" t="s">
        <v>5760</v>
      </c>
      <c r="N2005" t="s">
        <v>227</v>
      </c>
      <c r="O2005" t="s">
        <v>43</v>
      </c>
      <c r="P2005">
        <v>97219</v>
      </c>
      <c r="Q2005">
        <v>7655</v>
      </c>
      <c r="R2005" t="s">
        <v>23</v>
      </c>
      <c r="S2005" s="1" t="s">
        <v>34218</v>
      </c>
    </row>
    <row r="2006" spans="1:19" x14ac:dyDescent="0.25">
      <c r="A2006">
        <v>100923879</v>
      </c>
      <c r="B2006" t="s">
        <v>5761</v>
      </c>
      <c r="C2006" t="s">
        <v>3566</v>
      </c>
      <c r="F2006" t="str">
        <f>"2137120022"</f>
        <v>2137120022</v>
      </c>
      <c r="G2006" t="s">
        <v>5762</v>
      </c>
      <c r="H2006" t="s">
        <v>2231</v>
      </c>
      <c r="I2006" t="s">
        <v>22</v>
      </c>
      <c r="J2006">
        <v>91206</v>
      </c>
      <c r="K2006">
        <v>3106</v>
      </c>
      <c r="L2006" t="s">
        <v>23</v>
      </c>
      <c r="M2006" t="s">
        <v>5762</v>
      </c>
      <c r="N2006" t="s">
        <v>2231</v>
      </c>
      <c r="O2006" t="s">
        <v>22</v>
      </c>
      <c r="P2006">
        <v>91206</v>
      </c>
      <c r="Q2006">
        <v>3106</v>
      </c>
      <c r="R2006" t="s">
        <v>23</v>
      </c>
      <c r="S2006" s="1" t="s">
        <v>34218</v>
      </c>
    </row>
    <row r="2007" spans="1:19" x14ac:dyDescent="0.25">
      <c r="A2007">
        <v>100930987</v>
      </c>
      <c r="B2007" t="s">
        <v>5763</v>
      </c>
      <c r="C2007" t="s">
        <v>247</v>
      </c>
      <c r="F2007" t="str">
        <f>"8183318000"</f>
        <v>8183318000</v>
      </c>
      <c r="G2007" t="s">
        <v>5764</v>
      </c>
      <c r="H2007" t="s">
        <v>1674</v>
      </c>
      <c r="I2007" t="s">
        <v>22</v>
      </c>
      <c r="J2007">
        <v>91501</v>
      </c>
      <c r="K2007">
        <v>1507</v>
      </c>
      <c r="L2007" t="s">
        <v>23</v>
      </c>
      <c r="M2007" t="s">
        <v>5764</v>
      </c>
      <c r="N2007" t="s">
        <v>1674</v>
      </c>
      <c r="O2007" t="s">
        <v>22</v>
      </c>
      <c r="P2007">
        <v>91501</v>
      </c>
      <c r="Q2007">
        <v>1507</v>
      </c>
      <c r="R2007" t="s">
        <v>23</v>
      </c>
      <c r="S2007" s="1" t="s">
        <v>34218</v>
      </c>
    </row>
    <row r="2008" spans="1:19" x14ac:dyDescent="0.25">
      <c r="A2008">
        <v>100553399</v>
      </c>
      <c r="B2008" t="s">
        <v>5765</v>
      </c>
      <c r="C2008" t="s">
        <v>180</v>
      </c>
      <c r="F2008" t="str">
        <f>"7818329089"</f>
        <v>7818329089</v>
      </c>
      <c r="G2008" t="s">
        <v>5766</v>
      </c>
      <c r="H2008" t="s">
        <v>5767</v>
      </c>
      <c r="I2008" t="s">
        <v>236</v>
      </c>
      <c r="J2008">
        <v>2180</v>
      </c>
      <c r="K2008">
        <v>1074</v>
      </c>
      <c r="L2008" t="s">
        <v>23</v>
      </c>
      <c r="M2008" t="s">
        <v>5766</v>
      </c>
      <c r="N2008" t="s">
        <v>5767</v>
      </c>
      <c r="O2008" t="s">
        <v>236</v>
      </c>
      <c r="P2008">
        <v>2180</v>
      </c>
      <c r="Q2008">
        <v>1074</v>
      </c>
      <c r="R2008" t="s">
        <v>23</v>
      </c>
      <c r="S2008" s="1" t="s">
        <v>34218</v>
      </c>
    </row>
    <row r="2009" spans="1:19" x14ac:dyDescent="0.25">
      <c r="A2009">
        <v>100561617</v>
      </c>
      <c r="B2009" t="s">
        <v>1330</v>
      </c>
      <c r="C2009" t="s">
        <v>2846</v>
      </c>
      <c r="F2009" t="str">
        <f>"3144810786"</f>
        <v>3144810786</v>
      </c>
      <c r="G2009" t="s">
        <v>5768</v>
      </c>
      <c r="H2009" t="s">
        <v>125</v>
      </c>
      <c r="I2009" t="s">
        <v>126</v>
      </c>
      <c r="J2009">
        <v>63116</v>
      </c>
      <c r="K2009">
        <v>2251</v>
      </c>
      <c r="L2009" t="s">
        <v>23</v>
      </c>
      <c r="M2009" t="s">
        <v>5768</v>
      </c>
      <c r="N2009" t="s">
        <v>125</v>
      </c>
      <c r="O2009" t="s">
        <v>126</v>
      </c>
      <c r="P2009">
        <v>63116</v>
      </c>
      <c r="Q2009">
        <v>2251</v>
      </c>
      <c r="R2009" t="s">
        <v>23</v>
      </c>
      <c r="S2009" s="1" t="s">
        <v>34218</v>
      </c>
    </row>
    <row r="2010" spans="1:19" x14ac:dyDescent="0.25">
      <c r="A2010">
        <v>100571591</v>
      </c>
      <c r="B2010" t="s">
        <v>5769</v>
      </c>
      <c r="C2010" t="s">
        <v>123</v>
      </c>
      <c r="F2010" t="str">
        <f>"4086834456"</f>
        <v>4086834456</v>
      </c>
      <c r="G2010" t="s">
        <v>5770</v>
      </c>
      <c r="H2010" t="s">
        <v>5771</v>
      </c>
      <c r="I2010" t="s">
        <v>22</v>
      </c>
      <c r="J2010">
        <v>95046</v>
      </c>
      <c r="K2010">
        <v>9726</v>
      </c>
      <c r="L2010" t="s">
        <v>23</v>
      </c>
      <c r="M2010" t="s">
        <v>5770</v>
      </c>
      <c r="N2010" t="s">
        <v>5771</v>
      </c>
      <c r="O2010" t="s">
        <v>22</v>
      </c>
      <c r="P2010">
        <v>95046</v>
      </c>
      <c r="Q2010">
        <v>9726</v>
      </c>
      <c r="R2010" t="s">
        <v>23</v>
      </c>
      <c r="S2010" s="1" t="s">
        <v>34218</v>
      </c>
    </row>
    <row r="2011" spans="1:19" x14ac:dyDescent="0.25">
      <c r="A2011">
        <v>100760516</v>
      </c>
      <c r="B2011" t="s">
        <v>5772</v>
      </c>
      <c r="C2011" t="s">
        <v>1588</v>
      </c>
      <c r="F2011" t="str">
        <f>"5032748803"</f>
        <v>5032748803</v>
      </c>
      <c r="G2011" t="s">
        <v>5773</v>
      </c>
      <c r="H2011" t="s">
        <v>227</v>
      </c>
      <c r="I2011" t="s">
        <v>43</v>
      </c>
      <c r="J2011">
        <v>97239</v>
      </c>
      <c r="K2011">
        <v>7202</v>
      </c>
      <c r="L2011" t="s">
        <v>23</v>
      </c>
      <c r="M2011" t="s">
        <v>5773</v>
      </c>
      <c r="N2011" t="s">
        <v>227</v>
      </c>
      <c r="O2011" t="s">
        <v>43</v>
      </c>
      <c r="P2011">
        <v>97239</v>
      </c>
      <c r="Q2011">
        <v>7202</v>
      </c>
      <c r="R2011" t="s">
        <v>23</v>
      </c>
      <c r="S2011" s="1" t="s">
        <v>34218</v>
      </c>
    </row>
    <row r="2012" spans="1:19" x14ac:dyDescent="0.25">
      <c r="A2012">
        <v>100972766</v>
      </c>
      <c r="B2012" t="s">
        <v>5774</v>
      </c>
      <c r="C2012" t="s">
        <v>2892</v>
      </c>
      <c r="F2012" t="str">
        <f>"2035253164"</f>
        <v>2035253164</v>
      </c>
      <c r="G2012" t="s">
        <v>5775</v>
      </c>
      <c r="H2012" t="s">
        <v>5776</v>
      </c>
      <c r="I2012" t="s">
        <v>161</v>
      </c>
      <c r="J2012">
        <v>6770</v>
      </c>
      <c r="K2012">
        <v>4239</v>
      </c>
      <c r="L2012" t="s">
        <v>23</v>
      </c>
      <c r="M2012" t="s">
        <v>5775</v>
      </c>
      <c r="N2012" t="s">
        <v>5776</v>
      </c>
      <c r="O2012" t="s">
        <v>161</v>
      </c>
      <c r="P2012">
        <v>6770</v>
      </c>
      <c r="Q2012">
        <v>4239</v>
      </c>
      <c r="R2012" t="s">
        <v>23</v>
      </c>
      <c r="S2012" s="1" t="s">
        <v>34218</v>
      </c>
    </row>
    <row r="2013" spans="1:19" x14ac:dyDescent="0.25">
      <c r="A2013">
        <v>100789252</v>
      </c>
      <c r="B2013" t="s">
        <v>5777</v>
      </c>
      <c r="C2013" t="s">
        <v>472</v>
      </c>
      <c r="F2013" t="str">
        <f>"2126667845"</f>
        <v>2126667845</v>
      </c>
      <c r="G2013" t="s">
        <v>5778</v>
      </c>
      <c r="H2013" t="s">
        <v>653</v>
      </c>
      <c r="I2013" t="s">
        <v>117</v>
      </c>
      <c r="J2013">
        <v>10025</v>
      </c>
      <c r="K2013">
        <v>5286</v>
      </c>
      <c r="L2013" t="s">
        <v>23</v>
      </c>
      <c r="M2013" t="s">
        <v>5778</v>
      </c>
      <c r="N2013" t="s">
        <v>653</v>
      </c>
      <c r="O2013" t="s">
        <v>117</v>
      </c>
      <c r="P2013">
        <v>10025</v>
      </c>
      <c r="Q2013">
        <v>5286</v>
      </c>
      <c r="R2013" t="s">
        <v>23</v>
      </c>
      <c r="S2013" s="1" t="s">
        <v>34218</v>
      </c>
    </row>
    <row r="2014" spans="1:19" x14ac:dyDescent="0.25">
      <c r="A2014">
        <v>101029369</v>
      </c>
      <c r="B2014" t="s">
        <v>800</v>
      </c>
      <c r="C2014" t="s">
        <v>180</v>
      </c>
      <c r="F2014" t="str">
        <f>"3604487370"</f>
        <v>3604487370</v>
      </c>
      <c r="G2014" t="s">
        <v>5779</v>
      </c>
      <c r="H2014" t="s">
        <v>5070</v>
      </c>
      <c r="I2014" t="s">
        <v>84</v>
      </c>
      <c r="J2014">
        <v>98685</v>
      </c>
      <c r="K2014">
        <v>4969</v>
      </c>
      <c r="L2014" t="s">
        <v>23</v>
      </c>
      <c r="M2014" t="s">
        <v>5779</v>
      </c>
      <c r="N2014" t="s">
        <v>5070</v>
      </c>
      <c r="O2014" t="s">
        <v>84</v>
      </c>
      <c r="P2014">
        <v>98685</v>
      </c>
      <c r="Q2014">
        <v>4969</v>
      </c>
      <c r="R2014" t="s">
        <v>23</v>
      </c>
      <c r="S2014" s="1" t="s">
        <v>34218</v>
      </c>
    </row>
    <row r="2015" spans="1:19" x14ac:dyDescent="0.25">
      <c r="A2015">
        <v>100632827</v>
      </c>
      <c r="B2015" t="s">
        <v>5780</v>
      </c>
      <c r="C2015" t="s">
        <v>5781</v>
      </c>
      <c r="F2015" t="str">
        <f>"3165194872"</f>
        <v>3165194872</v>
      </c>
      <c r="G2015" t="s">
        <v>5782</v>
      </c>
      <c r="H2015" t="s">
        <v>1007</v>
      </c>
      <c r="I2015" t="s">
        <v>241</v>
      </c>
      <c r="J2015">
        <v>66073</v>
      </c>
      <c r="K2015">
        <v>4090</v>
      </c>
      <c r="L2015" t="s">
        <v>23</v>
      </c>
      <c r="M2015" t="s">
        <v>5782</v>
      </c>
      <c r="N2015" t="s">
        <v>1007</v>
      </c>
      <c r="O2015" t="s">
        <v>241</v>
      </c>
      <c r="P2015">
        <v>66073</v>
      </c>
      <c r="Q2015">
        <v>4090</v>
      </c>
      <c r="R2015" t="s">
        <v>23</v>
      </c>
      <c r="S2015" s="1" t="s">
        <v>34218</v>
      </c>
    </row>
    <row r="2016" spans="1:19" x14ac:dyDescent="0.25">
      <c r="A2016">
        <v>100631602</v>
      </c>
      <c r="B2016" t="s">
        <v>3590</v>
      </c>
      <c r="C2016" t="s">
        <v>5783</v>
      </c>
      <c r="F2016" t="str">
        <f>"5052659000"</f>
        <v>5052659000</v>
      </c>
      <c r="G2016" t="s">
        <v>5784</v>
      </c>
      <c r="H2016" t="s">
        <v>638</v>
      </c>
      <c r="I2016" t="s">
        <v>639</v>
      </c>
      <c r="J2016">
        <v>87106</v>
      </c>
      <c r="K2016">
        <v>2909</v>
      </c>
      <c r="L2016" t="s">
        <v>23</v>
      </c>
      <c r="M2016" t="s">
        <v>5784</v>
      </c>
      <c r="N2016" t="s">
        <v>638</v>
      </c>
      <c r="O2016" t="s">
        <v>639</v>
      </c>
      <c r="P2016">
        <v>87106</v>
      </c>
      <c r="Q2016">
        <v>2909</v>
      </c>
      <c r="R2016" t="s">
        <v>23</v>
      </c>
      <c r="S2016" s="1" t="s">
        <v>34218</v>
      </c>
    </row>
    <row r="2017" spans="1:19" x14ac:dyDescent="0.25">
      <c r="A2017">
        <v>100638309</v>
      </c>
      <c r="B2017" t="s">
        <v>276</v>
      </c>
      <c r="C2017" t="s">
        <v>1157</v>
      </c>
      <c r="F2017" t="str">
        <f>"4255554321"</f>
        <v>4255554321</v>
      </c>
      <c r="G2017" t="s">
        <v>5785</v>
      </c>
      <c r="H2017" t="s">
        <v>5786</v>
      </c>
      <c r="I2017" t="s">
        <v>84</v>
      </c>
      <c r="J2017">
        <v>98072</v>
      </c>
      <c r="K2017">
        <v>6505</v>
      </c>
      <c r="L2017" t="s">
        <v>23</v>
      </c>
      <c r="M2017" t="s">
        <v>5785</v>
      </c>
      <c r="N2017" t="s">
        <v>5786</v>
      </c>
      <c r="O2017" t="s">
        <v>84</v>
      </c>
      <c r="P2017">
        <v>98072</v>
      </c>
      <c r="Q2017">
        <v>6505</v>
      </c>
      <c r="R2017" t="s">
        <v>23</v>
      </c>
      <c r="S2017" s="1" t="s">
        <v>34218</v>
      </c>
    </row>
    <row r="2018" spans="1:19" x14ac:dyDescent="0.25">
      <c r="A2018">
        <v>100639909</v>
      </c>
      <c r="B2018" t="s">
        <v>303</v>
      </c>
      <c r="C2018" t="s">
        <v>5787</v>
      </c>
      <c r="F2018" t="str">
        <f>"3132733881"</f>
        <v>3132733881</v>
      </c>
      <c r="G2018" t="s">
        <v>5788</v>
      </c>
      <c r="H2018" t="s">
        <v>1830</v>
      </c>
      <c r="I2018" t="s">
        <v>140</v>
      </c>
      <c r="J2018">
        <v>48228</v>
      </c>
      <c r="K2018">
        <v>2380</v>
      </c>
      <c r="L2018" t="s">
        <v>23</v>
      </c>
      <c r="M2018" t="s">
        <v>5788</v>
      </c>
      <c r="N2018" t="s">
        <v>1830</v>
      </c>
      <c r="O2018" t="s">
        <v>140</v>
      </c>
      <c r="P2018">
        <v>48228</v>
      </c>
      <c r="Q2018">
        <v>2380</v>
      </c>
      <c r="R2018" t="s">
        <v>23</v>
      </c>
      <c r="S2018" s="1" t="s">
        <v>34218</v>
      </c>
    </row>
    <row r="2019" spans="1:19" x14ac:dyDescent="0.25">
      <c r="A2019">
        <v>100840151</v>
      </c>
      <c r="B2019" t="s">
        <v>5789</v>
      </c>
      <c r="C2019" t="s">
        <v>102</v>
      </c>
      <c r="F2019" t="str">
        <f>"5555555555"</f>
        <v>5555555555</v>
      </c>
      <c r="G2019" t="s">
        <v>5790</v>
      </c>
      <c r="H2019" t="s">
        <v>1396</v>
      </c>
      <c r="I2019" t="s">
        <v>84</v>
      </c>
      <c r="J2019">
        <v>98002</v>
      </c>
      <c r="K2019">
        <v>5022</v>
      </c>
      <c r="L2019" t="s">
        <v>23</v>
      </c>
      <c r="M2019" t="s">
        <v>5790</v>
      </c>
      <c r="N2019" t="s">
        <v>1396</v>
      </c>
      <c r="O2019" t="s">
        <v>84</v>
      </c>
      <c r="P2019">
        <v>98002</v>
      </c>
      <c r="Q2019">
        <v>5022</v>
      </c>
      <c r="R2019" t="s">
        <v>23</v>
      </c>
      <c r="S2019" s="1" t="s">
        <v>34218</v>
      </c>
    </row>
    <row r="2020" spans="1:19" x14ac:dyDescent="0.25">
      <c r="A2020">
        <v>100860557</v>
      </c>
      <c r="B2020" t="s">
        <v>5791</v>
      </c>
      <c r="C2020" t="s">
        <v>1327</v>
      </c>
      <c r="F2020" t="str">
        <f>"3303945687"</f>
        <v>3303945687</v>
      </c>
      <c r="G2020" t="s">
        <v>5792</v>
      </c>
      <c r="H2020" t="s">
        <v>2132</v>
      </c>
      <c r="I2020" t="s">
        <v>178</v>
      </c>
      <c r="J2020">
        <v>44483</v>
      </c>
      <c r="K2020">
        <v>4165</v>
      </c>
      <c r="L2020" t="s">
        <v>23</v>
      </c>
      <c r="M2020" t="s">
        <v>5792</v>
      </c>
      <c r="N2020" t="s">
        <v>2132</v>
      </c>
      <c r="O2020" t="s">
        <v>178</v>
      </c>
      <c r="P2020">
        <v>44483</v>
      </c>
      <c r="Q2020">
        <v>4165</v>
      </c>
      <c r="R2020" t="s">
        <v>23</v>
      </c>
      <c r="S2020" s="1" t="s">
        <v>34218</v>
      </c>
    </row>
    <row r="2021" spans="1:19" x14ac:dyDescent="0.25">
      <c r="A2021">
        <v>101077231</v>
      </c>
      <c r="B2021" t="s">
        <v>5793</v>
      </c>
      <c r="C2021" t="s">
        <v>155</v>
      </c>
      <c r="F2021" t="str">
        <f>"7035308168"</f>
        <v>7035308168</v>
      </c>
      <c r="G2021" t="s">
        <v>5794</v>
      </c>
      <c r="H2021" t="s">
        <v>5795</v>
      </c>
      <c r="I2021" t="s">
        <v>255</v>
      </c>
      <c r="J2021">
        <v>20112</v>
      </c>
      <c r="K2021">
        <v>4427</v>
      </c>
      <c r="L2021" t="s">
        <v>23</v>
      </c>
      <c r="M2021" t="s">
        <v>5794</v>
      </c>
      <c r="N2021" t="s">
        <v>5795</v>
      </c>
      <c r="O2021" t="s">
        <v>255</v>
      </c>
      <c r="P2021">
        <v>20112</v>
      </c>
      <c r="Q2021">
        <v>4427</v>
      </c>
      <c r="R2021" t="s">
        <v>23</v>
      </c>
      <c r="S2021" s="1" t="s">
        <v>34218</v>
      </c>
    </row>
    <row r="2022" spans="1:19" x14ac:dyDescent="0.25">
      <c r="A2022">
        <v>100699270</v>
      </c>
      <c r="B2022" t="s">
        <v>5796</v>
      </c>
      <c r="C2022" t="s">
        <v>3643</v>
      </c>
      <c r="F2022" t="str">
        <f>"8608054469"</f>
        <v>8608054469</v>
      </c>
      <c r="G2022" t="s">
        <v>5797</v>
      </c>
      <c r="H2022" t="s">
        <v>5798</v>
      </c>
      <c r="I2022" t="s">
        <v>161</v>
      </c>
      <c r="J2022">
        <v>6093</v>
      </c>
      <c r="K2022">
        <v>2103</v>
      </c>
      <c r="L2022" t="s">
        <v>23</v>
      </c>
      <c r="M2022" t="s">
        <v>5797</v>
      </c>
      <c r="N2022" t="s">
        <v>5798</v>
      </c>
      <c r="O2022" t="s">
        <v>161</v>
      </c>
      <c r="P2022">
        <v>6093</v>
      </c>
      <c r="Q2022">
        <v>2103</v>
      </c>
      <c r="R2022" t="s">
        <v>23</v>
      </c>
      <c r="S2022" s="1" t="s">
        <v>34218</v>
      </c>
    </row>
    <row r="2023" spans="1:19" x14ac:dyDescent="0.25">
      <c r="A2023">
        <v>100894934</v>
      </c>
      <c r="B2023" t="s">
        <v>5799</v>
      </c>
      <c r="C2023" t="s">
        <v>1598</v>
      </c>
      <c r="F2023" t="str">
        <f>"2487600217"</f>
        <v>2487600217</v>
      </c>
      <c r="G2023" t="s">
        <v>5800</v>
      </c>
      <c r="H2023" t="s">
        <v>5801</v>
      </c>
      <c r="I2023" t="s">
        <v>140</v>
      </c>
      <c r="J2023">
        <v>48386</v>
      </c>
      <c r="K2023">
        <v>2750</v>
      </c>
      <c r="L2023" t="s">
        <v>23</v>
      </c>
      <c r="M2023" t="s">
        <v>5800</v>
      </c>
      <c r="N2023" t="s">
        <v>5801</v>
      </c>
      <c r="O2023" t="s">
        <v>140</v>
      </c>
      <c r="P2023">
        <v>48386</v>
      </c>
      <c r="Q2023">
        <v>2750</v>
      </c>
      <c r="R2023" t="s">
        <v>23</v>
      </c>
      <c r="S2023" s="1" t="s">
        <v>34218</v>
      </c>
    </row>
    <row r="2024" spans="1:19" x14ac:dyDescent="0.25">
      <c r="A2024">
        <v>101048228</v>
      </c>
      <c r="B2024" t="s">
        <v>2080</v>
      </c>
      <c r="C2024" t="s">
        <v>40</v>
      </c>
      <c r="F2024" t="str">
        <f>"5614162247"</f>
        <v>5614162247</v>
      </c>
      <c r="G2024" t="s">
        <v>5802</v>
      </c>
      <c r="H2024" t="s">
        <v>2640</v>
      </c>
      <c r="I2024" t="s">
        <v>52</v>
      </c>
      <c r="J2024">
        <v>33433</v>
      </c>
      <c r="K2024">
        <v>3801</v>
      </c>
      <c r="L2024" t="s">
        <v>23</v>
      </c>
      <c r="M2024" t="s">
        <v>5802</v>
      </c>
      <c r="N2024" t="s">
        <v>2640</v>
      </c>
      <c r="O2024" t="s">
        <v>52</v>
      </c>
      <c r="P2024">
        <v>33433</v>
      </c>
      <c r="Q2024">
        <v>3801</v>
      </c>
      <c r="R2024" t="s">
        <v>23</v>
      </c>
      <c r="S2024" s="1" t="s">
        <v>34218</v>
      </c>
    </row>
    <row r="2025" spans="1:19" x14ac:dyDescent="0.25">
      <c r="A2025">
        <v>101057879</v>
      </c>
      <c r="B2025" t="s">
        <v>216</v>
      </c>
      <c r="C2025" t="s">
        <v>5803</v>
      </c>
      <c r="F2025" t="str">
        <f>"4083230303"</f>
        <v>4083230303</v>
      </c>
      <c r="G2025" t="s">
        <v>5804</v>
      </c>
      <c r="H2025" t="s">
        <v>481</v>
      </c>
      <c r="I2025" t="s">
        <v>22</v>
      </c>
      <c r="J2025">
        <v>95120</v>
      </c>
      <c r="K2025">
        <v>3133</v>
      </c>
      <c r="L2025" t="s">
        <v>23</v>
      </c>
      <c r="M2025" t="s">
        <v>5804</v>
      </c>
      <c r="N2025" t="s">
        <v>481</v>
      </c>
      <c r="O2025" t="s">
        <v>22</v>
      </c>
      <c r="P2025">
        <v>95120</v>
      </c>
      <c r="Q2025">
        <v>3133</v>
      </c>
      <c r="R2025" t="s">
        <v>23</v>
      </c>
      <c r="S2025" s="1" t="s">
        <v>34218</v>
      </c>
    </row>
    <row r="2026" spans="1:19" x14ac:dyDescent="0.25">
      <c r="A2026">
        <v>101016426</v>
      </c>
      <c r="B2026" t="s">
        <v>5805</v>
      </c>
      <c r="C2026" t="s">
        <v>5806</v>
      </c>
      <c r="F2026" t="str">
        <f>"7743220610"</f>
        <v>7743220610</v>
      </c>
      <c r="G2026" t="s">
        <v>5807</v>
      </c>
      <c r="H2026" t="s">
        <v>2309</v>
      </c>
      <c r="I2026" t="s">
        <v>236</v>
      </c>
      <c r="J2026">
        <v>1887</v>
      </c>
      <c r="K2026">
        <v>4700</v>
      </c>
      <c r="L2026" t="s">
        <v>23</v>
      </c>
      <c r="M2026" t="s">
        <v>5807</v>
      </c>
      <c r="N2026" t="s">
        <v>2309</v>
      </c>
      <c r="O2026" t="s">
        <v>236</v>
      </c>
      <c r="P2026">
        <v>1887</v>
      </c>
      <c r="Q2026">
        <v>4700</v>
      </c>
      <c r="R2026" t="s">
        <v>23</v>
      </c>
      <c r="S2026" s="1" t="s">
        <v>34218</v>
      </c>
    </row>
    <row r="2027" spans="1:19" x14ac:dyDescent="0.25">
      <c r="A2027">
        <v>101014767</v>
      </c>
      <c r="B2027" t="s">
        <v>2189</v>
      </c>
      <c r="C2027" t="s">
        <v>158</v>
      </c>
      <c r="F2027" t="str">
        <f>"4432233659"</f>
        <v>4432233659</v>
      </c>
      <c r="G2027" t="s">
        <v>5808</v>
      </c>
      <c r="H2027" t="s">
        <v>2250</v>
      </c>
      <c r="I2027" t="s">
        <v>148</v>
      </c>
      <c r="J2027">
        <v>21403</v>
      </c>
      <c r="K2027">
        <v>3901</v>
      </c>
      <c r="L2027" t="s">
        <v>23</v>
      </c>
      <c r="M2027" t="s">
        <v>5808</v>
      </c>
      <c r="N2027" t="s">
        <v>2250</v>
      </c>
      <c r="O2027" t="s">
        <v>148</v>
      </c>
      <c r="P2027">
        <v>21403</v>
      </c>
      <c r="Q2027">
        <v>3901</v>
      </c>
      <c r="R2027" t="s">
        <v>23</v>
      </c>
      <c r="S2027" s="1" t="s">
        <v>34218</v>
      </c>
    </row>
    <row r="2028" spans="1:19" x14ac:dyDescent="0.25">
      <c r="A2028">
        <v>101205200</v>
      </c>
      <c r="B2028" t="s">
        <v>5809</v>
      </c>
      <c r="C2028" t="s">
        <v>498</v>
      </c>
      <c r="F2028" t="str">
        <f>"4083156175"</f>
        <v>4083156175</v>
      </c>
      <c r="G2028" t="s">
        <v>5810</v>
      </c>
      <c r="H2028" t="s">
        <v>360</v>
      </c>
      <c r="I2028" t="s">
        <v>22</v>
      </c>
      <c r="J2028">
        <v>94087</v>
      </c>
      <c r="K2028">
        <v>3258</v>
      </c>
      <c r="L2028" t="s">
        <v>23</v>
      </c>
      <c r="M2028" t="s">
        <v>5810</v>
      </c>
      <c r="N2028" t="s">
        <v>360</v>
      </c>
      <c r="O2028" t="s">
        <v>22</v>
      </c>
      <c r="P2028">
        <v>94087</v>
      </c>
      <c r="Q2028">
        <v>3258</v>
      </c>
      <c r="R2028" t="s">
        <v>23</v>
      </c>
      <c r="S2028" s="1" t="s">
        <v>34218</v>
      </c>
    </row>
    <row r="2029" spans="1:19" x14ac:dyDescent="0.25">
      <c r="A2029">
        <v>100536047</v>
      </c>
      <c r="B2029" t="s">
        <v>5811</v>
      </c>
      <c r="C2029" t="s">
        <v>5812</v>
      </c>
      <c r="F2029" t="str">
        <f>"2083421298"</f>
        <v>2083421298</v>
      </c>
      <c r="G2029" t="s">
        <v>5813</v>
      </c>
      <c r="H2029" t="s">
        <v>3270</v>
      </c>
      <c r="I2029" t="s">
        <v>348</v>
      </c>
      <c r="J2029">
        <v>83702</v>
      </c>
      <c r="K2029">
        <v>1438</v>
      </c>
      <c r="L2029" t="s">
        <v>23</v>
      </c>
      <c r="M2029" t="s">
        <v>5813</v>
      </c>
      <c r="N2029" t="s">
        <v>3270</v>
      </c>
      <c r="O2029" t="s">
        <v>348</v>
      </c>
      <c r="P2029">
        <v>83702</v>
      </c>
      <c r="Q2029">
        <v>1438</v>
      </c>
      <c r="R2029" t="s">
        <v>23</v>
      </c>
      <c r="S2029" s="1" t="s">
        <v>34218</v>
      </c>
    </row>
    <row r="2030" spans="1:19" x14ac:dyDescent="0.25">
      <c r="A2030">
        <v>101332014</v>
      </c>
      <c r="B2030" t="s">
        <v>4092</v>
      </c>
      <c r="C2030" t="s">
        <v>5814</v>
      </c>
      <c r="F2030" t="str">
        <f>"5667095211"</f>
        <v>5667095211</v>
      </c>
      <c r="G2030" t="s">
        <v>5815</v>
      </c>
      <c r="H2030" t="s">
        <v>5816</v>
      </c>
      <c r="I2030" t="s">
        <v>187</v>
      </c>
      <c r="J2030">
        <v>55975</v>
      </c>
      <c r="L2030" t="s">
        <v>23</v>
      </c>
      <c r="M2030" t="s">
        <v>5815</v>
      </c>
      <c r="N2030" t="s">
        <v>5816</v>
      </c>
      <c r="O2030" t="s">
        <v>187</v>
      </c>
      <c r="P2030">
        <v>55975</v>
      </c>
      <c r="R2030" t="s">
        <v>23</v>
      </c>
      <c r="S2030" s="1" t="s">
        <v>34218</v>
      </c>
    </row>
    <row r="2031" spans="1:19" x14ac:dyDescent="0.25">
      <c r="A2031">
        <v>100776469</v>
      </c>
      <c r="B2031" t="s">
        <v>5817</v>
      </c>
      <c r="C2031" t="s">
        <v>5818</v>
      </c>
      <c r="F2031" t="str">
        <f>"7605094889"</f>
        <v>7605094889</v>
      </c>
      <c r="G2031" t="s">
        <v>5819</v>
      </c>
      <c r="H2031" t="s">
        <v>5820</v>
      </c>
      <c r="I2031" t="s">
        <v>22</v>
      </c>
      <c r="J2031">
        <v>92078</v>
      </c>
      <c r="K2031">
        <v>3939</v>
      </c>
      <c r="L2031" t="s">
        <v>23</v>
      </c>
      <c r="M2031" t="s">
        <v>5819</v>
      </c>
      <c r="N2031" t="s">
        <v>5820</v>
      </c>
      <c r="O2031" t="s">
        <v>22</v>
      </c>
      <c r="P2031">
        <v>92078</v>
      </c>
      <c r="Q2031">
        <v>3939</v>
      </c>
      <c r="R2031" t="s">
        <v>23</v>
      </c>
      <c r="S2031" s="1" t="s">
        <v>34218</v>
      </c>
    </row>
    <row r="2032" spans="1:19" x14ac:dyDescent="0.25">
      <c r="A2032">
        <v>100618142</v>
      </c>
      <c r="B2032" t="s">
        <v>5821</v>
      </c>
      <c r="C2032" t="s">
        <v>5822</v>
      </c>
      <c r="F2032" t="str">
        <f>"5555555555"</f>
        <v>5555555555</v>
      </c>
      <c r="G2032" t="s">
        <v>5823</v>
      </c>
      <c r="H2032" t="s">
        <v>360</v>
      </c>
      <c r="I2032" t="s">
        <v>22</v>
      </c>
      <c r="J2032">
        <v>94087</v>
      </c>
      <c r="K2032">
        <v>2747</v>
      </c>
      <c r="L2032" t="s">
        <v>23</v>
      </c>
      <c r="M2032" t="s">
        <v>5823</v>
      </c>
      <c r="N2032" t="s">
        <v>360</v>
      </c>
      <c r="O2032" t="s">
        <v>22</v>
      </c>
      <c r="P2032">
        <v>94087</v>
      </c>
      <c r="Q2032">
        <v>2747</v>
      </c>
      <c r="R2032" t="s">
        <v>23</v>
      </c>
      <c r="S2032" s="1" t="s">
        <v>34218</v>
      </c>
    </row>
    <row r="2033" spans="1:19" x14ac:dyDescent="0.25">
      <c r="A2033">
        <v>100625682</v>
      </c>
      <c r="B2033" t="s">
        <v>5824</v>
      </c>
      <c r="C2033" t="s">
        <v>5825</v>
      </c>
      <c r="F2033" t="str">
        <f>"3157331449"</f>
        <v>3157331449</v>
      </c>
      <c r="G2033" t="s">
        <v>5826</v>
      </c>
      <c r="H2033" t="s">
        <v>5827</v>
      </c>
      <c r="I2033" t="s">
        <v>117</v>
      </c>
      <c r="J2033">
        <v>13502</v>
      </c>
      <c r="K2033">
        <v>5543</v>
      </c>
      <c r="L2033" t="s">
        <v>23</v>
      </c>
      <c r="M2033" t="s">
        <v>5826</v>
      </c>
      <c r="N2033" t="s">
        <v>5827</v>
      </c>
      <c r="O2033" t="s">
        <v>117</v>
      </c>
      <c r="P2033">
        <v>13502</v>
      </c>
      <c r="Q2033">
        <v>5543</v>
      </c>
      <c r="R2033" t="s">
        <v>23</v>
      </c>
      <c r="S2033" s="1" t="s">
        <v>34218</v>
      </c>
    </row>
    <row r="2034" spans="1:19" x14ac:dyDescent="0.25">
      <c r="A2034">
        <v>100640349</v>
      </c>
      <c r="B2034" t="s">
        <v>5828</v>
      </c>
      <c r="C2034" t="s">
        <v>5599</v>
      </c>
      <c r="F2034" t="str">
        <f>"9897424732"</f>
        <v>9897424732</v>
      </c>
      <c r="G2034" t="s">
        <v>5829</v>
      </c>
      <c r="H2034" t="s">
        <v>1053</v>
      </c>
      <c r="I2034" t="s">
        <v>140</v>
      </c>
      <c r="J2034">
        <v>49746</v>
      </c>
      <c r="K2034">
        <v>157</v>
      </c>
      <c r="L2034" t="s">
        <v>23</v>
      </c>
      <c r="M2034" t="s">
        <v>5829</v>
      </c>
      <c r="N2034" t="s">
        <v>1053</v>
      </c>
      <c r="O2034" t="s">
        <v>140</v>
      </c>
      <c r="P2034">
        <v>49746</v>
      </c>
      <c r="Q2034">
        <v>157</v>
      </c>
      <c r="R2034" t="s">
        <v>23</v>
      </c>
      <c r="S2034" s="1" t="s">
        <v>34218</v>
      </c>
    </row>
    <row r="2035" spans="1:19" x14ac:dyDescent="0.25">
      <c r="A2035">
        <v>100650465</v>
      </c>
      <c r="B2035" t="s">
        <v>5830</v>
      </c>
      <c r="C2035" t="s">
        <v>1616</v>
      </c>
      <c r="F2035" t="str">
        <f>"9705329933"</f>
        <v>9705329933</v>
      </c>
      <c r="G2035" t="s">
        <v>5831</v>
      </c>
      <c r="H2035" t="s">
        <v>529</v>
      </c>
      <c r="I2035" t="s">
        <v>71</v>
      </c>
      <c r="J2035">
        <v>80537</v>
      </c>
      <c r="K2035">
        <v>7977</v>
      </c>
      <c r="L2035" t="s">
        <v>23</v>
      </c>
      <c r="M2035" t="s">
        <v>5831</v>
      </c>
      <c r="N2035" t="s">
        <v>529</v>
      </c>
      <c r="O2035" t="s">
        <v>71</v>
      </c>
      <c r="P2035">
        <v>80537</v>
      </c>
      <c r="Q2035">
        <v>7977</v>
      </c>
      <c r="R2035" t="s">
        <v>23</v>
      </c>
      <c r="S2035" s="1" t="s">
        <v>34218</v>
      </c>
    </row>
    <row r="2036" spans="1:19" x14ac:dyDescent="0.25">
      <c r="A2036">
        <v>100579300</v>
      </c>
      <c r="B2036" t="s">
        <v>5832</v>
      </c>
      <c r="C2036" t="s">
        <v>613</v>
      </c>
      <c r="F2036" t="str">
        <f>"3015376152"</f>
        <v>3015376152</v>
      </c>
      <c r="G2036" t="s">
        <v>5833</v>
      </c>
      <c r="H2036" t="s">
        <v>5834</v>
      </c>
      <c r="I2036" t="s">
        <v>148</v>
      </c>
      <c r="J2036">
        <v>20769</v>
      </c>
      <c r="K2036">
        <v>9132</v>
      </c>
      <c r="L2036" t="s">
        <v>23</v>
      </c>
      <c r="M2036" t="s">
        <v>5833</v>
      </c>
      <c r="N2036" t="s">
        <v>5834</v>
      </c>
      <c r="O2036" t="s">
        <v>148</v>
      </c>
      <c r="P2036">
        <v>20769</v>
      </c>
      <c r="Q2036">
        <v>9132</v>
      </c>
      <c r="R2036" t="s">
        <v>23</v>
      </c>
      <c r="S2036" s="1" t="s">
        <v>34218</v>
      </c>
    </row>
    <row r="2037" spans="1:19" x14ac:dyDescent="0.25">
      <c r="A2037">
        <v>100581868</v>
      </c>
      <c r="B2037" t="s">
        <v>5835</v>
      </c>
      <c r="C2037" t="s">
        <v>5836</v>
      </c>
      <c r="F2037" t="str">
        <f>"4235556666"</f>
        <v>4235556666</v>
      </c>
      <c r="G2037" t="s">
        <v>5837</v>
      </c>
      <c r="H2037" t="s">
        <v>5838</v>
      </c>
      <c r="I2037" t="s">
        <v>914</v>
      </c>
      <c r="J2037">
        <v>37401</v>
      </c>
      <c r="K2037">
        <v>2048</v>
      </c>
      <c r="L2037" t="s">
        <v>23</v>
      </c>
      <c r="M2037" t="s">
        <v>5837</v>
      </c>
      <c r="N2037" t="s">
        <v>5838</v>
      </c>
      <c r="O2037" t="s">
        <v>914</v>
      </c>
      <c r="P2037">
        <v>37401</v>
      </c>
      <c r="Q2037">
        <v>2048</v>
      </c>
      <c r="R2037" t="s">
        <v>23</v>
      </c>
      <c r="S2037" s="1" t="s">
        <v>34218</v>
      </c>
    </row>
    <row r="2038" spans="1:19" x14ac:dyDescent="0.25">
      <c r="A2038">
        <v>100791737</v>
      </c>
      <c r="B2038" t="s">
        <v>5839</v>
      </c>
      <c r="C2038" t="s">
        <v>2056</v>
      </c>
      <c r="F2038" t="str">
        <f>"6106987016"</f>
        <v>6106987016</v>
      </c>
      <c r="G2038" t="s">
        <v>5840</v>
      </c>
      <c r="H2038" t="s">
        <v>5841</v>
      </c>
      <c r="I2038" t="s">
        <v>33</v>
      </c>
      <c r="J2038">
        <v>18969</v>
      </c>
      <c r="K2038">
        <v>2606</v>
      </c>
      <c r="L2038" t="s">
        <v>23</v>
      </c>
      <c r="M2038" t="s">
        <v>5840</v>
      </c>
      <c r="N2038" t="s">
        <v>5841</v>
      </c>
      <c r="O2038" t="s">
        <v>33</v>
      </c>
      <c r="P2038">
        <v>18969</v>
      </c>
      <c r="Q2038">
        <v>2606</v>
      </c>
      <c r="R2038" t="s">
        <v>23</v>
      </c>
      <c r="S2038" s="1" t="s">
        <v>34218</v>
      </c>
    </row>
    <row r="2039" spans="1:19" x14ac:dyDescent="0.25">
      <c r="A2039">
        <v>100797377</v>
      </c>
      <c r="B2039" t="s">
        <v>4679</v>
      </c>
      <c r="C2039" t="s">
        <v>274</v>
      </c>
      <c r="F2039" t="str">
        <f>"2766468387"</f>
        <v>2766468387</v>
      </c>
      <c r="G2039" t="s">
        <v>5842</v>
      </c>
      <c r="H2039" t="s">
        <v>5843</v>
      </c>
      <c r="I2039" t="s">
        <v>255</v>
      </c>
      <c r="J2039">
        <v>24319</v>
      </c>
      <c r="K2039">
        <v>9590</v>
      </c>
      <c r="L2039" t="s">
        <v>23</v>
      </c>
      <c r="M2039" t="s">
        <v>5842</v>
      </c>
      <c r="N2039" t="s">
        <v>5843</v>
      </c>
      <c r="O2039" t="s">
        <v>255</v>
      </c>
      <c r="P2039">
        <v>24319</v>
      </c>
      <c r="Q2039">
        <v>9590</v>
      </c>
      <c r="R2039" t="s">
        <v>23</v>
      </c>
      <c r="S2039" s="1" t="s">
        <v>34218</v>
      </c>
    </row>
    <row r="2040" spans="1:19" x14ac:dyDescent="0.25">
      <c r="A2040">
        <v>100864980</v>
      </c>
      <c r="B2040" t="s">
        <v>5346</v>
      </c>
      <c r="C2040" t="s">
        <v>1306</v>
      </c>
      <c r="F2040" t="str">
        <f>"5105072204"</f>
        <v>5105072204</v>
      </c>
      <c r="G2040" t="s">
        <v>5844</v>
      </c>
      <c r="H2040" t="s">
        <v>5845</v>
      </c>
      <c r="I2040" t="s">
        <v>22</v>
      </c>
      <c r="J2040">
        <v>95337</v>
      </c>
      <c r="K2040">
        <v>7912</v>
      </c>
      <c r="L2040" t="s">
        <v>23</v>
      </c>
      <c r="M2040" t="s">
        <v>5844</v>
      </c>
      <c r="N2040" t="s">
        <v>5845</v>
      </c>
      <c r="O2040" t="s">
        <v>22</v>
      </c>
      <c r="P2040">
        <v>95337</v>
      </c>
      <c r="Q2040">
        <v>7912</v>
      </c>
      <c r="R2040" t="s">
        <v>23</v>
      </c>
      <c r="S2040" s="1" t="s">
        <v>34218</v>
      </c>
    </row>
    <row r="2041" spans="1:19" x14ac:dyDescent="0.25">
      <c r="A2041">
        <v>100867935</v>
      </c>
      <c r="B2041" t="s">
        <v>5846</v>
      </c>
      <c r="C2041" t="s">
        <v>466</v>
      </c>
      <c r="F2041" t="str">
        <f>"5555555555"</f>
        <v>5555555555</v>
      </c>
      <c r="G2041" t="s">
        <v>5847</v>
      </c>
      <c r="H2041" t="s">
        <v>5848</v>
      </c>
      <c r="I2041" t="s">
        <v>250</v>
      </c>
      <c r="J2041">
        <v>8822</v>
      </c>
      <c r="K2041">
        <v>1307</v>
      </c>
      <c r="L2041" t="s">
        <v>23</v>
      </c>
      <c r="M2041" t="s">
        <v>5847</v>
      </c>
      <c r="N2041" t="s">
        <v>5848</v>
      </c>
      <c r="O2041" t="s">
        <v>250</v>
      </c>
      <c r="P2041">
        <v>8822</v>
      </c>
      <c r="Q2041">
        <v>1307</v>
      </c>
      <c r="R2041" t="s">
        <v>23</v>
      </c>
      <c r="S2041" s="1" t="s">
        <v>34218</v>
      </c>
    </row>
    <row r="2042" spans="1:19" x14ac:dyDescent="0.25">
      <c r="A2042">
        <v>101040990</v>
      </c>
      <c r="B2042" t="s">
        <v>3656</v>
      </c>
      <c r="C2042" t="s">
        <v>1161</v>
      </c>
      <c r="F2042" t="str">
        <f>"6194179499"</f>
        <v>6194179499</v>
      </c>
      <c r="G2042" t="s">
        <v>5849</v>
      </c>
      <c r="H2042" t="s">
        <v>198</v>
      </c>
      <c r="I2042" t="s">
        <v>22</v>
      </c>
      <c r="J2042">
        <v>92126</v>
      </c>
      <c r="K2042">
        <v>4101</v>
      </c>
      <c r="L2042" t="s">
        <v>23</v>
      </c>
      <c r="M2042" t="s">
        <v>5849</v>
      </c>
      <c r="N2042" t="s">
        <v>198</v>
      </c>
      <c r="O2042" t="s">
        <v>22</v>
      </c>
      <c r="P2042">
        <v>92126</v>
      </c>
      <c r="Q2042">
        <v>4101</v>
      </c>
      <c r="R2042" t="s">
        <v>23</v>
      </c>
      <c r="S2042" s="1" t="s">
        <v>34218</v>
      </c>
    </row>
    <row r="2043" spans="1:19" x14ac:dyDescent="0.25">
      <c r="A2043">
        <v>100716167</v>
      </c>
      <c r="B2043" t="s">
        <v>5850</v>
      </c>
      <c r="C2043" t="s">
        <v>1223</v>
      </c>
      <c r="F2043" t="str">
        <f>"3105599814"</f>
        <v>3105599814</v>
      </c>
      <c r="G2043" t="s">
        <v>5851</v>
      </c>
      <c r="H2043" t="s">
        <v>299</v>
      </c>
      <c r="I2043" t="s">
        <v>22</v>
      </c>
      <c r="J2043">
        <v>90064</v>
      </c>
      <c r="K2043">
        <v>4523</v>
      </c>
      <c r="L2043" t="s">
        <v>23</v>
      </c>
      <c r="M2043" t="s">
        <v>5851</v>
      </c>
      <c r="N2043" t="s">
        <v>299</v>
      </c>
      <c r="O2043" t="s">
        <v>22</v>
      </c>
      <c r="P2043">
        <v>90064</v>
      </c>
      <c r="Q2043">
        <v>4523</v>
      </c>
      <c r="R2043" t="s">
        <v>23</v>
      </c>
      <c r="S2043" s="1" t="s">
        <v>34218</v>
      </c>
    </row>
    <row r="2044" spans="1:19" x14ac:dyDescent="0.25">
      <c r="A2044">
        <v>100733051</v>
      </c>
      <c r="B2044" t="s">
        <v>5852</v>
      </c>
      <c r="C2044" t="s">
        <v>102</v>
      </c>
      <c r="F2044" t="str">
        <f>"5308945303"</f>
        <v>5308945303</v>
      </c>
      <c r="G2044" t="s">
        <v>5853</v>
      </c>
      <c r="H2044" t="s">
        <v>121</v>
      </c>
      <c r="I2044" t="s">
        <v>22</v>
      </c>
      <c r="J2044">
        <v>95928</v>
      </c>
      <c r="K2044">
        <v>6157</v>
      </c>
      <c r="L2044" t="s">
        <v>23</v>
      </c>
      <c r="M2044" t="s">
        <v>5853</v>
      </c>
      <c r="N2044" t="s">
        <v>121</v>
      </c>
      <c r="O2044" t="s">
        <v>22</v>
      </c>
      <c r="P2044">
        <v>95928</v>
      </c>
      <c r="Q2044">
        <v>6157</v>
      </c>
      <c r="R2044" t="s">
        <v>23</v>
      </c>
      <c r="S2044" s="1" t="s">
        <v>34218</v>
      </c>
    </row>
    <row r="2045" spans="1:19" x14ac:dyDescent="0.25">
      <c r="A2045">
        <v>100911575</v>
      </c>
      <c r="B2045" t="s">
        <v>5854</v>
      </c>
      <c r="C2045" t="s">
        <v>1124</v>
      </c>
      <c r="F2045" t="str">
        <f>"3036656828"</f>
        <v>3036656828</v>
      </c>
      <c r="G2045" t="s">
        <v>5855</v>
      </c>
      <c r="H2045" t="s">
        <v>1096</v>
      </c>
      <c r="I2045" t="s">
        <v>71</v>
      </c>
      <c r="J2045">
        <v>80027</v>
      </c>
      <c r="K2045">
        <v>1215</v>
      </c>
      <c r="L2045" t="s">
        <v>23</v>
      </c>
      <c r="M2045" t="s">
        <v>5855</v>
      </c>
      <c r="N2045" t="s">
        <v>1096</v>
      </c>
      <c r="O2045" t="s">
        <v>71</v>
      </c>
      <c r="P2045">
        <v>80027</v>
      </c>
      <c r="Q2045">
        <v>1215</v>
      </c>
      <c r="R2045" t="s">
        <v>23</v>
      </c>
      <c r="S2045" s="1" t="s">
        <v>34218</v>
      </c>
    </row>
    <row r="2046" spans="1:19" x14ac:dyDescent="0.25">
      <c r="A2046">
        <v>101072530</v>
      </c>
      <c r="B2046" t="s">
        <v>5856</v>
      </c>
      <c r="C2046" t="s">
        <v>4471</v>
      </c>
      <c r="F2046" t="str">
        <f>"4157217724"</f>
        <v>4157217724</v>
      </c>
      <c r="G2046" t="s">
        <v>5857</v>
      </c>
      <c r="H2046" t="s">
        <v>2684</v>
      </c>
      <c r="I2046" t="s">
        <v>22</v>
      </c>
      <c r="J2046">
        <v>94901</v>
      </c>
      <c r="K2046">
        <v>4542</v>
      </c>
      <c r="L2046" t="s">
        <v>23</v>
      </c>
      <c r="M2046" t="s">
        <v>5857</v>
      </c>
      <c r="N2046" t="s">
        <v>2684</v>
      </c>
      <c r="O2046" t="s">
        <v>22</v>
      </c>
      <c r="P2046">
        <v>94901</v>
      </c>
      <c r="Q2046">
        <v>4542</v>
      </c>
      <c r="R2046" t="s">
        <v>23</v>
      </c>
      <c r="S2046" s="1" t="s">
        <v>34218</v>
      </c>
    </row>
    <row r="2047" spans="1:19" x14ac:dyDescent="0.25">
      <c r="A2047">
        <v>101074967</v>
      </c>
      <c r="B2047" t="s">
        <v>5858</v>
      </c>
      <c r="C2047" t="s">
        <v>613</v>
      </c>
      <c r="F2047" t="str">
        <f>"5854263402"</f>
        <v>5854263402</v>
      </c>
      <c r="G2047" t="s">
        <v>5859</v>
      </c>
      <c r="H2047" t="s">
        <v>688</v>
      </c>
      <c r="I2047" t="s">
        <v>117</v>
      </c>
      <c r="J2047">
        <v>14624</v>
      </c>
      <c r="K2047">
        <v>2812</v>
      </c>
      <c r="L2047" t="s">
        <v>23</v>
      </c>
      <c r="M2047" t="s">
        <v>5859</v>
      </c>
      <c r="N2047" t="s">
        <v>688</v>
      </c>
      <c r="O2047" t="s">
        <v>117</v>
      </c>
      <c r="P2047">
        <v>14624</v>
      </c>
      <c r="Q2047">
        <v>2812</v>
      </c>
      <c r="R2047" t="s">
        <v>23</v>
      </c>
      <c r="S2047" s="1" t="s">
        <v>34218</v>
      </c>
    </row>
    <row r="2048" spans="1:19" x14ac:dyDescent="0.25">
      <c r="A2048">
        <v>101324405</v>
      </c>
      <c r="B2048" t="s">
        <v>5860</v>
      </c>
      <c r="C2048" t="s">
        <v>309</v>
      </c>
      <c r="F2048" t="str">
        <f>"4406321158"</f>
        <v>4406321158</v>
      </c>
      <c r="G2048" t="s">
        <v>5861</v>
      </c>
      <c r="H2048" t="s">
        <v>5862</v>
      </c>
      <c r="I2048" t="s">
        <v>178</v>
      </c>
      <c r="J2048">
        <v>44062</v>
      </c>
      <c r="K2048">
        <v>9763</v>
      </c>
      <c r="L2048" t="s">
        <v>23</v>
      </c>
      <c r="M2048" t="s">
        <v>5861</v>
      </c>
      <c r="N2048" t="s">
        <v>5862</v>
      </c>
      <c r="O2048" t="s">
        <v>178</v>
      </c>
      <c r="P2048">
        <v>44062</v>
      </c>
      <c r="Q2048">
        <v>9763</v>
      </c>
      <c r="R2048" t="s">
        <v>23</v>
      </c>
      <c r="S2048" s="1" t="s">
        <v>34218</v>
      </c>
    </row>
    <row r="2049" spans="1:19" x14ac:dyDescent="0.25">
      <c r="A2049">
        <v>101322017</v>
      </c>
      <c r="B2049" t="s">
        <v>5863</v>
      </c>
      <c r="C2049" t="s">
        <v>1726</v>
      </c>
      <c r="F2049" t="str">
        <f>"2032222222"</f>
        <v>2032222222</v>
      </c>
      <c r="G2049" t="s">
        <v>5864</v>
      </c>
      <c r="H2049" t="s">
        <v>5865</v>
      </c>
      <c r="I2049" t="s">
        <v>236</v>
      </c>
      <c r="J2049">
        <v>1001</v>
      </c>
      <c r="K2049">
        <v>2248</v>
      </c>
      <c r="L2049" t="s">
        <v>23</v>
      </c>
      <c r="M2049" t="s">
        <v>5864</v>
      </c>
      <c r="N2049" t="s">
        <v>5865</v>
      </c>
      <c r="O2049" t="s">
        <v>236</v>
      </c>
      <c r="P2049">
        <v>1001</v>
      </c>
      <c r="Q2049">
        <v>2248</v>
      </c>
      <c r="R2049" t="s">
        <v>23</v>
      </c>
      <c r="S2049" s="1" t="s">
        <v>34218</v>
      </c>
    </row>
    <row r="2050" spans="1:19" x14ac:dyDescent="0.25">
      <c r="A2050">
        <v>100672500</v>
      </c>
      <c r="B2050" t="s">
        <v>1234</v>
      </c>
      <c r="C2050" t="s">
        <v>5347</v>
      </c>
      <c r="F2050" t="str">
        <f>"6174596025"</f>
        <v>6174596025</v>
      </c>
      <c r="G2050" t="s">
        <v>5866</v>
      </c>
      <c r="H2050" t="s">
        <v>2514</v>
      </c>
      <c r="I2050" t="s">
        <v>236</v>
      </c>
      <c r="J2050">
        <v>2130</v>
      </c>
      <c r="K2050">
        <v>2693</v>
      </c>
      <c r="L2050" t="s">
        <v>23</v>
      </c>
      <c r="M2050" t="s">
        <v>5866</v>
      </c>
      <c r="N2050" t="s">
        <v>2514</v>
      </c>
      <c r="O2050" t="s">
        <v>236</v>
      </c>
      <c r="P2050">
        <v>2130</v>
      </c>
      <c r="Q2050">
        <v>2693</v>
      </c>
      <c r="R2050" t="s">
        <v>23</v>
      </c>
      <c r="S2050" s="1" t="s">
        <v>34218</v>
      </c>
    </row>
    <row r="2051" spans="1:19" x14ac:dyDescent="0.25">
      <c r="A2051">
        <v>101178838</v>
      </c>
      <c r="B2051" t="s">
        <v>5867</v>
      </c>
      <c r="C2051" t="s">
        <v>5868</v>
      </c>
      <c r="F2051" t="str">
        <f>"3234675078"</f>
        <v>3234675078</v>
      </c>
      <c r="G2051" t="s">
        <v>5869</v>
      </c>
      <c r="H2051" t="s">
        <v>299</v>
      </c>
      <c r="I2051" t="s">
        <v>22</v>
      </c>
      <c r="J2051">
        <v>90068</v>
      </c>
      <c r="K2051">
        <v>2736</v>
      </c>
      <c r="L2051" t="s">
        <v>23</v>
      </c>
      <c r="M2051" t="s">
        <v>5869</v>
      </c>
      <c r="N2051" t="s">
        <v>299</v>
      </c>
      <c r="O2051" t="s">
        <v>22</v>
      </c>
      <c r="P2051">
        <v>90068</v>
      </c>
      <c r="Q2051">
        <v>2736</v>
      </c>
      <c r="R2051" t="s">
        <v>23</v>
      </c>
      <c r="S2051" s="1" t="s">
        <v>34218</v>
      </c>
    </row>
    <row r="2052" spans="1:19" x14ac:dyDescent="0.25">
      <c r="A2052">
        <v>100945643</v>
      </c>
      <c r="B2052" t="s">
        <v>5870</v>
      </c>
      <c r="C2052" t="s">
        <v>1107</v>
      </c>
      <c r="F2052" t="str">
        <f>"5054099194"</f>
        <v>5054099194</v>
      </c>
      <c r="G2052" t="s">
        <v>5871</v>
      </c>
      <c r="H2052" t="s">
        <v>5872</v>
      </c>
      <c r="I2052" t="s">
        <v>639</v>
      </c>
      <c r="J2052">
        <v>87301</v>
      </c>
      <c r="K2052">
        <v>4516</v>
      </c>
      <c r="L2052" t="s">
        <v>23</v>
      </c>
      <c r="M2052" t="s">
        <v>5871</v>
      </c>
      <c r="N2052" t="s">
        <v>5872</v>
      </c>
      <c r="O2052" t="s">
        <v>639</v>
      </c>
      <c r="P2052">
        <v>87301</v>
      </c>
      <c r="Q2052">
        <v>4516</v>
      </c>
      <c r="R2052" t="s">
        <v>23</v>
      </c>
      <c r="S2052" s="1" t="s">
        <v>34218</v>
      </c>
    </row>
    <row r="2053" spans="1:19" x14ac:dyDescent="0.25">
      <c r="A2053">
        <v>100954629</v>
      </c>
      <c r="B2053" t="s">
        <v>4848</v>
      </c>
      <c r="C2053" t="s">
        <v>110</v>
      </c>
      <c r="F2053" t="str">
        <f>"5414822820"</f>
        <v>5414822820</v>
      </c>
      <c r="G2053" t="s">
        <v>5873</v>
      </c>
      <c r="H2053" t="s">
        <v>177</v>
      </c>
      <c r="I2053" t="s">
        <v>43</v>
      </c>
      <c r="J2053">
        <v>97520</v>
      </c>
      <c r="K2053">
        <v>8789</v>
      </c>
      <c r="L2053" t="s">
        <v>23</v>
      </c>
      <c r="M2053" t="s">
        <v>5873</v>
      </c>
      <c r="N2053" t="s">
        <v>177</v>
      </c>
      <c r="O2053" t="s">
        <v>43</v>
      </c>
      <c r="P2053">
        <v>97520</v>
      </c>
      <c r="Q2053">
        <v>8789</v>
      </c>
      <c r="R2053" t="s">
        <v>23</v>
      </c>
      <c r="S2053" s="1" t="s">
        <v>34218</v>
      </c>
    </row>
    <row r="2054" spans="1:19" x14ac:dyDescent="0.25">
      <c r="A2054">
        <v>101152049</v>
      </c>
      <c r="B2054" t="s">
        <v>5874</v>
      </c>
      <c r="C2054" t="s">
        <v>575</v>
      </c>
      <c r="F2054" t="str">
        <f>"9413229752"</f>
        <v>9413229752</v>
      </c>
      <c r="G2054" t="s">
        <v>5875</v>
      </c>
      <c r="H2054" t="s">
        <v>5876</v>
      </c>
      <c r="I2054" t="s">
        <v>52</v>
      </c>
      <c r="J2054">
        <v>34202</v>
      </c>
      <c r="K2054">
        <v>6310</v>
      </c>
      <c r="L2054" t="s">
        <v>23</v>
      </c>
      <c r="M2054" t="s">
        <v>5875</v>
      </c>
      <c r="N2054" t="s">
        <v>5876</v>
      </c>
      <c r="O2054" t="s">
        <v>52</v>
      </c>
      <c r="P2054">
        <v>34202</v>
      </c>
      <c r="Q2054">
        <v>6310</v>
      </c>
      <c r="R2054" t="s">
        <v>23</v>
      </c>
      <c r="S2054" s="1" t="s">
        <v>34218</v>
      </c>
    </row>
    <row r="2055" spans="1:19" x14ac:dyDescent="0.25">
      <c r="A2055">
        <v>101154601</v>
      </c>
      <c r="B2055" t="s">
        <v>105</v>
      </c>
      <c r="C2055" t="s">
        <v>664</v>
      </c>
      <c r="F2055" t="str">
        <f>"3232228269"</f>
        <v>3232228269</v>
      </c>
      <c r="G2055" t="s">
        <v>5877</v>
      </c>
      <c r="H2055" t="s">
        <v>299</v>
      </c>
      <c r="I2055" t="s">
        <v>22</v>
      </c>
      <c r="J2055">
        <v>90065</v>
      </c>
      <c r="K2055">
        <v>1727</v>
      </c>
      <c r="L2055" t="s">
        <v>23</v>
      </c>
      <c r="M2055" t="s">
        <v>5877</v>
      </c>
      <c r="N2055" t="s">
        <v>299</v>
      </c>
      <c r="O2055" t="s">
        <v>22</v>
      </c>
      <c r="P2055">
        <v>90065</v>
      </c>
      <c r="Q2055">
        <v>1727</v>
      </c>
      <c r="R2055" t="s">
        <v>23</v>
      </c>
      <c r="S2055" s="1" t="s">
        <v>34218</v>
      </c>
    </row>
    <row r="2056" spans="1:19" x14ac:dyDescent="0.25">
      <c r="A2056">
        <v>101067203</v>
      </c>
      <c r="B2056" t="s">
        <v>5878</v>
      </c>
      <c r="C2056" t="s">
        <v>5879</v>
      </c>
      <c r="F2056" t="str">
        <f>"9163319253"</f>
        <v>9163319253</v>
      </c>
      <c r="G2056" t="s">
        <v>5880</v>
      </c>
      <c r="H2056" t="s">
        <v>650</v>
      </c>
      <c r="I2056" t="s">
        <v>22</v>
      </c>
      <c r="J2056">
        <v>95842</v>
      </c>
      <c r="K2056">
        <v>3734</v>
      </c>
      <c r="L2056" t="s">
        <v>23</v>
      </c>
      <c r="M2056" t="s">
        <v>5880</v>
      </c>
      <c r="N2056" t="s">
        <v>650</v>
      </c>
      <c r="O2056" t="s">
        <v>22</v>
      </c>
      <c r="P2056">
        <v>95842</v>
      </c>
      <c r="Q2056">
        <v>3734</v>
      </c>
      <c r="R2056" t="s">
        <v>23</v>
      </c>
      <c r="S2056" s="1" t="s">
        <v>34218</v>
      </c>
    </row>
    <row r="2057" spans="1:19" x14ac:dyDescent="0.25">
      <c r="A2057">
        <v>101272264</v>
      </c>
      <c r="B2057" t="s">
        <v>5505</v>
      </c>
      <c r="C2057" t="s">
        <v>1153</v>
      </c>
      <c r="F2057" t="str">
        <f>"3033222176"</f>
        <v>3033222176</v>
      </c>
      <c r="G2057" t="s">
        <v>5881</v>
      </c>
      <c r="H2057" t="s">
        <v>393</v>
      </c>
      <c r="I2057" t="s">
        <v>71</v>
      </c>
      <c r="J2057">
        <v>80220</v>
      </c>
      <c r="K2057">
        <v>4528</v>
      </c>
      <c r="L2057" t="s">
        <v>23</v>
      </c>
      <c r="M2057" t="s">
        <v>5881</v>
      </c>
      <c r="N2057" t="s">
        <v>393</v>
      </c>
      <c r="O2057" t="s">
        <v>71</v>
      </c>
      <c r="P2057">
        <v>80220</v>
      </c>
      <c r="Q2057">
        <v>4528</v>
      </c>
      <c r="R2057" t="s">
        <v>23</v>
      </c>
      <c r="S2057" s="1" t="s">
        <v>34218</v>
      </c>
    </row>
    <row r="2058" spans="1:19" x14ac:dyDescent="0.25">
      <c r="A2058">
        <v>100815469</v>
      </c>
      <c r="B2058" t="s">
        <v>5882</v>
      </c>
      <c r="C2058" t="s">
        <v>2033</v>
      </c>
      <c r="F2058" t="str">
        <f>"4064469102"</f>
        <v>4064469102</v>
      </c>
      <c r="G2058" t="s">
        <v>5883</v>
      </c>
      <c r="H2058" t="s">
        <v>5884</v>
      </c>
      <c r="I2058" t="s">
        <v>1000</v>
      </c>
      <c r="J2058">
        <v>59068</v>
      </c>
      <c r="K2058">
        <v>9531</v>
      </c>
      <c r="L2058" t="s">
        <v>23</v>
      </c>
      <c r="M2058" t="s">
        <v>5883</v>
      </c>
      <c r="N2058" t="s">
        <v>5884</v>
      </c>
      <c r="O2058" t="s">
        <v>1000</v>
      </c>
      <c r="P2058">
        <v>59068</v>
      </c>
      <c r="Q2058">
        <v>9531</v>
      </c>
      <c r="R2058" t="s">
        <v>23</v>
      </c>
      <c r="S2058" s="1" t="s">
        <v>34218</v>
      </c>
    </row>
    <row r="2059" spans="1:19" x14ac:dyDescent="0.25">
      <c r="A2059">
        <v>100915362</v>
      </c>
      <c r="B2059" t="s">
        <v>5885</v>
      </c>
      <c r="C2059" t="s">
        <v>247</v>
      </c>
      <c r="F2059" t="str">
        <f>"7077510539"</f>
        <v>7077510539</v>
      </c>
      <c r="G2059" t="s">
        <v>5886</v>
      </c>
      <c r="H2059" t="s">
        <v>5887</v>
      </c>
      <c r="I2059" t="s">
        <v>702</v>
      </c>
      <c r="J2059">
        <v>89451</v>
      </c>
      <c r="K2059">
        <v>9132</v>
      </c>
      <c r="L2059" t="s">
        <v>23</v>
      </c>
      <c r="M2059" t="s">
        <v>5886</v>
      </c>
      <c r="N2059" t="s">
        <v>5887</v>
      </c>
      <c r="O2059" t="s">
        <v>702</v>
      </c>
      <c r="P2059">
        <v>89451</v>
      </c>
      <c r="Q2059">
        <v>9132</v>
      </c>
      <c r="R2059" t="s">
        <v>23</v>
      </c>
      <c r="S2059" s="1" t="s">
        <v>34218</v>
      </c>
    </row>
    <row r="2060" spans="1:19" x14ac:dyDescent="0.25">
      <c r="A2060">
        <v>100751538</v>
      </c>
      <c r="B2060" t="s">
        <v>3123</v>
      </c>
      <c r="C2060" t="s">
        <v>30</v>
      </c>
      <c r="F2060" t="str">
        <f>"4199898802"</f>
        <v>4199898802</v>
      </c>
      <c r="G2060" t="s">
        <v>5888</v>
      </c>
      <c r="H2060" t="s">
        <v>5889</v>
      </c>
      <c r="I2060" t="s">
        <v>178</v>
      </c>
      <c r="J2060">
        <v>44827</v>
      </c>
      <c r="K2060">
        <v>1623</v>
      </c>
      <c r="L2060" t="s">
        <v>23</v>
      </c>
      <c r="M2060" t="s">
        <v>5888</v>
      </c>
      <c r="N2060" t="s">
        <v>5889</v>
      </c>
      <c r="O2060" t="s">
        <v>178</v>
      </c>
      <c r="P2060">
        <v>44827</v>
      </c>
      <c r="Q2060">
        <v>1623</v>
      </c>
      <c r="R2060" t="s">
        <v>23</v>
      </c>
      <c r="S2060" s="1" t="s">
        <v>34218</v>
      </c>
    </row>
    <row r="2061" spans="1:19" x14ac:dyDescent="0.25">
      <c r="A2061">
        <v>100752150</v>
      </c>
      <c r="B2061" t="s">
        <v>2253</v>
      </c>
      <c r="C2061" t="s">
        <v>5890</v>
      </c>
      <c r="F2061" t="str">
        <f>"7149629798"</f>
        <v>7149629798</v>
      </c>
      <c r="G2061" t="s">
        <v>5891</v>
      </c>
      <c r="H2061" t="s">
        <v>5892</v>
      </c>
      <c r="I2061" t="s">
        <v>22</v>
      </c>
      <c r="J2061">
        <v>92708</v>
      </c>
      <c r="K2061">
        <v>4441</v>
      </c>
      <c r="L2061" t="s">
        <v>23</v>
      </c>
      <c r="M2061" t="s">
        <v>5891</v>
      </c>
      <c r="N2061" t="s">
        <v>5892</v>
      </c>
      <c r="O2061" t="s">
        <v>22</v>
      </c>
      <c r="P2061">
        <v>92708</v>
      </c>
      <c r="Q2061">
        <v>4441</v>
      </c>
      <c r="R2061" t="s">
        <v>23</v>
      </c>
      <c r="S2061" s="1" t="s">
        <v>34218</v>
      </c>
    </row>
    <row r="2062" spans="1:19" x14ac:dyDescent="0.25">
      <c r="A2062">
        <v>100750858</v>
      </c>
      <c r="B2062" t="s">
        <v>5893</v>
      </c>
      <c r="C2062" t="s">
        <v>114</v>
      </c>
      <c r="F2062" t="str">
        <f>"8312408150"</f>
        <v>8312408150</v>
      </c>
      <c r="G2062" t="s">
        <v>5894</v>
      </c>
      <c r="H2062" t="s">
        <v>1636</v>
      </c>
      <c r="I2062" t="s">
        <v>22</v>
      </c>
      <c r="J2062">
        <v>93905</v>
      </c>
      <c r="K2062">
        <v>4460</v>
      </c>
      <c r="L2062" t="s">
        <v>23</v>
      </c>
      <c r="M2062" t="s">
        <v>5894</v>
      </c>
      <c r="N2062" t="s">
        <v>1636</v>
      </c>
      <c r="O2062" t="s">
        <v>22</v>
      </c>
      <c r="P2062">
        <v>93905</v>
      </c>
      <c r="Q2062">
        <v>4460</v>
      </c>
      <c r="R2062" t="s">
        <v>23</v>
      </c>
      <c r="S2062" s="1" t="s">
        <v>34218</v>
      </c>
    </row>
    <row r="2063" spans="1:19" x14ac:dyDescent="0.25">
      <c r="A2063">
        <v>100556271</v>
      </c>
      <c r="B2063" t="s">
        <v>5895</v>
      </c>
      <c r="C2063" t="s">
        <v>2033</v>
      </c>
      <c r="F2063" t="str">
        <f>"5555555555"</f>
        <v>5555555555</v>
      </c>
      <c r="G2063" t="s">
        <v>5896</v>
      </c>
      <c r="H2063" t="s">
        <v>27</v>
      </c>
      <c r="I2063" t="s">
        <v>28</v>
      </c>
      <c r="J2063">
        <v>30307</v>
      </c>
      <c r="K2063">
        <v>1315</v>
      </c>
      <c r="L2063" t="s">
        <v>23</v>
      </c>
      <c r="M2063" t="s">
        <v>5896</v>
      </c>
      <c r="N2063" t="s">
        <v>27</v>
      </c>
      <c r="O2063" t="s">
        <v>28</v>
      </c>
      <c r="P2063">
        <v>30307</v>
      </c>
      <c r="Q2063">
        <v>1315</v>
      </c>
      <c r="R2063" t="s">
        <v>23</v>
      </c>
      <c r="S2063" s="1" t="s">
        <v>34218</v>
      </c>
    </row>
    <row r="2064" spans="1:19" x14ac:dyDescent="0.25">
      <c r="A2064">
        <v>100770818</v>
      </c>
      <c r="B2064" t="s">
        <v>5897</v>
      </c>
      <c r="C2064" t="s">
        <v>5898</v>
      </c>
      <c r="F2064" t="str">
        <f>"2073894488"</f>
        <v>2073894488</v>
      </c>
      <c r="G2064" t="s">
        <v>5899</v>
      </c>
      <c r="H2064" t="s">
        <v>5900</v>
      </c>
      <c r="I2064" t="s">
        <v>191</v>
      </c>
      <c r="J2064">
        <v>4530</v>
      </c>
      <c r="K2064">
        <v>2823</v>
      </c>
      <c r="L2064" t="s">
        <v>23</v>
      </c>
      <c r="M2064" t="s">
        <v>5899</v>
      </c>
      <c r="N2064" t="s">
        <v>5900</v>
      </c>
      <c r="O2064" t="s">
        <v>191</v>
      </c>
      <c r="P2064">
        <v>4530</v>
      </c>
      <c r="Q2064">
        <v>2823</v>
      </c>
      <c r="R2064" t="s">
        <v>23</v>
      </c>
      <c r="S2064" s="1" t="s">
        <v>34218</v>
      </c>
    </row>
    <row r="2065" spans="1:19" x14ac:dyDescent="0.25">
      <c r="A2065">
        <v>100602883</v>
      </c>
      <c r="B2065" t="s">
        <v>5901</v>
      </c>
      <c r="C2065" t="s">
        <v>4184</v>
      </c>
      <c r="F2065" t="str">
        <f>"5087691330"</f>
        <v>5087691330</v>
      </c>
      <c r="G2065" t="s">
        <v>5902</v>
      </c>
      <c r="H2065" t="s">
        <v>4810</v>
      </c>
      <c r="I2065" t="s">
        <v>236</v>
      </c>
      <c r="J2065">
        <v>1606</v>
      </c>
      <c r="K2065">
        <v>1503</v>
      </c>
      <c r="L2065" t="s">
        <v>23</v>
      </c>
      <c r="M2065" t="s">
        <v>5902</v>
      </c>
      <c r="N2065" t="s">
        <v>4810</v>
      </c>
      <c r="O2065" t="s">
        <v>236</v>
      </c>
      <c r="P2065">
        <v>1606</v>
      </c>
      <c r="Q2065">
        <v>1503</v>
      </c>
      <c r="R2065" t="s">
        <v>23</v>
      </c>
      <c r="S2065" s="1" t="s">
        <v>34218</v>
      </c>
    </row>
    <row r="2066" spans="1:19" x14ac:dyDescent="0.25">
      <c r="A2066">
        <v>100800729</v>
      </c>
      <c r="B2066" t="s">
        <v>5903</v>
      </c>
      <c r="C2066" t="s">
        <v>403</v>
      </c>
      <c r="F2066" t="str">
        <f>"4126073570"</f>
        <v>4126073570</v>
      </c>
      <c r="G2066" t="s">
        <v>5904</v>
      </c>
      <c r="H2066" t="s">
        <v>5905</v>
      </c>
      <c r="I2066" t="s">
        <v>33</v>
      </c>
      <c r="J2066">
        <v>15146</v>
      </c>
      <c r="K2066">
        <v>1343</v>
      </c>
      <c r="L2066" t="s">
        <v>23</v>
      </c>
      <c r="M2066" t="s">
        <v>5904</v>
      </c>
      <c r="N2066" t="s">
        <v>5905</v>
      </c>
      <c r="O2066" t="s">
        <v>33</v>
      </c>
      <c r="P2066">
        <v>15146</v>
      </c>
      <c r="Q2066">
        <v>1343</v>
      </c>
      <c r="R2066" t="s">
        <v>23</v>
      </c>
      <c r="S2066" s="1" t="s">
        <v>34218</v>
      </c>
    </row>
    <row r="2067" spans="1:19" x14ac:dyDescent="0.25">
      <c r="A2067">
        <v>100812165</v>
      </c>
      <c r="B2067" t="s">
        <v>5906</v>
      </c>
      <c r="C2067" t="s">
        <v>1925</v>
      </c>
      <c r="F2067" t="str">
        <f>"7726961833"</f>
        <v>7726961833</v>
      </c>
      <c r="G2067" t="s">
        <v>5907</v>
      </c>
      <c r="H2067" t="s">
        <v>5908</v>
      </c>
      <c r="I2067" t="s">
        <v>52</v>
      </c>
      <c r="J2067">
        <v>32967</v>
      </c>
      <c r="K2067">
        <v>4346</v>
      </c>
      <c r="L2067" t="s">
        <v>23</v>
      </c>
      <c r="M2067" t="s">
        <v>5907</v>
      </c>
      <c r="N2067" t="s">
        <v>5908</v>
      </c>
      <c r="O2067" t="s">
        <v>52</v>
      </c>
      <c r="P2067">
        <v>32967</v>
      </c>
      <c r="Q2067">
        <v>4346</v>
      </c>
      <c r="R2067" t="s">
        <v>23</v>
      </c>
      <c r="S2067" s="1" t="s">
        <v>34218</v>
      </c>
    </row>
    <row r="2068" spans="1:19" x14ac:dyDescent="0.25">
      <c r="A2068">
        <v>101024749</v>
      </c>
      <c r="B2068" t="s">
        <v>5909</v>
      </c>
      <c r="C2068" t="s">
        <v>3566</v>
      </c>
      <c r="F2068" t="str">
        <f>"7329381111"</f>
        <v>7329381111</v>
      </c>
      <c r="G2068" t="s">
        <v>5910</v>
      </c>
      <c r="H2068" t="s">
        <v>5540</v>
      </c>
      <c r="I2068" t="s">
        <v>250</v>
      </c>
      <c r="J2068">
        <v>7731</v>
      </c>
      <c r="K2068">
        <v>2276</v>
      </c>
      <c r="L2068" t="s">
        <v>23</v>
      </c>
      <c r="M2068" t="s">
        <v>5910</v>
      </c>
      <c r="N2068" t="s">
        <v>5540</v>
      </c>
      <c r="O2068" t="s">
        <v>250</v>
      </c>
      <c r="P2068">
        <v>7731</v>
      </c>
      <c r="Q2068">
        <v>2276</v>
      </c>
      <c r="R2068" t="s">
        <v>23</v>
      </c>
      <c r="S2068" s="1" t="s">
        <v>34218</v>
      </c>
    </row>
    <row r="2069" spans="1:19" x14ac:dyDescent="0.25">
      <c r="A2069">
        <v>101026955</v>
      </c>
      <c r="B2069" t="s">
        <v>5911</v>
      </c>
      <c r="C2069" t="s">
        <v>1036</v>
      </c>
      <c r="F2069" t="str">
        <f>"3194007728"</f>
        <v>3194007728</v>
      </c>
      <c r="G2069" t="s">
        <v>5912</v>
      </c>
      <c r="H2069" t="s">
        <v>709</v>
      </c>
      <c r="I2069" t="s">
        <v>565</v>
      </c>
      <c r="J2069">
        <v>52240</v>
      </c>
      <c r="K2069">
        <v>5865</v>
      </c>
      <c r="L2069" t="s">
        <v>23</v>
      </c>
      <c r="M2069" t="s">
        <v>5912</v>
      </c>
      <c r="N2069" t="s">
        <v>709</v>
      </c>
      <c r="O2069" t="s">
        <v>565</v>
      </c>
      <c r="P2069">
        <v>52240</v>
      </c>
      <c r="Q2069">
        <v>5865</v>
      </c>
      <c r="R2069" t="s">
        <v>23</v>
      </c>
      <c r="S2069" s="1" t="s">
        <v>34218</v>
      </c>
    </row>
    <row r="2070" spans="1:19" x14ac:dyDescent="0.25">
      <c r="A2070">
        <v>100661252</v>
      </c>
      <c r="B2070" t="s">
        <v>5913</v>
      </c>
      <c r="C2070" t="s">
        <v>5914</v>
      </c>
      <c r="F2070" t="str">
        <f>"5868407714"</f>
        <v>5868407714</v>
      </c>
      <c r="G2070" t="s">
        <v>5915</v>
      </c>
      <c r="H2070" t="s">
        <v>5916</v>
      </c>
      <c r="I2070" t="s">
        <v>140</v>
      </c>
      <c r="J2070">
        <v>48047</v>
      </c>
      <c r="K2070">
        <v>1781</v>
      </c>
      <c r="L2070" t="s">
        <v>23</v>
      </c>
      <c r="M2070" t="s">
        <v>5915</v>
      </c>
      <c r="N2070" t="s">
        <v>5916</v>
      </c>
      <c r="O2070" t="s">
        <v>140</v>
      </c>
      <c r="P2070">
        <v>48047</v>
      </c>
      <c r="Q2070">
        <v>1781</v>
      </c>
      <c r="R2070" t="s">
        <v>23</v>
      </c>
      <c r="S2070" s="1" t="s">
        <v>34218</v>
      </c>
    </row>
    <row r="2071" spans="1:19" x14ac:dyDescent="0.25">
      <c r="A2071">
        <v>100677132</v>
      </c>
      <c r="B2071" t="s">
        <v>5917</v>
      </c>
      <c r="C2071" t="s">
        <v>4184</v>
      </c>
      <c r="F2071" t="str">
        <f>"3472661351"</f>
        <v>3472661351</v>
      </c>
      <c r="G2071" t="s">
        <v>5918</v>
      </c>
      <c r="H2071" t="s">
        <v>264</v>
      </c>
      <c r="I2071" t="s">
        <v>117</v>
      </c>
      <c r="J2071">
        <v>14850</v>
      </c>
      <c r="K2071">
        <v>2747</v>
      </c>
      <c r="L2071" t="s">
        <v>23</v>
      </c>
      <c r="M2071" t="s">
        <v>5918</v>
      </c>
      <c r="N2071" t="s">
        <v>264</v>
      </c>
      <c r="O2071" t="s">
        <v>117</v>
      </c>
      <c r="P2071">
        <v>14850</v>
      </c>
      <c r="Q2071">
        <v>2747</v>
      </c>
      <c r="R2071" t="s">
        <v>23</v>
      </c>
      <c r="S2071" s="1" t="s">
        <v>34218</v>
      </c>
    </row>
    <row r="2072" spans="1:19" x14ac:dyDescent="0.25">
      <c r="A2072">
        <v>100678254</v>
      </c>
      <c r="B2072" t="s">
        <v>5919</v>
      </c>
      <c r="C2072" t="s">
        <v>1377</v>
      </c>
      <c r="F2072" t="str">
        <f>"3149942181"</f>
        <v>3149942181</v>
      </c>
      <c r="G2072" t="s">
        <v>5920</v>
      </c>
      <c r="H2072" t="s">
        <v>125</v>
      </c>
      <c r="I2072" t="s">
        <v>126</v>
      </c>
      <c r="J2072">
        <v>63146</v>
      </c>
      <c r="K2072">
        <v>4972</v>
      </c>
      <c r="L2072" t="s">
        <v>23</v>
      </c>
      <c r="M2072" t="s">
        <v>5920</v>
      </c>
      <c r="N2072" t="s">
        <v>125</v>
      </c>
      <c r="O2072" t="s">
        <v>126</v>
      </c>
      <c r="P2072">
        <v>63146</v>
      </c>
      <c r="Q2072">
        <v>4972</v>
      </c>
      <c r="R2072" t="s">
        <v>23</v>
      </c>
      <c r="S2072" s="1" t="s">
        <v>34218</v>
      </c>
    </row>
    <row r="2073" spans="1:19" x14ac:dyDescent="0.25">
      <c r="A2073">
        <v>100873861</v>
      </c>
      <c r="B2073" t="s">
        <v>3482</v>
      </c>
      <c r="C2073" t="s">
        <v>5599</v>
      </c>
      <c r="F2073" t="str">
        <f>"3023684674"</f>
        <v>3023684674</v>
      </c>
      <c r="G2073" t="s">
        <v>5921</v>
      </c>
      <c r="H2073" t="s">
        <v>5525</v>
      </c>
      <c r="I2073" t="s">
        <v>2310</v>
      </c>
      <c r="J2073">
        <v>19702</v>
      </c>
      <c r="K2073">
        <v>2307</v>
      </c>
      <c r="L2073" t="s">
        <v>23</v>
      </c>
      <c r="M2073" t="s">
        <v>5921</v>
      </c>
      <c r="N2073" t="s">
        <v>5525</v>
      </c>
      <c r="O2073" t="s">
        <v>2310</v>
      </c>
      <c r="P2073">
        <v>19702</v>
      </c>
      <c r="Q2073">
        <v>2307</v>
      </c>
      <c r="R2073" t="s">
        <v>23</v>
      </c>
      <c r="S2073" s="1" t="s">
        <v>34218</v>
      </c>
    </row>
    <row r="2074" spans="1:19" x14ac:dyDescent="0.25">
      <c r="A2074">
        <v>100881324</v>
      </c>
      <c r="B2074" t="s">
        <v>5922</v>
      </c>
      <c r="C2074" t="s">
        <v>2044</v>
      </c>
      <c r="F2074" t="str">
        <f>"4019467482"</f>
        <v>4019467482</v>
      </c>
      <c r="G2074" t="s">
        <v>5923</v>
      </c>
      <c r="H2074" t="s">
        <v>2431</v>
      </c>
      <c r="I2074" t="s">
        <v>662</v>
      </c>
      <c r="J2074">
        <v>2910</v>
      </c>
      <c r="K2074">
        <v>1401</v>
      </c>
      <c r="L2074" t="s">
        <v>23</v>
      </c>
      <c r="M2074" t="s">
        <v>5923</v>
      </c>
      <c r="N2074" t="s">
        <v>2431</v>
      </c>
      <c r="O2074" t="s">
        <v>662</v>
      </c>
      <c r="P2074">
        <v>2910</v>
      </c>
      <c r="Q2074">
        <v>1401</v>
      </c>
      <c r="R2074" t="s">
        <v>23</v>
      </c>
      <c r="S2074" s="1" t="s">
        <v>34218</v>
      </c>
    </row>
    <row r="2075" spans="1:19" x14ac:dyDescent="0.25">
      <c r="A2075">
        <v>100629529</v>
      </c>
      <c r="B2075" t="s">
        <v>5924</v>
      </c>
      <c r="C2075" t="s">
        <v>81</v>
      </c>
      <c r="F2075" t="str">
        <f>"7172638751"</f>
        <v>7172638751</v>
      </c>
      <c r="G2075" t="s">
        <v>5925</v>
      </c>
      <c r="H2075" t="s">
        <v>5926</v>
      </c>
      <c r="I2075" t="s">
        <v>33</v>
      </c>
      <c r="J2075">
        <v>17202</v>
      </c>
      <c r="K2075">
        <v>9215</v>
      </c>
      <c r="L2075" t="s">
        <v>23</v>
      </c>
      <c r="M2075" t="s">
        <v>5925</v>
      </c>
      <c r="N2075" t="s">
        <v>5926</v>
      </c>
      <c r="O2075" t="s">
        <v>33</v>
      </c>
      <c r="P2075">
        <v>17202</v>
      </c>
      <c r="Q2075">
        <v>9215</v>
      </c>
      <c r="R2075" t="s">
        <v>23</v>
      </c>
      <c r="S2075" s="1" t="s">
        <v>34218</v>
      </c>
    </row>
    <row r="2076" spans="1:19" x14ac:dyDescent="0.25">
      <c r="A2076">
        <v>100632350</v>
      </c>
      <c r="B2076" t="s">
        <v>554</v>
      </c>
      <c r="C2076" t="s">
        <v>1470</v>
      </c>
      <c r="F2076" t="str">
        <f>"4158682523"</f>
        <v>4158682523</v>
      </c>
      <c r="G2076" t="s">
        <v>4417</v>
      </c>
      <c r="H2076" t="s">
        <v>2246</v>
      </c>
      <c r="I2076" t="s">
        <v>22</v>
      </c>
      <c r="J2076">
        <v>94924</v>
      </c>
      <c r="K2076">
        <v>265</v>
      </c>
      <c r="L2076" t="s">
        <v>23</v>
      </c>
      <c r="M2076" t="s">
        <v>4417</v>
      </c>
      <c r="N2076" t="s">
        <v>2246</v>
      </c>
      <c r="O2076" t="s">
        <v>22</v>
      </c>
      <c r="P2076">
        <v>94924</v>
      </c>
      <c r="Q2076">
        <v>265</v>
      </c>
      <c r="R2076" t="s">
        <v>23</v>
      </c>
      <c r="S2076" s="1" t="s">
        <v>34218</v>
      </c>
    </row>
    <row r="2077" spans="1:19" x14ac:dyDescent="0.25">
      <c r="A2077">
        <v>101076100</v>
      </c>
      <c r="B2077" t="s">
        <v>5927</v>
      </c>
      <c r="C2077" t="s">
        <v>1714</v>
      </c>
      <c r="F2077" t="str">
        <f>"8634248822"</f>
        <v>8634248822</v>
      </c>
      <c r="G2077" t="s">
        <v>5928</v>
      </c>
      <c r="H2077" t="s">
        <v>5929</v>
      </c>
      <c r="I2077" t="s">
        <v>52</v>
      </c>
      <c r="J2077">
        <v>33837</v>
      </c>
      <c r="K2077">
        <v>7154</v>
      </c>
      <c r="L2077" t="s">
        <v>23</v>
      </c>
      <c r="M2077" t="s">
        <v>5928</v>
      </c>
      <c r="N2077" t="s">
        <v>5929</v>
      </c>
      <c r="O2077" t="s">
        <v>52</v>
      </c>
      <c r="P2077">
        <v>33837</v>
      </c>
      <c r="Q2077">
        <v>7154</v>
      </c>
      <c r="R2077" t="s">
        <v>23</v>
      </c>
      <c r="S2077" s="1" t="s">
        <v>34218</v>
      </c>
    </row>
    <row r="2078" spans="1:19" x14ac:dyDescent="0.25">
      <c r="A2078">
        <v>100682528</v>
      </c>
      <c r="B2078" t="s">
        <v>5930</v>
      </c>
      <c r="C2078" t="s">
        <v>959</v>
      </c>
      <c r="F2078" t="str">
        <f>"9726444863"</f>
        <v>9726444863</v>
      </c>
      <c r="G2078" t="s">
        <v>5931</v>
      </c>
      <c r="H2078" t="s">
        <v>1889</v>
      </c>
      <c r="I2078" t="s">
        <v>38</v>
      </c>
      <c r="J2078">
        <v>75081</v>
      </c>
      <c r="K2078">
        <v>4727</v>
      </c>
      <c r="L2078" t="s">
        <v>23</v>
      </c>
      <c r="M2078" t="s">
        <v>5931</v>
      </c>
      <c r="N2078" t="s">
        <v>1889</v>
      </c>
      <c r="O2078" t="s">
        <v>38</v>
      </c>
      <c r="P2078">
        <v>75081</v>
      </c>
      <c r="Q2078">
        <v>4727</v>
      </c>
      <c r="R2078" t="s">
        <v>23</v>
      </c>
      <c r="S2078" s="1" t="s">
        <v>34218</v>
      </c>
    </row>
    <row r="2079" spans="1:19" x14ac:dyDescent="0.25">
      <c r="A2079">
        <v>100897505</v>
      </c>
      <c r="B2079" t="s">
        <v>276</v>
      </c>
      <c r="C2079" t="s">
        <v>1208</v>
      </c>
      <c r="F2079" t="str">
        <f>"5307564312"</f>
        <v>5307564312</v>
      </c>
      <c r="G2079" t="s">
        <v>5932</v>
      </c>
      <c r="H2079" t="s">
        <v>276</v>
      </c>
      <c r="I2079" t="s">
        <v>22</v>
      </c>
      <c r="J2079">
        <v>95616</v>
      </c>
      <c r="K2079">
        <v>146</v>
      </c>
      <c r="L2079" t="s">
        <v>23</v>
      </c>
      <c r="M2079" t="s">
        <v>5932</v>
      </c>
      <c r="N2079" t="s">
        <v>276</v>
      </c>
      <c r="O2079" t="s">
        <v>22</v>
      </c>
      <c r="P2079">
        <v>95616</v>
      </c>
      <c r="Q2079">
        <v>146</v>
      </c>
      <c r="R2079" t="s">
        <v>23</v>
      </c>
      <c r="S2079" s="1" t="s">
        <v>34218</v>
      </c>
    </row>
    <row r="2080" spans="1:19" x14ac:dyDescent="0.25">
      <c r="A2080">
        <v>100898947</v>
      </c>
      <c r="B2080" t="s">
        <v>76</v>
      </c>
      <c r="C2080" t="s">
        <v>5933</v>
      </c>
      <c r="F2080" t="str">
        <f>"2106903032"</f>
        <v>2106903032</v>
      </c>
      <c r="G2080" t="s">
        <v>5934</v>
      </c>
      <c r="H2080" t="s">
        <v>1229</v>
      </c>
      <c r="I2080" t="s">
        <v>38</v>
      </c>
      <c r="J2080">
        <v>78249</v>
      </c>
      <c r="K2080">
        <v>1719</v>
      </c>
      <c r="L2080" t="s">
        <v>23</v>
      </c>
      <c r="M2080" t="s">
        <v>5934</v>
      </c>
      <c r="N2080" t="s">
        <v>1229</v>
      </c>
      <c r="O2080" t="s">
        <v>38</v>
      </c>
      <c r="P2080">
        <v>78249</v>
      </c>
      <c r="Q2080">
        <v>1719</v>
      </c>
      <c r="R2080" t="s">
        <v>23</v>
      </c>
      <c r="S2080" s="1" t="s">
        <v>34218</v>
      </c>
    </row>
    <row r="2081" spans="1:19" x14ac:dyDescent="0.25">
      <c r="A2081">
        <v>100903383</v>
      </c>
      <c r="B2081" t="s">
        <v>5935</v>
      </c>
      <c r="C2081" t="s">
        <v>3633</v>
      </c>
      <c r="F2081" t="str">
        <f>"7732816357"</f>
        <v>7732816357</v>
      </c>
      <c r="G2081" t="s">
        <v>5936</v>
      </c>
      <c r="H2081" t="s">
        <v>134</v>
      </c>
      <c r="I2081" t="s">
        <v>135</v>
      </c>
      <c r="J2081">
        <v>60614</v>
      </c>
      <c r="K2081">
        <v>5015</v>
      </c>
      <c r="L2081" t="s">
        <v>23</v>
      </c>
      <c r="M2081" t="s">
        <v>5936</v>
      </c>
      <c r="N2081" t="s">
        <v>134</v>
      </c>
      <c r="O2081" t="s">
        <v>135</v>
      </c>
      <c r="P2081">
        <v>60614</v>
      </c>
      <c r="Q2081">
        <v>5015</v>
      </c>
      <c r="R2081" t="s">
        <v>23</v>
      </c>
      <c r="S2081" s="1" t="s">
        <v>34218</v>
      </c>
    </row>
    <row r="2082" spans="1:19" x14ac:dyDescent="0.25">
      <c r="A2082">
        <v>101312305</v>
      </c>
      <c r="B2082" t="s">
        <v>5937</v>
      </c>
      <c r="C2082" t="s">
        <v>428</v>
      </c>
      <c r="F2082" t="str">
        <f>"8085337007"</f>
        <v>8085337007</v>
      </c>
      <c r="G2082" t="s">
        <v>5938</v>
      </c>
      <c r="H2082" t="s">
        <v>4235</v>
      </c>
      <c r="I2082" t="s">
        <v>984</v>
      </c>
      <c r="J2082">
        <v>96839</v>
      </c>
      <c r="K2082">
        <v>2061</v>
      </c>
      <c r="L2082" t="s">
        <v>23</v>
      </c>
      <c r="M2082" t="s">
        <v>5938</v>
      </c>
      <c r="N2082" t="s">
        <v>4235</v>
      </c>
      <c r="O2082" t="s">
        <v>984</v>
      </c>
      <c r="P2082">
        <v>96839</v>
      </c>
      <c r="Q2082">
        <v>2061</v>
      </c>
      <c r="R2082" t="s">
        <v>23</v>
      </c>
      <c r="S2082" s="1" t="s">
        <v>34218</v>
      </c>
    </row>
    <row r="2083" spans="1:19" x14ac:dyDescent="0.25">
      <c r="A2083">
        <v>101309729</v>
      </c>
      <c r="B2083" t="s">
        <v>4188</v>
      </c>
      <c r="C2083" t="s">
        <v>4276</v>
      </c>
      <c r="F2083" t="str">
        <f>"3524485010"</f>
        <v>3524485010</v>
      </c>
      <c r="G2083" t="s">
        <v>5939</v>
      </c>
      <c r="H2083" t="s">
        <v>5940</v>
      </c>
      <c r="I2083" t="s">
        <v>52</v>
      </c>
      <c r="J2083">
        <v>32653</v>
      </c>
      <c r="K2083">
        <v>1950</v>
      </c>
      <c r="L2083" t="s">
        <v>23</v>
      </c>
      <c r="M2083" t="s">
        <v>5939</v>
      </c>
      <c r="N2083" t="s">
        <v>5940</v>
      </c>
      <c r="O2083" t="s">
        <v>52</v>
      </c>
      <c r="P2083">
        <v>32653</v>
      </c>
      <c r="Q2083">
        <v>1950</v>
      </c>
      <c r="R2083" t="s">
        <v>23</v>
      </c>
      <c r="S2083" s="1" t="s">
        <v>34218</v>
      </c>
    </row>
    <row r="2084" spans="1:19" x14ac:dyDescent="0.25">
      <c r="A2084">
        <v>101317788</v>
      </c>
      <c r="B2084" t="s">
        <v>5941</v>
      </c>
      <c r="C2084" t="s">
        <v>2127</v>
      </c>
      <c r="F2084" t="str">
        <f>"3603799355"</f>
        <v>3603799355</v>
      </c>
      <c r="G2084" t="s">
        <v>5942</v>
      </c>
      <c r="H2084" t="s">
        <v>855</v>
      </c>
      <c r="I2084" t="s">
        <v>84</v>
      </c>
      <c r="J2084">
        <v>98368</v>
      </c>
      <c r="K2084">
        <v>5040</v>
      </c>
      <c r="L2084" t="s">
        <v>23</v>
      </c>
      <c r="M2084" t="s">
        <v>5942</v>
      </c>
      <c r="N2084" t="s">
        <v>855</v>
      </c>
      <c r="O2084" t="s">
        <v>84</v>
      </c>
      <c r="P2084">
        <v>98368</v>
      </c>
      <c r="Q2084">
        <v>5040</v>
      </c>
      <c r="R2084" t="s">
        <v>23</v>
      </c>
      <c r="S2084" s="1" t="s">
        <v>34218</v>
      </c>
    </row>
    <row r="2085" spans="1:19" x14ac:dyDescent="0.25">
      <c r="A2085">
        <v>101102699</v>
      </c>
      <c r="B2085" t="s">
        <v>5943</v>
      </c>
      <c r="C2085" t="s">
        <v>1588</v>
      </c>
      <c r="F2085" t="str">
        <f>"3057934759"</f>
        <v>3057934759</v>
      </c>
      <c r="G2085" t="s">
        <v>5944</v>
      </c>
      <c r="H2085" t="s">
        <v>869</v>
      </c>
      <c r="I2085" t="s">
        <v>52</v>
      </c>
      <c r="J2085">
        <v>33133</v>
      </c>
      <c r="K2085">
        <v>2307</v>
      </c>
      <c r="L2085" t="s">
        <v>23</v>
      </c>
      <c r="M2085" t="s">
        <v>5944</v>
      </c>
      <c r="N2085" t="s">
        <v>869</v>
      </c>
      <c r="O2085" t="s">
        <v>52</v>
      </c>
      <c r="P2085">
        <v>33133</v>
      </c>
      <c r="Q2085">
        <v>2307</v>
      </c>
      <c r="R2085" t="s">
        <v>23</v>
      </c>
      <c r="S2085" s="1" t="s">
        <v>34218</v>
      </c>
    </row>
    <row r="2086" spans="1:19" x14ac:dyDescent="0.25">
      <c r="A2086">
        <v>101306521</v>
      </c>
      <c r="B2086" t="s">
        <v>5945</v>
      </c>
      <c r="C2086" t="s">
        <v>274</v>
      </c>
      <c r="F2086" t="str">
        <f>"4435177689"</f>
        <v>4435177689</v>
      </c>
      <c r="G2086" t="s">
        <v>5946</v>
      </c>
      <c r="H2086" t="s">
        <v>5947</v>
      </c>
      <c r="I2086" t="s">
        <v>148</v>
      </c>
      <c r="J2086">
        <v>21060</v>
      </c>
      <c r="K2086">
        <v>6739</v>
      </c>
      <c r="L2086" t="s">
        <v>23</v>
      </c>
      <c r="M2086" t="s">
        <v>5946</v>
      </c>
      <c r="N2086" t="s">
        <v>5947</v>
      </c>
      <c r="O2086" t="s">
        <v>148</v>
      </c>
      <c r="P2086">
        <v>21060</v>
      </c>
      <c r="Q2086">
        <v>6739</v>
      </c>
      <c r="R2086" t="s">
        <v>23</v>
      </c>
      <c r="S2086" s="1" t="s">
        <v>34218</v>
      </c>
    </row>
    <row r="2087" spans="1:19" x14ac:dyDescent="0.25">
      <c r="A2087">
        <v>101304143</v>
      </c>
      <c r="B2087" t="s">
        <v>3857</v>
      </c>
      <c r="C2087" t="s">
        <v>329</v>
      </c>
      <c r="F2087" t="str">
        <f>"2522599663"</f>
        <v>2522599663</v>
      </c>
      <c r="G2087" t="s">
        <v>5948</v>
      </c>
      <c r="H2087" t="s">
        <v>5949</v>
      </c>
      <c r="I2087" t="s">
        <v>446</v>
      </c>
      <c r="J2087">
        <v>28560</v>
      </c>
      <c r="K2087">
        <v>8418</v>
      </c>
      <c r="L2087" t="s">
        <v>23</v>
      </c>
      <c r="M2087" t="s">
        <v>5948</v>
      </c>
      <c r="N2087" t="s">
        <v>5949</v>
      </c>
      <c r="O2087" t="s">
        <v>446</v>
      </c>
      <c r="P2087">
        <v>28560</v>
      </c>
      <c r="Q2087">
        <v>8418</v>
      </c>
      <c r="R2087" t="s">
        <v>23</v>
      </c>
      <c r="S2087" s="1" t="s">
        <v>34218</v>
      </c>
    </row>
    <row r="2088" spans="1:19" x14ac:dyDescent="0.25">
      <c r="A2088">
        <v>101316492</v>
      </c>
      <c r="B2088" t="s">
        <v>5950</v>
      </c>
      <c r="C2088" t="s">
        <v>294</v>
      </c>
      <c r="F2088" t="str">
        <f>"8456885763"</f>
        <v>8456885763</v>
      </c>
      <c r="G2088" t="s">
        <v>5951</v>
      </c>
      <c r="H2088" t="s">
        <v>5952</v>
      </c>
      <c r="I2088" t="s">
        <v>117</v>
      </c>
      <c r="J2088">
        <v>12495</v>
      </c>
      <c r="K2088">
        <v>5006</v>
      </c>
      <c r="L2088" t="s">
        <v>23</v>
      </c>
      <c r="M2088" t="s">
        <v>5951</v>
      </c>
      <c r="N2088" t="s">
        <v>5952</v>
      </c>
      <c r="O2088" t="s">
        <v>117</v>
      </c>
      <c r="P2088">
        <v>12495</v>
      </c>
      <c r="Q2088">
        <v>5006</v>
      </c>
      <c r="R2088" t="s">
        <v>23</v>
      </c>
      <c r="S2088" s="1" t="s">
        <v>34218</v>
      </c>
    </row>
    <row r="2089" spans="1:19" x14ac:dyDescent="0.25">
      <c r="A2089">
        <v>101311610</v>
      </c>
      <c r="B2089" t="s">
        <v>44</v>
      </c>
      <c r="C2089" t="s">
        <v>1327</v>
      </c>
      <c r="F2089" t="str">
        <f>"5759141322"</f>
        <v>5759141322</v>
      </c>
      <c r="G2089" t="s">
        <v>5953</v>
      </c>
      <c r="H2089" t="s">
        <v>344</v>
      </c>
      <c r="I2089" t="s">
        <v>639</v>
      </c>
      <c r="J2089">
        <v>88201</v>
      </c>
      <c r="K2089">
        <v>5865</v>
      </c>
      <c r="L2089" t="s">
        <v>23</v>
      </c>
      <c r="M2089" t="s">
        <v>5953</v>
      </c>
      <c r="N2089" t="s">
        <v>344</v>
      </c>
      <c r="O2089" t="s">
        <v>639</v>
      </c>
      <c r="P2089">
        <v>88201</v>
      </c>
      <c r="Q2089">
        <v>5865</v>
      </c>
      <c r="R2089" t="s">
        <v>23</v>
      </c>
      <c r="S2089" s="1" t="s">
        <v>34218</v>
      </c>
    </row>
    <row r="2090" spans="1:19" x14ac:dyDescent="0.25">
      <c r="A2090">
        <v>101322270</v>
      </c>
      <c r="B2090" t="s">
        <v>5954</v>
      </c>
      <c r="C2090" t="s">
        <v>5955</v>
      </c>
      <c r="F2090" t="str">
        <f>"7406573869"</f>
        <v>7406573869</v>
      </c>
      <c r="G2090" t="s">
        <v>5956</v>
      </c>
      <c r="H2090" t="s">
        <v>5957</v>
      </c>
      <c r="I2090" t="s">
        <v>178</v>
      </c>
      <c r="J2090">
        <v>43035</v>
      </c>
      <c r="K2090">
        <v>7008</v>
      </c>
      <c r="L2090" t="s">
        <v>23</v>
      </c>
      <c r="M2090" t="s">
        <v>5956</v>
      </c>
      <c r="N2090" t="s">
        <v>5957</v>
      </c>
      <c r="O2090" t="s">
        <v>178</v>
      </c>
      <c r="P2090">
        <v>43035</v>
      </c>
      <c r="Q2090">
        <v>7008</v>
      </c>
      <c r="R2090" t="s">
        <v>23</v>
      </c>
      <c r="S2090" s="1" t="s">
        <v>34218</v>
      </c>
    </row>
    <row r="2091" spans="1:19" x14ac:dyDescent="0.25">
      <c r="A2091">
        <v>100968146</v>
      </c>
      <c r="B2091" t="s">
        <v>5958</v>
      </c>
      <c r="C2091" t="s">
        <v>699</v>
      </c>
      <c r="F2091" t="str">
        <f>"9529533180"</f>
        <v>9529533180</v>
      </c>
      <c r="G2091" t="s">
        <v>5959</v>
      </c>
      <c r="H2091" t="s">
        <v>2336</v>
      </c>
      <c r="I2091" t="s">
        <v>187</v>
      </c>
      <c r="J2091">
        <v>55378</v>
      </c>
      <c r="K2091">
        <v>2429</v>
      </c>
      <c r="L2091" t="s">
        <v>23</v>
      </c>
      <c r="M2091" t="s">
        <v>5959</v>
      </c>
      <c r="N2091" t="s">
        <v>2336</v>
      </c>
      <c r="O2091" t="s">
        <v>187</v>
      </c>
      <c r="P2091">
        <v>55378</v>
      </c>
      <c r="Q2091">
        <v>2429</v>
      </c>
      <c r="R2091" t="s">
        <v>23</v>
      </c>
      <c r="S2091" s="1" t="s">
        <v>34218</v>
      </c>
    </row>
    <row r="2092" spans="1:19" x14ac:dyDescent="0.25">
      <c r="A2092">
        <v>100971784</v>
      </c>
      <c r="B2092" t="s">
        <v>3109</v>
      </c>
      <c r="C2092" t="s">
        <v>274</v>
      </c>
      <c r="F2092" t="str">
        <f>"6082303251"</f>
        <v>6082303251</v>
      </c>
      <c r="G2092" t="s">
        <v>5960</v>
      </c>
      <c r="H2092" t="s">
        <v>2375</v>
      </c>
      <c r="I2092" t="s">
        <v>100</v>
      </c>
      <c r="J2092">
        <v>53705</v>
      </c>
      <c r="K2092">
        <v>4562</v>
      </c>
      <c r="L2092" t="s">
        <v>23</v>
      </c>
      <c r="M2092" t="s">
        <v>5960</v>
      </c>
      <c r="N2092" t="s">
        <v>2375</v>
      </c>
      <c r="O2092" t="s">
        <v>100</v>
      </c>
      <c r="P2092">
        <v>53705</v>
      </c>
      <c r="Q2092">
        <v>4562</v>
      </c>
      <c r="R2092" t="s">
        <v>23</v>
      </c>
      <c r="S2092" s="1" t="s">
        <v>34218</v>
      </c>
    </row>
    <row r="2093" spans="1:19" x14ac:dyDescent="0.25">
      <c r="A2093">
        <v>100971470</v>
      </c>
      <c r="B2093" t="s">
        <v>5961</v>
      </c>
      <c r="C2093" t="s">
        <v>114</v>
      </c>
      <c r="F2093" t="str">
        <f>"9313896697"</f>
        <v>9313896697</v>
      </c>
      <c r="G2093" t="s">
        <v>5962</v>
      </c>
      <c r="H2093" t="s">
        <v>5963</v>
      </c>
      <c r="I2093" t="s">
        <v>914</v>
      </c>
      <c r="J2093">
        <v>37020</v>
      </c>
      <c r="K2093">
        <v>4206</v>
      </c>
      <c r="L2093" t="s">
        <v>23</v>
      </c>
      <c r="M2093" t="s">
        <v>5962</v>
      </c>
      <c r="N2093" t="s">
        <v>5963</v>
      </c>
      <c r="O2093" t="s">
        <v>914</v>
      </c>
      <c r="P2093">
        <v>37020</v>
      </c>
      <c r="Q2093">
        <v>4206</v>
      </c>
      <c r="R2093" t="s">
        <v>23</v>
      </c>
      <c r="S2093" s="1" t="s">
        <v>34218</v>
      </c>
    </row>
    <row r="2094" spans="1:19" x14ac:dyDescent="0.25">
      <c r="A2094">
        <v>100515251</v>
      </c>
      <c r="B2094" t="s">
        <v>5964</v>
      </c>
      <c r="C2094" t="s">
        <v>2420</v>
      </c>
      <c r="F2094" t="str">
        <f>"5419517757"</f>
        <v>5419517757</v>
      </c>
      <c r="G2094" t="s">
        <v>5965</v>
      </c>
      <c r="H2094" t="s">
        <v>5966</v>
      </c>
      <c r="I2094" t="s">
        <v>43</v>
      </c>
      <c r="J2094" t="s">
        <v>5967</v>
      </c>
      <c r="K2094">
        <v>53</v>
      </c>
      <c r="L2094" t="s">
        <v>23</v>
      </c>
      <c r="M2094" t="s">
        <v>5965</v>
      </c>
      <c r="N2094" t="s">
        <v>5966</v>
      </c>
      <c r="O2094" t="s">
        <v>43</v>
      </c>
      <c r="P2094" t="s">
        <v>5967</v>
      </c>
      <c r="Q2094">
        <v>53</v>
      </c>
      <c r="R2094" t="s">
        <v>23</v>
      </c>
      <c r="S2094" s="1" t="s">
        <v>34218</v>
      </c>
    </row>
    <row r="2095" spans="1:19" x14ac:dyDescent="0.25">
      <c r="A2095">
        <v>100863431</v>
      </c>
      <c r="B2095" t="s">
        <v>465</v>
      </c>
      <c r="C2095" t="s">
        <v>1588</v>
      </c>
      <c r="F2095" t="str">
        <f>"4804888779"</f>
        <v>4804888779</v>
      </c>
      <c r="G2095" t="s">
        <v>5968</v>
      </c>
      <c r="H2095" t="s">
        <v>5969</v>
      </c>
      <c r="I2095" t="s">
        <v>365</v>
      </c>
      <c r="J2095" t="s">
        <v>5970</v>
      </c>
      <c r="K2095">
        <v>1</v>
      </c>
      <c r="L2095" t="s">
        <v>23</v>
      </c>
      <c r="M2095" t="s">
        <v>5968</v>
      </c>
      <c r="N2095" t="s">
        <v>5969</v>
      </c>
      <c r="O2095" t="s">
        <v>365</v>
      </c>
      <c r="P2095" t="s">
        <v>5970</v>
      </c>
      <c r="Q2095">
        <v>1</v>
      </c>
      <c r="R2095" t="s">
        <v>23</v>
      </c>
      <c r="S2095" s="1" t="s">
        <v>34218</v>
      </c>
    </row>
    <row r="2096" spans="1:19" x14ac:dyDescent="0.25">
      <c r="A2096">
        <v>100959575</v>
      </c>
      <c r="B2096" t="s">
        <v>5971</v>
      </c>
      <c r="C2096" t="s">
        <v>627</v>
      </c>
      <c r="F2096" t="str">
        <f>"4154055193"</f>
        <v>4154055193</v>
      </c>
      <c r="G2096" t="s">
        <v>5972</v>
      </c>
      <c r="H2096" t="s">
        <v>130</v>
      </c>
      <c r="I2096" t="s">
        <v>22</v>
      </c>
      <c r="J2096">
        <v>94116</v>
      </c>
      <c r="K2096">
        <v>2517</v>
      </c>
      <c r="L2096" t="s">
        <v>23</v>
      </c>
      <c r="M2096" t="s">
        <v>5972</v>
      </c>
      <c r="N2096" t="s">
        <v>130</v>
      </c>
      <c r="O2096" t="s">
        <v>22</v>
      </c>
      <c r="P2096">
        <v>94116</v>
      </c>
      <c r="Q2096">
        <v>2517</v>
      </c>
      <c r="R2096" t="s">
        <v>23</v>
      </c>
      <c r="S2096" s="1" t="s">
        <v>34218</v>
      </c>
    </row>
    <row r="2097" spans="1:19" x14ac:dyDescent="0.25">
      <c r="A2097">
        <v>101111963</v>
      </c>
      <c r="B2097" t="s">
        <v>5973</v>
      </c>
      <c r="C2097" t="s">
        <v>636</v>
      </c>
      <c r="F2097" t="str">
        <f>"8045551212"</f>
        <v>8045551212</v>
      </c>
      <c r="G2097" t="s">
        <v>5974</v>
      </c>
      <c r="H2097" t="s">
        <v>5975</v>
      </c>
      <c r="I2097" t="s">
        <v>255</v>
      </c>
      <c r="J2097" t="s">
        <v>5976</v>
      </c>
      <c r="K2097">
        <v>2781</v>
      </c>
      <c r="L2097" t="s">
        <v>23</v>
      </c>
      <c r="M2097" t="s">
        <v>5974</v>
      </c>
      <c r="N2097" t="s">
        <v>5975</v>
      </c>
      <c r="O2097" t="s">
        <v>255</v>
      </c>
      <c r="P2097" t="s">
        <v>5976</v>
      </c>
      <c r="Q2097">
        <v>2781</v>
      </c>
      <c r="R2097" t="s">
        <v>23</v>
      </c>
      <c r="S2097" s="1" t="s">
        <v>34218</v>
      </c>
    </row>
    <row r="2098" spans="1:19" x14ac:dyDescent="0.25">
      <c r="A2098">
        <v>101347340</v>
      </c>
      <c r="B2098" t="s">
        <v>5977</v>
      </c>
      <c r="C2098" t="s">
        <v>1588</v>
      </c>
      <c r="F2098" t="str">
        <f>"4063153248"</f>
        <v>4063153248</v>
      </c>
      <c r="G2098" t="s">
        <v>5978</v>
      </c>
      <c r="H2098" t="s">
        <v>5979</v>
      </c>
      <c r="I2098" t="s">
        <v>1000</v>
      </c>
      <c r="J2098">
        <v>59414</v>
      </c>
      <c r="K2098">
        <v>7</v>
      </c>
      <c r="L2098" t="s">
        <v>23</v>
      </c>
      <c r="M2098" t="s">
        <v>5978</v>
      </c>
      <c r="N2098" t="s">
        <v>5979</v>
      </c>
      <c r="O2098" t="s">
        <v>1000</v>
      </c>
      <c r="P2098">
        <v>59414</v>
      </c>
      <c r="Q2098">
        <v>7</v>
      </c>
      <c r="R2098" t="s">
        <v>23</v>
      </c>
      <c r="S2098" s="1" t="s">
        <v>34218</v>
      </c>
    </row>
    <row r="2099" spans="1:19" x14ac:dyDescent="0.25">
      <c r="A2099">
        <v>101360339</v>
      </c>
      <c r="B2099" t="s">
        <v>5980</v>
      </c>
      <c r="C2099" t="s">
        <v>5981</v>
      </c>
      <c r="F2099" t="str">
        <f>"5105792851"</f>
        <v>5105792851</v>
      </c>
      <c r="G2099" t="s">
        <v>5982</v>
      </c>
      <c r="H2099" t="s">
        <v>5983</v>
      </c>
      <c r="I2099" t="s">
        <v>22</v>
      </c>
      <c r="J2099">
        <v>94587</v>
      </c>
      <c r="K2099">
        <v>4331</v>
      </c>
      <c r="L2099" t="s">
        <v>23</v>
      </c>
      <c r="M2099" t="s">
        <v>5982</v>
      </c>
      <c r="N2099" t="s">
        <v>5983</v>
      </c>
      <c r="O2099" t="s">
        <v>22</v>
      </c>
      <c r="P2099">
        <v>94587</v>
      </c>
      <c r="Q2099">
        <v>4331</v>
      </c>
      <c r="R2099" t="s">
        <v>23</v>
      </c>
      <c r="S2099" s="1" t="s">
        <v>34218</v>
      </c>
    </row>
    <row r="2100" spans="1:19" x14ac:dyDescent="0.25">
      <c r="A2100">
        <v>100981912</v>
      </c>
      <c r="B2100" t="s">
        <v>2176</v>
      </c>
      <c r="C2100" t="s">
        <v>5984</v>
      </c>
      <c r="F2100" t="str">
        <f>"5612476112"</f>
        <v>5612476112</v>
      </c>
      <c r="G2100" t="s">
        <v>5985</v>
      </c>
      <c r="H2100" t="s">
        <v>5986</v>
      </c>
      <c r="I2100" t="s">
        <v>52</v>
      </c>
      <c r="J2100">
        <v>33948</v>
      </c>
      <c r="K2100">
        <v>2215</v>
      </c>
      <c r="L2100" t="s">
        <v>23</v>
      </c>
      <c r="M2100" t="s">
        <v>5985</v>
      </c>
      <c r="N2100" t="s">
        <v>5986</v>
      </c>
      <c r="O2100" t="s">
        <v>52</v>
      </c>
      <c r="P2100">
        <v>33948</v>
      </c>
      <c r="Q2100">
        <v>2215</v>
      </c>
      <c r="R2100" t="s">
        <v>23</v>
      </c>
      <c r="S2100" s="1" t="s">
        <v>34218</v>
      </c>
    </row>
    <row r="2101" spans="1:19" x14ac:dyDescent="0.25">
      <c r="A2101">
        <v>101290623</v>
      </c>
      <c r="B2101" t="s">
        <v>3625</v>
      </c>
      <c r="C2101" t="s">
        <v>5987</v>
      </c>
      <c r="F2101" t="str">
        <f>"9373449374"</f>
        <v>9373449374</v>
      </c>
      <c r="G2101" t="s">
        <v>5988</v>
      </c>
      <c r="H2101" t="s">
        <v>3183</v>
      </c>
      <c r="I2101" t="s">
        <v>178</v>
      </c>
      <c r="J2101">
        <v>45406</v>
      </c>
      <c r="K2101">
        <v>2319</v>
      </c>
      <c r="L2101" t="s">
        <v>23</v>
      </c>
      <c r="M2101" t="s">
        <v>5988</v>
      </c>
      <c r="N2101" t="s">
        <v>3183</v>
      </c>
      <c r="O2101" t="s">
        <v>178</v>
      </c>
      <c r="P2101">
        <v>45406</v>
      </c>
      <c r="Q2101">
        <v>2319</v>
      </c>
      <c r="R2101" t="s">
        <v>23</v>
      </c>
      <c r="S2101" s="1" t="s">
        <v>34218</v>
      </c>
    </row>
    <row r="2102" spans="1:19" x14ac:dyDescent="0.25">
      <c r="A2102">
        <v>101300037</v>
      </c>
      <c r="B2102" t="s">
        <v>5989</v>
      </c>
      <c r="C2102" t="s">
        <v>2453</v>
      </c>
      <c r="F2102" t="str">
        <f>"2623441756"</f>
        <v>2623441756</v>
      </c>
      <c r="G2102" t="s">
        <v>5990</v>
      </c>
      <c r="H2102" t="s">
        <v>389</v>
      </c>
      <c r="I2102" t="s">
        <v>100</v>
      </c>
      <c r="J2102">
        <v>53218</v>
      </c>
      <c r="K2102">
        <v>4848</v>
      </c>
      <c r="L2102" t="s">
        <v>23</v>
      </c>
      <c r="M2102" t="s">
        <v>5990</v>
      </c>
      <c r="N2102" t="s">
        <v>389</v>
      </c>
      <c r="O2102" t="s">
        <v>100</v>
      </c>
      <c r="P2102">
        <v>53218</v>
      </c>
      <c r="Q2102">
        <v>4848</v>
      </c>
      <c r="R2102" t="s">
        <v>23</v>
      </c>
      <c r="S2102" s="1" t="s">
        <v>34218</v>
      </c>
    </row>
    <row r="2103" spans="1:19" x14ac:dyDescent="0.25">
      <c r="A2103">
        <v>101138712</v>
      </c>
      <c r="B2103" t="s">
        <v>5991</v>
      </c>
      <c r="C2103" t="s">
        <v>90</v>
      </c>
      <c r="F2103" t="str">
        <f>"2094774729"</f>
        <v>2094774729</v>
      </c>
      <c r="G2103" t="s">
        <v>5992</v>
      </c>
      <c r="H2103" t="s">
        <v>1768</v>
      </c>
      <c r="I2103" t="s">
        <v>22</v>
      </c>
      <c r="J2103">
        <v>95207</v>
      </c>
      <c r="K2103">
        <v>5147</v>
      </c>
      <c r="L2103" t="s">
        <v>23</v>
      </c>
      <c r="M2103" t="s">
        <v>5992</v>
      </c>
      <c r="N2103" t="s">
        <v>1768</v>
      </c>
      <c r="O2103" t="s">
        <v>22</v>
      </c>
      <c r="P2103">
        <v>95207</v>
      </c>
      <c r="Q2103">
        <v>5147</v>
      </c>
      <c r="R2103" t="s">
        <v>23</v>
      </c>
      <c r="S2103" s="1" t="s">
        <v>34218</v>
      </c>
    </row>
    <row r="2104" spans="1:19" x14ac:dyDescent="0.25">
      <c r="A2104">
        <v>101401982</v>
      </c>
      <c r="B2104" t="s">
        <v>5993</v>
      </c>
      <c r="C2104" t="s">
        <v>585</v>
      </c>
      <c r="F2104" t="str">
        <f>"7722054737"</f>
        <v>7722054737</v>
      </c>
      <c r="G2104" t="s">
        <v>5994</v>
      </c>
      <c r="H2104" t="s">
        <v>5908</v>
      </c>
      <c r="I2104" t="s">
        <v>52</v>
      </c>
      <c r="J2104">
        <v>32967</v>
      </c>
      <c r="K2104">
        <v>2948</v>
      </c>
      <c r="L2104" t="s">
        <v>23</v>
      </c>
      <c r="M2104" t="s">
        <v>5994</v>
      </c>
      <c r="N2104" t="s">
        <v>5908</v>
      </c>
      <c r="O2104" t="s">
        <v>52</v>
      </c>
      <c r="P2104">
        <v>32967</v>
      </c>
      <c r="Q2104">
        <v>2948</v>
      </c>
      <c r="R2104" t="s">
        <v>23</v>
      </c>
      <c r="S2104" s="1" t="s">
        <v>34218</v>
      </c>
    </row>
    <row r="2105" spans="1:19" x14ac:dyDescent="0.25">
      <c r="A2105">
        <v>101328805</v>
      </c>
      <c r="B2105" t="s">
        <v>3676</v>
      </c>
      <c r="C2105" t="s">
        <v>281</v>
      </c>
      <c r="F2105" t="str">
        <f>"7143429041"</f>
        <v>7143429041</v>
      </c>
      <c r="G2105" t="s">
        <v>5995</v>
      </c>
      <c r="H2105" t="s">
        <v>5535</v>
      </c>
      <c r="I2105" t="s">
        <v>22</v>
      </c>
      <c r="J2105">
        <v>92840</v>
      </c>
      <c r="K2105">
        <v>1716</v>
      </c>
      <c r="L2105" t="s">
        <v>23</v>
      </c>
      <c r="M2105" t="s">
        <v>5995</v>
      </c>
      <c r="N2105" t="s">
        <v>5535</v>
      </c>
      <c r="O2105" t="s">
        <v>22</v>
      </c>
      <c r="P2105">
        <v>92840</v>
      </c>
      <c r="Q2105">
        <v>1716</v>
      </c>
      <c r="R2105" t="s">
        <v>23</v>
      </c>
      <c r="S2105" s="1" t="s">
        <v>34218</v>
      </c>
    </row>
    <row r="2106" spans="1:19" x14ac:dyDescent="0.25">
      <c r="A2106">
        <v>100832312</v>
      </c>
      <c r="B2106" t="s">
        <v>5996</v>
      </c>
      <c r="C2106" t="s">
        <v>2417</v>
      </c>
      <c r="F2106" t="str">
        <f>"9016808007"</f>
        <v>9016808007</v>
      </c>
      <c r="G2106" t="s">
        <v>5997</v>
      </c>
      <c r="H2106" t="s">
        <v>5998</v>
      </c>
      <c r="I2106" t="s">
        <v>914</v>
      </c>
      <c r="J2106">
        <v>38119</v>
      </c>
      <c r="K2106">
        <v>6020</v>
      </c>
      <c r="L2106" t="s">
        <v>23</v>
      </c>
      <c r="M2106" t="s">
        <v>5997</v>
      </c>
      <c r="N2106" t="s">
        <v>5998</v>
      </c>
      <c r="O2106" t="s">
        <v>914</v>
      </c>
      <c r="P2106">
        <v>38119</v>
      </c>
      <c r="Q2106">
        <v>6020</v>
      </c>
      <c r="R2106" t="s">
        <v>23</v>
      </c>
      <c r="S2106" s="1" t="s">
        <v>34218</v>
      </c>
    </row>
    <row r="2107" spans="1:19" x14ac:dyDescent="0.25">
      <c r="A2107">
        <v>100994008</v>
      </c>
      <c r="B2107" t="s">
        <v>5999</v>
      </c>
      <c r="C2107" t="s">
        <v>1323</v>
      </c>
      <c r="F2107" t="str">
        <f>"3608625032"</f>
        <v>3608625032</v>
      </c>
      <c r="G2107" t="s">
        <v>6000</v>
      </c>
      <c r="H2107" t="s">
        <v>6001</v>
      </c>
      <c r="I2107" t="s">
        <v>84</v>
      </c>
      <c r="J2107">
        <v>98296</v>
      </c>
      <c r="K2107">
        <v>5353</v>
      </c>
      <c r="L2107" t="s">
        <v>23</v>
      </c>
      <c r="M2107" t="s">
        <v>6000</v>
      </c>
      <c r="N2107" t="s">
        <v>6001</v>
      </c>
      <c r="O2107" t="s">
        <v>84</v>
      </c>
      <c r="P2107">
        <v>98296</v>
      </c>
      <c r="Q2107">
        <v>5353</v>
      </c>
      <c r="R2107" t="s">
        <v>23</v>
      </c>
      <c r="S2107" s="1" t="s">
        <v>34218</v>
      </c>
    </row>
    <row r="2108" spans="1:19" x14ac:dyDescent="0.25">
      <c r="A2108">
        <v>101217921</v>
      </c>
      <c r="B2108" t="s">
        <v>6002</v>
      </c>
      <c r="C2108" t="s">
        <v>6003</v>
      </c>
      <c r="F2108" t="str">
        <f>"5096370401"</f>
        <v>5096370401</v>
      </c>
      <c r="G2108" t="s">
        <v>6004</v>
      </c>
      <c r="H2108" t="s">
        <v>6005</v>
      </c>
      <c r="I2108" t="s">
        <v>84</v>
      </c>
      <c r="J2108">
        <v>98672</v>
      </c>
      <c r="K2108">
        <v>8911</v>
      </c>
      <c r="L2108" t="s">
        <v>23</v>
      </c>
      <c r="M2108" t="s">
        <v>6004</v>
      </c>
      <c r="N2108" t="s">
        <v>6005</v>
      </c>
      <c r="O2108" t="s">
        <v>84</v>
      </c>
      <c r="P2108">
        <v>98672</v>
      </c>
      <c r="Q2108">
        <v>8911</v>
      </c>
      <c r="R2108" t="s">
        <v>23</v>
      </c>
      <c r="S2108" s="1" t="s">
        <v>34218</v>
      </c>
    </row>
    <row r="2109" spans="1:19" x14ac:dyDescent="0.25">
      <c r="A2109">
        <v>101217963</v>
      </c>
      <c r="B2109" t="s">
        <v>6006</v>
      </c>
      <c r="C2109" t="s">
        <v>132</v>
      </c>
      <c r="F2109" t="str">
        <f>"7154411355"</f>
        <v>7154411355</v>
      </c>
      <c r="G2109" t="s">
        <v>6007</v>
      </c>
      <c r="H2109" t="s">
        <v>4117</v>
      </c>
      <c r="I2109" t="s">
        <v>187</v>
      </c>
      <c r="J2109">
        <v>55042</v>
      </c>
      <c r="K2109">
        <v>9662</v>
      </c>
      <c r="L2109" t="s">
        <v>23</v>
      </c>
      <c r="M2109" t="s">
        <v>6007</v>
      </c>
      <c r="N2109" t="s">
        <v>4117</v>
      </c>
      <c r="O2109" t="s">
        <v>187</v>
      </c>
      <c r="P2109">
        <v>55042</v>
      </c>
      <c r="Q2109">
        <v>9662</v>
      </c>
      <c r="R2109" t="s">
        <v>23</v>
      </c>
      <c r="S2109" s="1" t="s">
        <v>34218</v>
      </c>
    </row>
    <row r="2110" spans="1:19" x14ac:dyDescent="0.25">
      <c r="A2110">
        <v>101088901</v>
      </c>
      <c r="B2110" t="s">
        <v>4203</v>
      </c>
      <c r="C2110" t="s">
        <v>6008</v>
      </c>
      <c r="F2110" t="str">
        <f>"5757793465"</f>
        <v>5757793465</v>
      </c>
      <c r="G2110" t="s">
        <v>6009</v>
      </c>
      <c r="H2110" t="s">
        <v>6010</v>
      </c>
      <c r="I2110" t="s">
        <v>639</v>
      </c>
      <c r="J2110">
        <v>87571</v>
      </c>
      <c r="L2110" t="s">
        <v>23</v>
      </c>
      <c r="M2110" t="s">
        <v>6009</v>
      </c>
      <c r="N2110" t="s">
        <v>6010</v>
      </c>
      <c r="O2110" t="s">
        <v>639</v>
      </c>
      <c r="P2110">
        <v>87571</v>
      </c>
      <c r="R2110" t="s">
        <v>23</v>
      </c>
      <c r="S2110" s="1" t="s">
        <v>34218</v>
      </c>
    </row>
    <row r="2111" spans="1:19" x14ac:dyDescent="0.25">
      <c r="A2111">
        <v>101239604</v>
      </c>
      <c r="B2111" t="s">
        <v>2429</v>
      </c>
      <c r="C2111" t="s">
        <v>90</v>
      </c>
      <c r="F2111" t="str">
        <f>"5035551212"</f>
        <v>5035551212</v>
      </c>
      <c r="G2111" t="s">
        <v>6011</v>
      </c>
      <c r="H2111" t="s">
        <v>227</v>
      </c>
      <c r="I2111" t="s">
        <v>43</v>
      </c>
      <c r="J2111">
        <v>97239</v>
      </c>
      <c r="K2111">
        <v>3103</v>
      </c>
      <c r="L2111" t="s">
        <v>23</v>
      </c>
      <c r="M2111" t="s">
        <v>6011</v>
      </c>
      <c r="N2111" t="s">
        <v>227</v>
      </c>
      <c r="O2111" t="s">
        <v>43</v>
      </c>
      <c r="P2111">
        <v>97239</v>
      </c>
      <c r="Q2111">
        <v>3103</v>
      </c>
      <c r="R2111" t="s">
        <v>23</v>
      </c>
      <c r="S2111" s="1" t="s">
        <v>34218</v>
      </c>
    </row>
    <row r="2112" spans="1:19" x14ac:dyDescent="0.25">
      <c r="A2112">
        <v>101249280</v>
      </c>
      <c r="B2112" t="s">
        <v>6012</v>
      </c>
      <c r="C2112" t="s">
        <v>6013</v>
      </c>
      <c r="F2112" t="str">
        <f>"4082217604"</f>
        <v>4082217604</v>
      </c>
      <c r="G2112" t="s">
        <v>6014</v>
      </c>
      <c r="H2112" t="s">
        <v>4866</v>
      </c>
      <c r="I2112" t="s">
        <v>22</v>
      </c>
      <c r="J2112">
        <v>92264</v>
      </c>
      <c r="K2112">
        <v>4858</v>
      </c>
      <c r="L2112" t="s">
        <v>23</v>
      </c>
      <c r="M2112" t="s">
        <v>6014</v>
      </c>
      <c r="N2112" t="s">
        <v>4866</v>
      </c>
      <c r="O2112" t="s">
        <v>22</v>
      </c>
      <c r="P2112">
        <v>92264</v>
      </c>
      <c r="Q2112">
        <v>4858</v>
      </c>
      <c r="R2112" t="s">
        <v>23</v>
      </c>
      <c r="S2112" s="1" t="s">
        <v>34218</v>
      </c>
    </row>
    <row r="2113" spans="1:19" x14ac:dyDescent="0.25">
      <c r="A2113">
        <v>101254893</v>
      </c>
      <c r="B2113" t="s">
        <v>6015</v>
      </c>
      <c r="C2113" t="s">
        <v>6016</v>
      </c>
      <c r="F2113" t="str">
        <f>"8322569940"</f>
        <v>8322569940</v>
      </c>
      <c r="G2113" t="s">
        <v>6017</v>
      </c>
      <c r="H2113" t="s">
        <v>793</v>
      </c>
      <c r="I2113" t="s">
        <v>38</v>
      </c>
      <c r="J2113">
        <v>77379</v>
      </c>
      <c r="K2113">
        <v>8027</v>
      </c>
      <c r="L2113" t="s">
        <v>23</v>
      </c>
      <c r="M2113" t="s">
        <v>6017</v>
      </c>
      <c r="N2113" t="s">
        <v>793</v>
      </c>
      <c r="O2113" t="s">
        <v>38</v>
      </c>
      <c r="P2113">
        <v>77379</v>
      </c>
      <c r="Q2113">
        <v>8027</v>
      </c>
      <c r="R2113" t="s">
        <v>23</v>
      </c>
      <c r="S2113" s="1" t="s">
        <v>34218</v>
      </c>
    </row>
    <row r="2114" spans="1:19" x14ac:dyDescent="0.25">
      <c r="A2114">
        <v>100914971</v>
      </c>
      <c r="B2114" t="s">
        <v>6018</v>
      </c>
      <c r="C2114" t="s">
        <v>110</v>
      </c>
      <c r="F2114" t="str">
        <f>"9206506829"</f>
        <v>9206506829</v>
      </c>
      <c r="G2114" t="s">
        <v>6019</v>
      </c>
      <c r="H2114" t="s">
        <v>2125</v>
      </c>
      <c r="I2114" t="s">
        <v>100</v>
      </c>
      <c r="J2114">
        <v>53562</v>
      </c>
      <c r="K2114">
        <v>3592</v>
      </c>
      <c r="L2114" t="s">
        <v>23</v>
      </c>
      <c r="M2114" t="s">
        <v>6019</v>
      </c>
      <c r="N2114" t="s">
        <v>2125</v>
      </c>
      <c r="O2114" t="s">
        <v>100</v>
      </c>
      <c r="P2114">
        <v>53562</v>
      </c>
      <c r="Q2114">
        <v>3592</v>
      </c>
      <c r="R2114" t="s">
        <v>23</v>
      </c>
      <c r="S2114" s="1" t="s">
        <v>34218</v>
      </c>
    </row>
    <row r="2115" spans="1:19" x14ac:dyDescent="0.25">
      <c r="A2115">
        <v>101117455</v>
      </c>
      <c r="B2115" t="s">
        <v>966</v>
      </c>
      <c r="C2115" t="s">
        <v>1350</v>
      </c>
      <c r="F2115" t="str">
        <f>"2069413917"</f>
        <v>2069413917</v>
      </c>
      <c r="G2115" t="s">
        <v>6020</v>
      </c>
      <c r="H2115" t="s">
        <v>2266</v>
      </c>
      <c r="I2115" t="s">
        <v>84</v>
      </c>
      <c r="J2115">
        <v>98031</v>
      </c>
      <c r="K2115">
        <v>3166</v>
      </c>
      <c r="L2115" t="s">
        <v>23</v>
      </c>
      <c r="M2115" t="s">
        <v>6020</v>
      </c>
      <c r="N2115" t="s">
        <v>2266</v>
      </c>
      <c r="O2115" t="s">
        <v>84</v>
      </c>
      <c r="P2115">
        <v>98031</v>
      </c>
      <c r="Q2115">
        <v>3166</v>
      </c>
      <c r="R2115" t="s">
        <v>23</v>
      </c>
      <c r="S2115" s="1" t="s">
        <v>34218</v>
      </c>
    </row>
    <row r="2116" spans="1:19" x14ac:dyDescent="0.25">
      <c r="A2116">
        <v>101123998</v>
      </c>
      <c r="B2116" t="s">
        <v>6021</v>
      </c>
      <c r="C2116" t="s">
        <v>627</v>
      </c>
      <c r="F2116" t="str">
        <f>"7074590414"</f>
        <v>7074590414</v>
      </c>
      <c r="G2116" t="s">
        <v>6022</v>
      </c>
      <c r="H2116" t="s">
        <v>2110</v>
      </c>
      <c r="I2116" t="s">
        <v>22</v>
      </c>
      <c r="J2116">
        <v>95490</v>
      </c>
      <c r="K2116">
        <v>8478</v>
      </c>
      <c r="L2116" t="s">
        <v>23</v>
      </c>
      <c r="M2116" t="s">
        <v>6022</v>
      </c>
      <c r="N2116" t="s">
        <v>2110</v>
      </c>
      <c r="O2116" t="s">
        <v>22</v>
      </c>
      <c r="P2116">
        <v>95490</v>
      </c>
      <c r="Q2116">
        <v>8478</v>
      </c>
      <c r="R2116" t="s">
        <v>23</v>
      </c>
      <c r="S2116" s="1" t="s">
        <v>34218</v>
      </c>
    </row>
    <row r="2117" spans="1:19" x14ac:dyDescent="0.25">
      <c r="A2117">
        <v>101372386</v>
      </c>
      <c r="B2117" t="s">
        <v>6023</v>
      </c>
      <c r="C2117" t="s">
        <v>6024</v>
      </c>
      <c r="F2117" t="str">
        <f>"9404981222"</f>
        <v>9404981222</v>
      </c>
      <c r="G2117" t="s">
        <v>6025</v>
      </c>
      <c r="H2117" t="s">
        <v>6026</v>
      </c>
      <c r="I2117" t="s">
        <v>38</v>
      </c>
      <c r="J2117">
        <v>76210</v>
      </c>
      <c r="K2117">
        <v>2647</v>
      </c>
      <c r="L2117" t="s">
        <v>23</v>
      </c>
      <c r="M2117" t="s">
        <v>6025</v>
      </c>
      <c r="N2117" t="s">
        <v>6026</v>
      </c>
      <c r="O2117" t="s">
        <v>38</v>
      </c>
      <c r="P2117">
        <v>76210</v>
      </c>
      <c r="Q2117">
        <v>2647</v>
      </c>
      <c r="R2117" t="s">
        <v>23</v>
      </c>
      <c r="S2117" s="1" t="s">
        <v>34218</v>
      </c>
    </row>
    <row r="2118" spans="1:19" x14ac:dyDescent="0.25">
      <c r="A2118">
        <v>101019363</v>
      </c>
      <c r="B2118" t="s">
        <v>6027</v>
      </c>
      <c r="C2118" t="s">
        <v>613</v>
      </c>
      <c r="F2118" t="str">
        <f>"6318342659"</f>
        <v>6318342659</v>
      </c>
      <c r="G2118" t="s">
        <v>6028</v>
      </c>
      <c r="H2118" t="s">
        <v>6029</v>
      </c>
      <c r="I2118" t="s">
        <v>117</v>
      </c>
      <c r="J2118">
        <v>11776</v>
      </c>
      <c r="K2118">
        <v>4285</v>
      </c>
      <c r="L2118" t="s">
        <v>23</v>
      </c>
      <c r="M2118" t="s">
        <v>6028</v>
      </c>
      <c r="N2118" t="s">
        <v>6029</v>
      </c>
      <c r="O2118" t="s">
        <v>117</v>
      </c>
      <c r="P2118">
        <v>11776</v>
      </c>
      <c r="Q2118">
        <v>4285</v>
      </c>
      <c r="R2118" t="s">
        <v>23</v>
      </c>
      <c r="S2118" s="1" t="s">
        <v>34218</v>
      </c>
    </row>
    <row r="2119" spans="1:19" x14ac:dyDescent="0.25">
      <c r="A2119">
        <v>101299177</v>
      </c>
      <c r="B2119" t="s">
        <v>6030</v>
      </c>
      <c r="C2119" t="s">
        <v>1444</v>
      </c>
      <c r="F2119" t="str">
        <f>"4807798112"</f>
        <v>4807798112</v>
      </c>
      <c r="G2119" t="s">
        <v>6031</v>
      </c>
      <c r="H2119" t="s">
        <v>625</v>
      </c>
      <c r="I2119" t="s">
        <v>365</v>
      </c>
      <c r="J2119">
        <v>85202</v>
      </c>
      <c r="K2119">
        <v>1816</v>
      </c>
      <c r="L2119" t="s">
        <v>23</v>
      </c>
      <c r="M2119" t="s">
        <v>6031</v>
      </c>
      <c r="N2119" t="s">
        <v>625</v>
      </c>
      <c r="O2119" t="s">
        <v>365</v>
      </c>
      <c r="P2119">
        <v>85202</v>
      </c>
      <c r="Q2119">
        <v>1816</v>
      </c>
      <c r="R2119" t="s">
        <v>23</v>
      </c>
      <c r="S2119" s="1" t="s">
        <v>34218</v>
      </c>
    </row>
    <row r="2120" spans="1:19" x14ac:dyDescent="0.25">
      <c r="A2120">
        <v>100996418</v>
      </c>
      <c r="B2120" t="s">
        <v>6032</v>
      </c>
      <c r="C2120" t="s">
        <v>6033</v>
      </c>
      <c r="F2120" t="str">
        <f>"4157348425"</f>
        <v>4157348425</v>
      </c>
      <c r="G2120" t="s">
        <v>6034</v>
      </c>
      <c r="H2120" t="s">
        <v>130</v>
      </c>
      <c r="I2120" t="s">
        <v>22</v>
      </c>
      <c r="J2120">
        <v>94122</v>
      </c>
      <c r="K2120">
        <v>4617</v>
      </c>
      <c r="L2120" t="s">
        <v>23</v>
      </c>
      <c r="M2120" t="s">
        <v>6034</v>
      </c>
      <c r="N2120" t="s">
        <v>130</v>
      </c>
      <c r="O2120" t="s">
        <v>22</v>
      </c>
      <c r="P2120">
        <v>94122</v>
      </c>
      <c r="Q2120">
        <v>4617</v>
      </c>
      <c r="R2120" t="s">
        <v>23</v>
      </c>
      <c r="S2120" s="1" t="s">
        <v>34218</v>
      </c>
    </row>
    <row r="2121" spans="1:19" x14ac:dyDescent="0.25">
      <c r="A2121">
        <v>101007843</v>
      </c>
      <c r="B2121" t="s">
        <v>6035</v>
      </c>
      <c r="C2121" t="s">
        <v>6036</v>
      </c>
      <c r="F2121" t="str">
        <f>"5854730234"</f>
        <v>5854730234</v>
      </c>
      <c r="G2121" t="s">
        <v>6037</v>
      </c>
      <c r="H2121" t="s">
        <v>688</v>
      </c>
      <c r="I2121" t="s">
        <v>117</v>
      </c>
      <c r="J2121">
        <v>14618</v>
      </c>
      <c r="K2121">
        <v>4861</v>
      </c>
      <c r="L2121" t="s">
        <v>23</v>
      </c>
      <c r="M2121" t="s">
        <v>6037</v>
      </c>
      <c r="N2121" t="s">
        <v>688</v>
      </c>
      <c r="O2121" t="s">
        <v>117</v>
      </c>
      <c r="P2121">
        <v>14618</v>
      </c>
      <c r="Q2121">
        <v>4861</v>
      </c>
      <c r="R2121" t="s">
        <v>23</v>
      </c>
      <c r="S2121" s="1" t="s">
        <v>34218</v>
      </c>
    </row>
    <row r="2122" spans="1:19" x14ac:dyDescent="0.25">
      <c r="A2122">
        <v>101204732</v>
      </c>
      <c r="B2122" t="s">
        <v>4180</v>
      </c>
      <c r="C2122" t="s">
        <v>880</v>
      </c>
      <c r="F2122" t="str">
        <f>"4103535536"</f>
        <v>4103535536</v>
      </c>
      <c r="G2122" t="s">
        <v>6038</v>
      </c>
      <c r="H2122" t="s">
        <v>6039</v>
      </c>
      <c r="I2122" t="s">
        <v>148</v>
      </c>
      <c r="J2122">
        <v>20770</v>
      </c>
      <c r="K2122">
        <v>7773</v>
      </c>
      <c r="L2122" t="s">
        <v>23</v>
      </c>
      <c r="M2122" t="s">
        <v>6038</v>
      </c>
      <c r="N2122" t="s">
        <v>6039</v>
      </c>
      <c r="O2122" t="s">
        <v>148</v>
      </c>
      <c r="P2122">
        <v>20770</v>
      </c>
      <c r="Q2122">
        <v>7773</v>
      </c>
      <c r="R2122" t="s">
        <v>23</v>
      </c>
      <c r="S2122" s="1" t="s">
        <v>34218</v>
      </c>
    </row>
    <row r="2123" spans="1:19" x14ac:dyDescent="0.25">
      <c r="A2123">
        <v>101122618</v>
      </c>
      <c r="B2123" t="s">
        <v>4315</v>
      </c>
      <c r="C2123" t="s">
        <v>2244</v>
      </c>
      <c r="F2123" t="str">
        <f>"3019080462"</f>
        <v>3019080462</v>
      </c>
      <c r="G2123" t="s">
        <v>6040</v>
      </c>
      <c r="H2123" t="s">
        <v>6041</v>
      </c>
      <c r="I2123" t="s">
        <v>22</v>
      </c>
      <c r="J2123">
        <v>95476</v>
      </c>
      <c r="K2123">
        <v>7806</v>
      </c>
      <c r="L2123" t="s">
        <v>23</v>
      </c>
      <c r="M2123" t="s">
        <v>6040</v>
      </c>
      <c r="N2123" t="s">
        <v>6041</v>
      </c>
      <c r="O2123" t="s">
        <v>22</v>
      </c>
      <c r="P2123">
        <v>95476</v>
      </c>
      <c r="Q2123">
        <v>7806</v>
      </c>
      <c r="R2123" t="s">
        <v>23</v>
      </c>
      <c r="S2123" s="1" t="s">
        <v>34218</v>
      </c>
    </row>
    <row r="2124" spans="1:19" x14ac:dyDescent="0.25">
      <c r="A2124">
        <v>101147884</v>
      </c>
      <c r="B2124" t="s">
        <v>6042</v>
      </c>
      <c r="C2124" t="s">
        <v>1487</v>
      </c>
      <c r="F2124" t="str">
        <f>"4067717330"</f>
        <v>4067717330</v>
      </c>
      <c r="G2124" t="s">
        <v>6043</v>
      </c>
      <c r="H2124" t="s">
        <v>4685</v>
      </c>
      <c r="I2124" t="s">
        <v>1000</v>
      </c>
      <c r="J2124">
        <v>59405</v>
      </c>
      <c r="K2124">
        <v>5416</v>
      </c>
      <c r="L2124" t="s">
        <v>23</v>
      </c>
      <c r="M2124" t="s">
        <v>6043</v>
      </c>
      <c r="N2124" t="s">
        <v>4685</v>
      </c>
      <c r="O2124" t="s">
        <v>1000</v>
      </c>
      <c r="P2124">
        <v>59405</v>
      </c>
      <c r="Q2124">
        <v>5416</v>
      </c>
      <c r="R2124" t="s">
        <v>23</v>
      </c>
      <c r="S2124" s="1" t="s">
        <v>34218</v>
      </c>
    </row>
    <row r="2125" spans="1:19" x14ac:dyDescent="0.25">
      <c r="A2125">
        <v>101388999</v>
      </c>
      <c r="B2125" t="s">
        <v>6044</v>
      </c>
      <c r="C2125" t="s">
        <v>2497</v>
      </c>
      <c r="F2125" t="str">
        <f>"5723923148"</f>
        <v>5723923148</v>
      </c>
      <c r="G2125" t="s">
        <v>6045</v>
      </c>
      <c r="H2125" t="s">
        <v>6046</v>
      </c>
      <c r="I2125" t="s">
        <v>126</v>
      </c>
      <c r="J2125">
        <v>65026</v>
      </c>
      <c r="K2125">
        <v>4875</v>
      </c>
      <c r="L2125" t="s">
        <v>23</v>
      </c>
      <c r="M2125" t="s">
        <v>6045</v>
      </c>
      <c r="N2125" t="s">
        <v>6046</v>
      </c>
      <c r="O2125" t="s">
        <v>126</v>
      </c>
      <c r="P2125">
        <v>65026</v>
      </c>
      <c r="Q2125">
        <v>4875</v>
      </c>
      <c r="R2125" t="s">
        <v>23</v>
      </c>
      <c r="S2125" s="1" t="s">
        <v>34218</v>
      </c>
    </row>
    <row r="2126" spans="1:19" x14ac:dyDescent="0.25">
      <c r="A2126">
        <v>101394745</v>
      </c>
      <c r="B2126" t="s">
        <v>6047</v>
      </c>
      <c r="C2126" t="s">
        <v>6048</v>
      </c>
      <c r="F2126" t="str">
        <f>"6269646023"</f>
        <v>6269646023</v>
      </c>
      <c r="G2126" t="s">
        <v>6049</v>
      </c>
      <c r="H2126" t="s">
        <v>6050</v>
      </c>
      <c r="I2126" t="s">
        <v>22</v>
      </c>
      <c r="J2126">
        <v>91745</v>
      </c>
      <c r="K2126">
        <v>3816</v>
      </c>
      <c r="L2126" t="s">
        <v>23</v>
      </c>
      <c r="M2126" t="s">
        <v>6049</v>
      </c>
      <c r="N2126" t="s">
        <v>6050</v>
      </c>
      <c r="O2126" t="s">
        <v>22</v>
      </c>
      <c r="P2126">
        <v>91745</v>
      </c>
      <c r="Q2126">
        <v>3816</v>
      </c>
      <c r="R2126" t="s">
        <v>23</v>
      </c>
      <c r="S2126" s="1" t="s">
        <v>34218</v>
      </c>
    </row>
    <row r="2127" spans="1:19" x14ac:dyDescent="0.25">
      <c r="A2127">
        <v>101395507</v>
      </c>
      <c r="B2127" t="s">
        <v>6051</v>
      </c>
      <c r="C2127" t="s">
        <v>102</v>
      </c>
      <c r="F2127" t="str">
        <f>"6262858104"</f>
        <v>6262858104</v>
      </c>
      <c r="G2127" t="s">
        <v>6052</v>
      </c>
      <c r="H2127" t="s">
        <v>6053</v>
      </c>
      <c r="I2127" t="s">
        <v>22</v>
      </c>
      <c r="J2127">
        <v>91780</v>
      </c>
      <c r="K2127">
        <v>2451</v>
      </c>
      <c r="L2127" t="s">
        <v>23</v>
      </c>
      <c r="M2127" t="s">
        <v>6052</v>
      </c>
      <c r="N2127" t="s">
        <v>6053</v>
      </c>
      <c r="O2127" t="s">
        <v>22</v>
      </c>
      <c r="P2127">
        <v>91780</v>
      </c>
      <c r="Q2127">
        <v>2451</v>
      </c>
      <c r="R2127" t="s">
        <v>23</v>
      </c>
      <c r="S2127" s="1" t="s">
        <v>34218</v>
      </c>
    </row>
    <row r="2128" spans="1:19" x14ac:dyDescent="0.25">
      <c r="A2128">
        <v>101415173</v>
      </c>
      <c r="B2128" t="s">
        <v>6054</v>
      </c>
      <c r="C2128" t="s">
        <v>6055</v>
      </c>
      <c r="F2128" t="str">
        <f>"9144782925"</f>
        <v>9144782925</v>
      </c>
      <c r="G2128" t="s">
        <v>6056</v>
      </c>
      <c r="H2128" t="s">
        <v>6057</v>
      </c>
      <c r="I2128" t="s">
        <v>117</v>
      </c>
      <c r="J2128">
        <v>10522</v>
      </c>
      <c r="K2128">
        <v>1517</v>
      </c>
      <c r="L2128" t="s">
        <v>23</v>
      </c>
      <c r="M2128" t="s">
        <v>6056</v>
      </c>
      <c r="N2128" t="s">
        <v>6057</v>
      </c>
      <c r="O2128" t="s">
        <v>117</v>
      </c>
      <c r="P2128">
        <v>10522</v>
      </c>
      <c r="Q2128">
        <v>1517</v>
      </c>
      <c r="R2128" t="s">
        <v>23</v>
      </c>
      <c r="S2128" s="1" t="s">
        <v>34218</v>
      </c>
    </row>
    <row r="2129" spans="1:19" x14ac:dyDescent="0.25">
      <c r="A2129">
        <v>101364186</v>
      </c>
      <c r="B2129" t="s">
        <v>6058</v>
      </c>
      <c r="C2129" t="s">
        <v>30</v>
      </c>
      <c r="F2129" t="str">
        <f>"5632313317"</f>
        <v>5632313317</v>
      </c>
      <c r="G2129" t="s">
        <v>6059</v>
      </c>
      <c r="H2129" t="s">
        <v>4223</v>
      </c>
      <c r="I2129" t="s">
        <v>565</v>
      </c>
      <c r="J2129">
        <v>52001</v>
      </c>
      <c r="K2129">
        <v>1576</v>
      </c>
      <c r="L2129" t="s">
        <v>23</v>
      </c>
      <c r="M2129" t="s">
        <v>6059</v>
      </c>
      <c r="N2129" t="s">
        <v>4223</v>
      </c>
      <c r="O2129" t="s">
        <v>565</v>
      </c>
      <c r="P2129">
        <v>52001</v>
      </c>
      <c r="Q2129">
        <v>1576</v>
      </c>
      <c r="R2129" t="s">
        <v>23</v>
      </c>
      <c r="S2129" s="1" t="s">
        <v>34218</v>
      </c>
    </row>
    <row r="2130" spans="1:19" x14ac:dyDescent="0.25">
      <c r="A2130">
        <v>101222181</v>
      </c>
      <c r="B2130" t="s">
        <v>6060</v>
      </c>
      <c r="C2130" t="s">
        <v>6061</v>
      </c>
      <c r="F2130" t="str">
        <f>"9168127520"</f>
        <v>9168127520</v>
      </c>
      <c r="G2130" t="s">
        <v>6062</v>
      </c>
      <c r="H2130" t="s">
        <v>650</v>
      </c>
      <c r="I2130" t="s">
        <v>22</v>
      </c>
      <c r="J2130">
        <v>95835</v>
      </c>
      <c r="K2130">
        <v>2059</v>
      </c>
      <c r="L2130" t="s">
        <v>23</v>
      </c>
      <c r="M2130" t="s">
        <v>6062</v>
      </c>
      <c r="N2130" t="s">
        <v>650</v>
      </c>
      <c r="O2130" t="s">
        <v>22</v>
      </c>
      <c r="P2130">
        <v>95835</v>
      </c>
      <c r="Q2130">
        <v>2059</v>
      </c>
      <c r="R2130" t="s">
        <v>23</v>
      </c>
      <c r="S2130" s="1" t="s">
        <v>34218</v>
      </c>
    </row>
    <row r="2131" spans="1:19" x14ac:dyDescent="0.25">
      <c r="A2131">
        <v>101224015</v>
      </c>
      <c r="B2131" t="s">
        <v>333</v>
      </c>
      <c r="C2131" t="s">
        <v>1793</v>
      </c>
      <c r="F2131" t="str">
        <f>"8088227211"</f>
        <v>8088227211</v>
      </c>
      <c r="G2131" t="s">
        <v>6063</v>
      </c>
      <c r="H2131" t="s">
        <v>6064</v>
      </c>
      <c r="I2131" t="s">
        <v>984</v>
      </c>
      <c r="J2131">
        <v>96746</v>
      </c>
      <c r="K2131">
        <v>9426</v>
      </c>
      <c r="L2131" t="s">
        <v>23</v>
      </c>
      <c r="M2131" t="s">
        <v>6063</v>
      </c>
      <c r="N2131" t="s">
        <v>6064</v>
      </c>
      <c r="O2131" t="s">
        <v>984</v>
      </c>
      <c r="P2131">
        <v>96746</v>
      </c>
      <c r="Q2131">
        <v>9426</v>
      </c>
      <c r="R2131" t="s">
        <v>23</v>
      </c>
      <c r="S2131" s="1" t="s">
        <v>34218</v>
      </c>
    </row>
    <row r="2132" spans="1:19" x14ac:dyDescent="0.25">
      <c r="A2132">
        <v>101229017</v>
      </c>
      <c r="B2132" t="s">
        <v>6065</v>
      </c>
      <c r="C2132" t="s">
        <v>6066</v>
      </c>
      <c r="F2132" t="str">
        <f>"6312864619"</f>
        <v>6312864619</v>
      </c>
      <c r="G2132" t="s">
        <v>6067</v>
      </c>
      <c r="H2132" t="s">
        <v>6068</v>
      </c>
      <c r="I2132" t="s">
        <v>117</v>
      </c>
      <c r="J2132">
        <v>11772</v>
      </c>
      <c r="K2132">
        <v>6212</v>
      </c>
      <c r="L2132" t="s">
        <v>23</v>
      </c>
      <c r="M2132" t="s">
        <v>6067</v>
      </c>
      <c r="N2132" t="s">
        <v>6068</v>
      </c>
      <c r="O2132" t="s">
        <v>117</v>
      </c>
      <c r="P2132">
        <v>11772</v>
      </c>
      <c r="Q2132">
        <v>6212</v>
      </c>
      <c r="R2132" t="s">
        <v>23</v>
      </c>
      <c r="S2132" s="1" t="s">
        <v>34218</v>
      </c>
    </row>
    <row r="2133" spans="1:19" x14ac:dyDescent="0.25">
      <c r="A2133">
        <v>101317411</v>
      </c>
      <c r="B2133" t="s">
        <v>6069</v>
      </c>
      <c r="C2133" t="s">
        <v>6070</v>
      </c>
      <c r="F2133" t="str">
        <f>"3018531856"</f>
        <v>3018531856</v>
      </c>
      <c r="G2133" t="s">
        <v>6071</v>
      </c>
      <c r="H2133" t="s">
        <v>6072</v>
      </c>
      <c r="I2133" t="s">
        <v>236</v>
      </c>
      <c r="J2133">
        <v>2126</v>
      </c>
      <c r="K2133">
        <v>1854</v>
      </c>
      <c r="L2133" t="s">
        <v>23</v>
      </c>
      <c r="M2133" t="s">
        <v>6071</v>
      </c>
      <c r="N2133" t="s">
        <v>6072</v>
      </c>
      <c r="O2133" t="s">
        <v>236</v>
      </c>
      <c r="P2133">
        <v>2126</v>
      </c>
      <c r="Q2133">
        <v>1854</v>
      </c>
      <c r="R2133" t="s">
        <v>23</v>
      </c>
      <c r="S2133" s="1" t="s">
        <v>34218</v>
      </c>
    </row>
    <row r="2134" spans="1:19" x14ac:dyDescent="0.25">
      <c r="A2134">
        <v>100898903</v>
      </c>
      <c r="B2134" t="s">
        <v>6073</v>
      </c>
      <c r="C2134" t="s">
        <v>1327</v>
      </c>
      <c r="F2134" t="str">
        <f>"3042421783"</f>
        <v>3042421783</v>
      </c>
      <c r="G2134">
        <v>26003</v>
      </c>
      <c r="H2134" t="s">
        <v>6074</v>
      </c>
      <c r="I2134" t="s">
        <v>327</v>
      </c>
      <c r="J2134">
        <v>26003</v>
      </c>
      <c r="L2134" t="s">
        <v>23</v>
      </c>
      <c r="M2134">
        <v>26003</v>
      </c>
      <c r="N2134" t="s">
        <v>6074</v>
      </c>
      <c r="O2134" t="s">
        <v>327</v>
      </c>
      <c r="P2134">
        <v>26003</v>
      </c>
      <c r="R2134" t="s">
        <v>23</v>
      </c>
      <c r="S2134" s="1" t="s">
        <v>34218</v>
      </c>
    </row>
    <row r="2135" spans="1:19" x14ac:dyDescent="0.25">
      <c r="A2135">
        <v>100863939</v>
      </c>
      <c r="B2135" t="s">
        <v>1415</v>
      </c>
      <c r="C2135" t="s">
        <v>68</v>
      </c>
      <c r="F2135" t="str">
        <f>"2012223695"</f>
        <v>2012223695</v>
      </c>
      <c r="G2135" t="s">
        <v>6075</v>
      </c>
      <c r="H2135" t="s">
        <v>4830</v>
      </c>
      <c r="I2135" t="s">
        <v>250</v>
      </c>
      <c r="J2135">
        <v>7030</v>
      </c>
      <c r="K2135">
        <v>6876</v>
      </c>
      <c r="L2135" t="s">
        <v>23</v>
      </c>
      <c r="M2135" t="s">
        <v>6075</v>
      </c>
      <c r="N2135" t="s">
        <v>4830</v>
      </c>
      <c r="O2135" t="s">
        <v>250</v>
      </c>
      <c r="P2135">
        <v>7030</v>
      </c>
      <c r="Q2135">
        <v>6876</v>
      </c>
      <c r="R2135" t="s">
        <v>23</v>
      </c>
      <c r="S2135" s="1" t="s">
        <v>34218</v>
      </c>
    </row>
    <row r="2136" spans="1:19" x14ac:dyDescent="0.25">
      <c r="A2136">
        <v>101412270</v>
      </c>
      <c r="B2136" t="s">
        <v>4734</v>
      </c>
      <c r="C2136" t="s">
        <v>4140</v>
      </c>
      <c r="F2136" t="str">
        <f>"5059200935"</f>
        <v>5059200935</v>
      </c>
      <c r="G2136" t="s">
        <v>6076</v>
      </c>
      <c r="H2136" t="s">
        <v>638</v>
      </c>
      <c r="I2136" t="s">
        <v>639</v>
      </c>
      <c r="J2136">
        <v>87109</v>
      </c>
      <c r="K2136">
        <v>5260</v>
      </c>
      <c r="L2136" t="s">
        <v>23</v>
      </c>
      <c r="M2136" t="s">
        <v>6076</v>
      </c>
      <c r="N2136" t="s">
        <v>638</v>
      </c>
      <c r="O2136" t="s">
        <v>639</v>
      </c>
      <c r="P2136">
        <v>87109</v>
      </c>
      <c r="Q2136">
        <v>5260</v>
      </c>
      <c r="R2136" t="s">
        <v>23</v>
      </c>
      <c r="S2136" s="1" t="s">
        <v>34218</v>
      </c>
    </row>
    <row r="2137" spans="1:19" x14ac:dyDescent="0.25">
      <c r="A2137">
        <v>100597191</v>
      </c>
      <c r="B2137" t="s">
        <v>654</v>
      </c>
      <c r="C2137" t="s">
        <v>498</v>
      </c>
      <c r="F2137" t="str">
        <f>"4105514203"</f>
        <v>4105514203</v>
      </c>
      <c r="G2137" t="s">
        <v>6077</v>
      </c>
      <c r="H2137" t="s">
        <v>6078</v>
      </c>
      <c r="I2137" t="s">
        <v>148</v>
      </c>
      <c r="J2137">
        <v>21144</v>
      </c>
      <c r="K2137">
        <v>1434</v>
      </c>
      <c r="L2137" t="s">
        <v>23</v>
      </c>
      <c r="M2137" t="s">
        <v>6077</v>
      </c>
      <c r="N2137" t="s">
        <v>6078</v>
      </c>
      <c r="O2137" t="s">
        <v>148</v>
      </c>
      <c r="P2137">
        <v>21144</v>
      </c>
      <c r="Q2137">
        <v>1434</v>
      </c>
      <c r="R2137" t="s">
        <v>23</v>
      </c>
      <c r="S2137" s="1" t="s">
        <v>34218</v>
      </c>
    </row>
    <row r="2138" spans="1:19" x14ac:dyDescent="0.25">
      <c r="A2138">
        <v>100821302</v>
      </c>
      <c r="B2138" t="s">
        <v>6079</v>
      </c>
      <c r="C2138" t="s">
        <v>1058</v>
      </c>
      <c r="F2138" t="str">
        <f>"7155476493"</f>
        <v>7155476493</v>
      </c>
      <c r="G2138" t="s">
        <v>6080</v>
      </c>
      <c r="H2138" t="s">
        <v>1067</v>
      </c>
      <c r="I2138" t="s">
        <v>100</v>
      </c>
      <c r="J2138">
        <v>54540</v>
      </c>
      <c r="K2138">
        <v>9779</v>
      </c>
      <c r="L2138" t="s">
        <v>23</v>
      </c>
      <c r="M2138" t="s">
        <v>6080</v>
      </c>
      <c r="N2138" t="s">
        <v>1067</v>
      </c>
      <c r="O2138" t="s">
        <v>100</v>
      </c>
      <c r="P2138">
        <v>54540</v>
      </c>
      <c r="Q2138">
        <v>9779</v>
      </c>
      <c r="R2138" t="s">
        <v>23</v>
      </c>
      <c r="S2138" s="1" t="s">
        <v>34218</v>
      </c>
    </row>
    <row r="2139" spans="1:19" x14ac:dyDescent="0.25">
      <c r="A2139">
        <v>101252063</v>
      </c>
      <c r="B2139" t="s">
        <v>6081</v>
      </c>
      <c r="C2139" t="s">
        <v>6082</v>
      </c>
      <c r="F2139" t="str">
        <f>"8585385150"</f>
        <v>8585385150</v>
      </c>
      <c r="G2139" t="s">
        <v>6083</v>
      </c>
      <c r="H2139" t="s">
        <v>198</v>
      </c>
      <c r="I2139" t="s">
        <v>22</v>
      </c>
      <c r="J2139">
        <v>92129</v>
      </c>
      <c r="K2139">
        <v>3574</v>
      </c>
      <c r="L2139" t="s">
        <v>23</v>
      </c>
      <c r="M2139" t="s">
        <v>6083</v>
      </c>
      <c r="N2139" t="s">
        <v>198</v>
      </c>
      <c r="O2139" t="s">
        <v>22</v>
      </c>
      <c r="P2139">
        <v>92129</v>
      </c>
      <c r="Q2139">
        <v>3574</v>
      </c>
      <c r="R2139" t="s">
        <v>23</v>
      </c>
      <c r="S2139" s="1" t="s">
        <v>34218</v>
      </c>
    </row>
    <row r="2140" spans="1:19" x14ac:dyDescent="0.25">
      <c r="A2140">
        <v>101248441</v>
      </c>
      <c r="B2140" t="s">
        <v>6084</v>
      </c>
      <c r="C2140" t="s">
        <v>644</v>
      </c>
      <c r="F2140" t="str">
        <f>"2078125282"</f>
        <v>2078125282</v>
      </c>
      <c r="G2140" t="s">
        <v>6085</v>
      </c>
      <c r="H2140" t="s">
        <v>2701</v>
      </c>
      <c r="I2140" t="s">
        <v>191</v>
      </c>
      <c r="J2140">
        <v>4634</v>
      </c>
      <c r="K2140">
        <v>3121</v>
      </c>
      <c r="L2140" t="s">
        <v>23</v>
      </c>
      <c r="M2140" t="s">
        <v>6085</v>
      </c>
      <c r="N2140" t="s">
        <v>2701</v>
      </c>
      <c r="O2140" t="s">
        <v>191</v>
      </c>
      <c r="P2140">
        <v>4634</v>
      </c>
      <c r="Q2140">
        <v>3121</v>
      </c>
      <c r="R2140" t="s">
        <v>23</v>
      </c>
      <c r="S2140" s="1" t="s">
        <v>34218</v>
      </c>
    </row>
    <row r="2141" spans="1:19" x14ac:dyDescent="0.25">
      <c r="A2141">
        <v>101260310</v>
      </c>
      <c r="B2141" t="s">
        <v>395</v>
      </c>
      <c r="C2141" t="s">
        <v>123</v>
      </c>
      <c r="F2141" t="str">
        <f>"4155538799"</f>
        <v>4155538799</v>
      </c>
      <c r="G2141" t="s">
        <v>6086</v>
      </c>
      <c r="H2141" t="s">
        <v>130</v>
      </c>
      <c r="I2141" t="s">
        <v>22</v>
      </c>
      <c r="J2141">
        <v>94114</v>
      </c>
      <c r="K2141">
        <v>1765</v>
      </c>
      <c r="L2141" t="s">
        <v>23</v>
      </c>
      <c r="M2141" t="s">
        <v>6086</v>
      </c>
      <c r="N2141" t="s">
        <v>130</v>
      </c>
      <c r="O2141" t="s">
        <v>22</v>
      </c>
      <c r="P2141">
        <v>94114</v>
      </c>
      <c r="Q2141">
        <v>1765</v>
      </c>
      <c r="R2141" t="s">
        <v>23</v>
      </c>
      <c r="S2141" s="1" t="s">
        <v>34218</v>
      </c>
    </row>
    <row r="2142" spans="1:19" x14ac:dyDescent="0.25">
      <c r="A2142">
        <v>101022817</v>
      </c>
      <c r="B2142" t="s">
        <v>4159</v>
      </c>
      <c r="C2142" t="s">
        <v>452</v>
      </c>
      <c r="F2142" t="str">
        <f>"2696715823"</f>
        <v>2696715823</v>
      </c>
      <c r="G2142" t="s">
        <v>6087</v>
      </c>
      <c r="H2142" t="s">
        <v>6088</v>
      </c>
      <c r="I2142" t="s">
        <v>140</v>
      </c>
      <c r="J2142">
        <v>49046</v>
      </c>
      <c r="K2142">
        <v>9664</v>
      </c>
      <c r="L2142" t="s">
        <v>23</v>
      </c>
      <c r="M2142" t="s">
        <v>6087</v>
      </c>
      <c r="N2142" t="s">
        <v>6088</v>
      </c>
      <c r="O2142" t="s">
        <v>140</v>
      </c>
      <c r="P2142">
        <v>49046</v>
      </c>
      <c r="Q2142">
        <v>9664</v>
      </c>
      <c r="R2142" t="s">
        <v>23</v>
      </c>
      <c r="S2142" s="1" t="s">
        <v>34218</v>
      </c>
    </row>
    <row r="2143" spans="1:19" x14ac:dyDescent="0.25">
      <c r="A2143">
        <v>101045107</v>
      </c>
      <c r="B2143" t="s">
        <v>6089</v>
      </c>
      <c r="C2143" t="s">
        <v>1223</v>
      </c>
      <c r="F2143" t="str">
        <f>"4047618004"</f>
        <v>4047618004</v>
      </c>
      <c r="G2143" t="s">
        <v>6090</v>
      </c>
      <c r="H2143" t="s">
        <v>6091</v>
      </c>
      <c r="I2143" t="s">
        <v>28</v>
      </c>
      <c r="J2143">
        <v>30344</v>
      </c>
      <c r="K2143">
        <v>1031</v>
      </c>
      <c r="L2143" t="s">
        <v>23</v>
      </c>
      <c r="M2143" t="s">
        <v>6090</v>
      </c>
      <c r="N2143" t="s">
        <v>6091</v>
      </c>
      <c r="O2143" t="s">
        <v>28</v>
      </c>
      <c r="P2143">
        <v>30344</v>
      </c>
      <c r="Q2143">
        <v>1031</v>
      </c>
      <c r="R2143" t="s">
        <v>23</v>
      </c>
      <c r="S2143" s="1" t="s">
        <v>34218</v>
      </c>
    </row>
    <row r="2144" spans="1:19" x14ac:dyDescent="0.25">
      <c r="A2144">
        <v>101253198</v>
      </c>
      <c r="B2144" t="s">
        <v>2376</v>
      </c>
      <c r="C2144" t="s">
        <v>382</v>
      </c>
      <c r="F2144" t="str">
        <f>"4046640264"</f>
        <v>4046640264</v>
      </c>
      <c r="G2144" t="s">
        <v>6092</v>
      </c>
      <c r="H2144" t="s">
        <v>376</v>
      </c>
      <c r="I2144" t="s">
        <v>28</v>
      </c>
      <c r="J2144">
        <v>30082</v>
      </c>
      <c r="K2144">
        <v>2808</v>
      </c>
      <c r="L2144" t="s">
        <v>23</v>
      </c>
      <c r="M2144" t="s">
        <v>6092</v>
      </c>
      <c r="N2144" t="s">
        <v>376</v>
      </c>
      <c r="O2144" t="s">
        <v>28</v>
      </c>
      <c r="P2144">
        <v>30082</v>
      </c>
      <c r="Q2144">
        <v>2808</v>
      </c>
      <c r="R2144" t="s">
        <v>23</v>
      </c>
      <c r="S2144" s="1" t="s">
        <v>34218</v>
      </c>
    </row>
    <row r="2145" spans="1:19" x14ac:dyDescent="0.25">
      <c r="A2145">
        <v>101085819</v>
      </c>
      <c r="B2145" t="s">
        <v>6093</v>
      </c>
      <c r="C2145" t="s">
        <v>1773</v>
      </c>
      <c r="F2145" t="str">
        <f>"8183984190"</f>
        <v>8183984190</v>
      </c>
      <c r="G2145" t="s">
        <v>6094</v>
      </c>
      <c r="H2145" t="s">
        <v>3561</v>
      </c>
      <c r="I2145" t="s">
        <v>22</v>
      </c>
      <c r="J2145">
        <v>91325</v>
      </c>
      <c r="K2145">
        <v>1510</v>
      </c>
      <c r="L2145" t="s">
        <v>23</v>
      </c>
      <c r="M2145" t="s">
        <v>6094</v>
      </c>
      <c r="N2145" t="s">
        <v>3561</v>
      </c>
      <c r="O2145" t="s">
        <v>22</v>
      </c>
      <c r="P2145">
        <v>91325</v>
      </c>
      <c r="Q2145">
        <v>1510</v>
      </c>
      <c r="R2145" t="s">
        <v>23</v>
      </c>
      <c r="S2145" s="1" t="s">
        <v>34218</v>
      </c>
    </row>
    <row r="2146" spans="1:19" x14ac:dyDescent="0.25">
      <c r="A2146">
        <v>101085828</v>
      </c>
      <c r="B2146" t="s">
        <v>6095</v>
      </c>
      <c r="C2146" t="s">
        <v>575</v>
      </c>
      <c r="F2146" t="str">
        <f>"5105820211"</f>
        <v>5105820211</v>
      </c>
      <c r="G2146" t="s">
        <v>6096</v>
      </c>
      <c r="H2146" t="s">
        <v>521</v>
      </c>
      <c r="I2146" t="s">
        <v>22</v>
      </c>
      <c r="J2146">
        <v>94541</v>
      </c>
      <c r="K2146">
        <v>3477</v>
      </c>
      <c r="L2146" t="s">
        <v>23</v>
      </c>
      <c r="M2146" t="s">
        <v>6096</v>
      </c>
      <c r="N2146" t="s">
        <v>521</v>
      </c>
      <c r="O2146" t="s">
        <v>22</v>
      </c>
      <c r="P2146">
        <v>94541</v>
      </c>
      <c r="Q2146">
        <v>3477</v>
      </c>
      <c r="R2146" t="s">
        <v>23</v>
      </c>
      <c r="S2146" s="1" t="s">
        <v>34218</v>
      </c>
    </row>
    <row r="2147" spans="1:19" x14ac:dyDescent="0.25">
      <c r="A2147">
        <v>101090269</v>
      </c>
      <c r="B2147" t="s">
        <v>6097</v>
      </c>
      <c r="C2147" t="s">
        <v>49</v>
      </c>
      <c r="F2147" t="str">
        <f>"3018540260"</f>
        <v>3018540260</v>
      </c>
      <c r="G2147" t="s">
        <v>6098</v>
      </c>
      <c r="H2147" t="s">
        <v>5732</v>
      </c>
      <c r="I2147" t="s">
        <v>148</v>
      </c>
      <c r="J2147">
        <v>21042</v>
      </c>
      <c r="K2147">
        <v>1516</v>
      </c>
      <c r="L2147" t="s">
        <v>23</v>
      </c>
      <c r="M2147" t="s">
        <v>6098</v>
      </c>
      <c r="N2147" t="s">
        <v>5732</v>
      </c>
      <c r="O2147" t="s">
        <v>148</v>
      </c>
      <c r="P2147">
        <v>21042</v>
      </c>
      <c r="Q2147">
        <v>1516</v>
      </c>
      <c r="R2147" t="s">
        <v>23</v>
      </c>
      <c r="S2147" s="1" t="s">
        <v>34218</v>
      </c>
    </row>
    <row r="2148" spans="1:19" x14ac:dyDescent="0.25">
      <c r="A2148">
        <v>101303717</v>
      </c>
      <c r="B2148" t="s">
        <v>6099</v>
      </c>
      <c r="C2148" t="s">
        <v>6100</v>
      </c>
      <c r="F2148" t="str">
        <f>"7189840843"</f>
        <v>7189840843</v>
      </c>
      <c r="G2148" t="s">
        <v>6101</v>
      </c>
      <c r="H2148" t="s">
        <v>2319</v>
      </c>
      <c r="I2148" t="s">
        <v>117</v>
      </c>
      <c r="J2148">
        <v>10309</v>
      </c>
      <c r="K2148">
        <v>3216</v>
      </c>
      <c r="L2148" t="s">
        <v>23</v>
      </c>
      <c r="M2148" t="s">
        <v>6101</v>
      </c>
      <c r="N2148" t="s">
        <v>2319</v>
      </c>
      <c r="O2148" t="s">
        <v>117</v>
      </c>
      <c r="P2148">
        <v>10309</v>
      </c>
      <c r="Q2148">
        <v>3216</v>
      </c>
      <c r="R2148" t="s">
        <v>23</v>
      </c>
      <c r="S2148" s="1" t="s">
        <v>34218</v>
      </c>
    </row>
    <row r="2149" spans="1:19" x14ac:dyDescent="0.25">
      <c r="A2149">
        <v>101310203</v>
      </c>
      <c r="B2149" t="s">
        <v>6102</v>
      </c>
      <c r="C2149" t="s">
        <v>1463</v>
      </c>
      <c r="F2149" t="str">
        <f>"6417926472"</f>
        <v>6417926472</v>
      </c>
      <c r="G2149" t="s">
        <v>6103</v>
      </c>
      <c r="H2149" t="s">
        <v>6104</v>
      </c>
      <c r="I2149" t="s">
        <v>565</v>
      </c>
      <c r="J2149">
        <v>50208</v>
      </c>
      <c r="K2149">
        <v>2520</v>
      </c>
      <c r="L2149" t="s">
        <v>23</v>
      </c>
      <c r="M2149" t="s">
        <v>6103</v>
      </c>
      <c r="N2149" t="s">
        <v>6104</v>
      </c>
      <c r="O2149" t="s">
        <v>565</v>
      </c>
      <c r="P2149">
        <v>50208</v>
      </c>
      <c r="Q2149">
        <v>2520</v>
      </c>
      <c r="R2149" t="s">
        <v>23</v>
      </c>
      <c r="S2149" s="1" t="s">
        <v>34218</v>
      </c>
    </row>
    <row r="2150" spans="1:19" x14ac:dyDescent="0.25">
      <c r="A2150">
        <v>101315581</v>
      </c>
      <c r="B2150" t="s">
        <v>6105</v>
      </c>
      <c r="C2150" t="s">
        <v>911</v>
      </c>
      <c r="F2150" t="str">
        <f>"9164841839"</f>
        <v>9164841839</v>
      </c>
      <c r="G2150" t="s">
        <v>6106</v>
      </c>
      <c r="H2150" t="s">
        <v>3592</v>
      </c>
      <c r="I2150" t="s">
        <v>22</v>
      </c>
      <c r="J2150">
        <v>95608</v>
      </c>
      <c r="K2150">
        <v>4039</v>
      </c>
      <c r="L2150" t="s">
        <v>23</v>
      </c>
      <c r="M2150" t="s">
        <v>6106</v>
      </c>
      <c r="N2150" t="s">
        <v>3592</v>
      </c>
      <c r="O2150" t="s">
        <v>22</v>
      </c>
      <c r="P2150">
        <v>95608</v>
      </c>
      <c r="Q2150">
        <v>4039</v>
      </c>
      <c r="R2150" t="s">
        <v>23</v>
      </c>
      <c r="S2150" s="1" t="s">
        <v>34218</v>
      </c>
    </row>
    <row r="2151" spans="1:19" x14ac:dyDescent="0.25">
      <c r="A2151">
        <v>100949174</v>
      </c>
      <c r="B2151" t="s">
        <v>6107</v>
      </c>
      <c r="C2151" t="s">
        <v>1873</v>
      </c>
      <c r="F2151" t="str">
        <f>"2177876927"</f>
        <v>2177876927</v>
      </c>
      <c r="G2151" t="s">
        <v>6108</v>
      </c>
      <c r="H2151" t="s">
        <v>6109</v>
      </c>
      <c r="I2151" t="s">
        <v>135</v>
      </c>
      <c r="J2151">
        <v>62670</v>
      </c>
      <c r="K2151">
        <v>6747</v>
      </c>
      <c r="L2151" t="s">
        <v>23</v>
      </c>
      <c r="M2151" t="s">
        <v>6108</v>
      </c>
      <c r="N2151" t="s">
        <v>6109</v>
      </c>
      <c r="O2151" t="s">
        <v>135</v>
      </c>
      <c r="P2151">
        <v>62670</v>
      </c>
      <c r="Q2151">
        <v>6747</v>
      </c>
      <c r="R2151" t="s">
        <v>23</v>
      </c>
      <c r="S2151" s="1" t="s">
        <v>34218</v>
      </c>
    </row>
    <row r="2152" spans="1:19" x14ac:dyDescent="0.25">
      <c r="A2152">
        <v>100967723</v>
      </c>
      <c r="B2152" t="s">
        <v>2778</v>
      </c>
      <c r="C2152" t="s">
        <v>119</v>
      </c>
      <c r="F2152" t="str">
        <f>"5077229212"</f>
        <v>5077229212</v>
      </c>
      <c r="G2152" t="s">
        <v>6110</v>
      </c>
      <c r="H2152" t="s">
        <v>688</v>
      </c>
      <c r="I2152" t="s">
        <v>187</v>
      </c>
      <c r="J2152">
        <v>55901</v>
      </c>
      <c r="K2152">
        <v>6508</v>
      </c>
      <c r="L2152" t="s">
        <v>23</v>
      </c>
      <c r="M2152" t="s">
        <v>6110</v>
      </c>
      <c r="N2152" t="s">
        <v>688</v>
      </c>
      <c r="O2152" t="s">
        <v>187</v>
      </c>
      <c r="P2152">
        <v>55901</v>
      </c>
      <c r="Q2152">
        <v>6508</v>
      </c>
      <c r="R2152" t="s">
        <v>23</v>
      </c>
      <c r="S2152" s="1" t="s">
        <v>34218</v>
      </c>
    </row>
    <row r="2153" spans="1:19" x14ac:dyDescent="0.25">
      <c r="A2153">
        <v>101147581</v>
      </c>
      <c r="B2153" t="s">
        <v>6111</v>
      </c>
      <c r="C2153" t="s">
        <v>6112</v>
      </c>
      <c r="F2153" t="str">
        <f>"7136305631"</f>
        <v>7136305631</v>
      </c>
      <c r="G2153" t="s">
        <v>6113</v>
      </c>
      <c r="H2153" t="s">
        <v>6114</v>
      </c>
      <c r="I2153" t="s">
        <v>38</v>
      </c>
      <c r="J2153">
        <v>77584</v>
      </c>
      <c r="K2153">
        <v>3353</v>
      </c>
      <c r="L2153" t="s">
        <v>23</v>
      </c>
      <c r="M2153" t="s">
        <v>6113</v>
      </c>
      <c r="N2153" t="s">
        <v>6114</v>
      </c>
      <c r="O2153" t="s">
        <v>38</v>
      </c>
      <c r="P2153">
        <v>77584</v>
      </c>
      <c r="Q2153">
        <v>3353</v>
      </c>
      <c r="R2153" t="s">
        <v>23</v>
      </c>
      <c r="S2153" s="1" t="s">
        <v>34218</v>
      </c>
    </row>
    <row r="2154" spans="1:19" x14ac:dyDescent="0.25">
      <c r="A2154">
        <v>101166876</v>
      </c>
      <c r="B2154" t="s">
        <v>308</v>
      </c>
      <c r="C2154" t="s">
        <v>5714</v>
      </c>
      <c r="F2154" t="str">
        <f>"5054661456"</f>
        <v>5054661456</v>
      </c>
      <c r="G2154" t="s">
        <v>6115</v>
      </c>
      <c r="H2154" t="s">
        <v>6116</v>
      </c>
      <c r="I2154" t="s">
        <v>639</v>
      </c>
      <c r="J2154">
        <v>87540</v>
      </c>
      <c r="K2154">
        <v>9525</v>
      </c>
      <c r="L2154" t="s">
        <v>23</v>
      </c>
      <c r="M2154" t="s">
        <v>6115</v>
      </c>
      <c r="N2154" t="s">
        <v>6116</v>
      </c>
      <c r="O2154" t="s">
        <v>639</v>
      </c>
      <c r="P2154">
        <v>87540</v>
      </c>
      <c r="Q2154">
        <v>9525</v>
      </c>
      <c r="R2154" t="s">
        <v>23</v>
      </c>
      <c r="S2154" s="1" t="s">
        <v>34218</v>
      </c>
    </row>
    <row r="2155" spans="1:19" x14ac:dyDescent="0.25">
      <c r="A2155">
        <v>101353909</v>
      </c>
      <c r="B2155" t="s">
        <v>6117</v>
      </c>
      <c r="C2155" t="s">
        <v>3590</v>
      </c>
      <c r="F2155" t="str">
        <f>"9199332806"</f>
        <v>9199332806</v>
      </c>
      <c r="G2155" t="s">
        <v>6118</v>
      </c>
      <c r="H2155" t="s">
        <v>6119</v>
      </c>
      <c r="I2155" t="s">
        <v>446</v>
      </c>
      <c r="J2155">
        <v>27510</v>
      </c>
      <c r="K2155">
        <v>2478</v>
      </c>
      <c r="L2155" t="s">
        <v>23</v>
      </c>
      <c r="M2155" t="s">
        <v>6118</v>
      </c>
      <c r="N2155" t="s">
        <v>6119</v>
      </c>
      <c r="O2155" t="s">
        <v>446</v>
      </c>
      <c r="P2155">
        <v>27510</v>
      </c>
      <c r="Q2155">
        <v>2478</v>
      </c>
      <c r="R2155" t="s">
        <v>23</v>
      </c>
      <c r="S2155" s="1" t="s">
        <v>34218</v>
      </c>
    </row>
    <row r="2156" spans="1:19" x14ac:dyDescent="0.25">
      <c r="A2156">
        <v>101349376</v>
      </c>
      <c r="B2156" t="s">
        <v>6120</v>
      </c>
      <c r="C2156" t="s">
        <v>6121</v>
      </c>
      <c r="F2156" t="str">
        <f>"7187619147"</f>
        <v>7187619147</v>
      </c>
      <c r="G2156" t="s">
        <v>6122</v>
      </c>
      <c r="H2156" t="s">
        <v>2319</v>
      </c>
      <c r="I2156" t="s">
        <v>117</v>
      </c>
      <c r="J2156">
        <v>10314</v>
      </c>
      <c r="K2156">
        <v>2007</v>
      </c>
      <c r="L2156" t="s">
        <v>23</v>
      </c>
      <c r="M2156" t="s">
        <v>6122</v>
      </c>
      <c r="N2156" t="s">
        <v>2319</v>
      </c>
      <c r="O2156" t="s">
        <v>117</v>
      </c>
      <c r="P2156">
        <v>10314</v>
      </c>
      <c r="Q2156">
        <v>2007</v>
      </c>
      <c r="R2156" t="s">
        <v>23</v>
      </c>
      <c r="S2156" s="1" t="s">
        <v>34218</v>
      </c>
    </row>
    <row r="2157" spans="1:19" x14ac:dyDescent="0.25">
      <c r="A2157">
        <v>101380047</v>
      </c>
      <c r="B2157" t="s">
        <v>5052</v>
      </c>
      <c r="C2157" t="s">
        <v>1533</v>
      </c>
      <c r="F2157" t="str">
        <f>"6316673841"</f>
        <v>6316673841</v>
      </c>
      <c r="G2157" t="s">
        <v>6123</v>
      </c>
      <c r="H2157" t="s">
        <v>6124</v>
      </c>
      <c r="I2157" t="s">
        <v>117</v>
      </c>
      <c r="J2157">
        <v>11746</v>
      </c>
      <c r="K2157">
        <v>6531</v>
      </c>
      <c r="L2157" t="s">
        <v>23</v>
      </c>
      <c r="M2157" t="s">
        <v>6123</v>
      </c>
      <c r="N2157" t="s">
        <v>6124</v>
      </c>
      <c r="O2157" t="s">
        <v>117</v>
      </c>
      <c r="P2157">
        <v>11746</v>
      </c>
      <c r="Q2157">
        <v>6531</v>
      </c>
      <c r="R2157" t="s">
        <v>23</v>
      </c>
      <c r="S2157" s="1" t="s">
        <v>34218</v>
      </c>
    </row>
    <row r="2158" spans="1:19" x14ac:dyDescent="0.25">
      <c r="A2158">
        <v>101382219</v>
      </c>
      <c r="B2158" t="s">
        <v>4188</v>
      </c>
      <c r="C2158" t="s">
        <v>6125</v>
      </c>
      <c r="F2158" t="str">
        <f>"8317065634"</f>
        <v>8317065634</v>
      </c>
      <c r="G2158" t="s">
        <v>6126</v>
      </c>
      <c r="H2158" t="s">
        <v>1293</v>
      </c>
      <c r="I2158" t="s">
        <v>22</v>
      </c>
      <c r="J2158">
        <v>95062</v>
      </c>
      <c r="K2158">
        <v>2651</v>
      </c>
      <c r="L2158" t="s">
        <v>23</v>
      </c>
      <c r="M2158" t="s">
        <v>6126</v>
      </c>
      <c r="N2158" t="s">
        <v>1293</v>
      </c>
      <c r="O2158" t="s">
        <v>22</v>
      </c>
      <c r="P2158">
        <v>95062</v>
      </c>
      <c r="Q2158">
        <v>2651</v>
      </c>
      <c r="R2158" t="s">
        <v>23</v>
      </c>
      <c r="S2158" s="1" t="s">
        <v>34218</v>
      </c>
    </row>
    <row r="2159" spans="1:19" x14ac:dyDescent="0.25">
      <c r="A2159">
        <v>101392179</v>
      </c>
      <c r="B2159" t="s">
        <v>6127</v>
      </c>
      <c r="C2159" t="s">
        <v>6128</v>
      </c>
      <c r="F2159" t="str">
        <f>"9705657522"</f>
        <v>9705657522</v>
      </c>
      <c r="G2159" t="s">
        <v>6129</v>
      </c>
      <c r="H2159" t="s">
        <v>2967</v>
      </c>
      <c r="I2159" t="s">
        <v>71</v>
      </c>
      <c r="J2159">
        <v>81321</v>
      </c>
      <c r="K2159">
        <v>3924</v>
      </c>
      <c r="L2159" t="s">
        <v>23</v>
      </c>
      <c r="M2159" t="s">
        <v>6129</v>
      </c>
      <c r="N2159" t="s">
        <v>2967</v>
      </c>
      <c r="O2159" t="s">
        <v>71</v>
      </c>
      <c r="P2159">
        <v>81321</v>
      </c>
      <c r="Q2159">
        <v>3924</v>
      </c>
      <c r="R2159" t="s">
        <v>23</v>
      </c>
      <c r="S2159" s="1" t="s">
        <v>34218</v>
      </c>
    </row>
    <row r="2160" spans="1:19" x14ac:dyDescent="0.25">
      <c r="A2160">
        <v>100980118</v>
      </c>
      <c r="B2160" t="s">
        <v>6130</v>
      </c>
      <c r="C2160" t="s">
        <v>6131</v>
      </c>
      <c r="F2160" t="str">
        <f>"7734303547"</f>
        <v>7734303547</v>
      </c>
      <c r="G2160" t="s">
        <v>6132</v>
      </c>
      <c r="H2160" t="s">
        <v>6133</v>
      </c>
      <c r="I2160" t="s">
        <v>153</v>
      </c>
      <c r="J2160">
        <v>70123</v>
      </c>
      <c r="K2160">
        <v>1215</v>
      </c>
      <c r="L2160" t="s">
        <v>23</v>
      </c>
      <c r="M2160" t="s">
        <v>6132</v>
      </c>
      <c r="N2160" t="s">
        <v>6133</v>
      </c>
      <c r="O2160" t="s">
        <v>153</v>
      </c>
      <c r="P2160">
        <v>70123</v>
      </c>
      <c r="Q2160">
        <v>1215</v>
      </c>
      <c r="R2160" t="s">
        <v>23</v>
      </c>
      <c r="S2160" s="1" t="s">
        <v>34218</v>
      </c>
    </row>
    <row r="2161" spans="1:19" x14ac:dyDescent="0.25">
      <c r="A2161">
        <v>101174170</v>
      </c>
      <c r="B2161" t="s">
        <v>6134</v>
      </c>
      <c r="C2161" t="s">
        <v>432</v>
      </c>
      <c r="F2161" t="str">
        <f>"9493555306"</f>
        <v>9493555306</v>
      </c>
      <c r="G2161" t="s">
        <v>6135</v>
      </c>
      <c r="H2161" t="s">
        <v>6136</v>
      </c>
      <c r="I2161" t="s">
        <v>22</v>
      </c>
      <c r="J2161">
        <v>92627</v>
      </c>
      <c r="K2161">
        <v>3207</v>
      </c>
      <c r="L2161" t="s">
        <v>23</v>
      </c>
      <c r="M2161" t="s">
        <v>6135</v>
      </c>
      <c r="N2161" t="s">
        <v>6136</v>
      </c>
      <c r="O2161" t="s">
        <v>22</v>
      </c>
      <c r="P2161">
        <v>92627</v>
      </c>
      <c r="Q2161">
        <v>3207</v>
      </c>
      <c r="R2161" t="s">
        <v>23</v>
      </c>
      <c r="S2161" s="1" t="s">
        <v>34218</v>
      </c>
    </row>
    <row r="2162" spans="1:19" x14ac:dyDescent="0.25">
      <c r="A2162">
        <v>101292273</v>
      </c>
      <c r="B2162" t="s">
        <v>6137</v>
      </c>
      <c r="C2162" t="s">
        <v>266</v>
      </c>
      <c r="F2162" t="str">
        <f>"3108388903"</f>
        <v>3108388903</v>
      </c>
      <c r="G2162" t="s">
        <v>6138</v>
      </c>
      <c r="H2162" t="s">
        <v>299</v>
      </c>
      <c r="I2162" t="s">
        <v>22</v>
      </c>
      <c r="J2162">
        <v>90034</v>
      </c>
      <c r="K2162">
        <v>1852</v>
      </c>
      <c r="L2162" t="s">
        <v>23</v>
      </c>
      <c r="M2162" t="s">
        <v>6138</v>
      </c>
      <c r="N2162" t="s">
        <v>299</v>
      </c>
      <c r="O2162" t="s">
        <v>22</v>
      </c>
      <c r="P2162">
        <v>90034</v>
      </c>
      <c r="Q2162">
        <v>1852</v>
      </c>
      <c r="R2162" t="s">
        <v>23</v>
      </c>
      <c r="S2162" s="1" t="s">
        <v>34218</v>
      </c>
    </row>
    <row r="2163" spans="1:19" x14ac:dyDescent="0.25">
      <c r="A2163">
        <v>101292890</v>
      </c>
      <c r="B2163" t="s">
        <v>6139</v>
      </c>
      <c r="C2163" t="s">
        <v>6140</v>
      </c>
      <c r="F2163" t="str">
        <f>"4055857910"</f>
        <v>4055857910</v>
      </c>
      <c r="G2163" t="s">
        <v>6141</v>
      </c>
      <c r="H2163" t="s">
        <v>567</v>
      </c>
      <c r="I2163" t="s">
        <v>446</v>
      </c>
      <c r="J2163">
        <v>27607</v>
      </c>
      <c r="K2163">
        <v>4199</v>
      </c>
      <c r="L2163" t="s">
        <v>23</v>
      </c>
      <c r="M2163" t="s">
        <v>6141</v>
      </c>
      <c r="N2163" t="s">
        <v>567</v>
      </c>
      <c r="O2163" t="s">
        <v>446</v>
      </c>
      <c r="P2163">
        <v>27607</v>
      </c>
      <c r="Q2163">
        <v>4199</v>
      </c>
      <c r="R2163" t="s">
        <v>23</v>
      </c>
      <c r="S2163" s="1" t="s">
        <v>34218</v>
      </c>
    </row>
    <row r="2164" spans="1:19" x14ac:dyDescent="0.25">
      <c r="A2164">
        <v>101305987</v>
      </c>
      <c r="B2164" t="s">
        <v>6142</v>
      </c>
      <c r="C2164" t="s">
        <v>6143</v>
      </c>
      <c r="F2164" t="str">
        <f>"9164202738"</f>
        <v>9164202738</v>
      </c>
      <c r="G2164" t="s">
        <v>6144</v>
      </c>
      <c r="H2164" t="s">
        <v>631</v>
      </c>
      <c r="I2164" t="s">
        <v>22</v>
      </c>
      <c r="J2164">
        <v>94949</v>
      </c>
      <c r="K2164">
        <v>6309</v>
      </c>
      <c r="L2164" t="s">
        <v>23</v>
      </c>
      <c r="M2164" t="s">
        <v>6144</v>
      </c>
      <c r="N2164" t="s">
        <v>631</v>
      </c>
      <c r="O2164" t="s">
        <v>22</v>
      </c>
      <c r="P2164">
        <v>94949</v>
      </c>
      <c r="Q2164">
        <v>6309</v>
      </c>
      <c r="R2164" t="s">
        <v>23</v>
      </c>
      <c r="S2164" s="1" t="s">
        <v>34218</v>
      </c>
    </row>
    <row r="2165" spans="1:19" x14ac:dyDescent="0.25">
      <c r="A2165">
        <v>101408978</v>
      </c>
      <c r="B2165" t="s">
        <v>6145</v>
      </c>
      <c r="C2165" t="s">
        <v>172</v>
      </c>
      <c r="F2165" t="str">
        <f>"7275928117"</f>
        <v>7275928117</v>
      </c>
      <c r="G2165" t="s">
        <v>6146</v>
      </c>
      <c r="H2165" t="s">
        <v>733</v>
      </c>
      <c r="I2165" t="s">
        <v>52</v>
      </c>
      <c r="J2165">
        <v>33710</v>
      </c>
      <c r="K2165">
        <v>7956</v>
      </c>
      <c r="L2165" t="s">
        <v>23</v>
      </c>
      <c r="M2165" t="s">
        <v>6146</v>
      </c>
      <c r="N2165" t="s">
        <v>733</v>
      </c>
      <c r="O2165" t="s">
        <v>52</v>
      </c>
      <c r="P2165">
        <v>33710</v>
      </c>
      <c r="Q2165">
        <v>7956</v>
      </c>
      <c r="R2165" t="s">
        <v>23</v>
      </c>
      <c r="S2165" s="1" t="s">
        <v>34218</v>
      </c>
    </row>
    <row r="2166" spans="1:19" x14ac:dyDescent="0.25">
      <c r="A2166">
        <v>101348006</v>
      </c>
      <c r="B2166" t="s">
        <v>6147</v>
      </c>
      <c r="C2166" t="s">
        <v>30</v>
      </c>
      <c r="F2166" t="str">
        <f>"2127345250"</f>
        <v>2127345250</v>
      </c>
      <c r="G2166">
        <v>10021</v>
      </c>
      <c r="H2166" t="s">
        <v>653</v>
      </c>
      <c r="I2166" t="s">
        <v>117</v>
      </c>
      <c r="J2166">
        <v>10021</v>
      </c>
      <c r="L2166" t="s">
        <v>23</v>
      </c>
      <c r="M2166">
        <v>10021</v>
      </c>
      <c r="N2166" t="s">
        <v>653</v>
      </c>
      <c r="O2166" t="s">
        <v>117</v>
      </c>
      <c r="P2166">
        <v>10021</v>
      </c>
      <c r="R2166" t="s">
        <v>23</v>
      </c>
      <c r="S2166" s="1" t="s">
        <v>34218</v>
      </c>
    </row>
    <row r="2167" spans="1:19" x14ac:dyDescent="0.25">
      <c r="A2167">
        <v>100682591</v>
      </c>
      <c r="B2167" t="s">
        <v>6148</v>
      </c>
      <c r="C2167" t="s">
        <v>6149</v>
      </c>
      <c r="F2167" t="str">
        <f>"7173977190"</f>
        <v>7173977190</v>
      </c>
      <c r="G2167" t="s">
        <v>6150</v>
      </c>
      <c r="H2167" t="s">
        <v>6151</v>
      </c>
      <c r="I2167" t="s">
        <v>33</v>
      </c>
      <c r="J2167">
        <v>17603</v>
      </c>
      <c r="L2167" t="s">
        <v>23</v>
      </c>
      <c r="M2167" t="s">
        <v>6150</v>
      </c>
      <c r="N2167" t="s">
        <v>6151</v>
      </c>
      <c r="O2167" t="s">
        <v>33</v>
      </c>
      <c r="P2167">
        <v>17603</v>
      </c>
      <c r="R2167" t="s">
        <v>23</v>
      </c>
      <c r="S2167" s="1" t="s">
        <v>34218</v>
      </c>
    </row>
    <row r="2168" spans="1:19" x14ac:dyDescent="0.25">
      <c r="A2168">
        <v>100919705</v>
      </c>
      <c r="B2168" t="s">
        <v>6152</v>
      </c>
      <c r="C2168" t="s">
        <v>6153</v>
      </c>
      <c r="F2168" t="str">
        <f>"6095551212"</f>
        <v>6095551212</v>
      </c>
      <c r="G2168" t="s">
        <v>6154</v>
      </c>
      <c r="H2168" t="s">
        <v>6155</v>
      </c>
      <c r="I2168" t="s">
        <v>250</v>
      </c>
      <c r="J2168">
        <v>8244</v>
      </c>
      <c r="L2168" t="s">
        <v>23</v>
      </c>
      <c r="M2168" t="s">
        <v>6154</v>
      </c>
      <c r="N2168" t="s">
        <v>6155</v>
      </c>
      <c r="O2168" t="s">
        <v>250</v>
      </c>
      <c r="P2168">
        <v>8244</v>
      </c>
      <c r="R2168" t="s">
        <v>23</v>
      </c>
      <c r="S2168" s="1" t="s">
        <v>34218</v>
      </c>
    </row>
    <row r="2169" spans="1:19" x14ac:dyDescent="0.25">
      <c r="A2169">
        <v>101377432</v>
      </c>
      <c r="B2169" t="s">
        <v>6156</v>
      </c>
      <c r="C2169" t="s">
        <v>180</v>
      </c>
      <c r="F2169" t="str">
        <f>"5123546038"</f>
        <v>5123546038</v>
      </c>
      <c r="G2169" t="s">
        <v>6157</v>
      </c>
      <c r="H2169" t="s">
        <v>37</v>
      </c>
      <c r="I2169" t="s">
        <v>38</v>
      </c>
      <c r="J2169">
        <v>78731</v>
      </c>
      <c r="K2169">
        <v>3082</v>
      </c>
      <c r="L2169" t="s">
        <v>23</v>
      </c>
      <c r="M2169" t="s">
        <v>6157</v>
      </c>
      <c r="N2169" t="s">
        <v>37</v>
      </c>
      <c r="O2169" t="s">
        <v>38</v>
      </c>
      <c r="P2169">
        <v>78731</v>
      </c>
      <c r="Q2169">
        <v>3082</v>
      </c>
      <c r="R2169" t="s">
        <v>23</v>
      </c>
      <c r="S2169" s="1" t="s">
        <v>34218</v>
      </c>
    </row>
    <row r="2170" spans="1:19" x14ac:dyDescent="0.25">
      <c r="A2170">
        <v>100518610</v>
      </c>
      <c r="B2170" t="s">
        <v>1941</v>
      </c>
      <c r="C2170" t="s">
        <v>1179</v>
      </c>
      <c r="F2170" t="str">
        <f>"4259853238"</f>
        <v>4259853238</v>
      </c>
      <c r="G2170" t="s">
        <v>6158</v>
      </c>
      <c r="H2170" t="s">
        <v>1019</v>
      </c>
      <c r="I2170" t="s">
        <v>84</v>
      </c>
      <c r="J2170">
        <v>98033</v>
      </c>
      <c r="K2170">
        <v>7373</v>
      </c>
      <c r="L2170" t="s">
        <v>23</v>
      </c>
      <c r="M2170" t="s">
        <v>6158</v>
      </c>
      <c r="N2170" t="s">
        <v>1019</v>
      </c>
      <c r="O2170" t="s">
        <v>84</v>
      </c>
      <c r="P2170">
        <v>98033</v>
      </c>
      <c r="Q2170">
        <v>7373</v>
      </c>
      <c r="R2170" t="s">
        <v>23</v>
      </c>
      <c r="S2170" s="1" t="s">
        <v>34218</v>
      </c>
    </row>
    <row r="2171" spans="1:19" x14ac:dyDescent="0.25">
      <c r="A2171">
        <v>101297159</v>
      </c>
      <c r="B2171" t="s">
        <v>6159</v>
      </c>
      <c r="C2171" t="s">
        <v>233</v>
      </c>
      <c r="F2171" t="str">
        <f>"2174877832"</f>
        <v>2174877832</v>
      </c>
      <c r="G2171">
        <v>62625</v>
      </c>
      <c r="H2171" t="s">
        <v>6160</v>
      </c>
      <c r="I2171" t="s">
        <v>135</v>
      </c>
      <c r="J2171">
        <v>62625</v>
      </c>
      <c r="L2171" t="s">
        <v>23</v>
      </c>
      <c r="M2171">
        <v>62625</v>
      </c>
      <c r="N2171" t="s">
        <v>6160</v>
      </c>
      <c r="O2171" t="s">
        <v>135</v>
      </c>
      <c r="P2171">
        <v>62625</v>
      </c>
      <c r="R2171" t="s">
        <v>23</v>
      </c>
      <c r="S2171" s="1" t="s">
        <v>34218</v>
      </c>
    </row>
    <row r="2172" spans="1:19" x14ac:dyDescent="0.25">
      <c r="A2172">
        <v>101273993</v>
      </c>
      <c r="B2172" t="s">
        <v>6161</v>
      </c>
      <c r="C2172" t="s">
        <v>6162</v>
      </c>
      <c r="F2172" t="str">
        <f>"6089213706"</f>
        <v>6089213706</v>
      </c>
      <c r="G2172" t="s">
        <v>6163</v>
      </c>
      <c r="H2172" t="s">
        <v>6164</v>
      </c>
      <c r="I2172" t="s">
        <v>100</v>
      </c>
      <c r="J2172">
        <v>53520</v>
      </c>
      <c r="K2172">
        <v>9573</v>
      </c>
      <c r="L2172" t="s">
        <v>23</v>
      </c>
      <c r="M2172" t="s">
        <v>6163</v>
      </c>
      <c r="N2172" t="s">
        <v>6164</v>
      </c>
      <c r="O2172" t="s">
        <v>100</v>
      </c>
      <c r="P2172">
        <v>53520</v>
      </c>
      <c r="Q2172">
        <v>9573</v>
      </c>
      <c r="R2172" t="s">
        <v>23</v>
      </c>
      <c r="S2172" s="1" t="s">
        <v>34218</v>
      </c>
    </row>
    <row r="2173" spans="1:19" x14ac:dyDescent="0.25">
      <c r="A2173">
        <v>101288049</v>
      </c>
      <c r="B2173" t="s">
        <v>6165</v>
      </c>
      <c r="C2173" t="s">
        <v>1873</v>
      </c>
      <c r="F2173" t="str">
        <f>"6026630919"</f>
        <v>6026630919</v>
      </c>
      <c r="G2173" t="s">
        <v>6166</v>
      </c>
      <c r="H2173" t="s">
        <v>682</v>
      </c>
      <c r="I2173" t="s">
        <v>365</v>
      </c>
      <c r="J2173">
        <v>85024</v>
      </c>
      <c r="K2173">
        <v>8600</v>
      </c>
      <c r="L2173" t="s">
        <v>23</v>
      </c>
      <c r="M2173" t="s">
        <v>6166</v>
      </c>
      <c r="N2173" t="s">
        <v>682</v>
      </c>
      <c r="O2173" t="s">
        <v>365</v>
      </c>
      <c r="P2173">
        <v>85024</v>
      </c>
      <c r="Q2173">
        <v>8600</v>
      </c>
      <c r="R2173" t="s">
        <v>23</v>
      </c>
      <c r="S2173" s="1" t="s">
        <v>34218</v>
      </c>
    </row>
    <row r="2174" spans="1:19" x14ac:dyDescent="0.25">
      <c r="A2174">
        <v>101289602</v>
      </c>
      <c r="B2174" t="s">
        <v>6167</v>
      </c>
      <c r="C2174" t="s">
        <v>911</v>
      </c>
      <c r="F2174" t="str">
        <f>"9703103583"</f>
        <v>9703103583</v>
      </c>
      <c r="G2174" t="s">
        <v>6168</v>
      </c>
      <c r="H2174" t="s">
        <v>529</v>
      </c>
      <c r="I2174" t="s">
        <v>71</v>
      </c>
      <c r="J2174">
        <v>80537</v>
      </c>
      <c r="K2174">
        <v>3301</v>
      </c>
      <c r="L2174" t="s">
        <v>23</v>
      </c>
      <c r="M2174" t="s">
        <v>6168</v>
      </c>
      <c r="N2174" t="s">
        <v>529</v>
      </c>
      <c r="O2174" t="s">
        <v>71</v>
      </c>
      <c r="P2174">
        <v>80537</v>
      </c>
      <c r="Q2174">
        <v>3301</v>
      </c>
      <c r="R2174" t="s">
        <v>23</v>
      </c>
      <c r="S2174" s="1" t="s">
        <v>34218</v>
      </c>
    </row>
    <row r="2175" spans="1:19" x14ac:dyDescent="0.25">
      <c r="A2175">
        <v>101300165</v>
      </c>
      <c r="B2175" t="s">
        <v>4477</v>
      </c>
      <c r="C2175" t="s">
        <v>6169</v>
      </c>
      <c r="F2175" t="str">
        <f>"8048733752"</f>
        <v>8048733752</v>
      </c>
      <c r="G2175" t="s">
        <v>6170</v>
      </c>
      <c r="H2175" t="s">
        <v>6171</v>
      </c>
      <c r="I2175" t="s">
        <v>255</v>
      </c>
      <c r="J2175">
        <v>23238</v>
      </c>
      <c r="K2175">
        <v>5224</v>
      </c>
      <c r="L2175" t="s">
        <v>23</v>
      </c>
      <c r="M2175" t="s">
        <v>6170</v>
      </c>
      <c r="N2175" t="s">
        <v>6171</v>
      </c>
      <c r="O2175" t="s">
        <v>255</v>
      </c>
      <c r="P2175">
        <v>23238</v>
      </c>
      <c r="Q2175">
        <v>5224</v>
      </c>
      <c r="R2175" t="s">
        <v>23</v>
      </c>
      <c r="S2175" s="1" t="s">
        <v>34218</v>
      </c>
    </row>
    <row r="2176" spans="1:19" x14ac:dyDescent="0.25">
      <c r="A2176">
        <v>101206757</v>
      </c>
      <c r="B2176" t="s">
        <v>6172</v>
      </c>
      <c r="C2176" t="s">
        <v>406</v>
      </c>
      <c r="F2176" t="str">
        <f>"5105061549"</f>
        <v>5105061549</v>
      </c>
      <c r="G2176" t="s">
        <v>6173</v>
      </c>
      <c r="H2176" t="s">
        <v>6174</v>
      </c>
      <c r="I2176" t="s">
        <v>22</v>
      </c>
      <c r="J2176">
        <v>94552</v>
      </c>
      <c r="K2176">
        <v>1708</v>
      </c>
      <c r="L2176" t="s">
        <v>23</v>
      </c>
      <c r="M2176" t="s">
        <v>6173</v>
      </c>
      <c r="N2176" t="s">
        <v>6174</v>
      </c>
      <c r="O2176" t="s">
        <v>22</v>
      </c>
      <c r="P2176">
        <v>94552</v>
      </c>
      <c r="Q2176">
        <v>1708</v>
      </c>
      <c r="R2176" t="s">
        <v>23</v>
      </c>
      <c r="S2176" s="1" t="s">
        <v>34218</v>
      </c>
    </row>
    <row r="2177" spans="1:19" x14ac:dyDescent="0.25">
      <c r="A2177">
        <v>101215133</v>
      </c>
      <c r="B2177" t="s">
        <v>6175</v>
      </c>
      <c r="C2177" t="s">
        <v>846</v>
      </c>
      <c r="F2177" t="str">
        <f>"3604355455"</f>
        <v>3604355455</v>
      </c>
      <c r="G2177" t="s">
        <v>6176</v>
      </c>
      <c r="H2177" t="s">
        <v>1748</v>
      </c>
      <c r="I2177" t="s">
        <v>84</v>
      </c>
      <c r="J2177">
        <v>98223</v>
      </c>
      <c r="K2177">
        <v>8677</v>
      </c>
      <c r="L2177" t="s">
        <v>23</v>
      </c>
      <c r="M2177" t="s">
        <v>6176</v>
      </c>
      <c r="N2177" t="s">
        <v>1748</v>
      </c>
      <c r="O2177" t="s">
        <v>84</v>
      </c>
      <c r="P2177">
        <v>98223</v>
      </c>
      <c r="Q2177">
        <v>8677</v>
      </c>
      <c r="R2177" t="s">
        <v>23</v>
      </c>
      <c r="S2177" s="1" t="s">
        <v>34218</v>
      </c>
    </row>
    <row r="2178" spans="1:19" x14ac:dyDescent="0.25">
      <c r="A2178">
        <v>101031995</v>
      </c>
      <c r="B2178" t="s">
        <v>6177</v>
      </c>
      <c r="C2178" t="s">
        <v>1647</v>
      </c>
      <c r="F2178" t="str">
        <f>"4082966605"</f>
        <v>4082966605</v>
      </c>
      <c r="G2178" t="s">
        <v>6178</v>
      </c>
      <c r="H2178" t="s">
        <v>360</v>
      </c>
      <c r="I2178" t="s">
        <v>22</v>
      </c>
      <c r="J2178">
        <v>94086</v>
      </c>
      <c r="K2178">
        <v>8255</v>
      </c>
      <c r="L2178" t="s">
        <v>23</v>
      </c>
      <c r="M2178" t="s">
        <v>6178</v>
      </c>
      <c r="N2178" t="s">
        <v>360</v>
      </c>
      <c r="O2178" t="s">
        <v>22</v>
      </c>
      <c r="P2178">
        <v>94086</v>
      </c>
      <c r="Q2178">
        <v>8255</v>
      </c>
      <c r="R2178" t="s">
        <v>23</v>
      </c>
      <c r="S2178" s="1" t="s">
        <v>34218</v>
      </c>
    </row>
    <row r="2179" spans="1:19" x14ac:dyDescent="0.25">
      <c r="A2179">
        <v>101239641</v>
      </c>
      <c r="B2179" t="s">
        <v>6179</v>
      </c>
      <c r="C2179" t="s">
        <v>406</v>
      </c>
      <c r="F2179" t="str">
        <f>"8059656941"</f>
        <v>8059656941</v>
      </c>
      <c r="G2179" t="s">
        <v>6180</v>
      </c>
      <c r="H2179" t="s">
        <v>174</v>
      </c>
      <c r="I2179" t="s">
        <v>22</v>
      </c>
      <c r="J2179">
        <v>93105</v>
      </c>
      <c r="K2179">
        <v>2336</v>
      </c>
      <c r="L2179" t="s">
        <v>23</v>
      </c>
      <c r="M2179" t="s">
        <v>6180</v>
      </c>
      <c r="N2179" t="s">
        <v>174</v>
      </c>
      <c r="O2179" t="s">
        <v>22</v>
      </c>
      <c r="P2179">
        <v>93105</v>
      </c>
      <c r="Q2179">
        <v>2336</v>
      </c>
      <c r="R2179" t="s">
        <v>23</v>
      </c>
      <c r="S2179" s="1" t="s">
        <v>34218</v>
      </c>
    </row>
    <row r="2180" spans="1:19" x14ac:dyDescent="0.25">
      <c r="A2180">
        <v>101349309</v>
      </c>
      <c r="B2180" t="s">
        <v>308</v>
      </c>
      <c r="C2180" t="s">
        <v>1422</v>
      </c>
      <c r="F2180" t="str">
        <f>"8452526651"</f>
        <v>8452526651</v>
      </c>
      <c r="G2180" t="s">
        <v>6181</v>
      </c>
      <c r="H2180" t="s">
        <v>6182</v>
      </c>
      <c r="I2180" t="s">
        <v>117</v>
      </c>
      <c r="J2180">
        <v>12764</v>
      </c>
      <c r="K2180">
        <v>5319</v>
      </c>
      <c r="L2180" t="s">
        <v>23</v>
      </c>
      <c r="M2180" t="s">
        <v>6181</v>
      </c>
      <c r="N2180" t="s">
        <v>6182</v>
      </c>
      <c r="O2180" t="s">
        <v>117</v>
      </c>
      <c r="P2180">
        <v>12764</v>
      </c>
      <c r="Q2180">
        <v>5319</v>
      </c>
      <c r="R2180" t="s">
        <v>23</v>
      </c>
      <c r="S2180" s="1" t="s">
        <v>34218</v>
      </c>
    </row>
    <row r="2181" spans="1:19" x14ac:dyDescent="0.25">
      <c r="A2181">
        <v>101350380</v>
      </c>
      <c r="B2181" t="s">
        <v>6183</v>
      </c>
      <c r="C2181" t="s">
        <v>403</v>
      </c>
      <c r="F2181" t="str">
        <f>"8286845005"</f>
        <v>8286845005</v>
      </c>
      <c r="G2181" t="s">
        <v>6184</v>
      </c>
      <c r="H2181" t="s">
        <v>6185</v>
      </c>
      <c r="I2181" t="s">
        <v>446</v>
      </c>
      <c r="J2181">
        <v>28704</v>
      </c>
      <c r="K2181">
        <v>2614</v>
      </c>
      <c r="L2181" t="s">
        <v>23</v>
      </c>
      <c r="M2181" t="s">
        <v>6184</v>
      </c>
      <c r="N2181" t="s">
        <v>6185</v>
      </c>
      <c r="O2181" t="s">
        <v>446</v>
      </c>
      <c r="P2181">
        <v>28704</v>
      </c>
      <c r="Q2181">
        <v>2614</v>
      </c>
      <c r="R2181" t="s">
        <v>23</v>
      </c>
      <c r="S2181" s="1" t="s">
        <v>34218</v>
      </c>
    </row>
    <row r="2182" spans="1:19" x14ac:dyDescent="0.25">
      <c r="A2182">
        <v>101297209</v>
      </c>
      <c r="B2182" t="s">
        <v>6186</v>
      </c>
      <c r="C2182" t="s">
        <v>6187</v>
      </c>
      <c r="F2182" t="str">
        <f>"4136232085"</f>
        <v>4136232085</v>
      </c>
      <c r="G2182" t="s">
        <v>6188</v>
      </c>
      <c r="H2182" t="s">
        <v>6189</v>
      </c>
      <c r="I2182" t="s">
        <v>236</v>
      </c>
      <c r="J2182">
        <v>1223</v>
      </c>
      <c r="K2182">
        <v>3632</v>
      </c>
      <c r="L2182" t="s">
        <v>23</v>
      </c>
      <c r="M2182" t="s">
        <v>6188</v>
      </c>
      <c r="N2182" t="s">
        <v>6189</v>
      </c>
      <c r="O2182" t="s">
        <v>236</v>
      </c>
      <c r="P2182">
        <v>1223</v>
      </c>
      <c r="Q2182">
        <v>3632</v>
      </c>
      <c r="R2182" t="s">
        <v>23</v>
      </c>
      <c r="S2182" s="1" t="s">
        <v>34218</v>
      </c>
    </row>
    <row r="2183" spans="1:19" x14ac:dyDescent="0.25">
      <c r="A2183">
        <v>101337438</v>
      </c>
      <c r="B2183" t="s">
        <v>6190</v>
      </c>
      <c r="C2183" t="s">
        <v>382</v>
      </c>
      <c r="F2183" t="str">
        <f>"7189975000"</f>
        <v>7189975000</v>
      </c>
      <c r="G2183" t="s">
        <v>6191</v>
      </c>
      <c r="H2183" t="s">
        <v>6192</v>
      </c>
      <c r="I2183" t="s">
        <v>117</v>
      </c>
      <c r="J2183">
        <v>11367</v>
      </c>
      <c r="L2183" t="s">
        <v>23</v>
      </c>
      <c r="M2183" t="s">
        <v>6191</v>
      </c>
      <c r="N2183" t="s">
        <v>6192</v>
      </c>
      <c r="O2183" t="s">
        <v>117</v>
      </c>
      <c r="P2183">
        <v>11367</v>
      </c>
      <c r="R2183" t="s">
        <v>23</v>
      </c>
      <c r="S2183" s="1" t="s">
        <v>34218</v>
      </c>
    </row>
    <row r="2184" spans="1:19" x14ac:dyDescent="0.25">
      <c r="A2184">
        <v>101146090</v>
      </c>
      <c r="B2184" t="s">
        <v>6193</v>
      </c>
      <c r="C2184" t="s">
        <v>1120</v>
      </c>
      <c r="F2184" t="str">
        <f>"4159101907"</f>
        <v>4159101907</v>
      </c>
      <c r="G2184" t="s">
        <v>6194</v>
      </c>
      <c r="H2184" t="s">
        <v>1535</v>
      </c>
      <c r="I2184" t="s">
        <v>22</v>
      </c>
      <c r="J2184">
        <v>94941</v>
      </c>
      <c r="K2184">
        <v>3804</v>
      </c>
      <c r="L2184" t="s">
        <v>23</v>
      </c>
      <c r="M2184" t="s">
        <v>6194</v>
      </c>
      <c r="N2184" t="s">
        <v>1535</v>
      </c>
      <c r="O2184" t="s">
        <v>22</v>
      </c>
      <c r="P2184">
        <v>94941</v>
      </c>
      <c r="Q2184">
        <v>3804</v>
      </c>
      <c r="R2184" t="s">
        <v>23</v>
      </c>
      <c r="S2184" s="1" t="s">
        <v>34218</v>
      </c>
    </row>
    <row r="2185" spans="1:19" x14ac:dyDescent="0.25">
      <c r="A2185">
        <v>101145685</v>
      </c>
      <c r="B2185" t="s">
        <v>6195</v>
      </c>
      <c r="C2185" t="s">
        <v>6196</v>
      </c>
      <c r="F2185" t="str">
        <f>"5036253882"</f>
        <v>5036253882</v>
      </c>
      <c r="G2185" t="s">
        <v>6197</v>
      </c>
      <c r="H2185" t="s">
        <v>620</v>
      </c>
      <c r="I2185" t="s">
        <v>43</v>
      </c>
      <c r="J2185">
        <v>97140</v>
      </c>
      <c r="K2185">
        <v>8221</v>
      </c>
      <c r="L2185" t="s">
        <v>23</v>
      </c>
      <c r="M2185" t="s">
        <v>6197</v>
      </c>
      <c r="N2185" t="s">
        <v>620</v>
      </c>
      <c r="O2185" t="s">
        <v>43</v>
      </c>
      <c r="P2185">
        <v>97140</v>
      </c>
      <c r="Q2185">
        <v>8221</v>
      </c>
      <c r="R2185" t="s">
        <v>23</v>
      </c>
      <c r="S2185" s="1" t="s">
        <v>34218</v>
      </c>
    </row>
    <row r="2186" spans="1:19" x14ac:dyDescent="0.25">
      <c r="A2186">
        <v>101385238</v>
      </c>
      <c r="B2186" t="s">
        <v>6198</v>
      </c>
      <c r="C2186" t="s">
        <v>1374</v>
      </c>
      <c r="F2186" t="str">
        <f>"5103371383"</f>
        <v>5103371383</v>
      </c>
      <c r="G2186" t="s">
        <v>6199</v>
      </c>
      <c r="H2186" t="s">
        <v>705</v>
      </c>
      <c r="I2186" t="s">
        <v>22</v>
      </c>
      <c r="J2186">
        <v>94501</v>
      </c>
      <c r="K2186">
        <v>4706</v>
      </c>
      <c r="L2186" t="s">
        <v>23</v>
      </c>
      <c r="M2186" t="s">
        <v>6199</v>
      </c>
      <c r="N2186" t="s">
        <v>705</v>
      </c>
      <c r="O2186" t="s">
        <v>22</v>
      </c>
      <c r="P2186">
        <v>94501</v>
      </c>
      <c r="Q2186">
        <v>4706</v>
      </c>
      <c r="R2186" t="s">
        <v>23</v>
      </c>
      <c r="S2186" s="1" t="s">
        <v>34218</v>
      </c>
    </row>
    <row r="2187" spans="1:19" x14ac:dyDescent="0.25">
      <c r="A2187">
        <v>101417261</v>
      </c>
      <c r="B2187" t="s">
        <v>744</v>
      </c>
      <c r="C2187" t="s">
        <v>6200</v>
      </c>
      <c r="F2187" t="str">
        <f>"3392242183"</f>
        <v>3392242183</v>
      </c>
      <c r="G2187" t="s">
        <v>6201</v>
      </c>
      <c r="H2187" t="s">
        <v>6202</v>
      </c>
      <c r="I2187" t="s">
        <v>178</v>
      </c>
      <c r="J2187">
        <v>45212</v>
      </c>
      <c r="K2187">
        <v>2810</v>
      </c>
      <c r="L2187" t="s">
        <v>23</v>
      </c>
      <c r="M2187" t="s">
        <v>6201</v>
      </c>
      <c r="N2187" t="s">
        <v>6202</v>
      </c>
      <c r="O2187" t="s">
        <v>178</v>
      </c>
      <c r="P2187">
        <v>45212</v>
      </c>
      <c r="Q2187">
        <v>2810</v>
      </c>
      <c r="R2187" t="s">
        <v>23</v>
      </c>
      <c r="S2187" s="1" t="s">
        <v>34218</v>
      </c>
    </row>
    <row r="2188" spans="1:19" x14ac:dyDescent="0.25">
      <c r="A2188">
        <v>101340440</v>
      </c>
      <c r="B2188" t="s">
        <v>6203</v>
      </c>
      <c r="C2188" t="s">
        <v>4245</v>
      </c>
      <c r="F2188" t="str">
        <f>"9419799409"</f>
        <v>9419799409</v>
      </c>
      <c r="G2188" t="s">
        <v>6204</v>
      </c>
      <c r="H2188" t="s">
        <v>2963</v>
      </c>
      <c r="I2188" t="s">
        <v>52</v>
      </c>
      <c r="J2188">
        <v>33980</v>
      </c>
      <c r="K2188">
        <v>5534</v>
      </c>
      <c r="L2188" t="s">
        <v>23</v>
      </c>
      <c r="M2188" t="s">
        <v>6204</v>
      </c>
      <c r="N2188" t="s">
        <v>2963</v>
      </c>
      <c r="O2188" t="s">
        <v>52</v>
      </c>
      <c r="P2188">
        <v>33980</v>
      </c>
      <c r="Q2188">
        <v>5534</v>
      </c>
      <c r="R2188" t="s">
        <v>23</v>
      </c>
      <c r="S2188" s="1" t="s">
        <v>34218</v>
      </c>
    </row>
    <row r="2189" spans="1:19" x14ac:dyDescent="0.25">
      <c r="A2189">
        <v>101347297</v>
      </c>
      <c r="B2189" t="s">
        <v>2486</v>
      </c>
      <c r="C2189" t="s">
        <v>6205</v>
      </c>
      <c r="F2189" t="str">
        <f>"5416875648"</f>
        <v>5416875648</v>
      </c>
      <c r="G2189" t="s">
        <v>6206</v>
      </c>
      <c r="H2189" t="s">
        <v>1452</v>
      </c>
      <c r="I2189" t="s">
        <v>43</v>
      </c>
      <c r="J2189">
        <v>97403</v>
      </c>
      <c r="K2189">
        <v>1866</v>
      </c>
      <c r="L2189" t="s">
        <v>23</v>
      </c>
      <c r="M2189" t="s">
        <v>6206</v>
      </c>
      <c r="N2189" t="s">
        <v>1452</v>
      </c>
      <c r="O2189" t="s">
        <v>43</v>
      </c>
      <c r="P2189">
        <v>97403</v>
      </c>
      <c r="Q2189">
        <v>1866</v>
      </c>
      <c r="R2189" t="s">
        <v>23</v>
      </c>
      <c r="S2189" s="1" t="s">
        <v>34218</v>
      </c>
    </row>
    <row r="2190" spans="1:19" x14ac:dyDescent="0.25">
      <c r="A2190">
        <v>100790923</v>
      </c>
      <c r="B2190" t="s">
        <v>6207</v>
      </c>
      <c r="C2190" t="s">
        <v>894</v>
      </c>
      <c r="F2190" t="str">
        <f>"5415551234"</f>
        <v>5415551234</v>
      </c>
      <c r="G2190" t="s">
        <v>6208</v>
      </c>
      <c r="H2190" t="s">
        <v>2762</v>
      </c>
      <c r="I2190" t="s">
        <v>43</v>
      </c>
      <c r="J2190">
        <v>97439</v>
      </c>
      <c r="K2190">
        <v>7627</v>
      </c>
      <c r="L2190" t="s">
        <v>23</v>
      </c>
      <c r="M2190" t="s">
        <v>6208</v>
      </c>
      <c r="N2190" t="s">
        <v>2762</v>
      </c>
      <c r="O2190" t="s">
        <v>43</v>
      </c>
      <c r="P2190">
        <v>97439</v>
      </c>
      <c r="Q2190">
        <v>7627</v>
      </c>
      <c r="R2190" t="s">
        <v>23</v>
      </c>
      <c r="S2190" s="1" t="s">
        <v>34218</v>
      </c>
    </row>
    <row r="2191" spans="1:19" x14ac:dyDescent="0.25">
      <c r="A2191">
        <v>100989442</v>
      </c>
      <c r="B2191" t="s">
        <v>6209</v>
      </c>
      <c r="C2191" t="s">
        <v>2062</v>
      </c>
      <c r="F2191" t="str">
        <f>"2153481116"</f>
        <v>2153481116</v>
      </c>
      <c r="G2191" t="s">
        <v>6210</v>
      </c>
      <c r="H2191" t="s">
        <v>6211</v>
      </c>
      <c r="I2191" t="s">
        <v>33</v>
      </c>
      <c r="J2191">
        <v>18901</v>
      </c>
      <c r="K2191">
        <v>2616</v>
      </c>
      <c r="L2191" t="s">
        <v>23</v>
      </c>
      <c r="M2191" t="s">
        <v>6210</v>
      </c>
      <c r="N2191" t="s">
        <v>6211</v>
      </c>
      <c r="O2191" t="s">
        <v>33</v>
      </c>
      <c r="P2191">
        <v>18901</v>
      </c>
      <c r="Q2191">
        <v>2616</v>
      </c>
      <c r="R2191" t="s">
        <v>23</v>
      </c>
      <c r="S2191" s="1" t="s">
        <v>34218</v>
      </c>
    </row>
    <row r="2192" spans="1:19" x14ac:dyDescent="0.25">
      <c r="A2192">
        <v>100919359</v>
      </c>
      <c r="B2192" t="s">
        <v>6212</v>
      </c>
      <c r="C2192" t="s">
        <v>5836</v>
      </c>
      <c r="F2192" t="str">
        <f>"5129040899"</f>
        <v>5129040899</v>
      </c>
      <c r="G2192" t="s">
        <v>6213</v>
      </c>
      <c r="H2192" t="s">
        <v>37</v>
      </c>
      <c r="I2192" t="s">
        <v>38</v>
      </c>
      <c r="J2192">
        <v>78704</v>
      </c>
      <c r="K2192">
        <v>6075</v>
      </c>
      <c r="L2192" t="s">
        <v>23</v>
      </c>
      <c r="M2192" t="s">
        <v>6213</v>
      </c>
      <c r="N2192" t="s">
        <v>37</v>
      </c>
      <c r="O2192" t="s">
        <v>38</v>
      </c>
      <c r="P2192">
        <v>78704</v>
      </c>
      <c r="Q2192">
        <v>6075</v>
      </c>
      <c r="R2192" t="s">
        <v>23</v>
      </c>
      <c r="S2192" s="1" t="s">
        <v>34218</v>
      </c>
    </row>
    <row r="2193" spans="1:19" x14ac:dyDescent="0.25">
      <c r="A2193">
        <v>100689731</v>
      </c>
      <c r="B2193" t="s">
        <v>3494</v>
      </c>
      <c r="C2193" t="s">
        <v>6214</v>
      </c>
      <c r="F2193" t="str">
        <f>"5033876986"</f>
        <v>5033876986</v>
      </c>
      <c r="G2193" t="s">
        <v>6215</v>
      </c>
      <c r="H2193" t="s">
        <v>1877</v>
      </c>
      <c r="I2193" t="s">
        <v>43</v>
      </c>
      <c r="J2193">
        <v>97301</v>
      </c>
      <c r="K2193">
        <v>4124</v>
      </c>
      <c r="L2193" t="s">
        <v>23</v>
      </c>
      <c r="M2193" t="s">
        <v>6215</v>
      </c>
      <c r="N2193" t="s">
        <v>1877</v>
      </c>
      <c r="O2193" t="s">
        <v>43</v>
      </c>
      <c r="P2193">
        <v>97301</v>
      </c>
      <c r="Q2193">
        <v>4124</v>
      </c>
      <c r="R2193" t="s">
        <v>23</v>
      </c>
      <c r="S2193" s="1" t="s">
        <v>34218</v>
      </c>
    </row>
    <row r="2194" spans="1:19" x14ac:dyDescent="0.25">
      <c r="A2194">
        <v>101084155</v>
      </c>
      <c r="B2194" t="s">
        <v>4170</v>
      </c>
      <c r="C2194" t="s">
        <v>2411</v>
      </c>
      <c r="F2194" t="str">
        <f>"5122284243"</f>
        <v>5122284243</v>
      </c>
      <c r="G2194" t="s">
        <v>6216</v>
      </c>
      <c r="H2194" t="s">
        <v>37</v>
      </c>
      <c r="I2194" t="s">
        <v>38</v>
      </c>
      <c r="J2194">
        <v>78751</v>
      </c>
      <c r="K2194">
        <v>4236</v>
      </c>
      <c r="L2194" t="s">
        <v>23</v>
      </c>
      <c r="M2194" t="s">
        <v>6216</v>
      </c>
      <c r="N2194" t="s">
        <v>37</v>
      </c>
      <c r="O2194" t="s">
        <v>38</v>
      </c>
      <c r="P2194">
        <v>78751</v>
      </c>
      <c r="Q2194">
        <v>4236</v>
      </c>
      <c r="R2194" t="s">
        <v>23</v>
      </c>
      <c r="S2194" s="1" t="s">
        <v>34218</v>
      </c>
    </row>
    <row r="2195" spans="1:19" x14ac:dyDescent="0.25">
      <c r="A2195">
        <v>101327166</v>
      </c>
      <c r="B2195" t="s">
        <v>6217</v>
      </c>
      <c r="C2195" t="s">
        <v>6218</v>
      </c>
      <c r="F2195" t="str">
        <f>"8053676559"</f>
        <v>8053676559</v>
      </c>
      <c r="G2195" t="s">
        <v>6219</v>
      </c>
      <c r="H2195" t="s">
        <v>83</v>
      </c>
      <c r="I2195" t="s">
        <v>84</v>
      </c>
      <c r="J2195">
        <v>98221</v>
      </c>
      <c r="K2195">
        <v>9086</v>
      </c>
      <c r="L2195" t="s">
        <v>23</v>
      </c>
      <c r="M2195" t="s">
        <v>6219</v>
      </c>
      <c r="N2195" t="s">
        <v>83</v>
      </c>
      <c r="O2195" t="s">
        <v>84</v>
      </c>
      <c r="P2195">
        <v>98221</v>
      </c>
      <c r="Q2195">
        <v>9086</v>
      </c>
      <c r="R2195" t="s">
        <v>23</v>
      </c>
      <c r="S2195" s="1" t="s">
        <v>34218</v>
      </c>
    </row>
    <row r="2196" spans="1:19" x14ac:dyDescent="0.25">
      <c r="A2196">
        <v>101217955</v>
      </c>
      <c r="B2196" t="s">
        <v>6220</v>
      </c>
      <c r="C2196" t="s">
        <v>102</v>
      </c>
      <c r="F2196" t="str">
        <f>"2199283324"</f>
        <v>2199283324</v>
      </c>
      <c r="G2196" t="s">
        <v>6221</v>
      </c>
      <c r="H2196" t="s">
        <v>500</v>
      </c>
      <c r="I2196" t="s">
        <v>57</v>
      </c>
      <c r="J2196">
        <v>46304</v>
      </c>
      <c r="K2196">
        <v>2556</v>
      </c>
      <c r="L2196" t="s">
        <v>23</v>
      </c>
      <c r="M2196" t="s">
        <v>6221</v>
      </c>
      <c r="N2196" t="s">
        <v>500</v>
      </c>
      <c r="O2196" t="s">
        <v>57</v>
      </c>
      <c r="P2196">
        <v>46304</v>
      </c>
      <c r="Q2196">
        <v>2556</v>
      </c>
      <c r="R2196" t="s">
        <v>23</v>
      </c>
      <c r="S2196" s="1" t="s">
        <v>34218</v>
      </c>
    </row>
    <row r="2197" spans="1:19" x14ac:dyDescent="0.25">
      <c r="A2197">
        <v>101381751</v>
      </c>
      <c r="B2197" t="s">
        <v>6222</v>
      </c>
      <c r="C2197" t="s">
        <v>1327</v>
      </c>
      <c r="F2197" t="str">
        <f>"8657552799"</f>
        <v>8657552799</v>
      </c>
      <c r="G2197" t="s">
        <v>6223</v>
      </c>
      <c r="H2197" t="s">
        <v>6224</v>
      </c>
      <c r="I2197" t="s">
        <v>914</v>
      </c>
      <c r="J2197">
        <v>37934</v>
      </c>
      <c r="K2197">
        <v>7004</v>
      </c>
      <c r="L2197" t="s">
        <v>23</v>
      </c>
      <c r="M2197" t="s">
        <v>6223</v>
      </c>
      <c r="N2197" t="s">
        <v>6224</v>
      </c>
      <c r="O2197" t="s">
        <v>914</v>
      </c>
      <c r="P2197">
        <v>37934</v>
      </c>
      <c r="Q2197">
        <v>7004</v>
      </c>
      <c r="R2197" t="s">
        <v>23</v>
      </c>
      <c r="S2197" s="1" t="s">
        <v>34218</v>
      </c>
    </row>
    <row r="2198" spans="1:19" x14ac:dyDescent="0.25">
      <c r="A2198">
        <v>101130550</v>
      </c>
      <c r="B2198" t="s">
        <v>6225</v>
      </c>
      <c r="C2198" t="s">
        <v>6226</v>
      </c>
      <c r="F2198" t="str">
        <f>"3203638760"</f>
        <v>3203638760</v>
      </c>
      <c r="G2198" t="s">
        <v>6227</v>
      </c>
      <c r="H2198" t="s">
        <v>4929</v>
      </c>
      <c r="I2198" t="s">
        <v>187</v>
      </c>
      <c r="J2198">
        <v>56310</v>
      </c>
      <c r="K2198">
        <v>9636</v>
      </c>
      <c r="L2198" t="s">
        <v>23</v>
      </c>
      <c r="M2198" t="s">
        <v>6227</v>
      </c>
      <c r="N2198" t="s">
        <v>4929</v>
      </c>
      <c r="O2198" t="s">
        <v>187</v>
      </c>
      <c r="P2198">
        <v>56310</v>
      </c>
      <c r="Q2198">
        <v>9636</v>
      </c>
      <c r="R2198" t="s">
        <v>23</v>
      </c>
      <c r="S2198" s="1" t="s">
        <v>34218</v>
      </c>
    </row>
    <row r="2199" spans="1:19" x14ac:dyDescent="0.25">
      <c r="A2199">
        <v>101182437</v>
      </c>
      <c r="B2199" t="s">
        <v>6228</v>
      </c>
      <c r="C2199" t="s">
        <v>1107</v>
      </c>
      <c r="F2199" t="str">
        <f>"9725423044"</f>
        <v>9725423044</v>
      </c>
      <c r="G2199" t="s">
        <v>6229</v>
      </c>
      <c r="H2199" t="s">
        <v>6230</v>
      </c>
      <c r="I2199" t="s">
        <v>1387</v>
      </c>
      <c r="J2199">
        <v>36693</v>
      </c>
      <c r="K2199">
        <v>3466</v>
      </c>
      <c r="L2199" t="s">
        <v>23</v>
      </c>
      <c r="M2199" t="s">
        <v>6229</v>
      </c>
      <c r="N2199" t="s">
        <v>6230</v>
      </c>
      <c r="O2199" t="s">
        <v>1387</v>
      </c>
      <c r="P2199">
        <v>36693</v>
      </c>
      <c r="Q2199">
        <v>3466</v>
      </c>
      <c r="R2199" t="s">
        <v>23</v>
      </c>
      <c r="S2199" s="1" t="s">
        <v>34218</v>
      </c>
    </row>
    <row r="2200" spans="1:19" x14ac:dyDescent="0.25">
      <c r="A2200">
        <v>101111198</v>
      </c>
      <c r="B2200" t="s">
        <v>654</v>
      </c>
      <c r="C2200" t="s">
        <v>403</v>
      </c>
      <c r="F2200" t="str">
        <f>"5713308468"</f>
        <v>5713308468</v>
      </c>
      <c r="G2200" t="s">
        <v>6231</v>
      </c>
      <c r="H2200" t="s">
        <v>3466</v>
      </c>
      <c r="I2200" t="s">
        <v>255</v>
      </c>
      <c r="J2200">
        <v>23223</v>
      </c>
      <c r="K2200">
        <v>7881</v>
      </c>
      <c r="L2200" t="s">
        <v>23</v>
      </c>
      <c r="M2200" t="s">
        <v>6231</v>
      </c>
      <c r="N2200" t="s">
        <v>3466</v>
      </c>
      <c r="O2200" t="s">
        <v>255</v>
      </c>
      <c r="P2200">
        <v>23223</v>
      </c>
      <c r="Q2200">
        <v>7881</v>
      </c>
      <c r="R2200" t="s">
        <v>23</v>
      </c>
      <c r="S2200" s="1" t="s">
        <v>34218</v>
      </c>
    </row>
    <row r="2201" spans="1:19" x14ac:dyDescent="0.25">
      <c r="A2201">
        <v>101111393</v>
      </c>
      <c r="B2201" t="s">
        <v>6232</v>
      </c>
      <c r="C2201" t="s">
        <v>3376</v>
      </c>
      <c r="F2201" t="str">
        <f>"6185551212"</f>
        <v>6185551212</v>
      </c>
      <c r="G2201" t="s">
        <v>6233</v>
      </c>
      <c r="H2201" t="s">
        <v>6234</v>
      </c>
      <c r="I2201" t="s">
        <v>135</v>
      </c>
      <c r="J2201">
        <v>62040</v>
      </c>
      <c r="K2201">
        <v>5614</v>
      </c>
      <c r="L2201" t="s">
        <v>23</v>
      </c>
      <c r="M2201" t="s">
        <v>6233</v>
      </c>
      <c r="N2201" t="s">
        <v>6234</v>
      </c>
      <c r="O2201" t="s">
        <v>135</v>
      </c>
      <c r="P2201">
        <v>62040</v>
      </c>
      <c r="Q2201">
        <v>5614</v>
      </c>
      <c r="R2201" t="s">
        <v>23</v>
      </c>
      <c r="S2201" s="1" t="s">
        <v>34218</v>
      </c>
    </row>
    <row r="2202" spans="1:19" x14ac:dyDescent="0.25">
      <c r="A2202">
        <v>101357381</v>
      </c>
      <c r="B2202" t="s">
        <v>5642</v>
      </c>
      <c r="C2202" t="s">
        <v>114</v>
      </c>
      <c r="F2202" t="str">
        <f>"7406881668"</f>
        <v>7406881668</v>
      </c>
      <c r="G2202" t="s">
        <v>6235</v>
      </c>
      <c r="H2202" t="s">
        <v>6236</v>
      </c>
      <c r="I2202" t="s">
        <v>178</v>
      </c>
      <c r="J2202">
        <v>45651</v>
      </c>
      <c r="K2202">
        <v>8854</v>
      </c>
      <c r="L2202" t="s">
        <v>23</v>
      </c>
      <c r="M2202" t="s">
        <v>6235</v>
      </c>
      <c r="N2202" t="s">
        <v>6236</v>
      </c>
      <c r="O2202" t="s">
        <v>178</v>
      </c>
      <c r="P2202">
        <v>45651</v>
      </c>
      <c r="Q2202">
        <v>8854</v>
      </c>
      <c r="R2202" t="s">
        <v>23</v>
      </c>
      <c r="S2202" s="1" t="s">
        <v>34218</v>
      </c>
    </row>
    <row r="2203" spans="1:19" x14ac:dyDescent="0.25">
      <c r="A2203">
        <v>100983875</v>
      </c>
      <c r="B2203" t="s">
        <v>6237</v>
      </c>
      <c r="C2203" t="s">
        <v>6238</v>
      </c>
      <c r="F2203" t="str">
        <f>"6516362980"</f>
        <v>6516362980</v>
      </c>
      <c r="G2203" t="s">
        <v>6239</v>
      </c>
      <c r="H2203" t="s">
        <v>6240</v>
      </c>
      <c r="I2203" t="s">
        <v>187</v>
      </c>
      <c r="J2203">
        <v>55112</v>
      </c>
      <c r="K2203">
        <v>2662</v>
      </c>
      <c r="L2203" t="s">
        <v>23</v>
      </c>
      <c r="M2203" t="s">
        <v>6239</v>
      </c>
      <c r="N2203" t="s">
        <v>6240</v>
      </c>
      <c r="O2203" t="s">
        <v>187</v>
      </c>
      <c r="P2203">
        <v>55112</v>
      </c>
      <c r="Q2203">
        <v>2662</v>
      </c>
      <c r="R2203" t="s">
        <v>23</v>
      </c>
      <c r="S2203" s="1" t="s">
        <v>34218</v>
      </c>
    </row>
    <row r="2204" spans="1:19" x14ac:dyDescent="0.25">
      <c r="A2204">
        <v>101195392</v>
      </c>
      <c r="B2204" t="s">
        <v>6241</v>
      </c>
      <c r="C2204" t="s">
        <v>6242</v>
      </c>
      <c r="F2204" t="str">
        <f>"3104559352"</f>
        <v>3104559352</v>
      </c>
      <c r="G2204" t="s">
        <v>6243</v>
      </c>
      <c r="H2204" t="s">
        <v>713</v>
      </c>
      <c r="I2204" t="s">
        <v>22</v>
      </c>
      <c r="J2204">
        <v>90290</v>
      </c>
      <c r="K2204">
        <v>3523</v>
      </c>
      <c r="L2204" t="s">
        <v>23</v>
      </c>
      <c r="M2204" t="s">
        <v>6243</v>
      </c>
      <c r="N2204" t="s">
        <v>713</v>
      </c>
      <c r="O2204" t="s">
        <v>22</v>
      </c>
      <c r="P2204">
        <v>90290</v>
      </c>
      <c r="Q2204">
        <v>3523</v>
      </c>
      <c r="R2204" t="s">
        <v>23</v>
      </c>
      <c r="S2204" s="1" t="s">
        <v>34218</v>
      </c>
    </row>
    <row r="2205" spans="1:19" x14ac:dyDescent="0.25">
      <c r="A2205">
        <v>101279237</v>
      </c>
      <c r="B2205" t="s">
        <v>6244</v>
      </c>
      <c r="C2205" t="s">
        <v>6245</v>
      </c>
      <c r="F2205" t="str">
        <f>"8455288321"</f>
        <v>8455288321</v>
      </c>
      <c r="G2205" t="s">
        <v>6246</v>
      </c>
      <c r="H2205" t="s">
        <v>219</v>
      </c>
      <c r="I2205" t="s">
        <v>117</v>
      </c>
      <c r="J2205">
        <v>12590</v>
      </c>
      <c r="K2205">
        <v>3519</v>
      </c>
      <c r="L2205" t="s">
        <v>23</v>
      </c>
      <c r="M2205" t="s">
        <v>6246</v>
      </c>
      <c r="N2205" t="s">
        <v>219</v>
      </c>
      <c r="O2205" t="s">
        <v>117</v>
      </c>
      <c r="P2205">
        <v>12590</v>
      </c>
      <c r="Q2205">
        <v>3519</v>
      </c>
      <c r="R2205" t="s">
        <v>23</v>
      </c>
      <c r="S2205" s="1" t="s">
        <v>34218</v>
      </c>
    </row>
    <row r="2206" spans="1:19" x14ac:dyDescent="0.25">
      <c r="A2206">
        <v>101127216</v>
      </c>
      <c r="B2206" t="s">
        <v>6247</v>
      </c>
      <c r="C2206" t="s">
        <v>2127</v>
      </c>
      <c r="F2206" t="str">
        <f>"8317618537"</f>
        <v>8317618537</v>
      </c>
      <c r="G2206" t="s">
        <v>6248</v>
      </c>
      <c r="H2206" t="s">
        <v>775</v>
      </c>
      <c r="I2206" t="s">
        <v>22</v>
      </c>
      <c r="J2206">
        <v>95076</v>
      </c>
      <c r="K2206">
        <v>1403</v>
      </c>
      <c r="L2206" t="s">
        <v>23</v>
      </c>
      <c r="M2206" t="s">
        <v>6248</v>
      </c>
      <c r="N2206" t="s">
        <v>775</v>
      </c>
      <c r="O2206" t="s">
        <v>22</v>
      </c>
      <c r="P2206">
        <v>95076</v>
      </c>
      <c r="Q2206">
        <v>1403</v>
      </c>
      <c r="R2206" t="s">
        <v>23</v>
      </c>
      <c r="S2206" s="1" t="s">
        <v>34218</v>
      </c>
    </row>
    <row r="2207" spans="1:19" x14ac:dyDescent="0.25">
      <c r="A2207">
        <v>101001410</v>
      </c>
      <c r="B2207" t="s">
        <v>90</v>
      </c>
      <c r="C2207" t="s">
        <v>1470</v>
      </c>
      <c r="F2207" t="str">
        <f>"7743195139"</f>
        <v>7743195139</v>
      </c>
      <c r="G2207" t="s">
        <v>6249</v>
      </c>
      <c r="H2207" t="s">
        <v>6250</v>
      </c>
      <c r="I2207" t="s">
        <v>236</v>
      </c>
      <c r="J2207" t="s">
        <v>6251</v>
      </c>
      <c r="K2207">
        <v>4730</v>
      </c>
      <c r="L2207" t="s">
        <v>23</v>
      </c>
      <c r="M2207" t="s">
        <v>6249</v>
      </c>
      <c r="N2207" t="s">
        <v>6250</v>
      </c>
      <c r="O2207" t="s">
        <v>236</v>
      </c>
      <c r="P2207" t="s">
        <v>6251</v>
      </c>
      <c r="Q2207">
        <v>4730</v>
      </c>
      <c r="R2207" t="s">
        <v>23</v>
      </c>
      <c r="S2207" s="1" t="s">
        <v>34218</v>
      </c>
    </row>
    <row r="2208" spans="1:19" x14ac:dyDescent="0.25">
      <c r="A2208">
        <v>101009822</v>
      </c>
      <c r="B2208" t="s">
        <v>6252</v>
      </c>
      <c r="C2208" t="s">
        <v>294</v>
      </c>
      <c r="F2208" t="str">
        <f>"2397776216"</f>
        <v>2397776216</v>
      </c>
      <c r="G2208" t="s">
        <v>6253</v>
      </c>
      <c r="H2208" t="s">
        <v>2769</v>
      </c>
      <c r="I2208" t="s">
        <v>52</v>
      </c>
      <c r="J2208" t="s">
        <v>6254</v>
      </c>
      <c r="K2208">
        <v>1516</v>
      </c>
      <c r="L2208" t="s">
        <v>23</v>
      </c>
      <c r="M2208" t="s">
        <v>6253</v>
      </c>
      <c r="N2208" t="s">
        <v>2769</v>
      </c>
      <c r="O2208" t="s">
        <v>52</v>
      </c>
      <c r="P2208" t="s">
        <v>6254</v>
      </c>
      <c r="Q2208">
        <v>1516</v>
      </c>
      <c r="R2208" t="s">
        <v>23</v>
      </c>
      <c r="S2208" s="1" t="s">
        <v>34218</v>
      </c>
    </row>
    <row r="2209" spans="1:19" x14ac:dyDescent="0.25">
      <c r="A2209">
        <v>101378707</v>
      </c>
      <c r="B2209" t="s">
        <v>6255</v>
      </c>
      <c r="C2209" t="s">
        <v>5346</v>
      </c>
      <c r="F2209" t="str">
        <f>"7157039230"</f>
        <v>7157039230</v>
      </c>
      <c r="G2209" t="s">
        <v>6256</v>
      </c>
      <c r="H2209" t="s">
        <v>6257</v>
      </c>
      <c r="I2209" t="s">
        <v>100</v>
      </c>
      <c r="J2209">
        <v>54768</v>
      </c>
      <c r="K2209">
        <v>1159</v>
      </c>
      <c r="L2209" t="s">
        <v>23</v>
      </c>
      <c r="M2209" t="s">
        <v>6256</v>
      </c>
      <c r="N2209" t="s">
        <v>6257</v>
      </c>
      <c r="O2209" t="s">
        <v>100</v>
      </c>
      <c r="P2209">
        <v>54768</v>
      </c>
      <c r="Q2209">
        <v>1159</v>
      </c>
      <c r="R2209" t="s">
        <v>23</v>
      </c>
      <c r="S2209" s="1" t="s">
        <v>34218</v>
      </c>
    </row>
    <row r="2210" spans="1:19" x14ac:dyDescent="0.25">
      <c r="A2210">
        <v>101382216</v>
      </c>
      <c r="B2210" t="s">
        <v>2503</v>
      </c>
      <c r="C2210" t="s">
        <v>350</v>
      </c>
      <c r="F2210" t="str">
        <f>"5595846369"</f>
        <v>5595846369</v>
      </c>
      <c r="G2210" t="s">
        <v>6258</v>
      </c>
      <c r="H2210" t="s">
        <v>6259</v>
      </c>
      <c r="I2210" t="s">
        <v>22</v>
      </c>
      <c r="J2210">
        <v>93230</v>
      </c>
      <c r="K2210">
        <v>8532</v>
      </c>
      <c r="L2210" t="s">
        <v>23</v>
      </c>
      <c r="M2210" t="s">
        <v>6258</v>
      </c>
      <c r="N2210" t="s">
        <v>6259</v>
      </c>
      <c r="O2210" t="s">
        <v>22</v>
      </c>
      <c r="P2210">
        <v>93230</v>
      </c>
      <c r="Q2210">
        <v>8532</v>
      </c>
      <c r="R2210" t="s">
        <v>23</v>
      </c>
      <c r="S2210" s="1" t="s">
        <v>34218</v>
      </c>
    </row>
    <row r="2211" spans="1:19" x14ac:dyDescent="0.25">
      <c r="A2211">
        <v>101154591</v>
      </c>
      <c r="B2211" t="s">
        <v>3927</v>
      </c>
      <c r="C2211" t="s">
        <v>1542</v>
      </c>
      <c r="F2211" t="str">
        <f>"2076923810"</f>
        <v>2076923810</v>
      </c>
      <c r="H2211" t="s">
        <v>1463</v>
      </c>
      <c r="I2211" t="s">
        <v>236</v>
      </c>
      <c r="J2211">
        <v>1903</v>
      </c>
      <c r="L2211" t="s">
        <v>23</v>
      </c>
      <c r="N2211" t="s">
        <v>1463</v>
      </c>
      <c r="O2211" t="s">
        <v>236</v>
      </c>
      <c r="P2211">
        <v>1903</v>
      </c>
      <c r="R2211" t="s">
        <v>23</v>
      </c>
      <c r="S2211" s="1" t="s">
        <v>34218</v>
      </c>
    </row>
    <row r="2212" spans="1:19" x14ac:dyDescent="0.25">
      <c r="A2212">
        <v>101303362</v>
      </c>
      <c r="B2212" t="s">
        <v>3625</v>
      </c>
      <c r="C2212" t="s">
        <v>123</v>
      </c>
      <c r="F2212" t="str">
        <f>"5615555555"</f>
        <v>5615555555</v>
      </c>
      <c r="G2212" t="s">
        <v>6260</v>
      </c>
      <c r="H2212" t="s">
        <v>2640</v>
      </c>
      <c r="I2212" t="s">
        <v>52</v>
      </c>
      <c r="J2212">
        <v>33428</v>
      </c>
      <c r="K2212">
        <v>3511</v>
      </c>
      <c r="L2212" t="s">
        <v>23</v>
      </c>
      <c r="M2212" t="s">
        <v>6260</v>
      </c>
      <c r="N2212" t="s">
        <v>2640</v>
      </c>
      <c r="O2212" t="s">
        <v>52</v>
      </c>
      <c r="P2212">
        <v>33428</v>
      </c>
      <c r="Q2212">
        <v>3511</v>
      </c>
      <c r="R2212" t="s">
        <v>23</v>
      </c>
      <c r="S2212" s="1" t="s">
        <v>34218</v>
      </c>
    </row>
    <row r="2213" spans="1:19" x14ac:dyDescent="0.25">
      <c r="A2213">
        <v>101310414</v>
      </c>
      <c r="B2213" t="s">
        <v>6261</v>
      </c>
      <c r="C2213" t="s">
        <v>699</v>
      </c>
      <c r="F2213" t="str">
        <f>"8452526761"</f>
        <v>8452526761</v>
      </c>
      <c r="G2213" t="s">
        <v>6262</v>
      </c>
      <c r="H2213" t="s">
        <v>6182</v>
      </c>
      <c r="I2213" t="s">
        <v>117</v>
      </c>
      <c r="J2213">
        <v>12764</v>
      </c>
      <c r="K2213">
        <v>4246</v>
      </c>
      <c r="L2213" t="s">
        <v>23</v>
      </c>
      <c r="M2213" t="s">
        <v>6262</v>
      </c>
      <c r="N2213" t="s">
        <v>6182</v>
      </c>
      <c r="O2213" t="s">
        <v>117</v>
      </c>
      <c r="P2213">
        <v>12764</v>
      </c>
      <c r="Q2213">
        <v>4246</v>
      </c>
      <c r="R2213" t="s">
        <v>23</v>
      </c>
      <c r="S2213" s="1" t="s">
        <v>34218</v>
      </c>
    </row>
    <row r="2214" spans="1:19" x14ac:dyDescent="0.25">
      <c r="A2214">
        <v>100522793</v>
      </c>
      <c r="B2214" t="s">
        <v>6263</v>
      </c>
      <c r="C2214" t="s">
        <v>1426</v>
      </c>
      <c r="F2214" t="str">
        <f>"5183711418"</f>
        <v>5183711418</v>
      </c>
      <c r="G2214" t="s">
        <v>6264</v>
      </c>
      <c r="H2214" t="s">
        <v>6265</v>
      </c>
      <c r="I2214" t="s">
        <v>117</v>
      </c>
      <c r="J2214">
        <v>12068</v>
      </c>
      <c r="L2214" t="s">
        <v>23</v>
      </c>
      <c r="M2214" t="s">
        <v>6264</v>
      </c>
      <c r="N2214" t="s">
        <v>6265</v>
      </c>
      <c r="O2214" t="s">
        <v>117</v>
      </c>
      <c r="P2214">
        <v>12068</v>
      </c>
      <c r="R2214" t="s">
        <v>23</v>
      </c>
      <c r="S2214" s="1" t="s">
        <v>34218</v>
      </c>
    </row>
    <row r="2215" spans="1:19" x14ac:dyDescent="0.25">
      <c r="A2215">
        <v>101154747</v>
      </c>
      <c r="B2215" t="s">
        <v>3629</v>
      </c>
      <c r="C2215" t="s">
        <v>1205</v>
      </c>
      <c r="F2215" t="str">
        <f>"8314567890"</f>
        <v>8314567890</v>
      </c>
      <c r="G2215" t="s">
        <v>6266</v>
      </c>
      <c r="H2215" t="s">
        <v>1293</v>
      </c>
      <c r="I2215" t="s">
        <v>22</v>
      </c>
      <c r="J2215">
        <v>95060</v>
      </c>
      <c r="K2215">
        <v>2438</v>
      </c>
      <c r="L2215" t="s">
        <v>23</v>
      </c>
      <c r="M2215" t="s">
        <v>6266</v>
      </c>
      <c r="N2215" t="s">
        <v>1293</v>
      </c>
      <c r="O2215" t="s">
        <v>22</v>
      </c>
      <c r="P2215">
        <v>95060</v>
      </c>
      <c r="Q2215">
        <v>2438</v>
      </c>
      <c r="R2215" t="s">
        <v>23</v>
      </c>
      <c r="S2215" s="1" t="s">
        <v>34218</v>
      </c>
    </row>
    <row r="2216" spans="1:19" x14ac:dyDescent="0.25">
      <c r="A2216">
        <v>101164258</v>
      </c>
      <c r="B2216" t="s">
        <v>6267</v>
      </c>
      <c r="C2216" t="s">
        <v>452</v>
      </c>
      <c r="F2216" t="str">
        <f>"5102158628"</f>
        <v>5102158628</v>
      </c>
      <c r="G2216" t="s">
        <v>6268</v>
      </c>
      <c r="H2216" t="s">
        <v>1861</v>
      </c>
      <c r="I2216" t="s">
        <v>22</v>
      </c>
      <c r="J2216">
        <v>94530</v>
      </c>
      <c r="K2216">
        <v>1424</v>
      </c>
      <c r="L2216" t="s">
        <v>23</v>
      </c>
      <c r="M2216" t="s">
        <v>6268</v>
      </c>
      <c r="N2216" t="s">
        <v>1861</v>
      </c>
      <c r="O2216" t="s">
        <v>22</v>
      </c>
      <c r="P2216">
        <v>94530</v>
      </c>
      <c r="Q2216">
        <v>1424</v>
      </c>
      <c r="R2216" t="s">
        <v>23</v>
      </c>
      <c r="S2216" s="1" t="s">
        <v>34218</v>
      </c>
    </row>
    <row r="2217" spans="1:19" x14ac:dyDescent="0.25">
      <c r="A2217">
        <v>100582542</v>
      </c>
      <c r="B2217" t="s">
        <v>6269</v>
      </c>
      <c r="C2217" t="s">
        <v>30</v>
      </c>
      <c r="F2217" t="str">
        <f>"3304144060"</f>
        <v>3304144060</v>
      </c>
      <c r="G2217" t="s">
        <v>6270</v>
      </c>
      <c r="H2217" t="s">
        <v>4732</v>
      </c>
      <c r="I2217" t="s">
        <v>148</v>
      </c>
      <c r="J2217" t="s">
        <v>6271</v>
      </c>
      <c r="K2217">
        <v>2710</v>
      </c>
      <c r="L2217" t="s">
        <v>23</v>
      </c>
      <c r="M2217" t="s">
        <v>6270</v>
      </c>
      <c r="N2217" t="s">
        <v>4732</v>
      </c>
      <c r="O2217" t="s">
        <v>148</v>
      </c>
      <c r="P2217" t="s">
        <v>6271</v>
      </c>
      <c r="Q2217">
        <v>2710</v>
      </c>
      <c r="R2217" t="s">
        <v>23</v>
      </c>
      <c r="S2217" s="1" t="s">
        <v>34218</v>
      </c>
    </row>
    <row r="2218" spans="1:19" x14ac:dyDescent="0.25">
      <c r="A2218">
        <v>101238158</v>
      </c>
      <c r="B2218" t="s">
        <v>2080</v>
      </c>
      <c r="C2218" t="s">
        <v>5347</v>
      </c>
      <c r="F2218" t="str">
        <f>"3234965356"</f>
        <v>3234965356</v>
      </c>
      <c r="G2218" t="s">
        <v>6272</v>
      </c>
      <c r="H2218" t="s">
        <v>6273</v>
      </c>
      <c r="I2218" t="s">
        <v>22</v>
      </c>
      <c r="J2218">
        <v>92868</v>
      </c>
      <c r="K2218">
        <v>3907</v>
      </c>
      <c r="L2218" t="s">
        <v>23</v>
      </c>
      <c r="M2218" t="s">
        <v>6272</v>
      </c>
      <c r="N2218" t="s">
        <v>6273</v>
      </c>
      <c r="O2218" t="s">
        <v>22</v>
      </c>
      <c r="P2218">
        <v>92868</v>
      </c>
      <c r="Q2218">
        <v>3907</v>
      </c>
      <c r="R2218" t="s">
        <v>23</v>
      </c>
      <c r="S2218" s="1" t="s">
        <v>34218</v>
      </c>
    </row>
    <row r="2219" spans="1:19" x14ac:dyDescent="0.25">
      <c r="A2219">
        <v>101245007</v>
      </c>
      <c r="B2219" t="s">
        <v>6274</v>
      </c>
      <c r="C2219" t="s">
        <v>6275</v>
      </c>
      <c r="F2219" t="str">
        <f>"4802353905"</f>
        <v>4802353905</v>
      </c>
      <c r="G2219" t="s">
        <v>6276</v>
      </c>
      <c r="H2219" t="s">
        <v>625</v>
      </c>
      <c r="I2219" t="s">
        <v>365</v>
      </c>
      <c r="J2219">
        <v>85201</v>
      </c>
      <c r="K2219">
        <v>2726</v>
      </c>
      <c r="L2219" t="s">
        <v>23</v>
      </c>
      <c r="M2219" t="s">
        <v>6276</v>
      </c>
      <c r="N2219" t="s">
        <v>625</v>
      </c>
      <c r="O2219" t="s">
        <v>365</v>
      </c>
      <c r="P2219">
        <v>85201</v>
      </c>
      <c r="Q2219">
        <v>2726</v>
      </c>
      <c r="R2219" t="s">
        <v>23</v>
      </c>
      <c r="S2219" s="1" t="s">
        <v>34218</v>
      </c>
    </row>
    <row r="2220" spans="1:19" x14ac:dyDescent="0.25">
      <c r="A2220">
        <v>100837403</v>
      </c>
      <c r="B2220" t="s">
        <v>3494</v>
      </c>
      <c r="C2220" t="s">
        <v>6277</v>
      </c>
      <c r="F2220" t="str">
        <f>"5174204314"</f>
        <v>5174204314</v>
      </c>
      <c r="G2220" t="s">
        <v>6278</v>
      </c>
      <c r="H2220" t="s">
        <v>822</v>
      </c>
      <c r="I2220" t="s">
        <v>140</v>
      </c>
      <c r="J2220">
        <v>48917</v>
      </c>
      <c r="K2220">
        <v>1773</v>
      </c>
      <c r="L2220" t="s">
        <v>23</v>
      </c>
      <c r="M2220" t="s">
        <v>6278</v>
      </c>
      <c r="N2220" t="s">
        <v>822</v>
      </c>
      <c r="O2220" t="s">
        <v>140</v>
      </c>
      <c r="P2220">
        <v>48917</v>
      </c>
      <c r="Q2220">
        <v>1773</v>
      </c>
      <c r="R2220" t="s">
        <v>23</v>
      </c>
      <c r="S2220" s="1" t="s">
        <v>34218</v>
      </c>
    </row>
    <row r="2221" spans="1:19" x14ac:dyDescent="0.25">
      <c r="A2221">
        <v>101001294</v>
      </c>
      <c r="B2221" t="s">
        <v>3650</v>
      </c>
      <c r="C2221" t="s">
        <v>6279</v>
      </c>
      <c r="F2221" t="str">
        <f>"5865667015"</f>
        <v>5865667015</v>
      </c>
      <c r="G2221" t="s">
        <v>6280</v>
      </c>
      <c r="H2221" t="s">
        <v>1214</v>
      </c>
      <c r="I2221" t="s">
        <v>140</v>
      </c>
      <c r="J2221">
        <v>48313</v>
      </c>
      <c r="K2221">
        <v>5436</v>
      </c>
      <c r="L2221" t="s">
        <v>23</v>
      </c>
      <c r="M2221" t="s">
        <v>6280</v>
      </c>
      <c r="N2221" t="s">
        <v>1214</v>
      </c>
      <c r="O2221" t="s">
        <v>140</v>
      </c>
      <c r="P2221">
        <v>48313</v>
      </c>
      <c r="Q2221">
        <v>5436</v>
      </c>
      <c r="R2221" t="s">
        <v>23</v>
      </c>
      <c r="S2221" s="1" t="s">
        <v>34218</v>
      </c>
    </row>
    <row r="2222" spans="1:19" x14ac:dyDescent="0.25">
      <c r="A2222">
        <v>101012880</v>
      </c>
      <c r="B2222" t="s">
        <v>6281</v>
      </c>
      <c r="C2222" t="s">
        <v>30</v>
      </c>
      <c r="F2222" t="str">
        <f>"8029999999"</f>
        <v>8029999999</v>
      </c>
      <c r="G2222" t="s">
        <v>6282</v>
      </c>
      <c r="H2222" t="s">
        <v>6283</v>
      </c>
      <c r="I2222" t="s">
        <v>307</v>
      </c>
      <c r="J2222">
        <v>5860</v>
      </c>
      <c r="K2222">
        <v>9501</v>
      </c>
      <c r="L2222" t="s">
        <v>23</v>
      </c>
      <c r="M2222" t="s">
        <v>6282</v>
      </c>
      <c r="N2222" t="s">
        <v>6283</v>
      </c>
      <c r="O2222" t="s">
        <v>307</v>
      </c>
      <c r="P2222">
        <v>5860</v>
      </c>
      <c r="Q2222">
        <v>9501</v>
      </c>
      <c r="R2222" t="s">
        <v>23</v>
      </c>
      <c r="S2222" s="1" t="s">
        <v>34218</v>
      </c>
    </row>
    <row r="2223" spans="1:19" x14ac:dyDescent="0.25">
      <c r="A2223">
        <v>101205129</v>
      </c>
      <c r="B2223" t="s">
        <v>6284</v>
      </c>
      <c r="C2223" t="s">
        <v>167</v>
      </c>
      <c r="F2223" t="str">
        <f>"6502075516"</f>
        <v>6502075516</v>
      </c>
      <c r="G2223" t="s">
        <v>6285</v>
      </c>
      <c r="H2223" t="s">
        <v>412</v>
      </c>
      <c r="I2223" t="s">
        <v>117</v>
      </c>
      <c r="J2223">
        <v>11238</v>
      </c>
      <c r="K2223">
        <v>2789</v>
      </c>
      <c r="L2223" t="s">
        <v>23</v>
      </c>
      <c r="M2223" t="s">
        <v>6285</v>
      </c>
      <c r="N2223" t="s">
        <v>412</v>
      </c>
      <c r="O2223" t="s">
        <v>117</v>
      </c>
      <c r="P2223">
        <v>11238</v>
      </c>
      <c r="Q2223">
        <v>2789</v>
      </c>
      <c r="R2223" t="s">
        <v>23</v>
      </c>
      <c r="S2223" s="1" t="s">
        <v>34218</v>
      </c>
    </row>
    <row r="2224" spans="1:19" x14ac:dyDescent="0.25">
      <c r="A2224">
        <v>101415170</v>
      </c>
      <c r="B2224" t="s">
        <v>4212</v>
      </c>
      <c r="C2224" t="s">
        <v>367</v>
      </c>
      <c r="F2224" t="str">
        <f>"3039346245"</f>
        <v>3039346245</v>
      </c>
      <c r="G2224" t="s">
        <v>6286</v>
      </c>
      <c r="H2224" t="s">
        <v>2175</v>
      </c>
      <c r="I2224" t="s">
        <v>71</v>
      </c>
      <c r="J2224">
        <v>80110</v>
      </c>
      <c r="K2224">
        <v>4567</v>
      </c>
      <c r="L2224" t="s">
        <v>23</v>
      </c>
      <c r="M2224" t="s">
        <v>6286</v>
      </c>
      <c r="N2224" t="s">
        <v>2175</v>
      </c>
      <c r="O2224" t="s">
        <v>71</v>
      </c>
      <c r="P2224">
        <v>80110</v>
      </c>
      <c r="Q2224">
        <v>4567</v>
      </c>
      <c r="R2224" t="s">
        <v>23</v>
      </c>
      <c r="S2224" s="1" t="s">
        <v>34218</v>
      </c>
    </row>
    <row r="2225" spans="1:19" x14ac:dyDescent="0.25">
      <c r="A2225">
        <v>100918575</v>
      </c>
      <c r="B2225" t="s">
        <v>6287</v>
      </c>
      <c r="C2225" t="s">
        <v>1479</v>
      </c>
      <c r="F2225" t="str">
        <f>"2125551212"</f>
        <v>2125551212</v>
      </c>
      <c r="G2225" t="s">
        <v>6288</v>
      </c>
      <c r="H2225" t="s">
        <v>1586</v>
      </c>
      <c r="I2225" t="s">
        <v>117</v>
      </c>
      <c r="J2225">
        <v>11372</v>
      </c>
      <c r="K2225">
        <v>7318</v>
      </c>
      <c r="L2225" t="s">
        <v>23</v>
      </c>
      <c r="M2225" t="s">
        <v>6288</v>
      </c>
      <c r="N2225" t="s">
        <v>1586</v>
      </c>
      <c r="O2225" t="s">
        <v>117</v>
      </c>
      <c r="P2225">
        <v>11372</v>
      </c>
      <c r="Q2225">
        <v>7318</v>
      </c>
      <c r="R2225" t="s">
        <v>23</v>
      </c>
      <c r="S2225" s="1" t="s">
        <v>34218</v>
      </c>
    </row>
    <row r="2226" spans="1:19" x14ac:dyDescent="0.25">
      <c r="A2226">
        <v>100784416</v>
      </c>
      <c r="B2226" t="s">
        <v>6289</v>
      </c>
      <c r="C2226" t="s">
        <v>2044</v>
      </c>
      <c r="F2226" t="str">
        <f>"9547839258"</f>
        <v>9547839258</v>
      </c>
      <c r="G2226" t="s">
        <v>6290</v>
      </c>
      <c r="H2226" t="s">
        <v>6291</v>
      </c>
      <c r="I2226" t="s">
        <v>565</v>
      </c>
      <c r="J2226">
        <v>52738</v>
      </c>
      <c r="K2226">
        <v>9280</v>
      </c>
      <c r="L2226" t="s">
        <v>23</v>
      </c>
      <c r="M2226" t="s">
        <v>6290</v>
      </c>
      <c r="N2226" t="s">
        <v>6291</v>
      </c>
      <c r="O2226" t="s">
        <v>565</v>
      </c>
      <c r="P2226">
        <v>52738</v>
      </c>
      <c r="Q2226">
        <v>9280</v>
      </c>
      <c r="R2226" t="s">
        <v>23</v>
      </c>
      <c r="S2226" s="1" t="s">
        <v>34218</v>
      </c>
    </row>
    <row r="2227" spans="1:19" x14ac:dyDescent="0.25">
      <c r="A2227">
        <v>100693841</v>
      </c>
      <c r="B2227" t="s">
        <v>6292</v>
      </c>
      <c r="C2227" t="s">
        <v>2044</v>
      </c>
      <c r="F2227" t="str">
        <f>"5407519090"</f>
        <v>5407519090</v>
      </c>
      <c r="G2227" t="s">
        <v>6293</v>
      </c>
      <c r="H2227" t="s">
        <v>6294</v>
      </c>
      <c r="I2227" t="s">
        <v>2537</v>
      </c>
      <c r="J2227">
        <v>72712</v>
      </c>
      <c r="L2227" t="s">
        <v>23</v>
      </c>
      <c r="M2227" t="s">
        <v>6293</v>
      </c>
      <c r="N2227" t="s">
        <v>6294</v>
      </c>
      <c r="O2227" t="s">
        <v>2537</v>
      </c>
      <c r="P2227">
        <v>72712</v>
      </c>
      <c r="R2227" t="s">
        <v>23</v>
      </c>
      <c r="S2227" s="1" t="s">
        <v>34218</v>
      </c>
    </row>
    <row r="2228" spans="1:19" x14ac:dyDescent="0.25">
      <c r="A2228">
        <v>101095254</v>
      </c>
      <c r="B2228" t="s">
        <v>5367</v>
      </c>
      <c r="C2228" t="s">
        <v>6295</v>
      </c>
      <c r="F2228" t="str">
        <f>"3123350560"</f>
        <v>3123350560</v>
      </c>
      <c r="G2228" t="s">
        <v>6296</v>
      </c>
      <c r="H2228" t="s">
        <v>134</v>
      </c>
      <c r="I2228" t="s">
        <v>135</v>
      </c>
      <c r="J2228">
        <v>60610</v>
      </c>
      <c r="L2228" t="s">
        <v>23</v>
      </c>
      <c r="M2228" t="s">
        <v>6296</v>
      </c>
      <c r="N2228" t="s">
        <v>134</v>
      </c>
      <c r="O2228" t="s">
        <v>135</v>
      </c>
      <c r="P2228">
        <v>60610</v>
      </c>
      <c r="R2228" t="s">
        <v>23</v>
      </c>
      <c r="S2228" s="1" t="s">
        <v>34218</v>
      </c>
    </row>
    <row r="2229" spans="1:19" x14ac:dyDescent="0.25">
      <c r="A2229">
        <v>101035787</v>
      </c>
      <c r="B2229" t="s">
        <v>6297</v>
      </c>
      <c r="C2229" t="s">
        <v>6298</v>
      </c>
      <c r="F2229" t="str">
        <f>"8285277575"</f>
        <v>8285277575</v>
      </c>
      <c r="G2229" t="s">
        <v>6299</v>
      </c>
      <c r="H2229" t="s">
        <v>4460</v>
      </c>
      <c r="I2229" t="s">
        <v>307</v>
      </c>
      <c r="J2229">
        <v>5301</v>
      </c>
      <c r="K2229">
        <v>6220</v>
      </c>
      <c r="L2229" t="s">
        <v>23</v>
      </c>
      <c r="M2229" t="s">
        <v>6299</v>
      </c>
      <c r="N2229" t="s">
        <v>4460</v>
      </c>
      <c r="O2229" t="s">
        <v>307</v>
      </c>
      <c r="P2229">
        <v>5301</v>
      </c>
      <c r="Q2229">
        <v>6220</v>
      </c>
      <c r="R2229" t="s">
        <v>23</v>
      </c>
      <c r="S2229" s="1" t="s">
        <v>34218</v>
      </c>
    </row>
    <row r="2230" spans="1:19" x14ac:dyDescent="0.25">
      <c r="A2230">
        <v>101040714</v>
      </c>
      <c r="B2230" t="s">
        <v>3606</v>
      </c>
      <c r="C2230" t="s">
        <v>6300</v>
      </c>
      <c r="F2230" t="str">
        <f>"5205056100"</f>
        <v>5205056100</v>
      </c>
      <c r="G2230" t="s">
        <v>6301</v>
      </c>
      <c r="H2230" t="s">
        <v>227</v>
      </c>
      <c r="I2230" t="s">
        <v>43</v>
      </c>
      <c r="J2230">
        <v>97219</v>
      </c>
      <c r="K2230">
        <v>8134</v>
      </c>
      <c r="L2230" t="s">
        <v>23</v>
      </c>
      <c r="M2230" t="s">
        <v>6301</v>
      </c>
      <c r="N2230" t="s">
        <v>227</v>
      </c>
      <c r="O2230" t="s">
        <v>43</v>
      </c>
      <c r="P2230">
        <v>97219</v>
      </c>
      <c r="Q2230">
        <v>8134</v>
      </c>
      <c r="R2230" t="s">
        <v>23</v>
      </c>
      <c r="S2230" s="1" t="s">
        <v>34218</v>
      </c>
    </row>
    <row r="2231" spans="1:19" x14ac:dyDescent="0.25">
      <c r="A2231">
        <v>101242798</v>
      </c>
      <c r="B2231" t="s">
        <v>5599</v>
      </c>
      <c r="C2231" t="s">
        <v>309</v>
      </c>
      <c r="F2231" t="str">
        <f>"2039840280"</f>
        <v>2039840280</v>
      </c>
      <c r="G2231" t="s">
        <v>6302</v>
      </c>
      <c r="H2231" t="s">
        <v>6303</v>
      </c>
      <c r="I2231" t="s">
        <v>84</v>
      </c>
      <c r="J2231">
        <v>98110</v>
      </c>
      <c r="K2231">
        <v>3359</v>
      </c>
      <c r="L2231" t="s">
        <v>23</v>
      </c>
      <c r="M2231" t="s">
        <v>6302</v>
      </c>
      <c r="N2231" t="s">
        <v>6303</v>
      </c>
      <c r="O2231" t="s">
        <v>84</v>
      </c>
      <c r="P2231">
        <v>98110</v>
      </c>
      <c r="Q2231">
        <v>3359</v>
      </c>
      <c r="R2231" t="s">
        <v>23</v>
      </c>
      <c r="S2231" s="1" t="s">
        <v>34218</v>
      </c>
    </row>
    <row r="2232" spans="1:19" x14ac:dyDescent="0.25">
      <c r="A2232">
        <v>101291568</v>
      </c>
      <c r="B2232" t="s">
        <v>6304</v>
      </c>
      <c r="C2232" t="s">
        <v>180</v>
      </c>
      <c r="F2232" t="str">
        <f>"3036821550"</f>
        <v>3036821550</v>
      </c>
      <c r="G2232" t="s">
        <v>6305</v>
      </c>
      <c r="H2232" t="s">
        <v>438</v>
      </c>
      <c r="I2232" t="s">
        <v>71</v>
      </c>
      <c r="J2232">
        <v>80503</v>
      </c>
      <c r="K2232">
        <v>7906</v>
      </c>
      <c r="L2232" t="s">
        <v>23</v>
      </c>
      <c r="M2232" t="s">
        <v>6305</v>
      </c>
      <c r="N2232" t="s">
        <v>438</v>
      </c>
      <c r="O2232" t="s">
        <v>71</v>
      </c>
      <c r="P2232">
        <v>80503</v>
      </c>
      <c r="Q2232">
        <v>7906</v>
      </c>
      <c r="R2232" t="s">
        <v>23</v>
      </c>
      <c r="S2232" s="1" t="s">
        <v>34218</v>
      </c>
    </row>
    <row r="2233" spans="1:19" x14ac:dyDescent="0.25">
      <c r="A2233">
        <v>101283202</v>
      </c>
      <c r="B2233" t="s">
        <v>4622</v>
      </c>
      <c r="C2233" t="s">
        <v>6306</v>
      </c>
      <c r="F2233" t="str">
        <f>"2404937251"</f>
        <v>2404937251</v>
      </c>
      <c r="G2233" t="s">
        <v>6307</v>
      </c>
      <c r="H2233" t="s">
        <v>4519</v>
      </c>
      <c r="I2233" t="s">
        <v>148</v>
      </c>
      <c r="J2233">
        <v>20744</v>
      </c>
      <c r="K2233">
        <v>6500</v>
      </c>
      <c r="L2233" t="s">
        <v>23</v>
      </c>
      <c r="M2233" t="s">
        <v>6307</v>
      </c>
      <c r="N2233" t="s">
        <v>4519</v>
      </c>
      <c r="O2233" t="s">
        <v>148</v>
      </c>
      <c r="P2233">
        <v>20744</v>
      </c>
      <c r="Q2233">
        <v>6500</v>
      </c>
      <c r="R2233" t="s">
        <v>23</v>
      </c>
      <c r="S2233" s="1" t="s">
        <v>34218</v>
      </c>
    </row>
    <row r="2234" spans="1:19" x14ac:dyDescent="0.25">
      <c r="A2234">
        <v>101303016</v>
      </c>
      <c r="B2234" t="s">
        <v>1141</v>
      </c>
      <c r="C2234" t="s">
        <v>2232</v>
      </c>
      <c r="F2234" t="str">
        <f>"3602938606"</f>
        <v>3602938606</v>
      </c>
      <c r="G2234" t="s">
        <v>6308</v>
      </c>
      <c r="H2234" t="s">
        <v>83</v>
      </c>
      <c r="I2234" t="s">
        <v>84</v>
      </c>
      <c r="J2234">
        <v>98221</v>
      </c>
      <c r="K2234">
        <v>8581</v>
      </c>
      <c r="L2234" t="s">
        <v>23</v>
      </c>
      <c r="M2234" t="s">
        <v>6308</v>
      </c>
      <c r="N2234" t="s">
        <v>83</v>
      </c>
      <c r="O2234" t="s">
        <v>84</v>
      </c>
      <c r="P2234">
        <v>98221</v>
      </c>
      <c r="Q2234">
        <v>8581</v>
      </c>
      <c r="R2234" t="s">
        <v>23</v>
      </c>
      <c r="S2234" s="1" t="s">
        <v>34218</v>
      </c>
    </row>
    <row r="2235" spans="1:19" x14ac:dyDescent="0.25">
      <c r="A2235">
        <v>101308653</v>
      </c>
      <c r="B2235" t="s">
        <v>6309</v>
      </c>
      <c r="C2235" t="s">
        <v>200</v>
      </c>
      <c r="F2235" t="str">
        <f>"2536867928"</f>
        <v>2536867928</v>
      </c>
      <c r="G2235" t="s">
        <v>6310</v>
      </c>
      <c r="H2235" t="s">
        <v>3169</v>
      </c>
      <c r="I2235" t="s">
        <v>84</v>
      </c>
      <c r="J2235">
        <v>98446</v>
      </c>
      <c r="K2235">
        <v>5009</v>
      </c>
      <c r="L2235" t="s">
        <v>23</v>
      </c>
      <c r="M2235" t="s">
        <v>6310</v>
      </c>
      <c r="N2235" t="s">
        <v>3169</v>
      </c>
      <c r="O2235" t="s">
        <v>84</v>
      </c>
      <c r="P2235">
        <v>98446</v>
      </c>
      <c r="Q2235">
        <v>5009</v>
      </c>
      <c r="R2235" t="s">
        <v>23</v>
      </c>
      <c r="S2235" s="1" t="s">
        <v>34218</v>
      </c>
    </row>
    <row r="2236" spans="1:19" x14ac:dyDescent="0.25">
      <c r="A2236">
        <v>101322555</v>
      </c>
      <c r="B2236" t="s">
        <v>6311</v>
      </c>
      <c r="C2236" t="s">
        <v>1962</v>
      </c>
      <c r="F2236" t="str">
        <f>"7184763046"</f>
        <v>7184763046</v>
      </c>
      <c r="G2236" t="s">
        <v>6312</v>
      </c>
      <c r="H2236" t="s">
        <v>6313</v>
      </c>
      <c r="I2236" t="s">
        <v>117</v>
      </c>
      <c r="J2236">
        <v>11379</v>
      </c>
      <c r="K2236">
        <v>1130</v>
      </c>
      <c r="L2236" t="s">
        <v>23</v>
      </c>
      <c r="M2236" t="s">
        <v>6312</v>
      </c>
      <c r="N2236" t="s">
        <v>6313</v>
      </c>
      <c r="O2236" t="s">
        <v>117</v>
      </c>
      <c r="P2236">
        <v>11379</v>
      </c>
      <c r="Q2236">
        <v>1130</v>
      </c>
      <c r="R2236" t="s">
        <v>23</v>
      </c>
      <c r="S2236" s="1" t="s">
        <v>34218</v>
      </c>
    </row>
    <row r="2237" spans="1:19" x14ac:dyDescent="0.25">
      <c r="A2237">
        <v>101319180</v>
      </c>
      <c r="B2237" t="s">
        <v>6314</v>
      </c>
      <c r="C2237" t="s">
        <v>6315</v>
      </c>
      <c r="F2237" t="str">
        <f>"5137340000"</f>
        <v>5137340000</v>
      </c>
      <c r="G2237" t="s">
        <v>6316</v>
      </c>
      <c r="H2237" t="s">
        <v>6317</v>
      </c>
      <c r="I2237" t="s">
        <v>178</v>
      </c>
      <c r="J2237">
        <v>45106</v>
      </c>
      <c r="K2237">
        <v>9453</v>
      </c>
      <c r="L2237" t="s">
        <v>23</v>
      </c>
      <c r="M2237" t="s">
        <v>6316</v>
      </c>
      <c r="N2237" t="s">
        <v>6317</v>
      </c>
      <c r="O2237" t="s">
        <v>178</v>
      </c>
      <c r="P2237">
        <v>45106</v>
      </c>
      <c r="Q2237">
        <v>9453</v>
      </c>
      <c r="R2237" t="s">
        <v>23</v>
      </c>
      <c r="S2237" s="1" t="s">
        <v>34218</v>
      </c>
    </row>
    <row r="2238" spans="1:19" x14ac:dyDescent="0.25">
      <c r="A2238">
        <v>100941120</v>
      </c>
      <c r="B2238" t="s">
        <v>1335</v>
      </c>
      <c r="C2238" t="s">
        <v>1460</v>
      </c>
      <c r="F2238" t="str">
        <f>"4048816430"</f>
        <v>4048816430</v>
      </c>
      <c r="G2238" t="s">
        <v>6318</v>
      </c>
      <c r="H2238" t="s">
        <v>27</v>
      </c>
      <c r="I2238" t="s">
        <v>28</v>
      </c>
      <c r="J2238">
        <v>30306</v>
      </c>
      <c r="K2238">
        <v>3201</v>
      </c>
      <c r="L2238" t="s">
        <v>23</v>
      </c>
      <c r="M2238" t="s">
        <v>6318</v>
      </c>
      <c r="N2238" t="s">
        <v>27</v>
      </c>
      <c r="O2238" t="s">
        <v>28</v>
      </c>
      <c r="P2238">
        <v>30306</v>
      </c>
      <c r="Q2238">
        <v>3201</v>
      </c>
      <c r="R2238" t="s">
        <v>23</v>
      </c>
      <c r="S2238" s="1" t="s">
        <v>34218</v>
      </c>
    </row>
    <row r="2239" spans="1:19" x14ac:dyDescent="0.25">
      <c r="A2239">
        <v>101129512</v>
      </c>
      <c r="B2239" t="s">
        <v>6319</v>
      </c>
      <c r="C2239" t="s">
        <v>1470</v>
      </c>
      <c r="F2239" t="str">
        <f>"8127745066"</f>
        <v>8127745066</v>
      </c>
      <c r="G2239" t="s">
        <v>6320</v>
      </c>
      <c r="H2239" t="s">
        <v>6321</v>
      </c>
      <c r="I2239" t="s">
        <v>57</v>
      </c>
      <c r="J2239">
        <v>47630</v>
      </c>
      <c r="K2239">
        <v>1560</v>
      </c>
      <c r="L2239" t="s">
        <v>23</v>
      </c>
      <c r="M2239" t="s">
        <v>6320</v>
      </c>
      <c r="N2239" t="s">
        <v>6321</v>
      </c>
      <c r="O2239" t="s">
        <v>57</v>
      </c>
      <c r="P2239">
        <v>47630</v>
      </c>
      <c r="Q2239">
        <v>1560</v>
      </c>
      <c r="R2239" t="s">
        <v>23</v>
      </c>
      <c r="S2239" s="1" t="s">
        <v>34218</v>
      </c>
    </row>
    <row r="2240" spans="1:19" x14ac:dyDescent="0.25">
      <c r="A2240">
        <v>101394930</v>
      </c>
      <c r="B2240" t="s">
        <v>6322</v>
      </c>
      <c r="C2240" t="s">
        <v>5868</v>
      </c>
      <c r="F2240" t="str">
        <f>"5188854465"</f>
        <v>5188854465</v>
      </c>
      <c r="G2240" t="s">
        <v>6323</v>
      </c>
      <c r="H2240" t="s">
        <v>6324</v>
      </c>
      <c r="I2240" t="s">
        <v>117</v>
      </c>
      <c r="J2240">
        <v>12020</v>
      </c>
      <c r="K2240">
        <v>2465</v>
      </c>
      <c r="L2240" t="s">
        <v>23</v>
      </c>
      <c r="M2240" t="s">
        <v>6323</v>
      </c>
      <c r="N2240" t="s">
        <v>6324</v>
      </c>
      <c r="O2240" t="s">
        <v>117</v>
      </c>
      <c r="P2240">
        <v>12020</v>
      </c>
      <c r="Q2240">
        <v>2465</v>
      </c>
      <c r="R2240" t="s">
        <v>23</v>
      </c>
      <c r="S2240" s="1" t="s">
        <v>34218</v>
      </c>
    </row>
    <row r="2241" spans="1:19" x14ac:dyDescent="0.25">
      <c r="A2241">
        <v>101348978</v>
      </c>
      <c r="B2241" t="s">
        <v>6325</v>
      </c>
      <c r="C2241" t="s">
        <v>4435</v>
      </c>
      <c r="F2241" t="str">
        <f>"5102909593"</f>
        <v>5102909593</v>
      </c>
      <c r="G2241" t="s">
        <v>6326</v>
      </c>
      <c r="H2241" t="s">
        <v>88</v>
      </c>
      <c r="I2241" t="s">
        <v>22</v>
      </c>
      <c r="J2241">
        <v>94611</v>
      </c>
      <c r="K2241">
        <v>1244</v>
      </c>
      <c r="L2241" t="s">
        <v>23</v>
      </c>
      <c r="M2241" t="s">
        <v>6326</v>
      </c>
      <c r="N2241" t="s">
        <v>88</v>
      </c>
      <c r="O2241" t="s">
        <v>22</v>
      </c>
      <c r="P2241">
        <v>94611</v>
      </c>
      <c r="Q2241">
        <v>1244</v>
      </c>
      <c r="R2241" t="s">
        <v>23</v>
      </c>
      <c r="S2241" s="1" t="s">
        <v>34218</v>
      </c>
    </row>
    <row r="2242" spans="1:19" x14ac:dyDescent="0.25">
      <c r="A2242">
        <v>101353525</v>
      </c>
      <c r="B2242" t="s">
        <v>2660</v>
      </c>
      <c r="C2242" t="s">
        <v>1069</v>
      </c>
      <c r="F2242" t="str">
        <f>"4806205320"</f>
        <v>4806205320</v>
      </c>
      <c r="G2242" t="s">
        <v>6327</v>
      </c>
      <c r="H2242" t="s">
        <v>625</v>
      </c>
      <c r="I2242" t="s">
        <v>365</v>
      </c>
      <c r="J2242">
        <v>85203</v>
      </c>
      <c r="K2242">
        <v>2557</v>
      </c>
      <c r="L2242" t="s">
        <v>23</v>
      </c>
      <c r="M2242" t="s">
        <v>6327</v>
      </c>
      <c r="N2242" t="s">
        <v>625</v>
      </c>
      <c r="O2242" t="s">
        <v>365</v>
      </c>
      <c r="P2242">
        <v>85203</v>
      </c>
      <c r="Q2242">
        <v>2557</v>
      </c>
      <c r="R2242" t="s">
        <v>23</v>
      </c>
      <c r="S2242" s="1" t="s">
        <v>34218</v>
      </c>
    </row>
    <row r="2243" spans="1:19" x14ac:dyDescent="0.25">
      <c r="A2243">
        <v>100656364</v>
      </c>
      <c r="B2243" t="s">
        <v>6328</v>
      </c>
      <c r="C2243" t="s">
        <v>6329</v>
      </c>
      <c r="F2243" t="str">
        <f>"6032349078"</f>
        <v>6032349078</v>
      </c>
      <c r="G2243" t="s">
        <v>6330</v>
      </c>
      <c r="H2243" t="s">
        <v>6331</v>
      </c>
      <c r="I2243" t="s">
        <v>126</v>
      </c>
      <c r="J2243">
        <v>63390</v>
      </c>
      <c r="K2243">
        <v>6373</v>
      </c>
      <c r="L2243" t="s">
        <v>23</v>
      </c>
      <c r="M2243" t="s">
        <v>6330</v>
      </c>
      <c r="N2243" t="s">
        <v>6331</v>
      </c>
      <c r="O2243" t="s">
        <v>126</v>
      </c>
      <c r="P2243">
        <v>63390</v>
      </c>
      <c r="Q2243">
        <v>6373</v>
      </c>
      <c r="R2243" t="s">
        <v>23</v>
      </c>
      <c r="S2243" s="1" t="s">
        <v>34218</v>
      </c>
    </row>
    <row r="2244" spans="1:19" x14ac:dyDescent="0.25">
      <c r="A2244">
        <v>100775155</v>
      </c>
      <c r="B2244" t="s">
        <v>6332</v>
      </c>
      <c r="C2244" t="s">
        <v>3609</v>
      </c>
      <c r="F2244" t="str">
        <f>"6466884109"</f>
        <v>6466884109</v>
      </c>
      <c r="G2244" t="s">
        <v>6333</v>
      </c>
      <c r="H2244" t="s">
        <v>653</v>
      </c>
      <c r="I2244" t="s">
        <v>117</v>
      </c>
      <c r="J2244">
        <v>10026</v>
      </c>
      <c r="K2244">
        <v>3552</v>
      </c>
      <c r="L2244" t="s">
        <v>23</v>
      </c>
      <c r="M2244" t="s">
        <v>6333</v>
      </c>
      <c r="N2244" t="s">
        <v>653</v>
      </c>
      <c r="O2244" t="s">
        <v>117</v>
      </c>
      <c r="P2244">
        <v>10026</v>
      </c>
      <c r="Q2244">
        <v>3552</v>
      </c>
      <c r="R2244" t="s">
        <v>23</v>
      </c>
      <c r="S2244" s="1" t="s">
        <v>34218</v>
      </c>
    </row>
    <row r="2245" spans="1:19" x14ac:dyDescent="0.25">
      <c r="A2245">
        <v>100997633</v>
      </c>
      <c r="B2245" t="s">
        <v>2651</v>
      </c>
      <c r="C2245" t="s">
        <v>68</v>
      </c>
      <c r="F2245" t="str">
        <f>"6098939037"</f>
        <v>6098939037</v>
      </c>
      <c r="G2245" t="s">
        <v>6334</v>
      </c>
      <c r="H2245" t="s">
        <v>6335</v>
      </c>
      <c r="I2245" t="s">
        <v>250</v>
      </c>
      <c r="J2245">
        <v>8015</v>
      </c>
      <c r="K2245">
        <v>5660</v>
      </c>
      <c r="L2245" t="s">
        <v>23</v>
      </c>
      <c r="M2245" t="s">
        <v>6334</v>
      </c>
      <c r="N2245" t="s">
        <v>6335</v>
      </c>
      <c r="O2245" t="s">
        <v>250</v>
      </c>
      <c r="P2245">
        <v>8015</v>
      </c>
      <c r="Q2245">
        <v>5660</v>
      </c>
      <c r="R2245" t="s">
        <v>23</v>
      </c>
      <c r="S2245" s="1" t="s">
        <v>34218</v>
      </c>
    </row>
    <row r="2246" spans="1:19" x14ac:dyDescent="0.25">
      <c r="A2246">
        <v>101007394</v>
      </c>
      <c r="B2246" t="s">
        <v>6336</v>
      </c>
      <c r="C2246" t="s">
        <v>286</v>
      </c>
      <c r="F2246" t="str">
        <f>"8283188233"</f>
        <v>8283188233</v>
      </c>
      <c r="G2246" t="s">
        <v>6337</v>
      </c>
      <c r="H2246" t="s">
        <v>6338</v>
      </c>
      <c r="I2246" t="s">
        <v>28</v>
      </c>
      <c r="J2246">
        <v>30017</v>
      </c>
      <c r="K2246">
        <v>4024</v>
      </c>
      <c r="L2246" t="s">
        <v>23</v>
      </c>
      <c r="M2246" t="s">
        <v>6337</v>
      </c>
      <c r="N2246" t="s">
        <v>6338</v>
      </c>
      <c r="O2246" t="s">
        <v>28</v>
      </c>
      <c r="P2246">
        <v>30017</v>
      </c>
      <c r="Q2246">
        <v>4024</v>
      </c>
      <c r="R2246" t="s">
        <v>23</v>
      </c>
      <c r="S2246" s="1" t="s">
        <v>34218</v>
      </c>
    </row>
    <row r="2247" spans="1:19" x14ac:dyDescent="0.25">
      <c r="A2247">
        <v>100691377</v>
      </c>
      <c r="B2247" t="s">
        <v>3373</v>
      </c>
      <c r="C2247" t="s">
        <v>286</v>
      </c>
      <c r="F2247" t="str">
        <f>"8058942968"</f>
        <v>8058942968</v>
      </c>
      <c r="G2247" t="s">
        <v>6339</v>
      </c>
      <c r="H2247" t="s">
        <v>174</v>
      </c>
      <c r="I2247" t="s">
        <v>22</v>
      </c>
      <c r="J2247">
        <v>93106</v>
      </c>
      <c r="K2247">
        <v>1</v>
      </c>
      <c r="L2247" t="s">
        <v>23</v>
      </c>
      <c r="M2247" t="s">
        <v>6339</v>
      </c>
      <c r="N2247" t="s">
        <v>174</v>
      </c>
      <c r="O2247" t="s">
        <v>22</v>
      </c>
      <c r="P2247">
        <v>93106</v>
      </c>
      <c r="Q2247">
        <v>1</v>
      </c>
      <c r="R2247" t="s">
        <v>23</v>
      </c>
      <c r="S2247" s="1" t="s">
        <v>34218</v>
      </c>
    </row>
    <row r="2248" spans="1:19" x14ac:dyDescent="0.25">
      <c r="A2248">
        <v>101337522</v>
      </c>
      <c r="B2248" t="s">
        <v>6340</v>
      </c>
      <c r="C2248" t="s">
        <v>6341</v>
      </c>
      <c r="F2248" t="str">
        <f>"6193689614"</f>
        <v>6193689614</v>
      </c>
      <c r="G2248" t="s">
        <v>6342</v>
      </c>
      <c r="H2248" t="s">
        <v>4122</v>
      </c>
      <c r="I2248" t="s">
        <v>22</v>
      </c>
      <c r="J2248">
        <v>91944</v>
      </c>
      <c r="K2248">
        <v>982</v>
      </c>
      <c r="L2248" t="s">
        <v>23</v>
      </c>
      <c r="M2248" t="s">
        <v>6342</v>
      </c>
      <c r="N2248" t="s">
        <v>4122</v>
      </c>
      <c r="O2248" t="s">
        <v>22</v>
      </c>
      <c r="P2248">
        <v>91944</v>
      </c>
      <c r="Q2248">
        <v>982</v>
      </c>
      <c r="R2248" t="s">
        <v>23</v>
      </c>
      <c r="S2248" s="1" t="s">
        <v>34218</v>
      </c>
    </row>
    <row r="2249" spans="1:19" x14ac:dyDescent="0.25">
      <c r="A2249">
        <v>100570581</v>
      </c>
      <c r="B2249" t="s">
        <v>5610</v>
      </c>
      <c r="C2249" t="s">
        <v>1050</v>
      </c>
      <c r="F2249" t="str">
        <f>"7636829482"</f>
        <v>7636829482</v>
      </c>
      <c r="G2249" t="s">
        <v>6343</v>
      </c>
      <c r="H2249" t="s">
        <v>202</v>
      </c>
      <c r="I2249" t="s">
        <v>187</v>
      </c>
      <c r="J2249">
        <v>55313</v>
      </c>
      <c r="K2249">
        <v>2348</v>
      </c>
      <c r="L2249" t="s">
        <v>23</v>
      </c>
      <c r="M2249" t="s">
        <v>6343</v>
      </c>
      <c r="N2249" t="s">
        <v>202</v>
      </c>
      <c r="O2249" t="s">
        <v>187</v>
      </c>
      <c r="P2249">
        <v>55313</v>
      </c>
      <c r="Q2249">
        <v>2348</v>
      </c>
      <c r="R2249" t="s">
        <v>23</v>
      </c>
      <c r="S2249" s="1" t="s">
        <v>34218</v>
      </c>
    </row>
    <row r="2250" spans="1:19" x14ac:dyDescent="0.25">
      <c r="A2250">
        <v>101234330</v>
      </c>
      <c r="B2250" t="s">
        <v>4672</v>
      </c>
      <c r="C2250" t="s">
        <v>114</v>
      </c>
      <c r="F2250" t="str">
        <f>"8085726979"</f>
        <v>8085726979</v>
      </c>
      <c r="G2250" t="s">
        <v>6344</v>
      </c>
      <c r="H2250" t="s">
        <v>931</v>
      </c>
      <c r="I2250" t="s">
        <v>22</v>
      </c>
      <c r="J2250">
        <v>95030</v>
      </c>
      <c r="K2250">
        <v>6817</v>
      </c>
      <c r="L2250" t="s">
        <v>23</v>
      </c>
      <c r="M2250" t="s">
        <v>6344</v>
      </c>
      <c r="N2250" t="s">
        <v>931</v>
      </c>
      <c r="O2250" t="s">
        <v>22</v>
      </c>
      <c r="P2250">
        <v>95030</v>
      </c>
      <c r="Q2250">
        <v>6817</v>
      </c>
      <c r="R2250" t="s">
        <v>23</v>
      </c>
      <c r="S2250" s="1" t="s">
        <v>34218</v>
      </c>
    </row>
    <row r="2251" spans="1:19" x14ac:dyDescent="0.25">
      <c r="A2251">
        <v>101284250</v>
      </c>
      <c r="B2251" t="s">
        <v>6345</v>
      </c>
      <c r="C2251" t="s">
        <v>535</v>
      </c>
      <c r="F2251" t="str">
        <f>"4238702838"</f>
        <v>4238702838</v>
      </c>
      <c r="G2251">
        <v>1</v>
      </c>
      <c r="H2251" t="s">
        <v>6346</v>
      </c>
      <c r="I2251" t="s">
        <v>914</v>
      </c>
      <c r="J2251">
        <v>37377</v>
      </c>
      <c r="L2251" t="s">
        <v>23</v>
      </c>
      <c r="M2251">
        <v>1</v>
      </c>
      <c r="N2251" t="s">
        <v>6346</v>
      </c>
      <c r="O2251" t="s">
        <v>914</v>
      </c>
      <c r="P2251">
        <v>37377</v>
      </c>
      <c r="R2251" t="s">
        <v>23</v>
      </c>
      <c r="S2251" s="1" t="s">
        <v>34218</v>
      </c>
    </row>
    <row r="2252" spans="1:19" x14ac:dyDescent="0.25">
      <c r="A2252">
        <v>101340554</v>
      </c>
      <c r="B2252" t="s">
        <v>6347</v>
      </c>
      <c r="C2252" t="s">
        <v>123</v>
      </c>
      <c r="F2252" t="str">
        <f>"9099440882"</f>
        <v>9099440882</v>
      </c>
      <c r="G2252" t="s">
        <v>6348</v>
      </c>
      <c r="H2252" t="s">
        <v>3388</v>
      </c>
      <c r="I2252" t="s">
        <v>22</v>
      </c>
      <c r="J2252">
        <v>91701</v>
      </c>
      <c r="K2252">
        <v>5160</v>
      </c>
      <c r="L2252" t="s">
        <v>23</v>
      </c>
      <c r="M2252" t="s">
        <v>6348</v>
      </c>
      <c r="N2252" t="s">
        <v>3388</v>
      </c>
      <c r="O2252" t="s">
        <v>22</v>
      </c>
      <c r="P2252">
        <v>91701</v>
      </c>
      <c r="Q2252">
        <v>5160</v>
      </c>
      <c r="R2252" t="s">
        <v>23</v>
      </c>
      <c r="S2252" s="1" t="s">
        <v>34218</v>
      </c>
    </row>
    <row r="2253" spans="1:19" x14ac:dyDescent="0.25">
      <c r="A2253">
        <v>101216955</v>
      </c>
      <c r="B2253" t="s">
        <v>1171</v>
      </c>
      <c r="C2253" t="s">
        <v>3017</v>
      </c>
      <c r="F2253" t="str">
        <f>"8452553289"</f>
        <v>8452553289</v>
      </c>
      <c r="G2253" t="s">
        <v>6349</v>
      </c>
      <c r="H2253" t="s">
        <v>3243</v>
      </c>
      <c r="I2253" t="s">
        <v>117</v>
      </c>
      <c r="J2253">
        <v>12528</v>
      </c>
      <c r="K2253">
        <v>2716</v>
      </c>
      <c r="L2253" t="s">
        <v>23</v>
      </c>
      <c r="M2253" t="s">
        <v>6349</v>
      </c>
      <c r="N2253" t="s">
        <v>3243</v>
      </c>
      <c r="O2253" t="s">
        <v>117</v>
      </c>
      <c r="P2253">
        <v>12528</v>
      </c>
      <c r="Q2253">
        <v>2716</v>
      </c>
      <c r="R2253" t="s">
        <v>23</v>
      </c>
      <c r="S2253" s="1" t="s">
        <v>34218</v>
      </c>
    </row>
    <row r="2254" spans="1:19" x14ac:dyDescent="0.25">
      <c r="A2254">
        <v>100718450</v>
      </c>
      <c r="B2254" t="s">
        <v>812</v>
      </c>
      <c r="C2254" t="s">
        <v>4828</v>
      </c>
      <c r="F2254" t="str">
        <f>"5555555555"</f>
        <v>5555555555</v>
      </c>
      <c r="G2254" t="s">
        <v>6350</v>
      </c>
      <c r="H2254" t="s">
        <v>227</v>
      </c>
      <c r="I2254" t="s">
        <v>43</v>
      </c>
      <c r="J2254">
        <v>97202</v>
      </c>
      <c r="L2254" t="s">
        <v>23</v>
      </c>
      <c r="M2254" t="s">
        <v>6350</v>
      </c>
      <c r="N2254" t="s">
        <v>227</v>
      </c>
      <c r="O2254" t="s">
        <v>43</v>
      </c>
      <c r="P2254">
        <v>97202</v>
      </c>
      <c r="R2254" t="s">
        <v>23</v>
      </c>
      <c r="S2254" s="1" t="s">
        <v>34218</v>
      </c>
    </row>
    <row r="2255" spans="1:19" x14ac:dyDescent="0.25">
      <c r="A2255">
        <v>100560674</v>
      </c>
      <c r="B2255" t="s">
        <v>6351</v>
      </c>
      <c r="C2255" t="s">
        <v>1208</v>
      </c>
      <c r="F2255" t="str">
        <f>"2158360426"</f>
        <v>2158360426</v>
      </c>
      <c r="G2255" t="s">
        <v>6352</v>
      </c>
      <c r="H2255" t="s">
        <v>6353</v>
      </c>
      <c r="I2255" t="s">
        <v>33</v>
      </c>
      <c r="J2255">
        <v>19038</v>
      </c>
      <c r="K2255">
        <v>7960</v>
      </c>
      <c r="L2255" t="s">
        <v>23</v>
      </c>
      <c r="M2255" t="s">
        <v>6352</v>
      </c>
      <c r="N2255" t="s">
        <v>6353</v>
      </c>
      <c r="O2255" t="s">
        <v>33</v>
      </c>
      <c r="P2255">
        <v>19038</v>
      </c>
      <c r="Q2255">
        <v>7960</v>
      </c>
      <c r="R2255" t="s">
        <v>23</v>
      </c>
      <c r="S2255" s="1" t="s">
        <v>34218</v>
      </c>
    </row>
    <row r="2256" spans="1:19" x14ac:dyDescent="0.25">
      <c r="A2256">
        <v>101266635</v>
      </c>
      <c r="B2256" t="s">
        <v>6354</v>
      </c>
      <c r="C2256" t="s">
        <v>1492</v>
      </c>
      <c r="F2256" t="str">
        <f>"5418446924"</f>
        <v>5418446924</v>
      </c>
      <c r="G2256" t="s">
        <v>6355</v>
      </c>
      <c r="H2256" t="s">
        <v>1452</v>
      </c>
      <c r="I2256" t="s">
        <v>43</v>
      </c>
      <c r="J2256">
        <v>97405</v>
      </c>
      <c r="K2256">
        <v>9013</v>
      </c>
      <c r="L2256" t="s">
        <v>23</v>
      </c>
      <c r="M2256" t="s">
        <v>6355</v>
      </c>
      <c r="N2256" t="s">
        <v>1452</v>
      </c>
      <c r="O2256" t="s">
        <v>43</v>
      </c>
      <c r="P2256">
        <v>97405</v>
      </c>
      <c r="Q2256">
        <v>9013</v>
      </c>
      <c r="R2256" t="s">
        <v>23</v>
      </c>
      <c r="S2256" s="1" t="s">
        <v>34218</v>
      </c>
    </row>
    <row r="2257" spans="1:19" x14ac:dyDescent="0.25">
      <c r="A2257">
        <v>101265094</v>
      </c>
      <c r="B2257" t="s">
        <v>6356</v>
      </c>
      <c r="C2257" t="s">
        <v>4318</v>
      </c>
      <c r="F2257" t="str">
        <f>"4346893351"</f>
        <v>4346893351</v>
      </c>
      <c r="G2257" t="s">
        <v>6357</v>
      </c>
      <c r="H2257" t="s">
        <v>6358</v>
      </c>
      <c r="I2257" t="s">
        <v>255</v>
      </c>
      <c r="J2257">
        <v>23919</v>
      </c>
      <c r="K2257">
        <v>1616</v>
      </c>
      <c r="L2257" t="s">
        <v>23</v>
      </c>
      <c r="M2257" t="s">
        <v>6357</v>
      </c>
      <c r="N2257" t="s">
        <v>6358</v>
      </c>
      <c r="O2257" t="s">
        <v>255</v>
      </c>
      <c r="P2257">
        <v>23919</v>
      </c>
      <c r="Q2257">
        <v>1616</v>
      </c>
      <c r="R2257" t="s">
        <v>23</v>
      </c>
      <c r="S2257" s="1" t="s">
        <v>34218</v>
      </c>
    </row>
    <row r="2258" spans="1:19" x14ac:dyDescent="0.25">
      <c r="A2258">
        <v>101301052</v>
      </c>
      <c r="B2258" t="s">
        <v>6359</v>
      </c>
      <c r="C2258" t="s">
        <v>6360</v>
      </c>
      <c r="F2258" t="str">
        <f>"3023782088"</f>
        <v>3023782088</v>
      </c>
      <c r="G2258" t="s">
        <v>6361</v>
      </c>
      <c r="H2258" t="s">
        <v>2253</v>
      </c>
      <c r="I2258" t="s">
        <v>2310</v>
      </c>
      <c r="J2258">
        <v>19734</v>
      </c>
      <c r="L2258" t="s">
        <v>23</v>
      </c>
      <c r="M2258" t="s">
        <v>6361</v>
      </c>
      <c r="N2258" t="s">
        <v>2253</v>
      </c>
      <c r="O2258" t="s">
        <v>2310</v>
      </c>
      <c r="P2258">
        <v>19734</v>
      </c>
      <c r="R2258" t="s">
        <v>23</v>
      </c>
      <c r="S2258" s="1" t="s">
        <v>34218</v>
      </c>
    </row>
    <row r="2259" spans="1:19" x14ac:dyDescent="0.25">
      <c r="A2259">
        <v>101042437</v>
      </c>
      <c r="B2259" t="s">
        <v>6362</v>
      </c>
      <c r="C2259" t="s">
        <v>4218</v>
      </c>
      <c r="F2259" t="str">
        <f>"5105059873"</f>
        <v>5105059873</v>
      </c>
      <c r="G2259" t="s">
        <v>6363</v>
      </c>
      <c r="H2259" t="s">
        <v>595</v>
      </c>
      <c r="I2259" t="s">
        <v>22</v>
      </c>
      <c r="J2259">
        <v>94536</v>
      </c>
      <c r="K2259">
        <v>7263</v>
      </c>
      <c r="L2259" t="s">
        <v>23</v>
      </c>
      <c r="M2259" t="s">
        <v>6363</v>
      </c>
      <c r="N2259" t="s">
        <v>595</v>
      </c>
      <c r="O2259" t="s">
        <v>22</v>
      </c>
      <c r="P2259">
        <v>94536</v>
      </c>
      <c r="Q2259">
        <v>7263</v>
      </c>
      <c r="R2259" t="s">
        <v>23</v>
      </c>
      <c r="S2259" s="1" t="s">
        <v>34218</v>
      </c>
    </row>
    <row r="2260" spans="1:19" x14ac:dyDescent="0.25">
      <c r="A2260">
        <v>101236631</v>
      </c>
      <c r="B2260" t="s">
        <v>6364</v>
      </c>
      <c r="C2260" t="s">
        <v>209</v>
      </c>
      <c r="F2260" t="str">
        <f>"7733986515"</f>
        <v>7733986515</v>
      </c>
      <c r="G2260" t="s">
        <v>6365</v>
      </c>
      <c r="H2260" t="s">
        <v>125</v>
      </c>
      <c r="I2260" t="s">
        <v>126</v>
      </c>
      <c r="J2260">
        <v>63118</v>
      </c>
      <c r="K2260">
        <v>2845</v>
      </c>
      <c r="L2260" t="s">
        <v>23</v>
      </c>
      <c r="M2260" t="s">
        <v>6365</v>
      </c>
      <c r="N2260" t="s">
        <v>125</v>
      </c>
      <c r="O2260" t="s">
        <v>126</v>
      </c>
      <c r="P2260">
        <v>63118</v>
      </c>
      <c r="Q2260">
        <v>2845</v>
      </c>
      <c r="R2260" t="s">
        <v>23</v>
      </c>
      <c r="S2260" s="1" t="s">
        <v>34218</v>
      </c>
    </row>
    <row r="2261" spans="1:19" x14ac:dyDescent="0.25">
      <c r="A2261">
        <v>101239002</v>
      </c>
      <c r="B2261" t="s">
        <v>6366</v>
      </c>
      <c r="C2261" t="s">
        <v>2802</v>
      </c>
      <c r="F2261" t="str">
        <f>"2398227182"</f>
        <v>2398227182</v>
      </c>
      <c r="G2261" t="s">
        <v>6367</v>
      </c>
      <c r="H2261" t="s">
        <v>6368</v>
      </c>
      <c r="I2261" t="s">
        <v>52</v>
      </c>
      <c r="J2261">
        <v>33917</v>
      </c>
      <c r="K2261">
        <v>3125</v>
      </c>
      <c r="L2261" t="s">
        <v>23</v>
      </c>
      <c r="M2261" t="s">
        <v>6367</v>
      </c>
      <c r="N2261" t="s">
        <v>6368</v>
      </c>
      <c r="O2261" t="s">
        <v>52</v>
      </c>
      <c r="P2261">
        <v>33917</v>
      </c>
      <c r="Q2261">
        <v>3125</v>
      </c>
      <c r="R2261" t="s">
        <v>23</v>
      </c>
      <c r="S2261" s="1" t="s">
        <v>34218</v>
      </c>
    </row>
    <row r="2262" spans="1:19" x14ac:dyDescent="0.25">
      <c r="A2262">
        <v>101256725</v>
      </c>
      <c r="B2262" t="s">
        <v>1007</v>
      </c>
      <c r="C2262" t="s">
        <v>3670</v>
      </c>
      <c r="F2262" t="str">
        <f>"5034301818"</f>
        <v>5034301818</v>
      </c>
      <c r="G2262" t="s">
        <v>6369</v>
      </c>
      <c r="H2262" t="s">
        <v>818</v>
      </c>
      <c r="I2262" t="s">
        <v>43</v>
      </c>
      <c r="J2262">
        <v>97005</v>
      </c>
      <c r="K2262">
        <v>1146</v>
      </c>
      <c r="L2262" t="s">
        <v>23</v>
      </c>
      <c r="M2262" t="s">
        <v>6369</v>
      </c>
      <c r="N2262" t="s">
        <v>818</v>
      </c>
      <c r="O2262" t="s">
        <v>43</v>
      </c>
      <c r="P2262">
        <v>97005</v>
      </c>
      <c r="Q2262">
        <v>1146</v>
      </c>
      <c r="R2262" t="s">
        <v>23</v>
      </c>
      <c r="S2262" s="1" t="s">
        <v>34218</v>
      </c>
    </row>
    <row r="2263" spans="1:19" x14ac:dyDescent="0.25">
      <c r="A2263">
        <v>101260863</v>
      </c>
      <c r="B2263" t="s">
        <v>2486</v>
      </c>
      <c r="C2263" t="s">
        <v>382</v>
      </c>
      <c r="F2263" t="str">
        <f>"5419264599"</f>
        <v>5419264599</v>
      </c>
      <c r="G2263" t="s">
        <v>6370</v>
      </c>
      <c r="H2263" t="s">
        <v>1052</v>
      </c>
      <c r="I2263" t="s">
        <v>43</v>
      </c>
      <c r="J2263">
        <v>97321</v>
      </c>
      <c r="K2263">
        <v>9637</v>
      </c>
      <c r="L2263" t="s">
        <v>23</v>
      </c>
      <c r="M2263" t="s">
        <v>6370</v>
      </c>
      <c r="N2263" t="s">
        <v>1052</v>
      </c>
      <c r="O2263" t="s">
        <v>43</v>
      </c>
      <c r="P2263">
        <v>97321</v>
      </c>
      <c r="Q2263">
        <v>9637</v>
      </c>
      <c r="R2263" t="s">
        <v>23</v>
      </c>
      <c r="S2263" s="1" t="s">
        <v>34218</v>
      </c>
    </row>
    <row r="2264" spans="1:19" x14ac:dyDescent="0.25">
      <c r="A2264">
        <v>101297842</v>
      </c>
      <c r="B2264" t="s">
        <v>6371</v>
      </c>
      <c r="C2264" t="s">
        <v>123</v>
      </c>
      <c r="F2264" t="str">
        <f>"5094558368"</f>
        <v>5094558368</v>
      </c>
      <c r="G2264" t="s">
        <v>6372</v>
      </c>
      <c r="H2264" t="s">
        <v>3129</v>
      </c>
      <c r="I2264" t="s">
        <v>84</v>
      </c>
      <c r="J2264">
        <v>99204</v>
      </c>
      <c r="K2264">
        <v>3519</v>
      </c>
      <c r="L2264" t="s">
        <v>23</v>
      </c>
      <c r="M2264" t="s">
        <v>6372</v>
      </c>
      <c r="N2264" t="s">
        <v>3129</v>
      </c>
      <c r="O2264" t="s">
        <v>84</v>
      </c>
      <c r="P2264">
        <v>99204</v>
      </c>
      <c r="Q2264">
        <v>3519</v>
      </c>
      <c r="R2264" t="s">
        <v>23</v>
      </c>
      <c r="S2264" s="1" t="s">
        <v>34218</v>
      </c>
    </row>
    <row r="2265" spans="1:19" x14ac:dyDescent="0.25">
      <c r="A2265">
        <v>101306079</v>
      </c>
      <c r="B2265" t="s">
        <v>744</v>
      </c>
      <c r="C2265" t="s">
        <v>1153</v>
      </c>
      <c r="F2265" t="str">
        <f>"9086894512"</f>
        <v>9086894512</v>
      </c>
      <c r="G2265" t="s">
        <v>6373</v>
      </c>
      <c r="H2265" t="s">
        <v>169</v>
      </c>
      <c r="I2265" t="s">
        <v>250</v>
      </c>
      <c r="J2265">
        <v>7882</v>
      </c>
      <c r="K2265">
        <v>1316</v>
      </c>
      <c r="L2265" t="s">
        <v>23</v>
      </c>
      <c r="M2265" t="s">
        <v>6373</v>
      </c>
      <c r="N2265" t="s">
        <v>169</v>
      </c>
      <c r="O2265" t="s">
        <v>250</v>
      </c>
      <c r="P2265">
        <v>7882</v>
      </c>
      <c r="Q2265">
        <v>1316</v>
      </c>
      <c r="R2265" t="s">
        <v>23</v>
      </c>
      <c r="S2265" s="1" t="s">
        <v>34218</v>
      </c>
    </row>
    <row r="2266" spans="1:19" x14ac:dyDescent="0.25">
      <c r="A2266">
        <v>100982793</v>
      </c>
      <c r="B2266" t="s">
        <v>6374</v>
      </c>
      <c r="C2266" t="s">
        <v>6375</v>
      </c>
      <c r="F2266" t="str">
        <f>"4155331779"</f>
        <v>4155331779</v>
      </c>
      <c r="G2266">
        <v>94960</v>
      </c>
      <c r="H2266" t="s">
        <v>3815</v>
      </c>
      <c r="I2266" t="s">
        <v>22</v>
      </c>
      <c r="J2266">
        <v>94960</v>
      </c>
      <c r="L2266" t="s">
        <v>23</v>
      </c>
      <c r="M2266">
        <v>94960</v>
      </c>
      <c r="N2266" t="s">
        <v>3815</v>
      </c>
      <c r="O2266" t="s">
        <v>22</v>
      </c>
      <c r="P2266">
        <v>94960</v>
      </c>
      <c r="R2266" t="s">
        <v>23</v>
      </c>
      <c r="S2266" s="1" t="s">
        <v>34218</v>
      </c>
    </row>
    <row r="2267" spans="1:19" x14ac:dyDescent="0.25">
      <c r="A2267">
        <v>101130534</v>
      </c>
      <c r="B2267" t="s">
        <v>6376</v>
      </c>
      <c r="C2267" t="s">
        <v>5822</v>
      </c>
      <c r="F2267" t="str">
        <f>"3605555555"</f>
        <v>3605555555</v>
      </c>
      <c r="G2267" t="s">
        <v>6377</v>
      </c>
      <c r="H2267" t="s">
        <v>6378</v>
      </c>
      <c r="I2267" t="s">
        <v>84</v>
      </c>
      <c r="J2267">
        <v>98563</v>
      </c>
      <c r="K2267">
        <v>2804</v>
      </c>
      <c r="L2267" t="s">
        <v>23</v>
      </c>
      <c r="M2267" t="s">
        <v>6377</v>
      </c>
      <c r="N2267" t="s">
        <v>6378</v>
      </c>
      <c r="O2267" t="s">
        <v>84</v>
      </c>
      <c r="P2267">
        <v>98563</v>
      </c>
      <c r="Q2267">
        <v>2804</v>
      </c>
      <c r="R2267" t="s">
        <v>23</v>
      </c>
      <c r="S2267" s="1" t="s">
        <v>34218</v>
      </c>
    </row>
    <row r="2268" spans="1:19" x14ac:dyDescent="0.25">
      <c r="A2268">
        <v>101413460</v>
      </c>
      <c r="B2268" t="s">
        <v>2300</v>
      </c>
      <c r="C2268" t="s">
        <v>382</v>
      </c>
      <c r="F2268" t="str">
        <f>"6173324380"</f>
        <v>6173324380</v>
      </c>
      <c r="G2268" t="s">
        <v>6379</v>
      </c>
      <c r="H2268" t="s">
        <v>6104</v>
      </c>
      <c r="I2268" t="s">
        <v>236</v>
      </c>
      <c r="J2268">
        <v>2459</v>
      </c>
      <c r="K2268">
        <v>2405</v>
      </c>
      <c r="L2268" t="s">
        <v>23</v>
      </c>
      <c r="M2268" t="s">
        <v>6379</v>
      </c>
      <c r="N2268" t="s">
        <v>6104</v>
      </c>
      <c r="O2268" t="s">
        <v>236</v>
      </c>
      <c r="P2268">
        <v>2459</v>
      </c>
      <c r="Q2268">
        <v>2405</v>
      </c>
      <c r="R2268" t="s">
        <v>23</v>
      </c>
      <c r="S2268" s="1" t="s">
        <v>34218</v>
      </c>
    </row>
    <row r="2269" spans="1:19" x14ac:dyDescent="0.25">
      <c r="A2269">
        <v>101296387</v>
      </c>
      <c r="B2269" t="s">
        <v>744</v>
      </c>
      <c r="C2269" t="s">
        <v>1179</v>
      </c>
      <c r="F2269" t="str">
        <f>"5123968127"</f>
        <v>5123968127</v>
      </c>
      <c r="G2269" t="s">
        <v>6380</v>
      </c>
      <c r="H2269" t="s">
        <v>5820</v>
      </c>
      <c r="I2269" t="s">
        <v>38</v>
      </c>
      <c r="J2269">
        <v>78666</v>
      </c>
      <c r="K2269">
        <v>5403</v>
      </c>
      <c r="L2269" t="s">
        <v>23</v>
      </c>
      <c r="M2269" t="s">
        <v>6380</v>
      </c>
      <c r="N2269" t="s">
        <v>5820</v>
      </c>
      <c r="O2269" t="s">
        <v>38</v>
      </c>
      <c r="P2269">
        <v>78666</v>
      </c>
      <c r="Q2269">
        <v>5403</v>
      </c>
      <c r="R2269" t="s">
        <v>23</v>
      </c>
      <c r="S2269" s="1" t="s">
        <v>34218</v>
      </c>
    </row>
    <row r="2270" spans="1:19" x14ac:dyDescent="0.25">
      <c r="A2270">
        <v>101326523</v>
      </c>
      <c r="B2270" t="s">
        <v>6381</v>
      </c>
      <c r="C2270" t="s">
        <v>45</v>
      </c>
      <c r="F2270" t="str">
        <f>"8473732111"</f>
        <v>8473732111</v>
      </c>
      <c r="G2270" t="s">
        <v>6382</v>
      </c>
      <c r="H2270" t="s">
        <v>6383</v>
      </c>
      <c r="I2270" t="s">
        <v>135</v>
      </c>
      <c r="J2270">
        <v>60194</v>
      </c>
      <c r="K2270">
        <v>2240</v>
      </c>
      <c r="L2270" t="s">
        <v>23</v>
      </c>
      <c r="M2270" t="s">
        <v>6382</v>
      </c>
      <c r="N2270" t="s">
        <v>6383</v>
      </c>
      <c r="O2270" t="s">
        <v>135</v>
      </c>
      <c r="P2270">
        <v>60194</v>
      </c>
      <c r="Q2270">
        <v>2240</v>
      </c>
      <c r="R2270" t="s">
        <v>23</v>
      </c>
      <c r="S2270" s="1" t="s">
        <v>34218</v>
      </c>
    </row>
    <row r="2271" spans="1:19" x14ac:dyDescent="0.25">
      <c r="A2271">
        <v>100764454</v>
      </c>
      <c r="B2271" t="s">
        <v>1991</v>
      </c>
      <c r="C2271" t="s">
        <v>6384</v>
      </c>
      <c r="F2271" t="str">
        <f>"5099358809"</f>
        <v>5099358809</v>
      </c>
      <c r="G2271" t="s">
        <v>6385</v>
      </c>
      <c r="H2271" t="s">
        <v>6386</v>
      </c>
      <c r="I2271" t="s">
        <v>84</v>
      </c>
      <c r="J2271">
        <v>99101</v>
      </c>
      <c r="K2271">
        <v>9712</v>
      </c>
      <c r="L2271" t="s">
        <v>23</v>
      </c>
      <c r="M2271" t="s">
        <v>6385</v>
      </c>
      <c r="N2271" t="s">
        <v>6386</v>
      </c>
      <c r="O2271" t="s">
        <v>84</v>
      </c>
      <c r="P2271">
        <v>99101</v>
      </c>
      <c r="Q2271">
        <v>9712</v>
      </c>
      <c r="R2271" t="s">
        <v>23</v>
      </c>
      <c r="S2271" s="1" t="s">
        <v>34218</v>
      </c>
    </row>
    <row r="2272" spans="1:19" x14ac:dyDescent="0.25">
      <c r="A2272">
        <v>100776533</v>
      </c>
      <c r="B2272" t="s">
        <v>6387</v>
      </c>
      <c r="C2272" t="s">
        <v>6388</v>
      </c>
      <c r="F2272" t="str">
        <f>"3825968911"</f>
        <v>3825968911</v>
      </c>
      <c r="G2272" t="s">
        <v>6389</v>
      </c>
      <c r="H2272" t="s">
        <v>6390</v>
      </c>
      <c r="I2272" t="s">
        <v>236</v>
      </c>
      <c r="J2272">
        <v>1844</v>
      </c>
      <c r="K2272">
        <v>3808</v>
      </c>
      <c r="L2272" t="s">
        <v>23</v>
      </c>
      <c r="M2272" t="s">
        <v>6389</v>
      </c>
      <c r="N2272" t="s">
        <v>6390</v>
      </c>
      <c r="O2272" t="s">
        <v>236</v>
      </c>
      <c r="P2272">
        <v>1844</v>
      </c>
      <c r="Q2272">
        <v>3808</v>
      </c>
      <c r="R2272" t="s">
        <v>23</v>
      </c>
      <c r="S2272" s="1" t="s">
        <v>34218</v>
      </c>
    </row>
    <row r="2273" spans="1:19" x14ac:dyDescent="0.25">
      <c r="A2273">
        <v>101207357</v>
      </c>
      <c r="B2273" t="s">
        <v>6391</v>
      </c>
      <c r="C2273" t="s">
        <v>119</v>
      </c>
      <c r="F2273" t="str">
        <f>"3369925256"</f>
        <v>3369925256</v>
      </c>
      <c r="G2273" t="s">
        <v>6392</v>
      </c>
      <c r="H2273" t="s">
        <v>2309</v>
      </c>
      <c r="I2273" t="s">
        <v>446</v>
      </c>
      <c r="J2273">
        <v>28403</v>
      </c>
      <c r="K2273">
        <v>5355</v>
      </c>
      <c r="L2273" t="s">
        <v>23</v>
      </c>
      <c r="M2273" t="s">
        <v>6392</v>
      </c>
      <c r="N2273" t="s">
        <v>2309</v>
      </c>
      <c r="O2273" t="s">
        <v>446</v>
      </c>
      <c r="P2273">
        <v>28403</v>
      </c>
      <c r="Q2273">
        <v>5355</v>
      </c>
      <c r="R2273" t="s">
        <v>23</v>
      </c>
      <c r="S2273" s="1" t="s">
        <v>34218</v>
      </c>
    </row>
    <row r="2274" spans="1:19" x14ac:dyDescent="0.25">
      <c r="A2274">
        <v>101037352</v>
      </c>
      <c r="B2274" t="s">
        <v>6393</v>
      </c>
      <c r="C2274" t="s">
        <v>6394</v>
      </c>
      <c r="F2274" t="str">
        <f>"7863273656"</f>
        <v>7863273656</v>
      </c>
      <c r="G2274" t="s">
        <v>6395</v>
      </c>
      <c r="H2274" t="s">
        <v>869</v>
      </c>
      <c r="I2274" t="s">
        <v>52</v>
      </c>
      <c r="J2274">
        <v>33161</v>
      </c>
      <c r="L2274" t="s">
        <v>23</v>
      </c>
      <c r="M2274" t="s">
        <v>6395</v>
      </c>
      <c r="N2274" t="s">
        <v>869</v>
      </c>
      <c r="O2274" t="s">
        <v>52</v>
      </c>
      <c r="P2274">
        <v>33161</v>
      </c>
      <c r="R2274" t="s">
        <v>23</v>
      </c>
      <c r="S2274" s="1" t="s">
        <v>34218</v>
      </c>
    </row>
    <row r="2275" spans="1:19" x14ac:dyDescent="0.25">
      <c r="A2275">
        <v>101366879</v>
      </c>
      <c r="B2275" t="s">
        <v>6396</v>
      </c>
      <c r="C2275" t="s">
        <v>6397</v>
      </c>
      <c r="F2275" t="str">
        <f>"7758254755"</f>
        <v>7758254755</v>
      </c>
      <c r="G2275">
        <v>89519</v>
      </c>
      <c r="H2275" t="s">
        <v>1857</v>
      </c>
      <c r="I2275" t="s">
        <v>702</v>
      </c>
      <c r="J2275">
        <v>89519</v>
      </c>
      <c r="L2275" t="s">
        <v>23</v>
      </c>
      <c r="M2275">
        <v>89519</v>
      </c>
      <c r="N2275" t="s">
        <v>1857</v>
      </c>
      <c r="O2275" t="s">
        <v>702</v>
      </c>
      <c r="P2275">
        <v>89519</v>
      </c>
      <c r="R2275" t="s">
        <v>23</v>
      </c>
      <c r="S2275" s="1" t="s">
        <v>34218</v>
      </c>
    </row>
    <row r="2276" spans="1:19" x14ac:dyDescent="0.25">
      <c r="A2276">
        <v>101262682</v>
      </c>
      <c r="B2276" t="s">
        <v>6398</v>
      </c>
      <c r="C2276" t="s">
        <v>585</v>
      </c>
      <c r="F2276" t="str">
        <f>"9255240125"</f>
        <v>9255240125</v>
      </c>
      <c r="G2276" t="s">
        <v>6399</v>
      </c>
      <c r="H2276" t="s">
        <v>6400</v>
      </c>
      <c r="I2276" t="s">
        <v>22</v>
      </c>
      <c r="J2276">
        <v>94517</v>
      </c>
      <c r="K2276">
        <v>2032</v>
      </c>
      <c r="L2276" t="s">
        <v>23</v>
      </c>
      <c r="M2276" t="s">
        <v>6399</v>
      </c>
      <c r="N2276" t="s">
        <v>6400</v>
      </c>
      <c r="O2276" t="s">
        <v>22</v>
      </c>
      <c r="P2276">
        <v>94517</v>
      </c>
      <c r="Q2276">
        <v>2032</v>
      </c>
      <c r="R2276" t="s">
        <v>23</v>
      </c>
      <c r="S2276" s="1" t="s">
        <v>34218</v>
      </c>
    </row>
    <row r="2277" spans="1:19" x14ac:dyDescent="0.25">
      <c r="A2277">
        <v>101194153</v>
      </c>
      <c r="B2277" t="s">
        <v>1174</v>
      </c>
      <c r="C2277" t="s">
        <v>3606</v>
      </c>
      <c r="F2277" t="str">
        <f>"9036174889"</f>
        <v>9036174889</v>
      </c>
      <c r="G2277" t="s">
        <v>6401</v>
      </c>
      <c r="H2277" t="s">
        <v>6402</v>
      </c>
      <c r="I2277" t="s">
        <v>38</v>
      </c>
      <c r="J2277" t="s">
        <v>6403</v>
      </c>
      <c r="K2277">
        <v>8519</v>
      </c>
      <c r="L2277" t="s">
        <v>23</v>
      </c>
      <c r="M2277" t="s">
        <v>6401</v>
      </c>
      <c r="N2277" t="s">
        <v>6402</v>
      </c>
      <c r="O2277" t="s">
        <v>38</v>
      </c>
      <c r="P2277" t="s">
        <v>6403</v>
      </c>
      <c r="Q2277">
        <v>8519</v>
      </c>
      <c r="R2277" t="s">
        <v>23</v>
      </c>
      <c r="S2277" s="1" t="s">
        <v>34218</v>
      </c>
    </row>
    <row r="2278" spans="1:19" x14ac:dyDescent="0.25">
      <c r="A2278">
        <v>100635342</v>
      </c>
      <c r="B2278" t="s">
        <v>6404</v>
      </c>
      <c r="C2278" t="s">
        <v>77</v>
      </c>
      <c r="F2278" t="str">
        <f>"8142348566"</f>
        <v>8142348566</v>
      </c>
      <c r="G2278" t="s">
        <v>6405</v>
      </c>
      <c r="H2278" t="s">
        <v>6406</v>
      </c>
      <c r="I2278" t="s">
        <v>38</v>
      </c>
      <c r="J2278" t="s">
        <v>6407</v>
      </c>
      <c r="K2278">
        <v>5964</v>
      </c>
      <c r="L2278" t="s">
        <v>23</v>
      </c>
      <c r="M2278" t="s">
        <v>6405</v>
      </c>
      <c r="N2278" t="s">
        <v>6406</v>
      </c>
      <c r="O2278" t="s">
        <v>38</v>
      </c>
      <c r="P2278" t="s">
        <v>6407</v>
      </c>
      <c r="Q2278">
        <v>5964</v>
      </c>
      <c r="R2278" t="s">
        <v>23</v>
      </c>
      <c r="S2278" s="1" t="s">
        <v>34218</v>
      </c>
    </row>
    <row r="2279" spans="1:19" x14ac:dyDescent="0.25">
      <c r="A2279">
        <v>100810315</v>
      </c>
      <c r="B2279" t="s">
        <v>6408</v>
      </c>
      <c r="C2279" t="s">
        <v>6409</v>
      </c>
      <c r="F2279" t="str">
        <f>"7146090122"</f>
        <v>7146090122</v>
      </c>
      <c r="G2279" t="s">
        <v>6410</v>
      </c>
      <c r="H2279" t="s">
        <v>1614</v>
      </c>
      <c r="I2279" t="s">
        <v>22</v>
      </c>
      <c r="J2279" t="s">
        <v>6411</v>
      </c>
      <c r="K2279">
        <v>8614</v>
      </c>
      <c r="L2279" t="s">
        <v>23</v>
      </c>
      <c r="M2279" t="s">
        <v>6410</v>
      </c>
      <c r="N2279" t="s">
        <v>1614</v>
      </c>
      <c r="O2279" t="s">
        <v>22</v>
      </c>
      <c r="P2279" t="s">
        <v>6411</v>
      </c>
      <c r="Q2279">
        <v>8614</v>
      </c>
      <c r="R2279" t="s">
        <v>23</v>
      </c>
      <c r="S2279" s="1" t="s">
        <v>34218</v>
      </c>
    </row>
    <row r="2280" spans="1:19" x14ac:dyDescent="0.25">
      <c r="A2280">
        <v>101065000</v>
      </c>
      <c r="B2280" t="s">
        <v>6412</v>
      </c>
      <c r="C2280" t="s">
        <v>6413</v>
      </c>
      <c r="F2280" t="str">
        <f>"2345678890"</f>
        <v>2345678890</v>
      </c>
      <c r="G2280" t="s">
        <v>6414</v>
      </c>
      <c r="H2280" t="s">
        <v>6415</v>
      </c>
      <c r="I2280" t="s">
        <v>22</v>
      </c>
      <c r="J2280">
        <v>90260</v>
      </c>
      <c r="K2280">
        <v>3102</v>
      </c>
      <c r="L2280" t="s">
        <v>23</v>
      </c>
      <c r="M2280" t="s">
        <v>6414</v>
      </c>
      <c r="N2280" t="s">
        <v>6415</v>
      </c>
      <c r="O2280" t="s">
        <v>22</v>
      </c>
      <c r="P2280">
        <v>90260</v>
      </c>
      <c r="Q2280">
        <v>3102</v>
      </c>
      <c r="R2280" t="s">
        <v>23</v>
      </c>
      <c r="S2280" s="1" t="s">
        <v>34218</v>
      </c>
    </row>
    <row r="2281" spans="1:19" x14ac:dyDescent="0.25">
      <c r="A2281">
        <v>101225604</v>
      </c>
      <c r="B2281" t="s">
        <v>1622</v>
      </c>
      <c r="C2281" t="s">
        <v>247</v>
      </c>
      <c r="F2281" t="str">
        <f>"6104366880"</f>
        <v>6104366880</v>
      </c>
      <c r="G2281" t="s">
        <v>6416</v>
      </c>
      <c r="H2281" t="s">
        <v>746</v>
      </c>
      <c r="I2281" t="s">
        <v>33</v>
      </c>
      <c r="J2281">
        <v>19064</v>
      </c>
      <c r="K2281">
        <v>3048</v>
      </c>
      <c r="L2281" t="s">
        <v>23</v>
      </c>
      <c r="M2281" t="s">
        <v>6416</v>
      </c>
      <c r="N2281" t="s">
        <v>746</v>
      </c>
      <c r="O2281" t="s">
        <v>33</v>
      </c>
      <c r="P2281">
        <v>19064</v>
      </c>
      <c r="Q2281">
        <v>3048</v>
      </c>
      <c r="R2281" t="s">
        <v>23</v>
      </c>
      <c r="S2281" s="1" t="s">
        <v>34218</v>
      </c>
    </row>
    <row r="2282" spans="1:19" x14ac:dyDescent="0.25">
      <c r="A2282">
        <v>100622808</v>
      </c>
      <c r="B2282" t="s">
        <v>6417</v>
      </c>
      <c r="C2282" t="s">
        <v>4488</v>
      </c>
      <c r="F2282" t="str">
        <f>"4063151321"</f>
        <v>4063151321</v>
      </c>
      <c r="G2282" t="s">
        <v>6418</v>
      </c>
      <c r="H2282" t="s">
        <v>4331</v>
      </c>
      <c r="I2282" t="s">
        <v>365</v>
      </c>
      <c r="J2282">
        <v>85658</v>
      </c>
      <c r="K2282">
        <v>4895</v>
      </c>
      <c r="L2282" t="s">
        <v>23</v>
      </c>
      <c r="M2282" t="s">
        <v>6418</v>
      </c>
      <c r="N2282" t="s">
        <v>4331</v>
      </c>
      <c r="O2282" t="s">
        <v>365</v>
      </c>
      <c r="P2282">
        <v>85658</v>
      </c>
      <c r="Q2282">
        <v>4895</v>
      </c>
      <c r="R2282" t="s">
        <v>23</v>
      </c>
      <c r="S2282" s="1" t="s">
        <v>34218</v>
      </c>
    </row>
    <row r="2283" spans="1:19" x14ac:dyDescent="0.25">
      <c r="A2283">
        <v>100836136</v>
      </c>
      <c r="B2283" t="s">
        <v>6419</v>
      </c>
      <c r="C2283" t="s">
        <v>6420</v>
      </c>
      <c r="F2283" t="str">
        <f>"9202313731"</f>
        <v>9202313731</v>
      </c>
      <c r="G2283" t="s">
        <v>6421</v>
      </c>
      <c r="H2283" t="s">
        <v>6422</v>
      </c>
      <c r="I2283" t="s">
        <v>100</v>
      </c>
      <c r="J2283">
        <v>54904</v>
      </c>
      <c r="K2283">
        <v>9006</v>
      </c>
      <c r="L2283" t="s">
        <v>23</v>
      </c>
      <c r="M2283" t="s">
        <v>6421</v>
      </c>
      <c r="N2283" t="s">
        <v>6422</v>
      </c>
      <c r="O2283" t="s">
        <v>100</v>
      </c>
      <c r="P2283">
        <v>54904</v>
      </c>
      <c r="Q2283">
        <v>9006</v>
      </c>
      <c r="R2283" t="s">
        <v>23</v>
      </c>
      <c r="S2283" s="1" t="s">
        <v>34218</v>
      </c>
    </row>
    <row r="2284" spans="1:19" x14ac:dyDescent="0.25">
      <c r="A2284">
        <v>101211960</v>
      </c>
      <c r="B2284" t="s">
        <v>216</v>
      </c>
      <c r="C2284" t="s">
        <v>1157</v>
      </c>
      <c r="F2284" t="str">
        <f>"8018195288"</f>
        <v>8018195288</v>
      </c>
      <c r="G2284" t="s">
        <v>6423</v>
      </c>
      <c r="H2284" t="s">
        <v>331</v>
      </c>
      <c r="I2284" t="s">
        <v>332</v>
      </c>
      <c r="J2284">
        <v>84105</v>
      </c>
      <c r="L2284" t="s">
        <v>23</v>
      </c>
      <c r="M2284" t="s">
        <v>6423</v>
      </c>
      <c r="N2284" t="s">
        <v>331</v>
      </c>
      <c r="O2284" t="s">
        <v>332</v>
      </c>
      <c r="P2284">
        <v>84105</v>
      </c>
      <c r="R2284" t="s">
        <v>23</v>
      </c>
      <c r="S2284" s="1" t="s">
        <v>34218</v>
      </c>
    </row>
    <row r="2285" spans="1:19" x14ac:dyDescent="0.25">
      <c r="A2285">
        <v>100876651</v>
      </c>
      <c r="B2285" t="s">
        <v>6424</v>
      </c>
      <c r="C2285" t="s">
        <v>1153</v>
      </c>
      <c r="F2285" t="str">
        <f>"3153519598"</f>
        <v>3153519598</v>
      </c>
      <c r="G2285" t="s">
        <v>6425</v>
      </c>
      <c r="H2285" t="s">
        <v>6426</v>
      </c>
      <c r="I2285" t="s">
        <v>117</v>
      </c>
      <c r="J2285" t="s">
        <v>6427</v>
      </c>
      <c r="K2285">
        <v>2230</v>
      </c>
      <c r="L2285" t="s">
        <v>23</v>
      </c>
      <c r="M2285" t="s">
        <v>6425</v>
      </c>
      <c r="N2285" t="s">
        <v>6426</v>
      </c>
      <c r="O2285" t="s">
        <v>117</v>
      </c>
      <c r="P2285" t="s">
        <v>6427</v>
      </c>
      <c r="Q2285">
        <v>2230</v>
      </c>
      <c r="R2285" t="s">
        <v>23</v>
      </c>
      <c r="S2285" s="1" t="s">
        <v>34218</v>
      </c>
    </row>
    <row r="2286" spans="1:19" x14ac:dyDescent="0.25">
      <c r="A2286">
        <v>101397287</v>
      </c>
      <c r="B2286" t="s">
        <v>6428</v>
      </c>
      <c r="C2286" t="s">
        <v>575</v>
      </c>
      <c r="F2286" t="str">
        <f>"7083851693"</f>
        <v>7083851693</v>
      </c>
      <c r="G2286" t="s">
        <v>6429</v>
      </c>
      <c r="H2286" t="s">
        <v>6430</v>
      </c>
      <c r="I2286" t="s">
        <v>135</v>
      </c>
      <c r="J2286" t="s">
        <v>6431</v>
      </c>
      <c r="K2286">
        <v>1346</v>
      </c>
      <c r="L2286" t="s">
        <v>23</v>
      </c>
      <c r="M2286" t="s">
        <v>6429</v>
      </c>
      <c r="N2286" t="s">
        <v>6430</v>
      </c>
      <c r="O2286" t="s">
        <v>135</v>
      </c>
      <c r="P2286" t="s">
        <v>6431</v>
      </c>
      <c r="Q2286">
        <v>1346</v>
      </c>
      <c r="R2286" t="s">
        <v>23</v>
      </c>
      <c r="S2286" s="1" t="s">
        <v>34218</v>
      </c>
    </row>
    <row r="2287" spans="1:19" x14ac:dyDescent="0.25">
      <c r="A2287">
        <v>101325167</v>
      </c>
      <c r="B2287" t="s">
        <v>2422</v>
      </c>
      <c r="C2287" t="s">
        <v>123</v>
      </c>
      <c r="F2287" t="str">
        <f>"5743007352"</f>
        <v>5743007352</v>
      </c>
      <c r="G2287" t="s">
        <v>6432</v>
      </c>
      <c r="H2287" t="s">
        <v>6433</v>
      </c>
      <c r="I2287" t="s">
        <v>57</v>
      </c>
      <c r="J2287">
        <v>46614</v>
      </c>
      <c r="K2287">
        <v>1131</v>
      </c>
      <c r="L2287" t="s">
        <v>23</v>
      </c>
      <c r="M2287" t="s">
        <v>6432</v>
      </c>
      <c r="N2287" t="s">
        <v>6433</v>
      </c>
      <c r="O2287" t="s">
        <v>57</v>
      </c>
      <c r="P2287">
        <v>46614</v>
      </c>
      <c r="Q2287">
        <v>1131</v>
      </c>
      <c r="R2287" t="s">
        <v>23</v>
      </c>
      <c r="S2287" s="1" t="s">
        <v>34218</v>
      </c>
    </row>
    <row r="2288" spans="1:19" x14ac:dyDescent="0.25">
      <c r="A2288">
        <v>101346905</v>
      </c>
      <c r="B2288" t="s">
        <v>4011</v>
      </c>
      <c r="C2288" t="s">
        <v>1298</v>
      </c>
      <c r="F2288" t="str">
        <f>"2168011121"</f>
        <v>2168011121</v>
      </c>
      <c r="G2288" t="s">
        <v>6434</v>
      </c>
      <c r="H2288" t="s">
        <v>3373</v>
      </c>
      <c r="I2288" t="s">
        <v>178</v>
      </c>
      <c r="J2288">
        <v>44135</v>
      </c>
      <c r="K2288">
        <v>3022</v>
      </c>
      <c r="L2288" t="s">
        <v>23</v>
      </c>
      <c r="M2288" t="s">
        <v>6434</v>
      </c>
      <c r="N2288" t="s">
        <v>3373</v>
      </c>
      <c r="O2288" t="s">
        <v>178</v>
      </c>
      <c r="P2288">
        <v>44135</v>
      </c>
      <c r="Q2288">
        <v>3022</v>
      </c>
      <c r="R2288" t="s">
        <v>23</v>
      </c>
      <c r="S2288" s="1" t="s">
        <v>34218</v>
      </c>
    </row>
    <row r="2289" spans="1:19" x14ac:dyDescent="0.25">
      <c r="A2289">
        <v>101360228</v>
      </c>
      <c r="B2289" t="s">
        <v>6435</v>
      </c>
      <c r="C2289" t="s">
        <v>6436</v>
      </c>
      <c r="F2289" t="str">
        <f>"7245555555"</f>
        <v>7245555555</v>
      </c>
      <c r="G2289" t="s">
        <v>6437</v>
      </c>
      <c r="H2289" t="s">
        <v>6438</v>
      </c>
      <c r="I2289" t="s">
        <v>178</v>
      </c>
      <c r="J2289">
        <v>44514</v>
      </c>
      <c r="K2289">
        <v>1209</v>
      </c>
      <c r="L2289" t="s">
        <v>23</v>
      </c>
      <c r="M2289" t="s">
        <v>6437</v>
      </c>
      <c r="N2289" t="s">
        <v>6438</v>
      </c>
      <c r="O2289" t="s">
        <v>178</v>
      </c>
      <c r="P2289">
        <v>44514</v>
      </c>
      <c r="Q2289">
        <v>1209</v>
      </c>
      <c r="R2289" t="s">
        <v>23</v>
      </c>
      <c r="S2289" s="1" t="s">
        <v>34218</v>
      </c>
    </row>
    <row r="2290" spans="1:19" x14ac:dyDescent="0.25">
      <c r="A2290">
        <v>101190704</v>
      </c>
      <c r="B2290" t="s">
        <v>6439</v>
      </c>
      <c r="C2290" t="s">
        <v>1992</v>
      </c>
      <c r="F2290" t="str">
        <f>"9143370000"</f>
        <v>9143370000</v>
      </c>
      <c r="G2290" t="s">
        <v>6440</v>
      </c>
      <c r="H2290" t="s">
        <v>6441</v>
      </c>
      <c r="I2290" t="s">
        <v>117</v>
      </c>
      <c r="J2290">
        <v>10708</v>
      </c>
      <c r="K2290">
        <v>3323</v>
      </c>
      <c r="L2290" t="s">
        <v>23</v>
      </c>
      <c r="M2290" t="s">
        <v>6440</v>
      </c>
      <c r="N2290" t="s">
        <v>6441</v>
      </c>
      <c r="O2290" t="s">
        <v>117</v>
      </c>
      <c r="P2290">
        <v>10708</v>
      </c>
      <c r="Q2290">
        <v>3323</v>
      </c>
      <c r="R2290" t="s">
        <v>23</v>
      </c>
      <c r="S2290" s="1" t="s">
        <v>34218</v>
      </c>
    </row>
    <row r="2291" spans="1:19" x14ac:dyDescent="0.25">
      <c r="A2291">
        <v>101192743</v>
      </c>
      <c r="B2291" t="s">
        <v>6442</v>
      </c>
      <c r="C2291" t="s">
        <v>1384</v>
      </c>
      <c r="F2291" t="str">
        <f>"5124425889"</f>
        <v>5124425889</v>
      </c>
      <c r="G2291" t="s">
        <v>6443</v>
      </c>
      <c r="H2291" t="s">
        <v>37</v>
      </c>
      <c r="I2291" t="s">
        <v>38</v>
      </c>
      <c r="J2291">
        <v>78741</v>
      </c>
      <c r="K2291">
        <v>3707</v>
      </c>
      <c r="L2291" t="s">
        <v>23</v>
      </c>
      <c r="M2291" t="s">
        <v>6443</v>
      </c>
      <c r="N2291" t="s">
        <v>37</v>
      </c>
      <c r="O2291" t="s">
        <v>38</v>
      </c>
      <c r="P2291">
        <v>78741</v>
      </c>
      <c r="Q2291">
        <v>3707</v>
      </c>
      <c r="R2291" t="s">
        <v>23</v>
      </c>
      <c r="S2291" s="1" t="s">
        <v>34218</v>
      </c>
    </row>
    <row r="2292" spans="1:19" x14ac:dyDescent="0.25">
      <c r="A2292">
        <v>101193775</v>
      </c>
      <c r="B2292" t="s">
        <v>6444</v>
      </c>
      <c r="C2292" t="s">
        <v>6445</v>
      </c>
      <c r="F2292" t="str">
        <f>"8183459868"</f>
        <v>8183459868</v>
      </c>
      <c r="G2292" t="s">
        <v>6446</v>
      </c>
      <c r="H2292" t="s">
        <v>605</v>
      </c>
      <c r="I2292" t="s">
        <v>22</v>
      </c>
      <c r="J2292">
        <v>91316</v>
      </c>
      <c r="K2292">
        <v>1013</v>
      </c>
      <c r="L2292" t="s">
        <v>23</v>
      </c>
      <c r="M2292" t="s">
        <v>6446</v>
      </c>
      <c r="N2292" t="s">
        <v>605</v>
      </c>
      <c r="O2292" t="s">
        <v>22</v>
      </c>
      <c r="P2292">
        <v>91316</v>
      </c>
      <c r="Q2292">
        <v>1013</v>
      </c>
      <c r="R2292" t="s">
        <v>23</v>
      </c>
      <c r="S2292" s="1" t="s">
        <v>34218</v>
      </c>
    </row>
    <row r="2293" spans="1:19" x14ac:dyDescent="0.25">
      <c r="A2293">
        <v>101295096</v>
      </c>
      <c r="B2293" t="s">
        <v>1726</v>
      </c>
      <c r="C2293" t="s">
        <v>2576</v>
      </c>
      <c r="F2293" t="str">
        <f>"8057141050"</f>
        <v>8057141050</v>
      </c>
      <c r="G2293" t="s">
        <v>6447</v>
      </c>
      <c r="H2293" t="s">
        <v>6448</v>
      </c>
      <c r="I2293" t="s">
        <v>22</v>
      </c>
      <c r="J2293">
        <v>93444</v>
      </c>
      <c r="K2293">
        <v>9736</v>
      </c>
      <c r="L2293" t="s">
        <v>23</v>
      </c>
      <c r="M2293" t="s">
        <v>6447</v>
      </c>
      <c r="N2293" t="s">
        <v>6448</v>
      </c>
      <c r="O2293" t="s">
        <v>22</v>
      </c>
      <c r="P2293">
        <v>93444</v>
      </c>
      <c r="Q2293">
        <v>9736</v>
      </c>
      <c r="R2293" t="s">
        <v>23</v>
      </c>
      <c r="S2293" s="1" t="s">
        <v>34218</v>
      </c>
    </row>
    <row r="2294" spans="1:19" x14ac:dyDescent="0.25">
      <c r="A2294">
        <v>100978899</v>
      </c>
      <c r="B2294" t="s">
        <v>4586</v>
      </c>
      <c r="C2294" t="s">
        <v>522</v>
      </c>
      <c r="F2294" t="str">
        <f>"8023106336"</f>
        <v>8023106336</v>
      </c>
      <c r="G2294" t="s">
        <v>6449</v>
      </c>
      <c r="H2294" t="s">
        <v>2798</v>
      </c>
      <c r="I2294" t="s">
        <v>307</v>
      </c>
      <c r="J2294">
        <v>5401</v>
      </c>
      <c r="K2294">
        <v>4403</v>
      </c>
      <c r="L2294" t="s">
        <v>23</v>
      </c>
      <c r="M2294" t="s">
        <v>6449</v>
      </c>
      <c r="N2294" t="s">
        <v>2798</v>
      </c>
      <c r="O2294" t="s">
        <v>307</v>
      </c>
      <c r="P2294">
        <v>5401</v>
      </c>
      <c r="Q2294">
        <v>4403</v>
      </c>
      <c r="R2294" t="s">
        <v>23</v>
      </c>
      <c r="S2294" s="1" t="s">
        <v>34218</v>
      </c>
    </row>
    <row r="2295" spans="1:19" x14ac:dyDescent="0.25">
      <c r="A2295">
        <v>101162096</v>
      </c>
      <c r="B2295" t="s">
        <v>119</v>
      </c>
      <c r="C2295" t="s">
        <v>6450</v>
      </c>
      <c r="F2295" t="str">
        <f>"7403145407"</f>
        <v>7403145407</v>
      </c>
      <c r="G2295" t="s">
        <v>6451</v>
      </c>
      <c r="H2295" t="s">
        <v>6452</v>
      </c>
      <c r="I2295" t="s">
        <v>178</v>
      </c>
      <c r="J2295">
        <v>43938</v>
      </c>
      <c r="K2295">
        <v>1453</v>
      </c>
      <c r="L2295" t="s">
        <v>23</v>
      </c>
      <c r="M2295" t="s">
        <v>6451</v>
      </c>
      <c r="N2295" t="s">
        <v>6452</v>
      </c>
      <c r="O2295" t="s">
        <v>178</v>
      </c>
      <c r="P2295">
        <v>43938</v>
      </c>
      <c r="Q2295">
        <v>1453</v>
      </c>
      <c r="R2295" t="s">
        <v>23</v>
      </c>
      <c r="S2295" s="1" t="s">
        <v>34218</v>
      </c>
    </row>
    <row r="2296" spans="1:19" x14ac:dyDescent="0.25">
      <c r="A2296">
        <v>100779820</v>
      </c>
      <c r="B2296" t="s">
        <v>6453</v>
      </c>
      <c r="C2296" t="s">
        <v>2642</v>
      </c>
      <c r="F2296" t="str">
        <f>"5309570463"</f>
        <v>5309570463</v>
      </c>
      <c r="G2296" t="s">
        <v>6454</v>
      </c>
      <c r="H2296" t="s">
        <v>2613</v>
      </c>
      <c r="I2296" t="s">
        <v>22</v>
      </c>
      <c r="J2296" t="s">
        <v>6455</v>
      </c>
      <c r="K2296">
        <v>5642</v>
      </c>
      <c r="L2296" t="s">
        <v>23</v>
      </c>
      <c r="M2296" t="s">
        <v>6454</v>
      </c>
      <c r="N2296" t="s">
        <v>2613</v>
      </c>
      <c r="O2296" t="s">
        <v>22</v>
      </c>
      <c r="P2296" t="s">
        <v>6455</v>
      </c>
      <c r="Q2296">
        <v>5642</v>
      </c>
      <c r="R2296" t="s">
        <v>23</v>
      </c>
      <c r="S2296" s="1" t="s">
        <v>34218</v>
      </c>
    </row>
    <row r="2297" spans="1:19" x14ac:dyDescent="0.25">
      <c r="A2297">
        <v>101393567</v>
      </c>
      <c r="B2297" t="s">
        <v>6456</v>
      </c>
      <c r="C2297" t="s">
        <v>30</v>
      </c>
      <c r="F2297" t="str">
        <f>"2014384694"</f>
        <v>2014384694</v>
      </c>
      <c r="G2297" t="s">
        <v>6457</v>
      </c>
      <c r="H2297" t="s">
        <v>5528</v>
      </c>
      <c r="I2297" t="s">
        <v>250</v>
      </c>
      <c r="J2297">
        <v>7070</v>
      </c>
      <c r="K2297">
        <v>1229</v>
      </c>
      <c r="L2297" t="s">
        <v>23</v>
      </c>
      <c r="M2297" t="s">
        <v>6457</v>
      </c>
      <c r="N2297" t="s">
        <v>5528</v>
      </c>
      <c r="O2297" t="s">
        <v>250</v>
      </c>
      <c r="P2297">
        <v>7070</v>
      </c>
      <c r="Q2297">
        <v>1229</v>
      </c>
      <c r="R2297" t="s">
        <v>23</v>
      </c>
      <c r="S2297" s="1" t="s">
        <v>34218</v>
      </c>
    </row>
    <row r="2298" spans="1:19" x14ac:dyDescent="0.25">
      <c r="A2298">
        <v>101412632</v>
      </c>
      <c r="B2298" t="s">
        <v>6458</v>
      </c>
      <c r="C2298" t="s">
        <v>613</v>
      </c>
      <c r="F2298" t="str">
        <f>"7039733818"</f>
        <v>7039733818</v>
      </c>
      <c r="G2298" t="s">
        <v>6459</v>
      </c>
      <c r="H2298" t="s">
        <v>2520</v>
      </c>
      <c r="I2298" t="s">
        <v>255</v>
      </c>
      <c r="J2298">
        <v>20148</v>
      </c>
      <c r="K2298">
        <v>3126</v>
      </c>
      <c r="L2298" t="s">
        <v>23</v>
      </c>
      <c r="M2298" t="s">
        <v>6459</v>
      </c>
      <c r="N2298" t="s">
        <v>2520</v>
      </c>
      <c r="O2298" t="s">
        <v>255</v>
      </c>
      <c r="P2298">
        <v>20148</v>
      </c>
      <c r="Q2298">
        <v>3126</v>
      </c>
      <c r="R2298" t="s">
        <v>23</v>
      </c>
      <c r="S2298" s="1" t="s">
        <v>34218</v>
      </c>
    </row>
    <row r="2299" spans="1:19" x14ac:dyDescent="0.25">
      <c r="A2299">
        <v>101338703</v>
      </c>
      <c r="B2299" t="s">
        <v>6460</v>
      </c>
      <c r="C2299" t="s">
        <v>3708</v>
      </c>
      <c r="F2299" t="str">
        <f>"9254466262"</f>
        <v>9254466262</v>
      </c>
      <c r="G2299" t="s">
        <v>6461</v>
      </c>
      <c r="H2299" t="s">
        <v>761</v>
      </c>
      <c r="I2299" t="s">
        <v>22</v>
      </c>
      <c r="J2299">
        <v>94521</v>
      </c>
      <c r="K2299">
        <v>2008</v>
      </c>
      <c r="L2299" t="s">
        <v>23</v>
      </c>
      <c r="M2299" t="s">
        <v>6461</v>
      </c>
      <c r="N2299" t="s">
        <v>761</v>
      </c>
      <c r="O2299" t="s">
        <v>22</v>
      </c>
      <c r="P2299">
        <v>94521</v>
      </c>
      <c r="Q2299">
        <v>2008</v>
      </c>
      <c r="R2299" t="s">
        <v>23</v>
      </c>
      <c r="S2299" s="1" t="s">
        <v>34218</v>
      </c>
    </row>
    <row r="2300" spans="1:19" x14ac:dyDescent="0.25">
      <c r="A2300">
        <v>101343764</v>
      </c>
      <c r="B2300" t="s">
        <v>6462</v>
      </c>
      <c r="C2300" t="s">
        <v>266</v>
      </c>
      <c r="F2300" t="str">
        <f>"8027582218"</f>
        <v>8027582218</v>
      </c>
      <c r="G2300" t="s">
        <v>6463</v>
      </c>
      <c r="H2300" t="s">
        <v>6464</v>
      </c>
      <c r="I2300" t="s">
        <v>307</v>
      </c>
      <c r="J2300">
        <v>5734</v>
      </c>
      <c r="K2300">
        <v>4413</v>
      </c>
      <c r="L2300" t="s">
        <v>23</v>
      </c>
      <c r="M2300" t="s">
        <v>6463</v>
      </c>
      <c r="N2300" t="s">
        <v>6464</v>
      </c>
      <c r="O2300" t="s">
        <v>307</v>
      </c>
      <c r="P2300">
        <v>5734</v>
      </c>
      <c r="Q2300">
        <v>4413</v>
      </c>
      <c r="R2300" t="s">
        <v>23</v>
      </c>
      <c r="S2300" s="1" t="s">
        <v>34218</v>
      </c>
    </row>
    <row r="2301" spans="1:19" x14ac:dyDescent="0.25">
      <c r="A2301">
        <v>100768392</v>
      </c>
      <c r="B2301" t="s">
        <v>6465</v>
      </c>
      <c r="C2301" t="s">
        <v>2343</v>
      </c>
      <c r="F2301" t="str">
        <f>"9419169030"</f>
        <v>9419169030</v>
      </c>
      <c r="G2301" t="s">
        <v>6466</v>
      </c>
      <c r="H2301" t="s">
        <v>6467</v>
      </c>
      <c r="I2301" t="s">
        <v>52</v>
      </c>
      <c r="J2301">
        <v>34275</v>
      </c>
      <c r="K2301">
        <v>6689</v>
      </c>
      <c r="L2301" t="s">
        <v>23</v>
      </c>
      <c r="M2301" t="s">
        <v>6466</v>
      </c>
      <c r="N2301" t="s">
        <v>6467</v>
      </c>
      <c r="O2301" t="s">
        <v>52</v>
      </c>
      <c r="P2301">
        <v>34275</v>
      </c>
      <c r="Q2301">
        <v>6689</v>
      </c>
      <c r="R2301" t="s">
        <v>23</v>
      </c>
      <c r="S2301" s="1" t="s">
        <v>34218</v>
      </c>
    </row>
    <row r="2302" spans="1:19" x14ac:dyDescent="0.25">
      <c r="A2302">
        <v>101021055</v>
      </c>
      <c r="B2302" t="s">
        <v>6345</v>
      </c>
      <c r="C2302" t="s">
        <v>1179</v>
      </c>
      <c r="F2302" t="str">
        <f>"6194287200"</f>
        <v>6194287200</v>
      </c>
      <c r="G2302" t="s">
        <v>6468</v>
      </c>
      <c r="H2302" t="s">
        <v>6469</v>
      </c>
      <c r="I2302" t="s">
        <v>22</v>
      </c>
      <c r="J2302">
        <v>91950</v>
      </c>
      <c r="K2302">
        <v>8215</v>
      </c>
      <c r="L2302" t="s">
        <v>23</v>
      </c>
      <c r="M2302" t="s">
        <v>6468</v>
      </c>
      <c r="N2302" t="s">
        <v>6469</v>
      </c>
      <c r="O2302" t="s">
        <v>22</v>
      </c>
      <c r="P2302">
        <v>91950</v>
      </c>
      <c r="Q2302">
        <v>8215</v>
      </c>
      <c r="R2302" t="s">
        <v>23</v>
      </c>
      <c r="S2302" s="1" t="s">
        <v>34218</v>
      </c>
    </row>
    <row r="2303" spans="1:19" x14ac:dyDescent="0.25">
      <c r="A2303">
        <v>101034168</v>
      </c>
      <c r="B2303" t="s">
        <v>4691</v>
      </c>
      <c r="C2303" t="s">
        <v>3511</v>
      </c>
      <c r="F2303" t="str">
        <f>"5036541667"</f>
        <v>5036541667</v>
      </c>
      <c r="G2303" t="s">
        <v>6470</v>
      </c>
      <c r="H2303" t="s">
        <v>227</v>
      </c>
      <c r="I2303" t="s">
        <v>43</v>
      </c>
      <c r="J2303">
        <v>97222</v>
      </c>
      <c r="K2303">
        <v>8101</v>
      </c>
      <c r="L2303" t="s">
        <v>23</v>
      </c>
      <c r="M2303" t="s">
        <v>6470</v>
      </c>
      <c r="N2303" t="s">
        <v>227</v>
      </c>
      <c r="O2303" t="s">
        <v>43</v>
      </c>
      <c r="P2303">
        <v>97222</v>
      </c>
      <c r="Q2303">
        <v>8101</v>
      </c>
      <c r="R2303" t="s">
        <v>23</v>
      </c>
      <c r="S2303" s="1" t="s">
        <v>34218</v>
      </c>
    </row>
    <row r="2304" spans="1:19" x14ac:dyDescent="0.25">
      <c r="A2304">
        <v>101243311</v>
      </c>
      <c r="B2304" t="s">
        <v>6471</v>
      </c>
      <c r="C2304" t="s">
        <v>699</v>
      </c>
      <c r="F2304" t="str">
        <f>"7184700920"</f>
        <v>7184700920</v>
      </c>
      <c r="G2304" t="s">
        <v>6472</v>
      </c>
      <c r="H2304" t="s">
        <v>964</v>
      </c>
      <c r="I2304" t="s">
        <v>117</v>
      </c>
      <c r="J2304">
        <v>11426</v>
      </c>
      <c r="K2304">
        <v>2622</v>
      </c>
      <c r="L2304" t="s">
        <v>23</v>
      </c>
      <c r="M2304" t="s">
        <v>6472</v>
      </c>
      <c r="N2304" t="s">
        <v>964</v>
      </c>
      <c r="O2304" t="s">
        <v>117</v>
      </c>
      <c r="P2304">
        <v>11426</v>
      </c>
      <c r="Q2304">
        <v>2622</v>
      </c>
      <c r="R2304" t="s">
        <v>23</v>
      </c>
      <c r="S2304" s="1" t="s">
        <v>34218</v>
      </c>
    </row>
    <row r="2305" spans="1:19" x14ac:dyDescent="0.25">
      <c r="A2305">
        <v>101273210</v>
      </c>
      <c r="B2305" t="s">
        <v>6473</v>
      </c>
      <c r="C2305" t="s">
        <v>6474</v>
      </c>
      <c r="F2305" t="str">
        <f>"7706941788"</f>
        <v>7706941788</v>
      </c>
      <c r="G2305" t="s">
        <v>6475</v>
      </c>
      <c r="H2305" t="s">
        <v>1600</v>
      </c>
      <c r="I2305" t="s">
        <v>28</v>
      </c>
      <c r="J2305">
        <v>30060</v>
      </c>
      <c r="K2305">
        <v>6900</v>
      </c>
      <c r="L2305" t="s">
        <v>23</v>
      </c>
      <c r="M2305" t="s">
        <v>6475</v>
      </c>
      <c r="N2305" t="s">
        <v>1600</v>
      </c>
      <c r="O2305" t="s">
        <v>28</v>
      </c>
      <c r="P2305">
        <v>30060</v>
      </c>
      <c r="Q2305">
        <v>6900</v>
      </c>
      <c r="R2305" t="s">
        <v>23</v>
      </c>
      <c r="S2305" s="1" t="s">
        <v>34218</v>
      </c>
    </row>
    <row r="2306" spans="1:19" x14ac:dyDescent="0.25">
      <c r="A2306">
        <v>100968313</v>
      </c>
      <c r="B2306" t="s">
        <v>6476</v>
      </c>
      <c r="C2306" t="s">
        <v>4644</v>
      </c>
      <c r="F2306" t="str">
        <f>"5032454101"</f>
        <v>5032454101</v>
      </c>
      <c r="G2306" t="s">
        <v>6477</v>
      </c>
      <c r="H2306" t="s">
        <v>227</v>
      </c>
      <c r="I2306" t="s">
        <v>43</v>
      </c>
      <c r="J2306">
        <v>97219</v>
      </c>
      <c r="L2306" t="s">
        <v>23</v>
      </c>
      <c r="M2306" t="s">
        <v>6477</v>
      </c>
      <c r="N2306" t="s">
        <v>227</v>
      </c>
      <c r="O2306" t="s">
        <v>43</v>
      </c>
      <c r="P2306">
        <v>97219</v>
      </c>
      <c r="R2306" t="s">
        <v>23</v>
      </c>
      <c r="S2306" s="1" t="s">
        <v>34218</v>
      </c>
    </row>
    <row r="2307" spans="1:19" x14ac:dyDescent="0.25">
      <c r="A2307">
        <v>101320342</v>
      </c>
      <c r="B2307" t="s">
        <v>6478</v>
      </c>
      <c r="C2307" t="s">
        <v>305</v>
      </c>
      <c r="F2307" t="str">
        <f>"5208093997"</f>
        <v>5208093997</v>
      </c>
      <c r="G2307" t="s">
        <v>6479</v>
      </c>
      <c r="H2307" t="s">
        <v>682</v>
      </c>
      <c r="I2307" t="s">
        <v>365</v>
      </c>
      <c r="J2307">
        <v>85018</v>
      </c>
      <c r="K2307">
        <v>7856</v>
      </c>
      <c r="L2307" t="s">
        <v>23</v>
      </c>
      <c r="M2307" t="s">
        <v>6479</v>
      </c>
      <c r="N2307" t="s">
        <v>682</v>
      </c>
      <c r="O2307" t="s">
        <v>365</v>
      </c>
      <c r="P2307">
        <v>85018</v>
      </c>
      <c r="Q2307">
        <v>7856</v>
      </c>
      <c r="R2307" t="s">
        <v>23</v>
      </c>
      <c r="S2307" s="1" t="s">
        <v>34218</v>
      </c>
    </row>
    <row r="2308" spans="1:19" x14ac:dyDescent="0.25">
      <c r="A2308">
        <v>101202378</v>
      </c>
      <c r="B2308" t="s">
        <v>6480</v>
      </c>
      <c r="C2308" t="s">
        <v>6481</v>
      </c>
      <c r="F2308" t="str">
        <f>"9195623858"</f>
        <v>9195623858</v>
      </c>
      <c r="G2308" t="s">
        <v>6482</v>
      </c>
      <c r="H2308" t="s">
        <v>6483</v>
      </c>
      <c r="I2308" t="s">
        <v>446</v>
      </c>
      <c r="J2308">
        <v>27596</v>
      </c>
      <c r="L2308" t="s">
        <v>23</v>
      </c>
      <c r="M2308" t="s">
        <v>6482</v>
      </c>
      <c r="N2308" t="s">
        <v>6483</v>
      </c>
      <c r="O2308" t="s">
        <v>446</v>
      </c>
      <c r="P2308">
        <v>27596</v>
      </c>
      <c r="R2308" t="s">
        <v>23</v>
      </c>
      <c r="S2308" s="1" t="s">
        <v>34218</v>
      </c>
    </row>
    <row r="2309" spans="1:19" x14ac:dyDescent="0.25">
      <c r="A2309">
        <v>100853979</v>
      </c>
      <c r="B2309" t="s">
        <v>6484</v>
      </c>
      <c r="C2309" t="s">
        <v>155</v>
      </c>
      <c r="F2309" t="str">
        <f>"7186920690"</f>
        <v>7186920690</v>
      </c>
      <c r="G2309" t="s">
        <v>6485</v>
      </c>
      <c r="H2309" t="s">
        <v>1287</v>
      </c>
      <c r="I2309" t="s">
        <v>117</v>
      </c>
      <c r="J2309">
        <v>11377</v>
      </c>
      <c r="K2309">
        <v>2008</v>
      </c>
      <c r="L2309" t="s">
        <v>23</v>
      </c>
      <c r="M2309" t="s">
        <v>6485</v>
      </c>
      <c r="N2309" t="s">
        <v>1287</v>
      </c>
      <c r="O2309" t="s">
        <v>117</v>
      </c>
      <c r="P2309">
        <v>11377</v>
      </c>
      <c r="Q2309">
        <v>2008</v>
      </c>
      <c r="R2309" t="s">
        <v>23</v>
      </c>
      <c r="S2309" s="1" t="s">
        <v>34218</v>
      </c>
    </row>
    <row r="2310" spans="1:19" x14ac:dyDescent="0.25">
      <c r="A2310">
        <v>100627002</v>
      </c>
      <c r="B2310" t="s">
        <v>6486</v>
      </c>
      <c r="C2310" t="s">
        <v>838</v>
      </c>
      <c r="F2310" t="str">
        <f>"7188526648"</f>
        <v>7188526648</v>
      </c>
      <c r="G2310" t="s">
        <v>6487</v>
      </c>
      <c r="H2310" t="s">
        <v>412</v>
      </c>
      <c r="I2310" t="s">
        <v>117</v>
      </c>
      <c r="J2310">
        <v>11201</v>
      </c>
      <c r="K2310">
        <v>4160</v>
      </c>
      <c r="L2310" t="s">
        <v>23</v>
      </c>
      <c r="M2310" t="s">
        <v>6487</v>
      </c>
      <c r="N2310" t="s">
        <v>412</v>
      </c>
      <c r="O2310" t="s">
        <v>117</v>
      </c>
      <c r="P2310">
        <v>11201</v>
      </c>
      <c r="Q2310">
        <v>4160</v>
      </c>
      <c r="R2310" t="s">
        <v>23</v>
      </c>
      <c r="S2310" s="1" t="s">
        <v>34218</v>
      </c>
    </row>
    <row r="2311" spans="1:19" x14ac:dyDescent="0.25">
      <c r="A2311">
        <v>101239613</v>
      </c>
      <c r="B2311" t="s">
        <v>6488</v>
      </c>
      <c r="C2311" t="s">
        <v>1703</v>
      </c>
      <c r="F2311" t="str">
        <f>"3178383787"</f>
        <v>3178383787</v>
      </c>
      <c r="G2311" t="s">
        <v>6489</v>
      </c>
      <c r="H2311" t="s">
        <v>6490</v>
      </c>
      <c r="I2311" t="s">
        <v>57</v>
      </c>
      <c r="J2311">
        <v>46168</v>
      </c>
      <c r="K2311">
        <v>2825</v>
      </c>
      <c r="L2311" t="s">
        <v>23</v>
      </c>
      <c r="M2311" t="s">
        <v>6489</v>
      </c>
      <c r="N2311" t="s">
        <v>6490</v>
      </c>
      <c r="O2311" t="s">
        <v>57</v>
      </c>
      <c r="P2311">
        <v>46168</v>
      </c>
      <c r="Q2311">
        <v>2825</v>
      </c>
      <c r="R2311" t="s">
        <v>23</v>
      </c>
      <c r="S2311" s="1" t="s">
        <v>34218</v>
      </c>
    </row>
    <row r="2312" spans="1:19" x14ac:dyDescent="0.25">
      <c r="A2312">
        <v>101320139</v>
      </c>
      <c r="B2312" t="s">
        <v>1743</v>
      </c>
      <c r="C2312" t="s">
        <v>585</v>
      </c>
      <c r="F2312" t="str">
        <f>"2035555555"</f>
        <v>2035555555</v>
      </c>
      <c r="G2312" t="s">
        <v>6491</v>
      </c>
      <c r="H2312" t="s">
        <v>6492</v>
      </c>
      <c r="I2312" t="s">
        <v>161</v>
      </c>
      <c r="J2312">
        <v>6903</v>
      </c>
      <c r="K2312">
        <v>2521</v>
      </c>
      <c r="L2312" t="s">
        <v>23</v>
      </c>
      <c r="M2312" t="s">
        <v>6491</v>
      </c>
      <c r="N2312" t="s">
        <v>6492</v>
      </c>
      <c r="O2312" t="s">
        <v>161</v>
      </c>
      <c r="P2312">
        <v>6903</v>
      </c>
      <c r="Q2312">
        <v>2521</v>
      </c>
      <c r="R2312" t="s">
        <v>23</v>
      </c>
      <c r="S2312" s="1" t="s">
        <v>34218</v>
      </c>
    </row>
    <row r="2313" spans="1:19" x14ac:dyDescent="0.25">
      <c r="A2313">
        <v>100753149</v>
      </c>
      <c r="B2313" t="s">
        <v>308</v>
      </c>
      <c r="C2313" t="s">
        <v>3100</v>
      </c>
      <c r="F2313" t="str">
        <f>"7743654275"</f>
        <v>7743654275</v>
      </c>
      <c r="G2313" t="s">
        <v>6493</v>
      </c>
      <c r="H2313" t="s">
        <v>6494</v>
      </c>
      <c r="I2313" t="s">
        <v>236</v>
      </c>
      <c r="J2313">
        <v>2720</v>
      </c>
      <c r="K2313">
        <v>2066</v>
      </c>
      <c r="L2313" t="s">
        <v>23</v>
      </c>
      <c r="M2313" t="s">
        <v>6493</v>
      </c>
      <c r="N2313" t="s">
        <v>6494</v>
      </c>
      <c r="O2313" t="s">
        <v>236</v>
      </c>
      <c r="P2313">
        <v>2720</v>
      </c>
      <c r="Q2313">
        <v>2066</v>
      </c>
      <c r="R2313" t="s">
        <v>23</v>
      </c>
      <c r="S2313" s="1" t="s">
        <v>34218</v>
      </c>
    </row>
    <row r="2314" spans="1:19" x14ac:dyDescent="0.25">
      <c r="A2314">
        <v>101226904</v>
      </c>
      <c r="B2314" t="s">
        <v>6495</v>
      </c>
      <c r="C2314" t="s">
        <v>90</v>
      </c>
      <c r="F2314" t="str">
        <f>"7135613761"</f>
        <v>7135613761</v>
      </c>
      <c r="G2314" t="s">
        <v>6496</v>
      </c>
      <c r="H2314" t="s">
        <v>1402</v>
      </c>
      <c r="I2314" t="s">
        <v>38</v>
      </c>
      <c r="J2314" t="s">
        <v>6497</v>
      </c>
      <c r="K2314">
        <v>7034</v>
      </c>
      <c r="L2314" t="s">
        <v>23</v>
      </c>
      <c r="M2314" t="s">
        <v>6496</v>
      </c>
      <c r="N2314" t="s">
        <v>1402</v>
      </c>
      <c r="O2314" t="s">
        <v>38</v>
      </c>
      <c r="P2314" t="s">
        <v>6497</v>
      </c>
      <c r="Q2314">
        <v>7034</v>
      </c>
      <c r="R2314" t="s">
        <v>23</v>
      </c>
      <c r="S2314" s="1" t="s">
        <v>34218</v>
      </c>
    </row>
    <row r="2315" spans="1:19" x14ac:dyDescent="0.25">
      <c r="A2315">
        <v>100576764</v>
      </c>
      <c r="B2315" t="s">
        <v>6498</v>
      </c>
      <c r="C2315" t="s">
        <v>5347</v>
      </c>
      <c r="F2315" t="str">
        <f>"2523571834"</f>
        <v>2523571834</v>
      </c>
      <c r="G2315" t="s">
        <v>6499</v>
      </c>
      <c r="H2315" t="s">
        <v>6171</v>
      </c>
      <c r="I2315" t="s">
        <v>255</v>
      </c>
      <c r="J2315">
        <v>23231</v>
      </c>
      <c r="K2315">
        <v>7958</v>
      </c>
      <c r="L2315" t="s">
        <v>23</v>
      </c>
      <c r="M2315" t="s">
        <v>6499</v>
      </c>
      <c r="N2315" t="s">
        <v>6171</v>
      </c>
      <c r="O2315" t="s">
        <v>255</v>
      </c>
      <c r="P2315">
        <v>23231</v>
      </c>
      <c r="Q2315">
        <v>7958</v>
      </c>
      <c r="R2315" t="s">
        <v>23</v>
      </c>
      <c r="S2315" s="1" t="s">
        <v>34218</v>
      </c>
    </row>
    <row r="2316" spans="1:19" x14ac:dyDescent="0.25">
      <c r="A2316">
        <v>100957499</v>
      </c>
      <c r="B2316" t="s">
        <v>5870</v>
      </c>
      <c r="C2316" t="s">
        <v>6500</v>
      </c>
      <c r="F2316" t="str">
        <f>"8016214058"</f>
        <v>8016214058</v>
      </c>
      <c r="G2316" t="s">
        <v>6501</v>
      </c>
      <c r="H2316" t="s">
        <v>1217</v>
      </c>
      <c r="I2316" t="s">
        <v>332</v>
      </c>
      <c r="J2316" t="s">
        <v>6502</v>
      </c>
      <c r="K2316">
        <v>4036</v>
      </c>
      <c r="L2316" t="s">
        <v>23</v>
      </c>
      <c r="M2316" t="s">
        <v>6501</v>
      </c>
      <c r="N2316" t="s">
        <v>1217</v>
      </c>
      <c r="O2316" t="s">
        <v>332</v>
      </c>
      <c r="P2316" t="s">
        <v>6502</v>
      </c>
      <c r="Q2316">
        <v>4036</v>
      </c>
      <c r="R2316" t="s">
        <v>23</v>
      </c>
      <c r="S2316" s="1" t="s">
        <v>34218</v>
      </c>
    </row>
    <row r="2317" spans="1:19" x14ac:dyDescent="0.25">
      <c r="A2317">
        <v>101352419</v>
      </c>
      <c r="B2317" t="s">
        <v>6503</v>
      </c>
      <c r="C2317" t="s">
        <v>119</v>
      </c>
      <c r="F2317" t="str">
        <f>"7196478784"</f>
        <v>7196478784</v>
      </c>
      <c r="G2317" t="s">
        <v>6504</v>
      </c>
      <c r="H2317" t="s">
        <v>1337</v>
      </c>
      <c r="I2317" t="s">
        <v>71</v>
      </c>
      <c r="J2317">
        <v>81007</v>
      </c>
      <c r="L2317" t="s">
        <v>23</v>
      </c>
      <c r="M2317" t="s">
        <v>6504</v>
      </c>
      <c r="N2317" t="s">
        <v>1337</v>
      </c>
      <c r="O2317" t="s">
        <v>71</v>
      </c>
      <c r="P2317">
        <v>81007</v>
      </c>
      <c r="R2317" t="s">
        <v>23</v>
      </c>
      <c r="S2317" s="1" t="s">
        <v>34218</v>
      </c>
    </row>
    <row r="2318" spans="1:19" x14ac:dyDescent="0.25">
      <c r="A2318">
        <v>101097525</v>
      </c>
      <c r="B2318" t="s">
        <v>6505</v>
      </c>
      <c r="C2318" t="s">
        <v>81</v>
      </c>
      <c r="F2318" t="str">
        <f>"8314234606"</f>
        <v>8314234606</v>
      </c>
      <c r="G2318" t="s">
        <v>6506</v>
      </c>
      <c r="H2318" t="s">
        <v>1293</v>
      </c>
      <c r="I2318" t="s">
        <v>22</v>
      </c>
      <c r="J2318" t="s">
        <v>6507</v>
      </c>
      <c r="K2318">
        <v>9789</v>
      </c>
      <c r="L2318" t="s">
        <v>23</v>
      </c>
      <c r="M2318" t="s">
        <v>6506</v>
      </c>
      <c r="N2318" t="s">
        <v>1293</v>
      </c>
      <c r="O2318" t="s">
        <v>22</v>
      </c>
      <c r="P2318" t="s">
        <v>6507</v>
      </c>
      <c r="Q2318">
        <v>9789</v>
      </c>
      <c r="R2318" t="s">
        <v>23</v>
      </c>
      <c r="S2318" s="1" t="s">
        <v>34218</v>
      </c>
    </row>
    <row r="2319" spans="1:19" x14ac:dyDescent="0.25">
      <c r="A2319">
        <v>101124020</v>
      </c>
      <c r="B2319" t="s">
        <v>5478</v>
      </c>
      <c r="C2319" t="s">
        <v>2417</v>
      </c>
      <c r="F2319" t="str">
        <f>"2183318793"</f>
        <v>2183318793</v>
      </c>
      <c r="G2319" t="s">
        <v>6508</v>
      </c>
      <c r="H2319" t="s">
        <v>6509</v>
      </c>
      <c r="I2319" t="s">
        <v>187</v>
      </c>
      <c r="J2319">
        <v>56560</v>
      </c>
      <c r="K2319">
        <v>4943</v>
      </c>
      <c r="L2319" t="s">
        <v>23</v>
      </c>
      <c r="M2319" t="s">
        <v>6508</v>
      </c>
      <c r="N2319" t="s">
        <v>6509</v>
      </c>
      <c r="O2319" t="s">
        <v>187</v>
      </c>
      <c r="P2319">
        <v>56560</v>
      </c>
      <c r="Q2319">
        <v>4943</v>
      </c>
      <c r="R2319" t="s">
        <v>23</v>
      </c>
      <c r="S2319" s="1" t="s">
        <v>34218</v>
      </c>
    </row>
    <row r="2320" spans="1:19" x14ac:dyDescent="0.25">
      <c r="A2320">
        <v>101265019</v>
      </c>
      <c r="B2320" t="s">
        <v>6510</v>
      </c>
      <c r="C2320" t="s">
        <v>613</v>
      </c>
      <c r="F2320" t="str">
        <f>"5403556119"</f>
        <v>5403556119</v>
      </c>
      <c r="G2320" t="s">
        <v>6511</v>
      </c>
      <c r="H2320" t="s">
        <v>6512</v>
      </c>
      <c r="I2320" t="s">
        <v>255</v>
      </c>
      <c r="J2320">
        <v>24015</v>
      </c>
      <c r="K2320">
        <v>3035</v>
      </c>
      <c r="L2320" t="s">
        <v>23</v>
      </c>
      <c r="M2320" t="s">
        <v>6511</v>
      </c>
      <c r="N2320" t="s">
        <v>6512</v>
      </c>
      <c r="O2320" t="s">
        <v>255</v>
      </c>
      <c r="P2320">
        <v>24015</v>
      </c>
      <c r="Q2320">
        <v>3035</v>
      </c>
      <c r="R2320" t="s">
        <v>23</v>
      </c>
      <c r="S2320" s="1" t="s">
        <v>34218</v>
      </c>
    </row>
    <row r="2321" spans="1:19" x14ac:dyDescent="0.25">
      <c r="A2321">
        <v>100826148</v>
      </c>
      <c r="B2321" t="s">
        <v>2841</v>
      </c>
      <c r="C2321" t="s">
        <v>613</v>
      </c>
      <c r="F2321" t="str">
        <f>"8584884256"</f>
        <v>8584884256</v>
      </c>
      <c r="G2321" t="s">
        <v>6513</v>
      </c>
      <c r="H2321" t="s">
        <v>1780</v>
      </c>
      <c r="I2321" t="s">
        <v>22</v>
      </c>
      <c r="J2321">
        <v>92024</v>
      </c>
      <c r="K2321">
        <v>4814</v>
      </c>
      <c r="L2321" t="s">
        <v>23</v>
      </c>
      <c r="M2321" t="s">
        <v>6513</v>
      </c>
      <c r="N2321" t="s">
        <v>1780</v>
      </c>
      <c r="O2321" t="s">
        <v>22</v>
      </c>
      <c r="P2321">
        <v>92024</v>
      </c>
      <c r="Q2321">
        <v>4814</v>
      </c>
      <c r="R2321" t="s">
        <v>23</v>
      </c>
      <c r="S2321" s="1" t="s">
        <v>34218</v>
      </c>
    </row>
    <row r="2322" spans="1:19" x14ac:dyDescent="0.25">
      <c r="A2322">
        <v>101199905</v>
      </c>
      <c r="B2322" t="s">
        <v>6027</v>
      </c>
      <c r="C2322" t="s">
        <v>621</v>
      </c>
      <c r="F2322" t="str">
        <f>"3105463737"</f>
        <v>3105463737</v>
      </c>
      <c r="G2322" t="s">
        <v>6514</v>
      </c>
      <c r="H2322" t="s">
        <v>6515</v>
      </c>
      <c r="I2322" t="s">
        <v>22</v>
      </c>
      <c r="J2322">
        <v>90266</v>
      </c>
      <c r="L2322" t="s">
        <v>23</v>
      </c>
      <c r="M2322" t="s">
        <v>6514</v>
      </c>
      <c r="N2322" t="s">
        <v>6515</v>
      </c>
      <c r="O2322" t="s">
        <v>22</v>
      </c>
      <c r="P2322">
        <v>90266</v>
      </c>
      <c r="R2322" t="s">
        <v>23</v>
      </c>
      <c r="S2322" s="1" t="s">
        <v>34218</v>
      </c>
    </row>
    <row r="2323" spans="1:19" x14ac:dyDescent="0.25">
      <c r="A2323">
        <v>101125475</v>
      </c>
      <c r="B2323" t="s">
        <v>6516</v>
      </c>
      <c r="C2323" t="s">
        <v>137</v>
      </c>
      <c r="F2323" t="str">
        <f>"6268267994"</f>
        <v>6268267994</v>
      </c>
      <c r="G2323" t="s">
        <v>6517</v>
      </c>
      <c r="H2323" t="s">
        <v>6518</v>
      </c>
      <c r="I2323" t="s">
        <v>22</v>
      </c>
      <c r="J2323">
        <v>91010</v>
      </c>
      <c r="K2323">
        <v>2632</v>
      </c>
      <c r="L2323" t="s">
        <v>23</v>
      </c>
      <c r="M2323" t="s">
        <v>6517</v>
      </c>
      <c r="N2323" t="s">
        <v>6518</v>
      </c>
      <c r="O2323" t="s">
        <v>22</v>
      </c>
      <c r="P2323">
        <v>91010</v>
      </c>
      <c r="Q2323">
        <v>2632</v>
      </c>
      <c r="R2323" t="s">
        <v>23</v>
      </c>
      <c r="S2323" s="1" t="s">
        <v>34218</v>
      </c>
    </row>
    <row r="2324" spans="1:19" x14ac:dyDescent="0.25">
      <c r="A2324">
        <v>101263654</v>
      </c>
      <c r="B2324" t="s">
        <v>6519</v>
      </c>
      <c r="C2324" t="s">
        <v>6520</v>
      </c>
      <c r="F2324" t="str">
        <f>"7027485557"</f>
        <v>7027485557</v>
      </c>
      <c r="G2324" t="s">
        <v>6521</v>
      </c>
      <c r="H2324" t="s">
        <v>6522</v>
      </c>
      <c r="I2324" t="s">
        <v>250</v>
      </c>
      <c r="J2324">
        <v>7080</v>
      </c>
      <c r="K2324">
        <v>4518</v>
      </c>
      <c r="L2324" t="s">
        <v>23</v>
      </c>
      <c r="M2324" t="s">
        <v>6521</v>
      </c>
      <c r="N2324" t="s">
        <v>6522</v>
      </c>
      <c r="O2324" t="s">
        <v>250</v>
      </c>
      <c r="P2324">
        <v>7080</v>
      </c>
      <c r="Q2324">
        <v>4518</v>
      </c>
      <c r="R2324" t="s">
        <v>23</v>
      </c>
      <c r="S2324" s="1" t="s">
        <v>34218</v>
      </c>
    </row>
    <row r="2325" spans="1:19" x14ac:dyDescent="0.25">
      <c r="A2325">
        <v>100696052</v>
      </c>
      <c r="B2325" t="s">
        <v>6523</v>
      </c>
      <c r="C2325" t="s">
        <v>1679</v>
      </c>
      <c r="F2325" t="str">
        <f>"5417884213"</f>
        <v>5417884213</v>
      </c>
      <c r="G2325" t="s">
        <v>6524</v>
      </c>
      <c r="H2325" t="s">
        <v>6525</v>
      </c>
      <c r="I2325" t="s">
        <v>702</v>
      </c>
      <c r="J2325">
        <v>89048</v>
      </c>
      <c r="K2325">
        <v>853</v>
      </c>
      <c r="L2325" t="s">
        <v>23</v>
      </c>
      <c r="M2325" t="s">
        <v>6524</v>
      </c>
      <c r="N2325" t="s">
        <v>6525</v>
      </c>
      <c r="O2325" t="s">
        <v>702</v>
      </c>
      <c r="P2325">
        <v>89048</v>
      </c>
      <c r="Q2325">
        <v>853</v>
      </c>
      <c r="R2325" t="s">
        <v>23</v>
      </c>
      <c r="S2325" s="1" t="s">
        <v>34218</v>
      </c>
    </row>
    <row r="2326" spans="1:19" x14ac:dyDescent="0.25">
      <c r="A2326">
        <v>100553371</v>
      </c>
      <c r="B2326" t="s">
        <v>76</v>
      </c>
      <c r="C2326" t="s">
        <v>1050</v>
      </c>
      <c r="F2326" t="str">
        <f>"3608826756"</f>
        <v>3608826756</v>
      </c>
      <c r="G2326" t="s">
        <v>6526</v>
      </c>
      <c r="H2326" t="s">
        <v>5070</v>
      </c>
      <c r="I2326" t="s">
        <v>84</v>
      </c>
      <c r="J2326">
        <v>98683</v>
      </c>
      <c r="L2326" t="s">
        <v>23</v>
      </c>
      <c r="M2326" t="s">
        <v>6526</v>
      </c>
      <c r="N2326" t="s">
        <v>5070</v>
      </c>
      <c r="O2326" t="s">
        <v>84</v>
      </c>
      <c r="P2326">
        <v>98683</v>
      </c>
      <c r="R2326" t="s">
        <v>23</v>
      </c>
      <c r="S2326" s="1" t="s">
        <v>34218</v>
      </c>
    </row>
    <row r="2327" spans="1:19" x14ac:dyDescent="0.25">
      <c r="A2327">
        <v>100847577</v>
      </c>
      <c r="B2327" t="s">
        <v>6527</v>
      </c>
      <c r="C2327" t="s">
        <v>247</v>
      </c>
      <c r="F2327" t="str">
        <f>"5555555555"</f>
        <v>5555555555</v>
      </c>
      <c r="G2327" t="s">
        <v>6528</v>
      </c>
      <c r="H2327" t="s">
        <v>1531</v>
      </c>
      <c r="I2327" t="s">
        <v>84</v>
      </c>
      <c r="J2327">
        <v>98122</v>
      </c>
      <c r="K2327">
        <v>3818</v>
      </c>
      <c r="L2327" t="s">
        <v>23</v>
      </c>
      <c r="M2327" t="s">
        <v>6528</v>
      </c>
      <c r="N2327" t="s">
        <v>1531</v>
      </c>
      <c r="O2327" t="s">
        <v>84</v>
      </c>
      <c r="P2327">
        <v>98122</v>
      </c>
      <c r="Q2327">
        <v>3818</v>
      </c>
      <c r="R2327" t="s">
        <v>23</v>
      </c>
      <c r="S2327" s="1" t="s">
        <v>34218</v>
      </c>
    </row>
    <row r="2328" spans="1:19" x14ac:dyDescent="0.25">
      <c r="A2328">
        <v>101222147</v>
      </c>
      <c r="B2328" t="s">
        <v>3494</v>
      </c>
      <c r="C2328" t="s">
        <v>880</v>
      </c>
      <c r="F2328" t="str">
        <f>"5753170515"</f>
        <v>5753170515</v>
      </c>
      <c r="G2328" t="s">
        <v>6529</v>
      </c>
      <c r="H2328" t="s">
        <v>840</v>
      </c>
      <c r="I2328" t="s">
        <v>153</v>
      </c>
      <c r="J2328">
        <v>70125</v>
      </c>
      <c r="K2328">
        <v>3654</v>
      </c>
      <c r="L2328" t="s">
        <v>23</v>
      </c>
      <c r="M2328" t="s">
        <v>6529</v>
      </c>
      <c r="N2328" t="s">
        <v>840</v>
      </c>
      <c r="O2328" t="s">
        <v>153</v>
      </c>
      <c r="P2328">
        <v>70125</v>
      </c>
      <c r="Q2328">
        <v>3654</v>
      </c>
      <c r="R2328" t="s">
        <v>23</v>
      </c>
      <c r="S2328" s="1" t="s">
        <v>34218</v>
      </c>
    </row>
    <row r="2329" spans="1:19" x14ac:dyDescent="0.25">
      <c r="A2329">
        <v>101244347</v>
      </c>
      <c r="B2329" t="s">
        <v>6530</v>
      </c>
      <c r="C2329" t="s">
        <v>6531</v>
      </c>
      <c r="F2329" t="str">
        <f>"5034362412"</f>
        <v>5034362412</v>
      </c>
      <c r="G2329" t="s">
        <v>6532</v>
      </c>
      <c r="H2329" t="s">
        <v>6533</v>
      </c>
      <c r="I2329" t="s">
        <v>43</v>
      </c>
      <c r="J2329">
        <v>97110</v>
      </c>
      <c r="L2329" t="s">
        <v>23</v>
      </c>
      <c r="M2329" t="s">
        <v>6532</v>
      </c>
      <c r="N2329" t="s">
        <v>6533</v>
      </c>
      <c r="O2329" t="s">
        <v>43</v>
      </c>
      <c r="P2329">
        <v>97110</v>
      </c>
      <c r="R2329" t="s">
        <v>23</v>
      </c>
      <c r="S2329" s="1" t="s">
        <v>34218</v>
      </c>
    </row>
    <row r="2330" spans="1:19" x14ac:dyDescent="0.25">
      <c r="A2330">
        <v>101271175</v>
      </c>
      <c r="B2330" t="s">
        <v>6534</v>
      </c>
      <c r="C2330" t="s">
        <v>535</v>
      </c>
      <c r="F2330" t="str">
        <f>"3232901259"</f>
        <v>3232901259</v>
      </c>
      <c r="G2330" t="s">
        <v>6535</v>
      </c>
      <c r="H2330" t="s">
        <v>299</v>
      </c>
      <c r="I2330" t="s">
        <v>22</v>
      </c>
      <c r="J2330">
        <v>90056</v>
      </c>
      <c r="L2330" t="s">
        <v>23</v>
      </c>
      <c r="M2330" t="s">
        <v>6535</v>
      </c>
      <c r="N2330" t="s">
        <v>299</v>
      </c>
      <c r="O2330" t="s">
        <v>22</v>
      </c>
      <c r="P2330">
        <v>90056</v>
      </c>
      <c r="R2330" t="s">
        <v>23</v>
      </c>
      <c r="S2330" s="1" t="s">
        <v>34218</v>
      </c>
    </row>
    <row r="2331" spans="1:19" x14ac:dyDescent="0.25">
      <c r="A2331">
        <v>100835225</v>
      </c>
      <c r="B2331" t="s">
        <v>6536</v>
      </c>
      <c r="C2331" t="s">
        <v>4502</v>
      </c>
      <c r="F2331" t="str">
        <f>"8474333138"</f>
        <v>8474333138</v>
      </c>
      <c r="G2331" t="s">
        <v>6537</v>
      </c>
      <c r="H2331" t="s">
        <v>6538</v>
      </c>
      <c r="I2331" t="s">
        <v>135</v>
      </c>
      <c r="J2331">
        <v>60035</v>
      </c>
      <c r="L2331" t="s">
        <v>23</v>
      </c>
      <c r="M2331" t="s">
        <v>6537</v>
      </c>
      <c r="N2331" t="s">
        <v>6538</v>
      </c>
      <c r="O2331" t="s">
        <v>135</v>
      </c>
      <c r="P2331">
        <v>60035</v>
      </c>
      <c r="R2331" t="s">
        <v>23</v>
      </c>
      <c r="S2331" s="1" t="s">
        <v>34218</v>
      </c>
    </row>
    <row r="2332" spans="1:19" x14ac:dyDescent="0.25">
      <c r="A2332">
        <v>101365247</v>
      </c>
      <c r="B2332" t="s">
        <v>6539</v>
      </c>
      <c r="C2332" t="s">
        <v>172</v>
      </c>
      <c r="F2332" t="str">
        <f>"7737438918"</f>
        <v>7737438918</v>
      </c>
      <c r="G2332" t="s">
        <v>6540</v>
      </c>
      <c r="H2332" t="s">
        <v>134</v>
      </c>
      <c r="I2332" t="s">
        <v>135</v>
      </c>
      <c r="J2332" t="s">
        <v>6541</v>
      </c>
      <c r="K2332">
        <v>1060</v>
      </c>
      <c r="L2332" t="s">
        <v>23</v>
      </c>
      <c r="M2332" t="s">
        <v>6540</v>
      </c>
      <c r="N2332" t="s">
        <v>134</v>
      </c>
      <c r="O2332" t="s">
        <v>135</v>
      </c>
      <c r="P2332" t="s">
        <v>6541</v>
      </c>
      <c r="Q2332">
        <v>1060</v>
      </c>
      <c r="R2332" t="s">
        <v>23</v>
      </c>
      <c r="S2332" s="1" t="s">
        <v>34218</v>
      </c>
    </row>
    <row r="2333" spans="1:19" x14ac:dyDescent="0.25">
      <c r="A2333">
        <v>101357676</v>
      </c>
      <c r="B2333" t="s">
        <v>6542</v>
      </c>
      <c r="C2333" t="s">
        <v>6543</v>
      </c>
      <c r="F2333" t="str">
        <f>"9283809140"</f>
        <v>9283809140</v>
      </c>
      <c r="G2333">
        <v>4501</v>
      </c>
      <c r="H2333" t="s">
        <v>723</v>
      </c>
      <c r="I2333" t="s">
        <v>365</v>
      </c>
      <c r="J2333">
        <v>86301</v>
      </c>
      <c r="L2333" t="s">
        <v>23</v>
      </c>
      <c r="M2333">
        <v>4501</v>
      </c>
      <c r="N2333" t="s">
        <v>723</v>
      </c>
      <c r="O2333" t="s">
        <v>365</v>
      </c>
      <c r="P2333">
        <v>86301</v>
      </c>
      <c r="R2333" t="s">
        <v>23</v>
      </c>
      <c r="S2333" s="1" t="s">
        <v>34218</v>
      </c>
    </row>
    <row r="2334" spans="1:19" x14ac:dyDescent="0.25">
      <c r="A2334">
        <v>100689403</v>
      </c>
      <c r="B2334" t="s">
        <v>4477</v>
      </c>
      <c r="C2334" t="s">
        <v>1331</v>
      </c>
      <c r="F2334" t="str">
        <f>"4154880144"</f>
        <v>4154880144</v>
      </c>
      <c r="G2334" t="s">
        <v>6544</v>
      </c>
      <c r="H2334" t="s">
        <v>6545</v>
      </c>
      <c r="I2334" t="s">
        <v>22</v>
      </c>
      <c r="J2334">
        <v>94973</v>
      </c>
      <c r="L2334" t="s">
        <v>23</v>
      </c>
      <c r="M2334" t="s">
        <v>6544</v>
      </c>
      <c r="N2334" t="s">
        <v>6545</v>
      </c>
      <c r="O2334" t="s">
        <v>22</v>
      </c>
      <c r="P2334">
        <v>94973</v>
      </c>
      <c r="R2334" t="s">
        <v>23</v>
      </c>
      <c r="S2334" s="1" t="s">
        <v>34218</v>
      </c>
    </row>
    <row r="2335" spans="1:19" x14ac:dyDescent="0.25">
      <c r="A2335">
        <v>101254700</v>
      </c>
      <c r="B2335" t="s">
        <v>6546</v>
      </c>
      <c r="C2335" t="s">
        <v>1487</v>
      </c>
      <c r="F2335" t="str">
        <f>"9706350888"</f>
        <v>9706350888</v>
      </c>
      <c r="G2335" t="s">
        <v>6547</v>
      </c>
      <c r="H2335" t="s">
        <v>529</v>
      </c>
      <c r="I2335" t="s">
        <v>71</v>
      </c>
      <c r="J2335">
        <v>80538</v>
      </c>
      <c r="K2335">
        <v>7277</v>
      </c>
      <c r="L2335" t="s">
        <v>23</v>
      </c>
      <c r="M2335" t="s">
        <v>6547</v>
      </c>
      <c r="N2335" t="s">
        <v>529</v>
      </c>
      <c r="O2335" t="s">
        <v>71</v>
      </c>
      <c r="P2335">
        <v>80538</v>
      </c>
      <c r="Q2335">
        <v>7277</v>
      </c>
      <c r="R2335" t="s">
        <v>23</v>
      </c>
      <c r="S2335" s="1" t="s">
        <v>34218</v>
      </c>
    </row>
    <row r="2336" spans="1:19" x14ac:dyDescent="0.25">
      <c r="A2336">
        <v>101270440</v>
      </c>
      <c r="B2336" t="s">
        <v>5258</v>
      </c>
      <c r="C2336" t="s">
        <v>5401</v>
      </c>
      <c r="F2336" t="str">
        <f>"2398219352"</f>
        <v>2398219352</v>
      </c>
      <c r="G2336" t="s">
        <v>6548</v>
      </c>
      <c r="H2336" t="s">
        <v>2769</v>
      </c>
      <c r="I2336" t="s">
        <v>52</v>
      </c>
      <c r="J2336">
        <v>34102</v>
      </c>
      <c r="K2336">
        <v>6533</v>
      </c>
      <c r="L2336" t="s">
        <v>23</v>
      </c>
      <c r="M2336" t="s">
        <v>6548</v>
      </c>
      <c r="N2336" t="s">
        <v>2769</v>
      </c>
      <c r="O2336" t="s">
        <v>52</v>
      </c>
      <c r="P2336">
        <v>34102</v>
      </c>
      <c r="Q2336">
        <v>6533</v>
      </c>
      <c r="R2336" t="s">
        <v>23</v>
      </c>
      <c r="S2336" s="1" t="s">
        <v>34218</v>
      </c>
    </row>
    <row r="2337" spans="1:19" x14ac:dyDescent="0.25">
      <c r="A2337">
        <v>100528708</v>
      </c>
      <c r="B2337" t="s">
        <v>2098</v>
      </c>
      <c r="C2337" t="s">
        <v>644</v>
      </c>
      <c r="F2337" t="str">
        <f>"8188425953"</f>
        <v>8188425953</v>
      </c>
      <c r="G2337" t="s">
        <v>6549</v>
      </c>
      <c r="H2337" t="s">
        <v>6550</v>
      </c>
      <c r="I2337" t="s">
        <v>52</v>
      </c>
      <c r="J2337">
        <v>33305</v>
      </c>
      <c r="K2337">
        <v>1159</v>
      </c>
      <c r="L2337" t="s">
        <v>23</v>
      </c>
      <c r="M2337" t="s">
        <v>6549</v>
      </c>
      <c r="N2337" t="s">
        <v>6550</v>
      </c>
      <c r="O2337" t="s">
        <v>52</v>
      </c>
      <c r="P2337">
        <v>33305</v>
      </c>
      <c r="Q2337">
        <v>1159</v>
      </c>
      <c r="R2337" t="s">
        <v>23</v>
      </c>
      <c r="S2337" s="1" t="s">
        <v>34218</v>
      </c>
    </row>
    <row r="2338" spans="1:19" x14ac:dyDescent="0.25">
      <c r="A2338">
        <v>100595065</v>
      </c>
      <c r="B2338" t="s">
        <v>6551</v>
      </c>
      <c r="C2338" t="s">
        <v>6552</v>
      </c>
      <c r="F2338" t="str">
        <f>"8502171225"</f>
        <v>8502171225</v>
      </c>
      <c r="G2338" t="s">
        <v>6553</v>
      </c>
      <c r="H2338" t="s">
        <v>6554</v>
      </c>
      <c r="I2338" t="s">
        <v>52</v>
      </c>
      <c r="J2338">
        <v>32541</v>
      </c>
      <c r="K2338">
        <v>3106</v>
      </c>
      <c r="L2338" t="s">
        <v>23</v>
      </c>
      <c r="M2338" t="s">
        <v>6553</v>
      </c>
      <c r="N2338" t="s">
        <v>6554</v>
      </c>
      <c r="O2338" t="s">
        <v>52</v>
      </c>
      <c r="P2338">
        <v>32541</v>
      </c>
      <c r="Q2338">
        <v>3106</v>
      </c>
      <c r="R2338" t="s">
        <v>23</v>
      </c>
      <c r="S2338" s="1" t="s">
        <v>34218</v>
      </c>
    </row>
    <row r="2339" spans="1:19" x14ac:dyDescent="0.25">
      <c r="A2339">
        <v>100874653</v>
      </c>
      <c r="B2339" t="s">
        <v>6555</v>
      </c>
      <c r="C2339" t="s">
        <v>5283</v>
      </c>
      <c r="F2339" t="str">
        <f>"2159177452"</f>
        <v>2159177452</v>
      </c>
      <c r="G2339" t="s">
        <v>6556</v>
      </c>
      <c r="H2339" t="s">
        <v>3434</v>
      </c>
      <c r="I2339" t="s">
        <v>332</v>
      </c>
      <c r="J2339">
        <v>84041</v>
      </c>
      <c r="L2339" t="s">
        <v>23</v>
      </c>
      <c r="M2339" t="s">
        <v>6556</v>
      </c>
      <c r="N2339" t="s">
        <v>3434</v>
      </c>
      <c r="O2339" t="s">
        <v>332</v>
      </c>
      <c r="P2339">
        <v>84041</v>
      </c>
      <c r="R2339" t="s">
        <v>23</v>
      </c>
      <c r="S2339" s="1" t="s">
        <v>34218</v>
      </c>
    </row>
    <row r="2340" spans="1:19" x14ac:dyDescent="0.25">
      <c r="A2340">
        <v>100960570</v>
      </c>
      <c r="B2340" t="s">
        <v>6557</v>
      </c>
      <c r="C2340" t="s">
        <v>6558</v>
      </c>
      <c r="F2340" t="str">
        <f>"9252674797"</f>
        <v>9252674797</v>
      </c>
      <c r="G2340" t="s">
        <v>6559</v>
      </c>
      <c r="H2340" t="s">
        <v>4420</v>
      </c>
      <c r="I2340" t="s">
        <v>255</v>
      </c>
      <c r="J2340">
        <v>20176</v>
      </c>
      <c r="K2340">
        <v>6907</v>
      </c>
      <c r="L2340" t="s">
        <v>23</v>
      </c>
      <c r="M2340" t="s">
        <v>6559</v>
      </c>
      <c r="N2340" t="s">
        <v>4420</v>
      </c>
      <c r="O2340" t="s">
        <v>255</v>
      </c>
      <c r="P2340">
        <v>20176</v>
      </c>
      <c r="Q2340">
        <v>6907</v>
      </c>
      <c r="R2340" t="s">
        <v>23</v>
      </c>
      <c r="S2340" s="1" t="s">
        <v>34218</v>
      </c>
    </row>
    <row r="2341" spans="1:19" x14ac:dyDescent="0.25">
      <c r="A2341">
        <v>101088415</v>
      </c>
      <c r="B2341" t="s">
        <v>6560</v>
      </c>
      <c r="C2341" t="s">
        <v>110</v>
      </c>
      <c r="F2341" t="str">
        <f>"5305555555"</f>
        <v>5305555555</v>
      </c>
      <c r="G2341" t="s">
        <v>6561</v>
      </c>
      <c r="H2341" t="s">
        <v>1396</v>
      </c>
      <c r="I2341" t="s">
        <v>22</v>
      </c>
      <c r="J2341" t="s">
        <v>6562</v>
      </c>
      <c r="K2341">
        <v>9532</v>
      </c>
      <c r="L2341" t="s">
        <v>23</v>
      </c>
      <c r="M2341" t="s">
        <v>6561</v>
      </c>
      <c r="N2341" t="s">
        <v>1396</v>
      </c>
      <c r="O2341" t="s">
        <v>22</v>
      </c>
      <c r="P2341" t="s">
        <v>6562</v>
      </c>
      <c r="Q2341">
        <v>9532</v>
      </c>
      <c r="R2341" t="s">
        <v>23</v>
      </c>
      <c r="S2341" s="1" t="s">
        <v>34218</v>
      </c>
    </row>
    <row r="2342" spans="1:19" x14ac:dyDescent="0.25">
      <c r="A2342">
        <v>100837450</v>
      </c>
      <c r="B2342" t="s">
        <v>6563</v>
      </c>
      <c r="C2342" t="s">
        <v>6564</v>
      </c>
      <c r="F2342" t="str">
        <f>"2123624341"</f>
        <v>2123624341</v>
      </c>
      <c r="G2342" t="s">
        <v>6565</v>
      </c>
      <c r="H2342" t="s">
        <v>653</v>
      </c>
      <c r="I2342" t="s">
        <v>117</v>
      </c>
      <c r="J2342" t="s">
        <v>6566</v>
      </c>
      <c r="K2342">
        <v>6816</v>
      </c>
      <c r="L2342" t="s">
        <v>23</v>
      </c>
      <c r="M2342" t="s">
        <v>6565</v>
      </c>
      <c r="N2342" t="s">
        <v>653</v>
      </c>
      <c r="O2342" t="s">
        <v>117</v>
      </c>
      <c r="P2342" t="s">
        <v>6566</v>
      </c>
      <c r="Q2342">
        <v>6816</v>
      </c>
      <c r="R2342" t="s">
        <v>23</v>
      </c>
      <c r="S2342" s="1" t="s">
        <v>34218</v>
      </c>
    </row>
    <row r="2343" spans="1:19" x14ac:dyDescent="0.25">
      <c r="A2343">
        <v>101085582</v>
      </c>
      <c r="B2343" t="s">
        <v>3625</v>
      </c>
      <c r="C2343" t="s">
        <v>102</v>
      </c>
      <c r="F2343" t="str">
        <f>"4076785078"</f>
        <v>4076785078</v>
      </c>
      <c r="G2343" t="s">
        <v>6567</v>
      </c>
      <c r="H2343" t="s">
        <v>6568</v>
      </c>
      <c r="I2343" t="s">
        <v>52</v>
      </c>
      <c r="J2343">
        <v>32707</v>
      </c>
      <c r="L2343" t="s">
        <v>23</v>
      </c>
      <c r="M2343" t="s">
        <v>6567</v>
      </c>
      <c r="N2343" t="s">
        <v>6568</v>
      </c>
      <c r="O2343" t="s">
        <v>52</v>
      </c>
      <c r="P2343">
        <v>32707</v>
      </c>
      <c r="R2343" t="s">
        <v>23</v>
      </c>
      <c r="S2343" s="1" t="s">
        <v>34218</v>
      </c>
    </row>
    <row r="2344" spans="1:19" x14ac:dyDescent="0.25">
      <c r="A2344">
        <v>101216972</v>
      </c>
      <c r="B2344" t="s">
        <v>6569</v>
      </c>
      <c r="C2344" t="s">
        <v>90</v>
      </c>
      <c r="F2344" t="str">
        <f>"7147855717"</f>
        <v>7147855717</v>
      </c>
      <c r="G2344" t="s">
        <v>6570</v>
      </c>
      <c r="H2344" t="s">
        <v>6571</v>
      </c>
      <c r="I2344" t="s">
        <v>52</v>
      </c>
      <c r="J2344">
        <v>34222</v>
      </c>
      <c r="K2344">
        <v>4366</v>
      </c>
      <c r="L2344" t="s">
        <v>23</v>
      </c>
      <c r="M2344" t="s">
        <v>6570</v>
      </c>
      <c r="N2344" t="s">
        <v>6571</v>
      </c>
      <c r="O2344" t="s">
        <v>52</v>
      </c>
      <c r="P2344">
        <v>34222</v>
      </c>
      <c r="Q2344">
        <v>4366</v>
      </c>
      <c r="R2344" t="s">
        <v>23</v>
      </c>
      <c r="S2344" s="1" t="s">
        <v>34218</v>
      </c>
    </row>
    <row r="2345" spans="1:19" x14ac:dyDescent="0.25">
      <c r="A2345">
        <v>101019359</v>
      </c>
      <c r="B2345" t="s">
        <v>3525</v>
      </c>
      <c r="C2345" t="s">
        <v>6572</v>
      </c>
      <c r="F2345" t="str">
        <f>"4104288569"</f>
        <v>4104288569</v>
      </c>
      <c r="G2345" t="s">
        <v>6573</v>
      </c>
      <c r="H2345" t="s">
        <v>3668</v>
      </c>
      <c r="I2345" t="s">
        <v>148</v>
      </c>
      <c r="J2345">
        <v>21206</v>
      </c>
      <c r="K2345">
        <v>1906</v>
      </c>
      <c r="L2345" t="s">
        <v>23</v>
      </c>
      <c r="M2345" t="s">
        <v>6573</v>
      </c>
      <c r="N2345" t="s">
        <v>3668</v>
      </c>
      <c r="O2345" t="s">
        <v>148</v>
      </c>
      <c r="P2345">
        <v>21206</v>
      </c>
      <c r="Q2345">
        <v>1906</v>
      </c>
      <c r="R2345" t="s">
        <v>23</v>
      </c>
      <c r="S2345" s="1" t="s">
        <v>34218</v>
      </c>
    </row>
    <row r="2346" spans="1:19" x14ac:dyDescent="0.25">
      <c r="A2346">
        <v>101078883</v>
      </c>
      <c r="B2346" t="s">
        <v>6574</v>
      </c>
      <c r="C2346" t="s">
        <v>286</v>
      </c>
      <c r="F2346" t="str">
        <f>"6155953169"</f>
        <v>6155953169</v>
      </c>
      <c r="G2346" t="s">
        <v>6575</v>
      </c>
      <c r="H2346" t="s">
        <v>223</v>
      </c>
      <c r="I2346" t="s">
        <v>22</v>
      </c>
      <c r="J2346">
        <v>94577</v>
      </c>
      <c r="K2346">
        <v>4526</v>
      </c>
      <c r="L2346" t="s">
        <v>23</v>
      </c>
      <c r="M2346" t="s">
        <v>6575</v>
      </c>
      <c r="N2346" t="s">
        <v>223</v>
      </c>
      <c r="O2346" t="s">
        <v>22</v>
      </c>
      <c r="P2346">
        <v>94577</v>
      </c>
      <c r="Q2346">
        <v>4526</v>
      </c>
      <c r="R2346" t="s">
        <v>23</v>
      </c>
      <c r="S2346" s="1" t="s">
        <v>34218</v>
      </c>
    </row>
    <row r="2347" spans="1:19" x14ac:dyDescent="0.25">
      <c r="A2347">
        <v>101246432</v>
      </c>
      <c r="B2347" t="s">
        <v>6576</v>
      </c>
      <c r="C2347" t="s">
        <v>1036</v>
      </c>
      <c r="F2347" t="str">
        <f>"8188467075"</f>
        <v>8188467075</v>
      </c>
      <c r="G2347" t="s">
        <v>6577</v>
      </c>
      <c r="H2347" t="s">
        <v>198</v>
      </c>
      <c r="I2347" t="s">
        <v>22</v>
      </c>
      <c r="J2347" t="s">
        <v>6578</v>
      </c>
      <c r="K2347">
        <v>2819</v>
      </c>
      <c r="L2347" t="s">
        <v>23</v>
      </c>
      <c r="M2347" t="s">
        <v>6577</v>
      </c>
      <c r="N2347" t="s">
        <v>198</v>
      </c>
      <c r="O2347" t="s">
        <v>22</v>
      </c>
      <c r="P2347" t="s">
        <v>6578</v>
      </c>
      <c r="Q2347">
        <v>2819</v>
      </c>
      <c r="R2347" t="s">
        <v>23</v>
      </c>
      <c r="S2347" s="1" t="s">
        <v>34218</v>
      </c>
    </row>
    <row r="2348" spans="1:19" x14ac:dyDescent="0.25">
      <c r="A2348">
        <v>101294210</v>
      </c>
      <c r="B2348" t="s">
        <v>6579</v>
      </c>
      <c r="C2348" t="s">
        <v>6580</v>
      </c>
      <c r="F2348" t="str">
        <f>"5106586829"</f>
        <v>5106586829</v>
      </c>
      <c r="G2348" t="s">
        <v>6581</v>
      </c>
      <c r="H2348" t="s">
        <v>88</v>
      </c>
      <c r="I2348" t="s">
        <v>22</v>
      </c>
      <c r="J2348" t="s">
        <v>6582</v>
      </c>
      <c r="K2348">
        <v>1519</v>
      </c>
      <c r="L2348" t="s">
        <v>23</v>
      </c>
      <c r="M2348" t="s">
        <v>6581</v>
      </c>
      <c r="N2348" t="s">
        <v>88</v>
      </c>
      <c r="O2348" t="s">
        <v>22</v>
      </c>
      <c r="P2348" t="s">
        <v>6582</v>
      </c>
      <c r="Q2348">
        <v>1519</v>
      </c>
      <c r="R2348" t="s">
        <v>23</v>
      </c>
      <c r="S2348" s="1" t="s">
        <v>34218</v>
      </c>
    </row>
    <row r="2349" spans="1:19" x14ac:dyDescent="0.25">
      <c r="A2349">
        <v>100537905</v>
      </c>
      <c r="B2349" t="s">
        <v>6583</v>
      </c>
      <c r="C2349" t="s">
        <v>6584</v>
      </c>
      <c r="F2349" t="str">
        <f>"5125551212"</f>
        <v>5125551212</v>
      </c>
      <c r="G2349" t="s">
        <v>6585</v>
      </c>
      <c r="H2349" t="s">
        <v>37</v>
      </c>
      <c r="I2349" t="s">
        <v>38</v>
      </c>
      <c r="J2349" t="s">
        <v>6586</v>
      </c>
      <c r="K2349">
        <v>726</v>
      </c>
      <c r="L2349" t="s">
        <v>23</v>
      </c>
      <c r="M2349" t="s">
        <v>6585</v>
      </c>
      <c r="N2349" t="s">
        <v>37</v>
      </c>
      <c r="O2349" t="s">
        <v>38</v>
      </c>
      <c r="P2349" t="s">
        <v>6586</v>
      </c>
      <c r="Q2349">
        <v>726</v>
      </c>
      <c r="R2349" t="s">
        <v>23</v>
      </c>
      <c r="S2349" s="1" t="s">
        <v>34218</v>
      </c>
    </row>
    <row r="2350" spans="1:19" x14ac:dyDescent="0.25">
      <c r="A2350">
        <v>101175807</v>
      </c>
      <c r="B2350" t="s">
        <v>6587</v>
      </c>
      <c r="C2350" t="s">
        <v>627</v>
      </c>
      <c r="F2350" t="str">
        <f>"6235369563"</f>
        <v>6235369563</v>
      </c>
      <c r="G2350" t="s">
        <v>6588</v>
      </c>
      <c r="H2350" t="s">
        <v>6589</v>
      </c>
      <c r="I2350" t="s">
        <v>365</v>
      </c>
      <c r="J2350" t="s">
        <v>6590</v>
      </c>
      <c r="K2350">
        <v>5162</v>
      </c>
      <c r="L2350" t="s">
        <v>23</v>
      </c>
      <c r="M2350" t="s">
        <v>6588</v>
      </c>
      <c r="N2350" t="s">
        <v>6589</v>
      </c>
      <c r="O2350" t="s">
        <v>365</v>
      </c>
      <c r="P2350" t="s">
        <v>6590</v>
      </c>
      <c r="Q2350">
        <v>5162</v>
      </c>
      <c r="R2350" t="s">
        <v>23</v>
      </c>
      <c r="S2350" s="1" t="s">
        <v>34218</v>
      </c>
    </row>
    <row r="2351" spans="1:19" x14ac:dyDescent="0.25">
      <c r="A2351">
        <v>100997830</v>
      </c>
      <c r="B2351" t="s">
        <v>6591</v>
      </c>
      <c r="C2351" t="s">
        <v>30</v>
      </c>
      <c r="F2351" t="str">
        <f>"3038235913"</f>
        <v>3038235913</v>
      </c>
      <c r="G2351" t="s">
        <v>6592</v>
      </c>
      <c r="H2351" t="s">
        <v>1431</v>
      </c>
      <c r="I2351" t="s">
        <v>639</v>
      </c>
      <c r="J2351">
        <v>87506</v>
      </c>
      <c r="K2351">
        <v>7955</v>
      </c>
      <c r="L2351" t="s">
        <v>23</v>
      </c>
      <c r="M2351" t="s">
        <v>6592</v>
      </c>
      <c r="N2351" t="s">
        <v>1431</v>
      </c>
      <c r="O2351" t="s">
        <v>639</v>
      </c>
      <c r="P2351">
        <v>87506</v>
      </c>
      <c r="Q2351">
        <v>7955</v>
      </c>
      <c r="R2351" t="s">
        <v>23</v>
      </c>
      <c r="S2351" s="1" t="s">
        <v>34218</v>
      </c>
    </row>
    <row r="2352" spans="1:19" x14ac:dyDescent="0.25">
      <c r="A2352">
        <v>101331371</v>
      </c>
      <c r="B2352" t="s">
        <v>6593</v>
      </c>
      <c r="C2352" t="s">
        <v>1873</v>
      </c>
      <c r="F2352" t="str">
        <f>"2077378603"</f>
        <v>2077378603</v>
      </c>
      <c r="G2352" t="s">
        <v>6594</v>
      </c>
      <c r="H2352" t="s">
        <v>3466</v>
      </c>
      <c r="I2352" t="s">
        <v>191</v>
      </c>
      <c r="J2352" t="s">
        <v>6595</v>
      </c>
      <c r="K2352">
        <v>3628</v>
      </c>
      <c r="L2352" t="s">
        <v>23</v>
      </c>
      <c r="M2352" t="s">
        <v>6594</v>
      </c>
      <c r="N2352" t="s">
        <v>3466</v>
      </c>
      <c r="O2352" t="s">
        <v>191</v>
      </c>
      <c r="P2352" t="s">
        <v>6595</v>
      </c>
      <c r="Q2352">
        <v>3628</v>
      </c>
      <c r="R2352" t="s">
        <v>23</v>
      </c>
      <c r="S2352" s="1" t="s">
        <v>34218</v>
      </c>
    </row>
    <row r="2353" spans="1:19" x14ac:dyDescent="0.25">
      <c r="A2353">
        <v>100523216</v>
      </c>
      <c r="B2353" t="s">
        <v>6596</v>
      </c>
      <c r="C2353" t="s">
        <v>644</v>
      </c>
      <c r="F2353" t="str">
        <f>"8585551234"</f>
        <v>8585551234</v>
      </c>
      <c r="G2353" t="s">
        <v>6597</v>
      </c>
      <c r="H2353" t="s">
        <v>198</v>
      </c>
      <c r="I2353" t="s">
        <v>22</v>
      </c>
      <c r="J2353">
        <v>92121</v>
      </c>
      <c r="K2353">
        <v>3831</v>
      </c>
      <c r="L2353" t="s">
        <v>23</v>
      </c>
      <c r="M2353" t="s">
        <v>6597</v>
      </c>
      <c r="N2353" t="s">
        <v>198</v>
      </c>
      <c r="O2353" t="s">
        <v>22</v>
      </c>
      <c r="P2353">
        <v>92121</v>
      </c>
      <c r="Q2353">
        <v>3831</v>
      </c>
      <c r="R2353" t="s">
        <v>23</v>
      </c>
      <c r="S2353" s="1" t="s">
        <v>34218</v>
      </c>
    </row>
    <row r="2354" spans="1:19" x14ac:dyDescent="0.25">
      <c r="A2354">
        <v>101025750</v>
      </c>
      <c r="B2354" t="s">
        <v>6598</v>
      </c>
      <c r="C2354" t="s">
        <v>6599</v>
      </c>
      <c r="F2354" t="str">
        <f>"5108982243"</f>
        <v>5108982243</v>
      </c>
      <c r="G2354" t="s">
        <v>6600</v>
      </c>
      <c r="H2354" t="s">
        <v>3707</v>
      </c>
      <c r="I2354" t="s">
        <v>22</v>
      </c>
      <c r="J2354" t="s">
        <v>6601</v>
      </c>
      <c r="K2354">
        <v>1245</v>
      </c>
      <c r="L2354" t="s">
        <v>23</v>
      </c>
      <c r="M2354" t="s">
        <v>6600</v>
      </c>
      <c r="N2354" t="s">
        <v>3707</v>
      </c>
      <c r="O2354" t="s">
        <v>22</v>
      </c>
      <c r="P2354" t="s">
        <v>6601</v>
      </c>
      <c r="Q2354">
        <v>1245</v>
      </c>
      <c r="R2354" t="s">
        <v>23</v>
      </c>
      <c r="S2354" s="1" t="s">
        <v>34218</v>
      </c>
    </row>
    <row r="2355" spans="1:19" x14ac:dyDescent="0.25">
      <c r="A2355">
        <v>101406361</v>
      </c>
      <c r="B2355" t="s">
        <v>6602</v>
      </c>
      <c r="C2355" t="s">
        <v>1124</v>
      </c>
      <c r="F2355" t="str">
        <f>"7036297523"</f>
        <v>7036297523</v>
      </c>
      <c r="G2355" t="s">
        <v>6603</v>
      </c>
      <c r="H2355" t="s">
        <v>3024</v>
      </c>
      <c r="I2355" t="s">
        <v>255</v>
      </c>
      <c r="J2355" t="s">
        <v>6604</v>
      </c>
      <c r="K2355">
        <v>4522</v>
      </c>
      <c r="L2355" t="s">
        <v>23</v>
      </c>
      <c r="M2355" t="s">
        <v>6603</v>
      </c>
      <c r="N2355" t="s">
        <v>3024</v>
      </c>
      <c r="O2355" t="s">
        <v>255</v>
      </c>
      <c r="P2355" t="s">
        <v>6604</v>
      </c>
      <c r="Q2355">
        <v>4522</v>
      </c>
      <c r="R2355" t="s">
        <v>23</v>
      </c>
      <c r="S2355" s="1" t="s">
        <v>34218</v>
      </c>
    </row>
    <row r="2356" spans="1:19" x14ac:dyDescent="0.25">
      <c r="A2356">
        <v>101385308</v>
      </c>
      <c r="B2356" t="s">
        <v>6605</v>
      </c>
      <c r="C2356" t="s">
        <v>6606</v>
      </c>
      <c r="F2356" t="str">
        <f>"6177928457"</f>
        <v>6177928457</v>
      </c>
      <c r="G2356" t="s">
        <v>6607</v>
      </c>
      <c r="H2356" t="s">
        <v>6608</v>
      </c>
      <c r="I2356" t="s">
        <v>236</v>
      </c>
      <c r="J2356" t="s">
        <v>6609</v>
      </c>
      <c r="K2356">
        <v>1101</v>
      </c>
      <c r="L2356" t="s">
        <v>23</v>
      </c>
      <c r="M2356" t="s">
        <v>6607</v>
      </c>
      <c r="N2356" t="s">
        <v>6608</v>
      </c>
      <c r="O2356" t="s">
        <v>236</v>
      </c>
      <c r="P2356" t="s">
        <v>6609</v>
      </c>
      <c r="Q2356">
        <v>1101</v>
      </c>
      <c r="R2356" t="s">
        <v>23</v>
      </c>
      <c r="S2356" s="1" t="s">
        <v>34218</v>
      </c>
    </row>
    <row r="2357" spans="1:19" x14ac:dyDescent="0.25">
      <c r="A2357">
        <v>101319828</v>
      </c>
      <c r="B2357" t="s">
        <v>5612</v>
      </c>
      <c r="C2357" t="s">
        <v>274</v>
      </c>
      <c r="F2357" t="str">
        <f>"4153281578"</f>
        <v>4153281578</v>
      </c>
      <c r="G2357" t="s">
        <v>6610</v>
      </c>
      <c r="H2357" t="s">
        <v>6611</v>
      </c>
      <c r="I2357" t="s">
        <v>22</v>
      </c>
      <c r="J2357">
        <v>94904</v>
      </c>
      <c r="K2357">
        <v>3017</v>
      </c>
      <c r="L2357" t="s">
        <v>23</v>
      </c>
      <c r="M2357" t="s">
        <v>6610</v>
      </c>
      <c r="N2357" t="s">
        <v>6611</v>
      </c>
      <c r="O2357" t="s">
        <v>22</v>
      </c>
      <c r="P2357">
        <v>94904</v>
      </c>
      <c r="Q2357">
        <v>3017</v>
      </c>
      <c r="R2357" t="s">
        <v>23</v>
      </c>
      <c r="S2357" s="1" t="s">
        <v>34218</v>
      </c>
    </row>
    <row r="2358" spans="1:19" x14ac:dyDescent="0.25">
      <c r="A2358">
        <v>101242785</v>
      </c>
      <c r="B2358" t="s">
        <v>6612</v>
      </c>
      <c r="C2358" t="s">
        <v>6315</v>
      </c>
      <c r="F2358" t="str">
        <f>"7202408799"</f>
        <v>7202408799</v>
      </c>
      <c r="H2358" t="s">
        <v>438</v>
      </c>
      <c r="I2358" t="s">
        <v>71</v>
      </c>
      <c r="J2358">
        <v>80502</v>
      </c>
      <c r="L2358" t="s">
        <v>23</v>
      </c>
      <c r="N2358" t="s">
        <v>438</v>
      </c>
      <c r="O2358" t="s">
        <v>71</v>
      </c>
      <c r="P2358">
        <v>80502</v>
      </c>
      <c r="R2358" t="s">
        <v>23</v>
      </c>
      <c r="S2358" s="1" t="s">
        <v>34218</v>
      </c>
    </row>
    <row r="2359" spans="1:19" x14ac:dyDescent="0.25">
      <c r="A2359">
        <v>100973560</v>
      </c>
      <c r="B2359" t="s">
        <v>1685</v>
      </c>
      <c r="C2359" t="s">
        <v>4184</v>
      </c>
      <c r="F2359" t="str">
        <f>"5037095898"</f>
        <v>5037095898</v>
      </c>
      <c r="G2359" t="s">
        <v>6613</v>
      </c>
      <c r="H2359" t="s">
        <v>3498</v>
      </c>
      <c r="I2359" t="s">
        <v>43</v>
      </c>
      <c r="J2359">
        <v>97330</v>
      </c>
      <c r="K2359">
        <v>2033</v>
      </c>
      <c r="L2359" t="s">
        <v>23</v>
      </c>
      <c r="M2359" t="s">
        <v>6613</v>
      </c>
      <c r="N2359" t="s">
        <v>3498</v>
      </c>
      <c r="O2359" t="s">
        <v>43</v>
      </c>
      <c r="P2359">
        <v>97330</v>
      </c>
      <c r="Q2359">
        <v>2033</v>
      </c>
      <c r="R2359" t="s">
        <v>23</v>
      </c>
      <c r="S2359" s="1" t="s">
        <v>34218</v>
      </c>
    </row>
    <row r="2360" spans="1:19" x14ac:dyDescent="0.25">
      <c r="A2360">
        <v>101150136</v>
      </c>
      <c r="B2360" t="s">
        <v>6614</v>
      </c>
      <c r="C2360" t="s">
        <v>3609</v>
      </c>
      <c r="F2360" t="str">
        <f>"2159474716"</f>
        <v>2159474716</v>
      </c>
      <c r="G2360" t="s">
        <v>6615</v>
      </c>
      <c r="H2360" t="s">
        <v>6616</v>
      </c>
      <c r="I2360" t="s">
        <v>33</v>
      </c>
      <c r="J2360">
        <v>19006</v>
      </c>
      <c r="K2360">
        <v>7960</v>
      </c>
      <c r="L2360" t="s">
        <v>23</v>
      </c>
      <c r="M2360" t="s">
        <v>6615</v>
      </c>
      <c r="N2360" t="s">
        <v>6616</v>
      </c>
      <c r="O2360" t="s">
        <v>33</v>
      </c>
      <c r="P2360">
        <v>19006</v>
      </c>
      <c r="Q2360">
        <v>7960</v>
      </c>
      <c r="R2360" t="s">
        <v>23</v>
      </c>
      <c r="S2360" s="1" t="s">
        <v>34218</v>
      </c>
    </row>
    <row r="2361" spans="1:19" x14ac:dyDescent="0.25">
      <c r="A2361">
        <v>100971109</v>
      </c>
      <c r="B2361" t="s">
        <v>4810</v>
      </c>
      <c r="C2361" t="s">
        <v>114</v>
      </c>
      <c r="F2361" t="str">
        <f>"5305824503"</f>
        <v>5305824503</v>
      </c>
      <c r="G2361" t="s">
        <v>6617</v>
      </c>
      <c r="H2361" t="s">
        <v>1857</v>
      </c>
      <c r="I2361" t="s">
        <v>702</v>
      </c>
      <c r="J2361">
        <v>89509</v>
      </c>
      <c r="K2361">
        <v>3888</v>
      </c>
      <c r="L2361" t="s">
        <v>23</v>
      </c>
      <c r="M2361" t="s">
        <v>6617</v>
      </c>
      <c r="N2361" t="s">
        <v>1857</v>
      </c>
      <c r="O2361" t="s">
        <v>702</v>
      </c>
      <c r="P2361">
        <v>89509</v>
      </c>
      <c r="Q2361">
        <v>3888</v>
      </c>
      <c r="R2361" t="s">
        <v>23</v>
      </c>
      <c r="S2361" s="1" t="s">
        <v>34218</v>
      </c>
    </row>
    <row r="2362" spans="1:19" x14ac:dyDescent="0.25">
      <c r="A2362">
        <v>100785785</v>
      </c>
      <c r="B2362" t="s">
        <v>6618</v>
      </c>
      <c r="C2362" t="s">
        <v>1223</v>
      </c>
      <c r="F2362" t="str">
        <f>"8088282833"</f>
        <v>8088282833</v>
      </c>
      <c r="G2362" t="s">
        <v>6619</v>
      </c>
      <c r="H2362" t="s">
        <v>6620</v>
      </c>
      <c r="I2362" t="s">
        <v>984</v>
      </c>
      <c r="J2362">
        <v>96754</v>
      </c>
      <c r="K2362">
        <v>5560</v>
      </c>
      <c r="L2362" t="s">
        <v>23</v>
      </c>
      <c r="M2362" t="s">
        <v>6619</v>
      </c>
      <c r="N2362" t="s">
        <v>6620</v>
      </c>
      <c r="O2362" t="s">
        <v>984</v>
      </c>
      <c r="P2362">
        <v>96754</v>
      </c>
      <c r="Q2362">
        <v>5560</v>
      </c>
      <c r="R2362" t="s">
        <v>23</v>
      </c>
      <c r="S2362" s="1" t="s">
        <v>34218</v>
      </c>
    </row>
    <row r="2363" spans="1:19" x14ac:dyDescent="0.25">
      <c r="A2363">
        <v>101303125</v>
      </c>
      <c r="B2363" t="s">
        <v>6621</v>
      </c>
      <c r="C2363" t="s">
        <v>119</v>
      </c>
      <c r="F2363" t="str">
        <f>"7272388262"</f>
        <v>7272388262</v>
      </c>
      <c r="G2363" t="s">
        <v>6622</v>
      </c>
      <c r="H2363" t="s">
        <v>2407</v>
      </c>
      <c r="I2363" t="s">
        <v>52</v>
      </c>
      <c r="J2363">
        <v>33763</v>
      </c>
      <c r="K2363">
        <v>4012</v>
      </c>
      <c r="L2363" t="s">
        <v>23</v>
      </c>
      <c r="M2363" t="s">
        <v>6622</v>
      </c>
      <c r="N2363" t="s">
        <v>2407</v>
      </c>
      <c r="O2363" t="s">
        <v>52</v>
      </c>
      <c r="P2363">
        <v>33763</v>
      </c>
      <c r="Q2363">
        <v>4012</v>
      </c>
      <c r="R2363" t="s">
        <v>23</v>
      </c>
      <c r="S2363" s="1" t="s">
        <v>34218</v>
      </c>
    </row>
    <row r="2364" spans="1:19" x14ac:dyDescent="0.25">
      <c r="A2364">
        <v>101365206</v>
      </c>
      <c r="B2364" t="s">
        <v>6623</v>
      </c>
      <c r="C2364" t="s">
        <v>6624</v>
      </c>
      <c r="F2364" t="str">
        <f>"5415500648"</f>
        <v>5415500648</v>
      </c>
      <c r="G2364" t="s">
        <v>6625</v>
      </c>
      <c r="H2364" t="s">
        <v>6626</v>
      </c>
      <c r="I2364" t="s">
        <v>22</v>
      </c>
      <c r="J2364">
        <v>95540</v>
      </c>
      <c r="K2364">
        <v>9247</v>
      </c>
      <c r="L2364" t="s">
        <v>23</v>
      </c>
      <c r="M2364" t="s">
        <v>6625</v>
      </c>
      <c r="N2364" t="s">
        <v>6626</v>
      </c>
      <c r="O2364" t="s">
        <v>22</v>
      </c>
      <c r="P2364">
        <v>95540</v>
      </c>
      <c r="Q2364">
        <v>9247</v>
      </c>
      <c r="R2364" t="s">
        <v>23</v>
      </c>
      <c r="S2364" s="1" t="s">
        <v>34218</v>
      </c>
    </row>
    <row r="2365" spans="1:19" x14ac:dyDescent="0.25">
      <c r="A2365">
        <v>101297194</v>
      </c>
      <c r="B2365" t="s">
        <v>2336</v>
      </c>
      <c r="C2365" t="s">
        <v>543</v>
      </c>
      <c r="F2365" t="str">
        <f>"5405204154"</f>
        <v>5405204154</v>
      </c>
      <c r="G2365" t="s">
        <v>6627</v>
      </c>
      <c r="H2365" t="s">
        <v>6628</v>
      </c>
      <c r="I2365" t="s">
        <v>255</v>
      </c>
      <c r="J2365">
        <v>24070</v>
      </c>
      <c r="K2365">
        <v>5733</v>
      </c>
      <c r="L2365" t="s">
        <v>23</v>
      </c>
      <c r="M2365" t="s">
        <v>6627</v>
      </c>
      <c r="N2365" t="s">
        <v>6628</v>
      </c>
      <c r="O2365" t="s">
        <v>255</v>
      </c>
      <c r="P2365">
        <v>24070</v>
      </c>
      <c r="Q2365">
        <v>5733</v>
      </c>
      <c r="R2365" t="s">
        <v>23</v>
      </c>
      <c r="S2365" s="1" t="s">
        <v>34218</v>
      </c>
    </row>
    <row r="2366" spans="1:19" x14ac:dyDescent="0.25">
      <c r="A2366">
        <v>101169379</v>
      </c>
      <c r="B2366" t="s">
        <v>6629</v>
      </c>
      <c r="C2366" t="s">
        <v>1205</v>
      </c>
      <c r="F2366" t="str">
        <f>"3233439093"</f>
        <v>3233439093</v>
      </c>
      <c r="G2366" t="s">
        <v>6630</v>
      </c>
      <c r="H2366" t="s">
        <v>299</v>
      </c>
      <c r="I2366" t="s">
        <v>22</v>
      </c>
      <c r="J2366">
        <v>90065</v>
      </c>
      <c r="L2366" t="s">
        <v>23</v>
      </c>
      <c r="M2366" t="s">
        <v>6630</v>
      </c>
      <c r="N2366" t="s">
        <v>299</v>
      </c>
      <c r="O2366" t="s">
        <v>22</v>
      </c>
      <c r="P2366">
        <v>90065</v>
      </c>
      <c r="R2366" t="s">
        <v>23</v>
      </c>
      <c r="S2366" s="1" t="s">
        <v>34218</v>
      </c>
    </row>
    <row r="2367" spans="1:19" x14ac:dyDescent="0.25">
      <c r="A2367">
        <v>101282008</v>
      </c>
      <c r="B2367" t="s">
        <v>6631</v>
      </c>
      <c r="C2367" t="s">
        <v>579</v>
      </c>
      <c r="F2367" t="str">
        <f>"9709461973"</f>
        <v>9709461973</v>
      </c>
      <c r="G2367" t="s">
        <v>6632</v>
      </c>
      <c r="H2367" t="s">
        <v>6633</v>
      </c>
      <c r="I2367" t="s">
        <v>71</v>
      </c>
      <c r="J2367">
        <v>81326</v>
      </c>
      <c r="K2367">
        <v>8742</v>
      </c>
      <c r="L2367" t="s">
        <v>23</v>
      </c>
      <c r="M2367" t="s">
        <v>6632</v>
      </c>
      <c r="N2367" t="s">
        <v>6633</v>
      </c>
      <c r="O2367" t="s">
        <v>71</v>
      </c>
      <c r="P2367">
        <v>81326</v>
      </c>
      <c r="Q2367">
        <v>8742</v>
      </c>
      <c r="R2367" t="s">
        <v>23</v>
      </c>
      <c r="S2367" s="1" t="s">
        <v>34218</v>
      </c>
    </row>
    <row r="2368" spans="1:19" x14ac:dyDescent="0.25">
      <c r="A2368">
        <v>100867911</v>
      </c>
      <c r="B2368" t="s">
        <v>29</v>
      </c>
      <c r="C2368" t="s">
        <v>102</v>
      </c>
      <c r="F2368" t="str">
        <f>"9702492360"</f>
        <v>9702492360</v>
      </c>
      <c r="G2368" t="s">
        <v>6634</v>
      </c>
      <c r="H2368" t="s">
        <v>4495</v>
      </c>
      <c r="I2368" t="s">
        <v>71</v>
      </c>
      <c r="J2368">
        <v>81403</v>
      </c>
      <c r="L2368" t="s">
        <v>23</v>
      </c>
      <c r="M2368" t="s">
        <v>6634</v>
      </c>
      <c r="N2368" t="s">
        <v>4495</v>
      </c>
      <c r="O2368" t="s">
        <v>71</v>
      </c>
      <c r="P2368">
        <v>81403</v>
      </c>
      <c r="R2368" t="s">
        <v>23</v>
      </c>
      <c r="S2368" s="1" t="s">
        <v>34218</v>
      </c>
    </row>
    <row r="2369" spans="1:19" x14ac:dyDescent="0.25">
      <c r="A2369">
        <v>101415121</v>
      </c>
      <c r="B2369" t="s">
        <v>1817</v>
      </c>
      <c r="C2369" t="s">
        <v>6635</v>
      </c>
      <c r="F2369" t="str">
        <f>"9784430023"</f>
        <v>9784430023</v>
      </c>
      <c r="G2369" t="s">
        <v>6636</v>
      </c>
      <c r="H2369" t="s">
        <v>6637</v>
      </c>
      <c r="I2369" t="s">
        <v>236</v>
      </c>
      <c r="J2369">
        <v>1776</v>
      </c>
      <c r="L2369" t="s">
        <v>23</v>
      </c>
      <c r="M2369" t="s">
        <v>6636</v>
      </c>
      <c r="N2369" t="s">
        <v>6637</v>
      </c>
      <c r="O2369" t="s">
        <v>236</v>
      </c>
      <c r="P2369">
        <v>1776</v>
      </c>
      <c r="R2369" t="s">
        <v>23</v>
      </c>
      <c r="S2369" s="1" t="s">
        <v>34218</v>
      </c>
    </row>
    <row r="2370" spans="1:19" x14ac:dyDescent="0.25">
      <c r="A2370">
        <v>101286382</v>
      </c>
      <c r="B2370" t="s">
        <v>6638</v>
      </c>
      <c r="C2370" t="s">
        <v>1415</v>
      </c>
      <c r="F2370" t="str">
        <f>"3235337785"</f>
        <v>3235337785</v>
      </c>
      <c r="G2370" t="s">
        <v>6639</v>
      </c>
      <c r="H2370" t="s">
        <v>299</v>
      </c>
      <c r="I2370" t="s">
        <v>22</v>
      </c>
      <c r="J2370">
        <v>90063</v>
      </c>
      <c r="K2370">
        <v>3839</v>
      </c>
      <c r="L2370" t="s">
        <v>23</v>
      </c>
      <c r="M2370" t="s">
        <v>6639</v>
      </c>
      <c r="N2370" t="s">
        <v>299</v>
      </c>
      <c r="O2370" t="s">
        <v>22</v>
      </c>
      <c r="P2370">
        <v>90063</v>
      </c>
      <c r="Q2370">
        <v>3839</v>
      </c>
      <c r="R2370" t="s">
        <v>23</v>
      </c>
      <c r="S2370" s="1" t="s">
        <v>34218</v>
      </c>
    </row>
    <row r="2371" spans="1:19" x14ac:dyDescent="0.25">
      <c r="A2371">
        <v>101044787</v>
      </c>
      <c r="B2371" t="s">
        <v>6640</v>
      </c>
      <c r="C2371" t="s">
        <v>6641</v>
      </c>
      <c r="F2371" t="str">
        <f>"5613456677"</f>
        <v>5613456677</v>
      </c>
      <c r="G2371" t="s">
        <v>6642</v>
      </c>
      <c r="H2371" t="s">
        <v>1254</v>
      </c>
      <c r="I2371" t="s">
        <v>52</v>
      </c>
      <c r="J2371">
        <v>33454</v>
      </c>
      <c r="K2371">
        <v>1432</v>
      </c>
      <c r="L2371" t="s">
        <v>23</v>
      </c>
      <c r="M2371" t="s">
        <v>6642</v>
      </c>
      <c r="N2371" t="s">
        <v>1254</v>
      </c>
      <c r="O2371" t="s">
        <v>52</v>
      </c>
      <c r="P2371">
        <v>33454</v>
      </c>
      <c r="Q2371">
        <v>1432</v>
      </c>
      <c r="R2371" t="s">
        <v>23</v>
      </c>
      <c r="S2371" s="1" t="s">
        <v>34218</v>
      </c>
    </row>
    <row r="2372" spans="1:19" x14ac:dyDescent="0.25">
      <c r="A2372">
        <v>100888596</v>
      </c>
      <c r="B2372" t="s">
        <v>6643</v>
      </c>
      <c r="C2372" t="s">
        <v>1533</v>
      </c>
      <c r="F2372" t="str">
        <f>"8183524128"</f>
        <v>8183524128</v>
      </c>
      <c r="G2372" t="s">
        <v>6644</v>
      </c>
      <c r="H2372" t="s">
        <v>6645</v>
      </c>
      <c r="I2372" t="s">
        <v>22</v>
      </c>
      <c r="J2372">
        <v>91040</v>
      </c>
      <c r="L2372" t="s">
        <v>23</v>
      </c>
      <c r="M2372" t="s">
        <v>6644</v>
      </c>
      <c r="N2372" t="s">
        <v>6645</v>
      </c>
      <c r="O2372" t="s">
        <v>22</v>
      </c>
      <c r="P2372">
        <v>91040</v>
      </c>
      <c r="R2372" t="s">
        <v>23</v>
      </c>
      <c r="S2372" s="1" t="s">
        <v>34218</v>
      </c>
    </row>
    <row r="2373" spans="1:19" x14ac:dyDescent="0.25">
      <c r="A2373">
        <v>101126572</v>
      </c>
      <c r="B2373" t="s">
        <v>6646</v>
      </c>
      <c r="C2373" t="s">
        <v>180</v>
      </c>
      <c r="F2373" t="str">
        <f>"6199872765"</f>
        <v>6199872765</v>
      </c>
      <c r="G2373" t="s">
        <v>6647</v>
      </c>
      <c r="H2373" t="s">
        <v>1431</v>
      </c>
      <c r="I2373" t="s">
        <v>639</v>
      </c>
      <c r="J2373">
        <v>87507</v>
      </c>
      <c r="L2373" t="s">
        <v>23</v>
      </c>
      <c r="M2373" t="s">
        <v>6647</v>
      </c>
      <c r="N2373" t="s">
        <v>1431</v>
      </c>
      <c r="O2373" t="s">
        <v>639</v>
      </c>
      <c r="P2373">
        <v>87507</v>
      </c>
      <c r="R2373" t="s">
        <v>23</v>
      </c>
      <c r="S2373" s="1" t="s">
        <v>34218</v>
      </c>
    </row>
    <row r="2374" spans="1:19" x14ac:dyDescent="0.25">
      <c r="A2374">
        <v>100859242</v>
      </c>
      <c r="B2374" t="s">
        <v>6648</v>
      </c>
      <c r="C2374" t="s">
        <v>102</v>
      </c>
      <c r="F2374" t="str">
        <f>"9145891791"</f>
        <v>9145891791</v>
      </c>
      <c r="G2374" t="s">
        <v>6649</v>
      </c>
      <c r="H2374" t="s">
        <v>280</v>
      </c>
      <c r="I2374" t="s">
        <v>117</v>
      </c>
      <c r="J2374" t="s">
        <v>6650</v>
      </c>
      <c r="K2374">
        <v>2908</v>
      </c>
      <c r="L2374" t="s">
        <v>23</v>
      </c>
      <c r="M2374" t="s">
        <v>6649</v>
      </c>
      <c r="N2374" t="s">
        <v>280</v>
      </c>
      <c r="O2374" t="s">
        <v>117</v>
      </c>
      <c r="P2374" t="s">
        <v>6650</v>
      </c>
      <c r="Q2374">
        <v>2908</v>
      </c>
      <c r="R2374" t="s">
        <v>23</v>
      </c>
      <c r="S2374" s="1" t="s">
        <v>34218</v>
      </c>
    </row>
    <row r="2375" spans="1:19" x14ac:dyDescent="0.25">
      <c r="A2375">
        <v>100852774</v>
      </c>
      <c r="B2375" t="s">
        <v>465</v>
      </c>
      <c r="C2375" t="s">
        <v>2938</v>
      </c>
      <c r="F2375" t="str">
        <f>"7144275977"</f>
        <v>7144275977</v>
      </c>
      <c r="G2375" t="s">
        <v>6651</v>
      </c>
      <c r="H2375" t="s">
        <v>6136</v>
      </c>
      <c r="I2375" t="s">
        <v>22</v>
      </c>
      <c r="J2375">
        <v>92626</v>
      </c>
      <c r="K2375">
        <v>3441</v>
      </c>
      <c r="L2375" t="s">
        <v>23</v>
      </c>
      <c r="M2375" t="s">
        <v>6651</v>
      </c>
      <c r="N2375" t="s">
        <v>6136</v>
      </c>
      <c r="O2375" t="s">
        <v>22</v>
      </c>
      <c r="P2375">
        <v>92626</v>
      </c>
      <c r="Q2375">
        <v>3441</v>
      </c>
      <c r="R2375" t="s">
        <v>23</v>
      </c>
      <c r="S2375" s="1" t="s">
        <v>34218</v>
      </c>
    </row>
    <row r="2376" spans="1:19" x14ac:dyDescent="0.25">
      <c r="A2376">
        <v>101299082</v>
      </c>
      <c r="B2376" t="s">
        <v>6652</v>
      </c>
      <c r="C2376" t="s">
        <v>6653</v>
      </c>
      <c r="F2376" t="str">
        <f>"3528714399"</f>
        <v>3528714399</v>
      </c>
      <c r="G2376" t="s">
        <v>6654</v>
      </c>
      <c r="H2376" t="s">
        <v>1748</v>
      </c>
      <c r="I2376" t="s">
        <v>255</v>
      </c>
      <c r="J2376">
        <v>22213</v>
      </c>
      <c r="K2376">
        <v>1044</v>
      </c>
      <c r="L2376" t="s">
        <v>23</v>
      </c>
      <c r="M2376" t="s">
        <v>6654</v>
      </c>
      <c r="N2376" t="s">
        <v>1748</v>
      </c>
      <c r="O2376" t="s">
        <v>255</v>
      </c>
      <c r="P2376">
        <v>22213</v>
      </c>
      <c r="Q2376">
        <v>1044</v>
      </c>
      <c r="R2376" t="s">
        <v>23</v>
      </c>
      <c r="S2376" s="1" t="s">
        <v>34218</v>
      </c>
    </row>
    <row r="2377" spans="1:19" x14ac:dyDescent="0.25">
      <c r="A2377">
        <v>101056402</v>
      </c>
      <c r="B2377" t="s">
        <v>6655</v>
      </c>
      <c r="C2377" t="s">
        <v>3909</v>
      </c>
      <c r="F2377" t="str">
        <f>"5555555555"</f>
        <v>5555555555</v>
      </c>
      <c r="G2377" t="s">
        <v>6656</v>
      </c>
      <c r="H2377" t="s">
        <v>6657</v>
      </c>
      <c r="I2377" t="s">
        <v>22</v>
      </c>
      <c r="J2377">
        <v>91706</v>
      </c>
      <c r="K2377">
        <v>4431</v>
      </c>
      <c r="L2377" t="s">
        <v>23</v>
      </c>
      <c r="M2377" t="s">
        <v>6656</v>
      </c>
      <c r="N2377" t="s">
        <v>6657</v>
      </c>
      <c r="O2377" t="s">
        <v>22</v>
      </c>
      <c r="P2377">
        <v>91706</v>
      </c>
      <c r="Q2377">
        <v>4431</v>
      </c>
      <c r="R2377" t="s">
        <v>23</v>
      </c>
      <c r="S2377" s="1" t="s">
        <v>34218</v>
      </c>
    </row>
    <row r="2378" spans="1:19" x14ac:dyDescent="0.25">
      <c r="A2378">
        <v>101334097</v>
      </c>
      <c r="B2378" t="s">
        <v>6658</v>
      </c>
      <c r="C2378" t="s">
        <v>6659</v>
      </c>
      <c r="F2378" t="str">
        <f>"7818495064"</f>
        <v>7818495064</v>
      </c>
      <c r="G2378" t="s">
        <v>6660</v>
      </c>
      <c r="H2378" t="s">
        <v>6661</v>
      </c>
      <c r="I2378" t="s">
        <v>236</v>
      </c>
      <c r="J2378">
        <v>2043</v>
      </c>
      <c r="K2378">
        <v>3787</v>
      </c>
      <c r="L2378" t="s">
        <v>23</v>
      </c>
      <c r="M2378" t="s">
        <v>6660</v>
      </c>
      <c r="N2378" t="s">
        <v>6661</v>
      </c>
      <c r="O2378" t="s">
        <v>236</v>
      </c>
      <c r="P2378">
        <v>2043</v>
      </c>
      <c r="Q2378">
        <v>3787</v>
      </c>
      <c r="R2378" t="s">
        <v>23</v>
      </c>
      <c r="S2378" s="1" t="s">
        <v>34218</v>
      </c>
    </row>
    <row r="2379" spans="1:19" x14ac:dyDescent="0.25">
      <c r="A2379">
        <v>100988511</v>
      </c>
      <c r="B2379" t="s">
        <v>6662</v>
      </c>
      <c r="C2379" t="s">
        <v>102</v>
      </c>
      <c r="F2379" t="str">
        <f>"8455186862"</f>
        <v>8455186862</v>
      </c>
      <c r="G2379" t="s">
        <v>6663</v>
      </c>
      <c r="H2379" t="s">
        <v>6664</v>
      </c>
      <c r="I2379" t="s">
        <v>117</v>
      </c>
      <c r="J2379">
        <v>12526</v>
      </c>
      <c r="K2379">
        <v>5811</v>
      </c>
      <c r="L2379" t="s">
        <v>23</v>
      </c>
      <c r="M2379" t="s">
        <v>6663</v>
      </c>
      <c r="N2379" t="s">
        <v>6664</v>
      </c>
      <c r="O2379" t="s">
        <v>117</v>
      </c>
      <c r="P2379">
        <v>12526</v>
      </c>
      <c r="Q2379">
        <v>5811</v>
      </c>
      <c r="R2379" t="s">
        <v>23</v>
      </c>
      <c r="S2379" s="1" t="s">
        <v>34218</v>
      </c>
    </row>
    <row r="2380" spans="1:19" x14ac:dyDescent="0.25">
      <c r="A2380">
        <v>100843679</v>
      </c>
      <c r="B2380" t="s">
        <v>6665</v>
      </c>
      <c r="C2380" t="s">
        <v>6666</v>
      </c>
      <c r="F2380" t="str">
        <f>"7074838247"</f>
        <v>7074838247</v>
      </c>
      <c r="G2380" t="s">
        <v>6667</v>
      </c>
      <c r="H2380" t="s">
        <v>496</v>
      </c>
      <c r="I2380" t="s">
        <v>22</v>
      </c>
      <c r="J2380">
        <v>94954</v>
      </c>
      <c r="L2380" t="s">
        <v>23</v>
      </c>
      <c r="M2380" t="s">
        <v>6667</v>
      </c>
      <c r="N2380" t="s">
        <v>496</v>
      </c>
      <c r="O2380" t="s">
        <v>22</v>
      </c>
      <c r="P2380">
        <v>94954</v>
      </c>
      <c r="R2380" t="s">
        <v>23</v>
      </c>
      <c r="S2380" s="1" t="s">
        <v>34218</v>
      </c>
    </row>
    <row r="2381" spans="1:19" x14ac:dyDescent="0.25">
      <c r="A2381">
        <v>100905449</v>
      </c>
      <c r="B2381" t="s">
        <v>6668</v>
      </c>
      <c r="C2381" t="s">
        <v>180</v>
      </c>
      <c r="F2381" t="str">
        <f>"7067826132"</f>
        <v>7067826132</v>
      </c>
      <c r="G2381" t="s">
        <v>6669</v>
      </c>
      <c r="H2381" t="s">
        <v>6670</v>
      </c>
      <c r="I2381" t="s">
        <v>28</v>
      </c>
      <c r="J2381">
        <v>30552</v>
      </c>
      <c r="K2381">
        <v>1</v>
      </c>
      <c r="L2381" t="s">
        <v>23</v>
      </c>
      <c r="M2381" t="s">
        <v>6669</v>
      </c>
      <c r="N2381" t="s">
        <v>6670</v>
      </c>
      <c r="O2381" t="s">
        <v>28</v>
      </c>
      <c r="P2381">
        <v>30552</v>
      </c>
      <c r="Q2381">
        <v>1</v>
      </c>
      <c r="R2381" t="s">
        <v>23</v>
      </c>
      <c r="S2381" s="1" t="s">
        <v>34218</v>
      </c>
    </row>
    <row r="2382" spans="1:19" x14ac:dyDescent="0.25">
      <c r="A2382">
        <v>101344295</v>
      </c>
      <c r="B2382" t="s">
        <v>6671</v>
      </c>
      <c r="C2382" t="s">
        <v>2420</v>
      </c>
      <c r="F2382" t="str">
        <f>"7027851245"</f>
        <v>7027851245</v>
      </c>
      <c r="G2382" t="s">
        <v>6672</v>
      </c>
      <c r="H2382" t="s">
        <v>1787</v>
      </c>
      <c r="I2382" t="s">
        <v>702</v>
      </c>
      <c r="J2382">
        <v>89121</v>
      </c>
      <c r="K2382">
        <v>3831</v>
      </c>
      <c r="L2382" t="s">
        <v>23</v>
      </c>
      <c r="M2382" t="s">
        <v>6672</v>
      </c>
      <c r="N2382" t="s">
        <v>1787</v>
      </c>
      <c r="O2382" t="s">
        <v>702</v>
      </c>
      <c r="P2382">
        <v>89121</v>
      </c>
      <c r="Q2382">
        <v>3831</v>
      </c>
      <c r="R2382" t="s">
        <v>23</v>
      </c>
      <c r="S2382" s="1" t="s">
        <v>34218</v>
      </c>
    </row>
    <row r="2383" spans="1:19" x14ac:dyDescent="0.25">
      <c r="A2383">
        <v>101253275</v>
      </c>
      <c r="B2383" t="s">
        <v>6673</v>
      </c>
      <c r="C2383" t="s">
        <v>575</v>
      </c>
      <c r="F2383" t="str">
        <f>"5204838808"</f>
        <v>5204838808</v>
      </c>
      <c r="G2383" t="s">
        <v>6674</v>
      </c>
      <c r="H2383" t="s">
        <v>6675</v>
      </c>
      <c r="I2383" t="s">
        <v>100</v>
      </c>
      <c r="J2383">
        <v>54467</v>
      </c>
      <c r="K2383">
        <v>3580</v>
      </c>
      <c r="L2383" t="s">
        <v>23</v>
      </c>
      <c r="M2383" t="s">
        <v>6674</v>
      </c>
      <c r="N2383" t="s">
        <v>6675</v>
      </c>
      <c r="O2383" t="s">
        <v>100</v>
      </c>
      <c r="P2383">
        <v>54467</v>
      </c>
      <c r="Q2383">
        <v>3580</v>
      </c>
      <c r="R2383" t="s">
        <v>23</v>
      </c>
      <c r="S2383" s="1" t="s">
        <v>34218</v>
      </c>
    </row>
    <row r="2384" spans="1:19" x14ac:dyDescent="0.25">
      <c r="A2384">
        <v>100906687</v>
      </c>
      <c r="B2384" t="s">
        <v>5533</v>
      </c>
      <c r="C2384" t="s">
        <v>1941</v>
      </c>
      <c r="F2384" t="str">
        <f>"8282754354"</f>
        <v>8282754354</v>
      </c>
      <c r="G2384" t="s">
        <v>6676</v>
      </c>
      <c r="H2384" t="s">
        <v>445</v>
      </c>
      <c r="I2384" t="s">
        <v>446</v>
      </c>
      <c r="J2384">
        <v>28806</v>
      </c>
      <c r="K2384">
        <v>1274</v>
      </c>
      <c r="L2384" t="s">
        <v>23</v>
      </c>
      <c r="M2384" t="s">
        <v>6676</v>
      </c>
      <c r="N2384" t="s">
        <v>445</v>
      </c>
      <c r="O2384" t="s">
        <v>446</v>
      </c>
      <c r="P2384">
        <v>28806</v>
      </c>
      <c r="Q2384">
        <v>1274</v>
      </c>
      <c r="R2384" t="s">
        <v>23</v>
      </c>
      <c r="S2384" s="1" t="s">
        <v>34218</v>
      </c>
    </row>
    <row r="2385" spans="1:19" x14ac:dyDescent="0.25">
      <c r="A2385">
        <v>100785211</v>
      </c>
      <c r="B2385" t="s">
        <v>6677</v>
      </c>
      <c r="C2385" t="s">
        <v>1107</v>
      </c>
      <c r="F2385" t="str">
        <f>"5203226273"</f>
        <v>5203226273</v>
      </c>
      <c r="G2385" t="s">
        <v>6678</v>
      </c>
      <c r="H2385" t="s">
        <v>1439</v>
      </c>
      <c r="I2385" t="s">
        <v>365</v>
      </c>
      <c r="J2385">
        <v>85733</v>
      </c>
      <c r="L2385" t="s">
        <v>23</v>
      </c>
      <c r="M2385" t="s">
        <v>6678</v>
      </c>
      <c r="N2385" t="s">
        <v>1439</v>
      </c>
      <c r="O2385" t="s">
        <v>365</v>
      </c>
      <c r="P2385">
        <v>85733</v>
      </c>
      <c r="R2385" t="s">
        <v>23</v>
      </c>
      <c r="S2385" s="1" t="s">
        <v>34218</v>
      </c>
    </row>
    <row r="2386" spans="1:19" x14ac:dyDescent="0.25">
      <c r="A2386">
        <v>100955629</v>
      </c>
      <c r="B2386" t="s">
        <v>6679</v>
      </c>
      <c r="C2386" t="s">
        <v>1363</v>
      </c>
      <c r="F2386" t="str">
        <f>"5107416821"</f>
        <v>5107416821</v>
      </c>
      <c r="G2386" t="s">
        <v>6680</v>
      </c>
      <c r="H2386" t="s">
        <v>3493</v>
      </c>
      <c r="I2386" t="s">
        <v>22</v>
      </c>
      <c r="J2386">
        <v>94803</v>
      </c>
      <c r="K2386">
        <v>3118</v>
      </c>
      <c r="L2386" t="s">
        <v>23</v>
      </c>
      <c r="M2386" t="s">
        <v>6680</v>
      </c>
      <c r="N2386" t="s">
        <v>3493</v>
      </c>
      <c r="O2386" t="s">
        <v>22</v>
      </c>
      <c r="P2386">
        <v>94803</v>
      </c>
      <c r="Q2386">
        <v>3118</v>
      </c>
      <c r="R2386" t="s">
        <v>23</v>
      </c>
      <c r="S2386" s="1" t="s">
        <v>34218</v>
      </c>
    </row>
    <row r="2387" spans="1:19" x14ac:dyDescent="0.25">
      <c r="A2387">
        <v>100993425</v>
      </c>
      <c r="B2387" t="s">
        <v>6681</v>
      </c>
      <c r="C2387" t="s">
        <v>4159</v>
      </c>
      <c r="F2387" t="str">
        <f>"4107582199"</f>
        <v>4107582199</v>
      </c>
      <c r="G2387" t="s">
        <v>6682</v>
      </c>
      <c r="H2387" t="s">
        <v>3424</v>
      </c>
      <c r="I2387" t="s">
        <v>148</v>
      </c>
      <c r="J2387">
        <v>21617</v>
      </c>
      <c r="L2387" t="s">
        <v>23</v>
      </c>
      <c r="M2387" t="s">
        <v>6682</v>
      </c>
      <c r="N2387" t="s">
        <v>3424</v>
      </c>
      <c r="O2387" t="s">
        <v>148</v>
      </c>
      <c r="P2387">
        <v>21617</v>
      </c>
      <c r="R2387" t="s">
        <v>23</v>
      </c>
      <c r="S2387" s="1" t="s">
        <v>34218</v>
      </c>
    </row>
    <row r="2388" spans="1:19" x14ac:dyDescent="0.25">
      <c r="A2388">
        <v>100811810</v>
      </c>
      <c r="B2388" t="s">
        <v>6683</v>
      </c>
      <c r="C2388" t="s">
        <v>2411</v>
      </c>
      <c r="F2388" t="str">
        <f>"4257474125"</f>
        <v>4257474125</v>
      </c>
      <c r="G2388" t="s">
        <v>6684</v>
      </c>
      <c r="H2388" t="s">
        <v>6685</v>
      </c>
      <c r="I2388" t="s">
        <v>84</v>
      </c>
      <c r="J2388">
        <v>98592</v>
      </c>
      <c r="K2388">
        <v>9636</v>
      </c>
      <c r="L2388" t="s">
        <v>23</v>
      </c>
      <c r="M2388" t="s">
        <v>6684</v>
      </c>
      <c r="N2388" t="s">
        <v>6685</v>
      </c>
      <c r="O2388" t="s">
        <v>84</v>
      </c>
      <c r="P2388">
        <v>98592</v>
      </c>
      <c r="Q2388">
        <v>9636</v>
      </c>
      <c r="R2388" t="s">
        <v>23</v>
      </c>
      <c r="S2388" s="1" t="s">
        <v>34218</v>
      </c>
    </row>
    <row r="2389" spans="1:19" x14ac:dyDescent="0.25">
      <c r="A2389">
        <v>101361907</v>
      </c>
      <c r="B2389" t="s">
        <v>6686</v>
      </c>
      <c r="C2389" t="s">
        <v>30</v>
      </c>
      <c r="F2389" t="str">
        <f>"3604223588"</f>
        <v>3604223588</v>
      </c>
      <c r="G2389" t="s">
        <v>6687</v>
      </c>
      <c r="H2389" t="s">
        <v>4989</v>
      </c>
      <c r="I2389" t="s">
        <v>84</v>
      </c>
      <c r="J2389">
        <v>98282</v>
      </c>
      <c r="K2389">
        <v>8569</v>
      </c>
      <c r="L2389" t="s">
        <v>23</v>
      </c>
      <c r="M2389" t="s">
        <v>6687</v>
      </c>
      <c r="N2389" t="s">
        <v>4989</v>
      </c>
      <c r="O2389" t="s">
        <v>84</v>
      </c>
      <c r="P2389">
        <v>98282</v>
      </c>
      <c r="Q2389">
        <v>8569</v>
      </c>
      <c r="R2389" t="s">
        <v>23</v>
      </c>
      <c r="S2389" s="1" t="s">
        <v>34218</v>
      </c>
    </row>
    <row r="2390" spans="1:19" x14ac:dyDescent="0.25">
      <c r="A2390">
        <v>100823816</v>
      </c>
      <c r="B2390" t="s">
        <v>6688</v>
      </c>
      <c r="C2390" t="s">
        <v>6689</v>
      </c>
      <c r="F2390" t="str">
        <f>"2062260238"</f>
        <v>2062260238</v>
      </c>
      <c r="G2390" t="s">
        <v>6690</v>
      </c>
      <c r="H2390" t="s">
        <v>1439</v>
      </c>
      <c r="I2390" t="s">
        <v>365</v>
      </c>
      <c r="J2390" t="s">
        <v>6691</v>
      </c>
      <c r="K2390">
        <v>6717</v>
      </c>
      <c r="L2390" t="s">
        <v>23</v>
      </c>
      <c r="M2390" t="s">
        <v>6690</v>
      </c>
      <c r="N2390" t="s">
        <v>1439</v>
      </c>
      <c r="O2390" t="s">
        <v>365</v>
      </c>
      <c r="P2390" t="s">
        <v>6691</v>
      </c>
      <c r="Q2390">
        <v>6717</v>
      </c>
      <c r="R2390" t="s">
        <v>23</v>
      </c>
      <c r="S2390" s="1" t="s">
        <v>34218</v>
      </c>
    </row>
    <row r="2391" spans="1:19" x14ac:dyDescent="0.25">
      <c r="A2391">
        <v>100675105</v>
      </c>
      <c r="B2391" t="s">
        <v>6692</v>
      </c>
      <c r="C2391" t="s">
        <v>1327</v>
      </c>
      <c r="F2391" t="str">
        <f>"7032038693"</f>
        <v>7032038693</v>
      </c>
      <c r="G2391" t="s">
        <v>6693</v>
      </c>
      <c r="H2391" t="s">
        <v>227</v>
      </c>
      <c r="I2391" t="s">
        <v>43</v>
      </c>
      <c r="J2391">
        <v>97232</v>
      </c>
      <c r="K2391">
        <v>1147</v>
      </c>
      <c r="L2391" t="s">
        <v>23</v>
      </c>
      <c r="M2391" t="s">
        <v>6693</v>
      </c>
      <c r="N2391" t="s">
        <v>227</v>
      </c>
      <c r="O2391" t="s">
        <v>43</v>
      </c>
      <c r="P2391">
        <v>97232</v>
      </c>
      <c r="Q2391">
        <v>1147</v>
      </c>
      <c r="R2391" t="s">
        <v>23</v>
      </c>
      <c r="S2391" s="1" t="s">
        <v>34218</v>
      </c>
    </row>
    <row r="2392" spans="1:19" x14ac:dyDescent="0.25">
      <c r="A2392">
        <v>101313438</v>
      </c>
      <c r="B2392" t="s">
        <v>6694</v>
      </c>
      <c r="C2392" t="s">
        <v>3705</v>
      </c>
      <c r="F2392" t="str">
        <f>"6018657039"</f>
        <v>6018657039</v>
      </c>
      <c r="G2392" t="s">
        <v>6695</v>
      </c>
      <c r="H2392" t="s">
        <v>2375</v>
      </c>
      <c r="I2392" t="s">
        <v>1226</v>
      </c>
      <c r="J2392">
        <v>39110</v>
      </c>
      <c r="K2392">
        <v>9519</v>
      </c>
      <c r="L2392" t="s">
        <v>23</v>
      </c>
      <c r="M2392" t="s">
        <v>6695</v>
      </c>
      <c r="N2392" t="s">
        <v>2375</v>
      </c>
      <c r="O2392" t="s">
        <v>1226</v>
      </c>
      <c r="P2392">
        <v>39110</v>
      </c>
      <c r="Q2392">
        <v>9519</v>
      </c>
      <c r="R2392" t="s">
        <v>23</v>
      </c>
      <c r="S2392" s="1" t="s">
        <v>34218</v>
      </c>
    </row>
    <row r="2393" spans="1:19" x14ac:dyDescent="0.25">
      <c r="A2393">
        <v>100518636</v>
      </c>
      <c r="B2393" t="s">
        <v>6696</v>
      </c>
      <c r="C2393" t="s">
        <v>6697</v>
      </c>
      <c r="F2393" t="str">
        <f>"5038051186"</f>
        <v>5038051186</v>
      </c>
      <c r="G2393" t="s">
        <v>6698</v>
      </c>
      <c r="H2393" t="s">
        <v>227</v>
      </c>
      <c r="I2393" t="s">
        <v>43</v>
      </c>
      <c r="J2393" t="s">
        <v>6699</v>
      </c>
      <c r="K2393">
        <v>3755</v>
      </c>
      <c r="L2393" t="s">
        <v>23</v>
      </c>
      <c r="M2393" t="s">
        <v>6698</v>
      </c>
      <c r="N2393" t="s">
        <v>227</v>
      </c>
      <c r="O2393" t="s">
        <v>43</v>
      </c>
      <c r="P2393" t="s">
        <v>6699</v>
      </c>
      <c r="Q2393">
        <v>3755</v>
      </c>
      <c r="R2393" t="s">
        <v>23</v>
      </c>
      <c r="S2393" s="1" t="s">
        <v>34218</v>
      </c>
    </row>
    <row r="2394" spans="1:19" x14ac:dyDescent="0.25">
      <c r="A2394">
        <v>100972807</v>
      </c>
      <c r="B2394" t="s">
        <v>76</v>
      </c>
      <c r="C2394" t="s">
        <v>3545</v>
      </c>
      <c r="F2394" t="str">
        <f>"2033662616"</f>
        <v>2033662616</v>
      </c>
      <c r="G2394" t="s">
        <v>6700</v>
      </c>
      <c r="H2394" t="s">
        <v>3680</v>
      </c>
      <c r="I2394" t="s">
        <v>161</v>
      </c>
      <c r="J2394">
        <v>6825</v>
      </c>
      <c r="L2394" t="s">
        <v>23</v>
      </c>
      <c r="M2394" t="s">
        <v>6700</v>
      </c>
      <c r="N2394" t="s">
        <v>3680</v>
      </c>
      <c r="O2394" t="s">
        <v>161</v>
      </c>
      <c r="P2394">
        <v>6825</v>
      </c>
      <c r="R2394" t="s">
        <v>23</v>
      </c>
      <c r="S2394" s="1" t="s">
        <v>34218</v>
      </c>
    </row>
    <row r="2395" spans="1:19" x14ac:dyDescent="0.25">
      <c r="A2395">
        <v>101277990</v>
      </c>
      <c r="B2395" t="s">
        <v>6701</v>
      </c>
      <c r="C2395" t="s">
        <v>575</v>
      </c>
      <c r="F2395" t="str">
        <f>"3864973057"</f>
        <v>3864973057</v>
      </c>
      <c r="G2395" t="s">
        <v>6702</v>
      </c>
      <c r="H2395" t="s">
        <v>6703</v>
      </c>
      <c r="I2395" t="s">
        <v>52</v>
      </c>
      <c r="J2395">
        <v>32038</v>
      </c>
      <c r="L2395" t="s">
        <v>23</v>
      </c>
      <c r="M2395" t="s">
        <v>6702</v>
      </c>
      <c r="N2395" t="s">
        <v>6703</v>
      </c>
      <c r="O2395" t="s">
        <v>52</v>
      </c>
      <c r="P2395">
        <v>32038</v>
      </c>
      <c r="R2395" t="s">
        <v>23</v>
      </c>
      <c r="S2395" s="1" t="s">
        <v>34218</v>
      </c>
    </row>
    <row r="2396" spans="1:19" x14ac:dyDescent="0.25">
      <c r="A2396">
        <v>100960501</v>
      </c>
      <c r="B2396" t="s">
        <v>2074</v>
      </c>
      <c r="C2396" t="s">
        <v>1153</v>
      </c>
      <c r="F2396" t="str">
        <f>"5309131338"</f>
        <v>5309131338</v>
      </c>
      <c r="G2396" t="s">
        <v>6704</v>
      </c>
      <c r="H2396" t="s">
        <v>3230</v>
      </c>
      <c r="I2396" t="s">
        <v>22</v>
      </c>
      <c r="J2396" t="s">
        <v>6705</v>
      </c>
      <c r="K2396">
        <v>9375</v>
      </c>
      <c r="L2396" t="s">
        <v>23</v>
      </c>
      <c r="M2396" t="s">
        <v>6704</v>
      </c>
      <c r="N2396" t="s">
        <v>3230</v>
      </c>
      <c r="O2396" t="s">
        <v>22</v>
      </c>
      <c r="P2396" t="s">
        <v>6705</v>
      </c>
      <c r="Q2396">
        <v>9375</v>
      </c>
      <c r="R2396" t="s">
        <v>23</v>
      </c>
      <c r="S2396" s="1" t="s">
        <v>34218</v>
      </c>
    </row>
    <row r="2397" spans="1:19" x14ac:dyDescent="0.25">
      <c r="A2397">
        <v>100569216</v>
      </c>
      <c r="B2397" t="s">
        <v>6706</v>
      </c>
      <c r="C2397" t="s">
        <v>1487</v>
      </c>
      <c r="F2397" t="str">
        <f>"5864456239"</f>
        <v>5864456239</v>
      </c>
      <c r="G2397" t="s">
        <v>6707</v>
      </c>
      <c r="H2397" t="s">
        <v>2724</v>
      </c>
      <c r="I2397" t="s">
        <v>140</v>
      </c>
      <c r="J2397">
        <v>48066</v>
      </c>
      <c r="L2397" t="s">
        <v>23</v>
      </c>
      <c r="M2397" t="s">
        <v>6707</v>
      </c>
      <c r="N2397" t="s">
        <v>2724</v>
      </c>
      <c r="O2397" t="s">
        <v>140</v>
      </c>
      <c r="P2397">
        <v>48066</v>
      </c>
      <c r="R2397" t="s">
        <v>23</v>
      </c>
      <c r="S2397" s="1" t="s">
        <v>34218</v>
      </c>
    </row>
    <row r="2398" spans="1:19" x14ac:dyDescent="0.25">
      <c r="A2398">
        <v>101301962</v>
      </c>
      <c r="B2398" t="s">
        <v>6708</v>
      </c>
      <c r="C2398" t="s">
        <v>2758</v>
      </c>
      <c r="F2398" t="str">
        <f>"2133210215"</f>
        <v>2133210215</v>
      </c>
      <c r="G2398" t="s">
        <v>6709</v>
      </c>
      <c r="H2398" t="s">
        <v>299</v>
      </c>
      <c r="I2398" t="s">
        <v>22</v>
      </c>
      <c r="J2398">
        <v>90032</v>
      </c>
      <c r="K2398">
        <v>1308</v>
      </c>
      <c r="L2398" t="s">
        <v>23</v>
      </c>
      <c r="M2398" t="s">
        <v>6709</v>
      </c>
      <c r="N2398" t="s">
        <v>299</v>
      </c>
      <c r="O2398" t="s">
        <v>22</v>
      </c>
      <c r="P2398">
        <v>90032</v>
      </c>
      <c r="Q2398">
        <v>1308</v>
      </c>
      <c r="R2398" t="s">
        <v>23</v>
      </c>
      <c r="S2398" s="1" t="s">
        <v>34218</v>
      </c>
    </row>
    <row r="2399" spans="1:19" x14ac:dyDescent="0.25">
      <c r="A2399">
        <v>101291324</v>
      </c>
      <c r="B2399" t="s">
        <v>6710</v>
      </c>
      <c r="C2399" t="s">
        <v>2515</v>
      </c>
      <c r="F2399" t="str">
        <f>"7637801101"</f>
        <v>7637801101</v>
      </c>
      <c r="G2399" t="s">
        <v>6711</v>
      </c>
      <c r="H2399" t="s">
        <v>1405</v>
      </c>
      <c r="I2399" t="s">
        <v>187</v>
      </c>
      <c r="J2399">
        <v>55110</v>
      </c>
      <c r="K2399">
        <v>5516</v>
      </c>
      <c r="L2399" t="s">
        <v>23</v>
      </c>
      <c r="M2399" t="s">
        <v>6711</v>
      </c>
      <c r="N2399" t="s">
        <v>1405</v>
      </c>
      <c r="O2399" t="s">
        <v>187</v>
      </c>
      <c r="P2399">
        <v>55110</v>
      </c>
      <c r="Q2399">
        <v>5516</v>
      </c>
      <c r="R2399" t="s">
        <v>23</v>
      </c>
      <c r="S2399" s="1" t="s">
        <v>34218</v>
      </c>
    </row>
    <row r="2400" spans="1:19" x14ac:dyDescent="0.25">
      <c r="A2400">
        <v>101156879</v>
      </c>
      <c r="B2400" t="s">
        <v>6712</v>
      </c>
      <c r="C2400" t="s">
        <v>90</v>
      </c>
      <c r="F2400" t="str">
        <f>"4154411013"</f>
        <v>4154411013</v>
      </c>
      <c r="G2400" t="s">
        <v>6713</v>
      </c>
      <c r="H2400" t="s">
        <v>130</v>
      </c>
      <c r="I2400" t="s">
        <v>22</v>
      </c>
      <c r="J2400">
        <v>94116</v>
      </c>
      <c r="K2400">
        <v>1213</v>
      </c>
      <c r="L2400" t="s">
        <v>23</v>
      </c>
      <c r="M2400" t="s">
        <v>6713</v>
      </c>
      <c r="N2400" t="s">
        <v>130</v>
      </c>
      <c r="O2400" t="s">
        <v>22</v>
      </c>
      <c r="P2400">
        <v>94116</v>
      </c>
      <c r="Q2400">
        <v>1213</v>
      </c>
      <c r="R2400" t="s">
        <v>23</v>
      </c>
      <c r="S2400" s="1" t="s">
        <v>34218</v>
      </c>
    </row>
    <row r="2401" spans="1:19" x14ac:dyDescent="0.25">
      <c r="A2401">
        <v>100795479</v>
      </c>
      <c r="B2401" t="s">
        <v>2328</v>
      </c>
      <c r="C2401" t="s">
        <v>1588</v>
      </c>
      <c r="F2401" t="str">
        <f>"8308953483"</f>
        <v>8308953483</v>
      </c>
      <c r="G2401" t="s">
        <v>6714</v>
      </c>
      <c r="H2401" t="s">
        <v>6715</v>
      </c>
      <c r="I2401" t="s">
        <v>38</v>
      </c>
      <c r="J2401">
        <v>78028</v>
      </c>
      <c r="K2401">
        <v>2230</v>
      </c>
      <c r="L2401" t="s">
        <v>23</v>
      </c>
      <c r="M2401" t="s">
        <v>6714</v>
      </c>
      <c r="N2401" t="s">
        <v>6715</v>
      </c>
      <c r="O2401" t="s">
        <v>38</v>
      </c>
      <c r="P2401">
        <v>78028</v>
      </c>
      <c r="Q2401">
        <v>2230</v>
      </c>
      <c r="R2401" t="s">
        <v>23</v>
      </c>
      <c r="S2401" s="1" t="s">
        <v>34218</v>
      </c>
    </row>
    <row r="2402" spans="1:19" x14ac:dyDescent="0.25">
      <c r="A2402">
        <v>101449271</v>
      </c>
      <c r="B2402" t="s">
        <v>2656</v>
      </c>
      <c r="C2402" t="s">
        <v>1555</v>
      </c>
      <c r="F2402" t="str">
        <f>"8562352086"</f>
        <v>8562352086</v>
      </c>
      <c r="G2402" t="s">
        <v>6716</v>
      </c>
      <c r="H2402" t="s">
        <v>6717</v>
      </c>
      <c r="I2402" t="s">
        <v>250</v>
      </c>
      <c r="J2402">
        <v>8054</v>
      </c>
      <c r="K2402">
        <v>9569</v>
      </c>
      <c r="L2402" t="s">
        <v>23</v>
      </c>
      <c r="M2402" t="s">
        <v>6716</v>
      </c>
      <c r="N2402" t="s">
        <v>6717</v>
      </c>
      <c r="O2402" t="s">
        <v>250</v>
      </c>
      <c r="P2402">
        <v>8054</v>
      </c>
      <c r="Q2402">
        <v>9569</v>
      </c>
      <c r="R2402" t="s">
        <v>23</v>
      </c>
      <c r="S2402" s="1" t="s">
        <v>34218</v>
      </c>
    </row>
    <row r="2403" spans="1:19" x14ac:dyDescent="0.25">
      <c r="A2403">
        <v>101292716</v>
      </c>
      <c r="B2403" t="s">
        <v>5616</v>
      </c>
      <c r="C2403" t="s">
        <v>522</v>
      </c>
      <c r="F2403" t="str">
        <f>"6036615053"</f>
        <v>6036615053</v>
      </c>
      <c r="G2403" t="s">
        <v>6718</v>
      </c>
      <c r="H2403" t="s">
        <v>299</v>
      </c>
      <c r="I2403" t="s">
        <v>22</v>
      </c>
      <c r="J2403">
        <v>90035</v>
      </c>
      <c r="K2403">
        <v>2580</v>
      </c>
      <c r="L2403" t="s">
        <v>23</v>
      </c>
      <c r="M2403" t="s">
        <v>6718</v>
      </c>
      <c r="N2403" t="s">
        <v>299</v>
      </c>
      <c r="O2403" t="s">
        <v>22</v>
      </c>
      <c r="P2403">
        <v>90035</v>
      </c>
      <c r="Q2403">
        <v>2580</v>
      </c>
      <c r="R2403" t="s">
        <v>23</v>
      </c>
      <c r="S2403" s="1" t="s">
        <v>34218</v>
      </c>
    </row>
    <row r="2404" spans="1:19" x14ac:dyDescent="0.25">
      <c r="A2404">
        <v>101338619</v>
      </c>
      <c r="B2404" t="s">
        <v>6719</v>
      </c>
      <c r="C2404" t="s">
        <v>6720</v>
      </c>
      <c r="F2404" t="str">
        <f>"6265905382"</f>
        <v>6265905382</v>
      </c>
      <c r="G2404" t="s">
        <v>6721</v>
      </c>
      <c r="H2404" t="s">
        <v>147</v>
      </c>
      <c r="I2404" t="s">
        <v>22</v>
      </c>
      <c r="J2404">
        <v>91106</v>
      </c>
      <c r="K2404">
        <v>3761</v>
      </c>
      <c r="L2404" t="s">
        <v>23</v>
      </c>
      <c r="M2404" t="s">
        <v>6721</v>
      </c>
      <c r="N2404" t="s">
        <v>147</v>
      </c>
      <c r="O2404" t="s">
        <v>22</v>
      </c>
      <c r="P2404">
        <v>91106</v>
      </c>
      <c r="Q2404">
        <v>3761</v>
      </c>
      <c r="R2404" t="s">
        <v>23</v>
      </c>
      <c r="S2404" s="1" t="s">
        <v>34218</v>
      </c>
    </row>
    <row r="2405" spans="1:19" x14ac:dyDescent="0.25">
      <c r="A2405">
        <v>101348930</v>
      </c>
      <c r="B2405" t="s">
        <v>3089</v>
      </c>
      <c r="C2405" t="s">
        <v>6722</v>
      </c>
      <c r="F2405" t="str">
        <f>"2487673449"</f>
        <v>2487673449</v>
      </c>
      <c r="G2405" t="s">
        <v>6723</v>
      </c>
      <c r="H2405" t="s">
        <v>6724</v>
      </c>
      <c r="I2405" t="s">
        <v>140</v>
      </c>
      <c r="J2405">
        <v>48393</v>
      </c>
      <c r="K2405">
        <v>4245</v>
      </c>
      <c r="L2405" t="s">
        <v>23</v>
      </c>
      <c r="M2405" t="s">
        <v>6723</v>
      </c>
      <c r="N2405" t="s">
        <v>6724</v>
      </c>
      <c r="O2405" t="s">
        <v>140</v>
      </c>
      <c r="P2405">
        <v>48393</v>
      </c>
      <c r="Q2405">
        <v>4245</v>
      </c>
      <c r="R2405" t="s">
        <v>23</v>
      </c>
      <c r="S2405" s="1" t="s">
        <v>34218</v>
      </c>
    </row>
    <row r="2406" spans="1:19" x14ac:dyDescent="0.25">
      <c r="A2406">
        <v>100740452</v>
      </c>
      <c r="B2406" t="s">
        <v>6725</v>
      </c>
      <c r="C2406" t="s">
        <v>30</v>
      </c>
      <c r="F2406" t="str">
        <f>"8152389002"</f>
        <v>8152389002</v>
      </c>
      <c r="G2406" t="s">
        <v>6726</v>
      </c>
      <c r="H2406" t="s">
        <v>6727</v>
      </c>
      <c r="I2406" t="s">
        <v>52</v>
      </c>
      <c r="J2406">
        <v>33407</v>
      </c>
      <c r="K2406">
        <v>6757</v>
      </c>
      <c r="L2406" t="s">
        <v>23</v>
      </c>
      <c r="M2406" t="s">
        <v>6726</v>
      </c>
      <c r="N2406" t="s">
        <v>6727</v>
      </c>
      <c r="O2406" t="s">
        <v>52</v>
      </c>
      <c r="P2406">
        <v>33407</v>
      </c>
      <c r="Q2406">
        <v>6757</v>
      </c>
      <c r="R2406" t="s">
        <v>23</v>
      </c>
      <c r="S2406" s="1" t="s">
        <v>34218</v>
      </c>
    </row>
    <row r="2407" spans="1:19" x14ac:dyDescent="0.25">
      <c r="A2407">
        <v>101467953</v>
      </c>
      <c r="B2407" t="s">
        <v>1406</v>
      </c>
      <c r="C2407" t="s">
        <v>406</v>
      </c>
      <c r="F2407" t="str">
        <f>"2404476592"</f>
        <v>2404476592</v>
      </c>
      <c r="G2407" t="s">
        <v>6728</v>
      </c>
      <c r="H2407" t="s">
        <v>4512</v>
      </c>
      <c r="I2407" t="s">
        <v>148</v>
      </c>
      <c r="J2407">
        <v>21702</v>
      </c>
      <c r="L2407" t="s">
        <v>23</v>
      </c>
      <c r="M2407" t="s">
        <v>6728</v>
      </c>
      <c r="N2407" t="s">
        <v>4512</v>
      </c>
      <c r="O2407" t="s">
        <v>148</v>
      </c>
      <c r="P2407">
        <v>21702</v>
      </c>
      <c r="R2407" t="s">
        <v>23</v>
      </c>
      <c r="S2407" s="1" t="s">
        <v>34218</v>
      </c>
    </row>
    <row r="2408" spans="1:19" x14ac:dyDescent="0.25">
      <c r="A2408">
        <v>101002673</v>
      </c>
      <c r="B2408" t="s">
        <v>6729</v>
      </c>
      <c r="C2408" t="s">
        <v>5478</v>
      </c>
      <c r="F2408" t="str">
        <f>"4087381691"</f>
        <v>4087381691</v>
      </c>
      <c r="G2408" t="s">
        <v>6730</v>
      </c>
      <c r="H2408" t="s">
        <v>2391</v>
      </c>
      <c r="I2408" t="s">
        <v>43</v>
      </c>
      <c r="J2408">
        <v>97707</v>
      </c>
      <c r="K2408">
        <v>2078</v>
      </c>
      <c r="L2408" t="s">
        <v>23</v>
      </c>
      <c r="M2408" t="s">
        <v>6730</v>
      </c>
      <c r="N2408" t="s">
        <v>2391</v>
      </c>
      <c r="O2408" t="s">
        <v>43</v>
      </c>
      <c r="P2408">
        <v>97707</v>
      </c>
      <c r="Q2408">
        <v>2078</v>
      </c>
      <c r="R2408" t="s">
        <v>23</v>
      </c>
      <c r="S2408" s="1" t="s">
        <v>34218</v>
      </c>
    </row>
    <row r="2409" spans="1:19" x14ac:dyDescent="0.25">
      <c r="A2409">
        <v>100623760</v>
      </c>
      <c r="B2409" t="s">
        <v>6731</v>
      </c>
      <c r="C2409" t="s">
        <v>1492</v>
      </c>
      <c r="F2409" t="str">
        <f>"9494814376"</f>
        <v>9494814376</v>
      </c>
      <c r="G2409" t="s">
        <v>6732</v>
      </c>
      <c r="H2409" t="s">
        <v>2359</v>
      </c>
      <c r="I2409" t="s">
        <v>22</v>
      </c>
      <c r="J2409" t="s">
        <v>6733</v>
      </c>
      <c r="K2409">
        <v>4133</v>
      </c>
      <c r="L2409" t="s">
        <v>23</v>
      </c>
      <c r="M2409" t="s">
        <v>6732</v>
      </c>
      <c r="N2409" t="s">
        <v>2359</v>
      </c>
      <c r="O2409" t="s">
        <v>22</v>
      </c>
      <c r="P2409" t="s">
        <v>6733</v>
      </c>
      <c r="Q2409">
        <v>4133</v>
      </c>
      <c r="R2409" t="s">
        <v>23</v>
      </c>
      <c r="S2409" s="1" t="s">
        <v>34218</v>
      </c>
    </row>
    <row r="2410" spans="1:19" x14ac:dyDescent="0.25">
      <c r="A2410">
        <v>100561638</v>
      </c>
      <c r="B2410" t="s">
        <v>216</v>
      </c>
      <c r="C2410" t="s">
        <v>1588</v>
      </c>
      <c r="F2410" t="str">
        <f>"9783145995"</f>
        <v>9783145995</v>
      </c>
      <c r="G2410" t="s">
        <v>6734</v>
      </c>
      <c r="H2410" t="s">
        <v>6735</v>
      </c>
      <c r="I2410" t="s">
        <v>236</v>
      </c>
      <c r="J2410" t="s">
        <v>6736</v>
      </c>
      <c r="K2410">
        <v>2151</v>
      </c>
      <c r="L2410" t="s">
        <v>23</v>
      </c>
      <c r="M2410" t="s">
        <v>6734</v>
      </c>
      <c r="N2410" t="s">
        <v>6735</v>
      </c>
      <c r="O2410" t="s">
        <v>236</v>
      </c>
      <c r="P2410" t="s">
        <v>6736</v>
      </c>
      <c r="Q2410">
        <v>2151</v>
      </c>
      <c r="R2410" t="s">
        <v>23</v>
      </c>
      <c r="S2410" s="1" t="s">
        <v>34218</v>
      </c>
    </row>
    <row r="2411" spans="1:19" x14ac:dyDescent="0.25">
      <c r="A2411">
        <v>100899462</v>
      </c>
      <c r="B2411" t="s">
        <v>3970</v>
      </c>
      <c r="C2411" t="s">
        <v>49</v>
      </c>
      <c r="F2411" t="str">
        <f>"2152635984"</f>
        <v>2152635984</v>
      </c>
      <c r="G2411" t="s">
        <v>6737</v>
      </c>
      <c r="H2411" t="s">
        <v>4114</v>
      </c>
      <c r="I2411" t="s">
        <v>117</v>
      </c>
      <c r="J2411">
        <v>12302</v>
      </c>
      <c r="L2411" t="s">
        <v>23</v>
      </c>
      <c r="M2411" t="s">
        <v>6737</v>
      </c>
      <c r="N2411" t="s">
        <v>4114</v>
      </c>
      <c r="O2411" t="s">
        <v>117</v>
      </c>
      <c r="P2411">
        <v>12302</v>
      </c>
      <c r="R2411" t="s">
        <v>23</v>
      </c>
      <c r="S2411" s="1" t="s">
        <v>34218</v>
      </c>
    </row>
    <row r="2412" spans="1:19" x14ac:dyDescent="0.25">
      <c r="A2412">
        <v>101345638</v>
      </c>
      <c r="B2412" t="s">
        <v>2331</v>
      </c>
      <c r="C2412" t="s">
        <v>6738</v>
      </c>
      <c r="F2412" t="str">
        <f>"3104906215"</f>
        <v>3104906215</v>
      </c>
      <c r="G2412" t="s">
        <v>6739</v>
      </c>
      <c r="H2412" t="s">
        <v>5269</v>
      </c>
      <c r="I2412" t="s">
        <v>22</v>
      </c>
      <c r="J2412">
        <v>90505</v>
      </c>
      <c r="K2412">
        <v>7056</v>
      </c>
      <c r="L2412" t="s">
        <v>23</v>
      </c>
      <c r="M2412" t="s">
        <v>6739</v>
      </c>
      <c r="N2412" t="s">
        <v>5269</v>
      </c>
      <c r="O2412" t="s">
        <v>22</v>
      </c>
      <c r="P2412">
        <v>90505</v>
      </c>
      <c r="Q2412">
        <v>7056</v>
      </c>
      <c r="R2412" t="s">
        <v>23</v>
      </c>
      <c r="S2412" s="1" t="s">
        <v>34218</v>
      </c>
    </row>
    <row r="2413" spans="1:19" x14ac:dyDescent="0.25">
      <c r="A2413">
        <v>100612929</v>
      </c>
      <c r="B2413" t="s">
        <v>6740</v>
      </c>
      <c r="C2413" t="s">
        <v>6741</v>
      </c>
      <c r="F2413" t="str">
        <f>"3212080608"</f>
        <v>3212080608</v>
      </c>
      <c r="G2413" t="s">
        <v>6742</v>
      </c>
      <c r="H2413" t="s">
        <v>1056</v>
      </c>
      <c r="I2413" t="s">
        <v>52</v>
      </c>
      <c r="J2413">
        <v>32932</v>
      </c>
      <c r="K2413">
        <v>116</v>
      </c>
      <c r="L2413" t="s">
        <v>23</v>
      </c>
      <c r="M2413" t="s">
        <v>6742</v>
      </c>
      <c r="N2413" t="s">
        <v>1056</v>
      </c>
      <c r="O2413" t="s">
        <v>52</v>
      </c>
      <c r="P2413">
        <v>32932</v>
      </c>
      <c r="Q2413">
        <v>116</v>
      </c>
      <c r="R2413" t="s">
        <v>23</v>
      </c>
      <c r="S2413" s="1" t="s">
        <v>34218</v>
      </c>
    </row>
    <row r="2414" spans="1:19" x14ac:dyDescent="0.25">
      <c r="A2414">
        <v>100978472</v>
      </c>
      <c r="B2414" t="s">
        <v>6743</v>
      </c>
      <c r="C2414" t="s">
        <v>6744</v>
      </c>
      <c r="F2414" t="str">
        <f>"9173642657"</f>
        <v>9173642657</v>
      </c>
      <c r="G2414" t="s">
        <v>6745</v>
      </c>
      <c r="H2414" t="s">
        <v>653</v>
      </c>
      <c r="I2414" t="s">
        <v>117</v>
      </c>
      <c r="J2414">
        <v>10034</v>
      </c>
      <c r="K2414">
        <v>3960</v>
      </c>
      <c r="L2414" t="s">
        <v>23</v>
      </c>
      <c r="M2414" t="s">
        <v>6745</v>
      </c>
      <c r="N2414" t="s">
        <v>653</v>
      </c>
      <c r="O2414" t="s">
        <v>117</v>
      </c>
      <c r="P2414">
        <v>10034</v>
      </c>
      <c r="Q2414">
        <v>3960</v>
      </c>
      <c r="R2414" t="s">
        <v>23</v>
      </c>
      <c r="S2414" s="1" t="s">
        <v>34218</v>
      </c>
    </row>
    <row r="2415" spans="1:19" x14ac:dyDescent="0.25">
      <c r="A2415">
        <v>100595834</v>
      </c>
      <c r="B2415" t="s">
        <v>6746</v>
      </c>
      <c r="C2415" t="s">
        <v>3110</v>
      </c>
      <c r="F2415" t="str">
        <f>"3106666666"</f>
        <v>3106666666</v>
      </c>
      <c r="G2415" t="s">
        <v>6747</v>
      </c>
      <c r="H2415" t="s">
        <v>311</v>
      </c>
      <c r="I2415" t="s">
        <v>22</v>
      </c>
      <c r="J2415" t="s">
        <v>6748</v>
      </c>
      <c r="K2415">
        <v>3016</v>
      </c>
      <c r="L2415" t="s">
        <v>23</v>
      </c>
      <c r="M2415" t="s">
        <v>6747</v>
      </c>
      <c r="N2415" t="s">
        <v>311</v>
      </c>
      <c r="O2415" t="s">
        <v>22</v>
      </c>
      <c r="P2415" t="s">
        <v>6748</v>
      </c>
      <c r="Q2415">
        <v>3016</v>
      </c>
      <c r="R2415" t="s">
        <v>23</v>
      </c>
      <c r="S2415" s="1" t="s">
        <v>34218</v>
      </c>
    </row>
    <row r="2416" spans="1:19" x14ac:dyDescent="0.25">
      <c r="A2416">
        <v>101001400</v>
      </c>
      <c r="B2416" t="s">
        <v>6749</v>
      </c>
      <c r="C2416" t="s">
        <v>535</v>
      </c>
      <c r="F2416" t="str">
        <f>"2813200362"</f>
        <v>2813200362</v>
      </c>
      <c r="G2416" t="s">
        <v>6017</v>
      </c>
      <c r="H2416" t="s">
        <v>6629</v>
      </c>
      <c r="I2416" t="s">
        <v>38</v>
      </c>
      <c r="J2416" t="s">
        <v>6750</v>
      </c>
      <c r="K2416">
        <v>8027</v>
      </c>
      <c r="L2416" t="s">
        <v>23</v>
      </c>
      <c r="M2416" t="s">
        <v>6017</v>
      </c>
      <c r="N2416" t="s">
        <v>6629</v>
      </c>
      <c r="O2416" t="s">
        <v>38</v>
      </c>
      <c r="P2416" t="s">
        <v>6750</v>
      </c>
      <c r="Q2416">
        <v>8027</v>
      </c>
      <c r="R2416" t="s">
        <v>23</v>
      </c>
      <c r="S2416" s="1" t="s">
        <v>34218</v>
      </c>
    </row>
    <row r="2417" spans="1:19" x14ac:dyDescent="0.25">
      <c r="A2417">
        <v>101193853</v>
      </c>
      <c r="B2417" t="s">
        <v>1933</v>
      </c>
      <c r="C2417" t="s">
        <v>68</v>
      </c>
      <c r="F2417" t="str">
        <f>"9417640303"</f>
        <v>9417640303</v>
      </c>
      <c r="G2417" t="s">
        <v>6751</v>
      </c>
      <c r="H2417" t="s">
        <v>5986</v>
      </c>
      <c r="I2417" t="s">
        <v>52</v>
      </c>
      <c r="J2417">
        <v>33948</v>
      </c>
      <c r="K2417">
        <v>3468</v>
      </c>
      <c r="L2417" t="s">
        <v>23</v>
      </c>
      <c r="M2417" t="s">
        <v>6751</v>
      </c>
      <c r="N2417" t="s">
        <v>5986</v>
      </c>
      <c r="O2417" t="s">
        <v>52</v>
      </c>
      <c r="P2417">
        <v>33948</v>
      </c>
      <c r="Q2417">
        <v>3468</v>
      </c>
      <c r="R2417" t="s">
        <v>23</v>
      </c>
      <c r="S2417" s="1" t="s">
        <v>34218</v>
      </c>
    </row>
    <row r="2418" spans="1:19" x14ac:dyDescent="0.25">
      <c r="A2418">
        <v>101139921</v>
      </c>
      <c r="B2418" t="s">
        <v>6752</v>
      </c>
      <c r="C2418" t="s">
        <v>5836</v>
      </c>
      <c r="F2418" t="str">
        <f>"7755370643"</f>
        <v>7755370643</v>
      </c>
      <c r="G2418" t="s">
        <v>6753</v>
      </c>
      <c r="H2418" t="s">
        <v>6525</v>
      </c>
      <c r="I2418" t="s">
        <v>702</v>
      </c>
      <c r="J2418" t="s">
        <v>6754</v>
      </c>
      <c r="K2418">
        <v>2803</v>
      </c>
      <c r="L2418" t="s">
        <v>23</v>
      </c>
      <c r="M2418" t="s">
        <v>6753</v>
      </c>
      <c r="N2418" t="s">
        <v>6525</v>
      </c>
      <c r="O2418" t="s">
        <v>702</v>
      </c>
      <c r="P2418" t="s">
        <v>6754</v>
      </c>
      <c r="Q2418">
        <v>2803</v>
      </c>
      <c r="R2418" t="s">
        <v>23</v>
      </c>
      <c r="S2418" s="1" t="s">
        <v>34218</v>
      </c>
    </row>
    <row r="2419" spans="1:19" x14ac:dyDescent="0.25">
      <c r="A2419">
        <v>100808914</v>
      </c>
      <c r="B2419" t="s">
        <v>6755</v>
      </c>
      <c r="C2419" t="s">
        <v>2047</v>
      </c>
      <c r="F2419" t="str">
        <f>"7078771186"</f>
        <v>7078771186</v>
      </c>
      <c r="G2419" t="s">
        <v>6756</v>
      </c>
      <c r="H2419" t="s">
        <v>6757</v>
      </c>
      <c r="I2419" t="s">
        <v>22</v>
      </c>
      <c r="J2419" t="s">
        <v>6758</v>
      </c>
      <c r="K2419">
        <v>126</v>
      </c>
      <c r="L2419" t="s">
        <v>23</v>
      </c>
      <c r="M2419" t="s">
        <v>6756</v>
      </c>
      <c r="N2419" t="s">
        <v>6757</v>
      </c>
      <c r="O2419" t="s">
        <v>22</v>
      </c>
      <c r="P2419" t="s">
        <v>6758</v>
      </c>
      <c r="Q2419">
        <v>126</v>
      </c>
      <c r="R2419" t="s">
        <v>23</v>
      </c>
      <c r="S2419" s="1" t="s">
        <v>34218</v>
      </c>
    </row>
    <row r="2420" spans="1:19" x14ac:dyDescent="0.25">
      <c r="A2420">
        <v>100771691</v>
      </c>
      <c r="B2420" t="s">
        <v>6759</v>
      </c>
      <c r="C2420" t="s">
        <v>1873</v>
      </c>
      <c r="F2420" t="str">
        <f>"9702035282"</f>
        <v>9702035282</v>
      </c>
      <c r="G2420" t="s">
        <v>6760</v>
      </c>
      <c r="H2420" t="s">
        <v>3840</v>
      </c>
      <c r="I2420" t="s">
        <v>71</v>
      </c>
      <c r="J2420">
        <v>80535</v>
      </c>
      <c r="L2420" t="s">
        <v>23</v>
      </c>
      <c r="M2420" t="s">
        <v>6760</v>
      </c>
      <c r="N2420" t="s">
        <v>3840</v>
      </c>
      <c r="O2420" t="s">
        <v>71</v>
      </c>
      <c r="P2420">
        <v>80535</v>
      </c>
      <c r="R2420" t="s">
        <v>23</v>
      </c>
      <c r="S2420" s="1" t="s">
        <v>34218</v>
      </c>
    </row>
    <row r="2421" spans="1:19" x14ac:dyDescent="0.25">
      <c r="A2421">
        <v>100981737</v>
      </c>
      <c r="B2421" t="s">
        <v>6761</v>
      </c>
      <c r="C2421" t="s">
        <v>5347</v>
      </c>
      <c r="F2421" t="str">
        <f>"9258375017"</f>
        <v>9258375017</v>
      </c>
      <c r="G2421" t="s">
        <v>6762</v>
      </c>
      <c r="H2421" t="s">
        <v>3794</v>
      </c>
      <c r="I2421" t="s">
        <v>22</v>
      </c>
      <c r="J2421">
        <v>94526</v>
      </c>
      <c r="K2421">
        <v>4359</v>
      </c>
      <c r="L2421" t="s">
        <v>23</v>
      </c>
      <c r="M2421" t="s">
        <v>6762</v>
      </c>
      <c r="N2421" t="s">
        <v>3794</v>
      </c>
      <c r="O2421" t="s">
        <v>22</v>
      </c>
      <c r="P2421">
        <v>94526</v>
      </c>
      <c r="Q2421">
        <v>4359</v>
      </c>
      <c r="R2421" t="s">
        <v>23</v>
      </c>
      <c r="S2421" s="1" t="s">
        <v>34218</v>
      </c>
    </row>
    <row r="2422" spans="1:19" x14ac:dyDescent="0.25">
      <c r="A2422">
        <v>101037927</v>
      </c>
      <c r="B2422" t="s">
        <v>6763</v>
      </c>
      <c r="C2422" t="s">
        <v>2672</v>
      </c>
      <c r="F2422" t="str">
        <f>"4438317172"</f>
        <v>4438317172</v>
      </c>
      <c r="G2422" t="s">
        <v>6764</v>
      </c>
      <c r="H2422" t="s">
        <v>423</v>
      </c>
      <c r="I2422" t="s">
        <v>71</v>
      </c>
      <c r="J2422">
        <v>80305</v>
      </c>
      <c r="L2422" t="s">
        <v>23</v>
      </c>
      <c r="M2422" t="s">
        <v>6764</v>
      </c>
      <c r="N2422" t="s">
        <v>423</v>
      </c>
      <c r="O2422" t="s">
        <v>71</v>
      </c>
      <c r="P2422">
        <v>80305</v>
      </c>
      <c r="R2422" t="s">
        <v>23</v>
      </c>
      <c r="S2422" s="1" t="s">
        <v>34218</v>
      </c>
    </row>
    <row r="2423" spans="1:19" x14ac:dyDescent="0.25">
      <c r="A2423">
        <v>101430682</v>
      </c>
      <c r="B2423" t="s">
        <v>966</v>
      </c>
      <c r="C2423" t="s">
        <v>2776</v>
      </c>
      <c r="F2423" t="str">
        <f>"4109221325"</f>
        <v>4109221325</v>
      </c>
      <c r="G2423" t="s">
        <v>6765</v>
      </c>
      <c r="H2423" t="s">
        <v>6766</v>
      </c>
      <c r="I2423" t="s">
        <v>148</v>
      </c>
      <c r="J2423" t="s">
        <v>6767</v>
      </c>
      <c r="K2423">
        <v>3118</v>
      </c>
      <c r="L2423" t="s">
        <v>23</v>
      </c>
      <c r="M2423" t="s">
        <v>6765</v>
      </c>
      <c r="N2423" t="s">
        <v>6766</v>
      </c>
      <c r="O2423" t="s">
        <v>148</v>
      </c>
      <c r="P2423" t="s">
        <v>6767</v>
      </c>
      <c r="Q2423">
        <v>3118</v>
      </c>
      <c r="R2423" t="s">
        <v>23</v>
      </c>
      <c r="S2423" s="1" t="s">
        <v>34218</v>
      </c>
    </row>
    <row r="2424" spans="1:19" x14ac:dyDescent="0.25">
      <c r="A2424">
        <v>100819397</v>
      </c>
      <c r="B2424" t="s">
        <v>6768</v>
      </c>
      <c r="C2424" t="s">
        <v>25</v>
      </c>
      <c r="F2424" t="str">
        <f>"6503551877"</f>
        <v>6503551877</v>
      </c>
      <c r="G2424" t="s">
        <v>6769</v>
      </c>
      <c r="H2424" t="s">
        <v>1084</v>
      </c>
      <c r="I2424" t="s">
        <v>22</v>
      </c>
      <c r="J2424" t="s">
        <v>6770</v>
      </c>
      <c r="K2424">
        <v>2803</v>
      </c>
      <c r="L2424" t="s">
        <v>23</v>
      </c>
      <c r="M2424" t="s">
        <v>6769</v>
      </c>
      <c r="N2424" t="s">
        <v>1084</v>
      </c>
      <c r="O2424" t="s">
        <v>22</v>
      </c>
      <c r="P2424" t="s">
        <v>6770</v>
      </c>
      <c r="Q2424">
        <v>2803</v>
      </c>
      <c r="R2424" t="s">
        <v>23</v>
      </c>
      <c r="S2424" s="1" t="s">
        <v>34218</v>
      </c>
    </row>
    <row r="2425" spans="1:19" x14ac:dyDescent="0.25">
      <c r="A2425">
        <v>101133737</v>
      </c>
      <c r="B2425" t="s">
        <v>6771</v>
      </c>
      <c r="C2425" t="s">
        <v>3110</v>
      </c>
      <c r="F2425" t="str">
        <f>"2034214956"</f>
        <v>2034214956</v>
      </c>
      <c r="G2425" t="s">
        <v>6772</v>
      </c>
      <c r="H2425" t="s">
        <v>2375</v>
      </c>
      <c r="I2425" t="s">
        <v>161</v>
      </c>
      <c r="J2425">
        <v>6443</v>
      </c>
      <c r="K2425">
        <v>1649</v>
      </c>
      <c r="L2425" t="s">
        <v>23</v>
      </c>
      <c r="M2425" t="s">
        <v>6772</v>
      </c>
      <c r="N2425" t="s">
        <v>2375</v>
      </c>
      <c r="O2425" t="s">
        <v>161</v>
      </c>
      <c r="P2425">
        <v>6443</v>
      </c>
      <c r="Q2425">
        <v>1649</v>
      </c>
      <c r="R2425" t="s">
        <v>23</v>
      </c>
      <c r="S2425" s="1" t="s">
        <v>34218</v>
      </c>
    </row>
    <row r="2426" spans="1:19" x14ac:dyDescent="0.25">
      <c r="A2426">
        <v>100813152</v>
      </c>
      <c r="B2426" t="s">
        <v>6773</v>
      </c>
      <c r="C2426" t="s">
        <v>30</v>
      </c>
      <c r="F2426" t="str">
        <f>"6148884582"</f>
        <v>6148884582</v>
      </c>
      <c r="G2426" t="s">
        <v>6774</v>
      </c>
      <c r="H2426" t="s">
        <v>415</v>
      </c>
      <c r="I2426" t="s">
        <v>178</v>
      </c>
      <c r="J2426" t="s">
        <v>6775</v>
      </c>
      <c r="K2426">
        <v>3039</v>
      </c>
      <c r="L2426" t="s">
        <v>23</v>
      </c>
      <c r="M2426" t="s">
        <v>6774</v>
      </c>
      <c r="N2426" t="s">
        <v>415</v>
      </c>
      <c r="O2426" t="s">
        <v>178</v>
      </c>
      <c r="P2426" t="s">
        <v>6775</v>
      </c>
      <c r="Q2426">
        <v>3039</v>
      </c>
      <c r="R2426" t="s">
        <v>23</v>
      </c>
      <c r="S2426" s="1" t="s">
        <v>34218</v>
      </c>
    </row>
    <row r="2427" spans="1:19" x14ac:dyDescent="0.25">
      <c r="A2427">
        <v>100822807</v>
      </c>
      <c r="B2427" t="s">
        <v>6776</v>
      </c>
      <c r="C2427" t="s">
        <v>1179</v>
      </c>
      <c r="F2427" t="str">
        <f>"8042730053"</f>
        <v>8042730053</v>
      </c>
      <c r="G2427" t="s">
        <v>6777</v>
      </c>
      <c r="H2427" t="s">
        <v>6171</v>
      </c>
      <c r="I2427" t="s">
        <v>255</v>
      </c>
      <c r="J2427">
        <v>23229</v>
      </c>
      <c r="L2427" t="s">
        <v>23</v>
      </c>
      <c r="M2427" t="s">
        <v>6777</v>
      </c>
      <c r="N2427" t="s">
        <v>6171</v>
      </c>
      <c r="O2427" t="s">
        <v>255</v>
      </c>
      <c r="P2427">
        <v>23229</v>
      </c>
      <c r="R2427" t="s">
        <v>23</v>
      </c>
      <c r="S2427" s="1" t="s">
        <v>34218</v>
      </c>
    </row>
    <row r="2428" spans="1:19" x14ac:dyDescent="0.25">
      <c r="A2428">
        <v>101301078</v>
      </c>
      <c r="B2428" t="s">
        <v>6778</v>
      </c>
      <c r="C2428" t="s">
        <v>1588</v>
      </c>
      <c r="F2428" t="str">
        <f>"7187887888"</f>
        <v>7187887888</v>
      </c>
      <c r="G2428" t="s">
        <v>6779</v>
      </c>
      <c r="H2428" t="s">
        <v>1287</v>
      </c>
      <c r="I2428" t="s">
        <v>117</v>
      </c>
      <c r="J2428">
        <v>11377</v>
      </c>
      <c r="L2428" t="s">
        <v>23</v>
      </c>
      <c r="M2428" t="s">
        <v>6779</v>
      </c>
      <c r="N2428" t="s">
        <v>1287</v>
      </c>
      <c r="O2428" t="s">
        <v>117</v>
      </c>
      <c r="P2428">
        <v>11377</v>
      </c>
      <c r="R2428" t="s">
        <v>23</v>
      </c>
      <c r="S2428" s="1" t="s">
        <v>34218</v>
      </c>
    </row>
    <row r="2429" spans="1:19" x14ac:dyDescent="0.25">
      <c r="A2429">
        <v>100606348</v>
      </c>
      <c r="B2429" t="s">
        <v>744</v>
      </c>
      <c r="C2429" t="s">
        <v>155</v>
      </c>
      <c r="F2429" t="str">
        <f>"6107893371"</f>
        <v>6107893371</v>
      </c>
      <c r="G2429" t="s">
        <v>6780</v>
      </c>
      <c r="H2429" t="s">
        <v>6781</v>
      </c>
      <c r="I2429" t="s">
        <v>33</v>
      </c>
      <c r="J2429">
        <v>19083</v>
      </c>
      <c r="K2429">
        <v>2028</v>
      </c>
      <c r="L2429" t="s">
        <v>23</v>
      </c>
      <c r="M2429" t="s">
        <v>6780</v>
      </c>
      <c r="N2429" t="s">
        <v>6781</v>
      </c>
      <c r="O2429" t="s">
        <v>33</v>
      </c>
      <c r="P2429">
        <v>19083</v>
      </c>
      <c r="Q2429">
        <v>2028</v>
      </c>
      <c r="R2429" t="s">
        <v>23</v>
      </c>
      <c r="S2429" s="1" t="s">
        <v>34218</v>
      </c>
    </row>
    <row r="2430" spans="1:19" x14ac:dyDescent="0.25">
      <c r="A2430">
        <v>100740508</v>
      </c>
      <c r="B2430" t="s">
        <v>6782</v>
      </c>
      <c r="C2430" t="s">
        <v>6783</v>
      </c>
      <c r="F2430" t="str">
        <f>"5105405470"</f>
        <v>5105405470</v>
      </c>
      <c r="G2430" t="s">
        <v>6784</v>
      </c>
      <c r="H2430" t="s">
        <v>66</v>
      </c>
      <c r="I2430" t="s">
        <v>22</v>
      </c>
      <c r="J2430">
        <v>94702</v>
      </c>
      <c r="K2430">
        <v>1427</v>
      </c>
      <c r="L2430" t="s">
        <v>23</v>
      </c>
      <c r="M2430" t="s">
        <v>6784</v>
      </c>
      <c r="N2430" t="s">
        <v>66</v>
      </c>
      <c r="O2430" t="s">
        <v>22</v>
      </c>
      <c r="P2430">
        <v>94702</v>
      </c>
      <c r="Q2430">
        <v>1427</v>
      </c>
      <c r="R2430" t="s">
        <v>23</v>
      </c>
      <c r="S2430" s="1" t="s">
        <v>34218</v>
      </c>
    </row>
    <row r="2431" spans="1:19" x14ac:dyDescent="0.25">
      <c r="A2431">
        <v>100558990</v>
      </c>
      <c r="B2431" t="s">
        <v>1800</v>
      </c>
      <c r="C2431" t="s">
        <v>1327</v>
      </c>
      <c r="F2431" t="str">
        <f>"2533024480"</f>
        <v>2533024480</v>
      </c>
      <c r="G2431" t="s">
        <v>6785</v>
      </c>
      <c r="H2431" t="s">
        <v>6786</v>
      </c>
      <c r="I2431" t="s">
        <v>84</v>
      </c>
      <c r="J2431">
        <v>98466</v>
      </c>
      <c r="K2431">
        <v>6640</v>
      </c>
      <c r="L2431" t="s">
        <v>23</v>
      </c>
      <c r="M2431" t="s">
        <v>6785</v>
      </c>
      <c r="N2431" t="s">
        <v>6786</v>
      </c>
      <c r="O2431" t="s">
        <v>84</v>
      </c>
      <c r="P2431">
        <v>98466</v>
      </c>
      <c r="Q2431">
        <v>6640</v>
      </c>
      <c r="R2431" t="s">
        <v>23</v>
      </c>
      <c r="S2431" s="1" t="s">
        <v>34218</v>
      </c>
    </row>
    <row r="2432" spans="1:19" x14ac:dyDescent="0.25">
      <c r="A2432">
        <v>100764463</v>
      </c>
      <c r="B2432" t="s">
        <v>5052</v>
      </c>
      <c r="C2432" t="s">
        <v>208</v>
      </c>
      <c r="F2432" t="str">
        <f>"3186550371"</f>
        <v>3186550371</v>
      </c>
      <c r="G2432" t="s">
        <v>6787</v>
      </c>
      <c r="H2432" t="s">
        <v>840</v>
      </c>
      <c r="I2432" t="s">
        <v>153</v>
      </c>
      <c r="J2432">
        <v>70118</v>
      </c>
      <c r="K2432">
        <v>6319</v>
      </c>
      <c r="L2432" t="s">
        <v>23</v>
      </c>
      <c r="M2432" t="s">
        <v>6787</v>
      </c>
      <c r="N2432" t="s">
        <v>840</v>
      </c>
      <c r="O2432" t="s">
        <v>153</v>
      </c>
      <c r="P2432">
        <v>70118</v>
      </c>
      <c r="Q2432">
        <v>6319</v>
      </c>
      <c r="R2432" t="s">
        <v>23</v>
      </c>
      <c r="S2432" s="1" t="s">
        <v>34218</v>
      </c>
    </row>
    <row r="2433" spans="1:19" x14ac:dyDescent="0.25">
      <c r="A2433">
        <v>100764971</v>
      </c>
      <c r="B2433" t="s">
        <v>6788</v>
      </c>
      <c r="C2433" t="s">
        <v>2127</v>
      </c>
      <c r="F2433" t="str">
        <f>"5555555555"</f>
        <v>5555555555</v>
      </c>
      <c r="G2433" t="s">
        <v>6789</v>
      </c>
      <c r="H2433" t="s">
        <v>6790</v>
      </c>
      <c r="I2433" t="s">
        <v>22</v>
      </c>
      <c r="J2433">
        <v>95012</v>
      </c>
      <c r="K2433">
        <v>2926</v>
      </c>
      <c r="L2433" t="s">
        <v>23</v>
      </c>
      <c r="M2433" t="s">
        <v>6789</v>
      </c>
      <c r="N2433" t="s">
        <v>6790</v>
      </c>
      <c r="O2433" t="s">
        <v>22</v>
      </c>
      <c r="P2433">
        <v>95012</v>
      </c>
      <c r="Q2433">
        <v>2926</v>
      </c>
      <c r="R2433" t="s">
        <v>23</v>
      </c>
      <c r="S2433" s="1" t="s">
        <v>34218</v>
      </c>
    </row>
    <row r="2434" spans="1:19" x14ac:dyDescent="0.25">
      <c r="A2434">
        <v>100771362</v>
      </c>
      <c r="B2434" t="s">
        <v>6791</v>
      </c>
      <c r="C2434" t="s">
        <v>641</v>
      </c>
      <c r="F2434" t="str">
        <f>"4083992700"</f>
        <v>4083992700</v>
      </c>
      <c r="G2434" t="s">
        <v>6792</v>
      </c>
      <c r="H2434" t="s">
        <v>931</v>
      </c>
      <c r="I2434" t="s">
        <v>22</v>
      </c>
      <c r="J2434">
        <v>95030</v>
      </c>
      <c r="K2434">
        <v>3327</v>
      </c>
      <c r="L2434" t="s">
        <v>23</v>
      </c>
      <c r="M2434" t="s">
        <v>6792</v>
      </c>
      <c r="N2434" t="s">
        <v>931</v>
      </c>
      <c r="O2434" t="s">
        <v>22</v>
      </c>
      <c r="P2434">
        <v>95030</v>
      </c>
      <c r="Q2434">
        <v>3327</v>
      </c>
      <c r="R2434" t="s">
        <v>23</v>
      </c>
      <c r="S2434" s="1" t="s">
        <v>34218</v>
      </c>
    </row>
    <row r="2435" spans="1:19" x14ac:dyDescent="0.25">
      <c r="A2435">
        <v>100867285</v>
      </c>
      <c r="B2435" t="s">
        <v>6793</v>
      </c>
      <c r="C2435" t="s">
        <v>59</v>
      </c>
      <c r="F2435" t="str">
        <f>"5855443649"</f>
        <v>5855443649</v>
      </c>
      <c r="G2435" t="s">
        <v>6794</v>
      </c>
      <c r="H2435" t="s">
        <v>688</v>
      </c>
      <c r="I2435" t="s">
        <v>117</v>
      </c>
      <c r="J2435">
        <v>14621</v>
      </c>
      <c r="K2435">
        <v>1928</v>
      </c>
      <c r="L2435" t="s">
        <v>23</v>
      </c>
      <c r="M2435" t="s">
        <v>6794</v>
      </c>
      <c r="N2435" t="s">
        <v>688</v>
      </c>
      <c r="O2435" t="s">
        <v>117</v>
      </c>
      <c r="P2435">
        <v>14621</v>
      </c>
      <c r="Q2435">
        <v>1928</v>
      </c>
      <c r="R2435" t="s">
        <v>23</v>
      </c>
      <c r="S2435" s="1" t="s">
        <v>34218</v>
      </c>
    </row>
    <row r="2436" spans="1:19" x14ac:dyDescent="0.25">
      <c r="A2436">
        <v>100886103</v>
      </c>
      <c r="B2436" t="s">
        <v>6795</v>
      </c>
      <c r="C2436" t="s">
        <v>6128</v>
      </c>
      <c r="F2436" t="str">
        <f>"5555555555"</f>
        <v>5555555555</v>
      </c>
      <c r="G2436" t="s">
        <v>6796</v>
      </c>
      <c r="H2436" t="s">
        <v>134</v>
      </c>
      <c r="I2436" t="s">
        <v>135</v>
      </c>
      <c r="J2436">
        <v>60618</v>
      </c>
      <c r="K2436">
        <v>4910</v>
      </c>
      <c r="L2436" t="s">
        <v>23</v>
      </c>
      <c r="M2436" t="s">
        <v>6796</v>
      </c>
      <c r="N2436" t="s">
        <v>134</v>
      </c>
      <c r="O2436" t="s">
        <v>135</v>
      </c>
      <c r="P2436">
        <v>60618</v>
      </c>
      <c r="Q2436">
        <v>4910</v>
      </c>
      <c r="R2436" t="s">
        <v>23</v>
      </c>
      <c r="S2436" s="1" t="s">
        <v>34218</v>
      </c>
    </row>
    <row r="2437" spans="1:19" x14ac:dyDescent="0.25">
      <c r="A2437">
        <v>101026494</v>
      </c>
      <c r="B2437" t="s">
        <v>6797</v>
      </c>
      <c r="C2437" t="s">
        <v>2599</v>
      </c>
      <c r="F2437" t="str">
        <f>"2154555355"</f>
        <v>2154555355</v>
      </c>
      <c r="G2437" t="s">
        <v>6798</v>
      </c>
      <c r="H2437" t="s">
        <v>573</v>
      </c>
      <c r="I2437" t="s">
        <v>33</v>
      </c>
      <c r="J2437">
        <v>19120</v>
      </c>
      <c r="K2437">
        <v>3754</v>
      </c>
      <c r="L2437" t="s">
        <v>23</v>
      </c>
      <c r="M2437" t="s">
        <v>6798</v>
      </c>
      <c r="N2437" t="s">
        <v>573</v>
      </c>
      <c r="O2437" t="s">
        <v>33</v>
      </c>
      <c r="P2437">
        <v>19120</v>
      </c>
      <c r="Q2437">
        <v>3754</v>
      </c>
      <c r="R2437" t="s">
        <v>23</v>
      </c>
      <c r="S2437" s="1" t="s">
        <v>34218</v>
      </c>
    </row>
    <row r="2438" spans="1:19" x14ac:dyDescent="0.25">
      <c r="A2438">
        <v>101026936</v>
      </c>
      <c r="B2438" t="s">
        <v>2851</v>
      </c>
      <c r="C2438" t="s">
        <v>2033</v>
      </c>
      <c r="F2438" t="str">
        <f>"8147241010"</f>
        <v>8147241010</v>
      </c>
      <c r="G2438" t="s">
        <v>6799</v>
      </c>
      <c r="H2438" t="s">
        <v>4190</v>
      </c>
      <c r="I2438" t="s">
        <v>33</v>
      </c>
      <c r="J2438">
        <v>16335</v>
      </c>
      <c r="K2438">
        <v>4144</v>
      </c>
      <c r="L2438" t="s">
        <v>23</v>
      </c>
      <c r="M2438" t="s">
        <v>6799</v>
      </c>
      <c r="N2438" t="s">
        <v>4190</v>
      </c>
      <c r="O2438" t="s">
        <v>33</v>
      </c>
      <c r="P2438">
        <v>16335</v>
      </c>
      <c r="Q2438">
        <v>4144</v>
      </c>
      <c r="R2438" t="s">
        <v>23</v>
      </c>
      <c r="S2438" s="1" t="s">
        <v>34218</v>
      </c>
    </row>
    <row r="2439" spans="1:19" x14ac:dyDescent="0.25">
      <c r="A2439">
        <v>101026918</v>
      </c>
      <c r="B2439" t="s">
        <v>6800</v>
      </c>
      <c r="C2439" t="s">
        <v>6801</v>
      </c>
      <c r="F2439" t="str">
        <f>"2073675886"</f>
        <v>2073675886</v>
      </c>
      <c r="G2439" t="s">
        <v>6802</v>
      </c>
      <c r="H2439" t="s">
        <v>6803</v>
      </c>
      <c r="I2439" t="s">
        <v>191</v>
      </c>
      <c r="J2439">
        <v>4681</v>
      </c>
      <c r="K2439">
        <v>3024</v>
      </c>
      <c r="L2439" t="s">
        <v>23</v>
      </c>
      <c r="M2439" t="s">
        <v>6802</v>
      </c>
      <c r="N2439" t="s">
        <v>6803</v>
      </c>
      <c r="O2439" t="s">
        <v>191</v>
      </c>
      <c r="P2439">
        <v>4681</v>
      </c>
      <c r="Q2439">
        <v>3024</v>
      </c>
      <c r="R2439" t="s">
        <v>23</v>
      </c>
      <c r="S2439" s="1" t="s">
        <v>34218</v>
      </c>
    </row>
    <row r="2440" spans="1:19" x14ac:dyDescent="0.25">
      <c r="A2440">
        <v>100846791</v>
      </c>
      <c r="B2440" t="s">
        <v>6804</v>
      </c>
      <c r="C2440" t="s">
        <v>286</v>
      </c>
      <c r="F2440" t="str">
        <f>"8602139929"</f>
        <v>8602139929</v>
      </c>
      <c r="G2440" t="s">
        <v>6805</v>
      </c>
      <c r="H2440" t="s">
        <v>6806</v>
      </c>
      <c r="I2440" t="s">
        <v>161</v>
      </c>
      <c r="J2440">
        <v>6333</v>
      </c>
      <c r="K2440">
        <v>1404</v>
      </c>
      <c r="L2440" t="s">
        <v>23</v>
      </c>
      <c r="M2440" t="s">
        <v>6805</v>
      </c>
      <c r="N2440" t="s">
        <v>6806</v>
      </c>
      <c r="O2440" t="s">
        <v>161</v>
      </c>
      <c r="P2440">
        <v>6333</v>
      </c>
      <c r="Q2440">
        <v>1404</v>
      </c>
      <c r="R2440" t="s">
        <v>23</v>
      </c>
      <c r="S2440" s="1" t="s">
        <v>34218</v>
      </c>
    </row>
    <row r="2441" spans="1:19" x14ac:dyDescent="0.25">
      <c r="A2441">
        <v>100857488</v>
      </c>
      <c r="B2441" t="s">
        <v>6807</v>
      </c>
      <c r="C2441" t="s">
        <v>494</v>
      </c>
      <c r="F2441" t="str">
        <f>"7149711956"</f>
        <v>7149711956</v>
      </c>
      <c r="G2441" t="s">
        <v>6808</v>
      </c>
      <c r="H2441" t="s">
        <v>5535</v>
      </c>
      <c r="I2441" t="s">
        <v>22</v>
      </c>
      <c r="J2441">
        <v>92840</v>
      </c>
      <c r="K2441">
        <v>6041</v>
      </c>
      <c r="L2441" t="s">
        <v>23</v>
      </c>
      <c r="M2441" t="s">
        <v>6808</v>
      </c>
      <c r="N2441" t="s">
        <v>5535</v>
      </c>
      <c r="O2441" t="s">
        <v>22</v>
      </c>
      <c r="P2441">
        <v>92840</v>
      </c>
      <c r="Q2441">
        <v>6041</v>
      </c>
      <c r="R2441" t="s">
        <v>23</v>
      </c>
      <c r="S2441" s="1" t="s">
        <v>34218</v>
      </c>
    </row>
    <row r="2442" spans="1:19" x14ac:dyDescent="0.25">
      <c r="A2442">
        <v>100523069</v>
      </c>
      <c r="B2442" t="s">
        <v>3476</v>
      </c>
      <c r="C2442" t="s">
        <v>838</v>
      </c>
      <c r="F2442" t="str">
        <f>"5033249320"</f>
        <v>5033249320</v>
      </c>
      <c r="G2442" t="s">
        <v>6809</v>
      </c>
      <c r="H2442" t="s">
        <v>6810</v>
      </c>
      <c r="I2442" t="s">
        <v>43</v>
      </c>
      <c r="J2442">
        <v>97125</v>
      </c>
      <c r="K2442">
        <v>6100</v>
      </c>
      <c r="L2442" t="s">
        <v>23</v>
      </c>
      <c r="M2442" t="s">
        <v>6809</v>
      </c>
      <c r="N2442" t="s">
        <v>6810</v>
      </c>
      <c r="O2442" t="s">
        <v>43</v>
      </c>
      <c r="P2442">
        <v>97125</v>
      </c>
      <c r="Q2442">
        <v>6100</v>
      </c>
      <c r="R2442" t="s">
        <v>23</v>
      </c>
      <c r="S2442" s="1" t="s">
        <v>34218</v>
      </c>
    </row>
    <row r="2443" spans="1:19" x14ac:dyDescent="0.25">
      <c r="A2443">
        <v>100729448</v>
      </c>
      <c r="B2443" t="s">
        <v>5090</v>
      </c>
      <c r="C2443" t="s">
        <v>6811</v>
      </c>
      <c r="F2443" t="str">
        <f>"6303782051"</f>
        <v>6303782051</v>
      </c>
      <c r="G2443" t="s">
        <v>6812</v>
      </c>
      <c r="H2443" t="s">
        <v>6813</v>
      </c>
      <c r="I2443" t="s">
        <v>135</v>
      </c>
      <c r="J2443">
        <v>60440</v>
      </c>
      <c r="K2443">
        <v>1839</v>
      </c>
      <c r="L2443" t="s">
        <v>23</v>
      </c>
      <c r="M2443" t="s">
        <v>6812</v>
      </c>
      <c r="N2443" t="s">
        <v>6813</v>
      </c>
      <c r="O2443" t="s">
        <v>135</v>
      </c>
      <c r="P2443">
        <v>60440</v>
      </c>
      <c r="Q2443">
        <v>1839</v>
      </c>
      <c r="R2443" t="s">
        <v>23</v>
      </c>
      <c r="S2443" s="1" t="s">
        <v>34218</v>
      </c>
    </row>
    <row r="2444" spans="1:19" x14ac:dyDescent="0.25">
      <c r="A2444">
        <v>100917286</v>
      </c>
      <c r="B2444" t="s">
        <v>431</v>
      </c>
      <c r="C2444" t="s">
        <v>403</v>
      </c>
      <c r="F2444" t="str">
        <f>"2143685518"</f>
        <v>2143685518</v>
      </c>
      <c r="G2444" t="s">
        <v>6814</v>
      </c>
      <c r="H2444" t="s">
        <v>380</v>
      </c>
      <c r="I2444" t="s">
        <v>38</v>
      </c>
      <c r="J2444">
        <v>75225</v>
      </c>
      <c r="K2444">
        <v>4411</v>
      </c>
      <c r="L2444" t="s">
        <v>23</v>
      </c>
      <c r="M2444" t="s">
        <v>6814</v>
      </c>
      <c r="N2444" t="s">
        <v>380</v>
      </c>
      <c r="O2444" t="s">
        <v>38</v>
      </c>
      <c r="P2444">
        <v>75225</v>
      </c>
      <c r="Q2444">
        <v>4411</v>
      </c>
      <c r="R2444" t="s">
        <v>23</v>
      </c>
      <c r="S2444" s="1" t="s">
        <v>34218</v>
      </c>
    </row>
    <row r="2445" spans="1:19" x14ac:dyDescent="0.25">
      <c r="A2445">
        <v>101127962</v>
      </c>
      <c r="B2445" t="s">
        <v>2932</v>
      </c>
      <c r="C2445" t="s">
        <v>6815</v>
      </c>
      <c r="F2445" t="str">
        <f>"8474289255"</f>
        <v>8474289255</v>
      </c>
      <c r="G2445" t="s">
        <v>6816</v>
      </c>
      <c r="H2445" t="s">
        <v>3888</v>
      </c>
      <c r="I2445" t="s">
        <v>135</v>
      </c>
      <c r="J2445">
        <v>60118</v>
      </c>
      <c r="K2445">
        <v>1131</v>
      </c>
      <c r="L2445" t="s">
        <v>23</v>
      </c>
      <c r="M2445" t="s">
        <v>6816</v>
      </c>
      <c r="N2445" t="s">
        <v>3888</v>
      </c>
      <c r="O2445" t="s">
        <v>135</v>
      </c>
      <c r="P2445">
        <v>60118</v>
      </c>
      <c r="Q2445">
        <v>1131</v>
      </c>
      <c r="R2445" t="s">
        <v>23</v>
      </c>
      <c r="S2445" s="1" t="s">
        <v>34218</v>
      </c>
    </row>
    <row r="2446" spans="1:19" x14ac:dyDescent="0.25">
      <c r="A2446">
        <v>100690447</v>
      </c>
      <c r="B2446" t="s">
        <v>6817</v>
      </c>
      <c r="C2446" t="s">
        <v>6818</v>
      </c>
      <c r="F2446" t="str">
        <f>"5105644040"</f>
        <v>5105644040</v>
      </c>
      <c r="G2446" t="s">
        <v>6819</v>
      </c>
      <c r="H2446" t="s">
        <v>88</v>
      </c>
      <c r="I2446" t="s">
        <v>22</v>
      </c>
      <c r="J2446">
        <v>94605</v>
      </c>
      <c r="K2446">
        <v>5812</v>
      </c>
      <c r="L2446" t="s">
        <v>23</v>
      </c>
      <c r="M2446" t="s">
        <v>6819</v>
      </c>
      <c r="N2446" t="s">
        <v>88</v>
      </c>
      <c r="O2446" t="s">
        <v>22</v>
      </c>
      <c r="P2446">
        <v>94605</v>
      </c>
      <c r="Q2446">
        <v>5812</v>
      </c>
      <c r="R2446" t="s">
        <v>23</v>
      </c>
      <c r="S2446" s="1" t="s">
        <v>34218</v>
      </c>
    </row>
    <row r="2447" spans="1:19" x14ac:dyDescent="0.25">
      <c r="A2447">
        <v>100688163</v>
      </c>
      <c r="B2447" t="s">
        <v>6820</v>
      </c>
      <c r="C2447" t="s">
        <v>1598</v>
      </c>
      <c r="F2447" t="str">
        <f>"9495890137"</f>
        <v>9495890137</v>
      </c>
      <c r="G2447" t="s">
        <v>6821</v>
      </c>
      <c r="H2447" t="s">
        <v>6822</v>
      </c>
      <c r="I2447" t="s">
        <v>22</v>
      </c>
      <c r="J2447">
        <v>92679</v>
      </c>
      <c r="K2447">
        <v>4123</v>
      </c>
      <c r="L2447" t="s">
        <v>23</v>
      </c>
      <c r="M2447" t="s">
        <v>6821</v>
      </c>
      <c r="N2447" t="s">
        <v>6822</v>
      </c>
      <c r="O2447" t="s">
        <v>22</v>
      </c>
      <c r="P2447">
        <v>92679</v>
      </c>
      <c r="Q2447">
        <v>4123</v>
      </c>
      <c r="R2447" t="s">
        <v>23</v>
      </c>
      <c r="S2447" s="1" t="s">
        <v>34218</v>
      </c>
    </row>
    <row r="2448" spans="1:19" x14ac:dyDescent="0.25">
      <c r="A2448">
        <v>100705211</v>
      </c>
      <c r="B2448" t="s">
        <v>2381</v>
      </c>
      <c r="C2448" t="s">
        <v>6823</v>
      </c>
      <c r="F2448" t="str">
        <f>"5207778550"</f>
        <v>5207778550</v>
      </c>
      <c r="G2448" t="s">
        <v>6824</v>
      </c>
      <c r="H2448" t="s">
        <v>1439</v>
      </c>
      <c r="I2448" t="s">
        <v>365</v>
      </c>
      <c r="J2448">
        <v>85748</v>
      </c>
      <c r="K2448">
        <v>7052</v>
      </c>
      <c r="L2448" t="s">
        <v>23</v>
      </c>
      <c r="M2448" t="s">
        <v>6824</v>
      </c>
      <c r="N2448" t="s">
        <v>1439</v>
      </c>
      <c r="O2448" t="s">
        <v>365</v>
      </c>
      <c r="P2448">
        <v>85748</v>
      </c>
      <c r="Q2448">
        <v>7052</v>
      </c>
      <c r="R2448" t="s">
        <v>23</v>
      </c>
      <c r="S2448" s="1" t="s">
        <v>34218</v>
      </c>
    </row>
    <row r="2449" spans="1:19" x14ac:dyDescent="0.25">
      <c r="A2449">
        <v>100900271</v>
      </c>
      <c r="B2449" t="s">
        <v>276</v>
      </c>
      <c r="C2449" t="s">
        <v>1542</v>
      </c>
      <c r="F2449" t="str">
        <f>"4432825292"</f>
        <v>4432825292</v>
      </c>
      <c r="G2449" t="s">
        <v>6825</v>
      </c>
      <c r="H2449" t="s">
        <v>6826</v>
      </c>
      <c r="I2449" t="s">
        <v>148</v>
      </c>
      <c r="J2449">
        <v>21620</v>
      </c>
      <c r="K2449">
        <v>985</v>
      </c>
      <c r="L2449" t="s">
        <v>23</v>
      </c>
      <c r="M2449" t="s">
        <v>6825</v>
      </c>
      <c r="N2449" t="s">
        <v>6826</v>
      </c>
      <c r="O2449" t="s">
        <v>148</v>
      </c>
      <c r="P2449">
        <v>21620</v>
      </c>
      <c r="Q2449">
        <v>985</v>
      </c>
      <c r="R2449" t="s">
        <v>23</v>
      </c>
      <c r="S2449" s="1" t="s">
        <v>34218</v>
      </c>
    </row>
    <row r="2450" spans="1:19" x14ac:dyDescent="0.25">
      <c r="A2450">
        <v>101095296</v>
      </c>
      <c r="B2450" t="s">
        <v>6827</v>
      </c>
      <c r="C2450" t="s">
        <v>1977</v>
      </c>
      <c r="F2450" t="str">
        <f>"8282778481"</f>
        <v>8282778481</v>
      </c>
      <c r="G2450" t="s">
        <v>6828</v>
      </c>
      <c r="H2450" t="s">
        <v>445</v>
      </c>
      <c r="I2450" t="s">
        <v>446</v>
      </c>
      <c r="J2450">
        <v>28803</v>
      </c>
      <c r="K2450">
        <v>2713</v>
      </c>
      <c r="L2450" t="s">
        <v>23</v>
      </c>
      <c r="M2450" t="s">
        <v>6828</v>
      </c>
      <c r="N2450" t="s">
        <v>445</v>
      </c>
      <c r="O2450" t="s">
        <v>446</v>
      </c>
      <c r="P2450">
        <v>28803</v>
      </c>
      <c r="Q2450">
        <v>2713</v>
      </c>
      <c r="R2450" t="s">
        <v>23</v>
      </c>
      <c r="S2450" s="1" t="s">
        <v>34218</v>
      </c>
    </row>
    <row r="2451" spans="1:19" x14ac:dyDescent="0.25">
      <c r="A2451">
        <v>101095749</v>
      </c>
      <c r="B2451" t="s">
        <v>6829</v>
      </c>
      <c r="C2451" t="s">
        <v>123</v>
      </c>
      <c r="F2451" t="str">
        <f>"7075787975"</f>
        <v>7075787975</v>
      </c>
      <c r="G2451" t="s">
        <v>6830</v>
      </c>
      <c r="H2451" t="s">
        <v>6831</v>
      </c>
      <c r="I2451" t="s">
        <v>22</v>
      </c>
      <c r="J2451">
        <v>95448</v>
      </c>
      <c r="K2451">
        <v>1381</v>
      </c>
      <c r="L2451" t="s">
        <v>23</v>
      </c>
      <c r="M2451" t="s">
        <v>6830</v>
      </c>
      <c r="N2451" t="s">
        <v>6831</v>
      </c>
      <c r="O2451" t="s">
        <v>22</v>
      </c>
      <c r="P2451">
        <v>95448</v>
      </c>
      <c r="Q2451">
        <v>1381</v>
      </c>
      <c r="R2451" t="s">
        <v>23</v>
      </c>
      <c r="S2451" s="1" t="s">
        <v>34218</v>
      </c>
    </row>
    <row r="2452" spans="1:19" x14ac:dyDescent="0.25">
      <c r="A2452">
        <v>101051562</v>
      </c>
      <c r="B2452" t="s">
        <v>6832</v>
      </c>
      <c r="C2452" t="s">
        <v>329</v>
      </c>
      <c r="F2452" t="str">
        <f>"4139983302"</f>
        <v>4139983302</v>
      </c>
      <c r="G2452" t="s">
        <v>6833</v>
      </c>
      <c r="H2452" t="s">
        <v>6834</v>
      </c>
      <c r="I2452" t="s">
        <v>236</v>
      </c>
      <c r="J2452">
        <v>1077</v>
      </c>
      <c r="K2452">
        <v>9631</v>
      </c>
      <c r="L2452" t="s">
        <v>23</v>
      </c>
      <c r="M2452" t="s">
        <v>6833</v>
      </c>
      <c r="N2452" t="s">
        <v>6834</v>
      </c>
      <c r="O2452" t="s">
        <v>236</v>
      </c>
      <c r="P2452">
        <v>1077</v>
      </c>
      <c r="Q2452">
        <v>9631</v>
      </c>
      <c r="R2452" t="s">
        <v>23</v>
      </c>
      <c r="S2452" s="1" t="s">
        <v>34218</v>
      </c>
    </row>
    <row r="2453" spans="1:19" x14ac:dyDescent="0.25">
      <c r="A2453">
        <v>101280759</v>
      </c>
      <c r="B2453" t="s">
        <v>6835</v>
      </c>
      <c r="C2453" t="s">
        <v>1298</v>
      </c>
      <c r="F2453" t="str">
        <f>"9723016267"</f>
        <v>9723016267</v>
      </c>
      <c r="G2453" t="s">
        <v>6836</v>
      </c>
      <c r="H2453" t="s">
        <v>1889</v>
      </c>
      <c r="I2453" t="s">
        <v>38</v>
      </c>
      <c r="J2453">
        <v>75081</v>
      </c>
      <c r="K2453">
        <v>4176</v>
      </c>
      <c r="L2453" t="s">
        <v>23</v>
      </c>
      <c r="M2453" t="s">
        <v>6836</v>
      </c>
      <c r="N2453" t="s">
        <v>1889</v>
      </c>
      <c r="O2453" t="s">
        <v>38</v>
      </c>
      <c r="P2453">
        <v>75081</v>
      </c>
      <c r="Q2453">
        <v>4176</v>
      </c>
      <c r="R2453" t="s">
        <v>23</v>
      </c>
      <c r="S2453" s="1" t="s">
        <v>34218</v>
      </c>
    </row>
    <row r="2454" spans="1:19" x14ac:dyDescent="0.25">
      <c r="A2454">
        <v>101286062</v>
      </c>
      <c r="B2454" t="s">
        <v>1370</v>
      </c>
      <c r="C2454" t="s">
        <v>286</v>
      </c>
      <c r="F2454" t="str">
        <f>"7756747039"</f>
        <v>7756747039</v>
      </c>
      <c r="G2454" t="s">
        <v>6837</v>
      </c>
      <c r="H2454" t="s">
        <v>1857</v>
      </c>
      <c r="I2454" t="s">
        <v>702</v>
      </c>
      <c r="J2454">
        <v>89503</v>
      </c>
      <c r="K2454">
        <v>1897</v>
      </c>
      <c r="L2454" t="s">
        <v>23</v>
      </c>
      <c r="M2454" t="s">
        <v>6837</v>
      </c>
      <c r="N2454" t="s">
        <v>1857</v>
      </c>
      <c r="O2454" t="s">
        <v>702</v>
      </c>
      <c r="P2454">
        <v>89503</v>
      </c>
      <c r="Q2454">
        <v>1897</v>
      </c>
      <c r="R2454" t="s">
        <v>23</v>
      </c>
      <c r="S2454" s="1" t="s">
        <v>34218</v>
      </c>
    </row>
    <row r="2455" spans="1:19" x14ac:dyDescent="0.25">
      <c r="A2455">
        <v>101077268</v>
      </c>
      <c r="B2455" t="s">
        <v>6838</v>
      </c>
      <c r="C2455" t="s">
        <v>4184</v>
      </c>
      <c r="F2455" t="str">
        <f>"7323090520"</f>
        <v>7323090520</v>
      </c>
      <c r="G2455" t="s">
        <v>6839</v>
      </c>
      <c r="H2455" t="s">
        <v>6538</v>
      </c>
      <c r="I2455" t="s">
        <v>250</v>
      </c>
      <c r="J2455">
        <v>8904</v>
      </c>
      <c r="K2455">
        <v>1723</v>
      </c>
      <c r="L2455" t="s">
        <v>23</v>
      </c>
      <c r="M2455" t="s">
        <v>6839</v>
      </c>
      <c r="N2455" t="s">
        <v>6538</v>
      </c>
      <c r="O2455" t="s">
        <v>250</v>
      </c>
      <c r="P2455">
        <v>8904</v>
      </c>
      <c r="Q2455">
        <v>1723</v>
      </c>
      <c r="R2455" t="s">
        <v>23</v>
      </c>
      <c r="S2455" s="1" t="s">
        <v>34218</v>
      </c>
    </row>
    <row r="2456" spans="1:19" x14ac:dyDescent="0.25">
      <c r="A2456">
        <v>101095219</v>
      </c>
      <c r="B2456" t="s">
        <v>1425</v>
      </c>
      <c r="C2456" t="s">
        <v>6840</v>
      </c>
      <c r="F2456" t="str">
        <f>"2076522605"</f>
        <v>2076522605</v>
      </c>
      <c r="G2456" t="s">
        <v>6841</v>
      </c>
      <c r="H2456" t="s">
        <v>6842</v>
      </c>
      <c r="I2456" t="s">
        <v>191</v>
      </c>
      <c r="J2456">
        <v>4956</v>
      </c>
      <c r="K2456">
        <v>3234</v>
      </c>
      <c r="L2456" t="s">
        <v>23</v>
      </c>
      <c r="M2456" t="s">
        <v>6841</v>
      </c>
      <c r="N2456" t="s">
        <v>6842</v>
      </c>
      <c r="O2456" t="s">
        <v>191</v>
      </c>
      <c r="P2456">
        <v>4956</v>
      </c>
      <c r="Q2456">
        <v>3234</v>
      </c>
      <c r="R2456" t="s">
        <v>23</v>
      </c>
      <c r="S2456" s="1" t="s">
        <v>34218</v>
      </c>
    </row>
    <row r="2457" spans="1:19" x14ac:dyDescent="0.25">
      <c r="A2457">
        <v>100532175</v>
      </c>
      <c r="B2457" t="s">
        <v>6843</v>
      </c>
      <c r="C2457" t="s">
        <v>6844</v>
      </c>
      <c r="F2457" t="str">
        <f>"9525009353"</f>
        <v>9525009353</v>
      </c>
      <c r="G2457" t="s">
        <v>6845</v>
      </c>
      <c r="H2457" t="s">
        <v>6846</v>
      </c>
      <c r="I2457" t="s">
        <v>187</v>
      </c>
      <c r="J2457">
        <v>55435</v>
      </c>
      <c r="K2457">
        <v>5625</v>
      </c>
      <c r="L2457" t="s">
        <v>23</v>
      </c>
      <c r="M2457" t="s">
        <v>6845</v>
      </c>
      <c r="N2457" t="s">
        <v>6846</v>
      </c>
      <c r="O2457" t="s">
        <v>187</v>
      </c>
      <c r="P2457">
        <v>55435</v>
      </c>
      <c r="Q2457">
        <v>5625</v>
      </c>
      <c r="R2457" t="s">
        <v>23</v>
      </c>
      <c r="S2457" s="1" t="s">
        <v>34218</v>
      </c>
    </row>
    <row r="2458" spans="1:19" x14ac:dyDescent="0.25">
      <c r="A2458">
        <v>100540870</v>
      </c>
      <c r="B2458" t="s">
        <v>2333</v>
      </c>
      <c r="C2458" t="s">
        <v>1623</v>
      </c>
      <c r="F2458" t="str">
        <f>"7074228481"</f>
        <v>7074228481</v>
      </c>
      <c r="G2458" t="s">
        <v>6847</v>
      </c>
      <c r="H2458" t="s">
        <v>6848</v>
      </c>
      <c r="I2458" t="s">
        <v>22</v>
      </c>
      <c r="J2458">
        <v>94585</v>
      </c>
      <c r="K2458">
        <v>3013</v>
      </c>
      <c r="L2458" t="s">
        <v>23</v>
      </c>
      <c r="M2458" t="s">
        <v>6847</v>
      </c>
      <c r="N2458" t="s">
        <v>6848</v>
      </c>
      <c r="O2458" t="s">
        <v>22</v>
      </c>
      <c r="P2458">
        <v>94585</v>
      </c>
      <c r="Q2458">
        <v>3013</v>
      </c>
      <c r="R2458" t="s">
        <v>23</v>
      </c>
      <c r="S2458" s="1" t="s">
        <v>34218</v>
      </c>
    </row>
    <row r="2459" spans="1:19" x14ac:dyDescent="0.25">
      <c r="A2459">
        <v>100611220</v>
      </c>
      <c r="B2459" t="s">
        <v>6849</v>
      </c>
      <c r="C2459" t="s">
        <v>432</v>
      </c>
      <c r="F2459" t="str">
        <f>"5854360003"</f>
        <v>5854360003</v>
      </c>
      <c r="G2459" t="s">
        <v>6850</v>
      </c>
      <c r="H2459" t="s">
        <v>688</v>
      </c>
      <c r="I2459" t="s">
        <v>117</v>
      </c>
      <c r="J2459">
        <v>14611</v>
      </c>
      <c r="K2459">
        <v>3822</v>
      </c>
      <c r="L2459" t="s">
        <v>23</v>
      </c>
      <c r="M2459" t="s">
        <v>6850</v>
      </c>
      <c r="N2459" t="s">
        <v>688</v>
      </c>
      <c r="O2459" t="s">
        <v>117</v>
      </c>
      <c r="P2459">
        <v>14611</v>
      </c>
      <c r="Q2459">
        <v>3822</v>
      </c>
      <c r="R2459" t="s">
        <v>23</v>
      </c>
      <c r="S2459" s="1" t="s">
        <v>34218</v>
      </c>
    </row>
    <row r="2460" spans="1:19" x14ac:dyDescent="0.25">
      <c r="A2460">
        <v>100618816</v>
      </c>
      <c r="B2460" t="s">
        <v>1007</v>
      </c>
      <c r="C2460" t="s">
        <v>475</v>
      </c>
      <c r="F2460" t="str">
        <f>"8183539859"</f>
        <v>8183539859</v>
      </c>
      <c r="G2460" t="s">
        <v>6851</v>
      </c>
      <c r="H2460" t="s">
        <v>6645</v>
      </c>
      <c r="I2460" t="s">
        <v>22</v>
      </c>
      <c r="J2460">
        <v>91040</v>
      </c>
      <c r="K2460">
        <v>1967</v>
      </c>
      <c r="L2460" t="s">
        <v>23</v>
      </c>
      <c r="M2460" t="s">
        <v>6851</v>
      </c>
      <c r="N2460" t="s">
        <v>6645</v>
      </c>
      <c r="O2460" t="s">
        <v>22</v>
      </c>
      <c r="P2460">
        <v>91040</v>
      </c>
      <c r="Q2460">
        <v>1967</v>
      </c>
      <c r="R2460" t="s">
        <v>23</v>
      </c>
      <c r="S2460" s="1" t="s">
        <v>34218</v>
      </c>
    </row>
    <row r="2461" spans="1:19" x14ac:dyDescent="0.25">
      <c r="A2461">
        <v>100660841</v>
      </c>
      <c r="B2461" t="s">
        <v>6852</v>
      </c>
      <c r="C2461" t="s">
        <v>6853</v>
      </c>
      <c r="F2461" t="str">
        <f>"2033442171"</f>
        <v>2033442171</v>
      </c>
      <c r="G2461" t="s">
        <v>6854</v>
      </c>
      <c r="H2461" t="s">
        <v>6855</v>
      </c>
      <c r="I2461" t="s">
        <v>161</v>
      </c>
      <c r="J2461">
        <v>6870</v>
      </c>
      <c r="K2461">
        <v>1451</v>
      </c>
      <c r="L2461" t="s">
        <v>23</v>
      </c>
      <c r="M2461" t="s">
        <v>6854</v>
      </c>
      <c r="N2461" t="s">
        <v>6855</v>
      </c>
      <c r="O2461" t="s">
        <v>161</v>
      </c>
      <c r="P2461">
        <v>6870</v>
      </c>
      <c r="Q2461">
        <v>1451</v>
      </c>
      <c r="R2461" t="s">
        <v>23</v>
      </c>
      <c r="S2461" s="1" t="s">
        <v>34218</v>
      </c>
    </row>
    <row r="2462" spans="1:19" x14ac:dyDescent="0.25">
      <c r="A2462">
        <v>100876716</v>
      </c>
      <c r="B2462" t="s">
        <v>3537</v>
      </c>
      <c r="C2462" t="s">
        <v>1955</v>
      </c>
      <c r="F2462" t="str">
        <f>"6269193308"</f>
        <v>6269193308</v>
      </c>
      <c r="G2462" t="s">
        <v>6856</v>
      </c>
      <c r="H2462" t="s">
        <v>885</v>
      </c>
      <c r="I2462" t="s">
        <v>22</v>
      </c>
      <c r="J2462">
        <v>91791</v>
      </c>
      <c r="K2462">
        <v>3531</v>
      </c>
      <c r="L2462" t="s">
        <v>23</v>
      </c>
      <c r="M2462" t="s">
        <v>6856</v>
      </c>
      <c r="N2462" t="s">
        <v>885</v>
      </c>
      <c r="O2462" t="s">
        <v>22</v>
      </c>
      <c r="P2462">
        <v>91791</v>
      </c>
      <c r="Q2462">
        <v>3531</v>
      </c>
      <c r="R2462" t="s">
        <v>23</v>
      </c>
      <c r="S2462" s="1" t="s">
        <v>34218</v>
      </c>
    </row>
    <row r="2463" spans="1:19" x14ac:dyDescent="0.25">
      <c r="A2463">
        <v>100917437</v>
      </c>
      <c r="B2463" t="s">
        <v>6857</v>
      </c>
      <c r="C2463" t="s">
        <v>132</v>
      </c>
      <c r="F2463" t="str">
        <f>"6079373901"</f>
        <v>6079373901</v>
      </c>
      <c r="G2463" t="s">
        <v>6858</v>
      </c>
      <c r="H2463" t="s">
        <v>6859</v>
      </c>
      <c r="I2463" t="s">
        <v>117</v>
      </c>
      <c r="J2463">
        <v>14830</v>
      </c>
      <c r="K2463">
        <v>9775</v>
      </c>
      <c r="L2463" t="s">
        <v>23</v>
      </c>
      <c r="M2463" t="s">
        <v>6858</v>
      </c>
      <c r="N2463" t="s">
        <v>6859</v>
      </c>
      <c r="O2463" t="s">
        <v>117</v>
      </c>
      <c r="P2463">
        <v>14830</v>
      </c>
      <c r="Q2463">
        <v>9775</v>
      </c>
      <c r="R2463" t="s">
        <v>23</v>
      </c>
      <c r="S2463" s="1" t="s">
        <v>34218</v>
      </c>
    </row>
    <row r="2464" spans="1:19" x14ac:dyDescent="0.25">
      <c r="A2464">
        <v>100931512</v>
      </c>
      <c r="B2464" t="s">
        <v>6860</v>
      </c>
      <c r="C2464" t="s">
        <v>6861</v>
      </c>
      <c r="F2464" t="str">
        <f>"8082245105"</f>
        <v>8082245105</v>
      </c>
      <c r="G2464" t="s">
        <v>6862</v>
      </c>
      <c r="H2464" t="s">
        <v>6863</v>
      </c>
      <c r="I2464" t="s">
        <v>984</v>
      </c>
      <c r="J2464">
        <v>96792</v>
      </c>
      <c r="K2464">
        <v>2226</v>
      </c>
      <c r="L2464" t="s">
        <v>23</v>
      </c>
      <c r="M2464" t="s">
        <v>6862</v>
      </c>
      <c r="N2464" t="s">
        <v>6863</v>
      </c>
      <c r="O2464" t="s">
        <v>984</v>
      </c>
      <c r="P2464">
        <v>96792</v>
      </c>
      <c r="Q2464">
        <v>2226</v>
      </c>
      <c r="R2464" t="s">
        <v>23</v>
      </c>
      <c r="S2464" s="1" t="s">
        <v>34218</v>
      </c>
    </row>
    <row r="2465" spans="1:19" x14ac:dyDescent="0.25">
      <c r="A2465">
        <v>100937480</v>
      </c>
      <c r="B2465" t="s">
        <v>6864</v>
      </c>
      <c r="C2465" t="s">
        <v>313</v>
      </c>
      <c r="F2465" t="str">
        <f>"6175225759"</f>
        <v>6175225759</v>
      </c>
      <c r="G2465" t="s">
        <v>6865</v>
      </c>
      <c r="H2465" t="s">
        <v>272</v>
      </c>
      <c r="I2465" t="s">
        <v>236</v>
      </c>
      <c r="J2465">
        <v>2130</v>
      </c>
      <c r="K2465">
        <v>4902</v>
      </c>
      <c r="L2465" t="s">
        <v>23</v>
      </c>
      <c r="M2465" t="s">
        <v>6865</v>
      </c>
      <c r="N2465" t="s">
        <v>272</v>
      </c>
      <c r="O2465" t="s">
        <v>236</v>
      </c>
      <c r="P2465">
        <v>2130</v>
      </c>
      <c r="Q2465">
        <v>4902</v>
      </c>
      <c r="R2465" t="s">
        <v>23</v>
      </c>
      <c r="S2465" s="1" t="s">
        <v>34218</v>
      </c>
    </row>
    <row r="2466" spans="1:19" x14ac:dyDescent="0.25">
      <c r="A2466">
        <v>100555538</v>
      </c>
      <c r="B2466" t="s">
        <v>6866</v>
      </c>
      <c r="C2466" t="s">
        <v>907</v>
      </c>
      <c r="F2466" t="str">
        <f>"5303555172"</f>
        <v>5303555172</v>
      </c>
      <c r="G2466" t="s">
        <v>6867</v>
      </c>
      <c r="H2466" t="s">
        <v>3525</v>
      </c>
      <c r="I2466" t="s">
        <v>22</v>
      </c>
      <c r="J2466">
        <v>96001</v>
      </c>
      <c r="K2466">
        <v>2609</v>
      </c>
      <c r="L2466" t="s">
        <v>23</v>
      </c>
      <c r="M2466" t="s">
        <v>6867</v>
      </c>
      <c r="N2466" t="s">
        <v>3525</v>
      </c>
      <c r="O2466" t="s">
        <v>22</v>
      </c>
      <c r="P2466">
        <v>96001</v>
      </c>
      <c r="Q2466">
        <v>2609</v>
      </c>
      <c r="R2466" t="s">
        <v>23</v>
      </c>
      <c r="S2466" s="1" t="s">
        <v>34218</v>
      </c>
    </row>
    <row r="2467" spans="1:19" x14ac:dyDescent="0.25">
      <c r="A2467">
        <v>100559621</v>
      </c>
      <c r="B2467" t="s">
        <v>6868</v>
      </c>
      <c r="C2467" t="s">
        <v>440</v>
      </c>
      <c r="F2467" t="str">
        <f>"5413124173"</f>
        <v>5413124173</v>
      </c>
      <c r="G2467" t="s">
        <v>6869</v>
      </c>
      <c r="H2467" t="s">
        <v>2391</v>
      </c>
      <c r="I2467" t="s">
        <v>43</v>
      </c>
      <c r="J2467">
        <v>97701</v>
      </c>
      <c r="K2467">
        <v>8274</v>
      </c>
      <c r="L2467" t="s">
        <v>23</v>
      </c>
      <c r="M2467" t="s">
        <v>6869</v>
      </c>
      <c r="N2467" t="s">
        <v>2391</v>
      </c>
      <c r="O2467" t="s">
        <v>43</v>
      </c>
      <c r="P2467">
        <v>97701</v>
      </c>
      <c r="Q2467">
        <v>8274</v>
      </c>
      <c r="R2467" t="s">
        <v>23</v>
      </c>
      <c r="S2467" s="1" t="s">
        <v>34218</v>
      </c>
    </row>
    <row r="2468" spans="1:19" x14ac:dyDescent="0.25">
      <c r="A2468">
        <v>100787157</v>
      </c>
      <c r="B2468" t="s">
        <v>6870</v>
      </c>
      <c r="C2468" t="s">
        <v>4318</v>
      </c>
      <c r="F2468" t="str">
        <f>"7322231611"</f>
        <v>7322231611</v>
      </c>
      <c r="G2468" t="s">
        <v>6871</v>
      </c>
      <c r="H2468" t="s">
        <v>6872</v>
      </c>
      <c r="I2468" t="s">
        <v>250</v>
      </c>
      <c r="J2468">
        <v>8730</v>
      </c>
      <c r="K2468">
        <v>1431</v>
      </c>
      <c r="L2468" t="s">
        <v>23</v>
      </c>
      <c r="M2468" t="s">
        <v>6871</v>
      </c>
      <c r="N2468" t="s">
        <v>6872</v>
      </c>
      <c r="O2468" t="s">
        <v>250</v>
      </c>
      <c r="P2468">
        <v>8730</v>
      </c>
      <c r="Q2468">
        <v>1431</v>
      </c>
      <c r="R2468" t="s">
        <v>23</v>
      </c>
      <c r="S2468" s="1" t="s">
        <v>34218</v>
      </c>
    </row>
    <row r="2469" spans="1:19" x14ac:dyDescent="0.25">
      <c r="A2469">
        <v>101021058</v>
      </c>
      <c r="B2469" t="s">
        <v>6873</v>
      </c>
      <c r="C2469" t="s">
        <v>1412</v>
      </c>
      <c r="F2469" t="str">
        <f>"7188649570"</f>
        <v>7188649570</v>
      </c>
      <c r="G2469" t="s">
        <v>6874</v>
      </c>
      <c r="H2469" t="s">
        <v>412</v>
      </c>
      <c r="I2469" t="s">
        <v>117</v>
      </c>
      <c r="J2469">
        <v>11217</v>
      </c>
      <c r="K2469">
        <v>2332</v>
      </c>
      <c r="L2469" t="s">
        <v>23</v>
      </c>
      <c r="M2469" t="s">
        <v>6874</v>
      </c>
      <c r="N2469" t="s">
        <v>412</v>
      </c>
      <c r="O2469" t="s">
        <v>117</v>
      </c>
      <c r="P2469">
        <v>11217</v>
      </c>
      <c r="Q2469">
        <v>2332</v>
      </c>
      <c r="R2469" t="s">
        <v>23</v>
      </c>
      <c r="S2469" s="1" t="s">
        <v>34218</v>
      </c>
    </row>
    <row r="2470" spans="1:19" x14ac:dyDescent="0.25">
      <c r="A2470">
        <v>101025855</v>
      </c>
      <c r="B2470" t="s">
        <v>6875</v>
      </c>
      <c r="C2470" t="s">
        <v>6876</v>
      </c>
      <c r="F2470" t="str">
        <f>"5054662311"</f>
        <v>5054662311</v>
      </c>
      <c r="G2470" t="s">
        <v>6877</v>
      </c>
      <c r="H2470" t="s">
        <v>1431</v>
      </c>
      <c r="I2470" t="s">
        <v>639</v>
      </c>
      <c r="J2470">
        <v>87508</v>
      </c>
      <c r="K2470">
        <v>8328</v>
      </c>
      <c r="L2470" t="s">
        <v>23</v>
      </c>
      <c r="M2470" t="s">
        <v>6877</v>
      </c>
      <c r="N2470" t="s">
        <v>1431</v>
      </c>
      <c r="O2470" t="s">
        <v>639</v>
      </c>
      <c r="P2470">
        <v>87508</v>
      </c>
      <c r="Q2470">
        <v>8328</v>
      </c>
      <c r="R2470" t="s">
        <v>23</v>
      </c>
      <c r="S2470" s="1" t="s">
        <v>34218</v>
      </c>
    </row>
    <row r="2471" spans="1:19" x14ac:dyDescent="0.25">
      <c r="A2471">
        <v>100635860</v>
      </c>
      <c r="B2471" t="s">
        <v>1528</v>
      </c>
      <c r="C2471" t="s">
        <v>3171</v>
      </c>
      <c r="F2471" t="str">
        <f>"5152856138"</f>
        <v>5152856138</v>
      </c>
      <c r="G2471" t="s">
        <v>6878</v>
      </c>
      <c r="H2471" t="s">
        <v>6879</v>
      </c>
      <c r="I2471" t="s">
        <v>565</v>
      </c>
      <c r="J2471">
        <v>50315</v>
      </c>
      <c r="K2471">
        <v>5259</v>
      </c>
      <c r="L2471" t="s">
        <v>23</v>
      </c>
      <c r="M2471" t="s">
        <v>6878</v>
      </c>
      <c r="N2471" t="s">
        <v>6879</v>
      </c>
      <c r="O2471" t="s">
        <v>565</v>
      </c>
      <c r="P2471">
        <v>50315</v>
      </c>
      <c r="Q2471">
        <v>5259</v>
      </c>
      <c r="R2471" t="s">
        <v>23</v>
      </c>
      <c r="S2471" s="1" t="s">
        <v>34218</v>
      </c>
    </row>
    <row r="2472" spans="1:19" x14ac:dyDescent="0.25">
      <c r="A2472">
        <v>100641448</v>
      </c>
      <c r="B2472" t="s">
        <v>3049</v>
      </c>
      <c r="C2472" t="s">
        <v>1959</v>
      </c>
      <c r="F2472" t="str">
        <f>"9545320451"</f>
        <v>9545320451</v>
      </c>
      <c r="G2472" t="s">
        <v>6880</v>
      </c>
      <c r="H2472" t="s">
        <v>6881</v>
      </c>
      <c r="I2472" t="s">
        <v>52</v>
      </c>
      <c r="J2472">
        <v>33069</v>
      </c>
      <c r="K2472">
        <v>5430</v>
      </c>
      <c r="L2472" t="s">
        <v>23</v>
      </c>
      <c r="M2472" t="s">
        <v>6880</v>
      </c>
      <c r="N2472" t="s">
        <v>6881</v>
      </c>
      <c r="O2472" t="s">
        <v>52</v>
      </c>
      <c r="P2472">
        <v>33069</v>
      </c>
      <c r="Q2472">
        <v>5430</v>
      </c>
      <c r="R2472" t="s">
        <v>23</v>
      </c>
      <c r="S2472" s="1" t="s">
        <v>34218</v>
      </c>
    </row>
    <row r="2473" spans="1:19" x14ac:dyDescent="0.25">
      <c r="A2473">
        <v>100855154</v>
      </c>
      <c r="B2473" t="s">
        <v>6882</v>
      </c>
      <c r="C2473" t="s">
        <v>30</v>
      </c>
      <c r="F2473" t="str">
        <f>"7173528322"</f>
        <v>7173528322</v>
      </c>
      <c r="G2473" t="s">
        <v>6883</v>
      </c>
      <c r="H2473" t="s">
        <v>4514</v>
      </c>
      <c r="I2473" t="s">
        <v>33</v>
      </c>
      <c r="J2473">
        <v>17222</v>
      </c>
      <c r="K2473">
        <v>1104</v>
      </c>
      <c r="L2473" t="s">
        <v>23</v>
      </c>
      <c r="M2473" t="s">
        <v>6883</v>
      </c>
      <c r="N2473" t="s">
        <v>4514</v>
      </c>
      <c r="O2473" t="s">
        <v>33</v>
      </c>
      <c r="P2473">
        <v>17222</v>
      </c>
      <c r="Q2473">
        <v>1104</v>
      </c>
      <c r="R2473" t="s">
        <v>23</v>
      </c>
      <c r="S2473" s="1" t="s">
        <v>34218</v>
      </c>
    </row>
    <row r="2474" spans="1:19" x14ac:dyDescent="0.25">
      <c r="A2474">
        <v>100862403</v>
      </c>
      <c r="B2474" t="s">
        <v>6884</v>
      </c>
      <c r="C2474" t="s">
        <v>4318</v>
      </c>
      <c r="F2474" t="str">
        <f>"6517712942"</f>
        <v>6517712942</v>
      </c>
      <c r="G2474" t="s">
        <v>6885</v>
      </c>
      <c r="H2474" t="s">
        <v>1405</v>
      </c>
      <c r="I2474" t="s">
        <v>187</v>
      </c>
      <c r="J2474">
        <v>55106</v>
      </c>
      <c r="K2474">
        <v>1543</v>
      </c>
      <c r="L2474" t="s">
        <v>23</v>
      </c>
      <c r="M2474" t="s">
        <v>6885</v>
      </c>
      <c r="N2474" t="s">
        <v>1405</v>
      </c>
      <c r="O2474" t="s">
        <v>187</v>
      </c>
      <c r="P2474">
        <v>55106</v>
      </c>
      <c r="Q2474">
        <v>1543</v>
      </c>
      <c r="R2474" t="s">
        <v>23</v>
      </c>
      <c r="S2474" s="1" t="s">
        <v>34218</v>
      </c>
    </row>
    <row r="2475" spans="1:19" x14ac:dyDescent="0.25">
      <c r="A2475">
        <v>100944658</v>
      </c>
      <c r="B2475" t="s">
        <v>6886</v>
      </c>
      <c r="C2475" t="s">
        <v>49</v>
      </c>
      <c r="F2475" t="str">
        <f>"5106491093"</f>
        <v>5106491093</v>
      </c>
      <c r="G2475" t="s">
        <v>6887</v>
      </c>
      <c r="H2475" t="s">
        <v>66</v>
      </c>
      <c r="I2475" t="s">
        <v>22</v>
      </c>
      <c r="J2475">
        <v>94703</v>
      </c>
      <c r="K2475">
        <v>1237</v>
      </c>
      <c r="L2475" t="s">
        <v>23</v>
      </c>
      <c r="M2475" t="s">
        <v>6887</v>
      </c>
      <c r="N2475" t="s">
        <v>66</v>
      </c>
      <c r="O2475" t="s">
        <v>22</v>
      </c>
      <c r="P2475">
        <v>94703</v>
      </c>
      <c r="Q2475">
        <v>1237</v>
      </c>
      <c r="R2475" t="s">
        <v>23</v>
      </c>
      <c r="S2475" s="1" t="s">
        <v>34218</v>
      </c>
    </row>
    <row r="2476" spans="1:19" x14ac:dyDescent="0.25">
      <c r="A2476">
        <v>100957374</v>
      </c>
      <c r="B2476" t="s">
        <v>6888</v>
      </c>
      <c r="C2476" t="s">
        <v>2790</v>
      </c>
      <c r="F2476" t="str">
        <f>"5072892494"</f>
        <v>5072892494</v>
      </c>
      <c r="G2476" t="s">
        <v>6889</v>
      </c>
      <c r="H2476" t="s">
        <v>688</v>
      </c>
      <c r="I2476" t="s">
        <v>187</v>
      </c>
      <c r="J2476">
        <v>55901</v>
      </c>
      <c r="K2476">
        <v>7565</v>
      </c>
      <c r="L2476" t="s">
        <v>23</v>
      </c>
      <c r="M2476" t="s">
        <v>6889</v>
      </c>
      <c r="N2476" t="s">
        <v>688</v>
      </c>
      <c r="O2476" t="s">
        <v>187</v>
      </c>
      <c r="P2476">
        <v>55901</v>
      </c>
      <c r="Q2476">
        <v>7565</v>
      </c>
      <c r="R2476" t="s">
        <v>23</v>
      </c>
      <c r="S2476" s="1" t="s">
        <v>34218</v>
      </c>
    </row>
    <row r="2477" spans="1:19" x14ac:dyDescent="0.25">
      <c r="A2477">
        <v>101060401</v>
      </c>
      <c r="B2477" t="s">
        <v>6890</v>
      </c>
      <c r="C2477" t="s">
        <v>6891</v>
      </c>
      <c r="F2477" t="str">
        <f>"9165151075"</f>
        <v>9165151075</v>
      </c>
      <c r="G2477" t="s">
        <v>6892</v>
      </c>
      <c r="H2477" t="s">
        <v>650</v>
      </c>
      <c r="I2477" t="s">
        <v>22</v>
      </c>
      <c r="J2477">
        <v>95835</v>
      </c>
      <c r="K2477">
        <v>2239</v>
      </c>
      <c r="L2477" t="s">
        <v>23</v>
      </c>
      <c r="M2477" t="s">
        <v>6892</v>
      </c>
      <c r="N2477" t="s">
        <v>650</v>
      </c>
      <c r="O2477" t="s">
        <v>22</v>
      </c>
      <c r="P2477">
        <v>95835</v>
      </c>
      <c r="Q2477">
        <v>2239</v>
      </c>
      <c r="R2477" t="s">
        <v>23</v>
      </c>
      <c r="S2477" s="1" t="s">
        <v>34218</v>
      </c>
    </row>
    <row r="2478" spans="1:19" x14ac:dyDescent="0.25">
      <c r="A2478">
        <v>101285476</v>
      </c>
      <c r="B2478" t="s">
        <v>6893</v>
      </c>
      <c r="C2478" t="s">
        <v>1124</v>
      </c>
      <c r="F2478" t="str">
        <f>"2165702957"</f>
        <v>2165702957</v>
      </c>
      <c r="G2478" t="s">
        <v>6894</v>
      </c>
      <c r="H2478" t="s">
        <v>1914</v>
      </c>
      <c r="I2478" t="s">
        <v>178</v>
      </c>
      <c r="J2478">
        <v>44039</v>
      </c>
      <c r="K2478">
        <v>5300</v>
      </c>
      <c r="L2478" t="s">
        <v>23</v>
      </c>
      <c r="M2478" t="s">
        <v>6894</v>
      </c>
      <c r="N2478" t="s">
        <v>1914</v>
      </c>
      <c r="O2478" t="s">
        <v>178</v>
      </c>
      <c r="P2478">
        <v>44039</v>
      </c>
      <c r="Q2478">
        <v>5300</v>
      </c>
      <c r="R2478" t="s">
        <v>23</v>
      </c>
      <c r="S2478" s="1" t="s">
        <v>34218</v>
      </c>
    </row>
    <row r="2479" spans="1:19" x14ac:dyDescent="0.25">
      <c r="A2479">
        <v>101291582</v>
      </c>
      <c r="B2479" t="s">
        <v>5478</v>
      </c>
      <c r="C2479" t="s">
        <v>30</v>
      </c>
      <c r="F2479" t="str">
        <f>"8312507655"</f>
        <v>8312507655</v>
      </c>
      <c r="G2479" t="s">
        <v>6895</v>
      </c>
      <c r="H2479" t="s">
        <v>1283</v>
      </c>
      <c r="I2479" t="s">
        <v>22</v>
      </c>
      <c r="J2479">
        <v>93922</v>
      </c>
      <c r="K2479">
        <v>2059</v>
      </c>
      <c r="L2479" t="s">
        <v>23</v>
      </c>
      <c r="M2479" t="s">
        <v>6895</v>
      </c>
      <c r="N2479" t="s">
        <v>1283</v>
      </c>
      <c r="O2479" t="s">
        <v>22</v>
      </c>
      <c r="P2479">
        <v>93922</v>
      </c>
      <c r="Q2479">
        <v>2059</v>
      </c>
      <c r="R2479" t="s">
        <v>23</v>
      </c>
      <c r="S2479" s="1" t="s">
        <v>34218</v>
      </c>
    </row>
    <row r="2480" spans="1:19" x14ac:dyDescent="0.25">
      <c r="A2480">
        <v>101291580</v>
      </c>
      <c r="B2480" t="s">
        <v>6896</v>
      </c>
      <c r="C2480" t="s">
        <v>6897</v>
      </c>
      <c r="F2480" t="str">
        <f>"9496755781"</f>
        <v>9496755781</v>
      </c>
      <c r="G2480" t="s">
        <v>6898</v>
      </c>
      <c r="H2480" t="s">
        <v>3132</v>
      </c>
      <c r="I2480" t="s">
        <v>22</v>
      </c>
      <c r="J2480">
        <v>92662</v>
      </c>
      <c r="K2480">
        <v>1116</v>
      </c>
      <c r="L2480" t="s">
        <v>23</v>
      </c>
      <c r="M2480" t="s">
        <v>6898</v>
      </c>
      <c r="N2480" t="s">
        <v>3132</v>
      </c>
      <c r="O2480" t="s">
        <v>22</v>
      </c>
      <c r="P2480">
        <v>92662</v>
      </c>
      <c r="Q2480">
        <v>1116</v>
      </c>
      <c r="R2480" t="s">
        <v>23</v>
      </c>
      <c r="S2480" s="1" t="s">
        <v>34218</v>
      </c>
    </row>
    <row r="2481" spans="1:19" x14ac:dyDescent="0.25">
      <c r="A2481">
        <v>101312492</v>
      </c>
      <c r="B2481" t="s">
        <v>6899</v>
      </c>
      <c r="C2481" t="s">
        <v>440</v>
      </c>
      <c r="F2481" t="str">
        <f>"8587483124"</f>
        <v>8587483124</v>
      </c>
      <c r="G2481" t="s">
        <v>6900</v>
      </c>
      <c r="H2481" t="s">
        <v>1780</v>
      </c>
      <c r="I2481" t="s">
        <v>22</v>
      </c>
      <c r="J2481">
        <v>92024</v>
      </c>
      <c r="K2481">
        <v>4714</v>
      </c>
      <c r="L2481" t="s">
        <v>23</v>
      </c>
      <c r="M2481" t="s">
        <v>6900</v>
      </c>
      <c r="N2481" t="s">
        <v>1780</v>
      </c>
      <c r="O2481" t="s">
        <v>22</v>
      </c>
      <c r="P2481">
        <v>92024</v>
      </c>
      <c r="Q2481">
        <v>4714</v>
      </c>
      <c r="R2481" t="s">
        <v>23</v>
      </c>
      <c r="S2481" s="1" t="s">
        <v>34218</v>
      </c>
    </row>
    <row r="2482" spans="1:19" x14ac:dyDescent="0.25">
      <c r="A2482">
        <v>101322542</v>
      </c>
      <c r="B2482" t="s">
        <v>3696</v>
      </c>
      <c r="C2482" t="s">
        <v>6901</v>
      </c>
      <c r="F2482" t="str">
        <f>"5048358713"</f>
        <v>5048358713</v>
      </c>
      <c r="G2482" t="s">
        <v>6902</v>
      </c>
      <c r="H2482" t="s">
        <v>152</v>
      </c>
      <c r="I2482" t="s">
        <v>153</v>
      </c>
      <c r="J2482">
        <v>70005</v>
      </c>
      <c r="K2482">
        <v>3426</v>
      </c>
      <c r="L2482" t="s">
        <v>23</v>
      </c>
      <c r="M2482" t="s">
        <v>6902</v>
      </c>
      <c r="N2482" t="s">
        <v>152</v>
      </c>
      <c r="O2482" t="s">
        <v>153</v>
      </c>
      <c r="P2482">
        <v>70005</v>
      </c>
      <c r="Q2482">
        <v>3426</v>
      </c>
      <c r="R2482" t="s">
        <v>23</v>
      </c>
      <c r="S2482" s="1" t="s">
        <v>34218</v>
      </c>
    </row>
    <row r="2483" spans="1:19" x14ac:dyDescent="0.25">
      <c r="A2483">
        <v>101324710</v>
      </c>
      <c r="B2483" t="s">
        <v>6903</v>
      </c>
      <c r="C2483" t="s">
        <v>1959</v>
      </c>
      <c r="F2483" t="str">
        <f>"6192831495"</f>
        <v>6192831495</v>
      </c>
      <c r="G2483" t="s">
        <v>6904</v>
      </c>
      <c r="H2483" t="s">
        <v>198</v>
      </c>
      <c r="I2483" t="s">
        <v>22</v>
      </c>
      <c r="J2483">
        <v>92116</v>
      </c>
      <c r="K2483">
        <v>4845</v>
      </c>
      <c r="L2483" t="s">
        <v>23</v>
      </c>
      <c r="M2483" t="s">
        <v>6904</v>
      </c>
      <c r="N2483" t="s">
        <v>198</v>
      </c>
      <c r="O2483" t="s">
        <v>22</v>
      </c>
      <c r="P2483">
        <v>92116</v>
      </c>
      <c r="Q2483">
        <v>4845</v>
      </c>
      <c r="R2483" t="s">
        <v>23</v>
      </c>
      <c r="S2483" s="1" t="s">
        <v>34218</v>
      </c>
    </row>
    <row r="2484" spans="1:19" x14ac:dyDescent="0.25">
      <c r="A2484">
        <v>101329605</v>
      </c>
      <c r="B2484" t="s">
        <v>6905</v>
      </c>
      <c r="C2484" t="s">
        <v>2767</v>
      </c>
      <c r="F2484" t="str">
        <f>"9077896167"</f>
        <v>9077896167</v>
      </c>
      <c r="G2484" t="s">
        <v>6906</v>
      </c>
      <c r="H2484" t="s">
        <v>4953</v>
      </c>
      <c r="I2484" t="s">
        <v>2566</v>
      </c>
      <c r="J2484">
        <v>99801</v>
      </c>
      <c r="K2484">
        <v>9161</v>
      </c>
      <c r="L2484" t="s">
        <v>23</v>
      </c>
      <c r="M2484" t="s">
        <v>6906</v>
      </c>
      <c r="N2484" t="s">
        <v>4953</v>
      </c>
      <c r="O2484" t="s">
        <v>2566</v>
      </c>
      <c r="P2484">
        <v>99801</v>
      </c>
      <c r="Q2484">
        <v>9161</v>
      </c>
      <c r="R2484" t="s">
        <v>23</v>
      </c>
      <c r="S2484" s="1" t="s">
        <v>34218</v>
      </c>
    </row>
    <row r="2485" spans="1:19" x14ac:dyDescent="0.25">
      <c r="A2485">
        <v>100816153</v>
      </c>
      <c r="B2485" t="s">
        <v>6907</v>
      </c>
      <c r="C2485" t="s">
        <v>6908</v>
      </c>
      <c r="F2485" t="str">
        <f>"2143630056"</f>
        <v>2143630056</v>
      </c>
      <c r="G2485" t="s">
        <v>6909</v>
      </c>
      <c r="H2485" t="s">
        <v>380</v>
      </c>
      <c r="I2485" t="s">
        <v>38</v>
      </c>
      <c r="J2485">
        <v>75225</v>
      </c>
      <c r="K2485">
        <v>4506</v>
      </c>
      <c r="L2485" t="s">
        <v>23</v>
      </c>
      <c r="M2485" t="s">
        <v>6909</v>
      </c>
      <c r="N2485" t="s">
        <v>380</v>
      </c>
      <c r="O2485" t="s">
        <v>38</v>
      </c>
      <c r="P2485">
        <v>75225</v>
      </c>
      <c r="Q2485">
        <v>4506</v>
      </c>
      <c r="R2485" t="s">
        <v>23</v>
      </c>
      <c r="S2485" s="1" t="s">
        <v>34218</v>
      </c>
    </row>
    <row r="2486" spans="1:19" x14ac:dyDescent="0.25">
      <c r="A2486">
        <v>100833644</v>
      </c>
      <c r="B2486" t="s">
        <v>4089</v>
      </c>
      <c r="C2486" t="s">
        <v>1306</v>
      </c>
      <c r="F2486" t="str">
        <f>"4102155820"</f>
        <v>4102155820</v>
      </c>
      <c r="G2486" t="s">
        <v>6910</v>
      </c>
      <c r="H2486" t="s">
        <v>6911</v>
      </c>
      <c r="I2486" t="s">
        <v>148</v>
      </c>
      <c r="J2486">
        <v>21015</v>
      </c>
      <c r="K2486">
        <v>8615</v>
      </c>
      <c r="L2486" t="s">
        <v>23</v>
      </c>
      <c r="M2486" t="s">
        <v>6910</v>
      </c>
      <c r="N2486" t="s">
        <v>6911</v>
      </c>
      <c r="O2486" t="s">
        <v>148</v>
      </c>
      <c r="P2486">
        <v>21015</v>
      </c>
      <c r="Q2486">
        <v>8615</v>
      </c>
      <c r="R2486" t="s">
        <v>23</v>
      </c>
      <c r="S2486" s="1" t="s">
        <v>34218</v>
      </c>
    </row>
    <row r="2487" spans="1:19" x14ac:dyDescent="0.25">
      <c r="A2487">
        <v>100752713</v>
      </c>
      <c r="B2487" t="s">
        <v>6912</v>
      </c>
      <c r="C2487" t="s">
        <v>1189</v>
      </c>
      <c r="F2487" t="str">
        <f>"8478812588"</f>
        <v>8478812588</v>
      </c>
      <c r="G2487" t="s">
        <v>6913</v>
      </c>
      <c r="H2487" t="s">
        <v>2077</v>
      </c>
      <c r="I2487" t="s">
        <v>135</v>
      </c>
      <c r="J2487">
        <v>60093</v>
      </c>
      <c r="K2487">
        <v>2711</v>
      </c>
      <c r="L2487" t="s">
        <v>23</v>
      </c>
      <c r="M2487" t="s">
        <v>6913</v>
      </c>
      <c r="N2487" t="s">
        <v>2077</v>
      </c>
      <c r="O2487" t="s">
        <v>135</v>
      </c>
      <c r="P2487">
        <v>60093</v>
      </c>
      <c r="Q2487">
        <v>2711</v>
      </c>
      <c r="R2487" t="s">
        <v>23</v>
      </c>
      <c r="S2487" s="1" t="s">
        <v>34218</v>
      </c>
    </row>
    <row r="2488" spans="1:19" x14ac:dyDescent="0.25">
      <c r="A2488">
        <v>100525556</v>
      </c>
      <c r="B2488" t="s">
        <v>6914</v>
      </c>
      <c r="C2488" t="s">
        <v>621</v>
      </c>
      <c r="F2488" t="str">
        <f>"6173326102"</f>
        <v>6173326102</v>
      </c>
      <c r="G2488" t="s">
        <v>6915</v>
      </c>
      <c r="H2488" t="s">
        <v>6104</v>
      </c>
      <c r="I2488" t="s">
        <v>236</v>
      </c>
      <c r="J2488">
        <v>2459</v>
      </c>
      <c r="K2488">
        <v>1756</v>
      </c>
      <c r="L2488" t="s">
        <v>23</v>
      </c>
      <c r="M2488" t="s">
        <v>6915</v>
      </c>
      <c r="N2488" t="s">
        <v>6104</v>
      </c>
      <c r="O2488" t="s">
        <v>236</v>
      </c>
      <c r="P2488">
        <v>2459</v>
      </c>
      <c r="Q2488">
        <v>1756</v>
      </c>
      <c r="R2488" t="s">
        <v>23</v>
      </c>
      <c r="S2488" s="1" t="s">
        <v>34218</v>
      </c>
    </row>
    <row r="2489" spans="1:19" x14ac:dyDescent="0.25">
      <c r="A2489">
        <v>100721254</v>
      </c>
      <c r="B2489" t="s">
        <v>6916</v>
      </c>
      <c r="C2489" t="s">
        <v>6917</v>
      </c>
      <c r="F2489" t="str">
        <f>"3239354139"</f>
        <v>3239354139</v>
      </c>
      <c r="G2489" t="s">
        <v>6918</v>
      </c>
      <c r="H2489" t="s">
        <v>299</v>
      </c>
      <c r="I2489" t="s">
        <v>22</v>
      </c>
      <c r="J2489">
        <v>90019</v>
      </c>
      <c r="K2489">
        <v>2407</v>
      </c>
      <c r="L2489" t="s">
        <v>23</v>
      </c>
      <c r="M2489" t="s">
        <v>6918</v>
      </c>
      <c r="N2489" t="s">
        <v>299</v>
      </c>
      <c r="O2489" t="s">
        <v>22</v>
      </c>
      <c r="P2489">
        <v>90019</v>
      </c>
      <c r="Q2489">
        <v>2407</v>
      </c>
      <c r="R2489" t="s">
        <v>23</v>
      </c>
      <c r="S2489" s="1" t="s">
        <v>34218</v>
      </c>
    </row>
    <row r="2490" spans="1:19" x14ac:dyDescent="0.25">
      <c r="A2490">
        <v>100576239</v>
      </c>
      <c r="B2490" t="s">
        <v>943</v>
      </c>
      <c r="C2490" t="s">
        <v>718</v>
      </c>
      <c r="F2490" t="str">
        <f>"5614093730"</f>
        <v>5614093730</v>
      </c>
      <c r="G2490" t="s">
        <v>6919</v>
      </c>
      <c r="H2490" t="s">
        <v>2640</v>
      </c>
      <c r="I2490" t="s">
        <v>52</v>
      </c>
      <c r="J2490">
        <v>33428</v>
      </c>
      <c r="K2490">
        <v>1734</v>
      </c>
      <c r="L2490" t="s">
        <v>23</v>
      </c>
      <c r="M2490" t="s">
        <v>6919</v>
      </c>
      <c r="N2490" t="s">
        <v>2640</v>
      </c>
      <c r="O2490" t="s">
        <v>52</v>
      </c>
      <c r="P2490">
        <v>33428</v>
      </c>
      <c r="Q2490">
        <v>1734</v>
      </c>
      <c r="R2490" t="s">
        <v>23</v>
      </c>
      <c r="S2490" s="1" t="s">
        <v>34218</v>
      </c>
    </row>
    <row r="2491" spans="1:19" x14ac:dyDescent="0.25">
      <c r="A2491">
        <v>100781556</v>
      </c>
      <c r="B2491" t="s">
        <v>2656</v>
      </c>
      <c r="C2491" t="s">
        <v>6920</v>
      </c>
      <c r="F2491" t="str">
        <f>"4044232315"</f>
        <v>4044232315</v>
      </c>
      <c r="G2491" t="s">
        <v>6921</v>
      </c>
      <c r="H2491" t="s">
        <v>6922</v>
      </c>
      <c r="I2491" t="s">
        <v>28</v>
      </c>
      <c r="J2491">
        <v>30071</v>
      </c>
      <c r="K2491">
        <v>3268</v>
      </c>
      <c r="L2491" t="s">
        <v>23</v>
      </c>
      <c r="M2491" t="s">
        <v>6921</v>
      </c>
      <c r="N2491" t="s">
        <v>6922</v>
      </c>
      <c r="O2491" t="s">
        <v>28</v>
      </c>
      <c r="P2491">
        <v>30071</v>
      </c>
      <c r="Q2491">
        <v>3268</v>
      </c>
      <c r="R2491" t="s">
        <v>23</v>
      </c>
      <c r="S2491" s="1" t="s">
        <v>34218</v>
      </c>
    </row>
    <row r="2492" spans="1:19" x14ac:dyDescent="0.25">
      <c r="A2492">
        <v>100796588</v>
      </c>
      <c r="B2492" t="s">
        <v>3159</v>
      </c>
      <c r="C2492" t="s">
        <v>466</v>
      </c>
      <c r="F2492" t="str">
        <f>"7075551212"</f>
        <v>7075551212</v>
      </c>
      <c r="G2492" t="s">
        <v>6923</v>
      </c>
      <c r="H2492" t="s">
        <v>1604</v>
      </c>
      <c r="I2492" t="s">
        <v>126</v>
      </c>
      <c r="J2492">
        <v>65203</v>
      </c>
      <c r="K2492">
        <v>3585</v>
      </c>
      <c r="L2492" t="s">
        <v>23</v>
      </c>
      <c r="M2492" t="s">
        <v>6923</v>
      </c>
      <c r="N2492" t="s">
        <v>1604</v>
      </c>
      <c r="O2492" t="s">
        <v>126</v>
      </c>
      <c r="P2492">
        <v>65203</v>
      </c>
      <c r="Q2492">
        <v>3585</v>
      </c>
      <c r="R2492" t="s">
        <v>23</v>
      </c>
      <c r="S2492" s="1" t="s">
        <v>34218</v>
      </c>
    </row>
    <row r="2493" spans="1:19" x14ac:dyDescent="0.25">
      <c r="A2493">
        <v>100874954</v>
      </c>
      <c r="B2493" t="s">
        <v>6924</v>
      </c>
      <c r="C2493" t="s">
        <v>1523</v>
      </c>
      <c r="F2493" t="str">
        <f>"7142225085"</f>
        <v>7142225085</v>
      </c>
      <c r="G2493" t="s">
        <v>6925</v>
      </c>
      <c r="H2493" t="s">
        <v>6273</v>
      </c>
      <c r="I2493" t="s">
        <v>22</v>
      </c>
      <c r="J2493">
        <v>92868</v>
      </c>
      <c r="K2493">
        <v>3925</v>
      </c>
      <c r="L2493" t="s">
        <v>23</v>
      </c>
      <c r="M2493" t="s">
        <v>6925</v>
      </c>
      <c r="N2493" t="s">
        <v>6273</v>
      </c>
      <c r="O2493" t="s">
        <v>22</v>
      </c>
      <c r="P2493">
        <v>92868</v>
      </c>
      <c r="Q2493">
        <v>3925</v>
      </c>
      <c r="R2493" t="s">
        <v>23</v>
      </c>
      <c r="S2493" s="1" t="s">
        <v>34218</v>
      </c>
    </row>
    <row r="2494" spans="1:19" x14ac:dyDescent="0.25">
      <c r="A2494">
        <v>100877826</v>
      </c>
      <c r="B2494" t="s">
        <v>6926</v>
      </c>
      <c r="C2494" t="s">
        <v>6927</v>
      </c>
      <c r="F2494" t="str">
        <f>"2186397672"</f>
        <v>2186397672</v>
      </c>
      <c r="G2494" t="s">
        <v>6928</v>
      </c>
      <c r="H2494" t="s">
        <v>6929</v>
      </c>
      <c r="I2494" t="s">
        <v>52</v>
      </c>
      <c r="J2494">
        <v>33898</v>
      </c>
      <c r="K2494">
        <v>7322</v>
      </c>
      <c r="L2494" t="s">
        <v>23</v>
      </c>
      <c r="M2494" t="s">
        <v>6928</v>
      </c>
      <c r="N2494" t="s">
        <v>6929</v>
      </c>
      <c r="O2494" t="s">
        <v>52</v>
      </c>
      <c r="P2494">
        <v>33898</v>
      </c>
      <c r="Q2494">
        <v>7322</v>
      </c>
      <c r="R2494" t="s">
        <v>23</v>
      </c>
      <c r="S2494" s="1" t="s">
        <v>34218</v>
      </c>
    </row>
    <row r="2495" spans="1:19" x14ac:dyDescent="0.25">
      <c r="A2495">
        <v>100839469</v>
      </c>
      <c r="B2495" t="s">
        <v>6930</v>
      </c>
      <c r="C2495" t="s">
        <v>1218</v>
      </c>
      <c r="F2495" t="str">
        <f>"3109279450"</f>
        <v>3109279450</v>
      </c>
      <c r="G2495" t="s">
        <v>6931</v>
      </c>
      <c r="H2495" t="s">
        <v>311</v>
      </c>
      <c r="I2495" t="s">
        <v>22</v>
      </c>
      <c r="J2495">
        <v>90802</v>
      </c>
      <c r="K2495">
        <v>5995</v>
      </c>
      <c r="L2495" t="s">
        <v>23</v>
      </c>
      <c r="M2495" t="s">
        <v>6931</v>
      </c>
      <c r="N2495" t="s">
        <v>311</v>
      </c>
      <c r="O2495" t="s">
        <v>22</v>
      </c>
      <c r="P2495">
        <v>90802</v>
      </c>
      <c r="Q2495">
        <v>5995</v>
      </c>
      <c r="R2495" t="s">
        <v>23</v>
      </c>
      <c r="S2495" s="1" t="s">
        <v>34218</v>
      </c>
    </row>
    <row r="2496" spans="1:19" x14ac:dyDescent="0.25">
      <c r="A2496">
        <v>101076386</v>
      </c>
      <c r="B2496" t="s">
        <v>6932</v>
      </c>
      <c r="C2496" t="s">
        <v>6933</v>
      </c>
      <c r="F2496" t="str">
        <f>"5413064091"</f>
        <v>5413064091</v>
      </c>
      <c r="G2496" t="s">
        <v>6934</v>
      </c>
      <c r="H2496" t="s">
        <v>2391</v>
      </c>
      <c r="I2496" t="s">
        <v>43</v>
      </c>
      <c r="J2496">
        <v>97701</v>
      </c>
      <c r="K2496">
        <v>8769</v>
      </c>
      <c r="L2496" t="s">
        <v>23</v>
      </c>
      <c r="M2496" t="s">
        <v>6934</v>
      </c>
      <c r="N2496" t="s">
        <v>2391</v>
      </c>
      <c r="O2496" t="s">
        <v>43</v>
      </c>
      <c r="P2496">
        <v>97701</v>
      </c>
      <c r="Q2496">
        <v>8769</v>
      </c>
      <c r="R2496" t="s">
        <v>23</v>
      </c>
      <c r="S2496" s="1" t="s">
        <v>34218</v>
      </c>
    </row>
    <row r="2497" spans="1:19" x14ac:dyDescent="0.25">
      <c r="A2497">
        <v>101088348</v>
      </c>
      <c r="B2497" t="s">
        <v>6935</v>
      </c>
      <c r="C2497" t="s">
        <v>436</v>
      </c>
      <c r="F2497" t="str">
        <f>"3103768110"</f>
        <v>3103768110</v>
      </c>
      <c r="G2497" t="s">
        <v>6936</v>
      </c>
      <c r="H2497" t="s">
        <v>6937</v>
      </c>
      <c r="I2497" t="s">
        <v>22</v>
      </c>
      <c r="J2497">
        <v>90254</v>
      </c>
      <c r="K2497">
        <v>2639</v>
      </c>
      <c r="L2497" t="s">
        <v>23</v>
      </c>
      <c r="M2497" t="s">
        <v>6936</v>
      </c>
      <c r="N2497" t="s">
        <v>6937</v>
      </c>
      <c r="O2497" t="s">
        <v>22</v>
      </c>
      <c r="P2497">
        <v>90254</v>
      </c>
      <c r="Q2497">
        <v>2639</v>
      </c>
      <c r="R2497" t="s">
        <v>23</v>
      </c>
      <c r="S2497" s="1" t="s">
        <v>34218</v>
      </c>
    </row>
    <row r="2498" spans="1:19" x14ac:dyDescent="0.25">
      <c r="A2498">
        <v>100687063</v>
      </c>
      <c r="B2498" t="s">
        <v>6938</v>
      </c>
      <c r="C2498" t="s">
        <v>498</v>
      </c>
      <c r="F2498" t="str">
        <f>"3034401080"</f>
        <v>3034401080</v>
      </c>
      <c r="G2498" t="s">
        <v>6939</v>
      </c>
      <c r="H2498" t="s">
        <v>423</v>
      </c>
      <c r="I2498" t="s">
        <v>71</v>
      </c>
      <c r="J2498">
        <v>80304</v>
      </c>
      <c r="K2498">
        <v>468</v>
      </c>
      <c r="L2498" t="s">
        <v>23</v>
      </c>
      <c r="M2498" t="s">
        <v>6939</v>
      </c>
      <c r="N2498" t="s">
        <v>423</v>
      </c>
      <c r="O2498" t="s">
        <v>71</v>
      </c>
      <c r="P2498">
        <v>80304</v>
      </c>
      <c r="Q2498">
        <v>468</v>
      </c>
      <c r="R2498" t="s">
        <v>23</v>
      </c>
      <c r="S2498" s="1" t="s">
        <v>34218</v>
      </c>
    </row>
    <row r="2499" spans="1:19" x14ac:dyDescent="0.25">
      <c r="A2499">
        <v>100894812</v>
      </c>
      <c r="B2499" t="s">
        <v>6940</v>
      </c>
      <c r="C2499" t="s">
        <v>6606</v>
      </c>
      <c r="F2499" t="str">
        <f>"3056246144"</f>
        <v>3056246144</v>
      </c>
      <c r="G2499" t="s">
        <v>6941</v>
      </c>
      <c r="H2499" t="s">
        <v>6942</v>
      </c>
      <c r="I2499" t="s">
        <v>52</v>
      </c>
      <c r="J2499">
        <v>33015</v>
      </c>
      <c r="K2499">
        <v>2163</v>
      </c>
      <c r="L2499" t="s">
        <v>23</v>
      </c>
      <c r="M2499" t="s">
        <v>6941</v>
      </c>
      <c r="N2499" t="s">
        <v>6942</v>
      </c>
      <c r="O2499" t="s">
        <v>52</v>
      </c>
      <c r="P2499">
        <v>33015</v>
      </c>
      <c r="Q2499">
        <v>2163</v>
      </c>
      <c r="R2499" t="s">
        <v>23</v>
      </c>
      <c r="S2499" s="1" t="s">
        <v>34218</v>
      </c>
    </row>
    <row r="2500" spans="1:19" x14ac:dyDescent="0.25">
      <c r="A2500">
        <v>100898968</v>
      </c>
      <c r="B2500" t="s">
        <v>6943</v>
      </c>
      <c r="C2500" t="s">
        <v>6944</v>
      </c>
      <c r="F2500" t="str">
        <f>"4017899184"</f>
        <v>4017899184</v>
      </c>
      <c r="G2500" t="s">
        <v>6945</v>
      </c>
      <c r="H2500" t="s">
        <v>6946</v>
      </c>
      <c r="I2500" t="s">
        <v>662</v>
      </c>
      <c r="J2500">
        <v>2882</v>
      </c>
      <c r="K2500">
        <v>3903</v>
      </c>
      <c r="L2500" t="s">
        <v>23</v>
      </c>
      <c r="M2500" t="s">
        <v>6945</v>
      </c>
      <c r="N2500" t="s">
        <v>6946</v>
      </c>
      <c r="O2500" t="s">
        <v>662</v>
      </c>
      <c r="P2500">
        <v>2882</v>
      </c>
      <c r="Q2500">
        <v>3903</v>
      </c>
      <c r="R2500" t="s">
        <v>23</v>
      </c>
      <c r="S2500" s="1" t="s">
        <v>34218</v>
      </c>
    </row>
    <row r="2501" spans="1:19" x14ac:dyDescent="0.25">
      <c r="A2501">
        <v>100895888</v>
      </c>
      <c r="B2501" t="s">
        <v>6947</v>
      </c>
      <c r="C2501" t="s">
        <v>90</v>
      </c>
      <c r="F2501" t="str">
        <f>"7753542761"</f>
        <v>7753542761</v>
      </c>
      <c r="G2501" t="s">
        <v>6948</v>
      </c>
      <c r="H2501" t="s">
        <v>1626</v>
      </c>
      <c r="I2501" t="s">
        <v>702</v>
      </c>
      <c r="J2501">
        <v>89436</v>
      </c>
      <c r="K2501">
        <v>8620</v>
      </c>
      <c r="L2501" t="s">
        <v>23</v>
      </c>
      <c r="M2501" t="s">
        <v>6948</v>
      </c>
      <c r="N2501" t="s">
        <v>1626</v>
      </c>
      <c r="O2501" t="s">
        <v>702</v>
      </c>
      <c r="P2501">
        <v>89436</v>
      </c>
      <c r="Q2501">
        <v>8620</v>
      </c>
      <c r="R2501" t="s">
        <v>23</v>
      </c>
      <c r="S2501" s="1" t="s">
        <v>34218</v>
      </c>
    </row>
    <row r="2502" spans="1:19" x14ac:dyDescent="0.25">
      <c r="A2502">
        <v>100914023</v>
      </c>
      <c r="B2502" t="s">
        <v>6949</v>
      </c>
      <c r="C2502" t="s">
        <v>2127</v>
      </c>
      <c r="F2502" t="str">
        <f>"3036934111"</f>
        <v>3036934111</v>
      </c>
      <c r="G2502" t="s">
        <v>6950</v>
      </c>
      <c r="H2502" t="s">
        <v>1579</v>
      </c>
      <c r="I2502" t="s">
        <v>71</v>
      </c>
      <c r="J2502">
        <v>80015</v>
      </c>
      <c r="K2502">
        <v>2174</v>
      </c>
      <c r="L2502" t="s">
        <v>23</v>
      </c>
      <c r="M2502" t="s">
        <v>6950</v>
      </c>
      <c r="N2502" t="s">
        <v>1579</v>
      </c>
      <c r="O2502" t="s">
        <v>71</v>
      </c>
      <c r="P2502">
        <v>80015</v>
      </c>
      <c r="Q2502">
        <v>2174</v>
      </c>
      <c r="R2502" t="s">
        <v>23</v>
      </c>
      <c r="S2502" s="1" t="s">
        <v>34218</v>
      </c>
    </row>
    <row r="2503" spans="1:19" x14ac:dyDescent="0.25">
      <c r="A2503">
        <v>101279314</v>
      </c>
      <c r="B2503" t="s">
        <v>6951</v>
      </c>
      <c r="C2503" t="s">
        <v>2547</v>
      </c>
      <c r="F2503" t="str">
        <f>"3104448888"</f>
        <v>3104448888</v>
      </c>
      <c r="G2503" t="s">
        <v>6952</v>
      </c>
      <c r="H2503" t="s">
        <v>1885</v>
      </c>
      <c r="I2503" t="s">
        <v>22</v>
      </c>
      <c r="J2503">
        <v>90278</v>
      </c>
      <c r="K2503">
        <v>4902</v>
      </c>
      <c r="L2503" t="s">
        <v>23</v>
      </c>
      <c r="M2503" t="s">
        <v>6952</v>
      </c>
      <c r="N2503" t="s">
        <v>1885</v>
      </c>
      <c r="O2503" t="s">
        <v>22</v>
      </c>
      <c r="P2503">
        <v>90278</v>
      </c>
      <c r="Q2503">
        <v>4902</v>
      </c>
      <c r="R2503" t="s">
        <v>23</v>
      </c>
      <c r="S2503" s="1" t="s">
        <v>34218</v>
      </c>
    </row>
    <row r="2504" spans="1:19" x14ac:dyDescent="0.25">
      <c r="A2504">
        <v>101275900</v>
      </c>
      <c r="B2504" t="s">
        <v>6598</v>
      </c>
      <c r="C2504" t="s">
        <v>1327</v>
      </c>
      <c r="F2504" t="str">
        <f>"8043531157"</f>
        <v>8043531157</v>
      </c>
      <c r="G2504" t="s">
        <v>6953</v>
      </c>
      <c r="H2504" t="s">
        <v>3466</v>
      </c>
      <c r="I2504" t="s">
        <v>255</v>
      </c>
      <c r="J2504">
        <v>23221</v>
      </c>
      <c r="K2504">
        <v>2416</v>
      </c>
      <c r="L2504" t="s">
        <v>23</v>
      </c>
      <c r="M2504" t="s">
        <v>6953</v>
      </c>
      <c r="N2504" t="s">
        <v>3466</v>
      </c>
      <c r="O2504" t="s">
        <v>255</v>
      </c>
      <c r="P2504">
        <v>23221</v>
      </c>
      <c r="Q2504">
        <v>2416</v>
      </c>
      <c r="R2504" t="s">
        <v>23</v>
      </c>
      <c r="S2504" s="1" t="s">
        <v>34218</v>
      </c>
    </row>
    <row r="2505" spans="1:19" x14ac:dyDescent="0.25">
      <c r="A2505">
        <v>101315467</v>
      </c>
      <c r="B2505" t="s">
        <v>6954</v>
      </c>
      <c r="C2505" t="s">
        <v>1002</v>
      </c>
      <c r="F2505" t="str">
        <f>"2063652692"</f>
        <v>2063652692</v>
      </c>
      <c r="G2505" t="s">
        <v>6955</v>
      </c>
      <c r="H2505" t="s">
        <v>1531</v>
      </c>
      <c r="I2505" t="s">
        <v>84</v>
      </c>
      <c r="J2505">
        <v>98125</v>
      </c>
      <c r="K2505">
        <v>6643</v>
      </c>
      <c r="L2505" t="s">
        <v>23</v>
      </c>
      <c r="M2505" t="s">
        <v>6955</v>
      </c>
      <c r="N2505" t="s">
        <v>1531</v>
      </c>
      <c r="O2505" t="s">
        <v>84</v>
      </c>
      <c r="P2505">
        <v>98125</v>
      </c>
      <c r="Q2505">
        <v>6643</v>
      </c>
      <c r="R2505" t="s">
        <v>23</v>
      </c>
      <c r="S2505" s="1" t="s">
        <v>34218</v>
      </c>
    </row>
    <row r="2506" spans="1:19" x14ac:dyDescent="0.25">
      <c r="A2506">
        <v>101325347</v>
      </c>
      <c r="B2506" t="s">
        <v>734</v>
      </c>
      <c r="C2506" t="s">
        <v>274</v>
      </c>
      <c r="F2506" t="str">
        <f>"4258836406"</f>
        <v>4258836406</v>
      </c>
      <c r="G2506" t="s">
        <v>6956</v>
      </c>
      <c r="H2506" t="s">
        <v>92</v>
      </c>
      <c r="I2506" t="s">
        <v>84</v>
      </c>
      <c r="J2506">
        <v>98005</v>
      </c>
      <c r="K2506">
        <v>1210</v>
      </c>
      <c r="L2506" t="s">
        <v>23</v>
      </c>
      <c r="M2506" t="s">
        <v>6956</v>
      </c>
      <c r="N2506" t="s">
        <v>92</v>
      </c>
      <c r="O2506" t="s">
        <v>84</v>
      </c>
      <c r="P2506">
        <v>98005</v>
      </c>
      <c r="Q2506">
        <v>1210</v>
      </c>
      <c r="R2506" t="s">
        <v>23</v>
      </c>
      <c r="S2506" s="1" t="s">
        <v>34218</v>
      </c>
    </row>
    <row r="2507" spans="1:19" x14ac:dyDescent="0.25">
      <c r="A2507">
        <v>101102790</v>
      </c>
      <c r="B2507" t="s">
        <v>6957</v>
      </c>
      <c r="C2507" t="s">
        <v>6958</v>
      </c>
      <c r="F2507" t="str">
        <f>"7609422329"</f>
        <v>7609422329</v>
      </c>
      <c r="G2507" t="s">
        <v>6959</v>
      </c>
      <c r="H2507" t="s">
        <v>1780</v>
      </c>
      <c r="I2507" t="s">
        <v>22</v>
      </c>
      <c r="J2507">
        <v>92024</v>
      </c>
      <c r="K2507">
        <v>1305</v>
      </c>
      <c r="L2507" t="s">
        <v>23</v>
      </c>
      <c r="M2507" t="s">
        <v>6959</v>
      </c>
      <c r="N2507" t="s">
        <v>1780</v>
      </c>
      <c r="O2507" t="s">
        <v>22</v>
      </c>
      <c r="P2507">
        <v>92024</v>
      </c>
      <c r="Q2507">
        <v>1305</v>
      </c>
      <c r="R2507" t="s">
        <v>23</v>
      </c>
      <c r="S2507" s="1" t="s">
        <v>34218</v>
      </c>
    </row>
    <row r="2508" spans="1:19" x14ac:dyDescent="0.25">
      <c r="A2508">
        <v>101108374</v>
      </c>
      <c r="B2508" t="s">
        <v>6960</v>
      </c>
      <c r="C2508" t="s">
        <v>1208</v>
      </c>
      <c r="F2508" t="str">
        <f>"3128482050"</f>
        <v>3128482050</v>
      </c>
      <c r="G2508" t="s">
        <v>6961</v>
      </c>
      <c r="H2508" t="s">
        <v>2601</v>
      </c>
      <c r="I2508" t="s">
        <v>22</v>
      </c>
      <c r="J2508">
        <v>93940</v>
      </c>
      <c r="K2508">
        <v>1909</v>
      </c>
      <c r="L2508" t="s">
        <v>23</v>
      </c>
      <c r="M2508" t="s">
        <v>6961</v>
      </c>
      <c r="N2508" t="s">
        <v>2601</v>
      </c>
      <c r="O2508" t="s">
        <v>22</v>
      </c>
      <c r="P2508">
        <v>93940</v>
      </c>
      <c r="Q2508">
        <v>1909</v>
      </c>
      <c r="R2508" t="s">
        <v>23</v>
      </c>
      <c r="S2508" s="1" t="s">
        <v>34218</v>
      </c>
    </row>
    <row r="2509" spans="1:19" x14ac:dyDescent="0.25">
      <c r="A2509">
        <v>101112864</v>
      </c>
      <c r="B2509" t="s">
        <v>6962</v>
      </c>
      <c r="C2509" t="s">
        <v>874</v>
      </c>
      <c r="F2509" t="str">
        <f>"5617913905"</f>
        <v>5617913905</v>
      </c>
      <c r="G2509" t="s">
        <v>6963</v>
      </c>
      <c r="H2509" t="s">
        <v>6964</v>
      </c>
      <c r="I2509" t="s">
        <v>52</v>
      </c>
      <c r="J2509">
        <v>33414</v>
      </c>
      <c r="K2509">
        <v>1018</v>
      </c>
      <c r="L2509" t="s">
        <v>23</v>
      </c>
      <c r="M2509" t="s">
        <v>6963</v>
      </c>
      <c r="N2509" t="s">
        <v>6964</v>
      </c>
      <c r="O2509" t="s">
        <v>52</v>
      </c>
      <c r="P2509">
        <v>33414</v>
      </c>
      <c r="Q2509">
        <v>1018</v>
      </c>
      <c r="R2509" t="s">
        <v>23</v>
      </c>
      <c r="S2509" s="1" t="s">
        <v>34218</v>
      </c>
    </row>
    <row r="2510" spans="1:19" x14ac:dyDescent="0.25">
      <c r="A2510">
        <v>101175048</v>
      </c>
      <c r="B2510" t="s">
        <v>744</v>
      </c>
      <c r="C2510" t="s">
        <v>1327</v>
      </c>
      <c r="F2510" t="str">
        <f>"7177572252"</f>
        <v>7177572252</v>
      </c>
      <c r="G2510" t="s">
        <v>6965</v>
      </c>
      <c r="H2510" t="s">
        <v>4527</v>
      </c>
      <c r="I2510" t="s">
        <v>33</v>
      </c>
      <c r="J2510">
        <v>17402</v>
      </c>
      <c r="K2510">
        <v>4139</v>
      </c>
      <c r="L2510" t="s">
        <v>23</v>
      </c>
      <c r="M2510" t="s">
        <v>6965</v>
      </c>
      <c r="N2510" t="s">
        <v>4527</v>
      </c>
      <c r="O2510" t="s">
        <v>33</v>
      </c>
      <c r="P2510">
        <v>17402</v>
      </c>
      <c r="Q2510">
        <v>4139</v>
      </c>
      <c r="R2510" t="s">
        <v>23</v>
      </c>
      <c r="S2510" s="1" t="s">
        <v>34218</v>
      </c>
    </row>
    <row r="2511" spans="1:19" x14ac:dyDescent="0.25">
      <c r="A2511">
        <v>101193817</v>
      </c>
      <c r="B2511" t="s">
        <v>928</v>
      </c>
      <c r="C2511" t="s">
        <v>158</v>
      </c>
      <c r="F2511" t="str">
        <f>"7137792822"</f>
        <v>7137792822</v>
      </c>
      <c r="G2511" t="s">
        <v>6966</v>
      </c>
      <c r="H2511" t="s">
        <v>1402</v>
      </c>
      <c r="I2511" t="s">
        <v>38</v>
      </c>
      <c r="J2511">
        <v>77096</v>
      </c>
      <c r="K2511">
        <v>2107</v>
      </c>
      <c r="L2511" t="s">
        <v>23</v>
      </c>
      <c r="M2511" t="s">
        <v>6966</v>
      </c>
      <c r="N2511" t="s">
        <v>1402</v>
      </c>
      <c r="O2511" t="s">
        <v>38</v>
      </c>
      <c r="P2511">
        <v>77096</v>
      </c>
      <c r="Q2511">
        <v>2107</v>
      </c>
      <c r="R2511" t="s">
        <v>23</v>
      </c>
      <c r="S2511" s="1" t="s">
        <v>34218</v>
      </c>
    </row>
    <row r="2512" spans="1:19" x14ac:dyDescent="0.25">
      <c r="A2512">
        <v>100537653</v>
      </c>
      <c r="B2512" t="s">
        <v>3596</v>
      </c>
      <c r="C2512" t="s">
        <v>6967</v>
      </c>
      <c r="F2512" t="str">
        <f>"3302252053"</f>
        <v>3302252053</v>
      </c>
      <c r="G2512" t="s">
        <v>6968</v>
      </c>
      <c r="H2512" t="s">
        <v>2749</v>
      </c>
      <c r="I2512" t="s">
        <v>178</v>
      </c>
      <c r="J2512" t="s">
        <v>6969</v>
      </c>
      <c r="K2512">
        <v>4071</v>
      </c>
      <c r="L2512" t="s">
        <v>23</v>
      </c>
      <c r="M2512" t="s">
        <v>6968</v>
      </c>
      <c r="N2512" t="s">
        <v>2749</v>
      </c>
      <c r="O2512" t="s">
        <v>178</v>
      </c>
      <c r="P2512" t="s">
        <v>6969</v>
      </c>
      <c r="Q2512">
        <v>4071</v>
      </c>
      <c r="R2512" t="s">
        <v>23</v>
      </c>
      <c r="S2512" s="1" t="s">
        <v>34218</v>
      </c>
    </row>
    <row r="2513" spans="1:19" x14ac:dyDescent="0.25">
      <c r="A2513">
        <v>101296861</v>
      </c>
      <c r="B2513" t="s">
        <v>3505</v>
      </c>
      <c r="C2513" t="s">
        <v>1422</v>
      </c>
      <c r="F2513" t="str">
        <f>"2022308805"</f>
        <v>2022308805</v>
      </c>
      <c r="G2513" t="s">
        <v>6970</v>
      </c>
      <c r="H2513" t="s">
        <v>560</v>
      </c>
      <c r="I2513" t="s">
        <v>148</v>
      </c>
      <c r="J2513">
        <v>20852</v>
      </c>
      <c r="K2513">
        <v>4803</v>
      </c>
      <c r="L2513" t="s">
        <v>23</v>
      </c>
      <c r="M2513" t="s">
        <v>6970</v>
      </c>
      <c r="N2513" t="s">
        <v>560</v>
      </c>
      <c r="O2513" t="s">
        <v>148</v>
      </c>
      <c r="P2513">
        <v>20852</v>
      </c>
      <c r="Q2513">
        <v>4803</v>
      </c>
      <c r="R2513" t="s">
        <v>23</v>
      </c>
      <c r="S2513" s="1" t="s">
        <v>34218</v>
      </c>
    </row>
    <row r="2514" spans="1:19" x14ac:dyDescent="0.25">
      <c r="A2514">
        <v>100624534</v>
      </c>
      <c r="B2514" t="s">
        <v>6971</v>
      </c>
      <c r="C2514" t="s">
        <v>158</v>
      </c>
      <c r="F2514" t="str">
        <f>"9077475985"</f>
        <v>9077475985</v>
      </c>
      <c r="G2514" t="s">
        <v>6972</v>
      </c>
      <c r="H2514" t="s">
        <v>6973</v>
      </c>
      <c r="I2514" t="s">
        <v>2566</v>
      </c>
      <c r="J2514">
        <v>99835</v>
      </c>
      <c r="K2514">
        <v>7235</v>
      </c>
      <c r="L2514" t="s">
        <v>23</v>
      </c>
      <c r="M2514" t="s">
        <v>6972</v>
      </c>
      <c r="N2514" t="s">
        <v>6973</v>
      </c>
      <c r="O2514" t="s">
        <v>2566</v>
      </c>
      <c r="P2514">
        <v>99835</v>
      </c>
      <c r="Q2514">
        <v>7235</v>
      </c>
      <c r="R2514" t="s">
        <v>23</v>
      </c>
      <c r="S2514" s="1" t="s">
        <v>34218</v>
      </c>
    </row>
    <row r="2515" spans="1:19" x14ac:dyDescent="0.25">
      <c r="A2515">
        <v>100657772</v>
      </c>
      <c r="B2515" t="s">
        <v>3089</v>
      </c>
      <c r="C2515" t="s">
        <v>382</v>
      </c>
      <c r="F2515" t="str">
        <f>"4155098117"</f>
        <v>4155098117</v>
      </c>
      <c r="G2515" t="s">
        <v>6974</v>
      </c>
      <c r="H2515" t="s">
        <v>5278</v>
      </c>
      <c r="I2515" t="s">
        <v>22</v>
      </c>
      <c r="J2515">
        <v>94401</v>
      </c>
      <c r="K2515">
        <v>1213</v>
      </c>
      <c r="L2515" t="s">
        <v>23</v>
      </c>
      <c r="M2515" t="s">
        <v>6974</v>
      </c>
      <c r="N2515" t="s">
        <v>5278</v>
      </c>
      <c r="O2515" t="s">
        <v>22</v>
      </c>
      <c r="P2515">
        <v>94401</v>
      </c>
      <c r="Q2515">
        <v>1213</v>
      </c>
      <c r="R2515" t="s">
        <v>23</v>
      </c>
      <c r="S2515" s="1" t="s">
        <v>34218</v>
      </c>
    </row>
    <row r="2516" spans="1:19" x14ac:dyDescent="0.25">
      <c r="A2516">
        <v>100870531</v>
      </c>
      <c r="B2516" t="s">
        <v>6975</v>
      </c>
      <c r="C2516" t="s">
        <v>81</v>
      </c>
      <c r="F2516" t="str">
        <f>"4067772487"</f>
        <v>4067772487</v>
      </c>
      <c r="G2516" t="s">
        <v>6976</v>
      </c>
      <c r="H2516" t="s">
        <v>4863</v>
      </c>
      <c r="I2516" t="s">
        <v>1000</v>
      </c>
      <c r="J2516">
        <v>59870</v>
      </c>
      <c r="K2516">
        <v>6913</v>
      </c>
      <c r="L2516" t="s">
        <v>23</v>
      </c>
      <c r="M2516" t="s">
        <v>6976</v>
      </c>
      <c r="N2516" t="s">
        <v>4863</v>
      </c>
      <c r="O2516" t="s">
        <v>1000</v>
      </c>
      <c r="P2516">
        <v>59870</v>
      </c>
      <c r="Q2516">
        <v>6913</v>
      </c>
      <c r="R2516" t="s">
        <v>23</v>
      </c>
      <c r="S2516" s="1" t="s">
        <v>34218</v>
      </c>
    </row>
    <row r="2517" spans="1:19" x14ac:dyDescent="0.25">
      <c r="A2517">
        <v>100528741</v>
      </c>
      <c r="B2517" t="s">
        <v>6977</v>
      </c>
      <c r="C2517" t="s">
        <v>2151</v>
      </c>
      <c r="F2517" t="str">
        <f>"4127884017"</f>
        <v>4127884017</v>
      </c>
      <c r="G2517" t="s">
        <v>6978</v>
      </c>
      <c r="H2517" t="s">
        <v>6979</v>
      </c>
      <c r="I2517" t="s">
        <v>33</v>
      </c>
      <c r="J2517">
        <v>15136</v>
      </c>
      <c r="K2517">
        <v>1415</v>
      </c>
      <c r="L2517" t="s">
        <v>23</v>
      </c>
      <c r="M2517" t="s">
        <v>6978</v>
      </c>
      <c r="N2517" t="s">
        <v>6979</v>
      </c>
      <c r="O2517" t="s">
        <v>33</v>
      </c>
      <c r="P2517">
        <v>15136</v>
      </c>
      <c r="Q2517">
        <v>1415</v>
      </c>
      <c r="R2517" t="s">
        <v>23</v>
      </c>
      <c r="S2517" s="1" t="s">
        <v>34218</v>
      </c>
    </row>
    <row r="2518" spans="1:19" x14ac:dyDescent="0.25">
      <c r="A2518">
        <v>100748491</v>
      </c>
      <c r="B2518" t="s">
        <v>6980</v>
      </c>
      <c r="C2518" t="s">
        <v>699</v>
      </c>
      <c r="F2518" t="str">
        <f>"6084456915"</f>
        <v>6084456915</v>
      </c>
      <c r="G2518" t="s">
        <v>6981</v>
      </c>
      <c r="H2518" t="s">
        <v>2375</v>
      </c>
      <c r="I2518" t="s">
        <v>100</v>
      </c>
      <c r="J2518">
        <v>53711</v>
      </c>
      <c r="K2518">
        <v>3138</v>
      </c>
      <c r="L2518" t="s">
        <v>23</v>
      </c>
      <c r="M2518" t="s">
        <v>6981</v>
      </c>
      <c r="N2518" t="s">
        <v>2375</v>
      </c>
      <c r="O2518" t="s">
        <v>100</v>
      </c>
      <c r="P2518">
        <v>53711</v>
      </c>
      <c r="Q2518">
        <v>3138</v>
      </c>
      <c r="R2518" t="s">
        <v>23</v>
      </c>
      <c r="S2518" s="1" t="s">
        <v>34218</v>
      </c>
    </row>
    <row r="2519" spans="1:19" x14ac:dyDescent="0.25">
      <c r="A2519">
        <v>100722925</v>
      </c>
      <c r="B2519" t="s">
        <v>1868</v>
      </c>
      <c r="C2519" t="s">
        <v>1327</v>
      </c>
      <c r="F2519" t="str">
        <f>"6103980744"</f>
        <v>6103980744</v>
      </c>
      <c r="G2519" t="s">
        <v>6982</v>
      </c>
      <c r="H2519" t="s">
        <v>3827</v>
      </c>
      <c r="I2519" t="s">
        <v>33</v>
      </c>
      <c r="J2519">
        <v>18062</v>
      </c>
      <c r="K2519">
        <v>9021</v>
      </c>
      <c r="L2519" t="s">
        <v>23</v>
      </c>
      <c r="M2519" t="s">
        <v>6982</v>
      </c>
      <c r="N2519" t="s">
        <v>3827</v>
      </c>
      <c r="O2519" t="s">
        <v>33</v>
      </c>
      <c r="P2519">
        <v>18062</v>
      </c>
      <c r="Q2519">
        <v>9021</v>
      </c>
      <c r="R2519" t="s">
        <v>23</v>
      </c>
      <c r="S2519" s="1" t="s">
        <v>34218</v>
      </c>
    </row>
    <row r="2520" spans="1:19" x14ac:dyDescent="0.25">
      <c r="A2520">
        <v>100730878</v>
      </c>
      <c r="B2520" t="s">
        <v>6983</v>
      </c>
      <c r="C2520" t="s">
        <v>6984</v>
      </c>
      <c r="F2520" t="str">
        <f>"8054668355"</f>
        <v>8054668355</v>
      </c>
      <c r="G2520" t="s">
        <v>6985</v>
      </c>
      <c r="H2520" t="s">
        <v>315</v>
      </c>
      <c r="I2520" t="s">
        <v>22</v>
      </c>
      <c r="J2520">
        <v>93422</v>
      </c>
      <c r="K2520">
        <v>4122</v>
      </c>
      <c r="L2520" t="s">
        <v>23</v>
      </c>
      <c r="M2520" t="s">
        <v>6985</v>
      </c>
      <c r="N2520" t="s">
        <v>315</v>
      </c>
      <c r="O2520" t="s">
        <v>22</v>
      </c>
      <c r="P2520">
        <v>93422</v>
      </c>
      <c r="Q2520">
        <v>4122</v>
      </c>
      <c r="R2520" t="s">
        <v>23</v>
      </c>
      <c r="S2520" s="1" t="s">
        <v>34218</v>
      </c>
    </row>
    <row r="2521" spans="1:19" x14ac:dyDescent="0.25">
      <c r="A2521">
        <v>100729603</v>
      </c>
      <c r="B2521" t="s">
        <v>6986</v>
      </c>
      <c r="C2521" t="s">
        <v>867</v>
      </c>
      <c r="F2521" t="str">
        <f>"9203623625"</f>
        <v>9203623625</v>
      </c>
      <c r="G2521" t="s">
        <v>6987</v>
      </c>
      <c r="H2521" t="s">
        <v>5626</v>
      </c>
      <c r="I2521" t="s">
        <v>100</v>
      </c>
      <c r="J2521">
        <v>54304</v>
      </c>
      <c r="K2521">
        <v>2555</v>
      </c>
      <c r="L2521" t="s">
        <v>23</v>
      </c>
      <c r="M2521" t="s">
        <v>6987</v>
      </c>
      <c r="N2521" t="s">
        <v>5626</v>
      </c>
      <c r="O2521" t="s">
        <v>100</v>
      </c>
      <c r="P2521">
        <v>54304</v>
      </c>
      <c r="Q2521">
        <v>2555</v>
      </c>
      <c r="R2521" t="s">
        <v>23</v>
      </c>
      <c r="S2521" s="1" t="s">
        <v>34218</v>
      </c>
    </row>
    <row r="2522" spans="1:19" x14ac:dyDescent="0.25">
      <c r="A2522">
        <v>100774107</v>
      </c>
      <c r="B2522" t="s">
        <v>4959</v>
      </c>
      <c r="C2522" t="s">
        <v>1623</v>
      </c>
      <c r="F2522" t="str">
        <f>"5713332553"</f>
        <v>5713332553</v>
      </c>
      <c r="G2522" t="s">
        <v>6988</v>
      </c>
      <c r="H2522" t="s">
        <v>4420</v>
      </c>
      <c r="I2522" t="s">
        <v>255</v>
      </c>
      <c r="J2522">
        <v>20176</v>
      </c>
      <c r="K2522">
        <v>1836</v>
      </c>
      <c r="L2522" t="s">
        <v>23</v>
      </c>
      <c r="M2522" t="s">
        <v>6988</v>
      </c>
      <c r="N2522" t="s">
        <v>4420</v>
      </c>
      <c r="O2522" t="s">
        <v>255</v>
      </c>
      <c r="P2522">
        <v>20176</v>
      </c>
      <c r="Q2522">
        <v>1836</v>
      </c>
      <c r="R2522" t="s">
        <v>23</v>
      </c>
      <c r="S2522" s="1" t="s">
        <v>34218</v>
      </c>
    </row>
    <row r="2523" spans="1:19" x14ac:dyDescent="0.25">
      <c r="A2523">
        <v>100778022</v>
      </c>
      <c r="B2523" t="s">
        <v>6989</v>
      </c>
      <c r="C2523" t="s">
        <v>49</v>
      </c>
      <c r="F2523" t="str">
        <f>"7203794909"</f>
        <v>7203794909</v>
      </c>
      <c r="G2523" t="s">
        <v>6990</v>
      </c>
      <c r="H2523" t="s">
        <v>3798</v>
      </c>
      <c r="I2523" t="s">
        <v>71</v>
      </c>
      <c r="J2523">
        <v>80602</v>
      </c>
      <c r="K2523">
        <v>9229</v>
      </c>
      <c r="L2523" t="s">
        <v>23</v>
      </c>
      <c r="M2523" t="s">
        <v>6990</v>
      </c>
      <c r="N2523" t="s">
        <v>3798</v>
      </c>
      <c r="O2523" t="s">
        <v>71</v>
      </c>
      <c r="P2523">
        <v>80602</v>
      </c>
      <c r="Q2523">
        <v>9229</v>
      </c>
      <c r="R2523" t="s">
        <v>23</v>
      </c>
      <c r="S2523" s="1" t="s">
        <v>34218</v>
      </c>
    </row>
    <row r="2524" spans="1:19" x14ac:dyDescent="0.25">
      <c r="A2524">
        <v>100968645</v>
      </c>
      <c r="B2524" t="s">
        <v>6991</v>
      </c>
      <c r="C2524" t="s">
        <v>119</v>
      </c>
      <c r="F2524" t="str">
        <f>"6514894123"</f>
        <v>6514894123</v>
      </c>
      <c r="G2524" t="s">
        <v>6992</v>
      </c>
      <c r="H2524" t="s">
        <v>1405</v>
      </c>
      <c r="I2524" t="s">
        <v>187</v>
      </c>
      <c r="J2524">
        <v>55117</v>
      </c>
      <c r="K2524">
        <v>3586</v>
      </c>
      <c r="L2524" t="s">
        <v>23</v>
      </c>
      <c r="M2524" t="s">
        <v>6992</v>
      </c>
      <c r="N2524" t="s">
        <v>1405</v>
      </c>
      <c r="O2524" t="s">
        <v>187</v>
      </c>
      <c r="P2524">
        <v>55117</v>
      </c>
      <c r="Q2524">
        <v>3586</v>
      </c>
      <c r="R2524" t="s">
        <v>23</v>
      </c>
      <c r="S2524" s="1" t="s">
        <v>34218</v>
      </c>
    </row>
    <row r="2525" spans="1:19" x14ac:dyDescent="0.25">
      <c r="A2525">
        <v>100808843</v>
      </c>
      <c r="B2525" t="s">
        <v>6993</v>
      </c>
      <c r="C2525" t="s">
        <v>172</v>
      </c>
      <c r="F2525" t="str">
        <f>"6092873035"</f>
        <v>6092873035</v>
      </c>
      <c r="G2525" t="s">
        <v>6994</v>
      </c>
      <c r="H2525" t="s">
        <v>6995</v>
      </c>
      <c r="I2525" t="s">
        <v>33</v>
      </c>
      <c r="J2525">
        <v>19036</v>
      </c>
      <c r="K2525">
        <v>1414</v>
      </c>
      <c r="L2525" t="s">
        <v>23</v>
      </c>
      <c r="M2525" t="s">
        <v>6994</v>
      </c>
      <c r="N2525" t="s">
        <v>6995</v>
      </c>
      <c r="O2525" t="s">
        <v>33</v>
      </c>
      <c r="P2525">
        <v>19036</v>
      </c>
      <c r="Q2525">
        <v>1414</v>
      </c>
      <c r="R2525" t="s">
        <v>23</v>
      </c>
      <c r="S2525" s="1" t="s">
        <v>34218</v>
      </c>
    </row>
    <row r="2526" spans="1:19" x14ac:dyDescent="0.25">
      <c r="A2526">
        <v>100651570</v>
      </c>
      <c r="B2526" t="s">
        <v>6996</v>
      </c>
      <c r="C2526" t="s">
        <v>6997</v>
      </c>
      <c r="F2526" t="str">
        <f>"6512452138"</f>
        <v>6512452138</v>
      </c>
      <c r="G2526" t="s">
        <v>6998</v>
      </c>
      <c r="H2526" t="s">
        <v>6999</v>
      </c>
      <c r="I2526" t="s">
        <v>187</v>
      </c>
      <c r="J2526">
        <v>55109</v>
      </c>
      <c r="K2526">
        <v>2430</v>
      </c>
      <c r="L2526" t="s">
        <v>23</v>
      </c>
      <c r="M2526" t="s">
        <v>6998</v>
      </c>
      <c r="N2526" t="s">
        <v>6999</v>
      </c>
      <c r="O2526" t="s">
        <v>187</v>
      </c>
      <c r="P2526">
        <v>55109</v>
      </c>
      <c r="Q2526">
        <v>2430</v>
      </c>
      <c r="R2526" t="s">
        <v>23</v>
      </c>
      <c r="S2526" s="1" t="s">
        <v>34218</v>
      </c>
    </row>
    <row r="2527" spans="1:19" x14ac:dyDescent="0.25">
      <c r="A2527">
        <v>100705236</v>
      </c>
      <c r="B2527" t="s">
        <v>7000</v>
      </c>
      <c r="C2527" t="s">
        <v>4103</v>
      </c>
      <c r="F2527" t="str">
        <f>"6313684577"</f>
        <v>6313684577</v>
      </c>
      <c r="G2527" t="s">
        <v>7001</v>
      </c>
      <c r="H2527" t="s">
        <v>7002</v>
      </c>
      <c r="I2527" t="s">
        <v>117</v>
      </c>
      <c r="J2527">
        <v>11743</v>
      </c>
      <c r="K2527">
        <v>5725</v>
      </c>
      <c r="L2527" t="s">
        <v>23</v>
      </c>
      <c r="M2527" t="s">
        <v>7001</v>
      </c>
      <c r="N2527" t="s">
        <v>7002</v>
      </c>
      <c r="O2527" t="s">
        <v>117</v>
      </c>
      <c r="P2527">
        <v>11743</v>
      </c>
      <c r="Q2527">
        <v>5725</v>
      </c>
      <c r="R2527" t="s">
        <v>23</v>
      </c>
      <c r="S2527" s="1" t="s">
        <v>34218</v>
      </c>
    </row>
    <row r="2528" spans="1:19" x14ac:dyDescent="0.25">
      <c r="A2528">
        <v>100915856</v>
      </c>
      <c r="B2528" t="s">
        <v>3123</v>
      </c>
      <c r="C2528" t="s">
        <v>7003</v>
      </c>
      <c r="F2528" t="str">
        <f>"4807229461"</f>
        <v>4807229461</v>
      </c>
      <c r="G2528" t="s">
        <v>7004</v>
      </c>
      <c r="H2528" t="s">
        <v>3766</v>
      </c>
      <c r="I2528" t="s">
        <v>365</v>
      </c>
      <c r="J2528">
        <v>85246</v>
      </c>
      <c r="K2528">
        <v>6164</v>
      </c>
      <c r="L2528" t="s">
        <v>23</v>
      </c>
      <c r="M2528" t="s">
        <v>7004</v>
      </c>
      <c r="N2528" t="s">
        <v>3766</v>
      </c>
      <c r="O2528" t="s">
        <v>365</v>
      </c>
      <c r="P2528">
        <v>85246</v>
      </c>
      <c r="Q2528">
        <v>6164</v>
      </c>
      <c r="R2528" t="s">
        <v>23</v>
      </c>
      <c r="S2528" s="1" t="s">
        <v>34218</v>
      </c>
    </row>
    <row r="2529" spans="1:19" x14ac:dyDescent="0.25">
      <c r="A2529">
        <v>101096546</v>
      </c>
      <c r="B2529" t="s">
        <v>1164</v>
      </c>
      <c r="C2529" t="s">
        <v>1205</v>
      </c>
      <c r="F2529" t="str">
        <f>"4159027795"</f>
        <v>4159027795</v>
      </c>
      <c r="G2529" t="s">
        <v>7005</v>
      </c>
      <c r="H2529" t="s">
        <v>130</v>
      </c>
      <c r="I2529" t="s">
        <v>22</v>
      </c>
      <c r="J2529">
        <v>94118</v>
      </c>
      <c r="K2529">
        <v>4008</v>
      </c>
      <c r="L2529" t="s">
        <v>23</v>
      </c>
      <c r="M2529" t="s">
        <v>7005</v>
      </c>
      <c r="N2529" t="s">
        <v>130</v>
      </c>
      <c r="O2529" t="s">
        <v>22</v>
      </c>
      <c r="P2529">
        <v>94118</v>
      </c>
      <c r="Q2529">
        <v>4008</v>
      </c>
      <c r="R2529" t="s">
        <v>23</v>
      </c>
      <c r="S2529" s="1" t="s">
        <v>34218</v>
      </c>
    </row>
    <row r="2530" spans="1:19" x14ac:dyDescent="0.25">
      <c r="A2530">
        <v>100881368</v>
      </c>
      <c r="B2530" t="s">
        <v>7006</v>
      </c>
      <c r="C2530" t="s">
        <v>1588</v>
      </c>
      <c r="F2530" t="str">
        <f>"6106922633"</f>
        <v>6106922633</v>
      </c>
      <c r="G2530" t="s">
        <v>7007</v>
      </c>
      <c r="H2530" t="s">
        <v>3862</v>
      </c>
      <c r="I2530" t="s">
        <v>33</v>
      </c>
      <c r="J2530">
        <v>19380</v>
      </c>
      <c r="K2530">
        <v>5672</v>
      </c>
      <c r="L2530" t="s">
        <v>23</v>
      </c>
      <c r="M2530" t="s">
        <v>7007</v>
      </c>
      <c r="N2530" t="s">
        <v>3862</v>
      </c>
      <c r="O2530" t="s">
        <v>33</v>
      </c>
      <c r="P2530">
        <v>19380</v>
      </c>
      <c r="Q2530">
        <v>5672</v>
      </c>
      <c r="R2530" t="s">
        <v>23</v>
      </c>
      <c r="S2530" s="1" t="s">
        <v>34218</v>
      </c>
    </row>
    <row r="2531" spans="1:19" x14ac:dyDescent="0.25">
      <c r="A2531">
        <v>100890349</v>
      </c>
      <c r="B2531" t="s">
        <v>7008</v>
      </c>
      <c r="C2531" t="s">
        <v>7009</v>
      </c>
      <c r="F2531" t="str">
        <f>"7068640921"</f>
        <v>7068640921</v>
      </c>
      <c r="G2531" t="s">
        <v>7010</v>
      </c>
      <c r="H2531" t="s">
        <v>7011</v>
      </c>
      <c r="I2531" t="s">
        <v>28</v>
      </c>
      <c r="J2531">
        <v>30533</v>
      </c>
      <c r="K2531">
        <v>5410</v>
      </c>
      <c r="L2531" t="s">
        <v>23</v>
      </c>
      <c r="M2531" t="s">
        <v>7010</v>
      </c>
      <c r="N2531" t="s">
        <v>7011</v>
      </c>
      <c r="O2531" t="s">
        <v>28</v>
      </c>
      <c r="P2531">
        <v>30533</v>
      </c>
      <c r="Q2531">
        <v>5410</v>
      </c>
      <c r="R2531" t="s">
        <v>23</v>
      </c>
      <c r="S2531" s="1" t="s">
        <v>34218</v>
      </c>
    </row>
    <row r="2532" spans="1:19" x14ac:dyDescent="0.25">
      <c r="A2532">
        <v>101046853</v>
      </c>
      <c r="B2532" t="s">
        <v>5893</v>
      </c>
      <c r="C2532" t="s">
        <v>664</v>
      </c>
      <c r="F2532" t="str">
        <f>"3605771558"</f>
        <v>3605771558</v>
      </c>
      <c r="G2532" t="s">
        <v>7012</v>
      </c>
      <c r="H2532" t="s">
        <v>1500</v>
      </c>
      <c r="I2532" t="s">
        <v>84</v>
      </c>
      <c r="J2532">
        <v>98626</v>
      </c>
      <c r="K2532">
        <v>1813</v>
      </c>
      <c r="L2532" t="s">
        <v>23</v>
      </c>
      <c r="M2532" t="s">
        <v>7012</v>
      </c>
      <c r="N2532" t="s">
        <v>1500</v>
      </c>
      <c r="O2532" t="s">
        <v>84</v>
      </c>
      <c r="P2532">
        <v>98626</v>
      </c>
      <c r="Q2532">
        <v>1813</v>
      </c>
      <c r="R2532" t="s">
        <v>23</v>
      </c>
      <c r="S2532" s="1" t="s">
        <v>34218</v>
      </c>
    </row>
    <row r="2533" spans="1:19" x14ac:dyDescent="0.25">
      <c r="A2533">
        <v>101059747</v>
      </c>
      <c r="B2533" t="s">
        <v>7013</v>
      </c>
      <c r="C2533" t="s">
        <v>585</v>
      </c>
      <c r="F2533" t="str">
        <f>"2087264962"</f>
        <v>2087264962</v>
      </c>
      <c r="G2533" t="s">
        <v>7014</v>
      </c>
      <c r="H2533" t="s">
        <v>7015</v>
      </c>
      <c r="I2533" t="s">
        <v>348</v>
      </c>
      <c r="J2533">
        <v>83340</v>
      </c>
      <c r="K2533">
        <v>49</v>
      </c>
      <c r="L2533" t="s">
        <v>23</v>
      </c>
      <c r="M2533" t="s">
        <v>7014</v>
      </c>
      <c r="N2533" t="s">
        <v>7015</v>
      </c>
      <c r="O2533" t="s">
        <v>348</v>
      </c>
      <c r="P2533">
        <v>83340</v>
      </c>
      <c r="Q2533">
        <v>49</v>
      </c>
      <c r="R2533" t="s">
        <v>23</v>
      </c>
      <c r="S2533" s="1" t="s">
        <v>34218</v>
      </c>
    </row>
    <row r="2534" spans="1:19" x14ac:dyDescent="0.25">
      <c r="A2534">
        <v>101274975</v>
      </c>
      <c r="B2534" t="s">
        <v>7016</v>
      </c>
      <c r="C2534" t="s">
        <v>180</v>
      </c>
      <c r="F2534" t="str">
        <f>"9138399449"</f>
        <v>9138399449</v>
      </c>
      <c r="G2534" t="s">
        <v>7017</v>
      </c>
      <c r="H2534" t="s">
        <v>7018</v>
      </c>
      <c r="I2534" t="s">
        <v>241</v>
      </c>
      <c r="J2534">
        <v>66062</v>
      </c>
      <c r="K2534">
        <v>6753</v>
      </c>
      <c r="L2534" t="s">
        <v>23</v>
      </c>
      <c r="M2534" t="s">
        <v>7017</v>
      </c>
      <c r="N2534" t="s">
        <v>7018</v>
      </c>
      <c r="O2534" t="s">
        <v>241</v>
      </c>
      <c r="P2534">
        <v>66062</v>
      </c>
      <c r="Q2534">
        <v>6753</v>
      </c>
      <c r="R2534" t="s">
        <v>23</v>
      </c>
      <c r="S2534" s="1" t="s">
        <v>34218</v>
      </c>
    </row>
    <row r="2535" spans="1:19" x14ac:dyDescent="0.25">
      <c r="A2535">
        <v>101275779</v>
      </c>
      <c r="B2535" t="s">
        <v>7019</v>
      </c>
      <c r="C2535" t="s">
        <v>252</v>
      </c>
      <c r="F2535" t="str">
        <f>"5038474806"</f>
        <v>5038474806</v>
      </c>
      <c r="G2535" t="s">
        <v>7020</v>
      </c>
      <c r="H2535" t="s">
        <v>227</v>
      </c>
      <c r="I2535" t="s">
        <v>43</v>
      </c>
      <c r="J2535">
        <v>97206</v>
      </c>
      <c r="K2535">
        <v>4117</v>
      </c>
      <c r="L2535" t="s">
        <v>23</v>
      </c>
      <c r="M2535" t="s">
        <v>7020</v>
      </c>
      <c r="N2535" t="s">
        <v>227</v>
      </c>
      <c r="O2535" t="s">
        <v>43</v>
      </c>
      <c r="P2535">
        <v>97206</v>
      </c>
      <c r="Q2535">
        <v>4117</v>
      </c>
      <c r="R2535" t="s">
        <v>23</v>
      </c>
      <c r="S2535" s="1" t="s">
        <v>34218</v>
      </c>
    </row>
    <row r="2536" spans="1:19" x14ac:dyDescent="0.25">
      <c r="A2536">
        <v>101281491</v>
      </c>
      <c r="B2536" t="s">
        <v>7021</v>
      </c>
      <c r="C2536" t="s">
        <v>7022</v>
      </c>
      <c r="F2536" t="str">
        <f>"5612129724"</f>
        <v>5612129724</v>
      </c>
      <c r="G2536" t="s">
        <v>7023</v>
      </c>
      <c r="H2536" t="s">
        <v>2640</v>
      </c>
      <c r="I2536" t="s">
        <v>52</v>
      </c>
      <c r="J2536">
        <v>33486</v>
      </c>
      <c r="K2536">
        <v>1451</v>
      </c>
      <c r="L2536" t="s">
        <v>23</v>
      </c>
      <c r="M2536" t="s">
        <v>7023</v>
      </c>
      <c r="N2536" t="s">
        <v>2640</v>
      </c>
      <c r="O2536" t="s">
        <v>52</v>
      </c>
      <c r="P2536">
        <v>33486</v>
      </c>
      <c r="Q2536">
        <v>1451</v>
      </c>
      <c r="R2536" t="s">
        <v>23</v>
      </c>
      <c r="S2536" s="1" t="s">
        <v>34218</v>
      </c>
    </row>
    <row r="2537" spans="1:19" x14ac:dyDescent="0.25">
      <c r="A2537">
        <v>101282753</v>
      </c>
      <c r="B2537" t="s">
        <v>6027</v>
      </c>
      <c r="C2537" t="s">
        <v>3747</v>
      </c>
      <c r="F2537" t="str">
        <f>"7184737373"</f>
        <v>7184737373</v>
      </c>
      <c r="G2537" t="s">
        <v>7024</v>
      </c>
      <c r="H2537" t="s">
        <v>412</v>
      </c>
      <c r="I2537" t="s">
        <v>117</v>
      </c>
      <c r="J2537">
        <v>11209</v>
      </c>
      <c r="K2537">
        <v>8026</v>
      </c>
      <c r="L2537" t="s">
        <v>23</v>
      </c>
      <c r="M2537" t="s">
        <v>7024</v>
      </c>
      <c r="N2537" t="s">
        <v>412</v>
      </c>
      <c r="O2537" t="s">
        <v>117</v>
      </c>
      <c r="P2537">
        <v>11209</v>
      </c>
      <c r="Q2537">
        <v>8026</v>
      </c>
      <c r="R2537" t="s">
        <v>23</v>
      </c>
      <c r="S2537" s="1" t="s">
        <v>34218</v>
      </c>
    </row>
    <row r="2538" spans="1:19" x14ac:dyDescent="0.25">
      <c r="A2538">
        <v>100815454</v>
      </c>
      <c r="B2538" t="s">
        <v>144</v>
      </c>
      <c r="C2538" t="s">
        <v>1208</v>
      </c>
      <c r="F2538" t="str">
        <f>"2708268173"</f>
        <v>2708268173</v>
      </c>
      <c r="G2538" t="s">
        <v>7025</v>
      </c>
      <c r="H2538" t="s">
        <v>1625</v>
      </c>
      <c r="I2538" t="s">
        <v>1097</v>
      </c>
      <c r="J2538">
        <v>42420</v>
      </c>
      <c r="K2538">
        <v>4018</v>
      </c>
      <c r="L2538" t="s">
        <v>23</v>
      </c>
      <c r="M2538" t="s">
        <v>7025</v>
      </c>
      <c r="N2538" t="s">
        <v>1625</v>
      </c>
      <c r="O2538" t="s">
        <v>1097</v>
      </c>
      <c r="P2538">
        <v>42420</v>
      </c>
      <c r="Q2538">
        <v>4018</v>
      </c>
      <c r="R2538" t="s">
        <v>23</v>
      </c>
      <c r="S2538" s="1" t="s">
        <v>34218</v>
      </c>
    </row>
    <row r="2539" spans="1:19" x14ac:dyDescent="0.25">
      <c r="A2539">
        <v>100820894</v>
      </c>
      <c r="B2539" t="s">
        <v>76</v>
      </c>
      <c r="C2539" t="s">
        <v>1161</v>
      </c>
      <c r="F2539" t="str">
        <f>"5038675309"</f>
        <v>5038675309</v>
      </c>
      <c r="G2539" t="s">
        <v>7026</v>
      </c>
      <c r="H2539" t="s">
        <v>7027</v>
      </c>
      <c r="I2539" t="s">
        <v>43</v>
      </c>
      <c r="J2539">
        <v>97078</v>
      </c>
      <c r="K2539">
        <v>1903</v>
      </c>
      <c r="L2539" t="s">
        <v>23</v>
      </c>
      <c r="M2539" t="s">
        <v>7026</v>
      </c>
      <c r="N2539" t="s">
        <v>7027</v>
      </c>
      <c r="O2539" t="s">
        <v>43</v>
      </c>
      <c r="P2539">
        <v>97078</v>
      </c>
      <c r="Q2539">
        <v>1903</v>
      </c>
      <c r="R2539" t="s">
        <v>23</v>
      </c>
      <c r="S2539" s="1" t="s">
        <v>34218</v>
      </c>
    </row>
    <row r="2540" spans="1:19" x14ac:dyDescent="0.25">
      <c r="A2540">
        <v>101000513</v>
      </c>
      <c r="B2540" t="s">
        <v>7028</v>
      </c>
      <c r="C2540" t="s">
        <v>30</v>
      </c>
      <c r="F2540" t="str">
        <f>"5107692142"</f>
        <v>5107692142</v>
      </c>
      <c r="G2540" t="s">
        <v>7029</v>
      </c>
      <c r="H2540" t="s">
        <v>705</v>
      </c>
      <c r="I2540" t="s">
        <v>22</v>
      </c>
      <c r="J2540">
        <v>94502</v>
      </c>
      <c r="K2540">
        <v>7715</v>
      </c>
      <c r="L2540" t="s">
        <v>23</v>
      </c>
      <c r="M2540" t="s">
        <v>7029</v>
      </c>
      <c r="N2540" t="s">
        <v>705</v>
      </c>
      <c r="O2540" t="s">
        <v>22</v>
      </c>
      <c r="P2540">
        <v>94502</v>
      </c>
      <c r="Q2540">
        <v>7715</v>
      </c>
      <c r="R2540" t="s">
        <v>23</v>
      </c>
      <c r="S2540" s="1" t="s">
        <v>34218</v>
      </c>
    </row>
    <row r="2541" spans="1:19" x14ac:dyDescent="0.25">
      <c r="A2541">
        <v>101010890</v>
      </c>
      <c r="B2541" t="s">
        <v>7030</v>
      </c>
      <c r="C2541" t="s">
        <v>1027</v>
      </c>
      <c r="F2541" t="str">
        <f>"7732183916"</f>
        <v>7732183916</v>
      </c>
      <c r="G2541" t="s">
        <v>7031</v>
      </c>
      <c r="H2541" t="s">
        <v>134</v>
      </c>
      <c r="I2541" t="s">
        <v>135</v>
      </c>
      <c r="J2541">
        <v>60659</v>
      </c>
      <c r="K2541">
        <v>4819</v>
      </c>
      <c r="L2541" t="s">
        <v>23</v>
      </c>
      <c r="M2541" t="s">
        <v>7031</v>
      </c>
      <c r="N2541" t="s">
        <v>134</v>
      </c>
      <c r="O2541" t="s">
        <v>135</v>
      </c>
      <c r="P2541">
        <v>60659</v>
      </c>
      <c r="Q2541">
        <v>4819</v>
      </c>
      <c r="R2541" t="s">
        <v>23</v>
      </c>
      <c r="S2541" s="1" t="s">
        <v>34218</v>
      </c>
    </row>
    <row r="2542" spans="1:19" x14ac:dyDescent="0.25">
      <c r="A2542">
        <v>101202031</v>
      </c>
      <c r="B2542" t="s">
        <v>7032</v>
      </c>
      <c r="C2542" t="s">
        <v>403</v>
      </c>
      <c r="F2542" t="str">
        <f>"3525185688"</f>
        <v>3525185688</v>
      </c>
      <c r="G2542" t="s">
        <v>7033</v>
      </c>
      <c r="H2542" t="s">
        <v>7034</v>
      </c>
      <c r="I2542" t="s">
        <v>52</v>
      </c>
      <c r="J2542">
        <v>33525</v>
      </c>
      <c r="K2542">
        <v>1876</v>
      </c>
      <c r="L2542" t="s">
        <v>23</v>
      </c>
      <c r="M2542" t="s">
        <v>7033</v>
      </c>
      <c r="N2542" t="s">
        <v>7034</v>
      </c>
      <c r="O2542" t="s">
        <v>52</v>
      </c>
      <c r="P2542">
        <v>33525</v>
      </c>
      <c r="Q2542">
        <v>1876</v>
      </c>
      <c r="R2542" t="s">
        <v>23</v>
      </c>
      <c r="S2542" s="1" t="s">
        <v>34218</v>
      </c>
    </row>
    <row r="2543" spans="1:19" x14ac:dyDescent="0.25">
      <c r="A2543">
        <v>100531572</v>
      </c>
      <c r="B2543" t="s">
        <v>7035</v>
      </c>
      <c r="C2543" t="s">
        <v>2515</v>
      </c>
      <c r="F2543" t="str">
        <f>"5412301050"</f>
        <v>5412301050</v>
      </c>
      <c r="G2543" t="s">
        <v>7036</v>
      </c>
      <c r="H2543" t="s">
        <v>3498</v>
      </c>
      <c r="I2543" t="s">
        <v>43</v>
      </c>
      <c r="J2543">
        <v>97330</v>
      </c>
      <c r="K2543">
        <v>1835</v>
      </c>
      <c r="L2543" t="s">
        <v>23</v>
      </c>
      <c r="M2543" t="s">
        <v>7036</v>
      </c>
      <c r="N2543" t="s">
        <v>3498</v>
      </c>
      <c r="O2543" t="s">
        <v>43</v>
      </c>
      <c r="P2543">
        <v>97330</v>
      </c>
      <c r="Q2543">
        <v>1835</v>
      </c>
      <c r="R2543" t="s">
        <v>23</v>
      </c>
      <c r="S2543" s="1" t="s">
        <v>34218</v>
      </c>
    </row>
    <row r="2544" spans="1:19" x14ac:dyDescent="0.25">
      <c r="A2544">
        <v>100748235</v>
      </c>
      <c r="B2544" t="s">
        <v>7037</v>
      </c>
      <c r="C2544" t="s">
        <v>1773</v>
      </c>
      <c r="F2544" t="str">
        <f>"4133741451"</f>
        <v>4133741451</v>
      </c>
      <c r="G2544" t="s">
        <v>7038</v>
      </c>
      <c r="H2544" t="s">
        <v>7039</v>
      </c>
      <c r="I2544" t="s">
        <v>236</v>
      </c>
      <c r="J2544">
        <v>1028</v>
      </c>
      <c r="K2544">
        <v>1003</v>
      </c>
      <c r="L2544" t="s">
        <v>23</v>
      </c>
      <c r="M2544" t="s">
        <v>7038</v>
      </c>
      <c r="N2544" t="s">
        <v>7039</v>
      </c>
      <c r="O2544" t="s">
        <v>236</v>
      </c>
      <c r="P2544">
        <v>1028</v>
      </c>
      <c r="Q2544">
        <v>1003</v>
      </c>
      <c r="R2544" t="s">
        <v>23</v>
      </c>
      <c r="S2544" s="1" t="s">
        <v>34218</v>
      </c>
    </row>
    <row r="2545" spans="1:19" x14ac:dyDescent="0.25">
      <c r="A2545">
        <v>100754833</v>
      </c>
      <c r="B2545" t="s">
        <v>7040</v>
      </c>
      <c r="C2545" t="s">
        <v>132</v>
      </c>
      <c r="F2545" t="str">
        <f>"5097386155"</f>
        <v>5097386155</v>
      </c>
      <c r="G2545" t="s">
        <v>7041</v>
      </c>
      <c r="H2545" t="s">
        <v>7042</v>
      </c>
      <c r="I2545" t="s">
        <v>84</v>
      </c>
      <c r="J2545">
        <v>99141</v>
      </c>
      <c r="K2545">
        <v>9632</v>
      </c>
      <c r="L2545" t="s">
        <v>23</v>
      </c>
      <c r="M2545" t="s">
        <v>7041</v>
      </c>
      <c r="N2545" t="s">
        <v>7042</v>
      </c>
      <c r="O2545" t="s">
        <v>84</v>
      </c>
      <c r="P2545">
        <v>99141</v>
      </c>
      <c r="Q2545">
        <v>9632</v>
      </c>
      <c r="R2545" t="s">
        <v>23</v>
      </c>
      <c r="S2545" s="1" t="s">
        <v>34218</v>
      </c>
    </row>
    <row r="2546" spans="1:19" x14ac:dyDescent="0.25">
      <c r="A2546">
        <v>100559582</v>
      </c>
      <c r="B2546" t="s">
        <v>7043</v>
      </c>
      <c r="C2546" t="s">
        <v>25</v>
      </c>
      <c r="F2546" t="str">
        <f>"7344838162"</f>
        <v>7344838162</v>
      </c>
      <c r="G2546" t="s">
        <v>7044</v>
      </c>
      <c r="H2546" t="s">
        <v>7045</v>
      </c>
      <c r="I2546" t="s">
        <v>140</v>
      </c>
      <c r="J2546">
        <v>48197</v>
      </c>
      <c r="K2546">
        <v>7131</v>
      </c>
      <c r="L2546" t="s">
        <v>23</v>
      </c>
      <c r="M2546" t="s">
        <v>7044</v>
      </c>
      <c r="N2546" t="s">
        <v>7045</v>
      </c>
      <c r="O2546" t="s">
        <v>140</v>
      </c>
      <c r="P2546">
        <v>48197</v>
      </c>
      <c r="Q2546">
        <v>7131</v>
      </c>
      <c r="R2546" t="s">
        <v>23</v>
      </c>
      <c r="S2546" s="1" t="s">
        <v>34218</v>
      </c>
    </row>
    <row r="2547" spans="1:19" x14ac:dyDescent="0.25">
      <c r="A2547">
        <v>100770880</v>
      </c>
      <c r="B2547" t="s">
        <v>4361</v>
      </c>
      <c r="C2547" t="s">
        <v>313</v>
      </c>
      <c r="F2547" t="str">
        <f>"3023789590"</f>
        <v>3023789590</v>
      </c>
      <c r="G2547" t="s">
        <v>7046</v>
      </c>
      <c r="H2547" t="s">
        <v>814</v>
      </c>
      <c r="I2547" t="s">
        <v>2310</v>
      </c>
      <c r="J2547">
        <v>19709</v>
      </c>
      <c r="K2547">
        <v>9699</v>
      </c>
      <c r="L2547" t="s">
        <v>23</v>
      </c>
      <c r="M2547" t="s">
        <v>7046</v>
      </c>
      <c r="N2547" t="s">
        <v>814</v>
      </c>
      <c r="O2547" t="s">
        <v>2310</v>
      </c>
      <c r="P2547">
        <v>19709</v>
      </c>
      <c r="Q2547">
        <v>9699</v>
      </c>
      <c r="R2547" t="s">
        <v>23</v>
      </c>
      <c r="S2547" s="1" t="s">
        <v>34218</v>
      </c>
    </row>
    <row r="2548" spans="1:19" x14ac:dyDescent="0.25">
      <c r="A2548">
        <v>100610224</v>
      </c>
      <c r="B2548" t="s">
        <v>7047</v>
      </c>
      <c r="C2548" t="s">
        <v>1737</v>
      </c>
      <c r="F2548" t="str">
        <f>"5413507009"</f>
        <v>5413507009</v>
      </c>
      <c r="G2548" t="s">
        <v>7048</v>
      </c>
      <c r="H2548" t="s">
        <v>2391</v>
      </c>
      <c r="I2548" t="s">
        <v>43</v>
      </c>
      <c r="J2548">
        <v>97703</v>
      </c>
      <c r="K2548">
        <v>8407</v>
      </c>
      <c r="L2548" t="s">
        <v>23</v>
      </c>
      <c r="M2548" t="s">
        <v>7048</v>
      </c>
      <c r="N2548" t="s">
        <v>2391</v>
      </c>
      <c r="O2548" t="s">
        <v>43</v>
      </c>
      <c r="P2548">
        <v>97703</v>
      </c>
      <c r="Q2548">
        <v>8407</v>
      </c>
      <c r="R2548" t="s">
        <v>23</v>
      </c>
      <c r="S2548" s="1" t="s">
        <v>34218</v>
      </c>
    </row>
    <row r="2549" spans="1:19" x14ac:dyDescent="0.25">
      <c r="A2549">
        <v>100613979</v>
      </c>
      <c r="B2549" t="s">
        <v>7049</v>
      </c>
      <c r="C2549" t="s">
        <v>7050</v>
      </c>
      <c r="F2549" t="str">
        <f>"6165327325"</f>
        <v>6165327325</v>
      </c>
      <c r="G2549" t="s">
        <v>7051</v>
      </c>
      <c r="H2549" t="s">
        <v>7052</v>
      </c>
      <c r="I2549" t="s">
        <v>140</v>
      </c>
      <c r="J2549">
        <v>49508</v>
      </c>
      <c r="K2549">
        <v>7526</v>
      </c>
      <c r="L2549" t="s">
        <v>23</v>
      </c>
      <c r="M2549" t="s">
        <v>7051</v>
      </c>
      <c r="N2549" t="s">
        <v>7052</v>
      </c>
      <c r="O2549" t="s">
        <v>140</v>
      </c>
      <c r="P2549">
        <v>49508</v>
      </c>
      <c r="Q2549">
        <v>7526</v>
      </c>
      <c r="R2549" t="s">
        <v>23</v>
      </c>
      <c r="S2549" s="1" t="s">
        <v>34218</v>
      </c>
    </row>
    <row r="2550" spans="1:19" x14ac:dyDescent="0.25">
      <c r="A2550">
        <v>100815449</v>
      </c>
      <c r="B2550" t="s">
        <v>7053</v>
      </c>
      <c r="C2550" t="s">
        <v>7054</v>
      </c>
      <c r="F2550" t="str">
        <f>"5203950646"</f>
        <v>5203950646</v>
      </c>
      <c r="G2550" t="s">
        <v>7055</v>
      </c>
      <c r="H2550" t="s">
        <v>1439</v>
      </c>
      <c r="I2550" t="s">
        <v>365</v>
      </c>
      <c r="J2550">
        <v>85741</v>
      </c>
      <c r="K2550">
        <v>3929</v>
      </c>
      <c r="L2550" t="s">
        <v>23</v>
      </c>
      <c r="M2550" t="s">
        <v>7055</v>
      </c>
      <c r="N2550" t="s">
        <v>1439</v>
      </c>
      <c r="O2550" t="s">
        <v>365</v>
      </c>
      <c r="P2550">
        <v>85741</v>
      </c>
      <c r="Q2550">
        <v>3929</v>
      </c>
      <c r="R2550" t="s">
        <v>23</v>
      </c>
      <c r="S2550" s="1" t="s">
        <v>34218</v>
      </c>
    </row>
    <row r="2551" spans="1:19" x14ac:dyDescent="0.25">
      <c r="A2551">
        <v>100629502</v>
      </c>
      <c r="B2551" t="s">
        <v>1017</v>
      </c>
      <c r="C2551" t="s">
        <v>699</v>
      </c>
      <c r="F2551" t="str">
        <f>"5207951413"</f>
        <v>5207951413</v>
      </c>
      <c r="G2551" t="s">
        <v>7056</v>
      </c>
      <c r="H2551" t="s">
        <v>1439</v>
      </c>
      <c r="I2551" t="s">
        <v>365</v>
      </c>
      <c r="J2551">
        <v>85718</v>
      </c>
      <c r="K2551">
        <v>6248</v>
      </c>
      <c r="L2551" t="s">
        <v>23</v>
      </c>
      <c r="M2551" t="s">
        <v>7056</v>
      </c>
      <c r="N2551" t="s">
        <v>1439</v>
      </c>
      <c r="O2551" t="s">
        <v>365</v>
      </c>
      <c r="P2551">
        <v>85718</v>
      </c>
      <c r="Q2551">
        <v>6248</v>
      </c>
      <c r="R2551" t="s">
        <v>23</v>
      </c>
      <c r="S2551" s="1" t="s">
        <v>34218</v>
      </c>
    </row>
    <row r="2552" spans="1:19" x14ac:dyDescent="0.25">
      <c r="A2552">
        <v>100855800</v>
      </c>
      <c r="B2552" t="s">
        <v>7057</v>
      </c>
      <c r="C2552" t="s">
        <v>7058</v>
      </c>
      <c r="F2552" t="str">
        <f>"5302434916"</f>
        <v>5302434916</v>
      </c>
      <c r="G2552" t="s">
        <v>7059</v>
      </c>
      <c r="H2552" t="s">
        <v>497</v>
      </c>
      <c r="I2552" t="s">
        <v>22</v>
      </c>
      <c r="J2552">
        <v>96007</v>
      </c>
      <c r="K2552">
        <v>8901</v>
      </c>
      <c r="L2552" t="s">
        <v>23</v>
      </c>
      <c r="M2552" t="s">
        <v>7059</v>
      </c>
      <c r="N2552" t="s">
        <v>497</v>
      </c>
      <c r="O2552" t="s">
        <v>22</v>
      </c>
      <c r="P2552">
        <v>96007</v>
      </c>
      <c r="Q2552">
        <v>8901</v>
      </c>
      <c r="R2552" t="s">
        <v>23</v>
      </c>
      <c r="S2552" s="1" t="s">
        <v>34218</v>
      </c>
    </row>
    <row r="2553" spans="1:19" x14ac:dyDescent="0.25">
      <c r="A2553">
        <v>100785215</v>
      </c>
      <c r="B2553" t="s">
        <v>7060</v>
      </c>
      <c r="C2553" t="s">
        <v>531</v>
      </c>
      <c r="F2553" t="str">
        <f>"9149616953"</f>
        <v>9149616953</v>
      </c>
      <c r="G2553" t="s">
        <v>7061</v>
      </c>
      <c r="H2553" t="s">
        <v>6441</v>
      </c>
      <c r="I2553" t="s">
        <v>117</v>
      </c>
      <c r="J2553">
        <v>10708</v>
      </c>
      <c r="K2553">
        <v>2111</v>
      </c>
      <c r="L2553" t="s">
        <v>23</v>
      </c>
      <c r="M2553" t="s">
        <v>7061</v>
      </c>
      <c r="N2553" t="s">
        <v>6441</v>
      </c>
      <c r="O2553" t="s">
        <v>117</v>
      </c>
      <c r="P2553">
        <v>10708</v>
      </c>
      <c r="Q2553">
        <v>2111</v>
      </c>
      <c r="R2553" t="s">
        <v>23</v>
      </c>
      <c r="S2553" s="1" t="s">
        <v>34218</v>
      </c>
    </row>
    <row r="2554" spans="1:19" x14ac:dyDescent="0.25">
      <c r="A2554">
        <v>100866094</v>
      </c>
      <c r="B2554" t="s">
        <v>7062</v>
      </c>
      <c r="C2554" t="s">
        <v>7063</v>
      </c>
      <c r="F2554" t="str">
        <f>"5019221766"</f>
        <v>5019221766</v>
      </c>
      <c r="G2554" t="s">
        <v>7064</v>
      </c>
      <c r="H2554" t="s">
        <v>7065</v>
      </c>
      <c r="I2554" t="s">
        <v>2537</v>
      </c>
      <c r="J2554">
        <v>71909</v>
      </c>
      <c r="K2554">
        <v>7303</v>
      </c>
      <c r="L2554" t="s">
        <v>23</v>
      </c>
      <c r="M2554" t="s">
        <v>7064</v>
      </c>
      <c r="N2554" t="s">
        <v>7065</v>
      </c>
      <c r="O2554" t="s">
        <v>2537</v>
      </c>
      <c r="P2554">
        <v>71909</v>
      </c>
      <c r="Q2554">
        <v>7303</v>
      </c>
      <c r="R2554" t="s">
        <v>23</v>
      </c>
      <c r="S2554" s="1" t="s">
        <v>34218</v>
      </c>
    </row>
    <row r="2555" spans="1:19" x14ac:dyDescent="0.25">
      <c r="A2555">
        <v>100882953</v>
      </c>
      <c r="B2555" t="s">
        <v>7066</v>
      </c>
      <c r="C2555" t="s">
        <v>3482</v>
      </c>
      <c r="F2555" t="str">
        <f>"8286834322"</f>
        <v>8286834322</v>
      </c>
      <c r="G2555" t="s">
        <v>7067</v>
      </c>
      <c r="H2555" t="s">
        <v>7068</v>
      </c>
      <c r="I2555" t="s">
        <v>446</v>
      </c>
      <c r="J2555">
        <v>28748</v>
      </c>
      <c r="K2555">
        <v>5410</v>
      </c>
      <c r="L2555" t="s">
        <v>23</v>
      </c>
      <c r="M2555" t="s">
        <v>7067</v>
      </c>
      <c r="N2555" t="s">
        <v>7068</v>
      </c>
      <c r="O2555" t="s">
        <v>446</v>
      </c>
      <c r="P2555">
        <v>28748</v>
      </c>
      <c r="Q2555">
        <v>5410</v>
      </c>
      <c r="R2555" t="s">
        <v>23</v>
      </c>
      <c r="S2555" s="1" t="s">
        <v>34218</v>
      </c>
    </row>
    <row r="2556" spans="1:19" x14ac:dyDescent="0.25">
      <c r="A2556">
        <v>101051516</v>
      </c>
      <c r="B2556" t="s">
        <v>7069</v>
      </c>
      <c r="C2556" t="s">
        <v>334</v>
      </c>
      <c r="F2556" t="str">
        <f>"2079852955"</f>
        <v>2079852955</v>
      </c>
      <c r="G2556" t="s">
        <v>7070</v>
      </c>
      <c r="H2556" t="s">
        <v>7071</v>
      </c>
      <c r="I2556" t="s">
        <v>191</v>
      </c>
      <c r="J2556">
        <v>4043</v>
      </c>
      <c r="K2556">
        <v>7177</v>
      </c>
      <c r="L2556" t="s">
        <v>23</v>
      </c>
      <c r="M2556" t="s">
        <v>7070</v>
      </c>
      <c r="N2556" t="s">
        <v>7071</v>
      </c>
      <c r="O2556" t="s">
        <v>191</v>
      </c>
      <c r="P2556">
        <v>4043</v>
      </c>
      <c r="Q2556">
        <v>7177</v>
      </c>
      <c r="R2556" t="s">
        <v>23</v>
      </c>
      <c r="S2556" s="1" t="s">
        <v>34218</v>
      </c>
    </row>
    <row r="2557" spans="1:19" x14ac:dyDescent="0.25">
      <c r="A2557">
        <v>101054621</v>
      </c>
      <c r="B2557" t="s">
        <v>7072</v>
      </c>
      <c r="C2557" t="s">
        <v>274</v>
      </c>
      <c r="F2557" t="str">
        <f>"9783029147"</f>
        <v>9783029147</v>
      </c>
      <c r="G2557" t="s">
        <v>7073</v>
      </c>
      <c r="H2557" t="s">
        <v>7074</v>
      </c>
      <c r="I2557" t="s">
        <v>236</v>
      </c>
      <c r="J2557">
        <v>1879</v>
      </c>
      <c r="K2557">
        <v>2411</v>
      </c>
      <c r="L2557" t="s">
        <v>23</v>
      </c>
      <c r="M2557" t="s">
        <v>7073</v>
      </c>
      <c r="N2557" t="s">
        <v>7074</v>
      </c>
      <c r="O2557" t="s">
        <v>236</v>
      </c>
      <c r="P2557">
        <v>1879</v>
      </c>
      <c r="Q2557">
        <v>2411</v>
      </c>
      <c r="R2557" t="s">
        <v>23</v>
      </c>
      <c r="S2557" s="1" t="s">
        <v>34218</v>
      </c>
    </row>
    <row r="2558" spans="1:19" x14ac:dyDescent="0.25">
      <c r="A2558">
        <v>100938093</v>
      </c>
      <c r="B2558" t="s">
        <v>29</v>
      </c>
      <c r="C2558" t="s">
        <v>2518</v>
      </c>
      <c r="F2558" t="str">
        <f>"2123049788"</f>
        <v>2123049788</v>
      </c>
      <c r="G2558" t="s">
        <v>7075</v>
      </c>
      <c r="H2558" t="s">
        <v>653</v>
      </c>
      <c r="I2558" t="s">
        <v>117</v>
      </c>
      <c r="J2558">
        <v>10040</v>
      </c>
      <c r="K2558">
        <v>3616</v>
      </c>
      <c r="L2558" t="s">
        <v>23</v>
      </c>
      <c r="M2558" t="s">
        <v>7075</v>
      </c>
      <c r="N2558" t="s">
        <v>653</v>
      </c>
      <c r="O2558" t="s">
        <v>117</v>
      </c>
      <c r="P2558">
        <v>10040</v>
      </c>
      <c r="Q2558">
        <v>3616</v>
      </c>
      <c r="R2558" t="s">
        <v>23</v>
      </c>
      <c r="S2558" s="1" t="s">
        <v>34218</v>
      </c>
    </row>
    <row r="2559" spans="1:19" x14ac:dyDescent="0.25">
      <c r="A2559">
        <v>101303089</v>
      </c>
      <c r="B2559" t="s">
        <v>7076</v>
      </c>
      <c r="C2559" t="s">
        <v>2642</v>
      </c>
      <c r="F2559" t="str">
        <f>"5015908301"</f>
        <v>5015908301</v>
      </c>
      <c r="G2559" t="s">
        <v>7077</v>
      </c>
      <c r="H2559" t="s">
        <v>7078</v>
      </c>
      <c r="I2559" t="s">
        <v>2537</v>
      </c>
      <c r="J2559">
        <v>72118</v>
      </c>
      <c r="K2559">
        <v>3754</v>
      </c>
      <c r="L2559" t="s">
        <v>23</v>
      </c>
      <c r="M2559" t="s">
        <v>7077</v>
      </c>
      <c r="N2559" t="s">
        <v>7078</v>
      </c>
      <c r="O2559" t="s">
        <v>2537</v>
      </c>
      <c r="P2559">
        <v>72118</v>
      </c>
      <c r="Q2559">
        <v>3754</v>
      </c>
      <c r="R2559" t="s">
        <v>23</v>
      </c>
      <c r="S2559" s="1" t="s">
        <v>34218</v>
      </c>
    </row>
    <row r="2560" spans="1:19" x14ac:dyDescent="0.25">
      <c r="A2560">
        <v>101313589</v>
      </c>
      <c r="B2560" t="s">
        <v>7079</v>
      </c>
      <c r="C2560" t="s">
        <v>2127</v>
      </c>
      <c r="F2560" t="str">
        <f>"8168388043"</f>
        <v>8168388043</v>
      </c>
      <c r="G2560" t="s">
        <v>7080</v>
      </c>
      <c r="H2560" t="s">
        <v>2378</v>
      </c>
      <c r="I2560" t="s">
        <v>126</v>
      </c>
      <c r="J2560">
        <v>64050</v>
      </c>
      <c r="K2560">
        <v>4811</v>
      </c>
      <c r="L2560" t="s">
        <v>23</v>
      </c>
      <c r="M2560" t="s">
        <v>7080</v>
      </c>
      <c r="N2560" t="s">
        <v>2378</v>
      </c>
      <c r="O2560" t="s">
        <v>126</v>
      </c>
      <c r="P2560">
        <v>64050</v>
      </c>
      <c r="Q2560">
        <v>4811</v>
      </c>
      <c r="R2560" t="s">
        <v>23</v>
      </c>
      <c r="S2560" s="1" t="s">
        <v>34218</v>
      </c>
    </row>
    <row r="2561" spans="1:19" x14ac:dyDescent="0.25">
      <c r="A2561">
        <v>101314635</v>
      </c>
      <c r="B2561" t="s">
        <v>7081</v>
      </c>
      <c r="C2561" t="s">
        <v>6143</v>
      </c>
      <c r="F2561" t="str">
        <f>"3374378470"</f>
        <v>3374378470</v>
      </c>
      <c r="G2561" t="s">
        <v>7082</v>
      </c>
      <c r="H2561" t="s">
        <v>7083</v>
      </c>
      <c r="I2561" t="s">
        <v>153</v>
      </c>
      <c r="J2561">
        <v>70601</v>
      </c>
      <c r="K2561">
        <v>7016</v>
      </c>
      <c r="L2561" t="s">
        <v>23</v>
      </c>
      <c r="M2561" t="s">
        <v>7082</v>
      </c>
      <c r="N2561" t="s">
        <v>7083</v>
      </c>
      <c r="O2561" t="s">
        <v>153</v>
      </c>
      <c r="P2561">
        <v>70601</v>
      </c>
      <c r="Q2561">
        <v>7016</v>
      </c>
      <c r="R2561" t="s">
        <v>23</v>
      </c>
      <c r="S2561" s="1" t="s">
        <v>34218</v>
      </c>
    </row>
    <row r="2562" spans="1:19" x14ac:dyDescent="0.25">
      <c r="A2562">
        <v>100693551</v>
      </c>
      <c r="B2562" t="s">
        <v>7084</v>
      </c>
      <c r="C2562" t="s">
        <v>589</v>
      </c>
      <c r="F2562" t="str">
        <f>"5306470119"</f>
        <v>5306470119</v>
      </c>
      <c r="G2562" t="s">
        <v>7085</v>
      </c>
      <c r="H2562" t="s">
        <v>7086</v>
      </c>
      <c r="I2562" t="s">
        <v>22</v>
      </c>
      <c r="J2562">
        <v>95726</v>
      </c>
      <c r="K2562">
        <v>9424</v>
      </c>
      <c r="L2562" t="s">
        <v>23</v>
      </c>
      <c r="M2562" t="s">
        <v>7085</v>
      </c>
      <c r="N2562" t="s">
        <v>7086</v>
      </c>
      <c r="O2562" t="s">
        <v>22</v>
      </c>
      <c r="P2562">
        <v>95726</v>
      </c>
      <c r="Q2562">
        <v>9424</v>
      </c>
      <c r="R2562" t="s">
        <v>23</v>
      </c>
      <c r="S2562" s="1" t="s">
        <v>34218</v>
      </c>
    </row>
    <row r="2563" spans="1:19" x14ac:dyDescent="0.25">
      <c r="A2563">
        <v>100887279</v>
      </c>
      <c r="B2563" t="s">
        <v>7087</v>
      </c>
      <c r="C2563" t="s">
        <v>132</v>
      </c>
      <c r="F2563" t="str">
        <f>"5138613558"</f>
        <v>5138613558</v>
      </c>
      <c r="G2563" t="s">
        <v>7088</v>
      </c>
      <c r="H2563" t="s">
        <v>2086</v>
      </c>
      <c r="I2563" t="s">
        <v>178</v>
      </c>
      <c r="J2563">
        <v>45229</v>
      </c>
      <c r="K2563">
        <v>1917</v>
      </c>
      <c r="L2563" t="s">
        <v>23</v>
      </c>
      <c r="M2563" t="s">
        <v>7088</v>
      </c>
      <c r="N2563" t="s">
        <v>2086</v>
      </c>
      <c r="O2563" t="s">
        <v>178</v>
      </c>
      <c r="P2563">
        <v>45229</v>
      </c>
      <c r="Q2563">
        <v>1917</v>
      </c>
      <c r="R2563" t="s">
        <v>23</v>
      </c>
      <c r="S2563" s="1" t="s">
        <v>34218</v>
      </c>
    </row>
    <row r="2564" spans="1:19" x14ac:dyDescent="0.25">
      <c r="A2564">
        <v>101095582</v>
      </c>
      <c r="B2564" t="s">
        <v>7089</v>
      </c>
      <c r="C2564" t="s">
        <v>6375</v>
      </c>
      <c r="F2564" t="str">
        <f>"9786839303"</f>
        <v>9786839303</v>
      </c>
      <c r="G2564" t="s">
        <v>7090</v>
      </c>
      <c r="H2564" t="s">
        <v>7091</v>
      </c>
      <c r="I2564" t="s">
        <v>236</v>
      </c>
      <c r="J2564">
        <v>1845</v>
      </c>
      <c r="K2564">
        <v>1308</v>
      </c>
      <c r="L2564" t="s">
        <v>23</v>
      </c>
      <c r="M2564" t="s">
        <v>7090</v>
      </c>
      <c r="N2564" t="s">
        <v>7091</v>
      </c>
      <c r="O2564" t="s">
        <v>236</v>
      </c>
      <c r="P2564">
        <v>1845</v>
      </c>
      <c r="Q2564">
        <v>1308</v>
      </c>
      <c r="R2564" t="s">
        <v>23</v>
      </c>
      <c r="S2564" s="1" t="s">
        <v>34218</v>
      </c>
    </row>
    <row r="2565" spans="1:19" x14ac:dyDescent="0.25">
      <c r="A2565">
        <v>101114444</v>
      </c>
      <c r="B2565" t="s">
        <v>7092</v>
      </c>
      <c r="C2565" t="s">
        <v>7093</v>
      </c>
      <c r="F2565" t="str">
        <f>"3108913639"</f>
        <v>3108913639</v>
      </c>
      <c r="G2565" t="s">
        <v>7094</v>
      </c>
      <c r="H2565" t="s">
        <v>5269</v>
      </c>
      <c r="I2565" t="s">
        <v>22</v>
      </c>
      <c r="J2565">
        <v>90505</v>
      </c>
      <c r="K2565">
        <v>7225</v>
      </c>
      <c r="L2565" t="s">
        <v>23</v>
      </c>
      <c r="M2565" t="s">
        <v>7094</v>
      </c>
      <c r="N2565" t="s">
        <v>5269</v>
      </c>
      <c r="O2565" t="s">
        <v>22</v>
      </c>
      <c r="P2565">
        <v>90505</v>
      </c>
      <c r="Q2565">
        <v>7225</v>
      </c>
      <c r="R2565" t="s">
        <v>23</v>
      </c>
      <c r="S2565" s="1" t="s">
        <v>34218</v>
      </c>
    </row>
    <row r="2566" spans="1:19" x14ac:dyDescent="0.25">
      <c r="A2566">
        <v>101348011</v>
      </c>
      <c r="B2566" t="s">
        <v>7095</v>
      </c>
      <c r="C2566" t="s">
        <v>505</v>
      </c>
      <c r="F2566" t="str">
        <f>"9419219533"</f>
        <v>9419219533</v>
      </c>
      <c r="G2566" t="s">
        <v>7096</v>
      </c>
      <c r="H2566" t="s">
        <v>2910</v>
      </c>
      <c r="I2566" t="s">
        <v>52</v>
      </c>
      <c r="J2566">
        <v>34238</v>
      </c>
      <c r="K2566">
        <v>5618</v>
      </c>
      <c r="L2566" t="s">
        <v>23</v>
      </c>
      <c r="M2566" t="s">
        <v>7096</v>
      </c>
      <c r="N2566" t="s">
        <v>2910</v>
      </c>
      <c r="O2566" t="s">
        <v>52</v>
      </c>
      <c r="P2566">
        <v>34238</v>
      </c>
      <c r="Q2566">
        <v>5618</v>
      </c>
      <c r="R2566" t="s">
        <v>23</v>
      </c>
      <c r="S2566" s="1" t="s">
        <v>34218</v>
      </c>
    </row>
    <row r="2567" spans="1:19" x14ac:dyDescent="0.25">
      <c r="A2567">
        <v>100972181</v>
      </c>
      <c r="B2567" t="s">
        <v>7097</v>
      </c>
      <c r="C2567" t="s">
        <v>1117</v>
      </c>
      <c r="F2567" t="str">
        <f>"5104499395"</f>
        <v>5104499395</v>
      </c>
      <c r="G2567" t="s">
        <v>7098</v>
      </c>
      <c r="H2567" t="s">
        <v>6174</v>
      </c>
      <c r="I2567" t="s">
        <v>22</v>
      </c>
      <c r="J2567">
        <v>94546</v>
      </c>
      <c r="K2567">
        <v>3653</v>
      </c>
      <c r="L2567" t="s">
        <v>23</v>
      </c>
      <c r="M2567" t="s">
        <v>7098</v>
      </c>
      <c r="N2567" t="s">
        <v>6174</v>
      </c>
      <c r="O2567" t="s">
        <v>22</v>
      </c>
      <c r="P2567">
        <v>94546</v>
      </c>
      <c r="Q2567">
        <v>3653</v>
      </c>
      <c r="R2567" t="s">
        <v>23</v>
      </c>
      <c r="S2567" s="1" t="s">
        <v>34218</v>
      </c>
    </row>
    <row r="2568" spans="1:19" x14ac:dyDescent="0.25">
      <c r="A2568">
        <v>100942031</v>
      </c>
      <c r="B2568" t="s">
        <v>7099</v>
      </c>
      <c r="C2568" t="s">
        <v>432</v>
      </c>
      <c r="F2568" t="str">
        <f>"7163583444"</f>
        <v>7163583444</v>
      </c>
      <c r="G2568" t="s">
        <v>7100</v>
      </c>
      <c r="H2568" t="s">
        <v>5753</v>
      </c>
      <c r="I2568" t="s">
        <v>117</v>
      </c>
      <c r="J2568">
        <v>14772</v>
      </c>
      <c r="K2568">
        <v>9556</v>
      </c>
      <c r="L2568" t="s">
        <v>23</v>
      </c>
      <c r="M2568" t="s">
        <v>7100</v>
      </c>
      <c r="N2568" t="s">
        <v>5753</v>
      </c>
      <c r="O2568" t="s">
        <v>117</v>
      </c>
      <c r="P2568">
        <v>14772</v>
      </c>
      <c r="Q2568">
        <v>9556</v>
      </c>
      <c r="R2568" t="s">
        <v>23</v>
      </c>
      <c r="S2568" s="1" t="s">
        <v>34218</v>
      </c>
    </row>
    <row r="2569" spans="1:19" x14ac:dyDescent="0.25">
      <c r="A2569">
        <v>100957460</v>
      </c>
      <c r="B2569" t="s">
        <v>7101</v>
      </c>
      <c r="C2569" t="s">
        <v>180</v>
      </c>
      <c r="F2569" t="str">
        <f>"7076770000"</f>
        <v>7076770000</v>
      </c>
      <c r="G2569" t="s">
        <v>7102</v>
      </c>
      <c r="H2569" t="s">
        <v>7103</v>
      </c>
      <c r="I2569" t="s">
        <v>22</v>
      </c>
      <c r="J2569">
        <v>95570</v>
      </c>
      <c r="K2569">
        <v>223</v>
      </c>
      <c r="L2569" t="s">
        <v>23</v>
      </c>
      <c r="M2569" t="s">
        <v>7102</v>
      </c>
      <c r="N2569" t="s">
        <v>7103</v>
      </c>
      <c r="O2569" t="s">
        <v>22</v>
      </c>
      <c r="P2569">
        <v>95570</v>
      </c>
      <c r="Q2569">
        <v>223</v>
      </c>
      <c r="R2569" t="s">
        <v>23</v>
      </c>
      <c r="S2569" s="1" t="s">
        <v>34218</v>
      </c>
    </row>
    <row r="2570" spans="1:19" x14ac:dyDescent="0.25">
      <c r="A2570">
        <v>101172605</v>
      </c>
      <c r="B2570" t="s">
        <v>3583</v>
      </c>
      <c r="C2570" t="s">
        <v>7104</v>
      </c>
      <c r="F2570" t="str">
        <f>"5032533189"</f>
        <v>5032533189</v>
      </c>
      <c r="G2570" t="s">
        <v>7105</v>
      </c>
      <c r="H2570" t="s">
        <v>227</v>
      </c>
      <c r="I2570" t="s">
        <v>43</v>
      </c>
      <c r="J2570">
        <v>97213</v>
      </c>
      <c r="K2570">
        <v>3016</v>
      </c>
      <c r="L2570" t="s">
        <v>23</v>
      </c>
      <c r="M2570" t="s">
        <v>7105</v>
      </c>
      <c r="N2570" t="s">
        <v>227</v>
      </c>
      <c r="O2570" t="s">
        <v>43</v>
      </c>
      <c r="P2570">
        <v>97213</v>
      </c>
      <c r="Q2570">
        <v>3016</v>
      </c>
      <c r="R2570" t="s">
        <v>23</v>
      </c>
      <c r="S2570" s="1" t="s">
        <v>34218</v>
      </c>
    </row>
    <row r="2571" spans="1:19" x14ac:dyDescent="0.25">
      <c r="A2571">
        <v>100627157</v>
      </c>
      <c r="B2571" t="s">
        <v>7106</v>
      </c>
      <c r="C2571" t="s">
        <v>410</v>
      </c>
      <c r="F2571" t="str">
        <f>"6039246898"</f>
        <v>6039246898</v>
      </c>
      <c r="G2571" t="s">
        <v>7107</v>
      </c>
      <c r="H2571" t="s">
        <v>7108</v>
      </c>
      <c r="I2571" t="s">
        <v>353</v>
      </c>
      <c r="J2571">
        <v>3458</v>
      </c>
      <c r="K2571">
        <v>1811</v>
      </c>
      <c r="L2571" t="s">
        <v>23</v>
      </c>
      <c r="M2571" t="s">
        <v>7107</v>
      </c>
      <c r="N2571" t="s">
        <v>7108</v>
      </c>
      <c r="O2571" t="s">
        <v>353</v>
      </c>
      <c r="P2571">
        <v>3458</v>
      </c>
      <c r="Q2571">
        <v>1811</v>
      </c>
      <c r="R2571" t="s">
        <v>23</v>
      </c>
      <c r="S2571" s="1" t="s">
        <v>34218</v>
      </c>
    </row>
    <row r="2572" spans="1:19" x14ac:dyDescent="0.25">
      <c r="A2572">
        <v>100625225</v>
      </c>
      <c r="B2572" t="s">
        <v>7109</v>
      </c>
      <c r="C2572" t="s">
        <v>110</v>
      </c>
      <c r="F2572" t="str">
        <f>"2313832975"</f>
        <v>2313832975</v>
      </c>
      <c r="G2572" t="s">
        <v>7110</v>
      </c>
      <c r="H2572" t="s">
        <v>7111</v>
      </c>
      <c r="I2572" t="s">
        <v>140</v>
      </c>
      <c r="J2572">
        <v>49651</v>
      </c>
      <c r="K2572">
        <v>8831</v>
      </c>
      <c r="L2572" t="s">
        <v>23</v>
      </c>
      <c r="M2572" t="s">
        <v>7110</v>
      </c>
      <c r="N2572" t="s">
        <v>7111</v>
      </c>
      <c r="O2572" t="s">
        <v>140</v>
      </c>
      <c r="P2572">
        <v>49651</v>
      </c>
      <c r="Q2572">
        <v>8831</v>
      </c>
      <c r="R2572" t="s">
        <v>23</v>
      </c>
      <c r="S2572" s="1" t="s">
        <v>34218</v>
      </c>
    </row>
    <row r="2573" spans="1:19" x14ac:dyDescent="0.25">
      <c r="A2573">
        <v>100726785</v>
      </c>
      <c r="B2573" t="s">
        <v>7112</v>
      </c>
      <c r="C2573" t="s">
        <v>137</v>
      </c>
      <c r="F2573" t="str">
        <f>"6362579061"</f>
        <v>6362579061</v>
      </c>
      <c r="G2573" t="s">
        <v>7113</v>
      </c>
      <c r="H2573" t="s">
        <v>7114</v>
      </c>
      <c r="I2573" t="s">
        <v>126</v>
      </c>
      <c r="J2573">
        <v>63015</v>
      </c>
      <c r="K2573">
        <v>1750</v>
      </c>
      <c r="L2573" t="s">
        <v>23</v>
      </c>
      <c r="M2573" t="s">
        <v>7113</v>
      </c>
      <c r="N2573" t="s">
        <v>7114</v>
      </c>
      <c r="O2573" t="s">
        <v>126</v>
      </c>
      <c r="P2573">
        <v>63015</v>
      </c>
      <c r="Q2573">
        <v>1750</v>
      </c>
      <c r="R2573" t="s">
        <v>23</v>
      </c>
      <c r="S2573" s="1" t="s">
        <v>34218</v>
      </c>
    </row>
    <row r="2574" spans="1:19" x14ac:dyDescent="0.25">
      <c r="A2574">
        <v>100858643</v>
      </c>
      <c r="B2574" t="s">
        <v>7115</v>
      </c>
      <c r="C2574" t="s">
        <v>7116</v>
      </c>
      <c r="F2574" t="str">
        <f>"7077907201"</f>
        <v>7077907201</v>
      </c>
      <c r="G2574" t="s">
        <v>7117</v>
      </c>
      <c r="H2574" t="s">
        <v>496</v>
      </c>
      <c r="I2574" t="s">
        <v>22</v>
      </c>
      <c r="J2574">
        <v>94952</v>
      </c>
      <c r="K2574">
        <v>4157</v>
      </c>
      <c r="L2574" t="s">
        <v>23</v>
      </c>
      <c r="M2574" t="s">
        <v>7117</v>
      </c>
      <c r="N2574" t="s">
        <v>496</v>
      </c>
      <c r="O2574" t="s">
        <v>22</v>
      </c>
      <c r="P2574">
        <v>94952</v>
      </c>
      <c r="Q2574">
        <v>4157</v>
      </c>
      <c r="R2574" t="s">
        <v>23</v>
      </c>
      <c r="S2574" s="1" t="s">
        <v>34218</v>
      </c>
    </row>
    <row r="2575" spans="1:19" x14ac:dyDescent="0.25">
      <c r="A2575">
        <v>100821024</v>
      </c>
      <c r="B2575" t="s">
        <v>7118</v>
      </c>
      <c r="C2575" t="s">
        <v>7119</v>
      </c>
      <c r="F2575" t="str">
        <f>"2125311300"</f>
        <v>2125311300</v>
      </c>
      <c r="G2575" t="s">
        <v>7120</v>
      </c>
      <c r="H2575" t="s">
        <v>1105</v>
      </c>
      <c r="I2575" t="s">
        <v>117</v>
      </c>
      <c r="J2575">
        <v>10463</v>
      </c>
      <c r="K2575">
        <v>1621</v>
      </c>
      <c r="L2575" t="s">
        <v>23</v>
      </c>
      <c r="M2575" t="s">
        <v>7120</v>
      </c>
      <c r="N2575" t="s">
        <v>1105</v>
      </c>
      <c r="O2575" t="s">
        <v>117</v>
      </c>
      <c r="P2575">
        <v>10463</v>
      </c>
      <c r="Q2575">
        <v>1621</v>
      </c>
      <c r="R2575" t="s">
        <v>23</v>
      </c>
      <c r="S2575" s="1" t="s">
        <v>34218</v>
      </c>
    </row>
    <row r="2576" spans="1:19" x14ac:dyDescent="0.25">
      <c r="A2576">
        <v>100753253</v>
      </c>
      <c r="B2576" t="s">
        <v>1831</v>
      </c>
      <c r="C2576" t="s">
        <v>5420</v>
      </c>
      <c r="F2576" t="str">
        <f>"8188345769"</f>
        <v>8188345769</v>
      </c>
      <c r="G2576" t="s">
        <v>7121</v>
      </c>
      <c r="H2576" t="s">
        <v>7122</v>
      </c>
      <c r="I2576" t="s">
        <v>22</v>
      </c>
      <c r="J2576">
        <v>91302</v>
      </c>
      <c r="K2576">
        <v>3073</v>
      </c>
      <c r="L2576" t="s">
        <v>23</v>
      </c>
      <c r="M2576" t="s">
        <v>7121</v>
      </c>
      <c r="N2576" t="s">
        <v>7122</v>
      </c>
      <c r="O2576" t="s">
        <v>22</v>
      </c>
      <c r="P2576">
        <v>91302</v>
      </c>
      <c r="Q2576">
        <v>3073</v>
      </c>
      <c r="R2576" t="s">
        <v>23</v>
      </c>
      <c r="S2576" s="1" t="s">
        <v>34218</v>
      </c>
    </row>
    <row r="2577" spans="1:19" x14ac:dyDescent="0.25">
      <c r="A2577">
        <v>100754931</v>
      </c>
      <c r="B2577" t="s">
        <v>7123</v>
      </c>
      <c r="C2577" t="s">
        <v>1416</v>
      </c>
      <c r="F2577" t="str">
        <f>"8032075974"</f>
        <v>8032075974</v>
      </c>
      <c r="G2577" t="s">
        <v>7124</v>
      </c>
      <c r="H2577" t="s">
        <v>7125</v>
      </c>
      <c r="I2577" t="s">
        <v>1482</v>
      </c>
      <c r="J2577">
        <v>29715</v>
      </c>
      <c r="K2577">
        <v>8355</v>
      </c>
      <c r="L2577" t="s">
        <v>23</v>
      </c>
      <c r="M2577" t="s">
        <v>7124</v>
      </c>
      <c r="N2577" t="s">
        <v>7125</v>
      </c>
      <c r="O2577" t="s">
        <v>1482</v>
      </c>
      <c r="P2577">
        <v>29715</v>
      </c>
      <c r="Q2577">
        <v>8355</v>
      </c>
      <c r="R2577" t="s">
        <v>23</v>
      </c>
      <c r="S2577" s="1" t="s">
        <v>34218</v>
      </c>
    </row>
    <row r="2578" spans="1:19" x14ac:dyDescent="0.25">
      <c r="A2578">
        <v>100951539</v>
      </c>
      <c r="B2578" t="s">
        <v>7126</v>
      </c>
      <c r="C2578" t="s">
        <v>81</v>
      </c>
      <c r="F2578" t="str">
        <f>"5127863621"</f>
        <v>5127863621</v>
      </c>
      <c r="G2578" t="s">
        <v>7127</v>
      </c>
      <c r="H2578" t="s">
        <v>2762</v>
      </c>
      <c r="I2578" t="s">
        <v>43</v>
      </c>
      <c r="J2578">
        <v>97439</v>
      </c>
      <c r="K2578">
        <v>9606</v>
      </c>
      <c r="L2578" t="s">
        <v>23</v>
      </c>
      <c r="M2578" t="s">
        <v>7127</v>
      </c>
      <c r="N2578" t="s">
        <v>2762</v>
      </c>
      <c r="O2578" t="s">
        <v>43</v>
      </c>
      <c r="P2578">
        <v>97439</v>
      </c>
      <c r="Q2578">
        <v>9606</v>
      </c>
      <c r="R2578" t="s">
        <v>23</v>
      </c>
      <c r="S2578" s="1" t="s">
        <v>34218</v>
      </c>
    </row>
    <row r="2579" spans="1:19" x14ac:dyDescent="0.25">
      <c r="A2579">
        <v>100554228</v>
      </c>
      <c r="B2579" t="s">
        <v>7128</v>
      </c>
      <c r="C2579" t="s">
        <v>180</v>
      </c>
      <c r="F2579" t="str">
        <f>"5555555555"</f>
        <v>5555555555</v>
      </c>
      <c r="G2579" t="s">
        <v>7129</v>
      </c>
      <c r="H2579" t="s">
        <v>299</v>
      </c>
      <c r="I2579" t="s">
        <v>22</v>
      </c>
      <c r="J2579">
        <v>90046</v>
      </c>
      <c r="K2579">
        <v>6608</v>
      </c>
      <c r="L2579" t="s">
        <v>23</v>
      </c>
      <c r="M2579" t="s">
        <v>7129</v>
      </c>
      <c r="N2579" t="s">
        <v>299</v>
      </c>
      <c r="O2579" t="s">
        <v>22</v>
      </c>
      <c r="P2579">
        <v>90046</v>
      </c>
      <c r="Q2579">
        <v>6608</v>
      </c>
      <c r="R2579" t="s">
        <v>23</v>
      </c>
      <c r="S2579" s="1" t="s">
        <v>34218</v>
      </c>
    </row>
    <row r="2580" spans="1:19" x14ac:dyDescent="0.25">
      <c r="A2580">
        <v>100570784</v>
      </c>
      <c r="B2580" t="s">
        <v>7130</v>
      </c>
      <c r="C2580" t="s">
        <v>247</v>
      </c>
      <c r="F2580" t="str">
        <f>"8476747884"</f>
        <v>8476747884</v>
      </c>
      <c r="G2580" t="s">
        <v>7131</v>
      </c>
      <c r="H2580" t="s">
        <v>5738</v>
      </c>
      <c r="I2580" t="s">
        <v>135</v>
      </c>
      <c r="J2580">
        <v>60076</v>
      </c>
      <c r="K2580">
        <v>1128</v>
      </c>
      <c r="L2580" t="s">
        <v>23</v>
      </c>
      <c r="M2580" t="s">
        <v>7131</v>
      </c>
      <c r="N2580" t="s">
        <v>5738</v>
      </c>
      <c r="O2580" t="s">
        <v>135</v>
      </c>
      <c r="P2580">
        <v>60076</v>
      </c>
      <c r="Q2580">
        <v>1128</v>
      </c>
      <c r="R2580" t="s">
        <v>23</v>
      </c>
      <c r="S2580" s="1" t="s">
        <v>34218</v>
      </c>
    </row>
    <row r="2581" spans="1:19" x14ac:dyDescent="0.25">
      <c r="A2581">
        <v>100575559</v>
      </c>
      <c r="B2581" t="s">
        <v>1949</v>
      </c>
      <c r="C2581" t="s">
        <v>7132</v>
      </c>
      <c r="F2581" t="str">
        <f>"5053443323"</f>
        <v>5053443323</v>
      </c>
      <c r="G2581" t="s">
        <v>7133</v>
      </c>
      <c r="H2581" t="s">
        <v>638</v>
      </c>
      <c r="I2581" t="s">
        <v>639</v>
      </c>
      <c r="J2581">
        <v>87107</v>
      </c>
      <c r="K2581">
        <v>1117</v>
      </c>
      <c r="L2581" t="s">
        <v>23</v>
      </c>
      <c r="M2581" t="s">
        <v>7133</v>
      </c>
      <c r="N2581" t="s">
        <v>638</v>
      </c>
      <c r="O2581" t="s">
        <v>639</v>
      </c>
      <c r="P2581">
        <v>87107</v>
      </c>
      <c r="Q2581">
        <v>1117</v>
      </c>
      <c r="R2581" t="s">
        <v>23</v>
      </c>
      <c r="S2581" s="1" t="s">
        <v>34218</v>
      </c>
    </row>
    <row r="2582" spans="1:19" x14ac:dyDescent="0.25">
      <c r="A2582">
        <v>100788247</v>
      </c>
      <c r="B2582" t="s">
        <v>7134</v>
      </c>
      <c r="C2582" t="s">
        <v>1444</v>
      </c>
      <c r="F2582" t="str">
        <f>"9177059199"</f>
        <v>9177059199</v>
      </c>
      <c r="G2582" t="s">
        <v>7135</v>
      </c>
      <c r="H2582" t="s">
        <v>412</v>
      </c>
      <c r="I2582" t="s">
        <v>117</v>
      </c>
      <c r="J2582">
        <v>11233</v>
      </c>
      <c r="K2582">
        <v>1509</v>
      </c>
      <c r="L2582" t="s">
        <v>23</v>
      </c>
      <c r="M2582" t="s">
        <v>7135</v>
      </c>
      <c r="N2582" t="s">
        <v>412</v>
      </c>
      <c r="O2582" t="s">
        <v>117</v>
      </c>
      <c r="P2582">
        <v>11233</v>
      </c>
      <c r="Q2582">
        <v>1509</v>
      </c>
      <c r="R2582" t="s">
        <v>23</v>
      </c>
      <c r="S2582" s="1" t="s">
        <v>34218</v>
      </c>
    </row>
    <row r="2583" spans="1:19" x14ac:dyDescent="0.25">
      <c r="A2583">
        <v>100591544</v>
      </c>
      <c r="B2583" t="s">
        <v>7136</v>
      </c>
      <c r="C2583" t="s">
        <v>1487</v>
      </c>
      <c r="F2583" t="str">
        <f>"5612715322"</f>
        <v>5612715322</v>
      </c>
      <c r="G2583" t="s">
        <v>7137</v>
      </c>
      <c r="H2583" t="s">
        <v>4693</v>
      </c>
      <c r="I2583" t="s">
        <v>52</v>
      </c>
      <c r="J2583">
        <v>33446</v>
      </c>
      <c r="K2583">
        <v>1117</v>
      </c>
      <c r="L2583" t="s">
        <v>23</v>
      </c>
      <c r="M2583" t="s">
        <v>7137</v>
      </c>
      <c r="N2583" t="s">
        <v>4693</v>
      </c>
      <c r="O2583" t="s">
        <v>52</v>
      </c>
      <c r="P2583">
        <v>33446</v>
      </c>
      <c r="Q2583">
        <v>1117</v>
      </c>
      <c r="R2583" t="s">
        <v>23</v>
      </c>
      <c r="S2583" s="1" t="s">
        <v>34218</v>
      </c>
    </row>
    <row r="2584" spans="1:19" x14ac:dyDescent="0.25">
      <c r="A2584">
        <v>100590214</v>
      </c>
      <c r="B2584" t="s">
        <v>7138</v>
      </c>
      <c r="C2584" t="s">
        <v>7139</v>
      </c>
      <c r="F2584" t="str">
        <f>"8657552799"</f>
        <v>8657552799</v>
      </c>
      <c r="G2584" t="s">
        <v>7140</v>
      </c>
      <c r="H2584" t="s">
        <v>3262</v>
      </c>
      <c r="I2584" t="s">
        <v>52</v>
      </c>
      <c r="J2584">
        <v>32084</v>
      </c>
      <c r="K2584">
        <v>3556</v>
      </c>
      <c r="L2584" t="s">
        <v>23</v>
      </c>
      <c r="M2584" t="s">
        <v>7140</v>
      </c>
      <c r="N2584" t="s">
        <v>3262</v>
      </c>
      <c r="O2584" t="s">
        <v>52</v>
      </c>
      <c r="P2584">
        <v>32084</v>
      </c>
      <c r="Q2584">
        <v>3556</v>
      </c>
      <c r="R2584" t="s">
        <v>23</v>
      </c>
      <c r="S2584" s="1" t="s">
        <v>34218</v>
      </c>
    </row>
    <row r="2585" spans="1:19" x14ac:dyDescent="0.25">
      <c r="A2585">
        <v>100811894</v>
      </c>
      <c r="B2585" t="s">
        <v>7141</v>
      </c>
      <c r="C2585" t="s">
        <v>1873</v>
      </c>
      <c r="F2585" t="str">
        <f>"9256775534"</f>
        <v>9256775534</v>
      </c>
      <c r="G2585" t="s">
        <v>7142</v>
      </c>
      <c r="H2585" t="s">
        <v>761</v>
      </c>
      <c r="I2585" t="s">
        <v>22</v>
      </c>
      <c r="J2585">
        <v>94521</v>
      </c>
      <c r="K2585">
        <v>5005</v>
      </c>
      <c r="L2585" t="s">
        <v>23</v>
      </c>
      <c r="M2585" t="s">
        <v>7142</v>
      </c>
      <c r="N2585" t="s">
        <v>761</v>
      </c>
      <c r="O2585" t="s">
        <v>22</v>
      </c>
      <c r="P2585">
        <v>94521</v>
      </c>
      <c r="Q2585">
        <v>5005</v>
      </c>
      <c r="R2585" t="s">
        <v>23</v>
      </c>
      <c r="S2585" s="1" t="s">
        <v>34218</v>
      </c>
    </row>
    <row r="2586" spans="1:19" x14ac:dyDescent="0.25">
      <c r="A2586">
        <v>100662960</v>
      </c>
      <c r="B2586" t="s">
        <v>7143</v>
      </c>
      <c r="C2586" t="s">
        <v>90</v>
      </c>
      <c r="F2586" t="str">
        <f>"5038876873"</f>
        <v>5038876873</v>
      </c>
      <c r="G2586" t="s">
        <v>7144</v>
      </c>
      <c r="H2586" t="s">
        <v>1877</v>
      </c>
      <c r="I2586" t="s">
        <v>43</v>
      </c>
      <c r="J2586">
        <v>97305</v>
      </c>
      <c r="K2586">
        <v>2161</v>
      </c>
      <c r="L2586" t="s">
        <v>23</v>
      </c>
      <c r="M2586" t="s">
        <v>7144</v>
      </c>
      <c r="N2586" t="s">
        <v>1877</v>
      </c>
      <c r="O2586" t="s">
        <v>43</v>
      </c>
      <c r="P2586">
        <v>97305</v>
      </c>
      <c r="Q2586">
        <v>2161</v>
      </c>
      <c r="R2586" t="s">
        <v>23</v>
      </c>
      <c r="S2586" s="1" t="s">
        <v>34218</v>
      </c>
    </row>
    <row r="2587" spans="1:19" x14ac:dyDescent="0.25">
      <c r="A2587">
        <v>100675437</v>
      </c>
      <c r="B2587" t="s">
        <v>7145</v>
      </c>
      <c r="C2587" t="s">
        <v>787</v>
      </c>
      <c r="F2587" t="str">
        <f>"5592337072"</f>
        <v>5592337072</v>
      </c>
      <c r="G2587" t="s">
        <v>7146</v>
      </c>
      <c r="H2587" t="s">
        <v>207</v>
      </c>
      <c r="I2587" t="s">
        <v>22</v>
      </c>
      <c r="J2587">
        <v>93728</v>
      </c>
      <c r="K2587">
        <v>1634</v>
      </c>
      <c r="L2587" t="s">
        <v>23</v>
      </c>
      <c r="M2587" t="s">
        <v>7146</v>
      </c>
      <c r="N2587" t="s">
        <v>207</v>
      </c>
      <c r="O2587" t="s">
        <v>22</v>
      </c>
      <c r="P2587">
        <v>93728</v>
      </c>
      <c r="Q2587">
        <v>1634</v>
      </c>
      <c r="R2587" t="s">
        <v>23</v>
      </c>
      <c r="S2587" s="1" t="s">
        <v>34218</v>
      </c>
    </row>
    <row r="2588" spans="1:19" x14ac:dyDescent="0.25">
      <c r="A2588">
        <v>100639776</v>
      </c>
      <c r="B2588" t="s">
        <v>7147</v>
      </c>
      <c r="C2588" t="s">
        <v>562</v>
      </c>
      <c r="F2588" t="str">
        <f>"4238476866"</f>
        <v>4238476866</v>
      </c>
      <c r="G2588" t="s">
        <v>7148</v>
      </c>
      <c r="H2588" t="s">
        <v>7149</v>
      </c>
      <c r="I2588" t="s">
        <v>914</v>
      </c>
      <c r="J2588">
        <v>37343</v>
      </c>
      <c r="K2588">
        <v>1556</v>
      </c>
      <c r="L2588" t="s">
        <v>23</v>
      </c>
      <c r="M2588" t="s">
        <v>7148</v>
      </c>
      <c r="N2588" t="s">
        <v>7149</v>
      </c>
      <c r="O2588" t="s">
        <v>914</v>
      </c>
      <c r="P2588">
        <v>37343</v>
      </c>
      <c r="Q2588">
        <v>1556</v>
      </c>
      <c r="R2588" t="s">
        <v>23</v>
      </c>
      <c r="S2588" s="1" t="s">
        <v>34218</v>
      </c>
    </row>
    <row r="2589" spans="1:19" x14ac:dyDescent="0.25">
      <c r="A2589">
        <v>100644452</v>
      </c>
      <c r="B2589" t="s">
        <v>980</v>
      </c>
      <c r="C2589" t="s">
        <v>155</v>
      </c>
      <c r="F2589" t="str">
        <f>"6173617289"</f>
        <v>6173617289</v>
      </c>
      <c r="G2589" t="s">
        <v>7150</v>
      </c>
      <c r="H2589" t="s">
        <v>2514</v>
      </c>
      <c r="I2589" t="s">
        <v>236</v>
      </c>
      <c r="J2589">
        <v>2136</v>
      </c>
      <c r="K2589">
        <v>2453</v>
      </c>
      <c r="L2589" t="s">
        <v>23</v>
      </c>
      <c r="M2589" t="s">
        <v>7150</v>
      </c>
      <c r="N2589" t="s">
        <v>2514</v>
      </c>
      <c r="O2589" t="s">
        <v>236</v>
      </c>
      <c r="P2589">
        <v>2136</v>
      </c>
      <c r="Q2589">
        <v>2453</v>
      </c>
      <c r="R2589" t="s">
        <v>23</v>
      </c>
      <c r="S2589" s="1" t="s">
        <v>34218</v>
      </c>
    </row>
    <row r="2590" spans="1:19" x14ac:dyDescent="0.25">
      <c r="A2590">
        <v>100853918</v>
      </c>
      <c r="B2590" t="s">
        <v>297</v>
      </c>
      <c r="C2590" t="s">
        <v>7151</v>
      </c>
      <c r="F2590" t="str">
        <f>"4016352033"</f>
        <v>4016352033</v>
      </c>
      <c r="G2590" t="s">
        <v>7152</v>
      </c>
      <c r="H2590" t="s">
        <v>7153</v>
      </c>
      <c r="I2590" t="s">
        <v>662</v>
      </c>
      <c r="J2590">
        <v>2837</v>
      </c>
      <c r="K2590">
        <v>1549</v>
      </c>
      <c r="L2590" t="s">
        <v>23</v>
      </c>
      <c r="M2590" t="s">
        <v>7152</v>
      </c>
      <c r="N2590" t="s">
        <v>7153</v>
      </c>
      <c r="O2590" t="s">
        <v>662</v>
      </c>
      <c r="P2590">
        <v>2837</v>
      </c>
      <c r="Q2590">
        <v>1549</v>
      </c>
      <c r="R2590" t="s">
        <v>23</v>
      </c>
      <c r="S2590" s="1" t="s">
        <v>34218</v>
      </c>
    </row>
    <row r="2591" spans="1:19" x14ac:dyDescent="0.25">
      <c r="A2591">
        <v>100700872</v>
      </c>
      <c r="B2591" t="s">
        <v>1449</v>
      </c>
      <c r="C2591" t="s">
        <v>7154</v>
      </c>
      <c r="F2591" t="str">
        <f>"5155555555"</f>
        <v>5155555555</v>
      </c>
      <c r="G2591" t="s">
        <v>7155</v>
      </c>
      <c r="H2591" t="s">
        <v>6879</v>
      </c>
      <c r="I2591" t="s">
        <v>565</v>
      </c>
      <c r="J2591">
        <v>50321</v>
      </c>
      <c r="K2591">
        <v>1946</v>
      </c>
      <c r="L2591" t="s">
        <v>23</v>
      </c>
      <c r="M2591" t="s">
        <v>7155</v>
      </c>
      <c r="N2591" t="s">
        <v>6879</v>
      </c>
      <c r="O2591" t="s">
        <v>565</v>
      </c>
      <c r="P2591">
        <v>50321</v>
      </c>
      <c r="Q2591">
        <v>1946</v>
      </c>
      <c r="R2591" t="s">
        <v>23</v>
      </c>
      <c r="S2591" s="1" t="s">
        <v>34218</v>
      </c>
    </row>
    <row r="2592" spans="1:19" x14ac:dyDescent="0.25">
      <c r="A2592">
        <v>101086528</v>
      </c>
      <c r="B2592" t="s">
        <v>3930</v>
      </c>
      <c r="C2592" t="s">
        <v>1043</v>
      </c>
      <c r="F2592" t="str">
        <f>"8129880500"</f>
        <v>8129880500</v>
      </c>
      <c r="G2592" t="s">
        <v>7156</v>
      </c>
      <c r="H2592" t="s">
        <v>2913</v>
      </c>
      <c r="I2592" t="s">
        <v>57</v>
      </c>
      <c r="J2592">
        <v>46160</v>
      </c>
      <c r="K2592">
        <v>8938</v>
      </c>
      <c r="L2592" t="s">
        <v>23</v>
      </c>
      <c r="M2592" t="s">
        <v>7156</v>
      </c>
      <c r="N2592" t="s">
        <v>2913</v>
      </c>
      <c r="O2592" t="s">
        <v>57</v>
      </c>
      <c r="P2592">
        <v>46160</v>
      </c>
      <c r="Q2592">
        <v>8938</v>
      </c>
      <c r="R2592" t="s">
        <v>23</v>
      </c>
      <c r="S2592" s="1" t="s">
        <v>34218</v>
      </c>
    </row>
    <row r="2593" spans="1:19" x14ac:dyDescent="0.25">
      <c r="A2593">
        <v>101122269</v>
      </c>
      <c r="B2593" t="s">
        <v>7157</v>
      </c>
      <c r="C2593" t="s">
        <v>329</v>
      </c>
      <c r="F2593" t="str">
        <f>"8315958538"</f>
        <v>8315958538</v>
      </c>
      <c r="G2593" t="s">
        <v>7158</v>
      </c>
      <c r="H2593" t="s">
        <v>7159</v>
      </c>
      <c r="I2593" t="s">
        <v>33</v>
      </c>
      <c r="J2593">
        <v>15044</v>
      </c>
      <c r="K2593">
        <v>8383</v>
      </c>
      <c r="L2593" t="s">
        <v>23</v>
      </c>
      <c r="M2593" t="s">
        <v>7158</v>
      </c>
      <c r="N2593" t="s">
        <v>7159</v>
      </c>
      <c r="O2593" t="s">
        <v>33</v>
      </c>
      <c r="P2593">
        <v>15044</v>
      </c>
      <c r="Q2593">
        <v>8383</v>
      </c>
      <c r="R2593" t="s">
        <v>23</v>
      </c>
      <c r="S2593" s="1" t="s">
        <v>34218</v>
      </c>
    </row>
    <row r="2594" spans="1:19" x14ac:dyDescent="0.25">
      <c r="A2594">
        <v>101361897</v>
      </c>
      <c r="B2594" t="s">
        <v>7160</v>
      </c>
      <c r="C2594" t="s">
        <v>403</v>
      </c>
      <c r="F2594" t="str">
        <f>"8325066087"</f>
        <v>8325066087</v>
      </c>
      <c r="G2594" t="s">
        <v>7161</v>
      </c>
      <c r="H2594" t="s">
        <v>7162</v>
      </c>
      <c r="I2594" t="s">
        <v>38</v>
      </c>
      <c r="J2594">
        <v>77450</v>
      </c>
      <c r="K2594">
        <v>2017</v>
      </c>
      <c r="L2594" t="s">
        <v>23</v>
      </c>
      <c r="M2594" t="s">
        <v>7161</v>
      </c>
      <c r="N2594" t="s">
        <v>7162</v>
      </c>
      <c r="O2594" t="s">
        <v>38</v>
      </c>
      <c r="P2594">
        <v>77450</v>
      </c>
      <c r="Q2594">
        <v>2017</v>
      </c>
      <c r="R2594" t="s">
        <v>23</v>
      </c>
      <c r="S2594" s="1" t="s">
        <v>34218</v>
      </c>
    </row>
    <row r="2595" spans="1:19" x14ac:dyDescent="0.25">
      <c r="A2595">
        <v>100979362</v>
      </c>
      <c r="B2595" t="s">
        <v>7163</v>
      </c>
      <c r="C2595" t="s">
        <v>7164</v>
      </c>
      <c r="F2595" t="str">
        <f>"7322372676"</f>
        <v>7322372676</v>
      </c>
      <c r="G2595" t="s">
        <v>7165</v>
      </c>
      <c r="H2595" t="s">
        <v>7166</v>
      </c>
      <c r="I2595" t="s">
        <v>250</v>
      </c>
      <c r="J2595">
        <v>8721</v>
      </c>
      <c r="K2595">
        <v>2454</v>
      </c>
      <c r="L2595" t="s">
        <v>23</v>
      </c>
      <c r="M2595" t="s">
        <v>7165</v>
      </c>
      <c r="N2595" t="s">
        <v>7166</v>
      </c>
      <c r="O2595" t="s">
        <v>250</v>
      </c>
      <c r="P2595">
        <v>8721</v>
      </c>
      <c r="Q2595">
        <v>2454</v>
      </c>
      <c r="R2595" t="s">
        <v>23</v>
      </c>
      <c r="S2595" s="1" t="s">
        <v>34218</v>
      </c>
    </row>
    <row r="2596" spans="1:19" x14ac:dyDescent="0.25">
      <c r="A2596">
        <v>100980067</v>
      </c>
      <c r="B2596" t="s">
        <v>7167</v>
      </c>
      <c r="C2596" t="s">
        <v>305</v>
      </c>
      <c r="F2596" t="str">
        <f>"8053897261"</f>
        <v>8053897261</v>
      </c>
      <c r="G2596" t="s">
        <v>7168</v>
      </c>
      <c r="H2596" t="s">
        <v>7169</v>
      </c>
      <c r="I2596" t="s">
        <v>22</v>
      </c>
      <c r="J2596">
        <v>93010</v>
      </c>
      <c r="K2596">
        <v>7820</v>
      </c>
      <c r="L2596" t="s">
        <v>23</v>
      </c>
      <c r="M2596" t="s">
        <v>7168</v>
      </c>
      <c r="N2596" t="s">
        <v>7169</v>
      </c>
      <c r="O2596" t="s">
        <v>22</v>
      </c>
      <c r="P2596">
        <v>93010</v>
      </c>
      <c r="Q2596">
        <v>7820</v>
      </c>
      <c r="R2596" t="s">
        <v>23</v>
      </c>
      <c r="S2596" s="1" t="s">
        <v>34218</v>
      </c>
    </row>
    <row r="2597" spans="1:19" x14ac:dyDescent="0.25">
      <c r="A2597">
        <v>100568960</v>
      </c>
      <c r="B2597" t="s">
        <v>80</v>
      </c>
      <c r="C2597" t="s">
        <v>7170</v>
      </c>
      <c r="F2597" t="str">
        <f>"2129806909"</f>
        <v>2129806909</v>
      </c>
      <c r="G2597" t="s">
        <v>7171</v>
      </c>
      <c r="H2597" t="s">
        <v>653</v>
      </c>
      <c r="I2597" t="s">
        <v>117</v>
      </c>
      <c r="J2597" t="s">
        <v>7172</v>
      </c>
      <c r="K2597">
        <v>8341</v>
      </c>
      <c r="L2597" t="s">
        <v>23</v>
      </c>
      <c r="M2597" t="s">
        <v>7171</v>
      </c>
      <c r="N2597" t="s">
        <v>653</v>
      </c>
      <c r="O2597" t="s">
        <v>117</v>
      </c>
      <c r="P2597" t="s">
        <v>7172</v>
      </c>
      <c r="Q2597">
        <v>8341</v>
      </c>
      <c r="R2597" t="s">
        <v>23</v>
      </c>
      <c r="S2597" s="1" t="s">
        <v>34218</v>
      </c>
    </row>
    <row r="2598" spans="1:19" x14ac:dyDescent="0.25">
      <c r="A2598">
        <v>101061067</v>
      </c>
      <c r="B2598" t="s">
        <v>7173</v>
      </c>
      <c r="C2598" t="s">
        <v>1616</v>
      </c>
      <c r="F2598" t="str">
        <f>"9197033632"</f>
        <v>9197033632</v>
      </c>
      <c r="G2598" t="s">
        <v>7174</v>
      </c>
      <c r="H2598" t="s">
        <v>1276</v>
      </c>
      <c r="I2598" t="s">
        <v>446</v>
      </c>
      <c r="J2598">
        <v>27517</v>
      </c>
      <c r="K2598">
        <v>7207</v>
      </c>
      <c r="L2598" t="s">
        <v>23</v>
      </c>
      <c r="M2598" t="s">
        <v>7174</v>
      </c>
      <c r="N2598" t="s">
        <v>1276</v>
      </c>
      <c r="O2598" t="s">
        <v>446</v>
      </c>
      <c r="P2598">
        <v>27517</v>
      </c>
      <c r="Q2598">
        <v>7207</v>
      </c>
      <c r="R2598" t="s">
        <v>23</v>
      </c>
      <c r="S2598" s="1" t="s">
        <v>34218</v>
      </c>
    </row>
    <row r="2599" spans="1:19" x14ac:dyDescent="0.25">
      <c r="A2599">
        <v>101277902</v>
      </c>
      <c r="B2599" t="s">
        <v>7175</v>
      </c>
      <c r="C2599" t="s">
        <v>286</v>
      </c>
      <c r="F2599" t="str">
        <f>"9786320847"</f>
        <v>9786320847</v>
      </c>
      <c r="G2599" t="s">
        <v>7176</v>
      </c>
      <c r="H2599" t="s">
        <v>2376</v>
      </c>
      <c r="I2599" t="s">
        <v>236</v>
      </c>
      <c r="J2599">
        <v>1440</v>
      </c>
      <c r="K2599">
        <v>2894</v>
      </c>
      <c r="L2599" t="s">
        <v>23</v>
      </c>
      <c r="M2599" t="s">
        <v>7176</v>
      </c>
      <c r="N2599" t="s">
        <v>2376</v>
      </c>
      <c r="O2599" t="s">
        <v>236</v>
      </c>
      <c r="P2599">
        <v>1440</v>
      </c>
      <c r="Q2599">
        <v>2894</v>
      </c>
      <c r="R2599" t="s">
        <v>23</v>
      </c>
      <c r="S2599" s="1" t="s">
        <v>34218</v>
      </c>
    </row>
    <row r="2600" spans="1:19" x14ac:dyDescent="0.25">
      <c r="A2600">
        <v>100538581</v>
      </c>
      <c r="B2600" t="s">
        <v>7177</v>
      </c>
      <c r="C2600" t="s">
        <v>3043</v>
      </c>
      <c r="F2600" t="str">
        <f>"3609331301"</f>
        <v>3609331301</v>
      </c>
      <c r="G2600" t="s">
        <v>7178</v>
      </c>
      <c r="H2600" t="s">
        <v>1531</v>
      </c>
      <c r="I2600" t="s">
        <v>84</v>
      </c>
      <c r="J2600">
        <v>98112</v>
      </c>
      <c r="K2600">
        <v>2935</v>
      </c>
      <c r="L2600" t="s">
        <v>23</v>
      </c>
      <c r="M2600" t="s">
        <v>7178</v>
      </c>
      <c r="N2600" t="s">
        <v>1531</v>
      </c>
      <c r="O2600" t="s">
        <v>84</v>
      </c>
      <c r="P2600">
        <v>98112</v>
      </c>
      <c r="Q2600">
        <v>2935</v>
      </c>
      <c r="R2600" t="s">
        <v>23</v>
      </c>
      <c r="S2600" s="1" t="s">
        <v>34218</v>
      </c>
    </row>
    <row r="2601" spans="1:19" x14ac:dyDescent="0.25">
      <c r="A2601">
        <v>100608769</v>
      </c>
      <c r="B2601" t="s">
        <v>7179</v>
      </c>
      <c r="C2601" t="s">
        <v>7180</v>
      </c>
      <c r="F2601" t="str">
        <f>"9137357381"</f>
        <v>9137357381</v>
      </c>
      <c r="G2601" t="s">
        <v>7181</v>
      </c>
      <c r="H2601" t="s">
        <v>240</v>
      </c>
      <c r="I2601" t="s">
        <v>241</v>
      </c>
      <c r="J2601">
        <v>66225</v>
      </c>
      <c r="K2601">
        <v>6566</v>
      </c>
      <c r="L2601" t="s">
        <v>23</v>
      </c>
      <c r="M2601" t="s">
        <v>7181</v>
      </c>
      <c r="N2601" t="s">
        <v>240</v>
      </c>
      <c r="O2601" t="s">
        <v>241</v>
      </c>
      <c r="P2601">
        <v>66225</v>
      </c>
      <c r="Q2601">
        <v>6566</v>
      </c>
      <c r="R2601" t="s">
        <v>23</v>
      </c>
      <c r="S2601" s="1" t="s">
        <v>34218</v>
      </c>
    </row>
    <row r="2602" spans="1:19" x14ac:dyDescent="0.25">
      <c r="A2602">
        <v>100617490</v>
      </c>
      <c r="B2602" t="s">
        <v>7182</v>
      </c>
      <c r="C2602" t="s">
        <v>589</v>
      </c>
      <c r="F2602" t="str">
        <f>"9259471543"</f>
        <v>9259471543</v>
      </c>
      <c r="G2602" t="s">
        <v>7183</v>
      </c>
      <c r="H2602" t="s">
        <v>4199</v>
      </c>
      <c r="I2602" t="s">
        <v>22</v>
      </c>
      <c r="J2602">
        <v>94549</v>
      </c>
      <c r="K2602">
        <v>1811</v>
      </c>
      <c r="L2602" t="s">
        <v>23</v>
      </c>
      <c r="M2602" t="s">
        <v>7183</v>
      </c>
      <c r="N2602" t="s">
        <v>4199</v>
      </c>
      <c r="O2602" t="s">
        <v>22</v>
      </c>
      <c r="P2602">
        <v>94549</v>
      </c>
      <c r="Q2602">
        <v>1811</v>
      </c>
      <c r="R2602" t="s">
        <v>23</v>
      </c>
      <c r="S2602" s="1" t="s">
        <v>34218</v>
      </c>
    </row>
    <row r="2603" spans="1:19" x14ac:dyDescent="0.25">
      <c r="A2603">
        <v>100624081</v>
      </c>
      <c r="B2603" t="s">
        <v>7184</v>
      </c>
      <c r="C2603" t="s">
        <v>123</v>
      </c>
      <c r="F2603" t="str">
        <f>"3234595474"</f>
        <v>3234595474</v>
      </c>
      <c r="G2603" t="s">
        <v>7185</v>
      </c>
      <c r="H2603" t="s">
        <v>653</v>
      </c>
      <c r="I2603" t="s">
        <v>117</v>
      </c>
      <c r="J2603">
        <v>10032</v>
      </c>
      <c r="K2603">
        <v>2331</v>
      </c>
      <c r="L2603" t="s">
        <v>23</v>
      </c>
      <c r="M2603" t="s">
        <v>7185</v>
      </c>
      <c r="N2603" t="s">
        <v>653</v>
      </c>
      <c r="O2603" t="s">
        <v>117</v>
      </c>
      <c r="P2603">
        <v>10032</v>
      </c>
      <c r="Q2603">
        <v>2331</v>
      </c>
      <c r="R2603" t="s">
        <v>23</v>
      </c>
      <c r="S2603" s="1" t="s">
        <v>34218</v>
      </c>
    </row>
    <row r="2604" spans="1:19" x14ac:dyDescent="0.25">
      <c r="A2604">
        <v>101268393</v>
      </c>
      <c r="B2604" t="s">
        <v>880</v>
      </c>
      <c r="C2604" t="s">
        <v>233</v>
      </c>
      <c r="F2604" t="str">
        <f>"2154899191"</f>
        <v>2154899191</v>
      </c>
      <c r="G2604" t="s">
        <v>7186</v>
      </c>
      <c r="H2604" t="s">
        <v>6211</v>
      </c>
      <c r="I2604" t="s">
        <v>33</v>
      </c>
      <c r="J2604">
        <v>18901</v>
      </c>
      <c r="K2604">
        <v>2914</v>
      </c>
      <c r="L2604" t="s">
        <v>23</v>
      </c>
      <c r="M2604" t="s">
        <v>7186</v>
      </c>
      <c r="N2604" t="s">
        <v>6211</v>
      </c>
      <c r="O2604" t="s">
        <v>33</v>
      </c>
      <c r="P2604">
        <v>18901</v>
      </c>
      <c r="Q2604">
        <v>2914</v>
      </c>
      <c r="R2604" t="s">
        <v>23</v>
      </c>
      <c r="S2604" s="1" t="s">
        <v>34218</v>
      </c>
    </row>
    <row r="2605" spans="1:19" x14ac:dyDescent="0.25">
      <c r="A2605">
        <v>100584985</v>
      </c>
      <c r="B2605" t="s">
        <v>7187</v>
      </c>
      <c r="C2605" t="s">
        <v>1835</v>
      </c>
      <c r="F2605" t="str">
        <f>"9702408078"</f>
        <v>9702408078</v>
      </c>
      <c r="G2605" t="s">
        <v>7188</v>
      </c>
      <c r="H2605" t="s">
        <v>4495</v>
      </c>
      <c r="I2605" t="s">
        <v>71</v>
      </c>
      <c r="J2605">
        <v>81403</v>
      </c>
      <c r="K2605">
        <v>8927</v>
      </c>
      <c r="L2605" t="s">
        <v>23</v>
      </c>
      <c r="M2605" t="s">
        <v>7188</v>
      </c>
      <c r="N2605" t="s">
        <v>4495</v>
      </c>
      <c r="O2605" t="s">
        <v>71</v>
      </c>
      <c r="P2605">
        <v>81403</v>
      </c>
      <c r="Q2605">
        <v>8927</v>
      </c>
      <c r="R2605" t="s">
        <v>23</v>
      </c>
      <c r="S2605" s="1" t="s">
        <v>34218</v>
      </c>
    </row>
    <row r="2606" spans="1:19" x14ac:dyDescent="0.25">
      <c r="A2606">
        <v>100810031</v>
      </c>
      <c r="B2606" t="s">
        <v>7189</v>
      </c>
      <c r="C2606" t="s">
        <v>30</v>
      </c>
      <c r="F2606" t="str">
        <f>"3149622318"</f>
        <v>3149622318</v>
      </c>
      <c r="G2606" t="s">
        <v>7190</v>
      </c>
      <c r="H2606" t="s">
        <v>7191</v>
      </c>
      <c r="I2606" t="s">
        <v>126</v>
      </c>
      <c r="J2606">
        <v>63144</v>
      </c>
      <c r="K2606">
        <v>2629</v>
      </c>
      <c r="L2606" t="s">
        <v>23</v>
      </c>
      <c r="M2606" t="s">
        <v>7190</v>
      </c>
      <c r="N2606" t="s">
        <v>7191</v>
      </c>
      <c r="O2606" t="s">
        <v>126</v>
      </c>
      <c r="P2606">
        <v>63144</v>
      </c>
      <c r="Q2606">
        <v>2629</v>
      </c>
      <c r="R2606" t="s">
        <v>23</v>
      </c>
      <c r="S2606" s="1" t="s">
        <v>34218</v>
      </c>
    </row>
    <row r="2607" spans="1:19" x14ac:dyDescent="0.25">
      <c r="A2607">
        <v>100628380</v>
      </c>
      <c r="B2607" t="s">
        <v>7192</v>
      </c>
      <c r="C2607" t="s">
        <v>1327</v>
      </c>
      <c r="F2607" t="str">
        <f>"3162139890"</f>
        <v>3162139890</v>
      </c>
      <c r="G2607" t="s">
        <v>7193</v>
      </c>
      <c r="H2607" t="s">
        <v>340</v>
      </c>
      <c r="I2607" t="s">
        <v>241</v>
      </c>
      <c r="J2607">
        <v>67218</v>
      </c>
      <c r="K2607">
        <v>2318</v>
      </c>
      <c r="L2607" t="s">
        <v>23</v>
      </c>
      <c r="M2607" t="s">
        <v>7193</v>
      </c>
      <c r="N2607" t="s">
        <v>340</v>
      </c>
      <c r="O2607" t="s">
        <v>241</v>
      </c>
      <c r="P2607">
        <v>67218</v>
      </c>
      <c r="Q2607">
        <v>2318</v>
      </c>
      <c r="R2607" t="s">
        <v>23</v>
      </c>
      <c r="S2607" s="1" t="s">
        <v>34218</v>
      </c>
    </row>
    <row r="2608" spans="1:19" x14ac:dyDescent="0.25">
      <c r="A2608">
        <v>100642770</v>
      </c>
      <c r="B2608" t="s">
        <v>7194</v>
      </c>
      <c r="C2608" t="s">
        <v>7195</v>
      </c>
      <c r="F2608" t="str">
        <f>"3024788135"</f>
        <v>3024788135</v>
      </c>
      <c r="G2608" t="s">
        <v>7196</v>
      </c>
      <c r="H2608" t="s">
        <v>2309</v>
      </c>
      <c r="I2608" t="s">
        <v>2310</v>
      </c>
      <c r="J2608">
        <v>19803</v>
      </c>
      <c r="K2608">
        <v>5116</v>
      </c>
      <c r="L2608" t="s">
        <v>23</v>
      </c>
      <c r="M2608" t="s">
        <v>7196</v>
      </c>
      <c r="N2608" t="s">
        <v>2309</v>
      </c>
      <c r="O2608" t="s">
        <v>2310</v>
      </c>
      <c r="P2608">
        <v>19803</v>
      </c>
      <c r="Q2608">
        <v>5116</v>
      </c>
      <c r="R2608" t="s">
        <v>23</v>
      </c>
      <c r="S2608" s="1" t="s">
        <v>34218</v>
      </c>
    </row>
    <row r="2609" spans="1:19" x14ac:dyDescent="0.25">
      <c r="A2609">
        <v>100846461</v>
      </c>
      <c r="B2609" t="s">
        <v>208</v>
      </c>
      <c r="C2609" t="s">
        <v>7104</v>
      </c>
      <c r="F2609" t="str">
        <f>"5128675309"</f>
        <v>5128675309</v>
      </c>
      <c r="G2609" t="s">
        <v>7197</v>
      </c>
      <c r="H2609" t="s">
        <v>37</v>
      </c>
      <c r="I2609" t="s">
        <v>38</v>
      </c>
      <c r="J2609">
        <v>78704</v>
      </c>
      <c r="K2609">
        <v>2147</v>
      </c>
      <c r="L2609" t="s">
        <v>23</v>
      </c>
      <c r="M2609" t="s">
        <v>7197</v>
      </c>
      <c r="N2609" t="s">
        <v>37</v>
      </c>
      <c r="O2609" t="s">
        <v>38</v>
      </c>
      <c r="P2609">
        <v>78704</v>
      </c>
      <c r="Q2609">
        <v>2147</v>
      </c>
      <c r="R2609" t="s">
        <v>23</v>
      </c>
      <c r="S2609" s="1" t="s">
        <v>34218</v>
      </c>
    </row>
    <row r="2610" spans="1:19" x14ac:dyDescent="0.25">
      <c r="A2610">
        <v>100517738</v>
      </c>
      <c r="B2610" t="s">
        <v>1238</v>
      </c>
      <c r="C2610" t="s">
        <v>262</v>
      </c>
      <c r="F2610" t="str">
        <f>"4104445481"</f>
        <v>4104445481</v>
      </c>
      <c r="G2610" t="s">
        <v>7198</v>
      </c>
      <c r="H2610" t="s">
        <v>3668</v>
      </c>
      <c r="I2610" t="s">
        <v>148</v>
      </c>
      <c r="J2610">
        <v>21214</v>
      </c>
      <c r="K2610">
        <v>3310</v>
      </c>
      <c r="L2610" t="s">
        <v>23</v>
      </c>
      <c r="M2610" t="s">
        <v>7198</v>
      </c>
      <c r="N2610" t="s">
        <v>3668</v>
      </c>
      <c r="O2610" t="s">
        <v>148</v>
      </c>
      <c r="P2610">
        <v>21214</v>
      </c>
      <c r="Q2610">
        <v>3310</v>
      </c>
      <c r="R2610" t="s">
        <v>23</v>
      </c>
      <c r="S2610" s="1" t="s">
        <v>34218</v>
      </c>
    </row>
    <row r="2611" spans="1:19" x14ac:dyDescent="0.25">
      <c r="A2611">
        <v>100708428</v>
      </c>
      <c r="B2611" t="s">
        <v>402</v>
      </c>
      <c r="C2611" t="s">
        <v>7199</v>
      </c>
      <c r="F2611" t="str">
        <f>"5418849942"</f>
        <v>5418849942</v>
      </c>
      <c r="G2611" t="s">
        <v>7200</v>
      </c>
      <c r="H2611" t="s">
        <v>7201</v>
      </c>
      <c r="I2611" t="s">
        <v>43</v>
      </c>
      <c r="J2611">
        <v>97603</v>
      </c>
      <c r="K2611">
        <v>5302</v>
      </c>
      <c r="L2611" t="s">
        <v>23</v>
      </c>
      <c r="M2611" t="s">
        <v>7200</v>
      </c>
      <c r="N2611" t="s">
        <v>7201</v>
      </c>
      <c r="O2611" t="s">
        <v>43</v>
      </c>
      <c r="P2611">
        <v>97603</v>
      </c>
      <c r="Q2611">
        <v>5302</v>
      </c>
      <c r="R2611" t="s">
        <v>23</v>
      </c>
      <c r="S2611" s="1" t="s">
        <v>34218</v>
      </c>
    </row>
    <row r="2612" spans="1:19" x14ac:dyDescent="0.25">
      <c r="A2612">
        <v>100711496</v>
      </c>
      <c r="B2612" t="s">
        <v>3109</v>
      </c>
      <c r="C2612" t="s">
        <v>4078</v>
      </c>
      <c r="F2612" t="str">
        <f>"5303947609"</f>
        <v>5303947609</v>
      </c>
      <c r="G2612" t="s">
        <v>7202</v>
      </c>
      <c r="H2612" t="s">
        <v>7203</v>
      </c>
      <c r="I2612" t="s">
        <v>22</v>
      </c>
      <c r="J2612">
        <v>96122</v>
      </c>
      <c r="K2612">
        <v>8210</v>
      </c>
      <c r="L2612" t="s">
        <v>23</v>
      </c>
      <c r="M2612" t="s">
        <v>7202</v>
      </c>
      <c r="N2612" t="s">
        <v>7203</v>
      </c>
      <c r="O2612" t="s">
        <v>22</v>
      </c>
      <c r="P2612">
        <v>96122</v>
      </c>
      <c r="Q2612">
        <v>8210</v>
      </c>
      <c r="R2612" t="s">
        <v>23</v>
      </c>
      <c r="S2612" s="1" t="s">
        <v>34218</v>
      </c>
    </row>
    <row r="2613" spans="1:19" x14ac:dyDescent="0.25">
      <c r="A2613">
        <v>100721626</v>
      </c>
      <c r="B2613" t="s">
        <v>7204</v>
      </c>
      <c r="C2613" t="s">
        <v>535</v>
      </c>
      <c r="F2613" t="str">
        <f>"5305551212"</f>
        <v>5305551212</v>
      </c>
      <c r="G2613" t="s">
        <v>7205</v>
      </c>
      <c r="H2613" t="s">
        <v>2674</v>
      </c>
      <c r="I2613" t="s">
        <v>22</v>
      </c>
      <c r="J2613">
        <v>95945</v>
      </c>
      <c r="K2613">
        <v>3215</v>
      </c>
      <c r="L2613" t="s">
        <v>23</v>
      </c>
      <c r="M2613" t="s">
        <v>7205</v>
      </c>
      <c r="N2613" t="s">
        <v>2674</v>
      </c>
      <c r="O2613" t="s">
        <v>22</v>
      </c>
      <c r="P2613">
        <v>95945</v>
      </c>
      <c r="Q2613">
        <v>3215</v>
      </c>
      <c r="R2613" t="s">
        <v>23</v>
      </c>
      <c r="S2613" s="1" t="s">
        <v>34218</v>
      </c>
    </row>
    <row r="2614" spans="1:19" x14ac:dyDescent="0.25">
      <c r="A2614">
        <v>100931335</v>
      </c>
      <c r="B2614" t="s">
        <v>5346</v>
      </c>
      <c r="C2614" t="s">
        <v>59</v>
      </c>
      <c r="F2614" t="str">
        <f>"8056938100"</f>
        <v>8056938100</v>
      </c>
      <c r="G2614" t="s">
        <v>7206</v>
      </c>
      <c r="H2614" t="s">
        <v>7207</v>
      </c>
      <c r="I2614" t="s">
        <v>22</v>
      </c>
      <c r="J2614">
        <v>93463</v>
      </c>
      <c r="K2614">
        <v>3222</v>
      </c>
      <c r="L2614" t="s">
        <v>23</v>
      </c>
      <c r="M2614" t="s">
        <v>7206</v>
      </c>
      <c r="N2614" t="s">
        <v>7207</v>
      </c>
      <c r="O2614" t="s">
        <v>22</v>
      </c>
      <c r="P2614">
        <v>93463</v>
      </c>
      <c r="Q2614">
        <v>3222</v>
      </c>
      <c r="R2614" t="s">
        <v>23</v>
      </c>
      <c r="S2614" s="1" t="s">
        <v>34218</v>
      </c>
    </row>
    <row r="2615" spans="1:19" x14ac:dyDescent="0.25">
      <c r="A2615">
        <v>100932357</v>
      </c>
      <c r="B2615" t="s">
        <v>1746</v>
      </c>
      <c r="C2615" t="s">
        <v>313</v>
      </c>
      <c r="F2615" t="str">
        <f>"4086054630"</f>
        <v>4086054630</v>
      </c>
      <c r="G2615" t="s">
        <v>7208</v>
      </c>
      <c r="H2615" t="s">
        <v>3005</v>
      </c>
      <c r="I2615" t="s">
        <v>22</v>
      </c>
      <c r="J2615">
        <v>95014</v>
      </c>
      <c r="K2615">
        <v>3958</v>
      </c>
      <c r="L2615" t="s">
        <v>23</v>
      </c>
      <c r="M2615" t="s">
        <v>7208</v>
      </c>
      <c r="N2615" t="s">
        <v>3005</v>
      </c>
      <c r="O2615" t="s">
        <v>22</v>
      </c>
      <c r="P2615">
        <v>95014</v>
      </c>
      <c r="Q2615">
        <v>3958</v>
      </c>
      <c r="R2615" t="s">
        <v>23</v>
      </c>
      <c r="S2615" s="1" t="s">
        <v>34218</v>
      </c>
    </row>
    <row r="2616" spans="1:19" x14ac:dyDescent="0.25">
      <c r="A2616">
        <v>100928747</v>
      </c>
      <c r="B2616" t="s">
        <v>7209</v>
      </c>
      <c r="C2616" t="s">
        <v>1208</v>
      </c>
      <c r="F2616" t="str">
        <f>"2156610283"</f>
        <v>2156610283</v>
      </c>
      <c r="G2616" t="s">
        <v>7210</v>
      </c>
      <c r="H2616" t="s">
        <v>7211</v>
      </c>
      <c r="I2616" t="s">
        <v>33</v>
      </c>
      <c r="J2616">
        <v>19454</v>
      </c>
      <c r="K2616">
        <v>2600</v>
      </c>
      <c r="L2616" t="s">
        <v>23</v>
      </c>
      <c r="M2616" t="s">
        <v>7210</v>
      </c>
      <c r="N2616" t="s">
        <v>7211</v>
      </c>
      <c r="O2616" t="s">
        <v>33</v>
      </c>
      <c r="P2616">
        <v>19454</v>
      </c>
      <c r="Q2616">
        <v>2600</v>
      </c>
      <c r="R2616" t="s">
        <v>23</v>
      </c>
      <c r="S2616" s="1" t="s">
        <v>34218</v>
      </c>
    </row>
    <row r="2617" spans="1:19" x14ac:dyDescent="0.25">
      <c r="A2617">
        <v>101291299</v>
      </c>
      <c r="B2617" t="s">
        <v>1525</v>
      </c>
      <c r="C2617" t="s">
        <v>7212</v>
      </c>
      <c r="F2617" t="str">
        <f>"3082247316"</f>
        <v>3082247316</v>
      </c>
      <c r="G2617" t="s">
        <v>7213</v>
      </c>
      <c r="H2617" t="s">
        <v>7214</v>
      </c>
      <c r="I2617" t="s">
        <v>2566</v>
      </c>
      <c r="J2617">
        <v>99709</v>
      </c>
      <c r="K2617">
        <v>7212</v>
      </c>
      <c r="L2617" t="s">
        <v>23</v>
      </c>
      <c r="M2617" t="s">
        <v>7213</v>
      </c>
      <c r="N2617" t="s">
        <v>7214</v>
      </c>
      <c r="O2617" t="s">
        <v>2566</v>
      </c>
      <c r="P2617">
        <v>99709</v>
      </c>
      <c r="Q2617">
        <v>7212</v>
      </c>
      <c r="R2617" t="s">
        <v>23</v>
      </c>
      <c r="S2617" s="1" t="s">
        <v>34218</v>
      </c>
    </row>
    <row r="2618" spans="1:19" x14ac:dyDescent="0.25">
      <c r="A2618">
        <v>100672065</v>
      </c>
      <c r="B2618" t="s">
        <v>7215</v>
      </c>
      <c r="C2618" t="s">
        <v>1737</v>
      </c>
      <c r="F2618" t="str">
        <f>"5057507973"</f>
        <v>5057507973</v>
      </c>
      <c r="G2618" t="s">
        <v>7216</v>
      </c>
      <c r="H2618" t="s">
        <v>638</v>
      </c>
      <c r="I2618" t="s">
        <v>639</v>
      </c>
      <c r="J2618">
        <v>87112</v>
      </c>
      <c r="K2618">
        <v>2767</v>
      </c>
      <c r="L2618" t="s">
        <v>23</v>
      </c>
      <c r="M2618" t="s">
        <v>7216</v>
      </c>
      <c r="N2618" t="s">
        <v>638</v>
      </c>
      <c r="O2618" t="s">
        <v>639</v>
      </c>
      <c r="P2618">
        <v>87112</v>
      </c>
      <c r="Q2618">
        <v>2767</v>
      </c>
      <c r="R2618" t="s">
        <v>23</v>
      </c>
      <c r="S2618" s="1" t="s">
        <v>34218</v>
      </c>
    </row>
    <row r="2619" spans="1:19" x14ac:dyDescent="0.25">
      <c r="A2619">
        <v>100674217</v>
      </c>
      <c r="B2619" t="s">
        <v>7217</v>
      </c>
      <c r="C2619" t="s">
        <v>2557</v>
      </c>
      <c r="F2619" t="str">
        <f>"4088368913"</f>
        <v>4088368913</v>
      </c>
      <c r="G2619" t="s">
        <v>7218</v>
      </c>
      <c r="H2619" t="s">
        <v>4162</v>
      </c>
      <c r="I2619" t="s">
        <v>43</v>
      </c>
      <c r="J2619">
        <v>97124</v>
      </c>
      <c r="K2619">
        <v>2425</v>
      </c>
      <c r="L2619" t="s">
        <v>23</v>
      </c>
      <c r="M2619" t="s">
        <v>7218</v>
      </c>
      <c r="N2619" t="s">
        <v>4162</v>
      </c>
      <c r="O2619" t="s">
        <v>43</v>
      </c>
      <c r="P2619">
        <v>97124</v>
      </c>
      <c r="Q2619">
        <v>2425</v>
      </c>
      <c r="R2619" t="s">
        <v>23</v>
      </c>
      <c r="S2619" s="1" t="s">
        <v>34218</v>
      </c>
    </row>
    <row r="2620" spans="1:19" x14ac:dyDescent="0.25">
      <c r="A2620">
        <v>100698788</v>
      </c>
      <c r="B2620" t="s">
        <v>7219</v>
      </c>
      <c r="C2620" t="s">
        <v>5711</v>
      </c>
      <c r="F2620" t="str">
        <f>"6032846204"</f>
        <v>6032846204</v>
      </c>
      <c r="G2620" t="s">
        <v>7220</v>
      </c>
      <c r="H2620" t="s">
        <v>7221</v>
      </c>
      <c r="I2620" t="s">
        <v>353</v>
      </c>
      <c r="J2620">
        <v>3227</v>
      </c>
      <c r="K2620">
        <v>3308</v>
      </c>
      <c r="L2620" t="s">
        <v>23</v>
      </c>
      <c r="M2620" t="s">
        <v>7220</v>
      </c>
      <c r="N2620" t="s">
        <v>7221</v>
      </c>
      <c r="O2620" t="s">
        <v>353</v>
      </c>
      <c r="P2620">
        <v>3227</v>
      </c>
      <c r="Q2620">
        <v>3308</v>
      </c>
      <c r="R2620" t="s">
        <v>23</v>
      </c>
      <c r="S2620" s="1" t="s">
        <v>34218</v>
      </c>
    </row>
    <row r="2621" spans="1:19" x14ac:dyDescent="0.25">
      <c r="A2621">
        <v>101107934</v>
      </c>
      <c r="B2621" t="s">
        <v>7222</v>
      </c>
      <c r="C2621" t="s">
        <v>123</v>
      </c>
      <c r="F2621" t="str">
        <f>"9787061427"</f>
        <v>9787061427</v>
      </c>
      <c r="G2621" t="s">
        <v>7223</v>
      </c>
      <c r="H2621" t="s">
        <v>504</v>
      </c>
      <c r="I2621" t="s">
        <v>236</v>
      </c>
      <c r="J2621">
        <v>1510</v>
      </c>
      <c r="K2621">
        <v>1468</v>
      </c>
      <c r="L2621" t="s">
        <v>23</v>
      </c>
      <c r="M2621" t="s">
        <v>7223</v>
      </c>
      <c r="N2621" t="s">
        <v>504</v>
      </c>
      <c r="O2621" t="s">
        <v>236</v>
      </c>
      <c r="P2621">
        <v>1510</v>
      </c>
      <c r="Q2621">
        <v>1468</v>
      </c>
      <c r="R2621" t="s">
        <v>23</v>
      </c>
      <c r="S2621" s="1" t="s">
        <v>34218</v>
      </c>
    </row>
    <row r="2622" spans="1:19" x14ac:dyDescent="0.25">
      <c r="A2622">
        <v>100950952</v>
      </c>
      <c r="B2622" t="s">
        <v>3184</v>
      </c>
      <c r="C2622" t="s">
        <v>247</v>
      </c>
      <c r="F2622" t="str">
        <f>"8437955260"</f>
        <v>8437955260</v>
      </c>
      <c r="G2622" t="s">
        <v>7224</v>
      </c>
      <c r="H2622" t="s">
        <v>4932</v>
      </c>
      <c r="I2622" t="s">
        <v>1482</v>
      </c>
      <c r="J2622">
        <v>29412</v>
      </c>
      <c r="K2622">
        <v>5043</v>
      </c>
      <c r="L2622" t="s">
        <v>23</v>
      </c>
      <c r="M2622" t="s">
        <v>7224</v>
      </c>
      <c r="N2622" t="s">
        <v>4932</v>
      </c>
      <c r="O2622" t="s">
        <v>1482</v>
      </c>
      <c r="P2622">
        <v>29412</v>
      </c>
      <c r="Q2622">
        <v>5043</v>
      </c>
      <c r="R2622" t="s">
        <v>23</v>
      </c>
      <c r="S2622" s="1" t="s">
        <v>34218</v>
      </c>
    </row>
    <row r="2623" spans="1:19" x14ac:dyDescent="0.25">
      <c r="A2623">
        <v>101152538</v>
      </c>
      <c r="B2623" t="s">
        <v>7225</v>
      </c>
      <c r="C2623" t="s">
        <v>5836</v>
      </c>
      <c r="F2623" t="str">
        <f>"5108438734"</f>
        <v>5108438734</v>
      </c>
      <c r="G2623" t="s">
        <v>7226</v>
      </c>
      <c r="H2623" t="s">
        <v>66</v>
      </c>
      <c r="I2623" t="s">
        <v>22</v>
      </c>
      <c r="J2623">
        <v>94709</v>
      </c>
      <c r="K2623">
        <v>1315</v>
      </c>
      <c r="L2623" t="s">
        <v>23</v>
      </c>
      <c r="M2623" t="s">
        <v>7226</v>
      </c>
      <c r="N2623" t="s">
        <v>66</v>
      </c>
      <c r="O2623" t="s">
        <v>22</v>
      </c>
      <c r="P2623">
        <v>94709</v>
      </c>
      <c r="Q2623">
        <v>1315</v>
      </c>
      <c r="R2623" t="s">
        <v>23</v>
      </c>
      <c r="S2623" s="1" t="s">
        <v>34218</v>
      </c>
    </row>
    <row r="2624" spans="1:19" x14ac:dyDescent="0.25">
      <c r="A2624">
        <v>101022131</v>
      </c>
      <c r="B2624" t="s">
        <v>1171</v>
      </c>
      <c r="C2624" t="s">
        <v>842</v>
      </c>
      <c r="F2624" t="str">
        <f>"6144920854"</f>
        <v>6144920854</v>
      </c>
      <c r="G2624" t="s">
        <v>7227</v>
      </c>
      <c r="H2624" t="s">
        <v>4632</v>
      </c>
      <c r="I2624" t="s">
        <v>178</v>
      </c>
      <c r="J2624">
        <v>43207</v>
      </c>
      <c r="K2624">
        <v>3007</v>
      </c>
      <c r="L2624" t="s">
        <v>23</v>
      </c>
      <c r="M2624" t="s">
        <v>7227</v>
      </c>
      <c r="N2624" t="s">
        <v>4632</v>
      </c>
      <c r="O2624" t="s">
        <v>178</v>
      </c>
      <c r="P2624">
        <v>43207</v>
      </c>
      <c r="Q2624">
        <v>3007</v>
      </c>
      <c r="R2624" t="s">
        <v>23</v>
      </c>
      <c r="S2624" s="1" t="s">
        <v>34218</v>
      </c>
    </row>
    <row r="2625" spans="1:19" x14ac:dyDescent="0.25">
      <c r="A2625">
        <v>101031497</v>
      </c>
      <c r="B2625" t="s">
        <v>6618</v>
      </c>
      <c r="C2625" t="s">
        <v>155</v>
      </c>
      <c r="F2625" t="str">
        <f>"4126067449"</f>
        <v>4126067449</v>
      </c>
      <c r="G2625" t="s">
        <v>7228</v>
      </c>
      <c r="H2625" t="s">
        <v>511</v>
      </c>
      <c r="I2625" t="s">
        <v>33</v>
      </c>
      <c r="J2625">
        <v>16505</v>
      </c>
      <c r="K2625">
        <v>4413</v>
      </c>
      <c r="L2625" t="s">
        <v>23</v>
      </c>
      <c r="M2625" t="s">
        <v>7228</v>
      </c>
      <c r="N2625" t="s">
        <v>511</v>
      </c>
      <c r="O2625" t="s">
        <v>33</v>
      </c>
      <c r="P2625">
        <v>16505</v>
      </c>
      <c r="Q2625">
        <v>4413</v>
      </c>
      <c r="R2625" t="s">
        <v>23</v>
      </c>
      <c r="S2625" s="1" t="s">
        <v>34218</v>
      </c>
    </row>
    <row r="2626" spans="1:19" x14ac:dyDescent="0.25">
      <c r="A2626">
        <v>101045257</v>
      </c>
      <c r="B2626" t="s">
        <v>276</v>
      </c>
      <c r="C2626" t="s">
        <v>428</v>
      </c>
      <c r="F2626" t="str">
        <f>"7248826690"</f>
        <v>7248826690</v>
      </c>
      <c r="G2626" t="s">
        <v>7229</v>
      </c>
      <c r="H2626" t="s">
        <v>7230</v>
      </c>
      <c r="I2626" t="s">
        <v>33</v>
      </c>
      <c r="J2626">
        <v>15613</v>
      </c>
      <c r="K2626">
        <v>1934</v>
      </c>
      <c r="L2626" t="s">
        <v>23</v>
      </c>
      <c r="M2626" t="s">
        <v>7229</v>
      </c>
      <c r="N2626" t="s">
        <v>7230</v>
      </c>
      <c r="O2626" t="s">
        <v>33</v>
      </c>
      <c r="P2626">
        <v>15613</v>
      </c>
      <c r="Q2626">
        <v>1934</v>
      </c>
      <c r="R2626" t="s">
        <v>23</v>
      </c>
      <c r="S2626" s="1" t="s">
        <v>34218</v>
      </c>
    </row>
    <row r="2627" spans="1:19" x14ac:dyDescent="0.25">
      <c r="A2627">
        <v>101247997</v>
      </c>
      <c r="B2627" t="s">
        <v>76</v>
      </c>
      <c r="C2627" t="s">
        <v>1268</v>
      </c>
      <c r="F2627" t="str">
        <f>"7205068610"</f>
        <v>7205068610</v>
      </c>
      <c r="G2627" t="s">
        <v>7231</v>
      </c>
      <c r="H2627" t="s">
        <v>7232</v>
      </c>
      <c r="I2627" t="s">
        <v>71</v>
      </c>
      <c r="J2627">
        <v>80439</v>
      </c>
      <c r="K2627">
        <v>8607</v>
      </c>
      <c r="L2627" t="s">
        <v>23</v>
      </c>
      <c r="M2627" t="s">
        <v>7231</v>
      </c>
      <c r="N2627" t="s">
        <v>7232</v>
      </c>
      <c r="O2627" t="s">
        <v>71</v>
      </c>
      <c r="P2627">
        <v>80439</v>
      </c>
      <c r="Q2627">
        <v>8607</v>
      </c>
      <c r="R2627" t="s">
        <v>23</v>
      </c>
      <c r="S2627" s="1" t="s">
        <v>34218</v>
      </c>
    </row>
    <row r="2628" spans="1:19" x14ac:dyDescent="0.25">
      <c r="A2628">
        <v>101255068</v>
      </c>
      <c r="B2628" t="s">
        <v>7233</v>
      </c>
      <c r="C2628" t="s">
        <v>7234</v>
      </c>
      <c r="F2628" t="str">
        <f>"4049837089"</f>
        <v>4049837089</v>
      </c>
      <c r="G2628" t="s">
        <v>7235</v>
      </c>
      <c r="H2628" t="s">
        <v>27</v>
      </c>
      <c r="I2628" t="s">
        <v>28</v>
      </c>
      <c r="J2628">
        <v>30316</v>
      </c>
      <c r="K2628">
        <v>4244</v>
      </c>
      <c r="L2628" t="s">
        <v>23</v>
      </c>
      <c r="M2628" t="s">
        <v>7235</v>
      </c>
      <c r="N2628" t="s">
        <v>27</v>
      </c>
      <c r="O2628" t="s">
        <v>28</v>
      </c>
      <c r="P2628">
        <v>30316</v>
      </c>
      <c r="Q2628">
        <v>4244</v>
      </c>
      <c r="R2628" t="s">
        <v>23</v>
      </c>
      <c r="S2628" s="1" t="s">
        <v>34218</v>
      </c>
    </row>
    <row r="2629" spans="1:19" x14ac:dyDescent="0.25">
      <c r="A2629">
        <v>100686917</v>
      </c>
      <c r="B2629" t="s">
        <v>7236</v>
      </c>
      <c r="C2629" t="s">
        <v>7237</v>
      </c>
      <c r="F2629" t="str">
        <f>"7634775261"</f>
        <v>7634775261</v>
      </c>
      <c r="G2629" t="s">
        <v>7238</v>
      </c>
      <c r="H2629" t="s">
        <v>202</v>
      </c>
      <c r="I2629" t="s">
        <v>187</v>
      </c>
      <c r="J2629">
        <v>55313</v>
      </c>
      <c r="K2629">
        <v>2418</v>
      </c>
      <c r="L2629" t="s">
        <v>23</v>
      </c>
      <c r="M2629" t="s">
        <v>7238</v>
      </c>
      <c r="N2629" t="s">
        <v>202</v>
      </c>
      <c r="O2629" t="s">
        <v>187</v>
      </c>
      <c r="P2629">
        <v>55313</v>
      </c>
      <c r="Q2629">
        <v>2418</v>
      </c>
      <c r="R2629" t="s">
        <v>23</v>
      </c>
      <c r="S2629" s="1" t="s">
        <v>34218</v>
      </c>
    </row>
    <row r="2630" spans="1:19" x14ac:dyDescent="0.25">
      <c r="A2630">
        <v>101093665</v>
      </c>
      <c r="B2630" t="s">
        <v>345</v>
      </c>
      <c r="C2630" t="s">
        <v>403</v>
      </c>
      <c r="F2630" t="str">
        <f>"6262853750"</f>
        <v>6262853750</v>
      </c>
      <c r="G2630" t="s">
        <v>346</v>
      </c>
      <c r="H2630" t="s">
        <v>347</v>
      </c>
      <c r="I2630" t="s">
        <v>348</v>
      </c>
      <c r="J2630">
        <v>83686</v>
      </c>
      <c r="K2630">
        <v>5674</v>
      </c>
      <c r="L2630" t="s">
        <v>23</v>
      </c>
      <c r="M2630" t="s">
        <v>346</v>
      </c>
      <c r="N2630" t="s">
        <v>347</v>
      </c>
      <c r="O2630" t="s">
        <v>348</v>
      </c>
      <c r="P2630">
        <v>83686</v>
      </c>
      <c r="Q2630">
        <v>5674</v>
      </c>
      <c r="R2630" t="s">
        <v>23</v>
      </c>
      <c r="S2630" s="1" t="s">
        <v>34218</v>
      </c>
    </row>
    <row r="2631" spans="1:19" x14ac:dyDescent="0.25">
      <c r="A2631">
        <v>101119129</v>
      </c>
      <c r="B2631" t="s">
        <v>7239</v>
      </c>
      <c r="C2631" t="s">
        <v>7240</v>
      </c>
      <c r="F2631" t="str">
        <f>"2406764540"</f>
        <v>2406764540</v>
      </c>
      <c r="G2631" t="s">
        <v>7241</v>
      </c>
      <c r="H2631" t="s">
        <v>4347</v>
      </c>
      <c r="I2631" t="s">
        <v>71</v>
      </c>
      <c r="J2631">
        <v>81301</v>
      </c>
      <c r="K2631">
        <v>6007</v>
      </c>
      <c r="L2631" t="s">
        <v>23</v>
      </c>
      <c r="M2631" t="s">
        <v>7241</v>
      </c>
      <c r="N2631" t="s">
        <v>4347</v>
      </c>
      <c r="O2631" t="s">
        <v>71</v>
      </c>
      <c r="P2631">
        <v>81301</v>
      </c>
      <c r="Q2631">
        <v>6007</v>
      </c>
      <c r="R2631" t="s">
        <v>23</v>
      </c>
      <c r="S2631" s="1" t="s">
        <v>34218</v>
      </c>
    </row>
    <row r="2632" spans="1:19" x14ac:dyDescent="0.25">
      <c r="A2632">
        <v>101183068</v>
      </c>
      <c r="B2632" t="s">
        <v>7242</v>
      </c>
      <c r="C2632" t="s">
        <v>30</v>
      </c>
      <c r="F2632" t="str">
        <f>"4132385937"</f>
        <v>4132385937</v>
      </c>
      <c r="G2632" t="s">
        <v>7243</v>
      </c>
      <c r="H2632" t="s">
        <v>415</v>
      </c>
      <c r="I2632" t="s">
        <v>236</v>
      </c>
      <c r="J2632">
        <v>1098</v>
      </c>
      <c r="K2632">
        <v>423</v>
      </c>
      <c r="L2632" t="s">
        <v>23</v>
      </c>
      <c r="M2632" t="s">
        <v>7243</v>
      </c>
      <c r="N2632" t="s">
        <v>415</v>
      </c>
      <c r="O2632" t="s">
        <v>236</v>
      </c>
      <c r="P2632">
        <v>1098</v>
      </c>
      <c r="Q2632">
        <v>423</v>
      </c>
      <c r="R2632" t="s">
        <v>23</v>
      </c>
      <c r="S2632" s="1" t="s">
        <v>34218</v>
      </c>
    </row>
    <row r="2633" spans="1:19" x14ac:dyDescent="0.25">
      <c r="A2633">
        <v>101190546</v>
      </c>
      <c r="B2633" t="s">
        <v>7244</v>
      </c>
      <c r="C2633" t="s">
        <v>1533</v>
      </c>
      <c r="F2633" t="str">
        <f>"2095291031"</f>
        <v>2095291031</v>
      </c>
      <c r="G2633" t="s">
        <v>7245</v>
      </c>
      <c r="H2633" t="s">
        <v>968</v>
      </c>
      <c r="I2633" t="s">
        <v>22</v>
      </c>
      <c r="J2633">
        <v>95356</v>
      </c>
      <c r="K2633">
        <v>1226</v>
      </c>
      <c r="L2633" t="s">
        <v>23</v>
      </c>
      <c r="M2633" t="s">
        <v>7245</v>
      </c>
      <c r="N2633" t="s">
        <v>968</v>
      </c>
      <c r="O2633" t="s">
        <v>22</v>
      </c>
      <c r="P2633">
        <v>95356</v>
      </c>
      <c r="Q2633">
        <v>1226</v>
      </c>
      <c r="R2633" t="s">
        <v>23</v>
      </c>
      <c r="S2633" s="1" t="s">
        <v>34218</v>
      </c>
    </row>
    <row r="2634" spans="1:19" x14ac:dyDescent="0.25">
      <c r="A2634">
        <v>101194064</v>
      </c>
      <c r="B2634" t="s">
        <v>7246</v>
      </c>
      <c r="C2634" t="s">
        <v>132</v>
      </c>
      <c r="F2634" t="str">
        <f>"3107091208"</f>
        <v>3107091208</v>
      </c>
      <c r="G2634" t="s">
        <v>7247</v>
      </c>
      <c r="H2634" t="s">
        <v>299</v>
      </c>
      <c r="I2634" t="s">
        <v>22</v>
      </c>
      <c r="J2634">
        <v>90049</v>
      </c>
      <c r="K2634">
        <v>8205</v>
      </c>
      <c r="L2634" t="s">
        <v>23</v>
      </c>
      <c r="M2634" t="s">
        <v>7247</v>
      </c>
      <c r="N2634" t="s">
        <v>299</v>
      </c>
      <c r="O2634" t="s">
        <v>22</v>
      </c>
      <c r="P2634">
        <v>90049</v>
      </c>
      <c r="Q2634">
        <v>8205</v>
      </c>
      <c r="R2634" t="s">
        <v>23</v>
      </c>
      <c r="S2634" s="1" t="s">
        <v>34218</v>
      </c>
    </row>
    <row r="2635" spans="1:19" x14ac:dyDescent="0.25">
      <c r="A2635">
        <v>101363010</v>
      </c>
      <c r="B2635" t="s">
        <v>7248</v>
      </c>
      <c r="C2635" t="s">
        <v>172</v>
      </c>
      <c r="F2635" t="str">
        <f>"4156644103"</f>
        <v>4156644103</v>
      </c>
      <c r="G2635" t="s">
        <v>7249</v>
      </c>
      <c r="H2635" t="s">
        <v>130</v>
      </c>
      <c r="I2635" t="s">
        <v>22</v>
      </c>
      <c r="J2635">
        <v>94116</v>
      </c>
      <c r="K2635">
        <v>2068</v>
      </c>
      <c r="L2635" t="s">
        <v>23</v>
      </c>
      <c r="M2635" t="s">
        <v>7249</v>
      </c>
      <c r="N2635" t="s">
        <v>130</v>
      </c>
      <c r="O2635" t="s">
        <v>22</v>
      </c>
      <c r="P2635">
        <v>94116</v>
      </c>
      <c r="Q2635">
        <v>2068</v>
      </c>
      <c r="R2635" t="s">
        <v>23</v>
      </c>
      <c r="S2635" s="1" t="s">
        <v>34218</v>
      </c>
    </row>
    <row r="2636" spans="1:19" x14ac:dyDescent="0.25">
      <c r="A2636">
        <v>101378698</v>
      </c>
      <c r="B2636" t="s">
        <v>7250</v>
      </c>
      <c r="C2636" t="s">
        <v>2343</v>
      </c>
      <c r="F2636" t="str">
        <f>"3046706666"</f>
        <v>3046706666</v>
      </c>
      <c r="G2636" t="s">
        <v>7251</v>
      </c>
      <c r="H2636" t="s">
        <v>7252</v>
      </c>
      <c r="I2636" t="s">
        <v>327</v>
      </c>
      <c r="J2636">
        <v>26070</v>
      </c>
      <c r="K2636">
        <v>3119</v>
      </c>
      <c r="L2636" t="s">
        <v>23</v>
      </c>
      <c r="M2636" t="s">
        <v>7251</v>
      </c>
      <c r="N2636" t="s">
        <v>7252</v>
      </c>
      <c r="O2636" t="s">
        <v>327</v>
      </c>
      <c r="P2636">
        <v>26070</v>
      </c>
      <c r="Q2636">
        <v>3119</v>
      </c>
      <c r="R2636" t="s">
        <v>23</v>
      </c>
      <c r="S2636" s="1" t="s">
        <v>34218</v>
      </c>
    </row>
    <row r="2637" spans="1:19" x14ac:dyDescent="0.25">
      <c r="A2637">
        <v>101309008</v>
      </c>
      <c r="B2637" t="s">
        <v>7253</v>
      </c>
      <c r="C2637" t="s">
        <v>5868</v>
      </c>
      <c r="F2637" t="str">
        <f>"6168870875"</f>
        <v>6168870875</v>
      </c>
      <c r="G2637" t="s">
        <v>7254</v>
      </c>
      <c r="H2637" t="s">
        <v>7255</v>
      </c>
      <c r="I2637" t="s">
        <v>140</v>
      </c>
      <c r="J2637">
        <v>49345</v>
      </c>
      <c r="K2637">
        <v>9762</v>
      </c>
      <c r="L2637" t="s">
        <v>23</v>
      </c>
      <c r="M2637" t="s">
        <v>7254</v>
      </c>
      <c r="N2637" t="s">
        <v>7255</v>
      </c>
      <c r="O2637" t="s">
        <v>140</v>
      </c>
      <c r="P2637">
        <v>49345</v>
      </c>
      <c r="Q2637">
        <v>9762</v>
      </c>
      <c r="R2637" t="s">
        <v>23</v>
      </c>
      <c r="S2637" s="1" t="s">
        <v>34218</v>
      </c>
    </row>
    <row r="2638" spans="1:19" x14ac:dyDescent="0.25">
      <c r="A2638">
        <v>101056115</v>
      </c>
      <c r="B2638" t="s">
        <v>7256</v>
      </c>
      <c r="C2638" t="s">
        <v>7257</v>
      </c>
      <c r="F2638" t="str">
        <f>"3144444444"</f>
        <v>3144444444</v>
      </c>
      <c r="G2638" t="s">
        <v>7258</v>
      </c>
      <c r="H2638" t="s">
        <v>5916</v>
      </c>
      <c r="I2638" t="s">
        <v>126</v>
      </c>
      <c r="J2638">
        <v>63005</v>
      </c>
      <c r="L2638" t="s">
        <v>23</v>
      </c>
      <c r="M2638" t="s">
        <v>7258</v>
      </c>
      <c r="N2638" t="s">
        <v>5916</v>
      </c>
      <c r="O2638" t="s">
        <v>126</v>
      </c>
      <c r="P2638">
        <v>63005</v>
      </c>
      <c r="R2638" t="s">
        <v>23</v>
      </c>
      <c r="S2638" s="1" t="s">
        <v>34218</v>
      </c>
    </row>
    <row r="2639" spans="1:19" x14ac:dyDescent="0.25">
      <c r="A2639">
        <v>100820408</v>
      </c>
      <c r="B2639" t="s">
        <v>7259</v>
      </c>
      <c r="C2639" t="s">
        <v>1306</v>
      </c>
      <c r="F2639" t="str">
        <f>"5709925232"</f>
        <v>5709925232</v>
      </c>
      <c r="G2639" t="s">
        <v>7260</v>
      </c>
      <c r="H2639" t="s">
        <v>7261</v>
      </c>
      <c r="I2639" t="s">
        <v>33</v>
      </c>
      <c r="J2639">
        <v>18353</v>
      </c>
      <c r="K2639">
        <v>8585</v>
      </c>
      <c r="L2639" t="s">
        <v>23</v>
      </c>
      <c r="M2639" t="s">
        <v>7260</v>
      </c>
      <c r="N2639" t="s">
        <v>7261</v>
      </c>
      <c r="O2639" t="s">
        <v>33</v>
      </c>
      <c r="P2639">
        <v>18353</v>
      </c>
      <c r="Q2639">
        <v>8585</v>
      </c>
      <c r="R2639" t="s">
        <v>23</v>
      </c>
      <c r="S2639" s="1" t="s">
        <v>34218</v>
      </c>
    </row>
    <row r="2640" spans="1:19" x14ac:dyDescent="0.25">
      <c r="A2640">
        <v>100835429</v>
      </c>
      <c r="B2640" t="s">
        <v>1889</v>
      </c>
      <c r="C2640" t="s">
        <v>7262</v>
      </c>
      <c r="F2640" t="str">
        <f>"9372931785"</f>
        <v>9372931785</v>
      </c>
      <c r="G2640" t="s">
        <v>7263</v>
      </c>
      <c r="H2640" t="s">
        <v>3183</v>
      </c>
      <c r="I2640" t="s">
        <v>178</v>
      </c>
      <c r="J2640">
        <v>45429</v>
      </c>
      <c r="K2640">
        <v>2618</v>
      </c>
      <c r="L2640" t="s">
        <v>23</v>
      </c>
      <c r="M2640" t="s">
        <v>7263</v>
      </c>
      <c r="N2640" t="s">
        <v>3183</v>
      </c>
      <c r="O2640" t="s">
        <v>178</v>
      </c>
      <c r="P2640">
        <v>45429</v>
      </c>
      <c r="Q2640">
        <v>2618</v>
      </c>
      <c r="R2640" t="s">
        <v>23</v>
      </c>
      <c r="S2640" s="1" t="s">
        <v>34218</v>
      </c>
    </row>
    <row r="2641" spans="1:19" x14ac:dyDescent="0.25">
      <c r="A2641">
        <v>101003553</v>
      </c>
      <c r="B2641" t="s">
        <v>6084</v>
      </c>
      <c r="C2641" t="s">
        <v>1027</v>
      </c>
      <c r="F2641" t="str">
        <f>"8177710173"</f>
        <v>8177710173</v>
      </c>
      <c r="G2641" t="s">
        <v>7264</v>
      </c>
      <c r="H2641" t="s">
        <v>7265</v>
      </c>
      <c r="I2641" t="s">
        <v>38</v>
      </c>
      <c r="J2641">
        <v>76088</v>
      </c>
      <c r="K2641">
        <v>7199</v>
      </c>
      <c r="L2641" t="s">
        <v>23</v>
      </c>
      <c r="M2641" t="s">
        <v>7264</v>
      </c>
      <c r="N2641" t="s">
        <v>7265</v>
      </c>
      <c r="O2641" t="s">
        <v>38</v>
      </c>
      <c r="P2641">
        <v>76088</v>
      </c>
      <c r="Q2641">
        <v>7199</v>
      </c>
      <c r="R2641" t="s">
        <v>23</v>
      </c>
      <c r="S2641" s="1" t="s">
        <v>34218</v>
      </c>
    </row>
    <row r="2642" spans="1:19" x14ac:dyDescent="0.25">
      <c r="A2642">
        <v>101006997</v>
      </c>
      <c r="B2642" t="s">
        <v>7266</v>
      </c>
      <c r="C2642" t="s">
        <v>2653</v>
      </c>
      <c r="F2642" t="str">
        <f>"9082326692"</f>
        <v>9082326692</v>
      </c>
      <c r="G2642" t="s">
        <v>7267</v>
      </c>
      <c r="H2642" t="s">
        <v>1951</v>
      </c>
      <c r="I2642" t="s">
        <v>250</v>
      </c>
      <c r="J2642">
        <v>7090</v>
      </c>
      <c r="K2642">
        <v>2845</v>
      </c>
      <c r="L2642" t="s">
        <v>23</v>
      </c>
      <c r="M2642" t="s">
        <v>7267</v>
      </c>
      <c r="N2642" t="s">
        <v>1951</v>
      </c>
      <c r="O2642" t="s">
        <v>250</v>
      </c>
      <c r="P2642">
        <v>7090</v>
      </c>
      <c r="Q2642">
        <v>2845</v>
      </c>
      <c r="R2642" t="s">
        <v>23</v>
      </c>
      <c r="S2642" s="1" t="s">
        <v>34218</v>
      </c>
    </row>
    <row r="2643" spans="1:19" x14ac:dyDescent="0.25">
      <c r="A2643">
        <v>101408961</v>
      </c>
      <c r="B2643" t="s">
        <v>465</v>
      </c>
      <c r="C2643" t="s">
        <v>102</v>
      </c>
      <c r="F2643" t="str">
        <f>"9546187548"</f>
        <v>9546187548</v>
      </c>
      <c r="G2643" t="s">
        <v>7268</v>
      </c>
      <c r="H2643" t="s">
        <v>7269</v>
      </c>
      <c r="I2643" t="s">
        <v>52</v>
      </c>
      <c r="J2643">
        <v>33308</v>
      </c>
      <c r="K2643">
        <v>5358</v>
      </c>
      <c r="L2643" t="s">
        <v>23</v>
      </c>
      <c r="M2643" t="s">
        <v>7268</v>
      </c>
      <c r="N2643" t="s">
        <v>7269</v>
      </c>
      <c r="O2643" t="s">
        <v>52</v>
      </c>
      <c r="P2643">
        <v>33308</v>
      </c>
      <c r="Q2643">
        <v>5358</v>
      </c>
      <c r="R2643" t="s">
        <v>23</v>
      </c>
      <c r="S2643" s="1" t="s">
        <v>34218</v>
      </c>
    </row>
    <row r="2644" spans="1:19" x14ac:dyDescent="0.25">
      <c r="A2644">
        <v>101300020</v>
      </c>
      <c r="B2644" t="s">
        <v>7270</v>
      </c>
      <c r="C2644" t="s">
        <v>403</v>
      </c>
      <c r="F2644" t="str">
        <f>"9287178168"</f>
        <v>9287178168</v>
      </c>
      <c r="G2644" t="s">
        <v>7271</v>
      </c>
      <c r="H2644" t="s">
        <v>723</v>
      </c>
      <c r="I2644" t="s">
        <v>365</v>
      </c>
      <c r="J2644">
        <v>86301</v>
      </c>
      <c r="L2644" t="s">
        <v>23</v>
      </c>
      <c r="M2644" t="s">
        <v>7271</v>
      </c>
      <c r="N2644" t="s">
        <v>723</v>
      </c>
      <c r="O2644" t="s">
        <v>365</v>
      </c>
      <c r="P2644">
        <v>86301</v>
      </c>
      <c r="R2644" t="s">
        <v>23</v>
      </c>
      <c r="S2644" s="1" t="s">
        <v>34218</v>
      </c>
    </row>
    <row r="2645" spans="1:19" x14ac:dyDescent="0.25">
      <c r="A2645">
        <v>101202134</v>
      </c>
      <c r="B2645" t="s">
        <v>4310</v>
      </c>
      <c r="C2645" t="s">
        <v>1865</v>
      </c>
      <c r="F2645" t="str">
        <f>"4842551204"</f>
        <v>4842551204</v>
      </c>
      <c r="G2645" t="s">
        <v>7272</v>
      </c>
      <c r="H2645" t="s">
        <v>7273</v>
      </c>
      <c r="I2645" t="s">
        <v>33</v>
      </c>
      <c r="J2645">
        <v>19426</v>
      </c>
      <c r="K2645">
        <v>2565</v>
      </c>
      <c r="L2645" t="s">
        <v>23</v>
      </c>
      <c r="M2645" t="s">
        <v>7272</v>
      </c>
      <c r="N2645" t="s">
        <v>7273</v>
      </c>
      <c r="O2645" t="s">
        <v>33</v>
      </c>
      <c r="P2645">
        <v>19426</v>
      </c>
      <c r="Q2645">
        <v>2565</v>
      </c>
      <c r="R2645" t="s">
        <v>23</v>
      </c>
      <c r="S2645" s="1" t="s">
        <v>34218</v>
      </c>
    </row>
    <row r="2646" spans="1:19" x14ac:dyDescent="0.25">
      <c r="A2646">
        <v>101224203</v>
      </c>
      <c r="B2646" t="s">
        <v>7274</v>
      </c>
      <c r="C2646" t="s">
        <v>7275</v>
      </c>
      <c r="F2646" t="str">
        <f>"6315498424"</f>
        <v>6315498424</v>
      </c>
      <c r="G2646" t="s">
        <v>7276</v>
      </c>
      <c r="H2646" t="s">
        <v>7002</v>
      </c>
      <c r="I2646" t="s">
        <v>117</v>
      </c>
      <c r="J2646">
        <v>11743</v>
      </c>
      <c r="K2646">
        <v>3023</v>
      </c>
      <c r="L2646" t="s">
        <v>23</v>
      </c>
      <c r="M2646" t="s">
        <v>7276</v>
      </c>
      <c r="N2646" t="s">
        <v>7002</v>
      </c>
      <c r="O2646" t="s">
        <v>117</v>
      </c>
      <c r="P2646">
        <v>11743</v>
      </c>
      <c r="Q2646">
        <v>3023</v>
      </c>
      <c r="R2646" t="s">
        <v>23</v>
      </c>
      <c r="S2646" s="1" t="s">
        <v>34218</v>
      </c>
    </row>
    <row r="2647" spans="1:19" x14ac:dyDescent="0.25">
      <c r="A2647">
        <v>101224233</v>
      </c>
      <c r="B2647" t="s">
        <v>7277</v>
      </c>
      <c r="C2647" t="s">
        <v>2232</v>
      </c>
      <c r="F2647" t="str">
        <f>"3033943928"</f>
        <v>3033943928</v>
      </c>
      <c r="G2647" t="s">
        <v>7278</v>
      </c>
      <c r="H2647" t="s">
        <v>7279</v>
      </c>
      <c r="I2647" t="s">
        <v>2537</v>
      </c>
      <c r="J2647">
        <v>72632</v>
      </c>
      <c r="K2647">
        <v>3303</v>
      </c>
      <c r="L2647" t="s">
        <v>23</v>
      </c>
      <c r="M2647" t="s">
        <v>7278</v>
      </c>
      <c r="N2647" t="s">
        <v>7279</v>
      </c>
      <c r="O2647" t="s">
        <v>2537</v>
      </c>
      <c r="P2647">
        <v>72632</v>
      </c>
      <c r="Q2647">
        <v>3303</v>
      </c>
      <c r="R2647" t="s">
        <v>23</v>
      </c>
      <c r="S2647" s="1" t="s">
        <v>34218</v>
      </c>
    </row>
    <row r="2648" spans="1:19" x14ac:dyDescent="0.25">
      <c r="A2648">
        <v>101178502</v>
      </c>
      <c r="B2648" t="s">
        <v>7280</v>
      </c>
      <c r="C2648" t="s">
        <v>7281</v>
      </c>
      <c r="F2648" t="str">
        <f>"2025984431"</f>
        <v>2025984431</v>
      </c>
      <c r="G2648" t="s">
        <v>7282</v>
      </c>
      <c r="H2648" t="s">
        <v>7283</v>
      </c>
      <c r="I2648" t="s">
        <v>22</v>
      </c>
      <c r="J2648">
        <v>91001</v>
      </c>
      <c r="L2648" t="s">
        <v>23</v>
      </c>
      <c r="M2648" t="s">
        <v>7282</v>
      </c>
      <c r="N2648" t="s">
        <v>7283</v>
      </c>
      <c r="O2648" t="s">
        <v>22</v>
      </c>
      <c r="P2648">
        <v>91001</v>
      </c>
      <c r="R2648" t="s">
        <v>23</v>
      </c>
      <c r="S2648" s="1" t="s">
        <v>34218</v>
      </c>
    </row>
    <row r="2649" spans="1:19" x14ac:dyDescent="0.25">
      <c r="A2649">
        <v>100864673</v>
      </c>
      <c r="B2649" t="s">
        <v>3857</v>
      </c>
      <c r="C2649" t="s">
        <v>54</v>
      </c>
      <c r="F2649" t="str">
        <f>"4154444444"</f>
        <v>4154444444</v>
      </c>
      <c r="G2649" t="s">
        <v>7284</v>
      </c>
      <c r="H2649" t="s">
        <v>5190</v>
      </c>
      <c r="I2649" t="s">
        <v>22</v>
      </c>
      <c r="J2649">
        <v>94930</v>
      </c>
      <c r="K2649">
        <v>1320</v>
      </c>
      <c r="L2649" t="s">
        <v>23</v>
      </c>
      <c r="M2649" t="s">
        <v>7284</v>
      </c>
      <c r="N2649" t="s">
        <v>5190</v>
      </c>
      <c r="O2649" t="s">
        <v>22</v>
      </c>
      <c r="P2649">
        <v>94930</v>
      </c>
      <c r="Q2649">
        <v>1320</v>
      </c>
      <c r="R2649" t="s">
        <v>23</v>
      </c>
      <c r="S2649" s="1" t="s">
        <v>34218</v>
      </c>
    </row>
    <row r="2650" spans="1:19" x14ac:dyDescent="0.25">
      <c r="A2650">
        <v>101268415</v>
      </c>
      <c r="B2650" t="s">
        <v>3590</v>
      </c>
      <c r="C2650" t="s">
        <v>40</v>
      </c>
      <c r="F2650" t="str">
        <f>"3308363248"</f>
        <v>3308363248</v>
      </c>
      <c r="G2650" t="s">
        <v>7285</v>
      </c>
      <c r="H2650" t="s">
        <v>4732</v>
      </c>
      <c r="I2650" t="s">
        <v>148</v>
      </c>
      <c r="J2650">
        <v>20782</v>
      </c>
      <c r="L2650" t="s">
        <v>23</v>
      </c>
      <c r="M2650" t="s">
        <v>7285</v>
      </c>
      <c r="N2650" t="s">
        <v>4732</v>
      </c>
      <c r="O2650" t="s">
        <v>148</v>
      </c>
      <c r="P2650">
        <v>20782</v>
      </c>
      <c r="R2650" t="s">
        <v>23</v>
      </c>
      <c r="S2650" s="1" t="s">
        <v>34218</v>
      </c>
    </row>
    <row r="2651" spans="1:19" x14ac:dyDescent="0.25">
      <c r="A2651">
        <v>101044236</v>
      </c>
      <c r="B2651" t="s">
        <v>7286</v>
      </c>
      <c r="C2651" t="s">
        <v>452</v>
      </c>
      <c r="F2651" t="str">
        <f>"9287799688"</f>
        <v>9287799688</v>
      </c>
      <c r="G2651" t="s">
        <v>7287</v>
      </c>
      <c r="H2651" t="s">
        <v>1113</v>
      </c>
      <c r="I2651" t="s">
        <v>365</v>
      </c>
      <c r="J2651">
        <v>86001</v>
      </c>
      <c r="K2651">
        <v>8148</v>
      </c>
      <c r="L2651" t="s">
        <v>23</v>
      </c>
      <c r="M2651" t="s">
        <v>7287</v>
      </c>
      <c r="N2651" t="s">
        <v>1113</v>
      </c>
      <c r="O2651" t="s">
        <v>365</v>
      </c>
      <c r="P2651">
        <v>86001</v>
      </c>
      <c r="Q2651">
        <v>8148</v>
      </c>
      <c r="R2651" t="s">
        <v>23</v>
      </c>
      <c r="S2651" s="1" t="s">
        <v>34218</v>
      </c>
    </row>
    <row r="2652" spans="1:19" x14ac:dyDescent="0.25">
      <c r="A2652">
        <v>101045227</v>
      </c>
      <c r="B2652" t="s">
        <v>7288</v>
      </c>
      <c r="C2652" t="s">
        <v>59</v>
      </c>
      <c r="F2652" t="str">
        <f>"8315555555"</f>
        <v>8315555555</v>
      </c>
      <c r="G2652" t="s">
        <v>7289</v>
      </c>
      <c r="H2652" t="s">
        <v>1293</v>
      </c>
      <c r="I2652" t="s">
        <v>22</v>
      </c>
      <c r="J2652">
        <v>95060</v>
      </c>
      <c r="K2652">
        <v>6329</v>
      </c>
      <c r="L2652" t="s">
        <v>23</v>
      </c>
      <c r="M2652" t="s">
        <v>7289</v>
      </c>
      <c r="N2652" t="s">
        <v>1293</v>
      </c>
      <c r="O2652" t="s">
        <v>22</v>
      </c>
      <c r="P2652">
        <v>95060</v>
      </c>
      <c r="Q2652">
        <v>6329</v>
      </c>
      <c r="R2652" t="s">
        <v>23</v>
      </c>
      <c r="S2652" s="1" t="s">
        <v>34218</v>
      </c>
    </row>
    <row r="2653" spans="1:19" x14ac:dyDescent="0.25">
      <c r="A2653">
        <v>101235884</v>
      </c>
      <c r="B2653" t="s">
        <v>7290</v>
      </c>
      <c r="C2653" t="s">
        <v>208</v>
      </c>
      <c r="F2653" t="str">
        <f>"4024155878"</f>
        <v>4024155878</v>
      </c>
      <c r="G2653" t="s">
        <v>7291</v>
      </c>
      <c r="H2653" t="s">
        <v>357</v>
      </c>
      <c r="I2653" t="s">
        <v>187</v>
      </c>
      <c r="J2653">
        <v>56308</v>
      </c>
      <c r="K2653">
        <v>8510</v>
      </c>
      <c r="L2653" t="s">
        <v>23</v>
      </c>
      <c r="M2653" t="s">
        <v>7291</v>
      </c>
      <c r="N2653" t="s">
        <v>357</v>
      </c>
      <c r="O2653" t="s">
        <v>187</v>
      </c>
      <c r="P2653">
        <v>56308</v>
      </c>
      <c r="Q2653">
        <v>8510</v>
      </c>
      <c r="R2653" t="s">
        <v>23</v>
      </c>
      <c r="S2653" s="1" t="s">
        <v>34218</v>
      </c>
    </row>
    <row r="2654" spans="1:19" x14ac:dyDescent="0.25">
      <c r="A2654">
        <v>101242483</v>
      </c>
      <c r="B2654" t="s">
        <v>3650</v>
      </c>
      <c r="C2654" t="s">
        <v>286</v>
      </c>
      <c r="F2654" t="str">
        <f>"6197236586"</f>
        <v>6197236586</v>
      </c>
      <c r="G2654" t="s">
        <v>7292</v>
      </c>
      <c r="H2654" t="s">
        <v>198</v>
      </c>
      <c r="I2654" t="s">
        <v>22</v>
      </c>
      <c r="J2654">
        <v>92116</v>
      </c>
      <c r="K2654">
        <v>4841</v>
      </c>
      <c r="L2654" t="s">
        <v>23</v>
      </c>
      <c r="M2654" t="s">
        <v>7292</v>
      </c>
      <c r="N2654" t="s">
        <v>198</v>
      </c>
      <c r="O2654" t="s">
        <v>22</v>
      </c>
      <c r="P2654">
        <v>92116</v>
      </c>
      <c r="Q2654">
        <v>4841</v>
      </c>
      <c r="R2654" t="s">
        <v>23</v>
      </c>
      <c r="S2654" s="1" t="s">
        <v>34218</v>
      </c>
    </row>
    <row r="2655" spans="1:19" x14ac:dyDescent="0.25">
      <c r="A2655">
        <v>101241638</v>
      </c>
      <c r="B2655" t="s">
        <v>2331</v>
      </c>
      <c r="C2655" t="s">
        <v>77</v>
      </c>
      <c r="F2655" t="str">
        <f>"4055799838"</f>
        <v>4055799838</v>
      </c>
      <c r="G2655" t="s">
        <v>7293</v>
      </c>
      <c r="H2655" t="s">
        <v>689</v>
      </c>
      <c r="I2655" t="s">
        <v>62</v>
      </c>
      <c r="J2655">
        <v>73072</v>
      </c>
      <c r="K2655">
        <v>5729</v>
      </c>
      <c r="L2655" t="s">
        <v>23</v>
      </c>
      <c r="M2655" t="s">
        <v>7293</v>
      </c>
      <c r="N2655" t="s">
        <v>689</v>
      </c>
      <c r="O2655" t="s">
        <v>62</v>
      </c>
      <c r="P2655">
        <v>73072</v>
      </c>
      <c r="Q2655">
        <v>5729</v>
      </c>
      <c r="R2655" t="s">
        <v>23</v>
      </c>
      <c r="S2655" s="1" t="s">
        <v>34218</v>
      </c>
    </row>
    <row r="2656" spans="1:19" x14ac:dyDescent="0.25">
      <c r="A2656">
        <v>101241617</v>
      </c>
      <c r="B2656" t="s">
        <v>7294</v>
      </c>
      <c r="C2656" t="s">
        <v>1714</v>
      </c>
      <c r="F2656" t="str">
        <f>"4083488005"</f>
        <v>4083488005</v>
      </c>
      <c r="G2656" t="s">
        <v>7295</v>
      </c>
      <c r="H2656" t="s">
        <v>7296</v>
      </c>
      <c r="I2656" t="s">
        <v>22</v>
      </c>
      <c r="J2656">
        <v>95020</v>
      </c>
      <c r="K2656">
        <v>3018</v>
      </c>
      <c r="L2656" t="s">
        <v>23</v>
      </c>
      <c r="M2656" t="s">
        <v>7295</v>
      </c>
      <c r="N2656" t="s">
        <v>7296</v>
      </c>
      <c r="O2656" t="s">
        <v>22</v>
      </c>
      <c r="P2656">
        <v>95020</v>
      </c>
      <c r="Q2656">
        <v>3018</v>
      </c>
      <c r="R2656" t="s">
        <v>23</v>
      </c>
      <c r="S2656" s="1" t="s">
        <v>34218</v>
      </c>
    </row>
    <row r="2657" spans="1:19" x14ac:dyDescent="0.25">
      <c r="A2657">
        <v>101334474</v>
      </c>
      <c r="B2657" t="s">
        <v>654</v>
      </c>
      <c r="C2657" t="s">
        <v>1873</v>
      </c>
      <c r="F2657" t="str">
        <f>"2062281827"</f>
        <v>2062281827</v>
      </c>
      <c r="G2657" t="s">
        <v>7297</v>
      </c>
      <c r="H2657" t="s">
        <v>5070</v>
      </c>
      <c r="I2657" t="s">
        <v>84</v>
      </c>
      <c r="J2657" t="s">
        <v>7298</v>
      </c>
      <c r="K2657">
        <v>6413</v>
      </c>
      <c r="L2657" t="s">
        <v>23</v>
      </c>
      <c r="M2657" t="s">
        <v>7297</v>
      </c>
      <c r="N2657" t="s">
        <v>5070</v>
      </c>
      <c r="O2657" t="s">
        <v>84</v>
      </c>
      <c r="P2657" t="s">
        <v>7298</v>
      </c>
      <c r="Q2657">
        <v>6413</v>
      </c>
      <c r="R2657" t="s">
        <v>23</v>
      </c>
      <c r="S2657" s="1" t="s">
        <v>34218</v>
      </c>
    </row>
    <row r="2658" spans="1:19" x14ac:dyDescent="0.25">
      <c r="A2658">
        <v>101037088</v>
      </c>
      <c r="B2658" t="s">
        <v>7299</v>
      </c>
      <c r="C2658" t="s">
        <v>123</v>
      </c>
      <c r="F2658" t="str">
        <f>"2182339266"</f>
        <v>2182339266</v>
      </c>
      <c r="G2658" t="s">
        <v>7300</v>
      </c>
      <c r="H2658" t="s">
        <v>6509</v>
      </c>
      <c r="I2658" t="s">
        <v>187</v>
      </c>
      <c r="J2658">
        <v>56560</v>
      </c>
      <c r="K2658">
        <v>5225</v>
      </c>
      <c r="L2658" t="s">
        <v>23</v>
      </c>
      <c r="M2658" t="s">
        <v>7300</v>
      </c>
      <c r="N2658" t="s">
        <v>6509</v>
      </c>
      <c r="O2658" t="s">
        <v>187</v>
      </c>
      <c r="P2658">
        <v>56560</v>
      </c>
      <c r="Q2658">
        <v>5225</v>
      </c>
      <c r="R2658" t="s">
        <v>23</v>
      </c>
      <c r="S2658" s="1" t="s">
        <v>34218</v>
      </c>
    </row>
    <row r="2659" spans="1:19" x14ac:dyDescent="0.25">
      <c r="A2659">
        <v>101041692</v>
      </c>
      <c r="B2659" t="s">
        <v>7301</v>
      </c>
      <c r="C2659" t="s">
        <v>274</v>
      </c>
      <c r="F2659" t="str">
        <f>"2315269249"</f>
        <v>2315269249</v>
      </c>
      <c r="G2659" t="s">
        <v>7302</v>
      </c>
      <c r="H2659" t="s">
        <v>7303</v>
      </c>
      <c r="I2659" t="s">
        <v>140</v>
      </c>
      <c r="J2659">
        <v>49740</v>
      </c>
      <c r="K2659">
        <v>1144</v>
      </c>
      <c r="L2659" t="s">
        <v>23</v>
      </c>
      <c r="M2659" t="s">
        <v>7302</v>
      </c>
      <c r="N2659" t="s">
        <v>7303</v>
      </c>
      <c r="O2659" t="s">
        <v>140</v>
      </c>
      <c r="P2659">
        <v>49740</v>
      </c>
      <c r="Q2659">
        <v>1144</v>
      </c>
      <c r="R2659" t="s">
        <v>23</v>
      </c>
      <c r="S2659" s="1" t="s">
        <v>34218</v>
      </c>
    </row>
    <row r="2660" spans="1:19" x14ac:dyDescent="0.25">
      <c r="A2660">
        <v>101245777</v>
      </c>
      <c r="B2660" t="s">
        <v>7304</v>
      </c>
      <c r="C2660" t="s">
        <v>7305</v>
      </c>
      <c r="F2660" t="str">
        <f>"7134122891"</f>
        <v>7134122891</v>
      </c>
      <c r="G2660" t="s">
        <v>7306</v>
      </c>
      <c r="H2660" t="s">
        <v>1402</v>
      </c>
      <c r="I2660" t="s">
        <v>38</v>
      </c>
      <c r="J2660">
        <v>77084</v>
      </c>
      <c r="K2660">
        <v>2268</v>
      </c>
      <c r="L2660" t="s">
        <v>23</v>
      </c>
      <c r="M2660" t="s">
        <v>7306</v>
      </c>
      <c r="N2660" t="s">
        <v>1402</v>
      </c>
      <c r="O2660" t="s">
        <v>38</v>
      </c>
      <c r="P2660">
        <v>77084</v>
      </c>
      <c r="Q2660">
        <v>2268</v>
      </c>
      <c r="R2660" t="s">
        <v>23</v>
      </c>
      <c r="S2660" s="1" t="s">
        <v>34218</v>
      </c>
    </row>
    <row r="2661" spans="1:19" x14ac:dyDescent="0.25">
      <c r="A2661">
        <v>101244550</v>
      </c>
      <c r="B2661" t="s">
        <v>7307</v>
      </c>
      <c r="C2661" t="s">
        <v>7237</v>
      </c>
      <c r="F2661" t="str">
        <f>"7196331548"</f>
        <v>7196331548</v>
      </c>
      <c r="G2661" t="s">
        <v>7308</v>
      </c>
      <c r="H2661" t="s">
        <v>1985</v>
      </c>
      <c r="I2661" t="s">
        <v>71</v>
      </c>
      <c r="J2661">
        <v>80904</v>
      </c>
      <c r="K2661">
        <v>2585</v>
      </c>
      <c r="L2661" t="s">
        <v>23</v>
      </c>
      <c r="M2661" t="s">
        <v>7308</v>
      </c>
      <c r="N2661" t="s">
        <v>1985</v>
      </c>
      <c r="O2661" t="s">
        <v>71</v>
      </c>
      <c r="P2661">
        <v>80904</v>
      </c>
      <c r="Q2661">
        <v>2585</v>
      </c>
      <c r="R2661" t="s">
        <v>23</v>
      </c>
      <c r="S2661" s="1" t="s">
        <v>34218</v>
      </c>
    </row>
    <row r="2662" spans="1:19" x14ac:dyDescent="0.25">
      <c r="A2662">
        <v>101261731</v>
      </c>
      <c r="B2662" t="s">
        <v>7309</v>
      </c>
      <c r="C2662" t="s">
        <v>2269</v>
      </c>
      <c r="F2662" t="str">
        <f>"6177179228"</f>
        <v>6177179228</v>
      </c>
      <c r="G2662" t="s">
        <v>7310</v>
      </c>
      <c r="H2662" t="s">
        <v>3385</v>
      </c>
      <c r="I2662" t="s">
        <v>236</v>
      </c>
      <c r="J2662">
        <v>2138</v>
      </c>
      <c r="K2662">
        <v>4314</v>
      </c>
      <c r="L2662" t="s">
        <v>23</v>
      </c>
      <c r="M2662" t="s">
        <v>7310</v>
      </c>
      <c r="N2662" t="s">
        <v>3385</v>
      </c>
      <c r="O2662" t="s">
        <v>236</v>
      </c>
      <c r="P2662">
        <v>2138</v>
      </c>
      <c r="Q2662">
        <v>4314</v>
      </c>
      <c r="R2662" t="s">
        <v>23</v>
      </c>
      <c r="S2662" s="1" t="s">
        <v>34218</v>
      </c>
    </row>
    <row r="2663" spans="1:19" x14ac:dyDescent="0.25">
      <c r="A2663">
        <v>101256777</v>
      </c>
      <c r="B2663" t="s">
        <v>7311</v>
      </c>
      <c r="C2663" t="s">
        <v>1939</v>
      </c>
      <c r="F2663" t="str">
        <f>"5052541093"</f>
        <v>5052541093</v>
      </c>
      <c r="G2663" t="s">
        <v>7312</v>
      </c>
      <c r="H2663" t="s">
        <v>638</v>
      </c>
      <c r="I2663" t="s">
        <v>639</v>
      </c>
      <c r="J2663">
        <v>87108</v>
      </c>
      <c r="K2663">
        <v>4214</v>
      </c>
      <c r="L2663" t="s">
        <v>23</v>
      </c>
      <c r="M2663" t="s">
        <v>7312</v>
      </c>
      <c r="N2663" t="s">
        <v>638</v>
      </c>
      <c r="O2663" t="s">
        <v>639</v>
      </c>
      <c r="P2663">
        <v>87108</v>
      </c>
      <c r="Q2663">
        <v>4214</v>
      </c>
      <c r="R2663" t="s">
        <v>23</v>
      </c>
      <c r="S2663" s="1" t="s">
        <v>34218</v>
      </c>
    </row>
    <row r="2664" spans="1:19" x14ac:dyDescent="0.25">
      <c r="A2664">
        <v>101088476</v>
      </c>
      <c r="B2664" t="s">
        <v>3828</v>
      </c>
      <c r="C2664" t="s">
        <v>1043</v>
      </c>
      <c r="F2664" t="str">
        <f>"4133386014"</f>
        <v>4133386014</v>
      </c>
      <c r="G2664" t="s">
        <v>7313</v>
      </c>
      <c r="H2664" t="s">
        <v>488</v>
      </c>
      <c r="I2664" t="s">
        <v>236</v>
      </c>
      <c r="J2664">
        <v>1506</v>
      </c>
      <c r="K2664">
        <v>1806</v>
      </c>
      <c r="L2664" t="s">
        <v>23</v>
      </c>
      <c r="M2664" t="s">
        <v>7313</v>
      </c>
      <c r="N2664" t="s">
        <v>488</v>
      </c>
      <c r="O2664" t="s">
        <v>236</v>
      </c>
      <c r="P2664">
        <v>1506</v>
      </c>
      <c r="Q2664">
        <v>1806</v>
      </c>
      <c r="R2664" t="s">
        <v>23</v>
      </c>
      <c r="S2664" s="1" t="s">
        <v>34218</v>
      </c>
    </row>
    <row r="2665" spans="1:19" x14ac:dyDescent="0.25">
      <c r="A2665">
        <v>101306687</v>
      </c>
      <c r="B2665" t="s">
        <v>7314</v>
      </c>
      <c r="C2665" t="s">
        <v>575</v>
      </c>
      <c r="F2665" t="str">
        <f>"8189817470"</f>
        <v>8189817470</v>
      </c>
      <c r="G2665" t="s">
        <v>7315</v>
      </c>
      <c r="H2665" t="s">
        <v>1538</v>
      </c>
      <c r="I2665" t="s">
        <v>22</v>
      </c>
      <c r="J2665">
        <v>91423</v>
      </c>
      <c r="K2665">
        <v>3476</v>
      </c>
      <c r="L2665" t="s">
        <v>23</v>
      </c>
      <c r="M2665" t="s">
        <v>7315</v>
      </c>
      <c r="N2665" t="s">
        <v>1538</v>
      </c>
      <c r="O2665" t="s">
        <v>22</v>
      </c>
      <c r="P2665">
        <v>91423</v>
      </c>
      <c r="Q2665">
        <v>3476</v>
      </c>
      <c r="R2665" t="s">
        <v>23</v>
      </c>
      <c r="S2665" s="1" t="s">
        <v>34218</v>
      </c>
    </row>
    <row r="2666" spans="1:19" x14ac:dyDescent="0.25">
      <c r="A2666">
        <v>101324318</v>
      </c>
      <c r="B2666" t="s">
        <v>7316</v>
      </c>
      <c r="C2666" t="s">
        <v>274</v>
      </c>
      <c r="F2666" t="str">
        <f>"5208250734"</f>
        <v>5208250734</v>
      </c>
      <c r="G2666" t="s">
        <v>7317</v>
      </c>
      <c r="H2666" t="s">
        <v>1439</v>
      </c>
      <c r="I2666" t="s">
        <v>365</v>
      </c>
      <c r="J2666">
        <v>85739</v>
      </c>
      <c r="K2666">
        <v>1792</v>
      </c>
      <c r="L2666" t="s">
        <v>23</v>
      </c>
      <c r="M2666" t="s">
        <v>7317</v>
      </c>
      <c r="N2666" t="s">
        <v>1439</v>
      </c>
      <c r="O2666" t="s">
        <v>365</v>
      </c>
      <c r="P2666">
        <v>85739</v>
      </c>
      <c r="Q2666">
        <v>1792</v>
      </c>
      <c r="R2666" t="s">
        <v>23</v>
      </c>
      <c r="S2666" s="1" t="s">
        <v>34218</v>
      </c>
    </row>
    <row r="2667" spans="1:19" x14ac:dyDescent="0.25">
      <c r="A2667">
        <v>100945656</v>
      </c>
      <c r="B2667" t="s">
        <v>7318</v>
      </c>
      <c r="C2667" t="s">
        <v>1463</v>
      </c>
      <c r="F2667" t="str">
        <f>"6514286517"</f>
        <v>6514286517</v>
      </c>
      <c r="G2667" t="s">
        <v>7319</v>
      </c>
      <c r="H2667" t="s">
        <v>401</v>
      </c>
      <c r="I2667" t="s">
        <v>100</v>
      </c>
      <c r="J2667">
        <v>54016</v>
      </c>
      <c r="K2667">
        <v>3027</v>
      </c>
      <c r="L2667" t="s">
        <v>23</v>
      </c>
      <c r="M2667" t="s">
        <v>7319</v>
      </c>
      <c r="N2667" t="s">
        <v>401</v>
      </c>
      <c r="O2667" t="s">
        <v>100</v>
      </c>
      <c r="P2667">
        <v>54016</v>
      </c>
      <c r="Q2667">
        <v>3027</v>
      </c>
      <c r="R2667" t="s">
        <v>23</v>
      </c>
      <c r="S2667" s="1" t="s">
        <v>34218</v>
      </c>
    </row>
    <row r="2668" spans="1:19" x14ac:dyDescent="0.25">
      <c r="A2668">
        <v>100965077</v>
      </c>
      <c r="B2668" t="s">
        <v>7320</v>
      </c>
      <c r="C2668" t="s">
        <v>266</v>
      </c>
      <c r="F2668" t="str">
        <f>"5038843203"</f>
        <v>5038843203</v>
      </c>
      <c r="G2668" t="s">
        <v>7321</v>
      </c>
      <c r="H2668" t="s">
        <v>1877</v>
      </c>
      <c r="I2668" t="s">
        <v>43</v>
      </c>
      <c r="J2668">
        <v>97301</v>
      </c>
      <c r="K2668">
        <v>1918</v>
      </c>
      <c r="L2668" t="s">
        <v>23</v>
      </c>
      <c r="M2668" t="s">
        <v>7321</v>
      </c>
      <c r="N2668" t="s">
        <v>1877</v>
      </c>
      <c r="O2668" t="s">
        <v>43</v>
      </c>
      <c r="P2668">
        <v>97301</v>
      </c>
      <c r="Q2668">
        <v>1918</v>
      </c>
      <c r="R2668" t="s">
        <v>23</v>
      </c>
      <c r="S2668" s="1" t="s">
        <v>34218</v>
      </c>
    </row>
    <row r="2669" spans="1:19" x14ac:dyDescent="0.25">
      <c r="A2669">
        <v>100964309</v>
      </c>
      <c r="B2669" t="s">
        <v>4170</v>
      </c>
      <c r="C2669" t="s">
        <v>1306</v>
      </c>
      <c r="F2669" t="str">
        <f>"6502071829"</f>
        <v>6502071829</v>
      </c>
      <c r="G2669" t="s">
        <v>7322</v>
      </c>
      <c r="H2669" t="s">
        <v>2031</v>
      </c>
      <c r="I2669" t="s">
        <v>22</v>
      </c>
      <c r="J2669">
        <v>94062</v>
      </c>
      <c r="K2669">
        <v>1315</v>
      </c>
      <c r="L2669" t="s">
        <v>23</v>
      </c>
      <c r="M2669" t="s">
        <v>7322</v>
      </c>
      <c r="N2669" t="s">
        <v>2031</v>
      </c>
      <c r="O2669" t="s">
        <v>22</v>
      </c>
      <c r="P2669">
        <v>94062</v>
      </c>
      <c r="Q2669">
        <v>1315</v>
      </c>
      <c r="R2669" t="s">
        <v>23</v>
      </c>
      <c r="S2669" s="1" t="s">
        <v>34218</v>
      </c>
    </row>
    <row r="2670" spans="1:19" x14ac:dyDescent="0.25">
      <c r="A2670">
        <v>101154580</v>
      </c>
      <c r="B2670" t="s">
        <v>7323</v>
      </c>
      <c r="C2670" t="s">
        <v>6920</v>
      </c>
      <c r="F2670" t="str">
        <f>"8508777242"</f>
        <v>8508777242</v>
      </c>
      <c r="G2670" t="s">
        <v>7324</v>
      </c>
      <c r="H2670" t="s">
        <v>1196</v>
      </c>
      <c r="I2670" t="s">
        <v>52</v>
      </c>
      <c r="J2670">
        <v>32312</v>
      </c>
      <c r="K2670">
        <v>1514</v>
      </c>
      <c r="L2670" t="s">
        <v>23</v>
      </c>
      <c r="M2670" t="s">
        <v>7324</v>
      </c>
      <c r="N2670" t="s">
        <v>1196</v>
      </c>
      <c r="O2670" t="s">
        <v>52</v>
      </c>
      <c r="P2670">
        <v>32312</v>
      </c>
      <c r="Q2670">
        <v>1514</v>
      </c>
      <c r="R2670" t="s">
        <v>23</v>
      </c>
      <c r="S2670" s="1" t="s">
        <v>34218</v>
      </c>
    </row>
    <row r="2671" spans="1:19" x14ac:dyDescent="0.25">
      <c r="A2671">
        <v>101170693</v>
      </c>
      <c r="B2671" t="s">
        <v>7325</v>
      </c>
      <c r="C2671" t="s">
        <v>2802</v>
      </c>
      <c r="F2671" t="str">
        <f>"9374344689"</f>
        <v>9374344689</v>
      </c>
      <c r="G2671" t="s">
        <v>7326</v>
      </c>
      <c r="H2671" t="s">
        <v>3183</v>
      </c>
      <c r="I2671" t="s">
        <v>178</v>
      </c>
      <c r="J2671">
        <v>45449</v>
      </c>
      <c r="K2671">
        <v>3529</v>
      </c>
      <c r="L2671" t="s">
        <v>23</v>
      </c>
      <c r="M2671" t="s">
        <v>7326</v>
      </c>
      <c r="N2671" t="s">
        <v>3183</v>
      </c>
      <c r="O2671" t="s">
        <v>178</v>
      </c>
      <c r="P2671">
        <v>45449</v>
      </c>
      <c r="Q2671">
        <v>3529</v>
      </c>
      <c r="R2671" t="s">
        <v>23</v>
      </c>
      <c r="S2671" s="1" t="s">
        <v>34218</v>
      </c>
    </row>
    <row r="2672" spans="1:19" x14ac:dyDescent="0.25">
      <c r="A2672">
        <v>101112967</v>
      </c>
      <c r="B2672" t="s">
        <v>1089</v>
      </c>
      <c r="C2672" t="s">
        <v>7327</v>
      </c>
      <c r="F2672" t="str">
        <f>"5305590555"</f>
        <v>5305590555</v>
      </c>
      <c r="G2672" t="s">
        <v>7328</v>
      </c>
      <c r="H2672" t="s">
        <v>2674</v>
      </c>
      <c r="I2672" t="s">
        <v>22</v>
      </c>
      <c r="J2672">
        <v>95945</v>
      </c>
      <c r="K2672">
        <v>7804</v>
      </c>
      <c r="L2672" t="s">
        <v>23</v>
      </c>
      <c r="M2672" t="s">
        <v>7328</v>
      </c>
      <c r="N2672" t="s">
        <v>2674</v>
      </c>
      <c r="O2672" t="s">
        <v>22</v>
      </c>
      <c r="P2672">
        <v>95945</v>
      </c>
      <c r="Q2672">
        <v>7804</v>
      </c>
      <c r="R2672" t="s">
        <v>23</v>
      </c>
      <c r="S2672" s="1" t="s">
        <v>34218</v>
      </c>
    </row>
    <row r="2673" spans="1:19" x14ac:dyDescent="0.25">
      <c r="A2673">
        <v>101347493</v>
      </c>
      <c r="B2673" t="s">
        <v>654</v>
      </c>
      <c r="C2673" t="s">
        <v>180</v>
      </c>
      <c r="F2673" t="str">
        <f>"9896443707"</f>
        <v>9896443707</v>
      </c>
      <c r="G2673" t="s">
        <v>7329</v>
      </c>
      <c r="H2673" t="s">
        <v>7330</v>
      </c>
      <c r="I2673" t="s">
        <v>140</v>
      </c>
      <c r="J2673">
        <v>48893</v>
      </c>
      <c r="K2673">
        <v>9617</v>
      </c>
      <c r="L2673" t="s">
        <v>23</v>
      </c>
      <c r="M2673" t="s">
        <v>7329</v>
      </c>
      <c r="N2673" t="s">
        <v>7330</v>
      </c>
      <c r="O2673" t="s">
        <v>140</v>
      </c>
      <c r="P2673">
        <v>48893</v>
      </c>
      <c r="Q2673">
        <v>9617</v>
      </c>
      <c r="R2673" t="s">
        <v>23</v>
      </c>
      <c r="S2673" s="1" t="s">
        <v>34218</v>
      </c>
    </row>
    <row r="2674" spans="1:19" x14ac:dyDescent="0.25">
      <c r="A2674">
        <v>101378051</v>
      </c>
      <c r="B2674" t="s">
        <v>654</v>
      </c>
      <c r="C2674" t="s">
        <v>7331</v>
      </c>
      <c r="F2674" t="str">
        <f>"9084751273"</f>
        <v>9084751273</v>
      </c>
      <c r="G2674" t="s">
        <v>7332</v>
      </c>
      <c r="H2674" t="s">
        <v>7333</v>
      </c>
      <c r="I2674" t="s">
        <v>250</v>
      </c>
      <c r="J2674">
        <v>7823</v>
      </c>
      <c r="K2674">
        <v>2710</v>
      </c>
      <c r="L2674" t="s">
        <v>23</v>
      </c>
      <c r="M2674" t="s">
        <v>7332</v>
      </c>
      <c r="N2674" t="s">
        <v>7333</v>
      </c>
      <c r="O2674" t="s">
        <v>250</v>
      </c>
      <c r="P2674">
        <v>7823</v>
      </c>
      <c r="Q2674">
        <v>2710</v>
      </c>
      <c r="R2674" t="s">
        <v>23</v>
      </c>
      <c r="S2674" s="1" t="s">
        <v>34218</v>
      </c>
    </row>
    <row r="2675" spans="1:19" x14ac:dyDescent="0.25">
      <c r="A2675">
        <v>101142546</v>
      </c>
      <c r="B2675" t="s">
        <v>7334</v>
      </c>
      <c r="C2675" t="s">
        <v>1955</v>
      </c>
      <c r="F2675" t="str">
        <f>"2154704421"</f>
        <v>2154704421</v>
      </c>
      <c r="G2675" t="s">
        <v>7335</v>
      </c>
      <c r="H2675" t="s">
        <v>7211</v>
      </c>
      <c r="I2675" t="s">
        <v>33</v>
      </c>
      <c r="J2675">
        <v>19454</v>
      </c>
      <c r="K2675">
        <v>4285</v>
      </c>
      <c r="L2675" t="s">
        <v>23</v>
      </c>
      <c r="M2675" t="s">
        <v>7335</v>
      </c>
      <c r="N2675" t="s">
        <v>7211</v>
      </c>
      <c r="O2675" t="s">
        <v>33</v>
      </c>
      <c r="P2675">
        <v>19454</v>
      </c>
      <c r="Q2675">
        <v>4285</v>
      </c>
      <c r="R2675" t="s">
        <v>23</v>
      </c>
      <c r="S2675" s="1" t="s">
        <v>34218</v>
      </c>
    </row>
    <row r="2676" spans="1:19" x14ac:dyDescent="0.25">
      <c r="A2676">
        <v>101399249</v>
      </c>
      <c r="B2676" t="s">
        <v>7336</v>
      </c>
      <c r="C2676" t="s">
        <v>1327</v>
      </c>
      <c r="F2676" t="str">
        <f>"7195551212"</f>
        <v>7195551212</v>
      </c>
      <c r="G2676" t="s">
        <v>7337</v>
      </c>
      <c r="H2676" t="s">
        <v>1337</v>
      </c>
      <c r="I2676" t="s">
        <v>71</v>
      </c>
      <c r="J2676">
        <v>81004</v>
      </c>
      <c r="K2676">
        <v>9713</v>
      </c>
      <c r="L2676" t="s">
        <v>23</v>
      </c>
      <c r="M2676" t="s">
        <v>7337</v>
      </c>
      <c r="N2676" t="s">
        <v>1337</v>
      </c>
      <c r="O2676" t="s">
        <v>71</v>
      </c>
      <c r="P2676">
        <v>81004</v>
      </c>
      <c r="Q2676">
        <v>9713</v>
      </c>
      <c r="R2676" t="s">
        <v>23</v>
      </c>
      <c r="S2676" s="1" t="s">
        <v>34218</v>
      </c>
    </row>
    <row r="2677" spans="1:19" x14ac:dyDescent="0.25">
      <c r="A2677">
        <v>100978995</v>
      </c>
      <c r="B2677" t="s">
        <v>7338</v>
      </c>
      <c r="C2677" t="s">
        <v>2159</v>
      </c>
      <c r="F2677" t="str">
        <f>"5306763426"</f>
        <v>5306763426</v>
      </c>
      <c r="G2677" t="s">
        <v>7339</v>
      </c>
      <c r="H2677" t="s">
        <v>7340</v>
      </c>
      <c r="I2677" t="s">
        <v>22</v>
      </c>
      <c r="J2677">
        <v>95682</v>
      </c>
      <c r="K2677">
        <v>9130</v>
      </c>
      <c r="L2677" t="s">
        <v>23</v>
      </c>
      <c r="M2677" t="s">
        <v>7339</v>
      </c>
      <c r="N2677" t="s">
        <v>7340</v>
      </c>
      <c r="O2677" t="s">
        <v>22</v>
      </c>
      <c r="P2677">
        <v>95682</v>
      </c>
      <c r="Q2677">
        <v>9130</v>
      </c>
      <c r="R2677" t="s">
        <v>23</v>
      </c>
      <c r="S2677" s="1" t="s">
        <v>34218</v>
      </c>
    </row>
    <row r="2678" spans="1:19" x14ac:dyDescent="0.25">
      <c r="A2678">
        <v>101290314</v>
      </c>
      <c r="B2678" t="s">
        <v>7341</v>
      </c>
      <c r="C2678" t="s">
        <v>158</v>
      </c>
      <c r="F2678" t="str">
        <f>"2155414158"</f>
        <v>2155414158</v>
      </c>
      <c r="G2678" t="s">
        <v>7342</v>
      </c>
      <c r="H2678" t="s">
        <v>7343</v>
      </c>
      <c r="I2678" t="s">
        <v>33</v>
      </c>
      <c r="J2678">
        <v>18073</v>
      </c>
      <c r="K2678">
        <v>1959</v>
      </c>
      <c r="L2678" t="s">
        <v>23</v>
      </c>
      <c r="M2678" t="s">
        <v>7342</v>
      </c>
      <c r="N2678" t="s">
        <v>7343</v>
      </c>
      <c r="O2678" t="s">
        <v>33</v>
      </c>
      <c r="P2678">
        <v>18073</v>
      </c>
      <c r="Q2678">
        <v>1959</v>
      </c>
      <c r="R2678" t="s">
        <v>23</v>
      </c>
      <c r="S2678" s="1" t="s">
        <v>34218</v>
      </c>
    </row>
    <row r="2679" spans="1:19" x14ac:dyDescent="0.25">
      <c r="A2679">
        <v>101283681</v>
      </c>
      <c r="B2679" t="s">
        <v>7344</v>
      </c>
      <c r="C2679" t="s">
        <v>498</v>
      </c>
      <c r="F2679" t="str">
        <f>"9702400490"</f>
        <v>9702400490</v>
      </c>
      <c r="G2679" t="s">
        <v>7345</v>
      </c>
      <c r="H2679" t="s">
        <v>4495</v>
      </c>
      <c r="I2679" t="s">
        <v>71</v>
      </c>
      <c r="J2679">
        <v>81403</v>
      </c>
      <c r="K2679">
        <v>9661</v>
      </c>
      <c r="L2679" t="s">
        <v>23</v>
      </c>
      <c r="M2679" t="s">
        <v>7345</v>
      </c>
      <c r="N2679" t="s">
        <v>4495</v>
      </c>
      <c r="O2679" t="s">
        <v>71</v>
      </c>
      <c r="P2679">
        <v>81403</v>
      </c>
      <c r="Q2679">
        <v>9661</v>
      </c>
      <c r="R2679" t="s">
        <v>23</v>
      </c>
      <c r="S2679" s="1" t="s">
        <v>34218</v>
      </c>
    </row>
    <row r="2680" spans="1:19" x14ac:dyDescent="0.25">
      <c r="A2680">
        <v>101296370</v>
      </c>
      <c r="B2680" t="s">
        <v>7346</v>
      </c>
      <c r="C2680" t="s">
        <v>1542</v>
      </c>
      <c r="F2680" t="str">
        <f>"6023979034"</f>
        <v>6023979034</v>
      </c>
      <c r="G2680" t="s">
        <v>7347</v>
      </c>
      <c r="H2680" t="s">
        <v>2231</v>
      </c>
      <c r="I2680" t="s">
        <v>365</v>
      </c>
      <c r="J2680">
        <v>85306</v>
      </c>
      <c r="K2680">
        <v>2518</v>
      </c>
      <c r="L2680" t="s">
        <v>23</v>
      </c>
      <c r="M2680" t="s">
        <v>7347</v>
      </c>
      <c r="N2680" t="s">
        <v>2231</v>
      </c>
      <c r="O2680" t="s">
        <v>365</v>
      </c>
      <c r="P2680">
        <v>85306</v>
      </c>
      <c r="Q2680">
        <v>2518</v>
      </c>
      <c r="R2680" t="s">
        <v>23</v>
      </c>
      <c r="S2680" s="1" t="s">
        <v>34218</v>
      </c>
    </row>
    <row r="2681" spans="1:19" x14ac:dyDescent="0.25">
      <c r="A2681">
        <v>101414371</v>
      </c>
      <c r="B2681" t="s">
        <v>7348</v>
      </c>
      <c r="C2681" t="s">
        <v>1731</v>
      </c>
      <c r="F2681" t="str">
        <f>"6082382180"</f>
        <v>6082382180</v>
      </c>
      <c r="G2681" t="s">
        <v>7349</v>
      </c>
      <c r="H2681" t="s">
        <v>2375</v>
      </c>
      <c r="I2681" t="s">
        <v>100</v>
      </c>
      <c r="J2681">
        <v>53711</v>
      </c>
      <c r="K2681">
        <v>1827</v>
      </c>
      <c r="L2681" t="s">
        <v>23</v>
      </c>
      <c r="M2681" t="s">
        <v>7349</v>
      </c>
      <c r="N2681" t="s">
        <v>2375</v>
      </c>
      <c r="O2681" t="s">
        <v>100</v>
      </c>
      <c r="P2681">
        <v>53711</v>
      </c>
      <c r="Q2681">
        <v>1827</v>
      </c>
      <c r="R2681" t="s">
        <v>23</v>
      </c>
      <c r="S2681" s="1" t="s">
        <v>34218</v>
      </c>
    </row>
    <row r="2682" spans="1:19" x14ac:dyDescent="0.25">
      <c r="A2682">
        <v>101428045</v>
      </c>
      <c r="B2682" t="s">
        <v>7350</v>
      </c>
      <c r="C2682" t="s">
        <v>7351</v>
      </c>
      <c r="F2682" t="str">
        <f>"2406646464"</f>
        <v>2406646464</v>
      </c>
      <c r="G2682" t="s">
        <v>7352</v>
      </c>
      <c r="H2682" t="s">
        <v>4859</v>
      </c>
      <c r="I2682" t="s">
        <v>148</v>
      </c>
      <c r="J2682">
        <v>20877</v>
      </c>
      <c r="K2682">
        <v>3488</v>
      </c>
      <c r="L2682" t="s">
        <v>23</v>
      </c>
      <c r="M2682" t="s">
        <v>7352</v>
      </c>
      <c r="N2682" t="s">
        <v>4859</v>
      </c>
      <c r="O2682" t="s">
        <v>148</v>
      </c>
      <c r="P2682">
        <v>20877</v>
      </c>
      <c r="Q2682">
        <v>3488</v>
      </c>
      <c r="R2682" t="s">
        <v>23</v>
      </c>
      <c r="S2682" s="1" t="s">
        <v>34218</v>
      </c>
    </row>
    <row r="2683" spans="1:19" x14ac:dyDescent="0.25">
      <c r="A2683">
        <v>101335027</v>
      </c>
      <c r="B2683" t="s">
        <v>7353</v>
      </c>
      <c r="C2683" t="s">
        <v>180</v>
      </c>
      <c r="F2683" t="str">
        <f>"5555555555"</f>
        <v>5555555555</v>
      </c>
      <c r="G2683" t="s">
        <v>7354</v>
      </c>
      <c r="H2683" t="s">
        <v>7355</v>
      </c>
      <c r="I2683" t="s">
        <v>52</v>
      </c>
      <c r="J2683">
        <v>32708</v>
      </c>
      <c r="K2683">
        <v>2502</v>
      </c>
      <c r="L2683" t="s">
        <v>23</v>
      </c>
      <c r="M2683" t="s">
        <v>7354</v>
      </c>
      <c r="N2683" t="s">
        <v>7355</v>
      </c>
      <c r="O2683" t="s">
        <v>52</v>
      </c>
      <c r="P2683">
        <v>32708</v>
      </c>
      <c r="Q2683">
        <v>2502</v>
      </c>
      <c r="R2683" t="s">
        <v>23</v>
      </c>
      <c r="S2683" s="1" t="s">
        <v>34218</v>
      </c>
    </row>
    <row r="2684" spans="1:19" x14ac:dyDescent="0.25">
      <c r="A2684">
        <v>100840620</v>
      </c>
      <c r="B2684" t="s">
        <v>3375</v>
      </c>
      <c r="C2684" t="s">
        <v>4982</v>
      </c>
      <c r="F2684" t="str">
        <f>"6175551212"</f>
        <v>6175551212</v>
      </c>
      <c r="G2684" t="s">
        <v>7356</v>
      </c>
      <c r="H2684" t="s">
        <v>7357</v>
      </c>
      <c r="I2684" t="s">
        <v>236</v>
      </c>
      <c r="J2684">
        <v>2762</v>
      </c>
      <c r="K2684">
        <v>2259</v>
      </c>
      <c r="L2684" t="s">
        <v>23</v>
      </c>
      <c r="M2684" t="s">
        <v>7356</v>
      </c>
      <c r="N2684" t="s">
        <v>7357</v>
      </c>
      <c r="O2684" t="s">
        <v>236</v>
      </c>
      <c r="P2684">
        <v>2762</v>
      </c>
      <c r="Q2684">
        <v>2259</v>
      </c>
      <c r="R2684" t="s">
        <v>23</v>
      </c>
      <c r="S2684" s="1" t="s">
        <v>34218</v>
      </c>
    </row>
    <row r="2685" spans="1:19" x14ac:dyDescent="0.25">
      <c r="A2685">
        <v>101007462</v>
      </c>
      <c r="B2685" t="s">
        <v>2074</v>
      </c>
      <c r="C2685" t="s">
        <v>7358</v>
      </c>
      <c r="F2685" t="str">
        <f>"8187271701"</f>
        <v>8187271701</v>
      </c>
      <c r="G2685" t="s">
        <v>7359</v>
      </c>
      <c r="H2685" t="s">
        <v>7360</v>
      </c>
      <c r="I2685" t="s">
        <v>22</v>
      </c>
      <c r="J2685">
        <v>91306</v>
      </c>
      <c r="L2685" t="s">
        <v>23</v>
      </c>
      <c r="M2685" t="s">
        <v>7359</v>
      </c>
      <c r="N2685" t="s">
        <v>7360</v>
      </c>
      <c r="O2685" t="s">
        <v>22</v>
      </c>
      <c r="P2685">
        <v>91306</v>
      </c>
      <c r="R2685" t="s">
        <v>23</v>
      </c>
      <c r="S2685" s="1" t="s">
        <v>34218</v>
      </c>
    </row>
    <row r="2686" spans="1:19" x14ac:dyDescent="0.25">
      <c r="A2686">
        <v>100535345</v>
      </c>
      <c r="B2686" t="s">
        <v>7361</v>
      </c>
      <c r="C2686" t="s">
        <v>1450</v>
      </c>
      <c r="F2686" t="str">
        <f>"3605682665"</f>
        <v>3605682665</v>
      </c>
      <c r="G2686" t="s">
        <v>7362</v>
      </c>
      <c r="H2686" t="s">
        <v>6001</v>
      </c>
      <c r="I2686" t="s">
        <v>84</v>
      </c>
      <c r="J2686">
        <v>98290</v>
      </c>
      <c r="K2686">
        <v>5815</v>
      </c>
      <c r="L2686" t="s">
        <v>23</v>
      </c>
      <c r="M2686" t="s">
        <v>7362</v>
      </c>
      <c r="N2686" t="s">
        <v>6001</v>
      </c>
      <c r="O2686" t="s">
        <v>84</v>
      </c>
      <c r="P2686">
        <v>98290</v>
      </c>
      <c r="Q2686">
        <v>5815</v>
      </c>
      <c r="R2686" t="s">
        <v>23</v>
      </c>
      <c r="S2686" s="1" t="s">
        <v>34218</v>
      </c>
    </row>
    <row r="2687" spans="1:19" x14ac:dyDescent="0.25">
      <c r="A2687">
        <v>100547669</v>
      </c>
      <c r="B2687" t="s">
        <v>7363</v>
      </c>
      <c r="C2687" t="s">
        <v>452</v>
      </c>
      <c r="F2687" t="str">
        <f>"3107228514"</f>
        <v>3107228514</v>
      </c>
      <c r="G2687" t="s">
        <v>7364</v>
      </c>
      <c r="H2687" t="s">
        <v>4326</v>
      </c>
      <c r="I2687" t="s">
        <v>22</v>
      </c>
      <c r="J2687">
        <v>90712</v>
      </c>
      <c r="K2687">
        <v>2726</v>
      </c>
      <c r="L2687" t="s">
        <v>23</v>
      </c>
      <c r="M2687" t="s">
        <v>7364</v>
      </c>
      <c r="N2687" t="s">
        <v>4326</v>
      </c>
      <c r="O2687" t="s">
        <v>22</v>
      </c>
      <c r="P2687">
        <v>90712</v>
      </c>
      <c r="Q2687">
        <v>2726</v>
      </c>
      <c r="R2687" t="s">
        <v>23</v>
      </c>
      <c r="S2687" s="1" t="s">
        <v>34218</v>
      </c>
    </row>
    <row r="2688" spans="1:19" x14ac:dyDescent="0.25">
      <c r="A2688">
        <v>100561625</v>
      </c>
      <c r="B2688" t="s">
        <v>7365</v>
      </c>
      <c r="C2688" t="s">
        <v>102</v>
      </c>
      <c r="F2688" t="str">
        <f>"2157564914"</f>
        <v>2157564914</v>
      </c>
      <c r="G2688" t="s">
        <v>7366</v>
      </c>
      <c r="H2688" t="s">
        <v>573</v>
      </c>
      <c r="I2688" t="s">
        <v>33</v>
      </c>
      <c r="J2688">
        <v>19136</v>
      </c>
      <c r="K2688">
        <v>1017</v>
      </c>
      <c r="L2688" t="s">
        <v>23</v>
      </c>
      <c r="M2688" t="s">
        <v>7366</v>
      </c>
      <c r="N2688" t="s">
        <v>573</v>
      </c>
      <c r="O2688" t="s">
        <v>33</v>
      </c>
      <c r="P2688">
        <v>19136</v>
      </c>
      <c r="Q2688">
        <v>1017</v>
      </c>
      <c r="R2688" t="s">
        <v>23</v>
      </c>
      <c r="S2688" s="1" t="s">
        <v>34218</v>
      </c>
    </row>
    <row r="2689" spans="1:19" x14ac:dyDescent="0.25">
      <c r="A2689">
        <v>100682015</v>
      </c>
      <c r="B2689" t="s">
        <v>7367</v>
      </c>
      <c r="C2689" t="s">
        <v>1350</v>
      </c>
      <c r="F2689" t="str">
        <f>"8082345508"</f>
        <v>8082345508</v>
      </c>
      <c r="G2689" t="s">
        <v>7368</v>
      </c>
      <c r="H2689" t="s">
        <v>7369</v>
      </c>
      <c r="I2689" t="s">
        <v>984</v>
      </c>
      <c r="J2689">
        <v>96744</v>
      </c>
      <c r="K2689">
        <v>2502</v>
      </c>
      <c r="L2689" t="s">
        <v>23</v>
      </c>
      <c r="M2689" t="s">
        <v>7368</v>
      </c>
      <c r="N2689" t="s">
        <v>7369</v>
      </c>
      <c r="O2689" t="s">
        <v>984</v>
      </c>
      <c r="P2689">
        <v>96744</v>
      </c>
      <c r="Q2689">
        <v>2502</v>
      </c>
      <c r="R2689" t="s">
        <v>23</v>
      </c>
      <c r="S2689" s="1" t="s">
        <v>34218</v>
      </c>
    </row>
    <row r="2690" spans="1:19" x14ac:dyDescent="0.25">
      <c r="A2690">
        <v>100879118</v>
      </c>
      <c r="B2690" t="s">
        <v>76</v>
      </c>
      <c r="C2690" t="s">
        <v>7370</v>
      </c>
      <c r="F2690" t="str">
        <f>"6314472091"</f>
        <v>6314472091</v>
      </c>
      <c r="G2690" t="s">
        <v>7371</v>
      </c>
      <c r="H2690" t="s">
        <v>47</v>
      </c>
      <c r="I2690" t="s">
        <v>117</v>
      </c>
      <c r="J2690">
        <v>11763</v>
      </c>
      <c r="K2690">
        <v>3700</v>
      </c>
      <c r="L2690" t="s">
        <v>23</v>
      </c>
      <c r="M2690" t="s">
        <v>7371</v>
      </c>
      <c r="N2690" t="s">
        <v>47</v>
      </c>
      <c r="O2690" t="s">
        <v>117</v>
      </c>
      <c r="P2690">
        <v>11763</v>
      </c>
      <c r="Q2690">
        <v>3700</v>
      </c>
      <c r="R2690" t="s">
        <v>23</v>
      </c>
      <c r="S2690" s="1" t="s">
        <v>34218</v>
      </c>
    </row>
    <row r="2691" spans="1:19" x14ac:dyDescent="0.25">
      <c r="A2691">
        <v>100887705</v>
      </c>
      <c r="B2691" t="s">
        <v>1561</v>
      </c>
      <c r="C2691" t="s">
        <v>2506</v>
      </c>
      <c r="F2691" t="str">
        <f>"7079963596"</f>
        <v>7079963596</v>
      </c>
      <c r="G2691" t="s">
        <v>7372</v>
      </c>
      <c r="H2691" t="s">
        <v>6041</v>
      </c>
      <c r="I2691" t="s">
        <v>22</v>
      </c>
      <c r="J2691">
        <v>95476</v>
      </c>
      <c r="K2691">
        <v>7531</v>
      </c>
      <c r="L2691" t="s">
        <v>23</v>
      </c>
      <c r="M2691" t="s">
        <v>7372</v>
      </c>
      <c r="N2691" t="s">
        <v>6041</v>
      </c>
      <c r="O2691" t="s">
        <v>22</v>
      </c>
      <c r="P2691">
        <v>95476</v>
      </c>
      <c r="Q2691">
        <v>7531</v>
      </c>
      <c r="R2691" t="s">
        <v>23</v>
      </c>
      <c r="S2691" s="1" t="s">
        <v>34218</v>
      </c>
    </row>
    <row r="2692" spans="1:19" x14ac:dyDescent="0.25">
      <c r="A2692">
        <v>100644946</v>
      </c>
      <c r="B2692" t="s">
        <v>7373</v>
      </c>
      <c r="C2692" t="s">
        <v>1327</v>
      </c>
      <c r="F2692" t="str">
        <f>"8057654353"</f>
        <v>8057654353</v>
      </c>
      <c r="G2692" t="s">
        <v>7374</v>
      </c>
      <c r="H2692" t="s">
        <v>108</v>
      </c>
      <c r="I2692" t="s">
        <v>22</v>
      </c>
      <c r="J2692">
        <v>93003</v>
      </c>
      <c r="K2692">
        <v>7120</v>
      </c>
      <c r="L2692" t="s">
        <v>23</v>
      </c>
      <c r="M2692" t="s">
        <v>7374</v>
      </c>
      <c r="N2692" t="s">
        <v>108</v>
      </c>
      <c r="O2692" t="s">
        <v>22</v>
      </c>
      <c r="P2692">
        <v>93003</v>
      </c>
      <c r="Q2692">
        <v>7120</v>
      </c>
      <c r="R2692" t="s">
        <v>23</v>
      </c>
      <c r="S2692" s="1" t="s">
        <v>34218</v>
      </c>
    </row>
    <row r="2693" spans="1:19" x14ac:dyDescent="0.25">
      <c r="A2693">
        <v>100648640</v>
      </c>
      <c r="B2693" t="s">
        <v>7375</v>
      </c>
      <c r="C2693" t="s">
        <v>585</v>
      </c>
      <c r="F2693" t="str">
        <f>"5555555555"</f>
        <v>5555555555</v>
      </c>
      <c r="G2693" t="s">
        <v>7376</v>
      </c>
      <c r="H2693" t="s">
        <v>7191</v>
      </c>
      <c r="I2693" t="s">
        <v>117</v>
      </c>
      <c r="J2693">
        <v>11717</v>
      </c>
      <c r="K2693">
        <v>1224</v>
      </c>
      <c r="L2693" t="s">
        <v>23</v>
      </c>
      <c r="M2693" t="s">
        <v>7376</v>
      </c>
      <c r="N2693" t="s">
        <v>7191</v>
      </c>
      <c r="O2693" t="s">
        <v>117</v>
      </c>
      <c r="P2693">
        <v>11717</v>
      </c>
      <c r="Q2693">
        <v>1224</v>
      </c>
      <c r="R2693" t="s">
        <v>23</v>
      </c>
      <c r="S2693" s="1" t="s">
        <v>34218</v>
      </c>
    </row>
    <row r="2694" spans="1:19" x14ac:dyDescent="0.25">
      <c r="A2694">
        <v>100672548</v>
      </c>
      <c r="B2694" t="s">
        <v>2509</v>
      </c>
      <c r="C2694" t="s">
        <v>208</v>
      </c>
      <c r="F2694" t="str">
        <f>"7207075888"</f>
        <v>7207075888</v>
      </c>
      <c r="G2694" t="s">
        <v>7377</v>
      </c>
      <c r="H2694" t="s">
        <v>1337</v>
      </c>
      <c r="I2694" t="s">
        <v>71</v>
      </c>
      <c r="J2694">
        <v>81004</v>
      </c>
      <c r="K2694">
        <v>2514</v>
      </c>
      <c r="L2694" t="s">
        <v>23</v>
      </c>
      <c r="M2694" t="s">
        <v>7377</v>
      </c>
      <c r="N2694" t="s">
        <v>1337</v>
      </c>
      <c r="O2694" t="s">
        <v>71</v>
      </c>
      <c r="P2694">
        <v>81004</v>
      </c>
      <c r="Q2694">
        <v>2514</v>
      </c>
      <c r="R2694" t="s">
        <v>23</v>
      </c>
      <c r="S2694" s="1" t="s">
        <v>34218</v>
      </c>
    </row>
    <row r="2695" spans="1:19" x14ac:dyDescent="0.25">
      <c r="A2695">
        <v>100916295</v>
      </c>
      <c r="B2695" t="s">
        <v>7378</v>
      </c>
      <c r="C2695" t="s">
        <v>787</v>
      </c>
      <c r="F2695" t="str">
        <f>"5854922810"</f>
        <v>5854922810</v>
      </c>
      <c r="G2695" t="s">
        <v>7379</v>
      </c>
      <c r="H2695" t="s">
        <v>7380</v>
      </c>
      <c r="I2695" t="s">
        <v>117</v>
      </c>
      <c r="J2695">
        <v>14009</v>
      </c>
      <c r="K2695">
        <v>1505</v>
      </c>
      <c r="L2695" t="s">
        <v>23</v>
      </c>
      <c r="M2695" t="s">
        <v>7379</v>
      </c>
      <c r="N2695" t="s">
        <v>7380</v>
      </c>
      <c r="O2695" t="s">
        <v>117</v>
      </c>
      <c r="P2695">
        <v>14009</v>
      </c>
      <c r="Q2695">
        <v>1505</v>
      </c>
      <c r="R2695" t="s">
        <v>23</v>
      </c>
      <c r="S2695" s="1" t="s">
        <v>34218</v>
      </c>
    </row>
    <row r="2696" spans="1:19" x14ac:dyDescent="0.25">
      <c r="A2696">
        <v>100924803</v>
      </c>
      <c r="B2696" t="s">
        <v>7381</v>
      </c>
      <c r="C2696" t="s">
        <v>2127</v>
      </c>
      <c r="F2696" t="str">
        <f>"7604394543"</f>
        <v>7604394543</v>
      </c>
      <c r="G2696" t="s">
        <v>7382</v>
      </c>
      <c r="H2696" t="s">
        <v>1614</v>
      </c>
      <c r="I2696" t="s">
        <v>22</v>
      </c>
      <c r="J2696">
        <v>92054</v>
      </c>
      <c r="K2696">
        <v>4041</v>
      </c>
      <c r="L2696" t="s">
        <v>23</v>
      </c>
      <c r="M2696" t="s">
        <v>7382</v>
      </c>
      <c r="N2696" t="s">
        <v>1614</v>
      </c>
      <c r="O2696" t="s">
        <v>22</v>
      </c>
      <c r="P2696">
        <v>92054</v>
      </c>
      <c r="Q2696">
        <v>4041</v>
      </c>
      <c r="R2696" t="s">
        <v>23</v>
      </c>
      <c r="S2696" s="1" t="s">
        <v>34218</v>
      </c>
    </row>
    <row r="2697" spans="1:19" x14ac:dyDescent="0.25">
      <c r="A2697">
        <v>100940785</v>
      </c>
      <c r="B2697" t="s">
        <v>7383</v>
      </c>
      <c r="C2697" t="s">
        <v>440</v>
      </c>
      <c r="F2697" t="str">
        <f>"4105307180"</f>
        <v>4105307180</v>
      </c>
      <c r="G2697" t="s">
        <v>7384</v>
      </c>
      <c r="H2697" t="s">
        <v>7385</v>
      </c>
      <c r="I2697" t="s">
        <v>148</v>
      </c>
      <c r="J2697">
        <v>21220</v>
      </c>
      <c r="K2697">
        <v>1211</v>
      </c>
      <c r="L2697" t="s">
        <v>23</v>
      </c>
      <c r="M2697" t="s">
        <v>7384</v>
      </c>
      <c r="N2697" t="s">
        <v>7385</v>
      </c>
      <c r="O2697" t="s">
        <v>148</v>
      </c>
      <c r="P2697">
        <v>21220</v>
      </c>
      <c r="Q2697">
        <v>1211</v>
      </c>
      <c r="R2697" t="s">
        <v>23</v>
      </c>
      <c r="S2697" s="1" t="s">
        <v>34218</v>
      </c>
    </row>
    <row r="2698" spans="1:19" x14ac:dyDescent="0.25">
      <c r="A2698">
        <v>100944623</v>
      </c>
      <c r="B2698" t="s">
        <v>1902</v>
      </c>
      <c r="C2698" t="s">
        <v>1714</v>
      </c>
      <c r="F2698" t="str">
        <f>"2057398171"</f>
        <v>2057398171</v>
      </c>
      <c r="G2698" t="s">
        <v>7386</v>
      </c>
      <c r="H2698" t="s">
        <v>7387</v>
      </c>
      <c r="I2698" t="s">
        <v>1387</v>
      </c>
      <c r="J2698">
        <v>35127</v>
      </c>
      <c r="K2698">
        <v>1538</v>
      </c>
      <c r="L2698" t="s">
        <v>23</v>
      </c>
      <c r="M2698" t="s">
        <v>7386</v>
      </c>
      <c r="N2698" t="s">
        <v>7387</v>
      </c>
      <c r="O2698" t="s">
        <v>1387</v>
      </c>
      <c r="P2698">
        <v>35127</v>
      </c>
      <c r="Q2698">
        <v>1538</v>
      </c>
      <c r="R2698" t="s">
        <v>23</v>
      </c>
      <c r="S2698" s="1" t="s">
        <v>34218</v>
      </c>
    </row>
    <row r="2699" spans="1:19" x14ac:dyDescent="0.25">
      <c r="A2699">
        <v>100953545</v>
      </c>
      <c r="B2699" t="s">
        <v>276</v>
      </c>
      <c r="C2699" t="s">
        <v>362</v>
      </c>
      <c r="F2699" t="str">
        <f>"4155052456"</f>
        <v>4155052456</v>
      </c>
      <c r="G2699" t="s">
        <v>7388</v>
      </c>
      <c r="H2699" t="s">
        <v>7389</v>
      </c>
      <c r="I2699" t="s">
        <v>22</v>
      </c>
      <c r="J2699">
        <v>94925</v>
      </c>
      <c r="K2699">
        <v>1768</v>
      </c>
      <c r="L2699" t="s">
        <v>23</v>
      </c>
      <c r="M2699" t="s">
        <v>7388</v>
      </c>
      <c r="N2699" t="s">
        <v>7389</v>
      </c>
      <c r="O2699" t="s">
        <v>22</v>
      </c>
      <c r="P2699">
        <v>94925</v>
      </c>
      <c r="Q2699">
        <v>1768</v>
      </c>
      <c r="R2699" t="s">
        <v>23</v>
      </c>
      <c r="S2699" s="1" t="s">
        <v>34218</v>
      </c>
    </row>
    <row r="2700" spans="1:19" x14ac:dyDescent="0.25">
      <c r="A2700">
        <v>100963261</v>
      </c>
      <c r="B2700" t="s">
        <v>7390</v>
      </c>
      <c r="C2700" t="s">
        <v>644</v>
      </c>
      <c r="F2700" t="str">
        <f>"2012645411"</f>
        <v>2012645411</v>
      </c>
      <c r="G2700" t="s">
        <v>7391</v>
      </c>
      <c r="H2700" t="s">
        <v>7392</v>
      </c>
      <c r="I2700" t="s">
        <v>250</v>
      </c>
      <c r="J2700">
        <v>7430</v>
      </c>
      <c r="K2700">
        <v>3047</v>
      </c>
      <c r="L2700" t="s">
        <v>23</v>
      </c>
      <c r="M2700" t="s">
        <v>7391</v>
      </c>
      <c r="N2700" t="s">
        <v>7392</v>
      </c>
      <c r="O2700" t="s">
        <v>250</v>
      </c>
      <c r="P2700">
        <v>7430</v>
      </c>
      <c r="Q2700">
        <v>3047</v>
      </c>
      <c r="R2700" t="s">
        <v>23</v>
      </c>
      <c r="S2700" s="1" t="s">
        <v>34218</v>
      </c>
    </row>
    <row r="2701" spans="1:19" x14ac:dyDescent="0.25">
      <c r="A2701">
        <v>101150742</v>
      </c>
      <c r="B2701" t="s">
        <v>3196</v>
      </c>
      <c r="C2701" t="s">
        <v>1179</v>
      </c>
      <c r="F2701" t="str">
        <f>"4059124891"</f>
        <v>4059124891</v>
      </c>
      <c r="G2701" t="s">
        <v>7393</v>
      </c>
      <c r="H2701" t="s">
        <v>3109</v>
      </c>
      <c r="I2701" t="s">
        <v>62</v>
      </c>
      <c r="J2701">
        <v>73170</v>
      </c>
      <c r="K2701">
        <v>7428</v>
      </c>
      <c r="L2701" t="s">
        <v>23</v>
      </c>
      <c r="M2701" t="s">
        <v>7393</v>
      </c>
      <c r="N2701" t="s">
        <v>3109</v>
      </c>
      <c r="O2701" t="s">
        <v>62</v>
      </c>
      <c r="P2701">
        <v>73170</v>
      </c>
      <c r="Q2701">
        <v>7428</v>
      </c>
      <c r="R2701" t="s">
        <v>23</v>
      </c>
      <c r="S2701" s="1" t="s">
        <v>34218</v>
      </c>
    </row>
    <row r="2702" spans="1:19" x14ac:dyDescent="0.25">
      <c r="A2702">
        <v>101164954</v>
      </c>
      <c r="B2702" t="s">
        <v>7394</v>
      </c>
      <c r="C2702" t="s">
        <v>90</v>
      </c>
      <c r="F2702" t="str">
        <f>"3012484348"</f>
        <v>3012484348</v>
      </c>
      <c r="G2702" t="s">
        <v>7395</v>
      </c>
      <c r="H2702" t="s">
        <v>4519</v>
      </c>
      <c r="I2702" t="s">
        <v>148</v>
      </c>
      <c r="J2702">
        <v>20744</v>
      </c>
      <c r="K2702">
        <v>3412</v>
      </c>
      <c r="L2702" t="s">
        <v>23</v>
      </c>
      <c r="M2702" t="s">
        <v>7395</v>
      </c>
      <c r="N2702" t="s">
        <v>4519</v>
      </c>
      <c r="O2702" t="s">
        <v>148</v>
      </c>
      <c r="P2702">
        <v>20744</v>
      </c>
      <c r="Q2702">
        <v>3412</v>
      </c>
      <c r="R2702" t="s">
        <v>23</v>
      </c>
      <c r="S2702" s="1" t="s">
        <v>34218</v>
      </c>
    </row>
    <row r="2703" spans="1:19" x14ac:dyDescent="0.25">
      <c r="A2703">
        <v>101166847</v>
      </c>
      <c r="B2703" t="s">
        <v>7396</v>
      </c>
      <c r="C2703" t="s">
        <v>2916</v>
      </c>
      <c r="F2703" t="str">
        <f>"7863940818"</f>
        <v>7863940818</v>
      </c>
      <c r="G2703" t="s">
        <v>7397</v>
      </c>
      <c r="H2703" t="s">
        <v>6942</v>
      </c>
      <c r="I2703" t="s">
        <v>52</v>
      </c>
      <c r="J2703">
        <v>33018</v>
      </c>
      <c r="K2703">
        <v>5338</v>
      </c>
      <c r="L2703" t="s">
        <v>23</v>
      </c>
      <c r="M2703" t="s">
        <v>7397</v>
      </c>
      <c r="N2703" t="s">
        <v>6942</v>
      </c>
      <c r="O2703" t="s">
        <v>52</v>
      </c>
      <c r="P2703">
        <v>33018</v>
      </c>
      <c r="Q2703">
        <v>5338</v>
      </c>
      <c r="R2703" t="s">
        <v>23</v>
      </c>
      <c r="S2703" s="1" t="s">
        <v>34218</v>
      </c>
    </row>
    <row r="2704" spans="1:19" x14ac:dyDescent="0.25">
      <c r="A2704">
        <v>101000523</v>
      </c>
      <c r="B2704" t="s">
        <v>7398</v>
      </c>
      <c r="C2704" t="s">
        <v>7399</v>
      </c>
      <c r="F2704" t="str">
        <f>"7704590441"</f>
        <v>7704590441</v>
      </c>
      <c r="G2704" t="s">
        <v>7400</v>
      </c>
      <c r="H2704" t="s">
        <v>7401</v>
      </c>
      <c r="I2704" t="s">
        <v>28</v>
      </c>
      <c r="J2704">
        <v>30180</v>
      </c>
      <c r="K2704">
        <v>4634</v>
      </c>
      <c r="L2704" t="s">
        <v>23</v>
      </c>
      <c r="M2704" t="s">
        <v>7400</v>
      </c>
      <c r="N2704" t="s">
        <v>7401</v>
      </c>
      <c r="O2704" t="s">
        <v>28</v>
      </c>
      <c r="P2704">
        <v>30180</v>
      </c>
      <c r="Q2704">
        <v>4634</v>
      </c>
      <c r="R2704" t="s">
        <v>23</v>
      </c>
      <c r="S2704" s="1" t="s">
        <v>34218</v>
      </c>
    </row>
    <row r="2705" spans="1:19" x14ac:dyDescent="0.25">
      <c r="A2705">
        <v>101001661</v>
      </c>
      <c r="B2705" t="s">
        <v>5273</v>
      </c>
      <c r="C2705" t="s">
        <v>2547</v>
      </c>
      <c r="F2705" t="str">
        <f>"7084509015"</f>
        <v>7084509015</v>
      </c>
      <c r="G2705" t="s">
        <v>7402</v>
      </c>
      <c r="H2705" t="s">
        <v>4567</v>
      </c>
      <c r="I2705" t="s">
        <v>135</v>
      </c>
      <c r="J2705">
        <v>60160</v>
      </c>
      <c r="K2705">
        <v>3520</v>
      </c>
      <c r="L2705" t="s">
        <v>23</v>
      </c>
      <c r="M2705" t="s">
        <v>7402</v>
      </c>
      <c r="N2705" t="s">
        <v>4567</v>
      </c>
      <c r="O2705" t="s">
        <v>135</v>
      </c>
      <c r="P2705">
        <v>60160</v>
      </c>
      <c r="Q2705">
        <v>3520</v>
      </c>
      <c r="R2705" t="s">
        <v>23</v>
      </c>
      <c r="S2705" s="1" t="s">
        <v>34218</v>
      </c>
    </row>
    <row r="2706" spans="1:19" x14ac:dyDescent="0.25">
      <c r="A2706">
        <v>101020197</v>
      </c>
      <c r="B2706" t="s">
        <v>7403</v>
      </c>
      <c r="C2706" t="s">
        <v>77</v>
      </c>
      <c r="F2706" t="str">
        <f>"2153641268"</f>
        <v>2153641268</v>
      </c>
      <c r="G2706" t="s">
        <v>7404</v>
      </c>
      <c r="H2706" t="s">
        <v>7405</v>
      </c>
      <c r="I2706" t="s">
        <v>33</v>
      </c>
      <c r="J2706">
        <v>19053</v>
      </c>
      <c r="K2706">
        <v>3670</v>
      </c>
      <c r="L2706" t="s">
        <v>23</v>
      </c>
      <c r="M2706" t="s">
        <v>7404</v>
      </c>
      <c r="N2706" t="s">
        <v>7405</v>
      </c>
      <c r="O2706" t="s">
        <v>33</v>
      </c>
      <c r="P2706">
        <v>19053</v>
      </c>
      <c r="Q2706">
        <v>3670</v>
      </c>
      <c r="R2706" t="s">
        <v>23</v>
      </c>
      <c r="S2706" s="1" t="s">
        <v>34218</v>
      </c>
    </row>
    <row r="2707" spans="1:19" x14ac:dyDescent="0.25">
      <c r="A2707">
        <v>101069881</v>
      </c>
      <c r="B2707" t="s">
        <v>7406</v>
      </c>
      <c r="C2707" t="s">
        <v>7407</v>
      </c>
      <c r="F2707" t="str">
        <f>"2677558839"</f>
        <v>2677558839</v>
      </c>
      <c r="G2707" t="s">
        <v>7408</v>
      </c>
      <c r="H2707" t="s">
        <v>573</v>
      </c>
      <c r="I2707" t="s">
        <v>33</v>
      </c>
      <c r="J2707">
        <v>19148</v>
      </c>
      <c r="K2707">
        <v>3125</v>
      </c>
      <c r="L2707" t="s">
        <v>23</v>
      </c>
      <c r="M2707" t="s">
        <v>7408</v>
      </c>
      <c r="N2707" t="s">
        <v>573</v>
      </c>
      <c r="O2707" t="s">
        <v>33</v>
      </c>
      <c r="P2707">
        <v>19148</v>
      </c>
      <c r="Q2707">
        <v>3125</v>
      </c>
      <c r="R2707" t="s">
        <v>23</v>
      </c>
      <c r="S2707" s="1" t="s">
        <v>34218</v>
      </c>
    </row>
    <row r="2708" spans="1:19" x14ac:dyDescent="0.25">
      <c r="A2708">
        <v>101262757</v>
      </c>
      <c r="B2708" t="s">
        <v>7409</v>
      </c>
      <c r="C2708" t="s">
        <v>282</v>
      </c>
      <c r="F2708" t="str">
        <f>"9258234000"</f>
        <v>9258234000</v>
      </c>
      <c r="G2708" t="s">
        <v>7410</v>
      </c>
      <c r="H2708" t="s">
        <v>3520</v>
      </c>
      <c r="I2708" t="s">
        <v>22</v>
      </c>
      <c r="J2708">
        <v>94583</v>
      </c>
      <c r="K2708">
        <v>5000</v>
      </c>
      <c r="L2708" t="s">
        <v>23</v>
      </c>
      <c r="M2708" t="s">
        <v>7410</v>
      </c>
      <c r="N2708" t="s">
        <v>3520</v>
      </c>
      <c r="O2708" t="s">
        <v>22</v>
      </c>
      <c r="P2708">
        <v>94583</v>
      </c>
      <c r="Q2708">
        <v>5000</v>
      </c>
      <c r="R2708" t="s">
        <v>23</v>
      </c>
      <c r="S2708" s="1" t="s">
        <v>34218</v>
      </c>
    </row>
    <row r="2709" spans="1:19" x14ac:dyDescent="0.25">
      <c r="A2709">
        <v>101276603</v>
      </c>
      <c r="B2709" t="s">
        <v>1745</v>
      </c>
      <c r="C2709" t="s">
        <v>2127</v>
      </c>
      <c r="F2709" t="str">
        <f>"7175331532"</f>
        <v>7175331532</v>
      </c>
      <c r="G2709" t="s">
        <v>7411</v>
      </c>
      <c r="H2709" t="s">
        <v>7412</v>
      </c>
      <c r="I2709" t="s">
        <v>33</v>
      </c>
      <c r="J2709">
        <v>17033</v>
      </c>
      <c r="K2709">
        <v>1748</v>
      </c>
      <c r="L2709" t="s">
        <v>23</v>
      </c>
      <c r="M2709" t="s">
        <v>7411</v>
      </c>
      <c r="N2709" t="s">
        <v>7412</v>
      </c>
      <c r="O2709" t="s">
        <v>33</v>
      </c>
      <c r="P2709">
        <v>17033</v>
      </c>
      <c r="Q2709">
        <v>1748</v>
      </c>
      <c r="R2709" t="s">
        <v>23</v>
      </c>
      <c r="S2709" s="1" t="s">
        <v>34218</v>
      </c>
    </row>
    <row r="2710" spans="1:19" x14ac:dyDescent="0.25">
      <c r="A2710">
        <v>101281950</v>
      </c>
      <c r="B2710" t="s">
        <v>7413</v>
      </c>
      <c r="C2710" t="s">
        <v>6295</v>
      </c>
      <c r="F2710" t="str">
        <f>"6194144826"</f>
        <v>6194144826</v>
      </c>
      <c r="G2710" t="s">
        <v>7414</v>
      </c>
      <c r="H2710" t="s">
        <v>198</v>
      </c>
      <c r="I2710" t="s">
        <v>22</v>
      </c>
      <c r="J2710">
        <v>92114</v>
      </c>
      <c r="K2710">
        <v>6723</v>
      </c>
      <c r="L2710" t="s">
        <v>23</v>
      </c>
      <c r="M2710" t="s">
        <v>7414</v>
      </c>
      <c r="N2710" t="s">
        <v>198</v>
      </c>
      <c r="O2710" t="s">
        <v>22</v>
      </c>
      <c r="P2710">
        <v>92114</v>
      </c>
      <c r="Q2710">
        <v>6723</v>
      </c>
      <c r="R2710" t="s">
        <v>23</v>
      </c>
      <c r="S2710" s="1" t="s">
        <v>34218</v>
      </c>
    </row>
    <row r="2711" spans="1:19" x14ac:dyDescent="0.25">
      <c r="A2711">
        <v>101286323</v>
      </c>
      <c r="B2711" t="s">
        <v>7415</v>
      </c>
      <c r="C2711" t="s">
        <v>3307</v>
      </c>
      <c r="F2711" t="str">
        <f>"9155813524"</f>
        <v>9155813524</v>
      </c>
      <c r="G2711" t="s">
        <v>7416</v>
      </c>
      <c r="H2711" t="s">
        <v>1716</v>
      </c>
      <c r="I2711" t="s">
        <v>38</v>
      </c>
      <c r="J2711">
        <v>79912</v>
      </c>
      <c r="K2711">
        <v>5046</v>
      </c>
      <c r="L2711" t="s">
        <v>23</v>
      </c>
      <c r="M2711" t="s">
        <v>7416</v>
      </c>
      <c r="N2711" t="s">
        <v>1716</v>
      </c>
      <c r="O2711" t="s">
        <v>38</v>
      </c>
      <c r="P2711">
        <v>79912</v>
      </c>
      <c r="Q2711">
        <v>5046</v>
      </c>
      <c r="R2711" t="s">
        <v>23</v>
      </c>
      <c r="S2711" s="1" t="s">
        <v>34218</v>
      </c>
    </row>
    <row r="2712" spans="1:19" x14ac:dyDescent="0.25">
      <c r="A2712">
        <v>100972183</v>
      </c>
      <c r="B2712" t="s">
        <v>7417</v>
      </c>
      <c r="C2712" t="s">
        <v>102</v>
      </c>
      <c r="F2712" t="str">
        <f>"2095265645"</f>
        <v>2095265645</v>
      </c>
      <c r="G2712" t="s">
        <v>7418</v>
      </c>
      <c r="H2712" t="s">
        <v>968</v>
      </c>
      <c r="I2712" t="s">
        <v>22</v>
      </c>
      <c r="J2712">
        <v>95354</v>
      </c>
      <c r="K2712">
        <v>1923</v>
      </c>
      <c r="L2712" t="s">
        <v>23</v>
      </c>
      <c r="M2712" t="s">
        <v>7418</v>
      </c>
      <c r="N2712" t="s">
        <v>968</v>
      </c>
      <c r="O2712" t="s">
        <v>22</v>
      </c>
      <c r="P2712">
        <v>95354</v>
      </c>
      <c r="Q2712">
        <v>1923</v>
      </c>
      <c r="R2712" t="s">
        <v>23</v>
      </c>
      <c r="S2712" s="1" t="s">
        <v>34218</v>
      </c>
    </row>
    <row r="2713" spans="1:19" x14ac:dyDescent="0.25">
      <c r="A2713">
        <v>101179348</v>
      </c>
      <c r="B2713" t="s">
        <v>7419</v>
      </c>
      <c r="C2713" t="s">
        <v>1506</v>
      </c>
      <c r="F2713" t="str">
        <f>"5034646500"</f>
        <v>5034646500</v>
      </c>
      <c r="G2713" t="s">
        <v>7420</v>
      </c>
      <c r="H2713" t="s">
        <v>227</v>
      </c>
      <c r="I2713" t="s">
        <v>43</v>
      </c>
      <c r="J2713">
        <v>97267</v>
      </c>
      <c r="K2713">
        <v>3866</v>
      </c>
      <c r="L2713" t="s">
        <v>23</v>
      </c>
      <c r="M2713" t="s">
        <v>7420</v>
      </c>
      <c r="N2713" t="s">
        <v>227</v>
      </c>
      <c r="O2713" t="s">
        <v>43</v>
      </c>
      <c r="P2713">
        <v>97267</v>
      </c>
      <c r="Q2713">
        <v>3866</v>
      </c>
      <c r="R2713" t="s">
        <v>23</v>
      </c>
      <c r="S2713" s="1" t="s">
        <v>34218</v>
      </c>
    </row>
    <row r="2714" spans="1:19" x14ac:dyDescent="0.25">
      <c r="A2714">
        <v>101116967</v>
      </c>
      <c r="B2714" t="s">
        <v>7421</v>
      </c>
      <c r="C2714" t="s">
        <v>403</v>
      </c>
      <c r="D2714" t="s">
        <v>1859</v>
      </c>
      <c r="F2714" t="str">
        <f>"5732684573"</f>
        <v>5732684573</v>
      </c>
      <c r="G2714" t="s">
        <v>7422</v>
      </c>
      <c r="H2714" t="s">
        <v>1604</v>
      </c>
      <c r="I2714" t="s">
        <v>126</v>
      </c>
      <c r="J2714">
        <v>65202</v>
      </c>
      <c r="K2714">
        <v>1436</v>
      </c>
      <c r="L2714" t="s">
        <v>23</v>
      </c>
      <c r="M2714" t="s">
        <v>7422</v>
      </c>
      <c r="N2714" t="s">
        <v>1604</v>
      </c>
      <c r="O2714" t="s">
        <v>126</v>
      </c>
      <c r="P2714">
        <v>65202</v>
      </c>
      <c r="Q2714">
        <v>1436</v>
      </c>
      <c r="R2714" t="s">
        <v>23</v>
      </c>
      <c r="S2714" s="1" t="s">
        <v>34218</v>
      </c>
    </row>
    <row r="2715" spans="1:19" x14ac:dyDescent="0.25">
      <c r="A2715">
        <v>101309569</v>
      </c>
      <c r="B2715" t="s">
        <v>7423</v>
      </c>
      <c r="C2715" t="s">
        <v>2672</v>
      </c>
      <c r="F2715" t="str">
        <f>"8059641676"</f>
        <v>8059641676</v>
      </c>
      <c r="G2715" t="s">
        <v>7424</v>
      </c>
      <c r="H2715" t="s">
        <v>174</v>
      </c>
      <c r="I2715" t="s">
        <v>22</v>
      </c>
      <c r="J2715">
        <v>93111</v>
      </c>
      <c r="K2715">
        <v>1830</v>
      </c>
      <c r="L2715" t="s">
        <v>23</v>
      </c>
      <c r="M2715" t="s">
        <v>7424</v>
      </c>
      <c r="N2715" t="s">
        <v>174</v>
      </c>
      <c r="O2715" t="s">
        <v>22</v>
      </c>
      <c r="P2715">
        <v>93111</v>
      </c>
      <c r="Q2715">
        <v>1830</v>
      </c>
      <c r="R2715" t="s">
        <v>23</v>
      </c>
      <c r="S2715" s="1" t="s">
        <v>34218</v>
      </c>
    </row>
    <row r="2716" spans="1:19" x14ac:dyDescent="0.25">
      <c r="A2716">
        <v>101192641</v>
      </c>
      <c r="B2716" t="s">
        <v>7425</v>
      </c>
      <c r="C2716" t="s">
        <v>367</v>
      </c>
      <c r="F2716" t="str">
        <f>"5624306237"</f>
        <v>5624306237</v>
      </c>
      <c r="G2716" t="s">
        <v>7426</v>
      </c>
      <c r="H2716" t="s">
        <v>7427</v>
      </c>
      <c r="I2716" t="s">
        <v>22</v>
      </c>
      <c r="J2716">
        <v>90740</v>
      </c>
      <c r="K2716">
        <v>3056</v>
      </c>
      <c r="L2716" t="s">
        <v>23</v>
      </c>
      <c r="M2716" t="s">
        <v>7426</v>
      </c>
      <c r="N2716" t="s">
        <v>7427</v>
      </c>
      <c r="O2716" t="s">
        <v>22</v>
      </c>
      <c r="P2716">
        <v>90740</v>
      </c>
      <c r="Q2716">
        <v>3056</v>
      </c>
      <c r="R2716" t="s">
        <v>23</v>
      </c>
      <c r="S2716" s="1" t="s">
        <v>34218</v>
      </c>
    </row>
    <row r="2717" spans="1:19" x14ac:dyDescent="0.25">
      <c r="A2717">
        <v>100944593</v>
      </c>
      <c r="B2717" t="s">
        <v>7428</v>
      </c>
      <c r="C2717" t="s">
        <v>2589</v>
      </c>
      <c r="F2717" t="str">
        <f>"3096377294"</f>
        <v>3096377294</v>
      </c>
      <c r="G2717" t="s">
        <v>7429</v>
      </c>
      <c r="H2717" t="s">
        <v>4150</v>
      </c>
      <c r="I2717" t="s">
        <v>135</v>
      </c>
      <c r="J2717">
        <v>61604</v>
      </c>
      <c r="K2717">
        <v>3765</v>
      </c>
      <c r="L2717" t="s">
        <v>23</v>
      </c>
      <c r="M2717" t="s">
        <v>7429</v>
      </c>
      <c r="N2717" t="s">
        <v>4150</v>
      </c>
      <c r="O2717" t="s">
        <v>135</v>
      </c>
      <c r="P2717">
        <v>61604</v>
      </c>
      <c r="Q2717">
        <v>3765</v>
      </c>
      <c r="R2717" t="s">
        <v>23</v>
      </c>
      <c r="S2717" s="1" t="s">
        <v>34218</v>
      </c>
    </row>
    <row r="2718" spans="1:19" x14ac:dyDescent="0.25">
      <c r="A2718">
        <v>101163468</v>
      </c>
      <c r="B2718" t="s">
        <v>465</v>
      </c>
      <c r="C2718" t="s">
        <v>7257</v>
      </c>
      <c r="F2718" t="str">
        <f>"9709038210"</f>
        <v>9709038210</v>
      </c>
      <c r="G2718" t="s">
        <v>7430</v>
      </c>
      <c r="H2718" t="s">
        <v>2824</v>
      </c>
      <c r="I2718" t="s">
        <v>191</v>
      </c>
      <c r="J2718">
        <v>4092</v>
      </c>
      <c r="K2718">
        <v>4727</v>
      </c>
      <c r="L2718" t="s">
        <v>23</v>
      </c>
      <c r="M2718" t="s">
        <v>7430</v>
      </c>
      <c r="N2718" t="s">
        <v>2824</v>
      </c>
      <c r="O2718" t="s">
        <v>191</v>
      </c>
      <c r="P2718">
        <v>4092</v>
      </c>
      <c r="Q2718">
        <v>4727</v>
      </c>
      <c r="R2718" t="s">
        <v>23</v>
      </c>
      <c r="S2718" s="1" t="s">
        <v>34218</v>
      </c>
    </row>
    <row r="2719" spans="1:19" x14ac:dyDescent="0.25">
      <c r="A2719">
        <v>101116981</v>
      </c>
      <c r="B2719" t="s">
        <v>7431</v>
      </c>
      <c r="C2719" t="s">
        <v>40</v>
      </c>
      <c r="F2719" t="str">
        <f>"6514592508"</f>
        <v>6514592508</v>
      </c>
      <c r="G2719" t="s">
        <v>7432</v>
      </c>
      <c r="H2719" t="s">
        <v>7433</v>
      </c>
      <c r="I2719" t="s">
        <v>187</v>
      </c>
      <c r="J2719">
        <v>55016</v>
      </c>
      <c r="K2719">
        <v>1019</v>
      </c>
      <c r="L2719" t="s">
        <v>23</v>
      </c>
      <c r="M2719" t="s">
        <v>7432</v>
      </c>
      <c r="N2719" t="s">
        <v>7433</v>
      </c>
      <c r="O2719" t="s">
        <v>187</v>
      </c>
      <c r="P2719">
        <v>55016</v>
      </c>
      <c r="Q2719">
        <v>1019</v>
      </c>
      <c r="R2719" t="s">
        <v>23</v>
      </c>
      <c r="S2719" s="1" t="s">
        <v>34218</v>
      </c>
    </row>
    <row r="2720" spans="1:19" x14ac:dyDescent="0.25">
      <c r="A2720">
        <v>101292784</v>
      </c>
      <c r="B2720" t="s">
        <v>7434</v>
      </c>
      <c r="C2720" t="s">
        <v>25</v>
      </c>
      <c r="F2720" t="str">
        <f>"3035228987"</f>
        <v>3035228987</v>
      </c>
      <c r="G2720" t="s">
        <v>7435</v>
      </c>
      <c r="H2720" t="s">
        <v>393</v>
      </c>
      <c r="I2720" t="s">
        <v>71</v>
      </c>
      <c r="J2720">
        <v>80237</v>
      </c>
      <c r="K2720">
        <v>1142</v>
      </c>
      <c r="L2720" t="s">
        <v>23</v>
      </c>
      <c r="M2720" t="s">
        <v>7435</v>
      </c>
      <c r="N2720" t="s">
        <v>393</v>
      </c>
      <c r="O2720" t="s">
        <v>71</v>
      </c>
      <c r="P2720">
        <v>80237</v>
      </c>
      <c r="Q2720">
        <v>1142</v>
      </c>
      <c r="R2720" t="s">
        <v>23</v>
      </c>
      <c r="S2720" s="1" t="s">
        <v>34218</v>
      </c>
    </row>
    <row r="2721" spans="1:19" x14ac:dyDescent="0.25">
      <c r="A2721">
        <v>101131005</v>
      </c>
      <c r="B2721" t="s">
        <v>7436</v>
      </c>
      <c r="C2721" t="s">
        <v>1398</v>
      </c>
      <c r="F2721" t="str">
        <f>"5618384442"</f>
        <v>5618384442</v>
      </c>
      <c r="G2721" t="s">
        <v>7437</v>
      </c>
      <c r="H2721" t="s">
        <v>6727</v>
      </c>
      <c r="I2721" t="s">
        <v>52</v>
      </c>
      <c r="J2721">
        <v>33401</v>
      </c>
      <c r="K2721">
        <v>7841</v>
      </c>
      <c r="L2721" t="s">
        <v>23</v>
      </c>
      <c r="M2721" t="s">
        <v>7437</v>
      </c>
      <c r="N2721" t="s">
        <v>6727</v>
      </c>
      <c r="O2721" t="s">
        <v>52</v>
      </c>
      <c r="P2721">
        <v>33401</v>
      </c>
      <c r="Q2721">
        <v>7841</v>
      </c>
      <c r="R2721" t="s">
        <v>23</v>
      </c>
      <c r="S2721" s="1" t="s">
        <v>34218</v>
      </c>
    </row>
    <row r="2722" spans="1:19" x14ac:dyDescent="0.25">
      <c r="A2722">
        <v>101399220</v>
      </c>
      <c r="B2722" t="s">
        <v>7438</v>
      </c>
      <c r="C2722" t="s">
        <v>4502</v>
      </c>
      <c r="F2722" t="str">
        <f>"7166487684"</f>
        <v>7166487684</v>
      </c>
      <c r="G2722" t="s">
        <v>7439</v>
      </c>
      <c r="H2722" t="s">
        <v>7440</v>
      </c>
      <c r="I2722" t="s">
        <v>117</v>
      </c>
      <c r="J2722">
        <v>14075</v>
      </c>
      <c r="K2722">
        <v>3431</v>
      </c>
      <c r="L2722" t="s">
        <v>23</v>
      </c>
      <c r="M2722" t="s">
        <v>7439</v>
      </c>
      <c r="N2722" t="s">
        <v>7440</v>
      </c>
      <c r="O2722" t="s">
        <v>117</v>
      </c>
      <c r="P2722">
        <v>14075</v>
      </c>
      <c r="Q2722">
        <v>3431</v>
      </c>
      <c r="R2722" t="s">
        <v>23</v>
      </c>
      <c r="S2722" s="1" t="s">
        <v>34218</v>
      </c>
    </row>
    <row r="2723" spans="1:19" x14ac:dyDescent="0.25">
      <c r="A2723">
        <v>101410834</v>
      </c>
      <c r="B2723" t="s">
        <v>3287</v>
      </c>
      <c r="C2723" t="s">
        <v>7441</v>
      </c>
      <c r="F2723" t="str">
        <f>"7077817491"</f>
        <v>7077817491</v>
      </c>
      <c r="G2723" t="s">
        <v>7442</v>
      </c>
      <c r="H2723" t="s">
        <v>496</v>
      </c>
      <c r="I2723" t="s">
        <v>22</v>
      </c>
      <c r="J2723">
        <v>94952</v>
      </c>
      <c r="K2723">
        <v>2408</v>
      </c>
      <c r="L2723" t="s">
        <v>23</v>
      </c>
      <c r="M2723" t="s">
        <v>7442</v>
      </c>
      <c r="N2723" t="s">
        <v>496</v>
      </c>
      <c r="O2723" t="s">
        <v>22</v>
      </c>
      <c r="P2723">
        <v>94952</v>
      </c>
      <c r="Q2723">
        <v>2408</v>
      </c>
      <c r="R2723" t="s">
        <v>23</v>
      </c>
      <c r="S2723" s="1" t="s">
        <v>34218</v>
      </c>
    </row>
    <row r="2724" spans="1:19" x14ac:dyDescent="0.25">
      <c r="A2724">
        <v>100993874</v>
      </c>
      <c r="B2724" t="s">
        <v>7443</v>
      </c>
      <c r="C2724" t="s">
        <v>575</v>
      </c>
      <c r="F2724" t="str">
        <f>"5206909404"</f>
        <v>5206909404</v>
      </c>
      <c r="G2724" t="s">
        <v>7444</v>
      </c>
      <c r="H2724" t="s">
        <v>1439</v>
      </c>
      <c r="I2724" t="s">
        <v>365</v>
      </c>
      <c r="J2724">
        <v>85705</v>
      </c>
      <c r="K2724">
        <v>2184</v>
      </c>
      <c r="L2724" t="s">
        <v>23</v>
      </c>
      <c r="M2724" t="s">
        <v>7444</v>
      </c>
      <c r="N2724" t="s">
        <v>1439</v>
      </c>
      <c r="O2724" t="s">
        <v>365</v>
      </c>
      <c r="P2724">
        <v>85705</v>
      </c>
      <c r="Q2724">
        <v>2184</v>
      </c>
      <c r="R2724" t="s">
        <v>23</v>
      </c>
      <c r="S2724" s="1" t="s">
        <v>34218</v>
      </c>
    </row>
    <row r="2725" spans="1:19" x14ac:dyDescent="0.25">
      <c r="A2725">
        <v>101395139</v>
      </c>
      <c r="B2725" t="s">
        <v>4092</v>
      </c>
      <c r="C2725" t="s">
        <v>7445</v>
      </c>
      <c r="F2725" t="str">
        <f>"5668562230"</f>
        <v>5668562230</v>
      </c>
      <c r="G2725" t="s">
        <v>7446</v>
      </c>
      <c r="H2725" t="s">
        <v>1193</v>
      </c>
      <c r="I2725" t="s">
        <v>187</v>
      </c>
      <c r="J2725">
        <v>55972</v>
      </c>
      <c r="K2725">
        <v>1535</v>
      </c>
      <c r="L2725" t="s">
        <v>23</v>
      </c>
      <c r="M2725" t="s">
        <v>7446</v>
      </c>
      <c r="N2725" t="s">
        <v>1193</v>
      </c>
      <c r="O2725" t="s">
        <v>187</v>
      </c>
      <c r="P2725">
        <v>55972</v>
      </c>
      <c r="Q2725">
        <v>1535</v>
      </c>
      <c r="R2725" t="s">
        <v>23</v>
      </c>
      <c r="S2725" s="1" t="s">
        <v>34218</v>
      </c>
    </row>
    <row r="2726" spans="1:19" x14ac:dyDescent="0.25">
      <c r="A2726">
        <v>101262431</v>
      </c>
      <c r="B2726" t="s">
        <v>7447</v>
      </c>
      <c r="C2726" t="s">
        <v>1377</v>
      </c>
      <c r="F2726" t="str">
        <f>"8474006021"</f>
        <v>8474006021</v>
      </c>
      <c r="G2726" t="s">
        <v>7448</v>
      </c>
      <c r="H2726" t="s">
        <v>7449</v>
      </c>
      <c r="I2726" t="s">
        <v>135</v>
      </c>
      <c r="J2726">
        <v>60061</v>
      </c>
      <c r="K2726">
        <v>1115</v>
      </c>
      <c r="L2726" t="s">
        <v>23</v>
      </c>
      <c r="M2726" t="s">
        <v>7448</v>
      </c>
      <c r="N2726" t="s">
        <v>7449</v>
      </c>
      <c r="O2726" t="s">
        <v>135</v>
      </c>
      <c r="P2726">
        <v>60061</v>
      </c>
      <c r="Q2726">
        <v>1115</v>
      </c>
      <c r="R2726" t="s">
        <v>23</v>
      </c>
      <c r="S2726" s="1" t="s">
        <v>34218</v>
      </c>
    </row>
    <row r="2727" spans="1:19" x14ac:dyDescent="0.25">
      <c r="A2727">
        <v>101041820</v>
      </c>
      <c r="B2727" t="s">
        <v>7450</v>
      </c>
      <c r="C2727" t="s">
        <v>509</v>
      </c>
      <c r="F2727" t="str">
        <f>"3102789944"</f>
        <v>3102789944</v>
      </c>
      <c r="G2727" t="s">
        <v>7451</v>
      </c>
      <c r="H2727" t="s">
        <v>79</v>
      </c>
      <c r="I2727" t="s">
        <v>22</v>
      </c>
      <c r="J2727">
        <v>90212</v>
      </c>
      <c r="K2727">
        <v>2510</v>
      </c>
      <c r="L2727" t="s">
        <v>23</v>
      </c>
      <c r="M2727" t="s">
        <v>7451</v>
      </c>
      <c r="N2727" t="s">
        <v>79</v>
      </c>
      <c r="O2727" t="s">
        <v>22</v>
      </c>
      <c r="P2727">
        <v>90212</v>
      </c>
      <c r="Q2727">
        <v>2510</v>
      </c>
      <c r="R2727" t="s">
        <v>23</v>
      </c>
      <c r="S2727" s="1" t="s">
        <v>34218</v>
      </c>
    </row>
    <row r="2728" spans="1:19" x14ac:dyDescent="0.25">
      <c r="A2728">
        <v>101034861</v>
      </c>
      <c r="B2728" t="s">
        <v>7452</v>
      </c>
      <c r="C2728" t="s">
        <v>7453</v>
      </c>
      <c r="F2728" t="str">
        <f>"4433648899"</f>
        <v>4433648899</v>
      </c>
      <c r="G2728" t="s">
        <v>7454</v>
      </c>
      <c r="H2728" t="s">
        <v>5732</v>
      </c>
      <c r="I2728" t="s">
        <v>148</v>
      </c>
      <c r="J2728">
        <v>21043</v>
      </c>
      <c r="K2728">
        <v>6010</v>
      </c>
      <c r="L2728" t="s">
        <v>23</v>
      </c>
      <c r="M2728" t="s">
        <v>7454</v>
      </c>
      <c r="N2728" t="s">
        <v>5732</v>
      </c>
      <c r="O2728" t="s">
        <v>148</v>
      </c>
      <c r="P2728">
        <v>21043</v>
      </c>
      <c r="Q2728">
        <v>6010</v>
      </c>
      <c r="R2728" t="s">
        <v>23</v>
      </c>
      <c r="S2728" s="1" t="s">
        <v>34218</v>
      </c>
    </row>
    <row r="2729" spans="1:19" x14ac:dyDescent="0.25">
      <c r="A2729">
        <v>101044197</v>
      </c>
      <c r="B2729" t="s">
        <v>7455</v>
      </c>
      <c r="C2729" t="s">
        <v>410</v>
      </c>
      <c r="F2729" t="str">
        <f>"7076773277"</f>
        <v>7076773277</v>
      </c>
      <c r="G2729" t="s">
        <v>7456</v>
      </c>
      <c r="H2729" t="s">
        <v>7103</v>
      </c>
      <c r="I2729" t="s">
        <v>22</v>
      </c>
      <c r="J2729">
        <v>95570</v>
      </c>
      <c r="K2729">
        <v>715</v>
      </c>
      <c r="L2729" t="s">
        <v>23</v>
      </c>
      <c r="M2729" t="s">
        <v>7456</v>
      </c>
      <c r="N2729" t="s">
        <v>7103</v>
      </c>
      <c r="O2729" t="s">
        <v>22</v>
      </c>
      <c r="P2729">
        <v>95570</v>
      </c>
      <c r="Q2729">
        <v>715</v>
      </c>
      <c r="R2729" t="s">
        <v>23</v>
      </c>
      <c r="S2729" s="1" t="s">
        <v>34218</v>
      </c>
    </row>
    <row r="2730" spans="1:19" x14ac:dyDescent="0.25">
      <c r="A2730">
        <v>101233782</v>
      </c>
      <c r="B2730" t="s">
        <v>7457</v>
      </c>
      <c r="C2730" t="s">
        <v>286</v>
      </c>
      <c r="F2730" t="str">
        <f>"8455318541"</f>
        <v>8455318541</v>
      </c>
      <c r="G2730" t="s">
        <v>7458</v>
      </c>
      <c r="H2730" t="s">
        <v>7459</v>
      </c>
      <c r="I2730" t="s">
        <v>140</v>
      </c>
      <c r="J2730">
        <v>48306</v>
      </c>
      <c r="K2730">
        <v>4279</v>
      </c>
      <c r="L2730" t="s">
        <v>23</v>
      </c>
      <c r="M2730" t="s">
        <v>7458</v>
      </c>
      <c r="N2730" t="s">
        <v>7459</v>
      </c>
      <c r="O2730" t="s">
        <v>140</v>
      </c>
      <c r="P2730">
        <v>48306</v>
      </c>
      <c r="Q2730">
        <v>4279</v>
      </c>
      <c r="R2730" t="s">
        <v>23</v>
      </c>
      <c r="S2730" s="1" t="s">
        <v>34218</v>
      </c>
    </row>
    <row r="2731" spans="1:19" x14ac:dyDescent="0.25">
      <c r="A2731">
        <v>101247151</v>
      </c>
      <c r="B2731" t="s">
        <v>6710</v>
      </c>
      <c r="C2731" t="s">
        <v>309</v>
      </c>
      <c r="F2731" t="str">
        <f>"8584521175"</f>
        <v>8584521175</v>
      </c>
      <c r="G2731" t="s">
        <v>7460</v>
      </c>
      <c r="H2731" t="s">
        <v>198</v>
      </c>
      <c r="I2731" t="s">
        <v>22</v>
      </c>
      <c r="J2731">
        <v>92122</v>
      </c>
      <c r="K2731">
        <v>2844</v>
      </c>
      <c r="L2731" t="s">
        <v>23</v>
      </c>
      <c r="M2731" t="s">
        <v>7460</v>
      </c>
      <c r="N2731" t="s">
        <v>198</v>
      </c>
      <c r="O2731" t="s">
        <v>22</v>
      </c>
      <c r="P2731">
        <v>92122</v>
      </c>
      <c r="Q2731">
        <v>2844</v>
      </c>
      <c r="R2731" t="s">
        <v>23</v>
      </c>
      <c r="S2731" s="1" t="s">
        <v>34218</v>
      </c>
    </row>
    <row r="2732" spans="1:19" x14ac:dyDescent="0.25">
      <c r="A2732">
        <v>101262150</v>
      </c>
      <c r="B2732" t="s">
        <v>7461</v>
      </c>
      <c r="C2732" t="s">
        <v>1124</v>
      </c>
      <c r="F2732" t="str">
        <f>"4015783065"</f>
        <v>4015783065</v>
      </c>
      <c r="G2732" t="s">
        <v>7462</v>
      </c>
      <c r="H2732" t="s">
        <v>2431</v>
      </c>
      <c r="I2732" t="s">
        <v>662</v>
      </c>
      <c r="J2732">
        <v>2910</v>
      </c>
      <c r="K2732">
        <v>5308</v>
      </c>
      <c r="L2732" t="s">
        <v>23</v>
      </c>
      <c r="M2732" t="s">
        <v>7462</v>
      </c>
      <c r="N2732" t="s">
        <v>2431</v>
      </c>
      <c r="O2732" t="s">
        <v>662</v>
      </c>
      <c r="P2732">
        <v>2910</v>
      </c>
      <c r="Q2732">
        <v>5308</v>
      </c>
      <c r="R2732" t="s">
        <v>23</v>
      </c>
      <c r="S2732" s="1" t="s">
        <v>34218</v>
      </c>
    </row>
    <row r="2733" spans="1:19" x14ac:dyDescent="0.25">
      <c r="A2733">
        <v>101273230</v>
      </c>
      <c r="B2733" t="s">
        <v>7463</v>
      </c>
      <c r="C2733" t="s">
        <v>7464</v>
      </c>
      <c r="F2733" t="str">
        <f>"8479981019"</f>
        <v>8479981019</v>
      </c>
      <c r="G2733" t="s">
        <v>7465</v>
      </c>
      <c r="H2733" t="s">
        <v>924</v>
      </c>
      <c r="I2733" t="s">
        <v>135</v>
      </c>
      <c r="J2733">
        <v>60026</v>
      </c>
      <c r="K2733">
        <v>7795</v>
      </c>
      <c r="L2733" t="s">
        <v>23</v>
      </c>
      <c r="M2733" t="s">
        <v>7465</v>
      </c>
      <c r="N2733" t="s">
        <v>924</v>
      </c>
      <c r="O2733" t="s">
        <v>135</v>
      </c>
      <c r="P2733">
        <v>60026</v>
      </c>
      <c r="Q2733">
        <v>7795</v>
      </c>
      <c r="R2733" t="s">
        <v>23</v>
      </c>
      <c r="S2733" s="1" t="s">
        <v>34218</v>
      </c>
    </row>
    <row r="2734" spans="1:19" x14ac:dyDescent="0.25">
      <c r="A2734">
        <v>100730159</v>
      </c>
      <c r="B2734" t="s">
        <v>285</v>
      </c>
      <c r="C2734" t="s">
        <v>3954</v>
      </c>
      <c r="F2734" t="str">
        <f>"2319382779"</f>
        <v>2319382779</v>
      </c>
      <c r="G2734" t="s">
        <v>7466</v>
      </c>
      <c r="H2734" t="s">
        <v>3481</v>
      </c>
      <c r="I2734" t="s">
        <v>140</v>
      </c>
      <c r="J2734" t="s">
        <v>7467</v>
      </c>
      <c r="K2734">
        <v>3784</v>
      </c>
      <c r="L2734" t="s">
        <v>23</v>
      </c>
      <c r="M2734" t="s">
        <v>7466</v>
      </c>
      <c r="N2734" t="s">
        <v>3481</v>
      </c>
      <c r="O2734" t="s">
        <v>140</v>
      </c>
      <c r="P2734" t="s">
        <v>7467</v>
      </c>
      <c r="Q2734">
        <v>3784</v>
      </c>
      <c r="R2734" t="s">
        <v>23</v>
      </c>
      <c r="S2734" s="1" t="s">
        <v>34218</v>
      </c>
    </row>
    <row r="2735" spans="1:19" x14ac:dyDescent="0.25">
      <c r="A2735">
        <v>100598435</v>
      </c>
      <c r="B2735" t="s">
        <v>7468</v>
      </c>
      <c r="C2735" t="s">
        <v>1647</v>
      </c>
      <c r="F2735" t="str">
        <f>"2102345678"</f>
        <v>2102345678</v>
      </c>
      <c r="G2735" t="s">
        <v>7469</v>
      </c>
      <c r="H2735" t="s">
        <v>1229</v>
      </c>
      <c r="I2735" t="s">
        <v>38</v>
      </c>
      <c r="J2735" t="s">
        <v>7470</v>
      </c>
      <c r="K2735">
        <v>1962</v>
      </c>
      <c r="L2735" t="s">
        <v>23</v>
      </c>
      <c r="M2735" t="s">
        <v>7469</v>
      </c>
      <c r="N2735" t="s">
        <v>1229</v>
      </c>
      <c r="O2735" t="s">
        <v>38</v>
      </c>
      <c r="P2735" t="s">
        <v>7470</v>
      </c>
      <c r="Q2735">
        <v>1962</v>
      </c>
      <c r="R2735" t="s">
        <v>23</v>
      </c>
      <c r="S2735" s="1" t="s">
        <v>34218</v>
      </c>
    </row>
    <row r="2736" spans="1:19" x14ac:dyDescent="0.25">
      <c r="A2736">
        <v>101413630</v>
      </c>
      <c r="B2736" t="s">
        <v>7471</v>
      </c>
      <c r="C2736" t="s">
        <v>1714</v>
      </c>
      <c r="F2736" t="str">
        <f>"2125649117"</f>
        <v>2125649117</v>
      </c>
      <c r="G2736" t="s">
        <v>7472</v>
      </c>
      <c r="H2736" t="s">
        <v>653</v>
      </c>
      <c r="I2736" t="s">
        <v>117</v>
      </c>
      <c r="J2736">
        <v>10018</v>
      </c>
      <c r="L2736" t="s">
        <v>23</v>
      </c>
      <c r="M2736" t="s">
        <v>7472</v>
      </c>
      <c r="N2736" t="s">
        <v>653</v>
      </c>
      <c r="O2736" t="s">
        <v>117</v>
      </c>
      <c r="P2736">
        <v>10018</v>
      </c>
      <c r="R2736" t="s">
        <v>23</v>
      </c>
      <c r="S2736" s="1" t="s">
        <v>34218</v>
      </c>
    </row>
    <row r="2737" spans="1:19" x14ac:dyDescent="0.25">
      <c r="A2737">
        <v>101311631</v>
      </c>
      <c r="B2737" t="s">
        <v>333</v>
      </c>
      <c r="C2737" t="s">
        <v>440</v>
      </c>
      <c r="F2737" t="str">
        <f>"5032325043"</f>
        <v>5032325043</v>
      </c>
      <c r="G2737" t="s">
        <v>7473</v>
      </c>
      <c r="H2737" t="s">
        <v>227</v>
      </c>
      <c r="I2737" t="s">
        <v>43</v>
      </c>
      <c r="J2737" t="s">
        <v>7474</v>
      </c>
      <c r="K2737">
        <v>2209</v>
      </c>
      <c r="L2737" t="s">
        <v>23</v>
      </c>
      <c r="M2737" t="s">
        <v>7473</v>
      </c>
      <c r="N2737" t="s">
        <v>227</v>
      </c>
      <c r="O2737" t="s">
        <v>43</v>
      </c>
      <c r="P2737" t="s">
        <v>7474</v>
      </c>
      <c r="Q2737">
        <v>2209</v>
      </c>
      <c r="R2737" t="s">
        <v>23</v>
      </c>
      <c r="S2737" s="1" t="s">
        <v>34218</v>
      </c>
    </row>
    <row r="2738" spans="1:19" x14ac:dyDescent="0.25">
      <c r="A2738">
        <v>101359624</v>
      </c>
      <c r="B2738" t="s">
        <v>7475</v>
      </c>
      <c r="C2738" t="s">
        <v>216</v>
      </c>
      <c r="F2738" t="str">
        <f>"9409232981"</f>
        <v>9409232981</v>
      </c>
      <c r="G2738" t="s">
        <v>7476</v>
      </c>
      <c r="H2738" t="s">
        <v>3649</v>
      </c>
      <c r="I2738" t="s">
        <v>38</v>
      </c>
      <c r="J2738" t="s">
        <v>7477</v>
      </c>
      <c r="K2738">
        <v>2239</v>
      </c>
      <c r="L2738" t="s">
        <v>23</v>
      </c>
      <c r="M2738" t="s">
        <v>7476</v>
      </c>
      <c r="N2738" t="s">
        <v>3649</v>
      </c>
      <c r="O2738" t="s">
        <v>38</v>
      </c>
      <c r="P2738" t="s">
        <v>7477</v>
      </c>
      <c r="Q2738">
        <v>2239</v>
      </c>
      <c r="R2738" t="s">
        <v>23</v>
      </c>
      <c r="S2738" s="1" t="s">
        <v>34218</v>
      </c>
    </row>
    <row r="2739" spans="1:19" x14ac:dyDescent="0.25">
      <c r="A2739">
        <v>100903387</v>
      </c>
      <c r="B2739" t="s">
        <v>208</v>
      </c>
      <c r="C2739" t="s">
        <v>7478</v>
      </c>
      <c r="F2739" t="str">
        <f>"5555555555"</f>
        <v>5555555555</v>
      </c>
      <c r="G2739" t="s">
        <v>7479</v>
      </c>
      <c r="H2739" t="s">
        <v>7480</v>
      </c>
      <c r="I2739" t="s">
        <v>33</v>
      </c>
      <c r="J2739">
        <v>16933</v>
      </c>
      <c r="K2739">
        <v>1042</v>
      </c>
      <c r="L2739" t="s">
        <v>23</v>
      </c>
      <c r="M2739" t="s">
        <v>7479</v>
      </c>
      <c r="N2739" t="s">
        <v>7480</v>
      </c>
      <c r="O2739" t="s">
        <v>33</v>
      </c>
      <c r="P2739">
        <v>16933</v>
      </c>
      <c r="Q2739">
        <v>1042</v>
      </c>
      <c r="R2739" t="s">
        <v>23</v>
      </c>
      <c r="S2739" s="1" t="s">
        <v>34218</v>
      </c>
    </row>
    <row r="2740" spans="1:19" x14ac:dyDescent="0.25">
      <c r="A2740">
        <v>100974901</v>
      </c>
      <c r="B2740" t="s">
        <v>1508</v>
      </c>
      <c r="C2740" t="s">
        <v>613</v>
      </c>
      <c r="F2740" t="str">
        <f>"3525071517"</f>
        <v>3525071517</v>
      </c>
      <c r="G2740" t="s">
        <v>7481</v>
      </c>
      <c r="H2740" t="s">
        <v>7482</v>
      </c>
      <c r="I2740" t="s">
        <v>43</v>
      </c>
      <c r="J2740">
        <v>97443</v>
      </c>
      <c r="K2740">
        <v>480</v>
      </c>
      <c r="L2740" t="s">
        <v>23</v>
      </c>
      <c r="M2740" t="s">
        <v>7481</v>
      </c>
      <c r="N2740" t="s">
        <v>7482</v>
      </c>
      <c r="O2740" t="s">
        <v>43</v>
      </c>
      <c r="P2740">
        <v>97443</v>
      </c>
      <c r="Q2740">
        <v>480</v>
      </c>
      <c r="R2740" t="s">
        <v>23</v>
      </c>
      <c r="S2740" s="1" t="s">
        <v>34218</v>
      </c>
    </row>
    <row r="2741" spans="1:19" x14ac:dyDescent="0.25">
      <c r="A2741">
        <v>100678571</v>
      </c>
      <c r="B2741" t="s">
        <v>7483</v>
      </c>
      <c r="C2741" t="s">
        <v>1506</v>
      </c>
      <c r="F2741" t="str">
        <f>"5138069363"</f>
        <v>5138069363</v>
      </c>
      <c r="G2741" t="s">
        <v>7484</v>
      </c>
      <c r="H2741" t="s">
        <v>2086</v>
      </c>
      <c r="I2741" t="s">
        <v>178</v>
      </c>
      <c r="J2741">
        <v>45216</v>
      </c>
      <c r="K2741">
        <v>4905</v>
      </c>
      <c r="L2741" t="s">
        <v>23</v>
      </c>
      <c r="M2741" t="s">
        <v>7484</v>
      </c>
      <c r="N2741" t="s">
        <v>2086</v>
      </c>
      <c r="O2741" t="s">
        <v>178</v>
      </c>
      <c r="P2741">
        <v>45216</v>
      </c>
      <c r="Q2741">
        <v>4905</v>
      </c>
      <c r="R2741" t="s">
        <v>23</v>
      </c>
      <c r="S2741" s="1" t="s">
        <v>34218</v>
      </c>
    </row>
    <row r="2742" spans="1:19" x14ac:dyDescent="0.25">
      <c r="A2742">
        <v>101301066</v>
      </c>
      <c r="B2742" t="s">
        <v>7485</v>
      </c>
      <c r="C2742" t="s">
        <v>4257</v>
      </c>
      <c r="F2742" t="str">
        <f>"5413433048"</f>
        <v>5413433048</v>
      </c>
      <c r="G2742" t="s">
        <v>7486</v>
      </c>
      <c r="H2742" t="s">
        <v>1452</v>
      </c>
      <c r="I2742" t="s">
        <v>43</v>
      </c>
      <c r="J2742">
        <v>97405</v>
      </c>
      <c r="L2742" t="s">
        <v>23</v>
      </c>
      <c r="M2742" t="s">
        <v>7486</v>
      </c>
      <c r="N2742" t="s">
        <v>1452</v>
      </c>
      <c r="O2742" t="s">
        <v>43</v>
      </c>
      <c r="P2742">
        <v>97405</v>
      </c>
      <c r="R2742" t="s">
        <v>23</v>
      </c>
      <c r="S2742" s="1" t="s">
        <v>34218</v>
      </c>
    </row>
    <row r="2743" spans="1:19" x14ac:dyDescent="0.25">
      <c r="A2743">
        <v>101256027</v>
      </c>
      <c r="B2743" t="s">
        <v>826</v>
      </c>
      <c r="C2743" t="s">
        <v>5599</v>
      </c>
      <c r="F2743" t="str">
        <f>"5036597922"</f>
        <v>5036597922</v>
      </c>
      <c r="G2743" t="s">
        <v>7487</v>
      </c>
      <c r="H2743" t="s">
        <v>227</v>
      </c>
      <c r="I2743" t="s">
        <v>43</v>
      </c>
      <c r="J2743" t="s">
        <v>7488</v>
      </c>
      <c r="K2743">
        <v>8835</v>
      </c>
      <c r="L2743" t="s">
        <v>23</v>
      </c>
      <c r="M2743" t="s">
        <v>7487</v>
      </c>
      <c r="N2743" t="s">
        <v>227</v>
      </c>
      <c r="O2743" t="s">
        <v>43</v>
      </c>
      <c r="P2743" t="s">
        <v>7488</v>
      </c>
      <c r="Q2743">
        <v>8835</v>
      </c>
      <c r="R2743" t="s">
        <v>23</v>
      </c>
      <c r="S2743" s="1" t="s">
        <v>34218</v>
      </c>
    </row>
    <row r="2744" spans="1:19" x14ac:dyDescent="0.25">
      <c r="A2744">
        <v>100959556</v>
      </c>
      <c r="B2744" t="s">
        <v>1827</v>
      </c>
      <c r="C2744" t="s">
        <v>1506</v>
      </c>
      <c r="F2744" t="str">
        <f>"5302438350"</f>
        <v>5302438350</v>
      </c>
      <c r="G2744" t="s">
        <v>7489</v>
      </c>
      <c r="H2744" t="s">
        <v>7490</v>
      </c>
      <c r="I2744" t="s">
        <v>22</v>
      </c>
      <c r="J2744">
        <v>95605</v>
      </c>
      <c r="K2744">
        <v>3226</v>
      </c>
      <c r="L2744" t="s">
        <v>23</v>
      </c>
      <c r="M2744" t="s">
        <v>7489</v>
      </c>
      <c r="N2744" t="s">
        <v>7490</v>
      </c>
      <c r="O2744" t="s">
        <v>22</v>
      </c>
      <c r="P2744">
        <v>95605</v>
      </c>
      <c r="Q2744">
        <v>3226</v>
      </c>
      <c r="R2744" t="s">
        <v>23</v>
      </c>
      <c r="S2744" s="1" t="s">
        <v>34218</v>
      </c>
    </row>
    <row r="2745" spans="1:19" x14ac:dyDescent="0.25">
      <c r="A2745">
        <v>101169716</v>
      </c>
      <c r="B2745" t="s">
        <v>7491</v>
      </c>
      <c r="C2745" t="s">
        <v>145</v>
      </c>
      <c r="F2745" t="str">
        <f>"5302650483"</f>
        <v>5302650483</v>
      </c>
      <c r="G2745" t="s">
        <v>7492</v>
      </c>
      <c r="H2745" t="s">
        <v>2674</v>
      </c>
      <c r="I2745" t="s">
        <v>22</v>
      </c>
      <c r="J2745">
        <v>95945</v>
      </c>
      <c r="K2745">
        <v>8824</v>
      </c>
      <c r="L2745" t="s">
        <v>23</v>
      </c>
      <c r="M2745" t="s">
        <v>7492</v>
      </c>
      <c r="N2745" t="s">
        <v>2674</v>
      </c>
      <c r="O2745" t="s">
        <v>22</v>
      </c>
      <c r="P2745">
        <v>95945</v>
      </c>
      <c r="Q2745">
        <v>8824</v>
      </c>
      <c r="R2745" t="s">
        <v>23</v>
      </c>
      <c r="S2745" s="1" t="s">
        <v>34218</v>
      </c>
    </row>
    <row r="2746" spans="1:19" x14ac:dyDescent="0.25">
      <c r="A2746">
        <v>100567791</v>
      </c>
      <c r="B2746" t="s">
        <v>7493</v>
      </c>
      <c r="C2746" t="s">
        <v>894</v>
      </c>
      <c r="F2746" t="str">
        <f>"4136245140"</f>
        <v>4136245140</v>
      </c>
      <c r="G2746" t="s">
        <v>7494</v>
      </c>
      <c r="H2746" t="s">
        <v>7495</v>
      </c>
      <c r="I2746" t="s">
        <v>236</v>
      </c>
      <c r="J2746" t="s">
        <v>7496</v>
      </c>
      <c r="K2746">
        <v>9633</v>
      </c>
      <c r="L2746" t="s">
        <v>23</v>
      </c>
      <c r="M2746" t="s">
        <v>7494</v>
      </c>
      <c r="N2746" t="s">
        <v>7495</v>
      </c>
      <c r="O2746" t="s">
        <v>236</v>
      </c>
      <c r="P2746" t="s">
        <v>7496</v>
      </c>
      <c r="Q2746">
        <v>9633</v>
      </c>
      <c r="R2746" t="s">
        <v>23</v>
      </c>
      <c r="S2746" s="1" t="s">
        <v>34218</v>
      </c>
    </row>
    <row r="2747" spans="1:19" x14ac:dyDescent="0.25">
      <c r="A2747">
        <v>100942713</v>
      </c>
      <c r="B2747" t="s">
        <v>7179</v>
      </c>
      <c r="C2747" t="s">
        <v>7497</v>
      </c>
      <c r="F2747" t="str">
        <f>"5187915366"</f>
        <v>5187915366</v>
      </c>
      <c r="G2747" t="s">
        <v>7498</v>
      </c>
      <c r="H2747" t="s">
        <v>2784</v>
      </c>
      <c r="I2747" t="s">
        <v>117</v>
      </c>
      <c r="J2747">
        <v>12180</v>
      </c>
      <c r="K2747">
        <v>7305</v>
      </c>
      <c r="L2747" t="s">
        <v>23</v>
      </c>
      <c r="M2747" t="s">
        <v>7498</v>
      </c>
      <c r="N2747" t="s">
        <v>2784</v>
      </c>
      <c r="O2747" t="s">
        <v>117</v>
      </c>
      <c r="P2747">
        <v>12180</v>
      </c>
      <c r="Q2747">
        <v>7305</v>
      </c>
      <c r="R2747" t="s">
        <v>23</v>
      </c>
      <c r="S2747" s="1" t="s">
        <v>34218</v>
      </c>
    </row>
    <row r="2748" spans="1:19" x14ac:dyDescent="0.25">
      <c r="A2748">
        <v>101400787</v>
      </c>
      <c r="B2748" t="s">
        <v>7499</v>
      </c>
      <c r="C2748" t="s">
        <v>4982</v>
      </c>
      <c r="F2748" t="str">
        <f>"8636042800"</f>
        <v>8636042800</v>
      </c>
      <c r="G2748" t="s">
        <v>7500</v>
      </c>
      <c r="H2748" t="s">
        <v>7501</v>
      </c>
      <c r="I2748" t="s">
        <v>52</v>
      </c>
      <c r="J2748">
        <v>33881</v>
      </c>
      <c r="K2748">
        <v>1318</v>
      </c>
      <c r="L2748" t="s">
        <v>23</v>
      </c>
      <c r="M2748" t="s">
        <v>7500</v>
      </c>
      <c r="N2748" t="s">
        <v>7501</v>
      </c>
      <c r="O2748" t="s">
        <v>52</v>
      </c>
      <c r="P2748">
        <v>33881</v>
      </c>
      <c r="Q2748">
        <v>1318</v>
      </c>
      <c r="R2748" t="s">
        <v>23</v>
      </c>
      <c r="S2748" s="1" t="s">
        <v>34218</v>
      </c>
    </row>
    <row r="2749" spans="1:19" x14ac:dyDescent="0.25">
      <c r="A2749">
        <v>101415350</v>
      </c>
      <c r="B2749" t="s">
        <v>7502</v>
      </c>
      <c r="C2749" t="s">
        <v>7503</v>
      </c>
      <c r="F2749" t="str">
        <f>"2068423834"</f>
        <v>2068423834</v>
      </c>
      <c r="G2749" t="s">
        <v>7504</v>
      </c>
      <c r="H2749" t="s">
        <v>7505</v>
      </c>
      <c r="I2749" t="s">
        <v>84</v>
      </c>
      <c r="J2749">
        <v>98110</v>
      </c>
      <c r="K2749">
        <v>2010</v>
      </c>
      <c r="L2749" t="s">
        <v>23</v>
      </c>
      <c r="M2749" t="s">
        <v>7504</v>
      </c>
      <c r="N2749" t="s">
        <v>7505</v>
      </c>
      <c r="O2749" t="s">
        <v>84</v>
      </c>
      <c r="P2749">
        <v>98110</v>
      </c>
      <c r="Q2749">
        <v>2010</v>
      </c>
      <c r="R2749" t="s">
        <v>23</v>
      </c>
      <c r="S2749" s="1" t="s">
        <v>34218</v>
      </c>
    </row>
    <row r="2750" spans="1:19" x14ac:dyDescent="0.25">
      <c r="A2750">
        <v>101415123</v>
      </c>
      <c r="B2750" t="s">
        <v>7506</v>
      </c>
      <c r="C2750" t="s">
        <v>7507</v>
      </c>
      <c r="F2750" t="str">
        <f>"6303784733"</f>
        <v>6303784733</v>
      </c>
      <c r="G2750" t="s">
        <v>7508</v>
      </c>
      <c r="H2750" t="s">
        <v>6813</v>
      </c>
      <c r="I2750" t="s">
        <v>135</v>
      </c>
      <c r="J2750">
        <v>60440</v>
      </c>
      <c r="K2750">
        <v>2603</v>
      </c>
      <c r="L2750" t="s">
        <v>23</v>
      </c>
      <c r="M2750" t="s">
        <v>7508</v>
      </c>
      <c r="N2750" t="s">
        <v>6813</v>
      </c>
      <c r="O2750" t="s">
        <v>135</v>
      </c>
      <c r="P2750">
        <v>60440</v>
      </c>
      <c r="Q2750">
        <v>2603</v>
      </c>
      <c r="R2750" t="s">
        <v>23</v>
      </c>
      <c r="S2750" s="1" t="s">
        <v>34218</v>
      </c>
    </row>
    <row r="2751" spans="1:19" x14ac:dyDescent="0.25">
      <c r="A2751">
        <v>100654399</v>
      </c>
      <c r="B2751" t="s">
        <v>7509</v>
      </c>
      <c r="C2751" t="s">
        <v>4941</v>
      </c>
      <c r="F2751" t="str">
        <f>"9548888888"</f>
        <v>9548888888</v>
      </c>
      <c r="G2751" t="s">
        <v>7510</v>
      </c>
      <c r="H2751" t="s">
        <v>6435</v>
      </c>
      <c r="I2751" t="s">
        <v>1482</v>
      </c>
      <c r="J2751">
        <v>29486</v>
      </c>
      <c r="K2751">
        <v>8210</v>
      </c>
      <c r="L2751" t="s">
        <v>23</v>
      </c>
      <c r="M2751" t="s">
        <v>7510</v>
      </c>
      <c r="N2751" t="s">
        <v>6435</v>
      </c>
      <c r="O2751" t="s">
        <v>1482</v>
      </c>
      <c r="P2751">
        <v>29486</v>
      </c>
      <c r="Q2751">
        <v>8210</v>
      </c>
      <c r="R2751" t="s">
        <v>23</v>
      </c>
      <c r="S2751" s="1" t="s">
        <v>34218</v>
      </c>
    </row>
    <row r="2752" spans="1:19" x14ac:dyDescent="0.25">
      <c r="A2752">
        <v>101207366</v>
      </c>
      <c r="B2752" t="s">
        <v>7511</v>
      </c>
      <c r="C2752" t="s">
        <v>1002</v>
      </c>
      <c r="F2752" t="str">
        <f>"5555555556"</f>
        <v>5555555556</v>
      </c>
      <c r="G2752" t="s">
        <v>7512</v>
      </c>
      <c r="H2752" t="s">
        <v>653</v>
      </c>
      <c r="I2752" t="s">
        <v>117</v>
      </c>
      <c r="J2752">
        <v>10024</v>
      </c>
      <c r="K2752">
        <v>5344</v>
      </c>
      <c r="L2752" t="s">
        <v>23</v>
      </c>
      <c r="M2752" t="s">
        <v>7512</v>
      </c>
      <c r="N2752" t="s">
        <v>653</v>
      </c>
      <c r="O2752" t="s">
        <v>117</v>
      </c>
      <c r="P2752">
        <v>10024</v>
      </c>
      <c r="Q2752">
        <v>5344</v>
      </c>
      <c r="R2752" t="s">
        <v>23</v>
      </c>
      <c r="S2752" s="1" t="s">
        <v>34218</v>
      </c>
    </row>
    <row r="2753" spans="1:19" x14ac:dyDescent="0.25">
      <c r="A2753">
        <v>101227784</v>
      </c>
      <c r="B2753" t="s">
        <v>7513</v>
      </c>
      <c r="C2753" t="s">
        <v>102</v>
      </c>
      <c r="F2753" t="str">
        <f>"2069327890"</f>
        <v>2069327890</v>
      </c>
      <c r="G2753" t="s">
        <v>7514</v>
      </c>
      <c r="H2753" t="s">
        <v>1531</v>
      </c>
      <c r="I2753" t="s">
        <v>84</v>
      </c>
      <c r="J2753">
        <v>98126</v>
      </c>
      <c r="K2753">
        <v>3336</v>
      </c>
      <c r="L2753" t="s">
        <v>23</v>
      </c>
      <c r="M2753" t="s">
        <v>7514</v>
      </c>
      <c r="N2753" t="s">
        <v>1531</v>
      </c>
      <c r="O2753" t="s">
        <v>84</v>
      </c>
      <c r="P2753">
        <v>98126</v>
      </c>
      <c r="Q2753">
        <v>3336</v>
      </c>
      <c r="R2753" t="s">
        <v>23</v>
      </c>
      <c r="S2753" s="1" t="s">
        <v>34218</v>
      </c>
    </row>
    <row r="2754" spans="1:19" x14ac:dyDescent="0.25">
      <c r="A2754">
        <v>101220782</v>
      </c>
      <c r="B2754" t="s">
        <v>1291</v>
      </c>
      <c r="C2754" t="s">
        <v>7515</v>
      </c>
      <c r="F2754" t="str">
        <f>"5052558785"</f>
        <v>5052558785</v>
      </c>
      <c r="G2754" t="s">
        <v>7516</v>
      </c>
      <c r="H2754" t="s">
        <v>638</v>
      </c>
      <c r="I2754" t="s">
        <v>639</v>
      </c>
      <c r="J2754">
        <v>87108</v>
      </c>
      <c r="K2754">
        <v>2649</v>
      </c>
      <c r="L2754" t="s">
        <v>23</v>
      </c>
      <c r="M2754" t="s">
        <v>7516</v>
      </c>
      <c r="N2754" t="s">
        <v>638</v>
      </c>
      <c r="O2754" t="s">
        <v>639</v>
      </c>
      <c r="P2754">
        <v>87108</v>
      </c>
      <c r="Q2754">
        <v>2649</v>
      </c>
      <c r="R2754" t="s">
        <v>23</v>
      </c>
      <c r="S2754" s="1" t="s">
        <v>34218</v>
      </c>
    </row>
    <row r="2755" spans="1:19" x14ac:dyDescent="0.25">
      <c r="A2755">
        <v>100902626</v>
      </c>
      <c r="B2755" t="s">
        <v>7517</v>
      </c>
      <c r="C2755" t="s">
        <v>7518</v>
      </c>
      <c r="F2755" t="str">
        <f>"2125675262"</f>
        <v>2125675262</v>
      </c>
      <c r="G2755" t="s">
        <v>7519</v>
      </c>
      <c r="H2755" t="s">
        <v>653</v>
      </c>
      <c r="I2755" t="s">
        <v>117</v>
      </c>
      <c r="J2755">
        <v>10034</v>
      </c>
      <c r="K2755">
        <v>1351</v>
      </c>
      <c r="L2755" t="s">
        <v>23</v>
      </c>
      <c r="M2755" t="s">
        <v>7519</v>
      </c>
      <c r="N2755" t="s">
        <v>653</v>
      </c>
      <c r="O2755" t="s">
        <v>117</v>
      </c>
      <c r="P2755">
        <v>10034</v>
      </c>
      <c r="Q2755">
        <v>1351</v>
      </c>
      <c r="R2755" t="s">
        <v>23</v>
      </c>
      <c r="S2755" s="1" t="s">
        <v>34218</v>
      </c>
    </row>
    <row r="2756" spans="1:19" x14ac:dyDescent="0.25">
      <c r="A2756">
        <v>101244075</v>
      </c>
      <c r="B2756" t="s">
        <v>216</v>
      </c>
      <c r="C2756" t="s">
        <v>3867</v>
      </c>
      <c r="F2756" t="str">
        <f>"9175628012"</f>
        <v>9175628012</v>
      </c>
      <c r="G2756" t="s">
        <v>7520</v>
      </c>
      <c r="H2756" t="s">
        <v>653</v>
      </c>
      <c r="I2756" t="s">
        <v>117</v>
      </c>
      <c r="J2756">
        <v>10002</v>
      </c>
      <c r="K2756">
        <v>6761</v>
      </c>
      <c r="L2756" t="s">
        <v>23</v>
      </c>
      <c r="M2756" t="s">
        <v>7520</v>
      </c>
      <c r="N2756" t="s">
        <v>653</v>
      </c>
      <c r="O2756" t="s">
        <v>117</v>
      </c>
      <c r="P2756">
        <v>10002</v>
      </c>
      <c r="Q2756">
        <v>6761</v>
      </c>
      <c r="R2756" t="s">
        <v>23</v>
      </c>
      <c r="S2756" s="1" t="s">
        <v>34218</v>
      </c>
    </row>
    <row r="2757" spans="1:19" x14ac:dyDescent="0.25">
      <c r="A2757">
        <v>101262995</v>
      </c>
      <c r="B2757" t="s">
        <v>902</v>
      </c>
      <c r="C2757" t="s">
        <v>7521</v>
      </c>
      <c r="F2757" t="str">
        <f>"5713383065"</f>
        <v>5713383065</v>
      </c>
      <c r="G2757" t="s">
        <v>7522</v>
      </c>
      <c r="H2757" t="s">
        <v>573</v>
      </c>
      <c r="I2757" t="s">
        <v>33</v>
      </c>
      <c r="J2757">
        <v>19139</v>
      </c>
      <c r="K2757">
        <v>4519</v>
      </c>
      <c r="L2757" t="s">
        <v>23</v>
      </c>
      <c r="M2757" t="s">
        <v>7522</v>
      </c>
      <c r="N2757" t="s">
        <v>573</v>
      </c>
      <c r="O2757" t="s">
        <v>33</v>
      </c>
      <c r="P2757">
        <v>19139</v>
      </c>
      <c r="Q2757">
        <v>4519</v>
      </c>
      <c r="R2757" t="s">
        <v>23</v>
      </c>
      <c r="S2757" s="1" t="s">
        <v>34218</v>
      </c>
    </row>
    <row r="2758" spans="1:19" x14ac:dyDescent="0.25">
      <c r="A2758">
        <v>101264124</v>
      </c>
      <c r="B2758" t="s">
        <v>7523</v>
      </c>
      <c r="C2758" t="s">
        <v>1327</v>
      </c>
      <c r="F2758" t="str">
        <f>"4156652597"</f>
        <v>4156652597</v>
      </c>
      <c r="G2758" t="s">
        <v>7524</v>
      </c>
      <c r="H2758" t="s">
        <v>130</v>
      </c>
      <c r="I2758" t="s">
        <v>22</v>
      </c>
      <c r="J2758">
        <v>94116</v>
      </c>
      <c r="K2758">
        <v>1335</v>
      </c>
      <c r="L2758" t="s">
        <v>23</v>
      </c>
      <c r="M2758" t="s">
        <v>7524</v>
      </c>
      <c r="N2758" t="s">
        <v>130</v>
      </c>
      <c r="O2758" t="s">
        <v>22</v>
      </c>
      <c r="P2758">
        <v>94116</v>
      </c>
      <c r="Q2758">
        <v>1335</v>
      </c>
      <c r="R2758" t="s">
        <v>23</v>
      </c>
      <c r="S2758" s="1" t="s">
        <v>34218</v>
      </c>
    </row>
    <row r="2759" spans="1:19" x14ac:dyDescent="0.25">
      <c r="A2759">
        <v>100711268</v>
      </c>
      <c r="B2759" t="s">
        <v>7525</v>
      </c>
      <c r="C2759" t="s">
        <v>846</v>
      </c>
      <c r="F2759" t="str">
        <f>"7183863408"</f>
        <v>7183863408</v>
      </c>
      <c r="G2759" t="s">
        <v>7526</v>
      </c>
      <c r="H2759" t="s">
        <v>7527</v>
      </c>
      <c r="I2759" t="s">
        <v>117</v>
      </c>
      <c r="J2759" t="s">
        <v>7528</v>
      </c>
      <c r="K2759">
        <v>1925</v>
      </c>
      <c r="L2759" t="s">
        <v>23</v>
      </c>
      <c r="M2759" t="s">
        <v>7526</v>
      </c>
      <c r="N2759" t="s">
        <v>7527</v>
      </c>
      <c r="O2759" t="s">
        <v>117</v>
      </c>
      <c r="P2759" t="s">
        <v>7528</v>
      </c>
      <c r="Q2759">
        <v>1925</v>
      </c>
      <c r="R2759" t="s">
        <v>23</v>
      </c>
      <c r="S2759" s="1" t="s">
        <v>34218</v>
      </c>
    </row>
    <row r="2760" spans="1:19" x14ac:dyDescent="0.25">
      <c r="A2760">
        <v>100994955</v>
      </c>
      <c r="B2760" t="s">
        <v>7529</v>
      </c>
      <c r="C2760" t="s">
        <v>7530</v>
      </c>
      <c r="F2760" t="str">
        <f>"7177815773"</f>
        <v>7177815773</v>
      </c>
      <c r="G2760" t="s">
        <v>7531</v>
      </c>
      <c r="H2760" t="s">
        <v>2309</v>
      </c>
      <c r="I2760" t="s">
        <v>2310</v>
      </c>
      <c r="J2760" t="s">
        <v>7532</v>
      </c>
      <c r="K2760">
        <v>2413</v>
      </c>
      <c r="L2760" t="s">
        <v>23</v>
      </c>
      <c r="M2760" t="s">
        <v>7531</v>
      </c>
      <c r="N2760" t="s">
        <v>2309</v>
      </c>
      <c r="O2760" t="s">
        <v>2310</v>
      </c>
      <c r="P2760" t="s">
        <v>7532</v>
      </c>
      <c r="Q2760">
        <v>2413</v>
      </c>
      <c r="R2760" t="s">
        <v>23</v>
      </c>
      <c r="S2760" s="1" t="s">
        <v>34218</v>
      </c>
    </row>
    <row r="2761" spans="1:19" x14ac:dyDescent="0.25">
      <c r="A2761">
        <v>100757838</v>
      </c>
      <c r="B2761" t="s">
        <v>7533</v>
      </c>
      <c r="C2761" t="s">
        <v>1036</v>
      </c>
      <c r="F2761" t="str">
        <f>"8127975823"</f>
        <v>8127975823</v>
      </c>
      <c r="G2761" t="s">
        <v>7534</v>
      </c>
      <c r="H2761" t="s">
        <v>1367</v>
      </c>
      <c r="I2761" t="s">
        <v>57</v>
      </c>
      <c r="J2761" t="s">
        <v>7535</v>
      </c>
      <c r="K2761">
        <v>5106</v>
      </c>
      <c r="L2761" t="s">
        <v>23</v>
      </c>
      <c r="M2761" t="s">
        <v>7534</v>
      </c>
      <c r="N2761" t="s">
        <v>1367</v>
      </c>
      <c r="O2761" t="s">
        <v>57</v>
      </c>
      <c r="P2761" t="s">
        <v>7535</v>
      </c>
      <c r="Q2761">
        <v>5106</v>
      </c>
      <c r="R2761" t="s">
        <v>23</v>
      </c>
      <c r="S2761" s="1" t="s">
        <v>34218</v>
      </c>
    </row>
    <row r="2762" spans="1:19" x14ac:dyDescent="0.25">
      <c r="A2762">
        <v>101300837</v>
      </c>
      <c r="B2762" t="s">
        <v>1001</v>
      </c>
      <c r="C2762" t="s">
        <v>2653</v>
      </c>
      <c r="F2762" t="str">
        <f>"3107957373"</f>
        <v>3107957373</v>
      </c>
      <c r="G2762" t="s">
        <v>7536</v>
      </c>
      <c r="H2762" t="s">
        <v>4570</v>
      </c>
      <c r="I2762" t="s">
        <v>22</v>
      </c>
      <c r="J2762">
        <v>90291</v>
      </c>
      <c r="K2762">
        <v>5925</v>
      </c>
      <c r="L2762" t="s">
        <v>23</v>
      </c>
      <c r="M2762" t="s">
        <v>7536</v>
      </c>
      <c r="N2762" t="s">
        <v>4570</v>
      </c>
      <c r="O2762" t="s">
        <v>22</v>
      </c>
      <c r="P2762">
        <v>90291</v>
      </c>
      <c r="Q2762">
        <v>5925</v>
      </c>
      <c r="R2762" t="s">
        <v>23</v>
      </c>
      <c r="S2762" s="1" t="s">
        <v>34218</v>
      </c>
    </row>
    <row r="2763" spans="1:19" x14ac:dyDescent="0.25">
      <c r="A2763">
        <v>100985249</v>
      </c>
      <c r="B2763" t="s">
        <v>7537</v>
      </c>
      <c r="C2763" t="s">
        <v>7538</v>
      </c>
      <c r="F2763" t="str">
        <f>"7758494278"</f>
        <v>7758494278</v>
      </c>
      <c r="G2763" t="s">
        <v>7539</v>
      </c>
      <c r="H2763" t="s">
        <v>7540</v>
      </c>
      <c r="I2763" t="s">
        <v>702</v>
      </c>
      <c r="J2763" t="s">
        <v>7541</v>
      </c>
      <c r="K2763">
        <v>9042</v>
      </c>
      <c r="L2763" t="s">
        <v>23</v>
      </c>
      <c r="M2763" t="s">
        <v>7539</v>
      </c>
      <c r="N2763" t="s">
        <v>7540</v>
      </c>
      <c r="O2763" t="s">
        <v>702</v>
      </c>
      <c r="P2763" t="s">
        <v>7541</v>
      </c>
      <c r="Q2763">
        <v>9042</v>
      </c>
      <c r="R2763" t="s">
        <v>23</v>
      </c>
      <c r="S2763" s="1" t="s">
        <v>34218</v>
      </c>
    </row>
    <row r="2764" spans="1:19" x14ac:dyDescent="0.25">
      <c r="A2764">
        <v>100703939</v>
      </c>
      <c r="B2764" t="s">
        <v>7542</v>
      </c>
      <c r="C2764" t="s">
        <v>7543</v>
      </c>
      <c r="F2764" t="str">
        <f>"4064268168"</f>
        <v>4064268168</v>
      </c>
      <c r="G2764" t="s">
        <v>7544</v>
      </c>
      <c r="H2764" t="s">
        <v>7545</v>
      </c>
      <c r="I2764" t="s">
        <v>1000</v>
      </c>
      <c r="J2764" t="s">
        <v>7546</v>
      </c>
      <c r="K2764">
        <v>7703</v>
      </c>
      <c r="L2764" t="s">
        <v>23</v>
      </c>
      <c r="M2764" t="s">
        <v>7544</v>
      </c>
      <c r="N2764" t="s">
        <v>7545</v>
      </c>
      <c r="O2764" t="s">
        <v>1000</v>
      </c>
      <c r="P2764" t="s">
        <v>7546</v>
      </c>
      <c r="Q2764">
        <v>7703</v>
      </c>
      <c r="R2764" t="s">
        <v>23</v>
      </c>
      <c r="S2764" s="1" t="s">
        <v>34218</v>
      </c>
    </row>
    <row r="2765" spans="1:19" x14ac:dyDescent="0.25">
      <c r="A2765">
        <v>101387473</v>
      </c>
      <c r="B2765" t="s">
        <v>7547</v>
      </c>
      <c r="C2765" t="s">
        <v>7548</v>
      </c>
      <c r="F2765" t="str">
        <f>"5416466784"</f>
        <v>5416466784</v>
      </c>
      <c r="G2765" t="s">
        <v>7549</v>
      </c>
      <c r="H2765" t="s">
        <v>177</v>
      </c>
      <c r="I2765" t="s">
        <v>43</v>
      </c>
      <c r="J2765" t="s">
        <v>7550</v>
      </c>
      <c r="K2765">
        <v>9468</v>
      </c>
      <c r="L2765" t="s">
        <v>23</v>
      </c>
      <c r="M2765" t="s">
        <v>7549</v>
      </c>
      <c r="N2765" t="s">
        <v>177</v>
      </c>
      <c r="O2765" t="s">
        <v>43</v>
      </c>
      <c r="P2765" t="s">
        <v>7550</v>
      </c>
      <c r="Q2765">
        <v>9468</v>
      </c>
      <c r="R2765" t="s">
        <v>23</v>
      </c>
      <c r="S2765" s="1" t="s">
        <v>34218</v>
      </c>
    </row>
    <row r="2766" spans="1:19" x14ac:dyDescent="0.25">
      <c r="A2766">
        <v>101330349</v>
      </c>
      <c r="B2766" t="s">
        <v>7551</v>
      </c>
      <c r="C2766" t="s">
        <v>7552</v>
      </c>
      <c r="F2766" t="str">
        <f>"4242284243"</f>
        <v>4242284243</v>
      </c>
      <c r="G2766" t="s">
        <v>7553</v>
      </c>
      <c r="H2766" t="s">
        <v>299</v>
      </c>
      <c r="I2766" t="s">
        <v>22</v>
      </c>
      <c r="J2766" t="s">
        <v>7554</v>
      </c>
      <c r="K2766">
        <v>4168</v>
      </c>
      <c r="L2766" t="s">
        <v>23</v>
      </c>
      <c r="M2766" t="s">
        <v>7553</v>
      </c>
      <c r="N2766" t="s">
        <v>299</v>
      </c>
      <c r="O2766" t="s">
        <v>22</v>
      </c>
      <c r="P2766" t="s">
        <v>7554</v>
      </c>
      <c r="Q2766">
        <v>4168</v>
      </c>
      <c r="R2766" t="s">
        <v>23</v>
      </c>
      <c r="S2766" s="1" t="s">
        <v>34218</v>
      </c>
    </row>
    <row r="2767" spans="1:19" x14ac:dyDescent="0.25">
      <c r="A2767">
        <v>101024680</v>
      </c>
      <c r="B2767" t="s">
        <v>7555</v>
      </c>
      <c r="C2767" t="s">
        <v>498</v>
      </c>
      <c r="F2767" t="str">
        <f>"7149265611"</f>
        <v>7149265611</v>
      </c>
      <c r="G2767" t="s">
        <v>7556</v>
      </c>
      <c r="H2767" t="s">
        <v>79</v>
      </c>
      <c r="I2767" t="s">
        <v>52</v>
      </c>
      <c r="J2767">
        <v>34465</v>
      </c>
      <c r="K2767">
        <v>4485</v>
      </c>
      <c r="L2767" t="s">
        <v>23</v>
      </c>
      <c r="M2767" t="s">
        <v>7556</v>
      </c>
      <c r="N2767" t="s">
        <v>79</v>
      </c>
      <c r="O2767" t="s">
        <v>52</v>
      </c>
      <c r="P2767">
        <v>34465</v>
      </c>
      <c r="Q2767">
        <v>4485</v>
      </c>
      <c r="R2767" t="s">
        <v>23</v>
      </c>
      <c r="S2767" s="1" t="s">
        <v>34218</v>
      </c>
    </row>
    <row r="2768" spans="1:19" x14ac:dyDescent="0.25">
      <c r="A2768">
        <v>101024624</v>
      </c>
      <c r="B2768" t="s">
        <v>7557</v>
      </c>
      <c r="C2768" t="s">
        <v>313</v>
      </c>
      <c r="F2768" t="str">
        <f>"6194366352"</f>
        <v>6194366352</v>
      </c>
      <c r="G2768" t="s">
        <v>7558</v>
      </c>
      <c r="H2768" t="s">
        <v>198</v>
      </c>
      <c r="I2768" t="s">
        <v>22</v>
      </c>
      <c r="J2768" t="s">
        <v>7559</v>
      </c>
      <c r="K2768">
        <v>1111</v>
      </c>
      <c r="L2768" t="s">
        <v>23</v>
      </c>
      <c r="M2768" t="s">
        <v>7558</v>
      </c>
      <c r="N2768" t="s">
        <v>198</v>
      </c>
      <c r="O2768" t="s">
        <v>22</v>
      </c>
      <c r="P2768" t="s">
        <v>7559</v>
      </c>
      <c r="Q2768">
        <v>1111</v>
      </c>
      <c r="R2768" t="s">
        <v>23</v>
      </c>
      <c r="S2768" s="1" t="s">
        <v>34218</v>
      </c>
    </row>
    <row r="2769" spans="1:19" x14ac:dyDescent="0.25">
      <c r="A2769">
        <v>101065148</v>
      </c>
      <c r="B2769" t="s">
        <v>7560</v>
      </c>
      <c r="C2769" t="s">
        <v>7561</v>
      </c>
      <c r="F2769" t="str">
        <f>"4155762089"</f>
        <v>4155762089</v>
      </c>
      <c r="G2769" t="s">
        <v>7562</v>
      </c>
      <c r="H2769" t="s">
        <v>130</v>
      </c>
      <c r="I2769" t="s">
        <v>22</v>
      </c>
      <c r="J2769">
        <v>94122</v>
      </c>
      <c r="K2769">
        <v>2417</v>
      </c>
      <c r="L2769" t="s">
        <v>23</v>
      </c>
      <c r="M2769" t="s">
        <v>7562</v>
      </c>
      <c r="N2769" t="s">
        <v>130</v>
      </c>
      <c r="O2769" t="s">
        <v>22</v>
      </c>
      <c r="P2769">
        <v>94122</v>
      </c>
      <c r="Q2769">
        <v>2417</v>
      </c>
      <c r="R2769" t="s">
        <v>23</v>
      </c>
      <c r="S2769" s="1" t="s">
        <v>34218</v>
      </c>
    </row>
    <row r="2770" spans="1:19" x14ac:dyDescent="0.25">
      <c r="A2770">
        <v>101022862</v>
      </c>
      <c r="B2770" t="s">
        <v>247</v>
      </c>
      <c r="C2770" t="s">
        <v>7050</v>
      </c>
      <c r="F2770" t="str">
        <f>"2054018887"</f>
        <v>2054018887</v>
      </c>
      <c r="G2770" t="s">
        <v>7563</v>
      </c>
      <c r="H2770" t="s">
        <v>27</v>
      </c>
      <c r="I2770" t="s">
        <v>28</v>
      </c>
      <c r="J2770">
        <v>30306</v>
      </c>
      <c r="K2770">
        <v>4372</v>
      </c>
      <c r="L2770" t="s">
        <v>23</v>
      </c>
      <c r="M2770" t="s">
        <v>7563</v>
      </c>
      <c r="N2770" t="s">
        <v>27</v>
      </c>
      <c r="O2770" t="s">
        <v>28</v>
      </c>
      <c r="P2770">
        <v>30306</v>
      </c>
      <c r="Q2770">
        <v>4372</v>
      </c>
      <c r="R2770" t="s">
        <v>23</v>
      </c>
      <c r="S2770" s="1" t="s">
        <v>34218</v>
      </c>
    </row>
    <row r="2771" spans="1:19" x14ac:dyDescent="0.25">
      <c r="A2771">
        <v>100540532</v>
      </c>
      <c r="B2771" t="s">
        <v>247</v>
      </c>
      <c r="C2771" t="s">
        <v>7564</v>
      </c>
      <c r="F2771" t="str">
        <f>"5555555555"</f>
        <v>5555555555</v>
      </c>
      <c r="G2771" t="s">
        <v>7565</v>
      </c>
      <c r="H2771" t="s">
        <v>1439</v>
      </c>
      <c r="I2771" t="s">
        <v>365</v>
      </c>
      <c r="J2771">
        <v>85742</v>
      </c>
      <c r="L2771" t="s">
        <v>23</v>
      </c>
      <c r="M2771" t="s">
        <v>7565</v>
      </c>
      <c r="N2771" t="s">
        <v>1439</v>
      </c>
      <c r="O2771" t="s">
        <v>365</v>
      </c>
      <c r="P2771">
        <v>85742</v>
      </c>
      <c r="R2771" t="s">
        <v>23</v>
      </c>
      <c r="S2771" s="1" t="s">
        <v>34218</v>
      </c>
    </row>
    <row r="2772" spans="1:19" x14ac:dyDescent="0.25">
      <c r="A2772">
        <v>101276849</v>
      </c>
      <c r="B2772" t="s">
        <v>7566</v>
      </c>
      <c r="C2772" t="s">
        <v>180</v>
      </c>
      <c r="F2772" t="str">
        <f>"3147950377"</f>
        <v>3147950377</v>
      </c>
      <c r="G2772" t="s">
        <v>7567</v>
      </c>
      <c r="H2772" t="s">
        <v>5916</v>
      </c>
      <c r="I2772" t="s">
        <v>126</v>
      </c>
      <c r="J2772">
        <v>63017</v>
      </c>
      <c r="K2772">
        <v>2515</v>
      </c>
      <c r="L2772" t="s">
        <v>23</v>
      </c>
      <c r="M2772" t="s">
        <v>7567</v>
      </c>
      <c r="N2772" t="s">
        <v>5916</v>
      </c>
      <c r="O2772" t="s">
        <v>126</v>
      </c>
      <c r="P2772">
        <v>63017</v>
      </c>
      <c r="Q2772">
        <v>2515</v>
      </c>
      <c r="R2772" t="s">
        <v>23</v>
      </c>
      <c r="S2772" s="1" t="s">
        <v>34218</v>
      </c>
    </row>
    <row r="2773" spans="1:19" x14ac:dyDescent="0.25">
      <c r="A2773">
        <v>101285007</v>
      </c>
      <c r="B2773" t="s">
        <v>7568</v>
      </c>
      <c r="C2773" t="s">
        <v>7569</v>
      </c>
      <c r="F2773" t="str">
        <f>"5095461495"</f>
        <v>5095461495</v>
      </c>
      <c r="G2773" t="s">
        <v>7570</v>
      </c>
      <c r="H2773" t="s">
        <v>7571</v>
      </c>
      <c r="I2773" t="s">
        <v>84</v>
      </c>
      <c r="J2773">
        <v>99301</v>
      </c>
      <c r="K2773">
        <v>3271</v>
      </c>
      <c r="L2773" t="s">
        <v>23</v>
      </c>
      <c r="M2773" t="s">
        <v>7570</v>
      </c>
      <c r="N2773" t="s">
        <v>7571</v>
      </c>
      <c r="O2773" t="s">
        <v>84</v>
      </c>
      <c r="P2773">
        <v>99301</v>
      </c>
      <c r="Q2773">
        <v>3271</v>
      </c>
      <c r="R2773" t="s">
        <v>23</v>
      </c>
      <c r="S2773" s="1" t="s">
        <v>34218</v>
      </c>
    </row>
    <row r="2774" spans="1:19" x14ac:dyDescent="0.25">
      <c r="A2774">
        <v>101293355</v>
      </c>
      <c r="B2774" t="s">
        <v>7572</v>
      </c>
      <c r="C2774" t="s">
        <v>2557</v>
      </c>
      <c r="F2774" t="str">
        <f>"4409790893"</f>
        <v>4409790893</v>
      </c>
      <c r="G2774" t="s">
        <v>7573</v>
      </c>
      <c r="H2774" t="s">
        <v>4439</v>
      </c>
      <c r="I2774" t="s">
        <v>178</v>
      </c>
      <c r="J2774">
        <v>44070</v>
      </c>
      <c r="K2774">
        <v>1221</v>
      </c>
      <c r="L2774" t="s">
        <v>23</v>
      </c>
      <c r="M2774" t="s">
        <v>7573</v>
      </c>
      <c r="N2774" t="s">
        <v>4439</v>
      </c>
      <c r="O2774" t="s">
        <v>178</v>
      </c>
      <c r="P2774">
        <v>44070</v>
      </c>
      <c r="Q2774">
        <v>1221</v>
      </c>
      <c r="R2774" t="s">
        <v>23</v>
      </c>
      <c r="S2774" s="1" t="s">
        <v>34218</v>
      </c>
    </row>
    <row r="2775" spans="1:19" x14ac:dyDescent="0.25">
      <c r="A2775">
        <v>101292396</v>
      </c>
      <c r="B2775" t="s">
        <v>465</v>
      </c>
      <c r="C2775" t="s">
        <v>7574</v>
      </c>
      <c r="F2775" t="str">
        <f>"3364237583"</f>
        <v>3364237583</v>
      </c>
      <c r="G2775" t="s">
        <v>7575</v>
      </c>
      <c r="H2775" t="s">
        <v>5579</v>
      </c>
      <c r="I2775" t="s">
        <v>446</v>
      </c>
      <c r="J2775">
        <v>27107</v>
      </c>
      <c r="K2775">
        <v>3244</v>
      </c>
      <c r="L2775" t="s">
        <v>23</v>
      </c>
      <c r="M2775" t="s">
        <v>7575</v>
      </c>
      <c r="N2775" t="s">
        <v>5579</v>
      </c>
      <c r="O2775" t="s">
        <v>446</v>
      </c>
      <c r="P2775">
        <v>27107</v>
      </c>
      <c r="Q2775">
        <v>3244</v>
      </c>
      <c r="R2775" t="s">
        <v>23</v>
      </c>
      <c r="S2775" s="1" t="s">
        <v>34218</v>
      </c>
    </row>
    <row r="2776" spans="1:19" x14ac:dyDescent="0.25">
      <c r="A2776">
        <v>101301911</v>
      </c>
      <c r="B2776" t="s">
        <v>7576</v>
      </c>
      <c r="C2776" t="s">
        <v>7577</v>
      </c>
      <c r="F2776" t="str">
        <f>"5035243497"</f>
        <v>5035243497</v>
      </c>
      <c r="G2776" t="s">
        <v>7578</v>
      </c>
      <c r="H2776" t="s">
        <v>7579</v>
      </c>
      <c r="I2776" t="s">
        <v>43</v>
      </c>
      <c r="J2776">
        <v>97223</v>
      </c>
      <c r="K2776">
        <v>3329</v>
      </c>
      <c r="L2776" t="s">
        <v>23</v>
      </c>
      <c r="M2776" t="s">
        <v>7578</v>
      </c>
      <c r="N2776" t="s">
        <v>7579</v>
      </c>
      <c r="O2776" t="s">
        <v>43</v>
      </c>
      <c r="P2776">
        <v>97223</v>
      </c>
      <c r="Q2776">
        <v>3329</v>
      </c>
      <c r="R2776" t="s">
        <v>23</v>
      </c>
      <c r="S2776" s="1" t="s">
        <v>34218</v>
      </c>
    </row>
    <row r="2777" spans="1:19" x14ac:dyDescent="0.25">
      <c r="A2777">
        <v>100937524</v>
      </c>
      <c r="B2777" t="s">
        <v>7580</v>
      </c>
      <c r="C2777" t="s">
        <v>49</v>
      </c>
      <c r="F2777" t="str">
        <f>"8313599792"</f>
        <v>8313599792</v>
      </c>
      <c r="G2777" t="s">
        <v>7581</v>
      </c>
      <c r="H2777" t="s">
        <v>7582</v>
      </c>
      <c r="I2777" t="s">
        <v>22</v>
      </c>
      <c r="J2777">
        <v>95005</v>
      </c>
      <c r="K2777">
        <v>9420</v>
      </c>
      <c r="L2777" t="s">
        <v>23</v>
      </c>
      <c r="M2777" t="s">
        <v>7581</v>
      </c>
      <c r="N2777" t="s">
        <v>7582</v>
      </c>
      <c r="O2777" t="s">
        <v>22</v>
      </c>
      <c r="P2777">
        <v>95005</v>
      </c>
      <c r="Q2777">
        <v>9420</v>
      </c>
      <c r="R2777" t="s">
        <v>23</v>
      </c>
      <c r="S2777" s="1" t="s">
        <v>34218</v>
      </c>
    </row>
    <row r="2778" spans="1:19" x14ac:dyDescent="0.25">
      <c r="A2778">
        <v>101126537</v>
      </c>
      <c r="B2778" t="s">
        <v>3869</v>
      </c>
      <c r="C2778" t="s">
        <v>2405</v>
      </c>
      <c r="F2778" t="str">
        <f>"3103767151"</f>
        <v>3103767151</v>
      </c>
      <c r="G2778" t="s">
        <v>7583</v>
      </c>
      <c r="H2778" t="s">
        <v>6515</v>
      </c>
      <c r="I2778" t="s">
        <v>22</v>
      </c>
      <c r="J2778">
        <v>90266</v>
      </c>
      <c r="K2778">
        <v>6506</v>
      </c>
      <c r="L2778" t="s">
        <v>23</v>
      </c>
      <c r="M2778" t="s">
        <v>7583</v>
      </c>
      <c r="N2778" t="s">
        <v>6515</v>
      </c>
      <c r="O2778" t="s">
        <v>22</v>
      </c>
      <c r="P2778">
        <v>90266</v>
      </c>
      <c r="Q2778">
        <v>6506</v>
      </c>
      <c r="R2778" t="s">
        <v>23</v>
      </c>
      <c r="S2778" s="1" t="s">
        <v>34218</v>
      </c>
    </row>
    <row r="2779" spans="1:19" x14ac:dyDescent="0.25">
      <c r="A2779">
        <v>101302074</v>
      </c>
      <c r="B2779" t="s">
        <v>7584</v>
      </c>
      <c r="C2779" t="s">
        <v>7585</v>
      </c>
      <c r="F2779" t="str">
        <f>"6195844401"</f>
        <v>6195844401</v>
      </c>
      <c r="G2779" t="s">
        <v>7586</v>
      </c>
      <c r="H2779" t="s">
        <v>198</v>
      </c>
      <c r="I2779" t="s">
        <v>22</v>
      </c>
      <c r="J2779">
        <v>92104</v>
      </c>
      <c r="L2779" t="s">
        <v>23</v>
      </c>
      <c r="M2779" t="s">
        <v>7586</v>
      </c>
      <c r="N2779" t="s">
        <v>198</v>
      </c>
      <c r="O2779" t="s">
        <v>22</v>
      </c>
      <c r="P2779">
        <v>92104</v>
      </c>
      <c r="R2779" t="s">
        <v>23</v>
      </c>
      <c r="S2779" s="1" t="s">
        <v>34218</v>
      </c>
    </row>
    <row r="2780" spans="1:19" x14ac:dyDescent="0.25">
      <c r="A2780">
        <v>100962938</v>
      </c>
      <c r="B2780" t="s">
        <v>7587</v>
      </c>
      <c r="C2780" t="s">
        <v>158</v>
      </c>
      <c r="F2780" t="str">
        <f>"2125989906"</f>
        <v>2125989906</v>
      </c>
      <c r="G2780" t="s">
        <v>7588</v>
      </c>
      <c r="H2780" t="s">
        <v>653</v>
      </c>
      <c r="I2780" t="s">
        <v>117</v>
      </c>
      <c r="J2780" t="s">
        <v>7589</v>
      </c>
      <c r="K2780">
        <v>7332</v>
      </c>
      <c r="L2780" t="s">
        <v>23</v>
      </c>
      <c r="M2780" t="s">
        <v>7588</v>
      </c>
      <c r="N2780" t="s">
        <v>653</v>
      </c>
      <c r="O2780" t="s">
        <v>117</v>
      </c>
      <c r="P2780" t="s">
        <v>7589</v>
      </c>
      <c r="Q2780">
        <v>7332</v>
      </c>
      <c r="R2780" t="s">
        <v>23</v>
      </c>
      <c r="S2780" s="1" t="s">
        <v>34218</v>
      </c>
    </row>
    <row r="2781" spans="1:19" x14ac:dyDescent="0.25">
      <c r="A2781">
        <v>100784726</v>
      </c>
      <c r="B2781" t="s">
        <v>7590</v>
      </c>
      <c r="C2781" t="s">
        <v>440</v>
      </c>
      <c r="F2781" t="str">
        <f>"5743125164"</f>
        <v>5743125164</v>
      </c>
      <c r="G2781" t="s">
        <v>7591</v>
      </c>
      <c r="H2781" t="s">
        <v>408</v>
      </c>
      <c r="I2781" t="s">
        <v>57</v>
      </c>
      <c r="J2781" t="s">
        <v>7592</v>
      </c>
      <c r="K2781">
        <v>1268</v>
      </c>
      <c r="L2781" t="s">
        <v>23</v>
      </c>
      <c r="M2781" t="s">
        <v>7591</v>
      </c>
      <c r="N2781" t="s">
        <v>408</v>
      </c>
      <c r="O2781" t="s">
        <v>57</v>
      </c>
      <c r="P2781" t="s">
        <v>7592</v>
      </c>
      <c r="Q2781">
        <v>1268</v>
      </c>
      <c r="R2781" t="s">
        <v>23</v>
      </c>
      <c r="S2781" s="1" t="s">
        <v>34218</v>
      </c>
    </row>
    <row r="2782" spans="1:19" x14ac:dyDescent="0.25">
      <c r="A2782">
        <v>101333612</v>
      </c>
      <c r="B2782" t="s">
        <v>3915</v>
      </c>
      <c r="C2782" t="s">
        <v>7569</v>
      </c>
      <c r="F2782" t="str">
        <f>"6095551111"</f>
        <v>6095551111</v>
      </c>
      <c r="H2782" t="s">
        <v>7593</v>
      </c>
      <c r="I2782" t="s">
        <v>250</v>
      </c>
      <c r="J2782">
        <v>8534</v>
      </c>
      <c r="L2782" t="s">
        <v>23</v>
      </c>
      <c r="N2782" t="s">
        <v>7593</v>
      </c>
      <c r="O2782" t="s">
        <v>250</v>
      </c>
      <c r="P2782">
        <v>8534</v>
      </c>
      <c r="R2782" t="s">
        <v>23</v>
      </c>
      <c r="S2782" s="1" t="s">
        <v>34218</v>
      </c>
    </row>
    <row r="2783" spans="1:19" x14ac:dyDescent="0.25">
      <c r="A2783">
        <v>100917218</v>
      </c>
      <c r="B2783" t="s">
        <v>7594</v>
      </c>
      <c r="C2783" t="s">
        <v>225</v>
      </c>
      <c r="F2783" t="str">
        <f>"2484208696"</f>
        <v>2484208696</v>
      </c>
      <c r="G2783">
        <v>1615</v>
      </c>
      <c r="H2783" t="s">
        <v>7595</v>
      </c>
      <c r="I2783" t="s">
        <v>52</v>
      </c>
      <c r="J2783">
        <v>34689</v>
      </c>
      <c r="L2783" t="s">
        <v>23</v>
      </c>
      <c r="M2783">
        <v>1615</v>
      </c>
      <c r="N2783" t="s">
        <v>7595</v>
      </c>
      <c r="O2783" t="s">
        <v>52</v>
      </c>
      <c r="P2783">
        <v>34689</v>
      </c>
      <c r="R2783" t="s">
        <v>23</v>
      </c>
      <c r="S2783" s="1" t="s">
        <v>34218</v>
      </c>
    </row>
    <row r="2784" spans="1:19" x14ac:dyDescent="0.25">
      <c r="A2784">
        <v>100842344</v>
      </c>
      <c r="B2784" t="s">
        <v>289</v>
      </c>
      <c r="C2784" t="s">
        <v>770</v>
      </c>
      <c r="F2784" t="str">
        <f>"6512018567"</f>
        <v>6512018567</v>
      </c>
      <c r="G2784" t="s">
        <v>7596</v>
      </c>
      <c r="H2784" t="s">
        <v>1405</v>
      </c>
      <c r="I2784" t="s">
        <v>187</v>
      </c>
      <c r="J2784">
        <v>55104</v>
      </c>
      <c r="K2784">
        <v>6016</v>
      </c>
      <c r="L2784" t="s">
        <v>23</v>
      </c>
      <c r="M2784" t="s">
        <v>7596</v>
      </c>
      <c r="N2784" t="s">
        <v>1405</v>
      </c>
      <c r="O2784" t="s">
        <v>187</v>
      </c>
      <c r="P2784">
        <v>55104</v>
      </c>
      <c r="Q2784">
        <v>6016</v>
      </c>
      <c r="R2784" t="s">
        <v>23</v>
      </c>
      <c r="S2784" s="1" t="s">
        <v>34218</v>
      </c>
    </row>
    <row r="2785" spans="1:19" x14ac:dyDescent="0.25">
      <c r="A2785">
        <v>100957793</v>
      </c>
      <c r="B2785" t="s">
        <v>7597</v>
      </c>
      <c r="C2785" t="s">
        <v>7598</v>
      </c>
      <c r="F2785" t="str">
        <f>"6204883883"</f>
        <v>6204883883</v>
      </c>
      <c r="G2785" t="s">
        <v>7599</v>
      </c>
      <c r="H2785" t="s">
        <v>5499</v>
      </c>
      <c r="I2785" t="s">
        <v>241</v>
      </c>
      <c r="J2785">
        <v>67013</v>
      </c>
      <c r="K2785">
        <v>8708</v>
      </c>
      <c r="L2785" t="s">
        <v>23</v>
      </c>
      <c r="M2785" t="s">
        <v>7599</v>
      </c>
      <c r="N2785" t="s">
        <v>5499</v>
      </c>
      <c r="O2785" t="s">
        <v>241</v>
      </c>
      <c r="P2785">
        <v>67013</v>
      </c>
      <c r="Q2785">
        <v>8708</v>
      </c>
      <c r="R2785" t="s">
        <v>23</v>
      </c>
      <c r="S2785" s="1" t="s">
        <v>34218</v>
      </c>
    </row>
    <row r="2786" spans="1:19" x14ac:dyDescent="0.25">
      <c r="A2786">
        <v>101147579</v>
      </c>
      <c r="B2786" t="s">
        <v>1598</v>
      </c>
      <c r="C2786" t="s">
        <v>1157</v>
      </c>
      <c r="F2786" t="str">
        <f>"4403661333"</f>
        <v>4403661333</v>
      </c>
      <c r="G2786" t="s">
        <v>7600</v>
      </c>
      <c r="H2786" t="s">
        <v>7601</v>
      </c>
      <c r="I2786" t="s">
        <v>178</v>
      </c>
      <c r="J2786">
        <v>44035</v>
      </c>
      <c r="K2786">
        <v>3931</v>
      </c>
      <c r="L2786" t="s">
        <v>23</v>
      </c>
      <c r="M2786" t="s">
        <v>7600</v>
      </c>
      <c r="N2786" t="s">
        <v>7601</v>
      </c>
      <c r="O2786" t="s">
        <v>178</v>
      </c>
      <c r="P2786">
        <v>44035</v>
      </c>
      <c r="Q2786">
        <v>3931</v>
      </c>
      <c r="R2786" t="s">
        <v>23</v>
      </c>
      <c r="S2786" s="1" t="s">
        <v>34218</v>
      </c>
    </row>
    <row r="2787" spans="1:19" x14ac:dyDescent="0.25">
      <c r="A2787">
        <v>101167248</v>
      </c>
      <c r="B2787" t="s">
        <v>7602</v>
      </c>
      <c r="C2787" t="s">
        <v>846</v>
      </c>
      <c r="F2787" t="str">
        <f>"2033298093"</f>
        <v>2033298093</v>
      </c>
      <c r="G2787" t="s">
        <v>7603</v>
      </c>
      <c r="H2787" t="s">
        <v>6492</v>
      </c>
      <c r="I2787" t="s">
        <v>161</v>
      </c>
      <c r="J2787">
        <v>6903</v>
      </c>
      <c r="K2787">
        <v>4827</v>
      </c>
      <c r="L2787" t="s">
        <v>23</v>
      </c>
      <c r="M2787" t="s">
        <v>7603</v>
      </c>
      <c r="N2787" t="s">
        <v>6492</v>
      </c>
      <c r="O2787" t="s">
        <v>161</v>
      </c>
      <c r="P2787">
        <v>6903</v>
      </c>
      <c r="Q2787">
        <v>4827</v>
      </c>
      <c r="R2787" t="s">
        <v>23</v>
      </c>
      <c r="S2787" s="1" t="s">
        <v>34218</v>
      </c>
    </row>
    <row r="2788" spans="1:19" x14ac:dyDescent="0.25">
      <c r="A2788">
        <v>101248039</v>
      </c>
      <c r="B2788" t="s">
        <v>7604</v>
      </c>
      <c r="C2788" t="s">
        <v>387</v>
      </c>
      <c r="F2788" t="str">
        <f>"5042822825"</f>
        <v>5042822825</v>
      </c>
      <c r="G2788" t="s">
        <v>7605</v>
      </c>
      <c r="H2788" t="s">
        <v>840</v>
      </c>
      <c r="I2788" t="s">
        <v>153</v>
      </c>
      <c r="J2788">
        <v>70122</v>
      </c>
      <c r="K2788">
        <v>4335</v>
      </c>
      <c r="L2788" t="s">
        <v>23</v>
      </c>
      <c r="M2788" t="s">
        <v>7605</v>
      </c>
      <c r="N2788" t="s">
        <v>840</v>
      </c>
      <c r="O2788" t="s">
        <v>153</v>
      </c>
      <c r="P2788">
        <v>70122</v>
      </c>
      <c r="Q2788">
        <v>4335</v>
      </c>
      <c r="R2788" t="s">
        <v>23</v>
      </c>
      <c r="S2788" s="1" t="s">
        <v>34218</v>
      </c>
    </row>
    <row r="2789" spans="1:19" x14ac:dyDescent="0.25">
      <c r="A2789">
        <v>101253175</v>
      </c>
      <c r="B2789" t="s">
        <v>7606</v>
      </c>
      <c r="C2789" t="s">
        <v>1623</v>
      </c>
      <c r="F2789" t="str">
        <f>"7609947559"</f>
        <v>7609947559</v>
      </c>
      <c r="G2789" t="s">
        <v>7607</v>
      </c>
      <c r="H2789" t="s">
        <v>7608</v>
      </c>
      <c r="I2789" t="s">
        <v>22</v>
      </c>
      <c r="J2789">
        <v>92028</v>
      </c>
      <c r="K2789">
        <v>4223</v>
      </c>
      <c r="L2789" t="s">
        <v>23</v>
      </c>
      <c r="M2789" t="s">
        <v>7607</v>
      </c>
      <c r="N2789" t="s">
        <v>7608</v>
      </c>
      <c r="O2789" t="s">
        <v>22</v>
      </c>
      <c r="P2789">
        <v>92028</v>
      </c>
      <c r="Q2789">
        <v>4223</v>
      </c>
      <c r="R2789" t="s">
        <v>23</v>
      </c>
      <c r="S2789" s="1" t="s">
        <v>34218</v>
      </c>
    </row>
    <row r="2790" spans="1:19" x14ac:dyDescent="0.25">
      <c r="A2790">
        <v>101256034</v>
      </c>
      <c r="B2790" t="s">
        <v>7609</v>
      </c>
      <c r="C2790" t="s">
        <v>7610</v>
      </c>
      <c r="F2790" t="str">
        <f>"7076951729"</f>
        <v>7076951729</v>
      </c>
      <c r="G2790" t="s">
        <v>7611</v>
      </c>
      <c r="H2790" t="s">
        <v>3815</v>
      </c>
      <c r="I2790" t="s">
        <v>22</v>
      </c>
      <c r="J2790">
        <v>94960</v>
      </c>
      <c r="K2790">
        <v>1134</v>
      </c>
      <c r="L2790" t="s">
        <v>23</v>
      </c>
      <c r="M2790" t="s">
        <v>7611</v>
      </c>
      <c r="N2790" t="s">
        <v>3815</v>
      </c>
      <c r="O2790" t="s">
        <v>22</v>
      </c>
      <c r="P2790">
        <v>94960</v>
      </c>
      <c r="Q2790">
        <v>1134</v>
      </c>
      <c r="R2790" t="s">
        <v>23</v>
      </c>
      <c r="S2790" s="1" t="s">
        <v>34218</v>
      </c>
    </row>
    <row r="2791" spans="1:19" x14ac:dyDescent="0.25">
      <c r="A2791">
        <v>100996123</v>
      </c>
      <c r="B2791" t="s">
        <v>7612</v>
      </c>
      <c r="C2791" t="s">
        <v>498</v>
      </c>
      <c r="F2791" t="str">
        <f>"6026861099"</f>
        <v>6026861099</v>
      </c>
      <c r="G2791" t="s">
        <v>7613</v>
      </c>
      <c r="H2791" t="s">
        <v>4150</v>
      </c>
      <c r="I2791" t="s">
        <v>365</v>
      </c>
      <c r="J2791">
        <v>85383</v>
      </c>
      <c r="K2791">
        <v>3160</v>
      </c>
      <c r="L2791" t="s">
        <v>23</v>
      </c>
      <c r="M2791" t="s">
        <v>7613</v>
      </c>
      <c r="N2791" t="s">
        <v>4150</v>
      </c>
      <c r="O2791" t="s">
        <v>365</v>
      </c>
      <c r="P2791">
        <v>85383</v>
      </c>
      <c r="Q2791">
        <v>3160</v>
      </c>
      <c r="R2791" t="s">
        <v>23</v>
      </c>
      <c r="S2791" s="1" t="s">
        <v>34218</v>
      </c>
    </row>
    <row r="2792" spans="1:19" x14ac:dyDescent="0.25">
      <c r="A2792">
        <v>101205861</v>
      </c>
      <c r="B2792" t="s">
        <v>7614</v>
      </c>
      <c r="C2792" t="s">
        <v>7615</v>
      </c>
      <c r="F2792" t="str">
        <f>"5035555555"</f>
        <v>5035555555</v>
      </c>
      <c r="G2792" t="s">
        <v>7616</v>
      </c>
      <c r="H2792" t="s">
        <v>227</v>
      </c>
      <c r="I2792" t="s">
        <v>43</v>
      </c>
      <c r="J2792">
        <v>97223</v>
      </c>
      <c r="K2792">
        <v>6828</v>
      </c>
      <c r="L2792" t="s">
        <v>23</v>
      </c>
      <c r="M2792" t="s">
        <v>7616</v>
      </c>
      <c r="N2792" t="s">
        <v>227</v>
      </c>
      <c r="O2792" t="s">
        <v>43</v>
      </c>
      <c r="P2792">
        <v>97223</v>
      </c>
      <c r="Q2792">
        <v>6828</v>
      </c>
      <c r="R2792" t="s">
        <v>23</v>
      </c>
      <c r="S2792" s="1" t="s">
        <v>34218</v>
      </c>
    </row>
    <row r="2793" spans="1:19" x14ac:dyDescent="0.25">
      <c r="A2793">
        <v>101212284</v>
      </c>
      <c r="B2793" t="s">
        <v>7617</v>
      </c>
      <c r="C2793" t="s">
        <v>123</v>
      </c>
      <c r="F2793" t="str">
        <f>"2676872288"</f>
        <v>2676872288</v>
      </c>
      <c r="G2793" t="s">
        <v>7618</v>
      </c>
      <c r="H2793" t="s">
        <v>573</v>
      </c>
      <c r="I2793" t="s">
        <v>33</v>
      </c>
      <c r="J2793">
        <v>19103</v>
      </c>
      <c r="K2793">
        <v>1433</v>
      </c>
      <c r="L2793" t="s">
        <v>23</v>
      </c>
      <c r="M2793" t="s">
        <v>7618</v>
      </c>
      <c r="N2793" t="s">
        <v>573</v>
      </c>
      <c r="O2793" t="s">
        <v>33</v>
      </c>
      <c r="P2793">
        <v>19103</v>
      </c>
      <c r="Q2793">
        <v>1433</v>
      </c>
      <c r="R2793" t="s">
        <v>23</v>
      </c>
      <c r="S2793" s="1" t="s">
        <v>34218</v>
      </c>
    </row>
    <row r="2794" spans="1:19" x14ac:dyDescent="0.25">
      <c r="A2794">
        <v>101217573</v>
      </c>
      <c r="B2794" t="s">
        <v>7619</v>
      </c>
      <c r="C2794" t="s">
        <v>7620</v>
      </c>
      <c r="F2794" t="str">
        <f>"7073829440"</f>
        <v>7073829440</v>
      </c>
      <c r="G2794" t="s">
        <v>7621</v>
      </c>
      <c r="H2794" t="s">
        <v>7622</v>
      </c>
      <c r="I2794" t="s">
        <v>22</v>
      </c>
      <c r="J2794">
        <v>95519</v>
      </c>
      <c r="K2794">
        <v>8168</v>
      </c>
      <c r="L2794" t="s">
        <v>23</v>
      </c>
      <c r="M2794" t="s">
        <v>7621</v>
      </c>
      <c r="N2794" t="s">
        <v>7622</v>
      </c>
      <c r="O2794" t="s">
        <v>22</v>
      </c>
      <c r="P2794">
        <v>95519</v>
      </c>
      <c r="Q2794">
        <v>8168</v>
      </c>
      <c r="R2794" t="s">
        <v>23</v>
      </c>
      <c r="S2794" s="1" t="s">
        <v>34218</v>
      </c>
    </row>
    <row r="2795" spans="1:19" x14ac:dyDescent="0.25">
      <c r="A2795">
        <v>100888760</v>
      </c>
      <c r="B2795" t="s">
        <v>2804</v>
      </c>
      <c r="C2795" t="s">
        <v>1069</v>
      </c>
      <c r="F2795" t="str">
        <f>"2084677234"</f>
        <v>2084677234</v>
      </c>
      <c r="G2795">
        <v>12</v>
      </c>
      <c r="H2795" t="s">
        <v>347</v>
      </c>
      <c r="I2795" t="s">
        <v>348</v>
      </c>
      <c r="J2795">
        <v>83686</v>
      </c>
      <c r="L2795" t="s">
        <v>23</v>
      </c>
      <c r="M2795">
        <v>12</v>
      </c>
      <c r="N2795" t="s">
        <v>347</v>
      </c>
      <c r="O2795" t="s">
        <v>348</v>
      </c>
      <c r="P2795">
        <v>83686</v>
      </c>
      <c r="R2795" t="s">
        <v>23</v>
      </c>
      <c r="S2795" s="1" t="s">
        <v>34218</v>
      </c>
    </row>
    <row r="2796" spans="1:19" x14ac:dyDescent="0.25">
      <c r="A2796">
        <v>100528712</v>
      </c>
      <c r="B2796" t="s">
        <v>7623</v>
      </c>
      <c r="C2796" t="s">
        <v>7624</v>
      </c>
      <c r="F2796" t="str">
        <f>"9518018123"</f>
        <v>9518018123</v>
      </c>
      <c r="G2796" t="s">
        <v>7625</v>
      </c>
      <c r="H2796" t="s">
        <v>461</v>
      </c>
      <c r="I2796" t="s">
        <v>22</v>
      </c>
      <c r="J2796">
        <v>92508</v>
      </c>
      <c r="K2796">
        <v>5084</v>
      </c>
      <c r="L2796" t="s">
        <v>23</v>
      </c>
      <c r="M2796" t="s">
        <v>7625</v>
      </c>
      <c r="N2796" t="s">
        <v>461</v>
      </c>
      <c r="O2796" t="s">
        <v>22</v>
      </c>
      <c r="P2796">
        <v>92508</v>
      </c>
      <c r="Q2796">
        <v>5084</v>
      </c>
      <c r="R2796" t="s">
        <v>23</v>
      </c>
      <c r="S2796" s="1" t="s">
        <v>34218</v>
      </c>
    </row>
    <row r="2797" spans="1:19" x14ac:dyDescent="0.25">
      <c r="A2797">
        <v>101269565</v>
      </c>
      <c r="B2797" t="s">
        <v>7626</v>
      </c>
      <c r="C2797" t="s">
        <v>699</v>
      </c>
      <c r="F2797" t="str">
        <f>"3472350029"</f>
        <v>3472350029</v>
      </c>
      <c r="G2797" t="s">
        <v>7627</v>
      </c>
      <c r="H2797" t="s">
        <v>7628</v>
      </c>
      <c r="I2797" t="s">
        <v>117</v>
      </c>
      <c r="J2797">
        <v>11357</v>
      </c>
      <c r="L2797" t="s">
        <v>23</v>
      </c>
      <c r="M2797" t="s">
        <v>7627</v>
      </c>
      <c r="N2797" t="s">
        <v>7628</v>
      </c>
      <c r="O2797" t="s">
        <v>117</v>
      </c>
      <c r="P2797">
        <v>11357</v>
      </c>
      <c r="R2797" t="s">
        <v>23</v>
      </c>
      <c r="S2797" s="1" t="s">
        <v>34218</v>
      </c>
    </row>
    <row r="2798" spans="1:19" x14ac:dyDescent="0.25">
      <c r="A2798">
        <v>100977596</v>
      </c>
      <c r="B2798" t="s">
        <v>7629</v>
      </c>
      <c r="C2798" t="s">
        <v>535</v>
      </c>
      <c r="F2798" t="str">
        <f>"7033541337"</f>
        <v>7033541337</v>
      </c>
      <c r="H2798" t="s">
        <v>7630</v>
      </c>
      <c r="I2798" t="s">
        <v>255</v>
      </c>
      <c r="J2798">
        <v>22041</v>
      </c>
      <c r="L2798" t="s">
        <v>23</v>
      </c>
      <c r="N2798" t="s">
        <v>7630</v>
      </c>
      <c r="O2798" t="s">
        <v>255</v>
      </c>
      <c r="P2798">
        <v>22041</v>
      </c>
      <c r="R2798" t="s">
        <v>23</v>
      </c>
      <c r="S2798" s="1" t="s">
        <v>34218</v>
      </c>
    </row>
    <row r="2799" spans="1:19" x14ac:dyDescent="0.25">
      <c r="A2799">
        <v>100833541</v>
      </c>
      <c r="B2799" t="s">
        <v>7631</v>
      </c>
      <c r="C2799" t="s">
        <v>102</v>
      </c>
      <c r="F2799" t="str">
        <f>"3477320959"</f>
        <v>3477320959</v>
      </c>
      <c r="G2799" t="s">
        <v>7632</v>
      </c>
      <c r="H2799" t="s">
        <v>6192</v>
      </c>
      <c r="I2799" t="s">
        <v>117</v>
      </c>
      <c r="J2799" t="s">
        <v>7633</v>
      </c>
      <c r="K2799">
        <v>2373</v>
      </c>
      <c r="L2799" t="s">
        <v>23</v>
      </c>
      <c r="M2799" t="s">
        <v>7632</v>
      </c>
      <c r="N2799" t="s">
        <v>6192</v>
      </c>
      <c r="O2799" t="s">
        <v>117</v>
      </c>
      <c r="P2799" t="s">
        <v>7633</v>
      </c>
      <c r="Q2799">
        <v>2373</v>
      </c>
      <c r="R2799" t="s">
        <v>23</v>
      </c>
      <c r="S2799" s="1" t="s">
        <v>34218</v>
      </c>
    </row>
    <row r="2800" spans="1:19" x14ac:dyDescent="0.25">
      <c r="A2800">
        <v>100705379</v>
      </c>
      <c r="B2800" t="s">
        <v>34</v>
      </c>
      <c r="C2800" t="s">
        <v>132</v>
      </c>
      <c r="F2800" t="str">
        <f>"5086366190"</f>
        <v>5086366190</v>
      </c>
      <c r="G2800" t="s">
        <v>7634</v>
      </c>
      <c r="H2800" t="s">
        <v>7635</v>
      </c>
      <c r="I2800" t="s">
        <v>236</v>
      </c>
      <c r="J2800" t="s">
        <v>7636</v>
      </c>
      <c r="K2800">
        <v>9112</v>
      </c>
      <c r="L2800" t="s">
        <v>23</v>
      </c>
      <c r="M2800" t="s">
        <v>7634</v>
      </c>
      <c r="N2800" t="s">
        <v>7635</v>
      </c>
      <c r="O2800" t="s">
        <v>236</v>
      </c>
      <c r="P2800" t="s">
        <v>7636</v>
      </c>
      <c r="Q2800">
        <v>9112</v>
      </c>
      <c r="R2800" t="s">
        <v>23</v>
      </c>
      <c r="S2800" s="1" t="s">
        <v>34218</v>
      </c>
    </row>
    <row r="2801" spans="1:19" x14ac:dyDescent="0.25">
      <c r="A2801">
        <v>101293336</v>
      </c>
      <c r="B2801" t="s">
        <v>7637</v>
      </c>
      <c r="C2801" t="s">
        <v>890</v>
      </c>
      <c r="F2801" t="str">
        <f>"2165555555"</f>
        <v>2165555555</v>
      </c>
      <c r="G2801" t="s">
        <v>7638</v>
      </c>
      <c r="H2801" t="s">
        <v>4326</v>
      </c>
      <c r="I2801" t="s">
        <v>178</v>
      </c>
      <c r="J2801">
        <v>44107</v>
      </c>
      <c r="K2801">
        <v>2308</v>
      </c>
      <c r="L2801" t="s">
        <v>23</v>
      </c>
      <c r="M2801" t="s">
        <v>7638</v>
      </c>
      <c r="N2801" t="s">
        <v>4326</v>
      </c>
      <c r="O2801" t="s">
        <v>178</v>
      </c>
      <c r="P2801">
        <v>44107</v>
      </c>
      <c r="Q2801">
        <v>2308</v>
      </c>
      <c r="R2801" t="s">
        <v>23</v>
      </c>
      <c r="S2801" s="1" t="s">
        <v>34218</v>
      </c>
    </row>
    <row r="2802" spans="1:19" x14ac:dyDescent="0.25">
      <c r="A2802">
        <v>101294482</v>
      </c>
      <c r="B2802" t="s">
        <v>29</v>
      </c>
      <c r="C2802" t="s">
        <v>554</v>
      </c>
      <c r="F2802" t="str">
        <f>"7074645623"</f>
        <v>7074645623</v>
      </c>
      <c r="G2802" t="s">
        <v>7639</v>
      </c>
      <c r="H2802" t="s">
        <v>7640</v>
      </c>
      <c r="I2802" t="s">
        <v>22</v>
      </c>
      <c r="J2802">
        <v>95531</v>
      </c>
      <c r="K2802">
        <v>3652</v>
      </c>
      <c r="L2802" t="s">
        <v>23</v>
      </c>
      <c r="M2802" t="s">
        <v>7639</v>
      </c>
      <c r="N2802" t="s">
        <v>7640</v>
      </c>
      <c r="O2802" t="s">
        <v>22</v>
      </c>
      <c r="P2802">
        <v>95531</v>
      </c>
      <c r="Q2802">
        <v>3652</v>
      </c>
      <c r="R2802" t="s">
        <v>23</v>
      </c>
      <c r="S2802" s="1" t="s">
        <v>34218</v>
      </c>
    </row>
    <row r="2803" spans="1:19" x14ac:dyDescent="0.25">
      <c r="A2803">
        <v>100861711</v>
      </c>
      <c r="B2803" t="s">
        <v>3828</v>
      </c>
      <c r="C2803" t="s">
        <v>410</v>
      </c>
      <c r="F2803" t="str">
        <f>"7575651942"</f>
        <v>7575651942</v>
      </c>
      <c r="G2803" t="s">
        <v>7641</v>
      </c>
      <c r="H2803" t="s">
        <v>7642</v>
      </c>
      <c r="I2803" t="s">
        <v>255</v>
      </c>
      <c r="J2803">
        <v>23188</v>
      </c>
      <c r="K2803">
        <v>9216</v>
      </c>
      <c r="L2803" t="s">
        <v>23</v>
      </c>
      <c r="M2803" t="s">
        <v>7641</v>
      </c>
      <c r="N2803" t="s">
        <v>7642</v>
      </c>
      <c r="O2803" t="s">
        <v>255</v>
      </c>
      <c r="P2803">
        <v>23188</v>
      </c>
      <c r="Q2803">
        <v>9216</v>
      </c>
      <c r="R2803" t="s">
        <v>23</v>
      </c>
      <c r="S2803" s="1" t="s">
        <v>34218</v>
      </c>
    </row>
    <row r="2804" spans="1:19" x14ac:dyDescent="0.25">
      <c r="A2804">
        <v>101091506</v>
      </c>
      <c r="B2804" t="s">
        <v>7643</v>
      </c>
      <c r="C2804" t="s">
        <v>274</v>
      </c>
      <c r="F2804" t="str">
        <f>"5597657640"</f>
        <v>5597657640</v>
      </c>
      <c r="G2804" t="s">
        <v>7644</v>
      </c>
      <c r="H2804" t="s">
        <v>7645</v>
      </c>
      <c r="I2804" t="s">
        <v>22</v>
      </c>
      <c r="J2804">
        <v>93667</v>
      </c>
      <c r="K2804">
        <v>9506</v>
      </c>
      <c r="L2804" t="s">
        <v>23</v>
      </c>
      <c r="M2804" t="s">
        <v>7644</v>
      </c>
      <c r="N2804" t="s">
        <v>7645</v>
      </c>
      <c r="O2804" t="s">
        <v>22</v>
      </c>
      <c r="P2804">
        <v>93667</v>
      </c>
      <c r="Q2804">
        <v>9506</v>
      </c>
      <c r="R2804" t="s">
        <v>23</v>
      </c>
      <c r="S2804" s="1" t="s">
        <v>34218</v>
      </c>
    </row>
    <row r="2805" spans="1:19" x14ac:dyDescent="0.25">
      <c r="A2805">
        <v>101306419</v>
      </c>
      <c r="B2805" t="s">
        <v>744</v>
      </c>
      <c r="C2805" t="s">
        <v>1179</v>
      </c>
      <c r="F2805" t="str">
        <f>"8108209468"</f>
        <v>8108209468</v>
      </c>
      <c r="G2805" t="s">
        <v>7646</v>
      </c>
      <c r="H2805" t="s">
        <v>3852</v>
      </c>
      <c r="I2805" t="s">
        <v>140</v>
      </c>
      <c r="J2805">
        <v>48439</v>
      </c>
      <c r="K2805">
        <v>1912</v>
      </c>
      <c r="L2805" t="s">
        <v>23</v>
      </c>
      <c r="M2805" t="s">
        <v>7646</v>
      </c>
      <c r="N2805" t="s">
        <v>3852</v>
      </c>
      <c r="O2805" t="s">
        <v>140</v>
      </c>
      <c r="P2805">
        <v>48439</v>
      </c>
      <c r="Q2805">
        <v>1912</v>
      </c>
      <c r="R2805" t="s">
        <v>23</v>
      </c>
      <c r="S2805" s="1" t="s">
        <v>34218</v>
      </c>
    </row>
    <row r="2806" spans="1:19" x14ac:dyDescent="0.25">
      <c r="A2806">
        <v>101133127</v>
      </c>
      <c r="B2806" t="s">
        <v>7647</v>
      </c>
      <c r="C2806" t="s">
        <v>180</v>
      </c>
      <c r="F2806" t="str">
        <f>"3177868992"</f>
        <v>3177868992</v>
      </c>
      <c r="G2806" t="s">
        <v>7648</v>
      </c>
      <c r="H2806" t="s">
        <v>7649</v>
      </c>
      <c r="I2806" t="s">
        <v>57</v>
      </c>
      <c r="J2806">
        <v>46203</v>
      </c>
      <c r="K2806">
        <v>5113</v>
      </c>
      <c r="L2806" t="s">
        <v>23</v>
      </c>
      <c r="M2806" t="s">
        <v>7648</v>
      </c>
      <c r="N2806" t="s">
        <v>7649</v>
      </c>
      <c r="O2806" t="s">
        <v>57</v>
      </c>
      <c r="P2806">
        <v>46203</v>
      </c>
      <c r="Q2806">
        <v>5113</v>
      </c>
      <c r="R2806" t="s">
        <v>23</v>
      </c>
      <c r="S2806" s="1" t="s">
        <v>34218</v>
      </c>
    </row>
    <row r="2807" spans="1:19" x14ac:dyDescent="0.25">
      <c r="A2807">
        <v>101131722</v>
      </c>
      <c r="B2807" t="s">
        <v>7650</v>
      </c>
      <c r="C2807" t="s">
        <v>4624</v>
      </c>
      <c r="F2807" t="str">
        <f>"9702211517"</f>
        <v>9702211517</v>
      </c>
      <c r="G2807" t="s">
        <v>7651</v>
      </c>
      <c r="H2807" t="s">
        <v>2399</v>
      </c>
      <c r="I2807" t="s">
        <v>71</v>
      </c>
      <c r="J2807">
        <v>80524</v>
      </c>
      <c r="K2807">
        <v>1517</v>
      </c>
      <c r="L2807" t="s">
        <v>23</v>
      </c>
      <c r="M2807" t="s">
        <v>7651</v>
      </c>
      <c r="N2807" t="s">
        <v>2399</v>
      </c>
      <c r="O2807" t="s">
        <v>71</v>
      </c>
      <c r="P2807">
        <v>80524</v>
      </c>
      <c r="Q2807">
        <v>1517</v>
      </c>
      <c r="R2807" t="s">
        <v>23</v>
      </c>
      <c r="S2807" s="1" t="s">
        <v>34218</v>
      </c>
    </row>
    <row r="2808" spans="1:19" x14ac:dyDescent="0.25">
      <c r="A2808">
        <v>101383331</v>
      </c>
      <c r="B2808" t="s">
        <v>7652</v>
      </c>
      <c r="C2808" t="s">
        <v>6153</v>
      </c>
      <c r="F2808" t="str">
        <f>"3206304170"</f>
        <v>3206304170</v>
      </c>
      <c r="G2808" t="s">
        <v>7653</v>
      </c>
      <c r="H2808" t="s">
        <v>7654</v>
      </c>
      <c r="I2808" t="s">
        <v>187</v>
      </c>
      <c r="J2808">
        <v>56373</v>
      </c>
      <c r="K2808">
        <v>4562</v>
      </c>
      <c r="L2808" t="s">
        <v>23</v>
      </c>
      <c r="M2808" t="s">
        <v>7653</v>
      </c>
      <c r="N2808" t="s">
        <v>7654</v>
      </c>
      <c r="O2808" t="s">
        <v>187</v>
      </c>
      <c r="P2808">
        <v>56373</v>
      </c>
      <c r="Q2808">
        <v>4562</v>
      </c>
      <c r="R2808" t="s">
        <v>23</v>
      </c>
      <c r="S2808" s="1" t="s">
        <v>34218</v>
      </c>
    </row>
    <row r="2809" spans="1:19" x14ac:dyDescent="0.25">
      <c r="A2809">
        <v>101370726</v>
      </c>
      <c r="B2809" t="s">
        <v>1911</v>
      </c>
      <c r="C2809" t="s">
        <v>810</v>
      </c>
      <c r="F2809" t="str">
        <f>"7605225931"</f>
        <v>7605225931</v>
      </c>
      <c r="G2809" t="s">
        <v>7655</v>
      </c>
      <c r="H2809" t="s">
        <v>4349</v>
      </c>
      <c r="I2809" t="s">
        <v>22</v>
      </c>
      <c r="J2809">
        <v>92029</v>
      </c>
      <c r="K2809">
        <v>4307</v>
      </c>
      <c r="L2809" t="s">
        <v>23</v>
      </c>
      <c r="M2809" t="s">
        <v>7655</v>
      </c>
      <c r="N2809" t="s">
        <v>4349</v>
      </c>
      <c r="O2809" t="s">
        <v>22</v>
      </c>
      <c r="P2809">
        <v>92029</v>
      </c>
      <c r="Q2809">
        <v>4307</v>
      </c>
      <c r="R2809" t="s">
        <v>23</v>
      </c>
      <c r="S2809" s="1" t="s">
        <v>34218</v>
      </c>
    </row>
    <row r="2810" spans="1:19" x14ac:dyDescent="0.25">
      <c r="A2810">
        <v>101110469</v>
      </c>
      <c r="B2810" t="s">
        <v>7656</v>
      </c>
      <c r="C2810" t="s">
        <v>1157</v>
      </c>
      <c r="F2810" t="str">
        <f>"2397310731"</f>
        <v>2397310731</v>
      </c>
      <c r="G2810" t="s">
        <v>7657</v>
      </c>
      <c r="H2810" t="s">
        <v>7658</v>
      </c>
      <c r="I2810" t="s">
        <v>662</v>
      </c>
      <c r="J2810">
        <v>2916</v>
      </c>
      <c r="K2810">
        <v>3374</v>
      </c>
      <c r="L2810" t="s">
        <v>23</v>
      </c>
      <c r="M2810" t="s">
        <v>7657</v>
      </c>
      <c r="N2810" t="s">
        <v>7658</v>
      </c>
      <c r="O2810" t="s">
        <v>662</v>
      </c>
      <c r="P2810">
        <v>2916</v>
      </c>
      <c r="Q2810">
        <v>3374</v>
      </c>
      <c r="R2810" t="s">
        <v>23</v>
      </c>
      <c r="S2810" s="1" t="s">
        <v>34218</v>
      </c>
    </row>
    <row r="2811" spans="1:19" x14ac:dyDescent="0.25">
      <c r="A2811">
        <v>101175916</v>
      </c>
      <c r="B2811" t="s">
        <v>199</v>
      </c>
      <c r="C2811" t="s">
        <v>266</v>
      </c>
      <c r="F2811" t="str">
        <f>"5419235227"</f>
        <v>5419235227</v>
      </c>
      <c r="G2811" t="s">
        <v>7659</v>
      </c>
      <c r="H2811" t="s">
        <v>7660</v>
      </c>
      <c r="I2811" t="s">
        <v>43</v>
      </c>
      <c r="J2811">
        <v>97759</v>
      </c>
      <c r="K2811">
        <v>9728</v>
      </c>
      <c r="L2811" t="s">
        <v>23</v>
      </c>
      <c r="M2811" t="s">
        <v>7659</v>
      </c>
      <c r="N2811" t="s">
        <v>7660</v>
      </c>
      <c r="O2811" t="s">
        <v>43</v>
      </c>
      <c r="P2811">
        <v>97759</v>
      </c>
      <c r="Q2811">
        <v>9728</v>
      </c>
      <c r="R2811" t="s">
        <v>23</v>
      </c>
      <c r="S2811" s="1" t="s">
        <v>34218</v>
      </c>
    </row>
    <row r="2812" spans="1:19" x14ac:dyDescent="0.25">
      <c r="A2812">
        <v>100699904</v>
      </c>
      <c r="B2812" t="s">
        <v>744</v>
      </c>
      <c r="C2812" t="s">
        <v>579</v>
      </c>
      <c r="F2812" t="str">
        <f>"4152345678"</f>
        <v>4152345678</v>
      </c>
      <c r="G2812" t="s">
        <v>7661</v>
      </c>
      <c r="H2812" t="s">
        <v>6611</v>
      </c>
      <c r="I2812" t="s">
        <v>22</v>
      </c>
      <c r="J2812" t="s">
        <v>7662</v>
      </c>
      <c r="K2812">
        <v>1316</v>
      </c>
      <c r="L2812" t="s">
        <v>23</v>
      </c>
      <c r="M2812" t="s">
        <v>7661</v>
      </c>
      <c r="N2812" t="s">
        <v>6611</v>
      </c>
      <c r="O2812" t="s">
        <v>22</v>
      </c>
      <c r="P2812" t="s">
        <v>7662</v>
      </c>
      <c r="Q2812">
        <v>1316</v>
      </c>
      <c r="R2812" t="s">
        <v>23</v>
      </c>
      <c r="S2812" s="1" t="s">
        <v>34218</v>
      </c>
    </row>
    <row r="2813" spans="1:19" x14ac:dyDescent="0.25">
      <c r="A2813">
        <v>100593045</v>
      </c>
      <c r="B2813" t="s">
        <v>7663</v>
      </c>
      <c r="C2813" t="s">
        <v>1623</v>
      </c>
      <c r="F2813" t="str">
        <f>"9202666710"</f>
        <v>9202666710</v>
      </c>
      <c r="G2813" t="s">
        <v>7664</v>
      </c>
      <c r="H2813" t="s">
        <v>694</v>
      </c>
      <c r="I2813" t="s">
        <v>135</v>
      </c>
      <c r="J2813" t="s">
        <v>7665</v>
      </c>
      <c r="K2813">
        <v>6261</v>
      </c>
      <c r="L2813" t="s">
        <v>23</v>
      </c>
      <c r="M2813" t="s">
        <v>7664</v>
      </c>
      <c r="N2813" t="s">
        <v>694</v>
      </c>
      <c r="O2813" t="s">
        <v>135</v>
      </c>
      <c r="P2813" t="s">
        <v>7665</v>
      </c>
      <c r="Q2813">
        <v>6261</v>
      </c>
      <c r="R2813" t="s">
        <v>23</v>
      </c>
      <c r="S2813" s="1" t="s">
        <v>34218</v>
      </c>
    </row>
    <row r="2814" spans="1:19" x14ac:dyDescent="0.25">
      <c r="A2814">
        <v>101292374</v>
      </c>
      <c r="B2814" t="s">
        <v>7666</v>
      </c>
      <c r="C2814" t="s">
        <v>7667</v>
      </c>
      <c r="F2814" t="str">
        <f>"8509801006"</f>
        <v>8509801006</v>
      </c>
      <c r="G2814" t="s">
        <v>7668</v>
      </c>
      <c r="H2814" t="s">
        <v>7669</v>
      </c>
      <c r="I2814" t="s">
        <v>28</v>
      </c>
      <c r="J2814">
        <v>31768</v>
      </c>
      <c r="K2814">
        <v>6791</v>
      </c>
      <c r="L2814" t="s">
        <v>23</v>
      </c>
      <c r="M2814" t="s">
        <v>7668</v>
      </c>
      <c r="N2814" t="s">
        <v>7669</v>
      </c>
      <c r="O2814" t="s">
        <v>28</v>
      </c>
      <c r="P2814">
        <v>31768</v>
      </c>
      <c r="Q2814">
        <v>6791</v>
      </c>
      <c r="R2814" t="s">
        <v>23</v>
      </c>
      <c r="S2814" s="1" t="s">
        <v>34218</v>
      </c>
    </row>
    <row r="2815" spans="1:19" x14ac:dyDescent="0.25">
      <c r="A2815">
        <v>101295384</v>
      </c>
      <c r="B2815" t="s">
        <v>2429</v>
      </c>
      <c r="C2815" t="s">
        <v>410</v>
      </c>
      <c r="F2815" t="str">
        <f>"4153812941"</f>
        <v>4153812941</v>
      </c>
      <c r="G2815" t="s">
        <v>7670</v>
      </c>
      <c r="H2815" t="s">
        <v>1535</v>
      </c>
      <c r="I2815" t="s">
        <v>22</v>
      </c>
      <c r="J2815">
        <v>94941</v>
      </c>
      <c r="K2815">
        <v>2074</v>
      </c>
      <c r="L2815" t="s">
        <v>23</v>
      </c>
      <c r="M2815" t="s">
        <v>7670</v>
      </c>
      <c r="N2815" t="s">
        <v>1535</v>
      </c>
      <c r="O2815" t="s">
        <v>22</v>
      </c>
      <c r="P2815">
        <v>94941</v>
      </c>
      <c r="Q2815">
        <v>2074</v>
      </c>
      <c r="R2815" t="s">
        <v>23</v>
      </c>
      <c r="S2815" s="1" t="s">
        <v>34218</v>
      </c>
    </row>
    <row r="2816" spans="1:19" x14ac:dyDescent="0.25">
      <c r="A2816">
        <v>100993434</v>
      </c>
      <c r="B2816" t="s">
        <v>654</v>
      </c>
      <c r="C2816" t="s">
        <v>1506</v>
      </c>
      <c r="F2816" t="str">
        <f>"8172194808"</f>
        <v>8172194808</v>
      </c>
      <c r="G2816" t="s">
        <v>7671</v>
      </c>
      <c r="H2816" t="s">
        <v>7672</v>
      </c>
      <c r="I2816" t="s">
        <v>38</v>
      </c>
      <c r="J2816">
        <v>76476</v>
      </c>
      <c r="K2816">
        <v>6917</v>
      </c>
      <c r="L2816" t="s">
        <v>23</v>
      </c>
      <c r="M2816" t="s">
        <v>7671</v>
      </c>
      <c r="N2816" t="s">
        <v>7672</v>
      </c>
      <c r="O2816" t="s">
        <v>38</v>
      </c>
      <c r="P2816">
        <v>76476</v>
      </c>
      <c r="Q2816">
        <v>6917</v>
      </c>
      <c r="R2816" t="s">
        <v>23</v>
      </c>
      <c r="S2816" s="1" t="s">
        <v>34218</v>
      </c>
    </row>
    <row r="2817" spans="1:19" x14ac:dyDescent="0.25">
      <c r="A2817">
        <v>101410764</v>
      </c>
      <c r="B2817" t="s">
        <v>3386</v>
      </c>
      <c r="C2817" t="s">
        <v>81</v>
      </c>
      <c r="F2817" t="str">
        <f>"5094292224"</f>
        <v>5094292224</v>
      </c>
      <c r="G2817" t="s">
        <v>7673</v>
      </c>
      <c r="H2817" t="s">
        <v>7674</v>
      </c>
      <c r="I2817" t="s">
        <v>84</v>
      </c>
      <c r="J2817">
        <v>98855</v>
      </c>
      <c r="K2817">
        <v>705</v>
      </c>
      <c r="L2817" t="s">
        <v>23</v>
      </c>
      <c r="M2817" t="s">
        <v>7673</v>
      </c>
      <c r="N2817" t="s">
        <v>7674</v>
      </c>
      <c r="O2817" t="s">
        <v>84</v>
      </c>
      <c r="P2817">
        <v>98855</v>
      </c>
      <c r="Q2817">
        <v>705</v>
      </c>
      <c r="R2817" t="s">
        <v>23</v>
      </c>
      <c r="S2817" s="1" t="s">
        <v>34218</v>
      </c>
    </row>
    <row r="2818" spans="1:19" x14ac:dyDescent="0.25">
      <c r="A2818">
        <v>101417152</v>
      </c>
      <c r="B2818" t="s">
        <v>7675</v>
      </c>
      <c r="C2818" t="s">
        <v>25</v>
      </c>
      <c r="F2818" t="str">
        <f>"2125295621"</f>
        <v>2125295621</v>
      </c>
      <c r="G2818" t="s">
        <v>7676</v>
      </c>
      <c r="H2818" t="s">
        <v>653</v>
      </c>
      <c r="I2818" t="s">
        <v>117</v>
      </c>
      <c r="J2818">
        <v>10002</v>
      </c>
      <c r="K2818">
        <v>4103</v>
      </c>
      <c r="L2818" t="s">
        <v>23</v>
      </c>
      <c r="M2818" t="s">
        <v>7676</v>
      </c>
      <c r="N2818" t="s">
        <v>653</v>
      </c>
      <c r="O2818" t="s">
        <v>117</v>
      </c>
      <c r="P2818">
        <v>10002</v>
      </c>
      <c r="Q2818">
        <v>4103</v>
      </c>
      <c r="R2818" t="s">
        <v>23</v>
      </c>
      <c r="S2818" s="1" t="s">
        <v>34218</v>
      </c>
    </row>
    <row r="2819" spans="1:19" x14ac:dyDescent="0.25">
      <c r="A2819">
        <v>101174805</v>
      </c>
      <c r="B2819" t="s">
        <v>7677</v>
      </c>
      <c r="C2819" t="s">
        <v>7678</v>
      </c>
      <c r="F2819" t="str">
        <f>"5106443646"</f>
        <v>5106443646</v>
      </c>
      <c r="G2819" t="s">
        <v>7679</v>
      </c>
      <c r="H2819" t="s">
        <v>840</v>
      </c>
      <c r="I2819" t="s">
        <v>153</v>
      </c>
      <c r="J2819">
        <v>70116</v>
      </c>
      <c r="K2819">
        <v>1452</v>
      </c>
      <c r="L2819" t="s">
        <v>23</v>
      </c>
      <c r="M2819" t="s">
        <v>7679</v>
      </c>
      <c r="N2819" t="s">
        <v>840</v>
      </c>
      <c r="O2819" t="s">
        <v>153</v>
      </c>
      <c r="P2819">
        <v>70116</v>
      </c>
      <c r="Q2819">
        <v>1452</v>
      </c>
      <c r="R2819" t="s">
        <v>23</v>
      </c>
      <c r="S2819" s="1" t="s">
        <v>34218</v>
      </c>
    </row>
    <row r="2820" spans="1:19" x14ac:dyDescent="0.25">
      <c r="A2820">
        <v>100818108</v>
      </c>
      <c r="B2820" t="s">
        <v>7680</v>
      </c>
      <c r="C2820" t="s">
        <v>123</v>
      </c>
      <c r="F2820" t="str">
        <f>"5109811873"</f>
        <v>5109811873</v>
      </c>
      <c r="G2820" t="s">
        <v>7681</v>
      </c>
      <c r="H2820" t="s">
        <v>3498</v>
      </c>
      <c r="I2820" t="s">
        <v>43</v>
      </c>
      <c r="J2820">
        <v>97330</v>
      </c>
      <c r="K2820">
        <v>3643</v>
      </c>
      <c r="L2820" t="s">
        <v>23</v>
      </c>
      <c r="M2820" t="s">
        <v>7681</v>
      </c>
      <c r="N2820" t="s">
        <v>3498</v>
      </c>
      <c r="O2820" t="s">
        <v>43</v>
      </c>
      <c r="P2820">
        <v>97330</v>
      </c>
      <c r="Q2820">
        <v>3643</v>
      </c>
      <c r="R2820" t="s">
        <v>23</v>
      </c>
      <c r="S2820" s="1" t="s">
        <v>34218</v>
      </c>
    </row>
    <row r="2821" spans="1:19" x14ac:dyDescent="0.25">
      <c r="A2821">
        <v>101249237</v>
      </c>
      <c r="B2821" t="s">
        <v>7682</v>
      </c>
      <c r="C2821" t="s">
        <v>7683</v>
      </c>
      <c r="F2821" t="str">
        <f>"7602586408"</f>
        <v>7602586408</v>
      </c>
      <c r="G2821" t="s">
        <v>7684</v>
      </c>
      <c r="H2821" t="s">
        <v>2338</v>
      </c>
      <c r="I2821" t="s">
        <v>22</v>
      </c>
      <c r="J2821">
        <v>93546</v>
      </c>
      <c r="K2821">
        <v>100</v>
      </c>
      <c r="L2821" t="s">
        <v>23</v>
      </c>
      <c r="M2821" t="s">
        <v>7684</v>
      </c>
      <c r="N2821" t="s">
        <v>2338</v>
      </c>
      <c r="O2821" t="s">
        <v>22</v>
      </c>
      <c r="P2821">
        <v>93546</v>
      </c>
      <c r="Q2821">
        <v>100</v>
      </c>
      <c r="R2821" t="s">
        <v>23</v>
      </c>
      <c r="S2821" s="1" t="s">
        <v>34218</v>
      </c>
    </row>
    <row r="2822" spans="1:19" x14ac:dyDescent="0.25">
      <c r="A2822">
        <v>101271995</v>
      </c>
      <c r="B2822" t="s">
        <v>320</v>
      </c>
      <c r="C2822" t="s">
        <v>30</v>
      </c>
      <c r="F2822" t="str">
        <f>"5178995447"</f>
        <v>5178995447</v>
      </c>
      <c r="G2822" t="s">
        <v>7685</v>
      </c>
      <c r="H2822" t="s">
        <v>7686</v>
      </c>
      <c r="I2822" t="s">
        <v>140</v>
      </c>
      <c r="J2822">
        <v>48820</v>
      </c>
      <c r="K2822">
        <v>9139</v>
      </c>
      <c r="L2822" t="s">
        <v>23</v>
      </c>
      <c r="M2822" t="s">
        <v>7685</v>
      </c>
      <c r="N2822" t="s">
        <v>7686</v>
      </c>
      <c r="O2822" t="s">
        <v>140</v>
      </c>
      <c r="P2822">
        <v>48820</v>
      </c>
      <c r="Q2822">
        <v>9139</v>
      </c>
      <c r="R2822" t="s">
        <v>23</v>
      </c>
      <c r="S2822" s="1" t="s">
        <v>34218</v>
      </c>
    </row>
    <row r="2823" spans="1:19" x14ac:dyDescent="0.25">
      <c r="A2823">
        <v>100847287</v>
      </c>
      <c r="B2823" t="s">
        <v>5321</v>
      </c>
      <c r="C2823" t="s">
        <v>2127</v>
      </c>
      <c r="F2823" t="str">
        <f>"5303796440"</f>
        <v>5303796440</v>
      </c>
      <c r="G2823" t="s">
        <v>7687</v>
      </c>
      <c r="H2823" t="s">
        <v>276</v>
      </c>
      <c r="I2823" t="s">
        <v>22</v>
      </c>
      <c r="J2823" t="s">
        <v>7688</v>
      </c>
      <c r="K2823">
        <v>5424</v>
      </c>
      <c r="L2823" t="s">
        <v>23</v>
      </c>
      <c r="M2823" t="s">
        <v>7687</v>
      </c>
      <c r="N2823" t="s">
        <v>276</v>
      </c>
      <c r="O2823" t="s">
        <v>22</v>
      </c>
      <c r="P2823" t="s">
        <v>7688</v>
      </c>
      <c r="Q2823">
        <v>5424</v>
      </c>
      <c r="R2823" t="s">
        <v>23</v>
      </c>
      <c r="S2823" s="1" t="s">
        <v>34218</v>
      </c>
    </row>
    <row r="2824" spans="1:19" x14ac:dyDescent="0.25">
      <c r="A2824">
        <v>100858185</v>
      </c>
      <c r="B2824" t="s">
        <v>7689</v>
      </c>
      <c r="C2824" t="s">
        <v>1298</v>
      </c>
      <c r="F2824" t="str">
        <f>"8322357141"</f>
        <v>8322357141</v>
      </c>
      <c r="G2824" t="s">
        <v>7690</v>
      </c>
      <c r="H2824" t="s">
        <v>4220</v>
      </c>
      <c r="I2824" t="s">
        <v>57</v>
      </c>
      <c r="J2824">
        <v>46147</v>
      </c>
      <c r="L2824" t="s">
        <v>23</v>
      </c>
      <c r="M2824" t="s">
        <v>7690</v>
      </c>
      <c r="N2824" t="s">
        <v>4220</v>
      </c>
      <c r="O2824" t="s">
        <v>57</v>
      </c>
      <c r="P2824">
        <v>46147</v>
      </c>
      <c r="R2824" t="s">
        <v>23</v>
      </c>
      <c r="S2824" s="1" t="s">
        <v>34218</v>
      </c>
    </row>
    <row r="2825" spans="1:19" x14ac:dyDescent="0.25">
      <c r="A2825">
        <v>101232547</v>
      </c>
      <c r="B2825" t="s">
        <v>1800</v>
      </c>
      <c r="C2825" t="s">
        <v>7691</v>
      </c>
      <c r="F2825" t="str">
        <f>"8475131669"</f>
        <v>8475131669</v>
      </c>
      <c r="G2825" t="s">
        <v>7692</v>
      </c>
      <c r="H2825" t="s">
        <v>2139</v>
      </c>
      <c r="I2825" t="s">
        <v>135</v>
      </c>
      <c r="J2825">
        <v>60062</v>
      </c>
      <c r="L2825" t="s">
        <v>23</v>
      </c>
      <c r="M2825" t="s">
        <v>7692</v>
      </c>
      <c r="N2825" t="s">
        <v>2139</v>
      </c>
      <c r="O2825" t="s">
        <v>135</v>
      </c>
      <c r="P2825">
        <v>60062</v>
      </c>
      <c r="R2825" t="s">
        <v>23</v>
      </c>
      <c r="S2825" s="1" t="s">
        <v>34218</v>
      </c>
    </row>
    <row r="2826" spans="1:19" x14ac:dyDescent="0.25">
      <c r="A2826">
        <v>101396876</v>
      </c>
      <c r="B2826" t="s">
        <v>7693</v>
      </c>
      <c r="C2826" t="s">
        <v>522</v>
      </c>
      <c r="F2826" t="str">
        <f>"8565566393"</f>
        <v>8565566393</v>
      </c>
      <c r="G2826" t="s">
        <v>7694</v>
      </c>
      <c r="H2826" t="s">
        <v>7695</v>
      </c>
      <c r="I2826" t="s">
        <v>250</v>
      </c>
      <c r="J2826">
        <v>8012</v>
      </c>
      <c r="K2826">
        <v>2420</v>
      </c>
      <c r="L2826" t="s">
        <v>23</v>
      </c>
      <c r="M2826" t="s">
        <v>7694</v>
      </c>
      <c r="N2826" t="s">
        <v>7695</v>
      </c>
      <c r="O2826" t="s">
        <v>250</v>
      </c>
      <c r="P2826">
        <v>8012</v>
      </c>
      <c r="Q2826">
        <v>2420</v>
      </c>
      <c r="R2826" t="s">
        <v>23</v>
      </c>
      <c r="S2826" s="1" t="s">
        <v>34218</v>
      </c>
    </row>
    <row r="2827" spans="1:19" x14ac:dyDescent="0.25">
      <c r="A2827">
        <v>101398238</v>
      </c>
      <c r="B2827" t="s">
        <v>2144</v>
      </c>
      <c r="C2827" t="s">
        <v>1533</v>
      </c>
      <c r="F2827" t="str">
        <f>"2515045686"</f>
        <v>2515045686</v>
      </c>
      <c r="G2827" t="s">
        <v>7696</v>
      </c>
      <c r="H2827" t="s">
        <v>6230</v>
      </c>
      <c r="I2827" t="s">
        <v>1387</v>
      </c>
      <c r="J2827">
        <v>36695</v>
      </c>
      <c r="K2827">
        <v>9584</v>
      </c>
      <c r="L2827" t="s">
        <v>23</v>
      </c>
      <c r="M2827" t="s">
        <v>7696</v>
      </c>
      <c r="N2827" t="s">
        <v>6230</v>
      </c>
      <c r="O2827" t="s">
        <v>1387</v>
      </c>
      <c r="P2827">
        <v>36695</v>
      </c>
      <c r="Q2827">
        <v>9584</v>
      </c>
      <c r="R2827" t="s">
        <v>23</v>
      </c>
      <c r="S2827" s="1" t="s">
        <v>34218</v>
      </c>
    </row>
    <row r="2828" spans="1:19" x14ac:dyDescent="0.25">
      <c r="A2828">
        <v>101348105</v>
      </c>
      <c r="B2828" t="s">
        <v>7697</v>
      </c>
      <c r="C2828" t="s">
        <v>1124</v>
      </c>
      <c r="F2828" t="str">
        <f>"6033325821"</f>
        <v>6033325821</v>
      </c>
      <c r="G2828" t="s">
        <v>7698</v>
      </c>
      <c r="H2828" t="s">
        <v>688</v>
      </c>
      <c r="I2828" t="s">
        <v>353</v>
      </c>
      <c r="J2828">
        <v>3867</v>
      </c>
      <c r="K2828">
        <v>4476</v>
      </c>
      <c r="L2828" t="s">
        <v>23</v>
      </c>
      <c r="M2828" t="s">
        <v>7698</v>
      </c>
      <c r="N2828" t="s">
        <v>688</v>
      </c>
      <c r="O2828" t="s">
        <v>353</v>
      </c>
      <c r="P2828">
        <v>3867</v>
      </c>
      <c r="Q2828">
        <v>4476</v>
      </c>
      <c r="R2828" t="s">
        <v>23</v>
      </c>
      <c r="S2828" s="1" t="s">
        <v>34218</v>
      </c>
    </row>
    <row r="2829" spans="1:19" x14ac:dyDescent="0.25">
      <c r="A2829">
        <v>100968980</v>
      </c>
      <c r="B2829" t="s">
        <v>7699</v>
      </c>
      <c r="C2829" t="s">
        <v>838</v>
      </c>
      <c r="F2829" t="str">
        <f>"4132964395"</f>
        <v>4132964395</v>
      </c>
      <c r="G2829" t="s">
        <v>7700</v>
      </c>
      <c r="H2829" t="s">
        <v>5916</v>
      </c>
      <c r="I2829" t="s">
        <v>236</v>
      </c>
      <c r="J2829">
        <v>1012</v>
      </c>
      <c r="L2829" t="s">
        <v>23</v>
      </c>
      <c r="M2829" t="s">
        <v>7700</v>
      </c>
      <c r="N2829" t="s">
        <v>5916</v>
      </c>
      <c r="O2829" t="s">
        <v>236</v>
      </c>
      <c r="P2829">
        <v>1012</v>
      </c>
      <c r="R2829" t="s">
        <v>23</v>
      </c>
      <c r="S2829" s="1" t="s">
        <v>34218</v>
      </c>
    </row>
    <row r="2830" spans="1:19" x14ac:dyDescent="0.25">
      <c r="A2830">
        <v>101178512</v>
      </c>
      <c r="B2830" t="s">
        <v>5467</v>
      </c>
      <c r="C2830" t="s">
        <v>3854</v>
      </c>
      <c r="F2830" t="str">
        <f>"6317587827"</f>
        <v>6317587827</v>
      </c>
      <c r="G2830" t="s">
        <v>7701</v>
      </c>
      <c r="H2830" t="s">
        <v>6068</v>
      </c>
      <c r="I2830" t="s">
        <v>117</v>
      </c>
      <c r="J2830">
        <v>11772</v>
      </c>
      <c r="K2830">
        <v>5908</v>
      </c>
      <c r="L2830" t="s">
        <v>23</v>
      </c>
      <c r="M2830" t="s">
        <v>7701</v>
      </c>
      <c r="N2830" t="s">
        <v>6068</v>
      </c>
      <c r="O2830" t="s">
        <v>117</v>
      </c>
      <c r="P2830">
        <v>11772</v>
      </c>
      <c r="Q2830">
        <v>5908</v>
      </c>
      <c r="R2830" t="s">
        <v>23</v>
      </c>
      <c r="S2830" s="1" t="s">
        <v>34218</v>
      </c>
    </row>
    <row r="2831" spans="1:19" x14ac:dyDescent="0.25">
      <c r="A2831">
        <v>100820637</v>
      </c>
      <c r="B2831" t="s">
        <v>744</v>
      </c>
      <c r="C2831" t="s">
        <v>1036</v>
      </c>
      <c r="F2831" t="str">
        <f>"8173727694"</f>
        <v>8173727694</v>
      </c>
      <c r="G2831" t="s">
        <v>7702</v>
      </c>
      <c r="H2831" t="s">
        <v>7703</v>
      </c>
      <c r="I2831" t="s">
        <v>22</v>
      </c>
      <c r="J2831" t="s">
        <v>7704</v>
      </c>
      <c r="K2831">
        <v>1480</v>
      </c>
      <c r="L2831" t="s">
        <v>23</v>
      </c>
      <c r="M2831" t="s">
        <v>7702</v>
      </c>
      <c r="N2831" t="s">
        <v>7703</v>
      </c>
      <c r="O2831" t="s">
        <v>22</v>
      </c>
      <c r="P2831" t="s">
        <v>7704</v>
      </c>
      <c r="Q2831">
        <v>1480</v>
      </c>
      <c r="R2831" t="s">
        <v>23</v>
      </c>
      <c r="S2831" s="1" t="s">
        <v>34218</v>
      </c>
    </row>
    <row r="2832" spans="1:19" x14ac:dyDescent="0.25">
      <c r="A2832">
        <v>100530143</v>
      </c>
      <c r="B2832" t="s">
        <v>7705</v>
      </c>
      <c r="C2832" t="s">
        <v>180</v>
      </c>
      <c r="F2832" t="str">
        <f>"5617493150"</f>
        <v>5617493150</v>
      </c>
      <c r="G2832" t="s">
        <v>7706</v>
      </c>
      <c r="H2832" t="s">
        <v>4693</v>
      </c>
      <c r="I2832" t="s">
        <v>52</v>
      </c>
      <c r="J2832" t="s">
        <v>7707</v>
      </c>
      <c r="K2832">
        <v>7363</v>
      </c>
      <c r="L2832" t="s">
        <v>23</v>
      </c>
      <c r="M2832" t="s">
        <v>7706</v>
      </c>
      <c r="N2832" t="s">
        <v>4693</v>
      </c>
      <c r="O2832" t="s">
        <v>52</v>
      </c>
      <c r="P2832" t="s">
        <v>7707</v>
      </c>
      <c r="Q2832">
        <v>7363</v>
      </c>
      <c r="R2832" t="s">
        <v>23</v>
      </c>
      <c r="S2832" s="1" t="s">
        <v>34218</v>
      </c>
    </row>
    <row r="2833" spans="1:19" x14ac:dyDescent="0.25">
      <c r="A2833">
        <v>101293889</v>
      </c>
      <c r="B2833" t="s">
        <v>7708</v>
      </c>
      <c r="C2833" t="s">
        <v>3828</v>
      </c>
      <c r="F2833" t="str">
        <f>"3139741642"</f>
        <v>3139741642</v>
      </c>
      <c r="G2833" t="s">
        <v>7709</v>
      </c>
      <c r="H2833" t="s">
        <v>1830</v>
      </c>
      <c r="I2833" t="s">
        <v>140</v>
      </c>
      <c r="J2833">
        <v>48206</v>
      </c>
      <c r="K2833">
        <v>1451</v>
      </c>
      <c r="L2833" t="s">
        <v>23</v>
      </c>
      <c r="M2833" t="s">
        <v>7709</v>
      </c>
      <c r="N2833" t="s">
        <v>1830</v>
      </c>
      <c r="O2833" t="s">
        <v>140</v>
      </c>
      <c r="P2833">
        <v>48206</v>
      </c>
      <c r="Q2833">
        <v>1451</v>
      </c>
      <c r="R2833" t="s">
        <v>23</v>
      </c>
      <c r="S2833" s="1" t="s">
        <v>34218</v>
      </c>
    </row>
    <row r="2834" spans="1:19" x14ac:dyDescent="0.25">
      <c r="A2834">
        <v>101291121</v>
      </c>
      <c r="B2834" t="s">
        <v>7710</v>
      </c>
      <c r="C2834" t="s">
        <v>1611</v>
      </c>
      <c r="F2834" t="str">
        <f>"3052335677"</f>
        <v>3052335677</v>
      </c>
      <c r="G2834" t="s">
        <v>7711</v>
      </c>
      <c r="H2834" t="s">
        <v>7269</v>
      </c>
      <c r="I2834" t="s">
        <v>52</v>
      </c>
      <c r="J2834">
        <v>33312</v>
      </c>
      <c r="K2834">
        <v>7538</v>
      </c>
      <c r="L2834" t="s">
        <v>23</v>
      </c>
      <c r="M2834" t="s">
        <v>7711</v>
      </c>
      <c r="N2834" t="s">
        <v>7269</v>
      </c>
      <c r="O2834" t="s">
        <v>52</v>
      </c>
      <c r="P2834">
        <v>33312</v>
      </c>
      <c r="Q2834">
        <v>7538</v>
      </c>
      <c r="R2834" t="s">
        <v>23</v>
      </c>
      <c r="S2834" s="1" t="s">
        <v>34218</v>
      </c>
    </row>
    <row r="2835" spans="1:19" x14ac:dyDescent="0.25">
      <c r="A2835">
        <v>101295504</v>
      </c>
      <c r="B2835" t="s">
        <v>7712</v>
      </c>
      <c r="C2835" t="s">
        <v>7713</v>
      </c>
      <c r="F2835" t="str">
        <f>"8485251254"</f>
        <v>8485251254</v>
      </c>
      <c r="G2835" t="s">
        <v>7714</v>
      </c>
      <c r="H2835" t="s">
        <v>7715</v>
      </c>
      <c r="I2835" t="s">
        <v>250</v>
      </c>
      <c r="J2835">
        <v>8751</v>
      </c>
      <c r="K2835">
        <v>1817</v>
      </c>
      <c r="L2835" t="s">
        <v>23</v>
      </c>
      <c r="M2835" t="s">
        <v>7714</v>
      </c>
      <c r="N2835" t="s">
        <v>7715</v>
      </c>
      <c r="O2835" t="s">
        <v>250</v>
      </c>
      <c r="P2835">
        <v>8751</v>
      </c>
      <c r="Q2835">
        <v>1817</v>
      </c>
      <c r="R2835" t="s">
        <v>23</v>
      </c>
      <c r="S2835" s="1" t="s">
        <v>34218</v>
      </c>
    </row>
    <row r="2836" spans="1:19" x14ac:dyDescent="0.25">
      <c r="A2836">
        <v>101294231</v>
      </c>
      <c r="B2836" t="s">
        <v>7716</v>
      </c>
      <c r="C2836" t="s">
        <v>1933</v>
      </c>
      <c r="F2836" t="str">
        <f>"8434550693"</f>
        <v>8434550693</v>
      </c>
      <c r="G2836" t="s">
        <v>7717</v>
      </c>
      <c r="H2836" t="s">
        <v>3021</v>
      </c>
      <c r="I2836" t="s">
        <v>1482</v>
      </c>
      <c r="J2836">
        <v>29577</v>
      </c>
      <c r="K2836">
        <v>8774</v>
      </c>
      <c r="L2836" t="s">
        <v>23</v>
      </c>
      <c r="M2836" t="s">
        <v>7717</v>
      </c>
      <c r="N2836" t="s">
        <v>3021</v>
      </c>
      <c r="O2836" t="s">
        <v>1482</v>
      </c>
      <c r="P2836">
        <v>29577</v>
      </c>
      <c r="Q2836">
        <v>8774</v>
      </c>
      <c r="R2836" t="s">
        <v>23</v>
      </c>
      <c r="S2836" s="1" t="s">
        <v>34218</v>
      </c>
    </row>
    <row r="2837" spans="1:19" x14ac:dyDescent="0.25">
      <c r="A2837">
        <v>101130492</v>
      </c>
      <c r="B2837" t="s">
        <v>7718</v>
      </c>
      <c r="C2837" t="s">
        <v>119</v>
      </c>
      <c r="F2837" t="str">
        <f>"3018765043"</f>
        <v>3018765043</v>
      </c>
      <c r="G2837" t="s">
        <v>7719</v>
      </c>
      <c r="H2837" t="s">
        <v>676</v>
      </c>
      <c r="I2837" t="s">
        <v>148</v>
      </c>
      <c r="J2837">
        <v>21502</v>
      </c>
      <c r="L2837" t="s">
        <v>23</v>
      </c>
      <c r="M2837" t="s">
        <v>7719</v>
      </c>
      <c r="N2837" t="s">
        <v>676</v>
      </c>
      <c r="O2837" t="s">
        <v>148</v>
      </c>
      <c r="P2837">
        <v>21502</v>
      </c>
      <c r="R2837" t="s">
        <v>23</v>
      </c>
      <c r="S2837" s="1" t="s">
        <v>34218</v>
      </c>
    </row>
    <row r="2838" spans="1:19" x14ac:dyDescent="0.25">
      <c r="A2838">
        <v>100831332</v>
      </c>
      <c r="B2838" t="s">
        <v>7720</v>
      </c>
      <c r="C2838" t="s">
        <v>7721</v>
      </c>
      <c r="F2838" t="str">
        <f>"8182853852"</f>
        <v>8182853852</v>
      </c>
      <c r="G2838" t="s">
        <v>7722</v>
      </c>
      <c r="H2838" t="s">
        <v>605</v>
      </c>
      <c r="I2838" t="s">
        <v>22</v>
      </c>
      <c r="J2838">
        <v>91436</v>
      </c>
      <c r="K2838">
        <v>3617</v>
      </c>
      <c r="L2838" t="s">
        <v>23</v>
      </c>
      <c r="M2838" t="s">
        <v>7722</v>
      </c>
      <c r="N2838" t="s">
        <v>605</v>
      </c>
      <c r="O2838" t="s">
        <v>22</v>
      </c>
      <c r="P2838">
        <v>91436</v>
      </c>
      <c r="Q2838">
        <v>3617</v>
      </c>
      <c r="R2838" t="s">
        <v>23</v>
      </c>
      <c r="S2838" s="1" t="s">
        <v>34218</v>
      </c>
    </row>
    <row r="2839" spans="1:19" x14ac:dyDescent="0.25">
      <c r="A2839">
        <v>100997352</v>
      </c>
      <c r="B2839" t="s">
        <v>7723</v>
      </c>
      <c r="C2839" t="s">
        <v>2411</v>
      </c>
      <c r="F2839" t="str">
        <f>"9255551212"</f>
        <v>9255551212</v>
      </c>
      <c r="G2839" t="s">
        <v>7724</v>
      </c>
      <c r="H2839" t="s">
        <v>3520</v>
      </c>
      <c r="I2839" t="s">
        <v>22</v>
      </c>
      <c r="J2839">
        <v>94582</v>
      </c>
      <c r="K2839">
        <v>4865</v>
      </c>
      <c r="L2839" t="s">
        <v>23</v>
      </c>
      <c r="M2839" t="s">
        <v>7724</v>
      </c>
      <c r="N2839" t="s">
        <v>3520</v>
      </c>
      <c r="O2839" t="s">
        <v>22</v>
      </c>
      <c r="P2839">
        <v>94582</v>
      </c>
      <c r="Q2839">
        <v>4865</v>
      </c>
      <c r="R2839" t="s">
        <v>23</v>
      </c>
      <c r="S2839" s="1" t="s">
        <v>34218</v>
      </c>
    </row>
    <row r="2840" spans="1:19" x14ac:dyDescent="0.25">
      <c r="A2840">
        <v>101007385</v>
      </c>
      <c r="B2840" t="s">
        <v>7725</v>
      </c>
      <c r="C2840" t="s">
        <v>90</v>
      </c>
      <c r="F2840" t="str">
        <f>"6106895422"</f>
        <v>6106895422</v>
      </c>
      <c r="G2840" t="s">
        <v>7726</v>
      </c>
      <c r="H2840" t="s">
        <v>7727</v>
      </c>
      <c r="I2840" t="s">
        <v>33</v>
      </c>
      <c r="J2840">
        <v>19518</v>
      </c>
      <c r="K2840">
        <v>8944</v>
      </c>
      <c r="L2840" t="s">
        <v>23</v>
      </c>
      <c r="M2840" t="s">
        <v>7726</v>
      </c>
      <c r="N2840" t="s">
        <v>7727</v>
      </c>
      <c r="O2840" t="s">
        <v>33</v>
      </c>
      <c r="P2840">
        <v>19518</v>
      </c>
      <c r="Q2840">
        <v>8944</v>
      </c>
      <c r="R2840" t="s">
        <v>23</v>
      </c>
      <c r="S2840" s="1" t="s">
        <v>34218</v>
      </c>
    </row>
    <row r="2841" spans="1:19" x14ac:dyDescent="0.25">
      <c r="A2841">
        <v>101010833</v>
      </c>
      <c r="B2841" t="s">
        <v>7728</v>
      </c>
      <c r="C2841" t="s">
        <v>403</v>
      </c>
      <c r="F2841" t="str">
        <f>"9045178412"</f>
        <v>9045178412</v>
      </c>
      <c r="G2841" t="s">
        <v>7729</v>
      </c>
      <c r="H2841" t="s">
        <v>143</v>
      </c>
      <c r="I2841" t="s">
        <v>52</v>
      </c>
      <c r="J2841">
        <v>32218</v>
      </c>
      <c r="K2841">
        <v>5220</v>
      </c>
      <c r="L2841" t="s">
        <v>23</v>
      </c>
      <c r="M2841" t="s">
        <v>7729</v>
      </c>
      <c r="N2841" t="s">
        <v>143</v>
      </c>
      <c r="O2841" t="s">
        <v>52</v>
      </c>
      <c r="P2841">
        <v>32218</v>
      </c>
      <c r="Q2841">
        <v>5220</v>
      </c>
      <c r="R2841" t="s">
        <v>23</v>
      </c>
      <c r="S2841" s="1" t="s">
        <v>34218</v>
      </c>
    </row>
    <row r="2842" spans="1:19" x14ac:dyDescent="0.25">
      <c r="A2842">
        <v>101395536</v>
      </c>
      <c r="B2842" t="s">
        <v>7730</v>
      </c>
      <c r="C2842" t="s">
        <v>644</v>
      </c>
      <c r="F2842" t="str">
        <f>"7722054737"</f>
        <v>7722054737</v>
      </c>
      <c r="G2842" t="s">
        <v>5994</v>
      </c>
      <c r="H2842" t="s">
        <v>5908</v>
      </c>
      <c r="I2842" t="s">
        <v>52</v>
      </c>
      <c r="J2842">
        <v>32967</v>
      </c>
      <c r="K2842">
        <v>2948</v>
      </c>
      <c r="L2842" t="s">
        <v>23</v>
      </c>
      <c r="M2842" t="s">
        <v>5994</v>
      </c>
      <c r="N2842" t="s">
        <v>5908</v>
      </c>
      <c r="O2842" t="s">
        <v>52</v>
      </c>
      <c r="P2842">
        <v>32967</v>
      </c>
      <c r="Q2842">
        <v>2948</v>
      </c>
      <c r="R2842" t="s">
        <v>23</v>
      </c>
      <c r="S2842" s="1" t="s">
        <v>34218</v>
      </c>
    </row>
    <row r="2843" spans="1:19" x14ac:dyDescent="0.25">
      <c r="A2843">
        <v>101234268</v>
      </c>
      <c r="B2843" t="s">
        <v>7731</v>
      </c>
      <c r="C2843" t="s">
        <v>40</v>
      </c>
      <c r="F2843" t="str">
        <f>"6179539756"</f>
        <v>6179539756</v>
      </c>
      <c r="G2843" t="s">
        <v>7732</v>
      </c>
      <c r="H2843" t="s">
        <v>7733</v>
      </c>
      <c r="I2843" t="s">
        <v>236</v>
      </c>
      <c r="J2843">
        <v>2128</v>
      </c>
      <c r="K2843">
        <v>2270</v>
      </c>
      <c r="L2843" t="s">
        <v>23</v>
      </c>
      <c r="M2843" t="s">
        <v>7732</v>
      </c>
      <c r="N2843" t="s">
        <v>7733</v>
      </c>
      <c r="O2843" t="s">
        <v>236</v>
      </c>
      <c r="P2843">
        <v>2128</v>
      </c>
      <c r="Q2843">
        <v>2270</v>
      </c>
      <c r="R2843" t="s">
        <v>23</v>
      </c>
      <c r="S2843" s="1" t="s">
        <v>34218</v>
      </c>
    </row>
    <row r="2844" spans="1:19" x14ac:dyDescent="0.25">
      <c r="A2844">
        <v>100793895</v>
      </c>
      <c r="B2844" t="s">
        <v>7734</v>
      </c>
      <c r="C2844" t="s">
        <v>367</v>
      </c>
      <c r="F2844" t="str">
        <f>"5138461906"</f>
        <v>5138461906</v>
      </c>
      <c r="G2844" t="s">
        <v>7735</v>
      </c>
      <c r="H2844" t="s">
        <v>2086</v>
      </c>
      <c r="I2844" t="s">
        <v>178</v>
      </c>
      <c r="J2844">
        <v>45230</v>
      </c>
      <c r="K2844">
        <v>4014</v>
      </c>
      <c r="L2844" t="s">
        <v>23</v>
      </c>
      <c r="M2844" t="s">
        <v>7735</v>
      </c>
      <c r="N2844" t="s">
        <v>2086</v>
      </c>
      <c r="O2844" t="s">
        <v>178</v>
      </c>
      <c r="P2844">
        <v>45230</v>
      </c>
      <c r="Q2844">
        <v>4014</v>
      </c>
      <c r="R2844" t="s">
        <v>23</v>
      </c>
      <c r="S2844" s="1" t="s">
        <v>34218</v>
      </c>
    </row>
    <row r="2845" spans="1:19" x14ac:dyDescent="0.25">
      <c r="A2845">
        <v>101333221</v>
      </c>
      <c r="B2845" t="s">
        <v>7736</v>
      </c>
      <c r="C2845" t="s">
        <v>309</v>
      </c>
      <c r="F2845" t="str">
        <f>"4123674546"</f>
        <v>4123674546</v>
      </c>
      <c r="G2845" t="s">
        <v>7737</v>
      </c>
      <c r="H2845" t="s">
        <v>7738</v>
      </c>
      <c r="I2845" t="s">
        <v>33</v>
      </c>
      <c r="J2845">
        <v>15101</v>
      </c>
      <c r="K2845">
        <v>3324</v>
      </c>
      <c r="L2845" t="s">
        <v>23</v>
      </c>
      <c r="M2845" t="s">
        <v>7737</v>
      </c>
      <c r="N2845" t="s">
        <v>7738</v>
      </c>
      <c r="O2845" t="s">
        <v>33</v>
      </c>
      <c r="P2845">
        <v>15101</v>
      </c>
      <c r="Q2845">
        <v>3324</v>
      </c>
      <c r="R2845" t="s">
        <v>23</v>
      </c>
      <c r="S2845" s="1" t="s">
        <v>34218</v>
      </c>
    </row>
    <row r="2846" spans="1:19" x14ac:dyDescent="0.25">
      <c r="A2846">
        <v>101296355</v>
      </c>
      <c r="B2846" t="s">
        <v>7739</v>
      </c>
      <c r="C2846" t="s">
        <v>1239</v>
      </c>
      <c r="F2846" t="str">
        <f>"5417572531"</f>
        <v>5417572531</v>
      </c>
      <c r="G2846" t="s">
        <v>7740</v>
      </c>
      <c r="H2846" t="s">
        <v>3498</v>
      </c>
      <c r="I2846" t="s">
        <v>43</v>
      </c>
      <c r="J2846">
        <v>97330</v>
      </c>
      <c r="L2846" t="s">
        <v>23</v>
      </c>
      <c r="M2846" t="s">
        <v>7740</v>
      </c>
      <c r="N2846" t="s">
        <v>3498</v>
      </c>
      <c r="O2846" t="s">
        <v>43</v>
      </c>
      <c r="P2846">
        <v>97330</v>
      </c>
      <c r="R2846" t="s">
        <v>23</v>
      </c>
      <c r="S2846" s="1" t="s">
        <v>34218</v>
      </c>
    </row>
    <row r="2847" spans="1:19" x14ac:dyDescent="0.25">
      <c r="A2847">
        <v>101225664</v>
      </c>
      <c r="B2847" t="s">
        <v>7741</v>
      </c>
      <c r="C2847" t="s">
        <v>1043</v>
      </c>
      <c r="F2847" t="str">
        <f>"5628969473"</f>
        <v>5628969473</v>
      </c>
      <c r="G2847" t="s">
        <v>7742</v>
      </c>
      <c r="H2847" t="s">
        <v>311</v>
      </c>
      <c r="I2847" t="s">
        <v>22</v>
      </c>
      <c r="J2847">
        <v>90808</v>
      </c>
      <c r="K2847">
        <v>1435</v>
      </c>
      <c r="L2847" t="s">
        <v>23</v>
      </c>
      <c r="M2847" t="s">
        <v>7742</v>
      </c>
      <c r="N2847" t="s">
        <v>311</v>
      </c>
      <c r="O2847" t="s">
        <v>22</v>
      </c>
      <c r="P2847">
        <v>90808</v>
      </c>
      <c r="Q2847">
        <v>1435</v>
      </c>
      <c r="R2847" t="s">
        <v>23</v>
      </c>
      <c r="S2847" s="1" t="s">
        <v>34218</v>
      </c>
    </row>
    <row r="2848" spans="1:19" x14ac:dyDescent="0.25">
      <c r="A2848">
        <v>101364359</v>
      </c>
      <c r="B2848" t="s">
        <v>1124</v>
      </c>
      <c r="C2848" t="s">
        <v>2127</v>
      </c>
      <c r="F2848" t="str">
        <f>"2013947462"</f>
        <v>2013947462</v>
      </c>
      <c r="G2848" t="s">
        <v>7743</v>
      </c>
      <c r="H2848" t="s">
        <v>7744</v>
      </c>
      <c r="I2848" t="s">
        <v>250</v>
      </c>
      <c r="J2848">
        <v>7047</v>
      </c>
      <c r="K2848">
        <v>6017</v>
      </c>
      <c r="L2848" t="s">
        <v>23</v>
      </c>
      <c r="M2848" t="s">
        <v>7743</v>
      </c>
      <c r="N2848" t="s">
        <v>7744</v>
      </c>
      <c r="O2848" t="s">
        <v>250</v>
      </c>
      <c r="P2848">
        <v>7047</v>
      </c>
      <c r="Q2848">
        <v>6017</v>
      </c>
      <c r="R2848" t="s">
        <v>23</v>
      </c>
      <c r="S2848" s="1" t="s">
        <v>34218</v>
      </c>
    </row>
    <row r="2849" spans="1:19" x14ac:dyDescent="0.25">
      <c r="A2849">
        <v>101292721</v>
      </c>
      <c r="B2849" t="s">
        <v>7745</v>
      </c>
      <c r="C2849" t="s">
        <v>1327</v>
      </c>
      <c r="F2849" t="str">
        <f>"3126421298"</f>
        <v>3126421298</v>
      </c>
      <c r="G2849" t="s">
        <v>7746</v>
      </c>
      <c r="H2849" t="s">
        <v>134</v>
      </c>
      <c r="I2849" t="s">
        <v>135</v>
      </c>
      <c r="J2849">
        <v>60610</v>
      </c>
      <c r="K2849">
        <v>3358</v>
      </c>
      <c r="L2849" t="s">
        <v>23</v>
      </c>
      <c r="M2849" t="s">
        <v>7746</v>
      </c>
      <c r="N2849" t="s">
        <v>134</v>
      </c>
      <c r="O2849" t="s">
        <v>135</v>
      </c>
      <c r="P2849">
        <v>60610</v>
      </c>
      <c r="Q2849">
        <v>3358</v>
      </c>
      <c r="R2849" t="s">
        <v>23</v>
      </c>
      <c r="S2849" s="1" t="s">
        <v>34218</v>
      </c>
    </row>
    <row r="2850" spans="1:19" x14ac:dyDescent="0.25">
      <c r="A2850">
        <v>101184776</v>
      </c>
      <c r="B2850" t="s">
        <v>7747</v>
      </c>
      <c r="C2850" t="s">
        <v>1778</v>
      </c>
      <c r="F2850" t="str">
        <f>"7077323370"</f>
        <v>7077323370</v>
      </c>
      <c r="G2850" t="s">
        <v>7748</v>
      </c>
      <c r="H2850" t="s">
        <v>75</v>
      </c>
      <c r="I2850" t="s">
        <v>22</v>
      </c>
      <c r="J2850">
        <v>94558</v>
      </c>
      <c r="K2850">
        <v>3104</v>
      </c>
      <c r="L2850" t="s">
        <v>23</v>
      </c>
      <c r="M2850" t="s">
        <v>7748</v>
      </c>
      <c r="N2850" t="s">
        <v>75</v>
      </c>
      <c r="O2850" t="s">
        <v>22</v>
      </c>
      <c r="P2850">
        <v>94558</v>
      </c>
      <c r="Q2850">
        <v>3104</v>
      </c>
      <c r="R2850" t="s">
        <v>23</v>
      </c>
      <c r="S2850" s="1" t="s">
        <v>34218</v>
      </c>
    </row>
    <row r="2851" spans="1:19" x14ac:dyDescent="0.25">
      <c r="A2851">
        <v>100927366</v>
      </c>
      <c r="B2851" t="s">
        <v>7749</v>
      </c>
      <c r="C2851" t="s">
        <v>1463</v>
      </c>
      <c r="F2851" t="str">
        <f>"5034755062"</f>
        <v>5034755062</v>
      </c>
      <c r="G2851">
        <v>4623</v>
      </c>
      <c r="H2851" t="s">
        <v>227</v>
      </c>
      <c r="I2851" t="s">
        <v>43</v>
      </c>
      <c r="J2851">
        <v>97221</v>
      </c>
      <c r="L2851" t="s">
        <v>23</v>
      </c>
      <c r="M2851">
        <v>4623</v>
      </c>
      <c r="N2851" t="s">
        <v>227</v>
      </c>
      <c r="O2851" t="s">
        <v>43</v>
      </c>
      <c r="P2851">
        <v>97221</v>
      </c>
      <c r="R2851" t="s">
        <v>23</v>
      </c>
      <c r="S2851" s="1" t="s">
        <v>34218</v>
      </c>
    </row>
    <row r="2852" spans="1:19" x14ac:dyDescent="0.25">
      <c r="A2852">
        <v>101042349</v>
      </c>
      <c r="B2852" t="s">
        <v>2509</v>
      </c>
      <c r="C2852" t="s">
        <v>158</v>
      </c>
      <c r="F2852" t="str">
        <f>"6158497757"</f>
        <v>6158497757</v>
      </c>
      <c r="G2852" t="s">
        <v>7750</v>
      </c>
      <c r="H2852" t="s">
        <v>7751</v>
      </c>
      <c r="I2852" t="s">
        <v>914</v>
      </c>
      <c r="J2852">
        <v>37128</v>
      </c>
      <c r="L2852" t="s">
        <v>23</v>
      </c>
      <c r="M2852" t="s">
        <v>7750</v>
      </c>
      <c r="N2852" t="s">
        <v>7751</v>
      </c>
      <c r="O2852" t="s">
        <v>914</v>
      </c>
      <c r="P2852">
        <v>37128</v>
      </c>
      <c r="R2852" t="s">
        <v>23</v>
      </c>
      <c r="S2852" s="1" t="s">
        <v>34218</v>
      </c>
    </row>
    <row r="2853" spans="1:19" x14ac:dyDescent="0.25">
      <c r="A2853">
        <v>101172888</v>
      </c>
      <c r="B2853" t="s">
        <v>7752</v>
      </c>
      <c r="C2853" t="s">
        <v>2411</v>
      </c>
      <c r="F2853" t="str">
        <f>"3033061103"</f>
        <v>3033061103</v>
      </c>
      <c r="G2853" t="s">
        <v>7753</v>
      </c>
      <c r="H2853" t="s">
        <v>393</v>
      </c>
      <c r="I2853" t="s">
        <v>71</v>
      </c>
      <c r="J2853">
        <v>80231</v>
      </c>
      <c r="K2853">
        <v>3870</v>
      </c>
      <c r="L2853" t="s">
        <v>23</v>
      </c>
      <c r="M2853" t="s">
        <v>7753</v>
      </c>
      <c r="N2853" t="s">
        <v>393</v>
      </c>
      <c r="O2853" t="s">
        <v>71</v>
      </c>
      <c r="P2853">
        <v>80231</v>
      </c>
      <c r="Q2853">
        <v>3870</v>
      </c>
      <c r="R2853" t="s">
        <v>23</v>
      </c>
      <c r="S2853" s="1" t="s">
        <v>34218</v>
      </c>
    </row>
    <row r="2854" spans="1:19" x14ac:dyDescent="0.25">
      <c r="A2854">
        <v>101240709</v>
      </c>
      <c r="B2854" t="s">
        <v>1986</v>
      </c>
      <c r="C2854" t="s">
        <v>180</v>
      </c>
      <c r="F2854" t="str">
        <f>"9529450905"</f>
        <v>9529450905</v>
      </c>
      <c r="G2854" t="s">
        <v>7754</v>
      </c>
      <c r="H2854" t="s">
        <v>186</v>
      </c>
      <c r="I2854" t="s">
        <v>187</v>
      </c>
      <c r="J2854">
        <v>55343</v>
      </c>
      <c r="K2854">
        <v>4308</v>
      </c>
      <c r="L2854" t="s">
        <v>23</v>
      </c>
      <c r="M2854" t="s">
        <v>7754</v>
      </c>
      <c r="N2854" t="s">
        <v>186</v>
      </c>
      <c r="O2854" t="s">
        <v>187</v>
      </c>
      <c r="P2854">
        <v>55343</v>
      </c>
      <c r="Q2854">
        <v>4308</v>
      </c>
      <c r="R2854" t="s">
        <v>23</v>
      </c>
      <c r="S2854" s="1" t="s">
        <v>34218</v>
      </c>
    </row>
    <row r="2855" spans="1:19" x14ac:dyDescent="0.25">
      <c r="A2855">
        <v>101261720</v>
      </c>
      <c r="B2855" t="s">
        <v>7755</v>
      </c>
      <c r="C2855" t="s">
        <v>7756</v>
      </c>
      <c r="F2855" t="str">
        <f>"3026534895"</f>
        <v>3026534895</v>
      </c>
      <c r="G2855" t="s">
        <v>7757</v>
      </c>
      <c r="H2855" t="s">
        <v>376</v>
      </c>
      <c r="I2855" t="s">
        <v>2310</v>
      </c>
      <c r="J2855">
        <v>19977</v>
      </c>
      <c r="K2855">
        <v>4820</v>
      </c>
      <c r="L2855" t="s">
        <v>23</v>
      </c>
      <c r="M2855" t="s">
        <v>7757</v>
      </c>
      <c r="N2855" t="s">
        <v>376</v>
      </c>
      <c r="O2855" t="s">
        <v>2310</v>
      </c>
      <c r="P2855">
        <v>19977</v>
      </c>
      <c r="Q2855">
        <v>4820</v>
      </c>
      <c r="R2855" t="s">
        <v>23</v>
      </c>
      <c r="S2855" s="1" t="s">
        <v>34218</v>
      </c>
    </row>
    <row r="2856" spans="1:19" x14ac:dyDescent="0.25">
      <c r="A2856">
        <v>101260887</v>
      </c>
      <c r="B2856" t="s">
        <v>1889</v>
      </c>
      <c r="C2856" t="s">
        <v>1179</v>
      </c>
      <c r="F2856" t="str">
        <f>"6507403116"</f>
        <v>6507403116</v>
      </c>
      <c r="G2856" t="s">
        <v>7758</v>
      </c>
      <c r="H2856" t="s">
        <v>6279</v>
      </c>
      <c r="I2856" t="s">
        <v>38</v>
      </c>
      <c r="J2856">
        <v>78640</v>
      </c>
      <c r="K2856">
        <v>5799</v>
      </c>
      <c r="L2856" t="s">
        <v>23</v>
      </c>
      <c r="M2856" t="s">
        <v>7758</v>
      </c>
      <c r="N2856" t="s">
        <v>6279</v>
      </c>
      <c r="O2856" t="s">
        <v>38</v>
      </c>
      <c r="P2856">
        <v>78640</v>
      </c>
      <c r="Q2856">
        <v>5799</v>
      </c>
      <c r="R2856" t="s">
        <v>23</v>
      </c>
      <c r="S2856" s="1" t="s">
        <v>34218</v>
      </c>
    </row>
    <row r="2857" spans="1:19" x14ac:dyDescent="0.25">
      <c r="A2857">
        <v>101397156</v>
      </c>
      <c r="B2857" t="s">
        <v>3405</v>
      </c>
      <c r="C2857" t="s">
        <v>1124</v>
      </c>
      <c r="F2857" t="str">
        <f>"4108752990"</f>
        <v>4108752990</v>
      </c>
      <c r="G2857" t="s">
        <v>7759</v>
      </c>
      <c r="H2857" t="s">
        <v>4057</v>
      </c>
      <c r="I2857" t="s">
        <v>148</v>
      </c>
      <c r="J2857">
        <v>21784</v>
      </c>
      <c r="K2857">
        <v>7739</v>
      </c>
      <c r="L2857" t="s">
        <v>23</v>
      </c>
      <c r="M2857" t="s">
        <v>7759</v>
      </c>
      <c r="N2857" t="s">
        <v>4057</v>
      </c>
      <c r="O2857" t="s">
        <v>148</v>
      </c>
      <c r="P2857">
        <v>21784</v>
      </c>
      <c r="Q2857">
        <v>7739</v>
      </c>
      <c r="R2857" t="s">
        <v>23</v>
      </c>
      <c r="S2857" s="1" t="s">
        <v>34218</v>
      </c>
    </row>
    <row r="2858" spans="1:19" x14ac:dyDescent="0.25">
      <c r="A2858">
        <v>101301974</v>
      </c>
      <c r="B2858" t="s">
        <v>4997</v>
      </c>
      <c r="C2858" t="s">
        <v>1463</v>
      </c>
      <c r="F2858" t="str">
        <f>"5413615553"</f>
        <v>5413615553</v>
      </c>
      <c r="G2858" t="s">
        <v>7760</v>
      </c>
      <c r="H2858" t="s">
        <v>4486</v>
      </c>
      <c r="I2858" t="s">
        <v>22</v>
      </c>
      <c r="J2858">
        <v>95492</v>
      </c>
      <c r="K2858">
        <v>8982</v>
      </c>
      <c r="L2858" t="s">
        <v>23</v>
      </c>
      <c r="M2858" t="s">
        <v>7760</v>
      </c>
      <c r="N2858" t="s">
        <v>4486</v>
      </c>
      <c r="O2858" t="s">
        <v>22</v>
      </c>
      <c r="P2858">
        <v>95492</v>
      </c>
      <c r="Q2858">
        <v>8982</v>
      </c>
      <c r="R2858" t="s">
        <v>23</v>
      </c>
      <c r="S2858" s="1" t="s">
        <v>34218</v>
      </c>
    </row>
    <row r="2859" spans="1:19" x14ac:dyDescent="0.25">
      <c r="A2859">
        <v>100951891</v>
      </c>
      <c r="B2859" t="s">
        <v>7761</v>
      </c>
      <c r="C2859" t="s">
        <v>699</v>
      </c>
      <c r="F2859" t="str">
        <f>"5037997547"</f>
        <v>5037997547</v>
      </c>
      <c r="G2859" t="s">
        <v>7762</v>
      </c>
      <c r="H2859" t="s">
        <v>47</v>
      </c>
      <c r="I2859" t="s">
        <v>43</v>
      </c>
      <c r="J2859">
        <v>97504</v>
      </c>
      <c r="K2859">
        <v>9403</v>
      </c>
      <c r="L2859" t="s">
        <v>23</v>
      </c>
      <c r="M2859" t="s">
        <v>7762</v>
      </c>
      <c r="N2859" t="s">
        <v>47</v>
      </c>
      <c r="O2859" t="s">
        <v>43</v>
      </c>
      <c r="P2859">
        <v>97504</v>
      </c>
      <c r="Q2859">
        <v>9403</v>
      </c>
      <c r="R2859" t="s">
        <v>23</v>
      </c>
      <c r="S2859" s="1" t="s">
        <v>34218</v>
      </c>
    </row>
    <row r="2860" spans="1:19" x14ac:dyDescent="0.25">
      <c r="A2860">
        <v>100804310</v>
      </c>
      <c r="B2860" t="s">
        <v>7763</v>
      </c>
      <c r="C2860" t="s">
        <v>7764</v>
      </c>
      <c r="F2860" t="str">
        <f>"6034272550"</f>
        <v>6034272550</v>
      </c>
      <c r="G2860" t="s">
        <v>7765</v>
      </c>
      <c r="H2860" t="s">
        <v>5014</v>
      </c>
      <c r="I2860" t="s">
        <v>353</v>
      </c>
      <c r="J2860">
        <v>3801</v>
      </c>
      <c r="K2860">
        <v>3612</v>
      </c>
      <c r="L2860" t="s">
        <v>23</v>
      </c>
      <c r="M2860" t="s">
        <v>7765</v>
      </c>
      <c r="N2860" t="s">
        <v>5014</v>
      </c>
      <c r="O2860" t="s">
        <v>353</v>
      </c>
      <c r="P2860">
        <v>3801</v>
      </c>
      <c r="Q2860">
        <v>3612</v>
      </c>
      <c r="R2860" t="s">
        <v>23</v>
      </c>
      <c r="S2860" s="1" t="s">
        <v>34218</v>
      </c>
    </row>
    <row r="2861" spans="1:19" x14ac:dyDescent="0.25">
      <c r="A2861">
        <v>101187901</v>
      </c>
      <c r="B2861" t="s">
        <v>7766</v>
      </c>
      <c r="C2861" t="s">
        <v>7767</v>
      </c>
      <c r="F2861" t="str">
        <f>"3035490938"</f>
        <v>3035490938</v>
      </c>
      <c r="G2861" t="s">
        <v>7768</v>
      </c>
      <c r="H2861" t="s">
        <v>227</v>
      </c>
      <c r="I2861" t="s">
        <v>43</v>
      </c>
      <c r="J2861">
        <v>97212</v>
      </c>
      <c r="K2861">
        <v>3558</v>
      </c>
      <c r="L2861" t="s">
        <v>23</v>
      </c>
      <c r="M2861" t="s">
        <v>7768</v>
      </c>
      <c r="N2861" t="s">
        <v>227</v>
      </c>
      <c r="O2861" t="s">
        <v>43</v>
      </c>
      <c r="P2861">
        <v>97212</v>
      </c>
      <c r="Q2861">
        <v>3558</v>
      </c>
      <c r="R2861" t="s">
        <v>23</v>
      </c>
      <c r="S2861" s="1" t="s">
        <v>34218</v>
      </c>
    </row>
    <row r="2862" spans="1:19" x14ac:dyDescent="0.25">
      <c r="A2862">
        <v>101088362</v>
      </c>
      <c r="B2862" t="s">
        <v>7769</v>
      </c>
      <c r="C2862" t="s">
        <v>25</v>
      </c>
      <c r="F2862" t="str">
        <f>"4253218281"</f>
        <v>4253218281</v>
      </c>
      <c r="G2862" t="s">
        <v>7770</v>
      </c>
      <c r="H2862" t="s">
        <v>4510</v>
      </c>
      <c r="I2862" t="s">
        <v>84</v>
      </c>
      <c r="J2862" t="s">
        <v>7771</v>
      </c>
      <c r="K2862">
        <v>7866</v>
      </c>
      <c r="L2862" t="s">
        <v>23</v>
      </c>
      <c r="M2862" t="s">
        <v>7770</v>
      </c>
      <c r="N2862" t="s">
        <v>4510</v>
      </c>
      <c r="O2862" t="s">
        <v>84</v>
      </c>
      <c r="P2862" t="s">
        <v>7771</v>
      </c>
      <c r="Q2862">
        <v>7866</v>
      </c>
      <c r="R2862" t="s">
        <v>23</v>
      </c>
      <c r="S2862" s="1" t="s">
        <v>34218</v>
      </c>
    </row>
    <row r="2863" spans="1:19" x14ac:dyDescent="0.25">
      <c r="A2863">
        <v>100915447</v>
      </c>
      <c r="B2863" t="s">
        <v>7772</v>
      </c>
      <c r="C2863" t="s">
        <v>7569</v>
      </c>
      <c r="F2863" t="str">
        <f>"3237172902"</f>
        <v>3237172902</v>
      </c>
      <c r="G2863" t="s">
        <v>7773</v>
      </c>
      <c r="H2863" t="s">
        <v>1096</v>
      </c>
      <c r="I2863" t="s">
        <v>1097</v>
      </c>
      <c r="J2863">
        <v>40215</v>
      </c>
      <c r="L2863" t="s">
        <v>23</v>
      </c>
      <c r="M2863" t="s">
        <v>7773</v>
      </c>
      <c r="N2863" t="s">
        <v>1096</v>
      </c>
      <c r="O2863" t="s">
        <v>1097</v>
      </c>
      <c r="P2863">
        <v>40215</v>
      </c>
      <c r="R2863" t="s">
        <v>23</v>
      </c>
      <c r="S2863" s="1" t="s">
        <v>34218</v>
      </c>
    </row>
    <row r="2864" spans="1:19" x14ac:dyDescent="0.25">
      <c r="A2864">
        <v>101444469</v>
      </c>
      <c r="B2864" t="s">
        <v>3109</v>
      </c>
      <c r="C2864" t="s">
        <v>1208</v>
      </c>
      <c r="F2864" t="str">
        <f>"3015551212"</f>
        <v>3015551212</v>
      </c>
      <c r="G2864" t="s">
        <v>7774</v>
      </c>
      <c r="H2864" t="s">
        <v>4859</v>
      </c>
      <c r="I2864" t="s">
        <v>148</v>
      </c>
      <c r="J2864" t="s">
        <v>7775</v>
      </c>
      <c r="K2864">
        <v>1904</v>
      </c>
      <c r="L2864" t="s">
        <v>23</v>
      </c>
      <c r="M2864" t="s">
        <v>7774</v>
      </c>
      <c r="N2864" t="s">
        <v>4859</v>
      </c>
      <c r="O2864" t="s">
        <v>148</v>
      </c>
      <c r="P2864" t="s">
        <v>7775</v>
      </c>
      <c r="Q2864">
        <v>1904</v>
      </c>
      <c r="R2864" t="s">
        <v>23</v>
      </c>
      <c r="S2864" s="1" t="s">
        <v>34218</v>
      </c>
    </row>
    <row r="2865" spans="1:19" x14ac:dyDescent="0.25">
      <c r="A2865">
        <v>100980590</v>
      </c>
      <c r="B2865" t="s">
        <v>7776</v>
      </c>
      <c r="C2865" t="s">
        <v>4188</v>
      </c>
      <c r="F2865" t="str">
        <f>"2622907855"</f>
        <v>2622907855</v>
      </c>
      <c r="G2865" t="s">
        <v>7777</v>
      </c>
      <c r="H2865" t="s">
        <v>7778</v>
      </c>
      <c r="I2865" t="s">
        <v>140</v>
      </c>
      <c r="J2865" t="s">
        <v>7779</v>
      </c>
      <c r="K2865">
        <v>8059</v>
      </c>
      <c r="L2865" t="s">
        <v>23</v>
      </c>
      <c r="M2865" t="s">
        <v>7777</v>
      </c>
      <c r="N2865" t="s">
        <v>7778</v>
      </c>
      <c r="O2865" t="s">
        <v>140</v>
      </c>
      <c r="P2865" t="s">
        <v>7779</v>
      </c>
      <c r="Q2865">
        <v>8059</v>
      </c>
      <c r="R2865" t="s">
        <v>23</v>
      </c>
      <c r="S2865" s="1" t="s">
        <v>34218</v>
      </c>
    </row>
    <row r="2866" spans="1:19" x14ac:dyDescent="0.25">
      <c r="A2866">
        <v>101295453</v>
      </c>
      <c r="B2866" t="s">
        <v>966</v>
      </c>
      <c r="C2866" t="s">
        <v>7780</v>
      </c>
      <c r="F2866" t="str">
        <f>"3202745339"</f>
        <v>3202745339</v>
      </c>
      <c r="G2866" t="s">
        <v>7781</v>
      </c>
      <c r="H2866" t="s">
        <v>336</v>
      </c>
      <c r="I2866" t="s">
        <v>187</v>
      </c>
      <c r="J2866" t="s">
        <v>7782</v>
      </c>
      <c r="K2866">
        <v>1163</v>
      </c>
      <c r="L2866" t="s">
        <v>23</v>
      </c>
      <c r="M2866" t="s">
        <v>7781</v>
      </c>
      <c r="N2866" t="s">
        <v>336</v>
      </c>
      <c r="O2866" t="s">
        <v>187</v>
      </c>
      <c r="P2866" t="s">
        <v>7782</v>
      </c>
      <c r="Q2866">
        <v>1163</v>
      </c>
      <c r="R2866" t="s">
        <v>23</v>
      </c>
      <c r="S2866" s="1" t="s">
        <v>34218</v>
      </c>
    </row>
    <row r="2867" spans="1:19" x14ac:dyDescent="0.25">
      <c r="A2867">
        <v>100561608</v>
      </c>
      <c r="B2867" t="s">
        <v>2074</v>
      </c>
      <c r="C2867" t="s">
        <v>803</v>
      </c>
      <c r="F2867" t="str">
        <f>"3048898787"</f>
        <v>3048898787</v>
      </c>
      <c r="G2867" t="s">
        <v>7783</v>
      </c>
      <c r="H2867" t="s">
        <v>7784</v>
      </c>
      <c r="I2867" t="s">
        <v>327</v>
      </c>
      <c r="J2867">
        <v>25428</v>
      </c>
      <c r="L2867" t="s">
        <v>23</v>
      </c>
      <c r="M2867" t="s">
        <v>7783</v>
      </c>
      <c r="N2867" t="s">
        <v>7784</v>
      </c>
      <c r="O2867" t="s">
        <v>327</v>
      </c>
      <c r="P2867">
        <v>25428</v>
      </c>
      <c r="R2867" t="s">
        <v>23</v>
      </c>
      <c r="S2867" s="1" t="s">
        <v>34218</v>
      </c>
    </row>
    <row r="2868" spans="1:19" x14ac:dyDescent="0.25">
      <c r="A2868">
        <v>101306836</v>
      </c>
      <c r="B2868" t="s">
        <v>6598</v>
      </c>
      <c r="C2868" t="s">
        <v>6658</v>
      </c>
      <c r="F2868" t="str">
        <f>"2014444732"</f>
        <v>2014444732</v>
      </c>
      <c r="G2868" t="s">
        <v>7785</v>
      </c>
      <c r="H2868" t="s">
        <v>7786</v>
      </c>
      <c r="I2868" t="s">
        <v>250</v>
      </c>
      <c r="J2868">
        <v>7481</v>
      </c>
      <c r="K2868">
        <v>3172</v>
      </c>
      <c r="L2868" t="s">
        <v>23</v>
      </c>
      <c r="M2868" t="s">
        <v>7785</v>
      </c>
      <c r="N2868" t="s">
        <v>7786</v>
      </c>
      <c r="O2868" t="s">
        <v>250</v>
      </c>
      <c r="P2868">
        <v>7481</v>
      </c>
      <c r="Q2868">
        <v>3172</v>
      </c>
      <c r="R2868" t="s">
        <v>23</v>
      </c>
      <c r="S2868" s="1" t="s">
        <v>34218</v>
      </c>
    </row>
    <row r="2869" spans="1:19" x14ac:dyDescent="0.25">
      <c r="A2869">
        <v>101219762</v>
      </c>
      <c r="B2869" t="s">
        <v>7787</v>
      </c>
      <c r="C2869" t="s">
        <v>4966</v>
      </c>
      <c r="F2869" t="str">
        <f>"3035966182"</f>
        <v>3035966182</v>
      </c>
      <c r="G2869" t="s">
        <v>7788</v>
      </c>
      <c r="H2869" t="s">
        <v>393</v>
      </c>
      <c r="I2869" t="s">
        <v>71</v>
      </c>
      <c r="J2869" t="s">
        <v>7789</v>
      </c>
      <c r="K2869">
        <v>4407</v>
      </c>
      <c r="L2869" t="s">
        <v>23</v>
      </c>
      <c r="M2869" t="s">
        <v>7788</v>
      </c>
      <c r="N2869" t="s">
        <v>393</v>
      </c>
      <c r="O2869" t="s">
        <v>71</v>
      </c>
      <c r="P2869" t="s">
        <v>7789</v>
      </c>
      <c r="Q2869">
        <v>4407</v>
      </c>
      <c r="R2869" t="s">
        <v>23</v>
      </c>
      <c r="S2869" s="1" t="s">
        <v>34218</v>
      </c>
    </row>
    <row r="2870" spans="1:19" x14ac:dyDescent="0.25">
      <c r="A2870">
        <v>101140956</v>
      </c>
      <c r="B2870" t="s">
        <v>800</v>
      </c>
      <c r="C2870" t="s">
        <v>5113</v>
      </c>
      <c r="F2870" t="str">
        <f>"5125372746"</f>
        <v>5125372746</v>
      </c>
      <c r="G2870" t="s">
        <v>7790</v>
      </c>
      <c r="H2870" t="s">
        <v>37</v>
      </c>
      <c r="I2870" t="s">
        <v>38</v>
      </c>
      <c r="J2870">
        <v>78735</v>
      </c>
      <c r="K2870">
        <v>6654</v>
      </c>
      <c r="L2870" t="s">
        <v>23</v>
      </c>
      <c r="M2870" t="s">
        <v>7790</v>
      </c>
      <c r="N2870" t="s">
        <v>37</v>
      </c>
      <c r="O2870" t="s">
        <v>38</v>
      </c>
      <c r="P2870">
        <v>78735</v>
      </c>
      <c r="Q2870">
        <v>6654</v>
      </c>
      <c r="R2870" t="s">
        <v>23</v>
      </c>
      <c r="S2870" s="1" t="s">
        <v>34218</v>
      </c>
    </row>
    <row r="2871" spans="1:19" x14ac:dyDescent="0.25">
      <c r="A2871">
        <v>100844861</v>
      </c>
      <c r="B2871" t="s">
        <v>7791</v>
      </c>
      <c r="C2871" t="s">
        <v>7792</v>
      </c>
      <c r="F2871" t="str">
        <f>"4088585365"</f>
        <v>4088585365</v>
      </c>
      <c r="G2871" t="s">
        <v>7793</v>
      </c>
      <c r="H2871" t="s">
        <v>3768</v>
      </c>
      <c r="I2871" t="s">
        <v>22</v>
      </c>
      <c r="J2871" t="s">
        <v>7794</v>
      </c>
      <c r="K2871">
        <v>2714</v>
      </c>
      <c r="L2871" t="s">
        <v>23</v>
      </c>
      <c r="M2871" t="s">
        <v>7793</v>
      </c>
      <c r="N2871" t="s">
        <v>3768</v>
      </c>
      <c r="O2871" t="s">
        <v>22</v>
      </c>
      <c r="P2871" t="s">
        <v>7794</v>
      </c>
      <c r="Q2871">
        <v>2714</v>
      </c>
      <c r="R2871" t="s">
        <v>23</v>
      </c>
      <c r="S2871" s="1" t="s">
        <v>34218</v>
      </c>
    </row>
    <row r="2872" spans="1:19" x14ac:dyDescent="0.25">
      <c r="A2872">
        <v>100760512</v>
      </c>
      <c r="B2872" t="s">
        <v>7795</v>
      </c>
      <c r="C2872" t="s">
        <v>180</v>
      </c>
      <c r="F2872" t="str">
        <f>"3307590797"</f>
        <v>3307590797</v>
      </c>
      <c r="G2872" t="s">
        <v>7796</v>
      </c>
      <c r="H2872" t="s">
        <v>7797</v>
      </c>
      <c r="I2872" t="s">
        <v>178</v>
      </c>
      <c r="J2872">
        <v>44425</v>
      </c>
      <c r="K2872">
        <v>3341</v>
      </c>
      <c r="L2872" t="s">
        <v>23</v>
      </c>
      <c r="M2872" t="s">
        <v>7796</v>
      </c>
      <c r="N2872" t="s">
        <v>7797</v>
      </c>
      <c r="O2872" t="s">
        <v>178</v>
      </c>
      <c r="P2872">
        <v>44425</v>
      </c>
      <c r="Q2872">
        <v>3341</v>
      </c>
      <c r="R2872" t="s">
        <v>23</v>
      </c>
      <c r="S2872" s="1" t="s">
        <v>34218</v>
      </c>
    </row>
    <row r="2873" spans="1:19" x14ac:dyDescent="0.25">
      <c r="A2873">
        <v>100915324</v>
      </c>
      <c r="B2873" t="s">
        <v>7798</v>
      </c>
      <c r="C2873" t="s">
        <v>7799</v>
      </c>
      <c r="F2873" t="str">
        <f>"8313344438"</f>
        <v>8313344438</v>
      </c>
      <c r="G2873" t="s">
        <v>7800</v>
      </c>
      <c r="H2873" t="s">
        <v>174</v>
      </c>
      <c r="I2873" t="s">
        <v>22</v>
      </c>
      <c r="J2873">
        <v>93101</v>
      </c>
      <c r="K2873">
        <v>1683</v>
      </c>
      <c r="L2873" t="s">
        <v>23</v>
      </c>
      <c r="M2873" t="s">
        <v>7800</v>
      </c>
      <c r="N2873" t="s">
        <v>174</v>
      </c>
      <c r="O2873" t="s">
        <v>22</v>
      </c>
      <c r="P2873">
        <v>93101</v>
      </c>
      <c r="Q2873">
        <v>1683</v>
      </c>
      <c r="R2873" t="s">
        <v>23</v>
      </c>
      <c r="S2873" s="1" t="s">
        <v>34218</v>
      </c>
    </row>
    <row r="2874" spans="1:19" x14ac:dyDescent="0.25">
      <c r="A2874">
        <v>101225578</v>
      </c>
      <c r="B2874" t="s">
        <v>7801</v>
      </c>
      <c r="C2874" t="s">
        <v>2329</v>
      </c>
      <c r="F2874" t="str">
        <f>"3072501007"</f>
        <v>3072501007</v>
      </c>
      <c r="G2874" t="s">
        <v>7802</v>
      </c>
      <c r="H2874" t="s">
        <v>7803</v>
      </c>
      <c r="I2874" t="s">
        <v>4652</v>
      </c>
      <c r="J2874">
        <v>57701</v>
      </c>
      <c r="K2874">
        <v>7397</v>
      </c>
      <c r="L2874" t="s">
        <v>23</v>
      </c>
      <c r="M2874" t="s">
        <v>7802</v>
      </c>
      <c r="N2874" t="s">
        <v>7803</v>
      </c>
      <c r="O2874" t="s">
        <v>4652</v>
      </c>
      <c r="P2874">
        <v>57701</v>
      </c>
      <c r="Q2874">
        <v>7397</v>
      </c>
      <c r="R2874" t="s">
        <v>23</v>
      </c>
      <c r="S2874" s="1" t="s">
        <v>34218</v>
      </c>
    </row>
    <row r="2875" spans="1:19" x14ac:dyDescent="0.25">
      <c r="A2875">
        <v>101270489</v>
      </c>
      <c r="B2875" t="s">
        <v>497</v>
      </c>
      <c r="C2875" t="s">
        <v>2518</v>
      </c>
      <c r="F2875" t="str">
        <f>"6094428153"</f>
        <v>6094428153</v>
      </c>
      <c r="G2875" t="s">
        <v>7804</v>
      </c>
      <c r="H2875" t="s">
        <v>7805</v>
      </c>
      <c r="I2875" t="s">
        <v>250</v>
      </c>
      <c r="J2875" t="s">
        <v>7806</v>
      </c>
      <c r="K2875">
        <v>1234</v>
      </c>
      <c r="L2875" t="s">
        <v>23</v>
      </c>
      <c r="M2875" t="s">
        <v>7804</v>
      </c>
      <c r="N2875" t="s">
        <v>7805</v>
      </c>
      <c r="O2875" t="s">
        <v>250</v>
      </c>
      <c r="P2875" t="s">
        <v>7806</v>
      </c>
      <c r="Q2875">
        <v>1234</v>
      </c>
      <c r="R2875" t="s">
        <v>23</v>
      </c>
      <c r="S2875" s="1" t="s">
        <v>34218</v>
      </c>
    </row>
    <row r="2876" spans="1:19" x14ac:dyDescent="0.25">
      <c r="A2876">
        <v>101312061</v>
      </c>
      <c r="B2876" t="s">
        <v>5478</v>
      </c>
      <c r="C2876" t="s">
        <v>1616</v>
      </c>
      <c r="F2876" t="str">
        <f>"7708617427"</f>
        <v>7708617427</v>
      </c>
      <c r="G2876" t="s">
        <v>7807</v>
      </c>
      <c r="H2876" t="s">
        <v>6826</v>
      </c>
      <c r="I2876" t="s">
        <v>148</v>
      </c>
      <c r="J2876">
        <v>21620</v>
      </c>
      <c r="K2876">
        <v>5085</v>
      </c>
      <c r="L2876" t="s">
        <v>23</v>
      </c>
      <c r="M2876" t="s">
        <v>7807</v>
      </c>
      <c r="N2876" t="s">
        <v>6826</v>
      </c>
      <c r="O2876" t="s">
        <v>148</v>
      </c>
      <c r="P2876">
        <v>21620</v>
      </c>
      <c r="Q2876">
        <v>5085</v>
      </c>
      <c r="R2876" t="s">
        <v>23</v>
      </c>
      <c r="S2876" s="1" t="s">
        <v>34218</v>
      </c>
    </row>
    <row r="2877" spans="1:19" x14ac:dyDescent="0.25">
      <c r="A2877">
        <v>100905506</v>
      </c>
      <c r="B2877" t="s">
        <v>7808</v>
      </c>
      <c r="C2877" t="s">
        <v>367</v>
      </c>
      <c r="F2877" t="str">
        <f>"2157521278"</f>
        <v>2157521278</v>
      </c>
      <c r="G2877" t="s">
        <v>7809</v>
      </c>
      <c r="H2877" t="s">
        <v>7810</v>
      </c>
      <c r="I2877" t="s">
        <v>33</v>
      </c>
      <c r="J2877">
        <v>19020</v>
      </c>
      <c r="L2877" t="s">
        <v>23</v>
      </c>
      <c r="M2877" t="s">
        <v>7809</v>
      </c>
      <c r="N2877" t="s">
        <v>7810</v>
      </c>
      <c r="O2877" t="s">
        <v>33</v>
      </c>
      <c r="P2877">
        <v>19020</v>
      </c>
      <c r="R2877" t="s">
        <v>23</v>
      </c>
      <c r="S2877" s="1" t="s">
        <v>34218</v>
      </c>
    </row>
    <row r="2878" spans="1:19" x14ac:dyDescent="0.25">
      <c r="A2878">
        <v>101139765</v>
      </c>
      <c r="B2878" t="s">
        <v>7811</v>
      </c>
      <c r="C2878" t="s">
        <v>5893</v>
      </c>
      <c r="F2878" t="str">
        <f>"9175580202"</f>
        <v>9175580202</v>
      </c>
      <c r="G2878" t="s">
        <v>7812</v>
      </c>
      <c r="H2878" t="s">
        <v>7813</v>
      </c>
      <c r="I2878" t="s">
        <v>307</v>
      </c>
      <c r="J2878">
        <v>5403</v>
      </c>
      <c r="K2878">
        <v>3701</v>
      </c>
      <c r="L2878" t="s">
        <v>23</v>
      </c>
      <c r="M2878" t="s">
        <v>7812</v>
      </c>
      <c r="N2878" t="s">
        <v>7813</v>
      </c>
      <c r="O2878" t="s">
        <v>307</v>
      </c>
      <c r="P2878">
        <v>5403</v>
      </c>
      <c r="Q2878">
        <v>3701</v>
      </c>
      <c r="R2878" t="s">
        <v>23</v>
      </c>
      <c r="S2878" s="1" t="s">
        <v>34218</v>
      </c>
    </row>
    <row r="2879" spans="1:19" x14ac:dyDescent="0.25">
      <c r="A2879">
        <v>100935301</v>
      </c>
      <c r="B2879" t="s">
        <v>7814</v>
      </c>
      <c r="C2879" t="s">
        <v>2343</v>
      </c>
      <c r="F2879" t="str">
        <f>"3033778893"</f>
        <v>3033778893</v>
      </c>
      <c r="G2879" t="s">
        <v>7815</v>
      </c>
      <c r="H2879" t="s">
        <v>393</v>
      </c>
      <c r="I2879" t="s">
        <v>71</v>
      </c>
      <c r="J2879">
        <v>80220</v>
      </c>
      <c r="K2879">
        <v>5831</v>
      </c>
      <c r="L2879" t="s">
        <v>23</v>
      </c>
      <c r="M2879" t="s">
        <v>7815</v>
      </c>
      <c r="N2879" t="s">
        <v>393</v>
      </c>
      <c r="O2879" t="s">
        <v>71</v>
      </c>
      <c r="P2879">
        <v>80220</v>
      </c>
      <c r="Q2879">
        <v>5831</v>
      </c>
      <c r="R2879" t="s">
        <v>23</v>
      </c>
      <c r="S2879" s="1" t="s">
        <v>34218</v>
      </c>
    </row>
    <row r="2880" spans="1:19" x14ac:dyDescent="0.25">
      <c r="A2880">
        <v>100849851</v>
      </c>
      <c r="B2880" t="s">
        <v>7816</v>
      </c>
      <c r="C2880" t="s">
        <v>180</v>
      </c>
      <c r="F2880" t="str">
        <f>"5109640704"</f>
        <v>5109640704</v>
      </c>
      <c r="G2880" t="s">
        <v>7817</v>
      </c>
      <c r="H2880" t="s">
        <v>319</v>
      </c>
      <c r="I2880" t="s">
        <v>22</v>
      </c>
      <c r="J2880">
        <v>92201</v>
      </c>
      <c r="K2880">
        <v>9712</v>
      </c>
      <c r="L2880" t="s">
        <v>23</v>
      </c>
      <c r="M2880" t="s">
        <v>7817</v>
      </c>
      <c r="N2880" t="s">
        <v>319</v>
      </c>
      <c r="O2880" t="s">
        <v>22</v>
      </c>
      <c r="P2880">
        <v>92201</v>
      </c>
      <c r="Q2880">
        <v>9712</v>
      </c>
      <c r="R2880" t="s">
        <v>23</v>
      </c>
      <c r="S2880" s="1" t="s">
        <v>34218</v>
      </c>
    </row>
    <row r="2881" spans="1:19" x14ac:dyDescent="0.25">
      <c r="A2881">
        <v>101305452</v>
      </c>
      <c r="B2881" t="s">
        <v>7818</v>
      </c>
      <c r="C2881" t="s">
        <v>1602</v>
      </c>
      <c r="F2881" t="str">
        <f>"2169901705"</f>
        <v>2169901705</v>
      </c>
      <c r="G2881" t="s">
        <v>7819</v>
      </c>
      <c r="H2881" t="s">
        <v>7820</v>
      </c>
      <c r="I2881" t="s">
        <v>178</v>
      </c>
      <c r="J2881">
        <v>44041</v>
      </c>
      <c r="L2881" t="s">
        <v>23</v>
      </c>
      <c r="M2881" t="s">
        <v>7819</v>
      </c>
      <c r="N2881" t="s">
        <v>7820</v>
      </c>
      <c r="O2881" t="s">
        <v>178</v>
      </c>
      <c r="P2881">
        <v>44041</v>
      </c>
      <c r="R2881" t="s">
        <v>23</v>
      </c>
      <c r="S2881" s="1" t="s">
        <v>34218</v>
      </c>
    </row>
    <row r="2882" spans="1:19" x14ac:dyDescent="0.25">
      <c r="A2882">
        <v>100732994</v>
      </c>
      <c r="B2882" t="s">
        <v>4388</v>
      </c>
      <c r="C2882" t="s">
        <v>7821</v>
      </c>
      <c r="F2882" t="str">
        <f>"4138831008"</f>
        <v>4138831008</v>
      </c>
      <c r="G2882" t="s">
        <v>7822</v>
      </c>
      <c r="H2882" t="s">
        <v>2820</v>
      </c>
      <c r="I2882" t="s">
        <v>365</v>
      </c>
      <c r="J2882">
        <v>85755</v>
      </c>
      <c r="K2882">
        <v>9316</v>
      </c>
      <c r="L2882" t="s">
        <v>23</v>
      </c>
      <c r="M2882" t="s">
        <v>7822</v>
      </c>
      <c r="N2882" t="s">
        <v>2820</v>
      </c>
      <c r="O2882" t="s">
        <v>365</v>
      </c>
      <c r="P2882">
        <v>85755</v>
      </c>
      <c r="Q2882">
        <v>9316</v>
      </c>
      <c r="R2882" t="s">
        <v>23</v>
      </c>
      <c r="S2882" s="1" t="s">
        <v>34218</v>
      </c>
    </row>
    <row r="2883" spans="1:19" x14ac:dyDescent="0.25">
      <c r="A2883">
        <v>100921296</v>
      </c>
      <c r="B2883" t="s">
        <v>7823</v>
      </c>
      <c r="C2883" t="s">
        <v>456</v>
      </c>
      <c r="F2883" t="str">
        <f>"5059209280"</f>
        <v>5059209280</v>
      </c>
      <c r="G2883" t="s">
        <v>7824</v>
      </c>
      <c r="H2883" t="s">
        <v>7825</v>
      </c>
      <c r="I2883" t="s">
        <v>52</v>
      </c>
      <c r="J2883">
        <v>33138</v>
      </c>
      <c r="K2883">
        <v>3018</v>
      </c>
      <c r="L2883" t="s">
        <v>23</v>
      </c>
      <c r="M2883" t="s">
        <v>7824</v>
      </c>
      <c r="N2883" t="s">
        <v>7825</v>
      </c>
      <c r="O2883" t="s">
        <v>52</v>
      </c>
      <c r="P2883">
        <v>33138</v>
      </c>
      <c r="Q2883">
        <v>3018</v>
      </c>
      <c r="R2883" t="s">
        <v>23</v>
      </c>
      <c r="S2883" s="1" t="s">
        <v>34218</v>
      </c>
    </row>
    <row r="2884" spans="1:19" x14ac:dyDescent="0.25">
      <c r="A2884">
        <v>101088413</v>
      </c>
      <c r="B2884" t="s">
        <v>2331</v>
      </c>
      <c r="C2884" t="s">
        <v>5613</v>
      </c>
      <c r="F2884" t="str">
        <f>"8186975234"</f>
        <v>8186975234</v>
      </c>
      <c r="G2884" t="s">
        <v>7826</v>
      </c>
      <c r="H2884" t="s">
        <v>5290</v>
      </c>
      <c r="I2884" t="s">
        <v>22</v>
      </c>
      <c r="J2884" t="s">
        <v>7827</v>
      </c>
      <c r="K2884">
        <v>1545</v>
      </c>
      <c r="L2884" t="s">
        <v>23</v>
      </c>
      <c r="M2884" t="s">
        <v>7826</v>
      </c>
      <c r="N2884" t="s">
        <v>5290</v>
      </c>
      <c r="O2884" t="s">
        <v>22</v>
      </c>
      <c r="P2884" t="s">
        <v>7827</v>
      </c>
      <c r="Q2884">
        <v>1545</v>
      </c>
      <c r="R2884" t="s">
        <v>23</v>
      </c>
      <c r="S2884" s="1" t="s">
        <v>34218</v>
      </c>
    </row>
    <row r="2885" spans="1:19" x14ac:dyDescent="0.25">
      <c r="A2885">
        <v>101169484</v>
      </c>
      <c r="B2885" t="s">
        <v>4139</v>
      </c>
      <c r="C2885" t="s">
        <v>403</v>
      </c>
      <c r="F2885" t="str">
        <f>"8055411906"</f>
        <v>8055411906</v>
      </c>
      <c r="G2885" t="s">
        <v>7828</v>
      </c>
      <c r="H2885" t="s">
        <v>1060</v>
      </c>
      <c r="I2885" t="s">
        <v>22</v>
      </c>
      <c r="J2885" t="s">
        <v>7829</v>
      </c>
      <c r="K2885">
        <v>4526</v>
      </c>
      <c r="L2885" t="s">
        <v>23</v>
      </c>
      <c r="M2885" t="s">
        <v>7828</v>
      </c>
      <c r="N2885" t="s">
        <v>1060</v>
      </c>
      <c r="O2885" t="s">
        <v>22</v>
      </c>
      <c r="P2885" t="s">
        <v>7829</v>
      </c>
      <c r="Q2885">
        <v>4526</v>
      </c>
      <c r="R2885" t="s">
        <v>23</v>
      </c>
      <c r="S2885" s="1" t="s">
        <v>34218</v>
      </c>
    </row>
    <row r="2886" spans="1:19" x14ac:dyDescent="0.25">
      <c r="A2886">
        <v>100824600</v>
      </c>
      <c r="B2886" t="s">
        <v>7830</v>
      </c>
      <c r="C2886" t="s">
        <v>25</v>
      </c>
      <c r="F2886" t="str">
        <f>"7182840238"</f>
        <v>7182840238</v>
      </c>
      <c r="G2886" t="s">
        <v>7831</v>
      </c>
      <c r="H2886" t="s">
        <v>412</v>
      </c>
      <c r="I2886" t="s">
        <v>117</v>
      </c>
      <c r="J2886" t="s">
        <v>7832</v>
      </c>
      <c r="K2886">
        <v>5736</v>
      </c>
      <c r="L2886" t="s">
        <v>23</v>
      </c>
      <c r="M2886" t="s">
        <v>7831</v>
      </c>
      <c r="N2886" t="s">
        <v>412</v>
      </c>
      <c r="O2886" t="s">
        <v>117</v>
      </c>
      <c r="P2886" t="s">
        <v>7832</v>
      </c>
      <c r="Q2886">
        <v>5736</v>
      </c>
      <c r="R2886" t="s">
        <v>23</v>
      </c>
      <c r="S2886" s="1" t="s">
        <v>34218</v>
      </c>
    </row>
    <row r="2887" spans="1:19" x14ac:dyDescent="0.25">
      <c r="A2887">
        <v>100657551</v>
      </c>
      <c r="B2887" t="s">
        <v>2689</v>
      </c>
      <c r="C2887" t="s">
        <v>383</v>
      </c>
      <c r="F2887" t="str">
        <f>"7607495279"</f>
        <v>7607495279</v>
      </c>
      <c r="G2887" t="s">
        <v>7833</v>
      </c>
      <c r="H2887" t="s">
        <v>4349</v>
      </c>
      <c r="I2887" t="s">
        <v>22</v>
      </c>
      <c r="J2887">
        <v>92026</v>
      </c>
      <c r="K2887">
        <v>6210</v>
      </c>
      <c r="L2887" t="s">
        <v>23</v>
      </c>
      <c r="M2887" t="s">
        <v>7833</v>
      </c>
      <c r="N2887" t="s">
        <v>4349</v>
      </c>
      <c r="O2887" t="s">
        <v>22</v>
      </c>
      <c r="P2887">
        <v>92026</v>
      </c>
      <c r="Q2887">
        <v>6210</v>
      </c>
      <c r="R2887" t="s">
        <v>23</v>
      </c>
      <c r="S2887" s="1" t="s">
        <v>34218</v>
      </c>
    </row>
    <row r="2888" spans="1:19" x14ac:dyDescent="0.25">
      <c r="A2888">
        <v>101229864</v>
      </c>
      <c r="B2888" t="s">
        <v>2130</v>
      </c>
      <c r="C2888" t="s">
        <v>90</v>
      </c>
      <c r="F2888" t="str">
        <f>"5555555555"</f>
        <v>5555555555</v>
      </c>
      <c r="G2888" t="s">
        <v>7834</v>
      </c>
      <c r="H2888" t="s">
        <v>1337</v>
      </c>
      <c r="I2888" t="s">
        <v>71</v>
      </c>
      <c r="J2888">
        <v>81004</v>
      </c>
      <c r="K2888">
        <v>2467</v>
      </c>
      <c r="L2888" t="s">
        <v>23</v>
      </c>
      <c r="M2888" t="s">
        <v>7834</v>
      </c>
      <c r="N2888" t="s">
        <v>1337</v>
      </c>
      <c r="O2888" t="s">
        <v>71</v>
      </c>
      <c r="P2888">
        <v>81004</v>
      </c>
      <c r="Q2888">
        <v>2467</v>
      </c>
      <c r="R2888" t="s">
        <v>23</v>
      </c>
      <c r="S2888" s="1" t="s">
        <v>34218</v>
      </c>
    </row>
    <row r="2889" spans="1:19" x14ac:dyDescent="0.25">
      <c r="A2889">
        <v>101130548</v>
      </c>
      <c r="B2889" t="s">
        <v>7835</v>
      </c>
      <c r="C2889" t="s">
        <v>7836</v>
      </c>
      <c r="F2889" t="str">
        <f>"7014262323"</f>
        <v>7014262323</v>
      </c>
      <c r="G2889" t="s">
        <v>7837</v>
      </c>
      <c r="H2889" t="s">
        <v>7838</v>
      </c>
      <c r="I2889" t="s">
        <v>7839</v>
      </c>
      <c r="J2889">
        <v>58103</v>
      </c>
      <c r="K2889">
        <v>5683</v>
      </c>
      <c r="L2889" t="s">
        <v>23</v>
      </c>
      <c r="M2889" t="s">
        <v>7837</v>
      </c>
      <c r="N2889" t="s">
        <v>7838</v>
      </c>
      <c r="O2889" t="s">
        <v>7839</v>
      </c>
      <c r="P2889">
        <v>58103</v>
      </c>
      <c r="Q2889">
        <v>5683</v>
      </c>
      <c r="R2889" t="s">
        <v>23</v>
      </c>
      <c r="S2889" s="1" t="s">
        <v>34218</v>
      </c>
    </row>
    <row r="2890" spans="1:19" x14ac:dyDescent="0.25">
      <c r="A2890">
        <v>101118632</v>
      </c>
      <c r="B2890" t="s">
        <v>7840</v>
      </c>
      <c r="C2890" t="s">
        <v>7841</v>
      </c>
      <c r="F2890" t="str">
        <f>"4085555555"</f>
        <v>4085555555</v>
      </c>
      <c r="G2890" t="s">
        <v>7842</v>
      </c>
      <c r="H2890" t="s">
        <v>481</v>
      </c>
      <c r="I2890" t="s">
        <v>22</v>
      </c>
      <c r="J2890" t="s">
        <v>7843</v>
      </c>
      <c r="K2890">
        <v>1433</v>
      </c>
      <c r="L2890" t="s">
        <v>23</v>
      </c>
      <c r="M2890" t="s">
        <v>7842</v>
      </c>
      <c r="N2890" t="s">
        <v>481</v>
      </c>
      <c r="O2890" t="s">
        <v>22</v>
      </c>
      <c r="P2890" t="s">
        <v>7843</v>
      </c>
      <c r="Q2890">
        <v>1433</v>
      </c>
      <c r="R2890" t="s">
        <v>23</v>
      </c>
      <c r="S2890" s="1" t="s">
        <v>34218</v>
      </c>
    </row>
    <row r="2891" spans="1:19" x14ac:dyDescent="0.25">
      <c r="A2891">
        <v>101150994</v>
      </c>
      <c r="B2891" t="s">
        <v>2457</v>
      </c>
      <c r="C2891" t="s">
        <v>7844</v>
      </c>
      <c r="F2891" t="str">
        <f>"7073674055"</f>
        <v>7073674055</v>
      </c>
      <c r="G2891" t="s">
        <v>7845</v>
      </c>
      <c r="H2891" t="s">
        <v>7846</v>
      </c>
      <c r="I2891" t="s">
        <v>22</v>
      </c>
      <c r="J2891">
        <v>95482</v>
      </c>
      <c r="L2891" t="s">
        <v>23</v>
      </c>
      <c r="M2891" t="s">
        <v>7845</v>
      </c>
      <c r="N2891" t="s">
        <v>7846</v>
      </c>
      <c r="O2891" t="s">
        <v>22</v>
      </c>
      <c r="P2891">
        <v>95482</v>
      </c>
      <c r="R2891" t="s">
        <v>23</v>
      </c>
      <c r="S2891" s="1" t="s">
        <v>34218</v>
      </c>
    </row>
    <row r="2892" spans="1:19" x14ac:dyDescent="0.25">
      <c r="A2892">
        <v>100591923</v>
      </c>
      <c r="B2892" t="s">
        <v>7847</v>
      </c>
      <c r="C2892" t="s">
        <v>571</v>
      </c>
      <c r="F2892" t="str">
        <f>"7347552608"</f>
        <v>7347552608</v>
      </c>
      <c r="G2892" t="s">
        <v>7848</v>
      </c>
      <c r="H2892" t="s">
        <v>445</v>
      </c>
      <c r="I2892" t="s">
        <v>446</v>
      </c>
      <c r="J2892" t="s">
        <v>7849</v>
      </c>
      <c r="K2892">
        <v>2925</v>
      </c>
      <c r="L2892" t="s">
        <v>23</v>
      </c>
      <c r="M2892" t="s">
        <v>7848</v>
      </c>
      <c r="N2892" t="s">
        <v>445</v>
      </c>
      <c r="O2892" t="s">
        <v>446</v>
      </c>
      <c r="P2892" t="s">
        <v>7849</v>
      </c>
      <c r="Q2892">
        <v>2925</v>
      </c>
      <c r="R2892" t="s">
        <v>23</v>
      </c>
      <c r="S2892" s="1" t="s">
        <v>34218</v>
      </c>
    </row>
    <row r="2893" spans="1:19" x14ac:dyDescent="0.25">
      <c r="A2893">
        <v>101343357</v>
      </c>
      <c r="B2893" t="s">
        <v>1057</v>
      </c>
      <c r="C2893" t="s">
        <v>2127</v>
      </c>
      <c r="F2893" t="str">
        <f>"7074644745"</f>
        <v>7074644745</v>
      </c>
      <c r="G2893" t="s">
        <v>7850</v>
      </c>
      <c r="H2893" t="s">
        <v>3672</v>
      </c>
      <c r="I2893" t="s">
        <v>22</v>
      </c>
      <c r="J2893">
        <v>95567</v>
      </c>
      <c r="K2893">
        <v>9441</v>
      </c>
      <c r="L2893" t="s">
        <v>23</v>
      </c>
      <c r="M2893" t="s">
        <v>7850</v>
      </c>
      <c r="N2893" t="s">
        <v>3672</v>
      </c>
      <c r="O2893" t="s">
        <v>22</v>
      </c>
      <c r="P2893">
        <v>95567</v>
      </c>
      <c r="Q2893">
        <v>9441</v>
      </c>
      <c r="R2893" t="s">
        <v>23</v>
      </c>
      <c r="S2893" s="1" t="s">
        <v>34218</v>
      </c>
    </row>
    <row r="2894" spans="1:19" x14ac:dyDescent="0.25">
      <c r="A2894">
        <v>100661962</v>
      </c>
      <c r="B2894" t="s">
        <v>7851</v>
      </c>
      <c r="C2894" t="s">
        <v>728</v>
      </c>
      <c r="F2894" t="str">
        <f>"2127710505"</f>
        <v>2127710505</v>
      </c>
      <c r="G2894" t="s">
        <v>7852</v>
      </c>
      <c r="H2894" t="s">
        <v>653</v>
      </c>
      <c r="I2894" t="s">
        <v>117</v>
      </c>
      <c r="J2894" t="s">
        <v>7853</v>
      </c>
      <c r="K2894">
        <v>3043</v>
      </c>
      <c r="L2894" t="s">
        <v>23</v>
      </c>
      <c r="M2894" t="s">
        <v>7852</v>
      </c>
      <c r="N2894" t="s">
        <v>653</v>
      </c>
      <c r="O2894" t="s">
        <v>117</v>
      </c>
      <c r="P2894" t="s">
        <v>7853</v>
      </c>
      <c r="Q2894">
        <v>3043</v>
      </c>
      <c r="R2894" t="s">
        <v>23</v>
      </c>
      <c r="S2894" s="1" t="s">
        <v>34218</v>
      </c>
    </row>
    <row r="2895" spans="1:19" x14ac:dyDescent="0.25">
      <c r="A2895">
        <v>101295509</v>
      </c>
      <c r="B2895" t="s">
        <v>7854</v>
      </c>
      <c r="C2895" t="s">
        <v>410</v>
      </c>
      <c r="F2895" t="str">
        <f>"6503632479"</f>
        <v>6503632479</v>
      </c>
      <c r="G2895" t="s">
        <v>7855</v>
      </c>
      <c r="H2895" t="s">
        <v>2031</v>
      </c>
      <c r="I2895" t="s">
        <v>22</v>
      </c>
      <c r="J2895">
        <v>94063</v>
      </c>
      <c r="K2895">
        <v>3982</v>
      </c>
      <c r="L2895" t="s">
        <v>23</v>
      </c>
      <c r="M2895" t="s">
        <v>7855</v>
      </c>
      <c r="N2895" t="s">
        <v>2031</v>
      </c>
      <c r="O2895" t="s">
        <v>22</v>
      </c>
      <c r="P2895">
        <v>94063</v>
      </c>
      <c r="Q2895">
        <v>3982</v>
      </c>
      <c r="R2895" t="s">
        <v>23</v>
      </c>
      <c r="S2895" s="1" t="s">
        <v>34218</v>
      </c>
    </row>
    <row r="2896" spans="1:19" x14ac:dyDescent="0.25">
      <c r="A2896">
        <v>100647771</v>
      </c>
      <c r="B2896" t="s">
        <v>1671</v>
      </c>
      <c r="C2896" t="s">
        <v>1239</v>
      </c>
      <c r="F2896" t="str">
        <f>"4435196324"</f>
        <v>4435196324</v>
      </c>
      <c r="G2896" t="s">
        <v>7856</v>
      </c>
      <c r="H2896" t="s">
        <v>7857</v>
      </c>
      <c r="I2896" t="s">
        <v>148</v>
      </c>
      <c r="J2896">
        <v>21094</v>
      </c>
      <c r="K2896">
        <v>4752</v>
      </c>
      <c r="L2896" t="s">
        <v>23</v>
      </c>
      <c r="M2896" t="s">
        <v>7856</v>
      </c>
      <c r="N2896" t="s">
        <v>7857</v>
      </c>
      <c r="O2896" t="s">
        <v>148</v>
      </c>
      <c r="P2896">
        <v>21094</v>
      </c>
      <c r="Q2896">
        <v>4752</v>
      </c>
      <c r="R2896" t="s">
        <v>23</v>
      </c>
      <c r="S2896" s="1" t="s">
        <v>34218</v>
      </c>
    </row>
    <row r="2897" spans="1:19" x14ac:dyDescent="0.25">
      <c r="A2897">
        <v>101163586</v>
      </c>
      <c r="B2897" t="s">
        <v>7858</v>
      </c>
      <c r="C2897" t="s">
        <v>208</v>
      </c>
      <c r="F2897" t="str">
        <f>"4195593208"</f>
        <v>4195593208</v>
      </c>
      <c r="G2897" t="s">
        <v>7859</v>
      </c>
      <c r="H2897" t="s">
        <v>2894</v>
      </c>
      <c r="I2897" t="s">
        <v>178</v>
      </c>
      <c r="J2897">
        <v>43623</v>
      </c>
      <c r="K2897">
        <v>3300</v>
      </c>
      <c r="L2897" t="s">
        <v>23</v>
      </c>
      <c r="M2897" t="s">
        <v>7859</v>
      </c>
      <c r="N2897" t="s">
        <v>2894</v>
      </c>
      <c r="O2897" t="s">
        <v>178</v>
      </c>
      <c r="P2897">
        <v>43623</v>
      </c>
      <c r="Q2897">
        <v>3300</v>
      </c>
      <c r="R2897" t="s">
        <v>23</v>
      </c>
      <c r="S2897" s="1" t="s">
        <v>34218</v>
      </c>
    </row>
    <row r="2898" spans="1:19" x14ac:dyDescent="0.25">
      <c r="A2898">
        <v>100822675</v>
      </c>
      <c r="B2898" t="s">
        <v>7860</v>
      </c>
      <c r="C2898" t="s">
        <v>329</v>
      </c>
      <c r="F2898" t="str">
        <f>"4157212491"</f>
        <v>4157212491</v>
      </c>
      <c r="G2898" t="s">
        <v>7861</v>
      </c>
      <c r="H2898" t="s">
        <v>1293</v>
      </c>
      <c r="I2898" t="s">
        <v>22</v>
      </c>
      <c r="J2898" t="s">
        <v>7862</v>
      </c>
      <c r="K2898">
        <v>1223</v>
      </c>
      <c r="L2898" t="s">
        <v>23</v>
      </c>
      <c r="M2898" t="s">
        <v>7861</v>
      </c>
      <c r="N2898" t="s">
        <v>1293</v>
      </c>
      <c r="O2898" t="s">
        <v>22</v>
      </c>
      <c r="P2898" t="s">
        <v>7862</v>
      </c>
      <c r="Q2898">
        <v>1223</v>
      </c>
      <c r="R2898" t="s">
        <v>23</v>
      </c>
      <c r="S2898" s="1" t="s">
        <v>34218</v>
      </c>
    </row>
    <row r="2899" spans="1:19" x14ac:dyDescent="0.25">
      <c r="A2899">
        <v>101332533</v>
      </c>
      <c r="B2899" t="s">
        <v>7863</v>
      </c>
      <c r="C2899" t="s">
        <v>1879</v>
      </c>
      <c r="F2899" t="str">
        <f>"5417796619"</f>
        <v>5417796619</v>
      </c>
      <c r="G2899" t="s">
        <v>7864</v>
      </c>
      <c r="H2899" t="s">
        <v>47</v>
      </c>
      <c r="I2899" t="s">
        <v>43</v>
      </c>
      <c r="J2899" t="s">
        <v>7865</v>
      </c>
      <c r="K2899">
        <v>2535</v>
      </c>
      <c r="L2899" t="s">
        <v>23</v>
      </c>
      <c r="M2899" t="s">
        <v>7864</v>
      </c>
      <c r="N2899" t="s">
        <v>47</v>
      </c>
      <c r="O2899" t="s">
        <v>43</v>
      </c>
      <c r="P2899" t="s">
        <v>7865</v>
      </c>
      <c r="Q2899">
        <v>2535</v>
      </c>
      <c r="R2899" t="s">
        <v>23</v>
      </c>
      <c r="S2899" s="1" t="s">
        <v>34218</v>
      </c>
    </row>
    <row r="2900" spans="1:19" x14ac:dyDescent="0.25">
      <c r="A2900">
        <v>100608509</v>
      </c>
      <c r="B2900" t="s">
        <v>7866</v>
      </c>
      <c r="C2900" t="s">
        <v>281</v>
      </c>
      <c r="F2900" t="str">
        <f>"9288569632"</f>
        <v>9288569632</v>
      </c>
      <c r="G2900" t="s">
        <v>7867</v>
      </c>
      <c r="H2900" t="s">
        <v>1113</v>
      </c>
      <c r="I2900" t="s">
        <v>365</v>
      </c>
      <c r="J2900" t="s">
        <v>7868</v>
      </c>
      <c r="K2900">
        <v>3310</v>
      </c>
      <c r="L2900" t="s">
        <v>23</v>
      </c>
      <c r="M2900" t="s">
        <v>7867</v>
      </c>
      <c r="N2900" t="s">
        <v>1113</v>
      </c>
      <c r="O2900" t="s">
        <v>365</v>
      </c>
      <c r="P2900" t="s">
        <v>7868</v>
      </c>
      <c r="Q2900">
        <v>3310</v>
      </c>
      <c r="R2900" t="s">
        <v>23</v>
      </c>
      <c r="S2900" s="1" t="s">
        <v>34218</v>
      </c>
    </row>
    <row r="2901" spans="1:19" x14ac:dyDescent="0.25">
      <c r="A2901">
        <v>100992693</v>
      </c>
      <c r="B2901" t="s">
        <v>7869</v>
      </c>
      <c r="C2901" t="s">
        <v>1506</v>
      </c>
      <c r="F2901" t="str">
        <f>"9788218147"</f>
        <v>9788218147</v>
      </c>
      <c r="G2901" t="s">
        <v>7870</v>
      </c>
      <c r="H2901" t="s">
        <v>2046</v>
      </c>
      <c r="I2901" t="s">
        <v>446</v>
      </c>
      <c r="J2901">
        <v>27713</v>
      </c>
      <c r="K2901">
        <v>5924</v>
      </c>
      <c r="L2901" t="s">
        <v>23</v>
      </c>
      <c r="M2901" t="s">
        <v>7870</v>
      </c>
      <c r="N2901" t="s">
        <v>2046</v>
      </c>
      <c r="O2901" t="s">
        <v>446</v>
      </c>
      <c r="P2901">
        <v>27713</v>
      </c>
      <c r="Q2901">
        <v>5924</v>
      </c>
      <c r="R2901" t="s">
        <v>23</v>
      </c>
      <c r="S2901" s="1" t="s">
        <v>34218</v>
      </c>
    </row>
    <row r="2902" spans="1:19" x14ac:dyDescent="0.25">
      <c r="A2902">
        <v>100647766</v>
      </c>
      <c r="B2902" t="s">
        <v>119</v>
      </c>
      <c r="C2902" t="s">
        <v>2047</v>
      </c>
      <c r="F2902" t="str">
        <f>"4083751980"</f>
        <v>4083751980</v>
      </c>
      <c r="G2902" t="s">
        <v>7871</v>
      </c>
      <c r="H2902" t="s">
        <v>931</v>
      </c>
      <c r="I2902" t="s">
        <v>22</v>
      </c>
      <c r="J2902">
        <v>95031</v>
      </c>
      <c r="K2902">
        <v>782</v>
      </c>
      <c r="L2902" t="s">
        <v>23</v>
      </c>
      <c r="M2902" t="s">
        <v>7871</v>
      </c>
      <c r="N2902" t="s">
        <v>931</v>
      </c>
      <c r="O2902" t="s">
        <v>22</v>
      </c>
      <c r="P2902">
        <v>95031</v>
      </c>
      <c r="Q2902">
        <v>782</v>
      </c>
      <c r="R2902" t="s">
        <v>23</v>
      </c>
      <c r="S2902" s="1" t="s">
        <v>34218</v>
      </c>
    </row>
    <row r="2903" spans="1:19" x14ac:dyDescent="0.25">
      <c r="A2903">
        <v>101380055</v>
      </c>
      <c r="B2903" t="s">
        <v>7872</v>
      </c>
      <c r="C2903" t="s">
        <v>2802</v>
      </c>
      <c r="F2903" t="str">
        <f>"5706176149"</f>
        <v>5706176149</v>
      </c>
      <c r="G2903" t="s">
        <v>7873</v>
      </c>
      <c r="H2903" t="s">
        <v>7874</v>
      </c>
      <c r="I2903" t="s">
        <v>33</v>
      </c>
      <c r="J2903">
        <v>17961</v>
      </c>
      <c r="L2903" t="s">
        <v>23</v>
      </c>
      <c r="M2903" t="s">
        <v>7873</v>
      </c>
      <c r="N2903" t="s">
        <v>7874</v>
      </c>
      <c r="O2903" t="s">
        <v>33</v>
      </c>
      <c r="P2903">
        <v>17961</v>
      </c>
      <c r="R2903" t="s">
        <v>23</v>
      </c>
      <c r="S2903" s="1" t="s">
        <v>34218</v>
      </c>
    </row>
    <row r="2904" spans="1:19" x14ac:dyDescent="0.25">
      <c r="A2904">
        <v>100543791</v>
      </c>
      <c r="B2904" t="s">
        <v>3633</v>
      </c>
      <c r="C2904" t="s">
        <v>1452</v>
      </c>
      <c r="F2904" t="str">
        <f>"4085647137"</f>
        <v>4085647137</v>
      </c>
      <c r="G2904" t="s">
        <v>7875</v>
      </c>
      <c r="H2904" t="s">
        <v>481</v>
      </c>
      <c r="I2904" t="s">
        <v>22</v>
      </c>
      <c r="J2904">
        <v>95128</v>
      </c>
      <c r="K2904">
        <v>4026</v>
      </c>
      <c r="L2904" t="s">
        <v>23</v>
      </c>
      <c r="M2904" t="s">
        <v>7875</v>
      </c>
      <c r="N2904" t="s">
        <v>481</v>
      </c>
      <c r="O2904" t="s">
        <v>22</v>
      </c>
      <c r="P2904">
        <v>95128</v>
      </c>
      <c r="Q2904">
        <v>4026</v>
      </c>
      <c r="R2904" t="s">
        <v>23</v>
      </c>
      <c r="S2904" s="1" t="s">
        <v>34218</v>
      </c>
    </row>
    <row r="2905" spans="1:19" x14ac:dyDescent="0.25">
      <c r="A2905">
        <v>100929942</v>
      </c>
      <c r="B2905" t="s">
        <v>7876</v>
      </c>
      <c r="C2905" t="s">
        <v>7620</v>
      </c>
      <c r="F2905" t="str">
        <f>"5137569550"</f>
        <v>5137569550</v>
      </c>
      <c r="G2905" t="s">
        <v>7877</v>
      </c>
      <c r="H2905" t="s">
        <v>1449</v>
      </c>
      <c r="I2905" t="s">
        <v>178</v>
      </c>
      <c r="J2905">
        <v>45030</v>
      </c>
      <c r="K2905">
        <v>2198</v>
      </c>
      <c r="L2905" t="s">
        <v>23</v>
      </c>
      <c r="M2905" t="s">
        <v>7877</v>
      </c>
      <c r="N2905" t="s">
        <v>1449</v>
      </c>
      <c r="O2905" t="s">
        <v>178</v>
      </c>
      <c r="P2905">
        <v>45030</v>
      </c>
      <c r="Q2905">
        <v>2198</v>
      </c>
      <c r="R2905" t="s">
        <v>23</v>
      </c>
      <c r="S2905" s="1" t="s">
        <v>34218</v>
      </c>
    </row>
    <row r="2906" spans="1:19" x14ac:dyDescent="0.25">
      <c r="A2906">
        <v>101059212</v>
      </c>
      <c r="B2906" t="s">
        <v>7878</v>
      </c>
      <c r="C2906" t="s">
        <v>2075</v>
      </c>
      <c r="F2906" t="str">
        <f>"2126331835"</f>
        <v>2126331835</v>
      </c>
      <c r="G2906" t="s">
        <v>7879</v>
      </c>
      <c r="H2906" t="s">
        <v>653</v>
      </c>
      <c r="I2906" t="s">
        <v>117</v>
      </c>
      <c r="J2906" t="s">
        <v>7880</v>
      </c>
      <c r="K2906">
        <v>1816</v>
      </c>
      <c r="L2906" t="s">
        <v>23</v>
      </c>
      <c r="M2906" t="s">
        <v>7879</v>
      </c>
      <c r="N2906" t="s">
        <v>653</v>
      </c>
      <c r="O2906" t="s">
        <v>117</v>
      </c>
      <c r="P2906" t="s">
        <v>7880</v>
      </c>
      <c r="Q2906">
        <v>1816</v>
      </c>
      <c r="R2906" t="s">
        <v>23</v>
      </c>
      <c r="S2906" s="1" t="s">
        <v>34218</v>
      </c>
    </row>
    <row r="2907" spans="1:19" x14ac:dyDescent="0.25">
      <c r="A2907">
        <v>101302128</v>
      </c>
      <c r="B2907" t="s">
        <v>7881</v>
      </c>
      <c r="C2907" t="s">
        <v>286</v>
      </c>
      <c r="F2907" t="str">
        <f>"3038613072"</f>
        <v>3038613072</v>
      </c>
      <c r="G2907">
        <v>80203</v>
      </c>
      <c r="H2907" t="s">
        <v>393</v>
      </c>
      <c r="I2907" t="s">
        <v>71</v>
      </c>
      <c r="J2907">
        <v>80203</v>
      </c>
      <c r="L2907" t="s">
        <v>23</v>
      </c>
      <c r="M2907">
        <v>80203</v>
      </c>
      <c r="N2907" t="s">
        <v>393</v>
      </c>
      <c r="O2907" t="s">
        <v>71</v>
      </c>
      <c r="P2907">
        <v>80203</v>
      </c>
      <c r="R2907" t="s">
        <v>23</v>
      </c>
      <c r="S2907" s="1" t="s">
        <v>34218</v>
      </c>
    </row>
    <row r="2908" spans="1:19" x14ac:dyDescent="0.25">
      <c r="A2908">
        <v>101011876</v>
      </c>
      <c r="B2908" t="s">
        <v>7882</v>
      </c>
      <c r="C2908" t="s">
        <v>2056</v>
      </c>
      <c r="F2908" t="str">
        <f>"9785447178"</f>
        <v>9785447178</v>
      </c>
      <c r="G2908">
        <v>47</v>
      </c>
      <c r="H2908" t="s">
        <v>7883</v>
      </c>
      <c r="I2908" t="s">
        <v>236</v>
      </c>
      <c r="J2908">
        <v>1349</v>
      </c>
      <c r="L2908" t="s">
        <v>23</v>
      </c>
      <c r="M2908">
        <v>47</v>
      </c>
      <c r="N2908" t="s">
        <v>7883</v>
      </c>
      <c r="O2908" t="s">
        <v>236</v>
      </c>
      <c r="P2908">
        <v>1349</v>
      </c>
      <c r="R2908" t="s">
        <v>23</v>
      </c>
      <c r="S2908" s="1" t="s">
        <v>34218</v>
      </c>
    </row>
    <row r="2909" spans="1:19" x14ac:dyDescent="0.25">
      <c r="A2909">
        <v>101296456</v>
      </c>
      <c r="B2909" t="s">
        <v>7884</v>
      </c>
      <c r="C2909" t="s">
        <v>1306</v>
      </c>
      <c r="F2909" t="str">
        <f>"3306592005"</f>
        <v>3306592005</v>
      </c>
      <c r="G2909" t="s">
        <v>7885</v>
      </c>
      <c r="H2909" t="s">
        <v>7886</v>
      </c>
      <c r="I2909" t="s">
        <v>178</v>
      </c>
      <c r="J2909" t="s">
        <v>7887</v>
      </c>
      <c r="K2909">
        <v>1187</v>
      </c>
      <c r="L2909" t="s">
        <v>23</v>
      </c>
      <c r="M2909" t="s">
        <v>7885</v>
      </c>
      <c r="N2909" t="s">
        <v>7886</v>
      </c>
      <c r="O2909" t="s">
        <v>178</v>
      </c>
      <c r="P2909" t="s">
        <v>7887</v>
      </c>
      <c r="Q2909">
        <v>1187</v>
      </c>
      <c r="R2909" t="s">
        <v>23</v>
      </c>
      <c r="S2909" s="1" t="s">
        <v>34218</v>
      </c>
    </row>
    <row r="2910" spans="1:19" x14ac:dyDescent="0.25">
      <c r="A2910">
        <v>101305086</v>
      </c>
      <c r="B2910" t="s">
        <v>7888</v>
      </c>
      <c r="C2910" t="s">
        <v>690</v>
      </c>
      <c r="F2910" t="str">
        <f>"3306986195"</f>
        <v>3306986195</v>
      </c>
      <c r="G2910" t="s">
        <v>7889</v>
      </c>
      <c r="H2910" t="s">
        <v>7890</v>
      </c>
      <c r="I2910" t="s">
        <v>178</v>
      </c>
      <c r="J2910">
        <v>44606</v>
      </c>
      <c r="L2910" t="s">
        <v>23</v>
      </c>
      <c r="M2910" t="s">
        <v>7889</v>
      </c>
      <c r="N2910" t="s">
        <v>7890</v>
      </c>
      <c r="O2910" t="s">
        <v>178</v>
      </c>
      <c r="P2910">
        <v>44606</v>
      </c>
      <c r="R2910" t="s">
        <v>23</v>
      </c>
      <c r="S2910" s="1" t="s">
        <v>34218</v>
      </c>
    </row>
    <row r="2911" spans="1:19" x14ac:dyDescent="0.25">
      <c r="A2911">
        <v>101035606</v>
      </c>
      <c r="B2911" t="s">
        <v>7891</v>
      </c>
      <c r="C2911" t="s">
        <v>3357</v>
      </c>
      <c r="F2911" t="str">
        <f>"7078007818"</f>
        <v>7078007818</v>
      </c>
      <c r="G2911" t="s">
        <v>7892</v>
      </c>
      <c r="H2911" t="s">
        <v>130</v>
      </c>
      <c r="I2911" t="s">
        <v>22</v>
      </c>
      <c r="J2911">
        <v>94114</v>
      </c>
      <c r="K2911">
        <v>3826</v>
      </c>
      <c r="L2911" t="s">
        <v>23</v>
      </c>
      <c r="M2911" t="s">
        <v>7892</v>
      </c>
      <c r="N2911" t="s">
        <v>130</v>
      </c>
      <c r="O2911" t="s">
        <v>22</v>
      </c>
      <c r="P2911">
        <v>94114</v>
      </c>
      <c r="Q2911">
        <v>3826</v>
      </c>
      <c r="R2911" t="s">
        <v>23</v>
      </c>
      <c r="S2911" s="1" t="s">
        <v>34218</v>
      </c>
    </row>
    <row r="2912" spans="1:19" x14ac:dyDescent="0.25">
      <c r="A2912">
        <v>101333525</v>
      </c>
      <c r="B2912" t="s">
        <v>7893</v>
      </c>
      <c r="C2912" t="s">
        <v>7894</v>
      </c>
      <c r="F2912" t="str">
        <f>"3195206367"</f>
        <v>3195206367</v>
      </c>
      <c r="G2912" t="s">
        <v>7895</v>
      </c>
      <c r="H2912" t="s">
        <v>709</v>
      </c>
      <c r="I2912" t="s">
        <v>565</v>
      </c>
      <c r="J2912">
        <v>52240</v>
      </c>
      <c r="K2912">
        <v>5506</v>
      </c>
      <c r="L2912" t="s">
        <v>23</v>
      </c>
      <c r="M2912" t="s">
        <v>7895</v>
      </c>
      <c r="N2912" t="s">
        <v>709</v>
      </c>
      <c r="O2912" t="s">
        <v>565</v>
      </c>
      <c r="P2912">
        <v>52240</v>
      </c>
      <c r="Q2912">
        <v>5506</v>
      </c>
      <c r="R2912" t="s">
        <v>23</v>
      </c>
      <c r="S2912" s="1" t="s">
        <v>34218</v>
      </c>
    </row>
    <row r="2913" spans="1:19" x14ac:dyDescent="0.25">
      <c r="A2913">
        <v>101042616</v>
      </c>
      <c r="B2913" t="s">
        <v>7896</v>
      </c>
      <c r="C2913" t="s">
        <v>1873</v>
      </c>
      <c r="F2913" t="str">
        <f>"6033727074"</f>
        <v>6033727074</v>
      </c>
      <c r="G2913" t="s">
        <v>7897</v>
      </c>
      <c r="H2913" t="s">
        <v>7898</v>
      </c>
      <c r="I2913" t="s">
        <v>353</v>
      </c>
      <c r="J2913">
        <v>3603</v>
      </c>
      <c r="L2913" t="s">
        <v>23</v>
      </c>
      <c r="M2913" t="s">
        <v>7897</v>
      </c>
      <c r="N2913" t="s">
        <v>7898</v>
      </c>
      <c r="O2913" t="s">
        <v>353</v>
      </c>
      <c r="P2913">
        <v>3603</v>
      </c>
      <c r="R2913" t="s">
        <v>23</v>
      </c>
      <c r="S2913" s="1" t="s">
        <v>34218</v>
      </c>
    </row>
    <row r="2914" spans="1:19" x14ac:dyDescent="0.25">
      <c r="A2914">
        <v>100833970</v>
      </c>
      <c r="B2914" t="s">
        <v>7899</v>
      </c>
      <c r="C2914" t="s">
        <v>4966</v>
      </c>
      <c r="F2914" t="str">
        <f>"4069623568"</f>
        <v>4069623568</v>
      </c>
      <c r="G2914" t="s">
        <v>7900</v>
      </c>
      <c r="H2914" t="s">
        <v>7901</v>
      </c>
      <c r="I2914" t="s">
        <v>1000</v>
      </c>
      <c r="J2914">
        <v>59041</v>
      </c>
      <c r="L2914" t="s">
        <v>23</v>
      </c>
      <c r="M2914" t="s">
        <v>7900</v>
      </c>
      <c r="N2914" t="s">
        <v>7901</v>
      </c>
      <c r="O2914" t="s">
        <v>1000</v>
      </c>
      <c r="P2914">
        <v>59041</v>
      </c>
      <c r="R2914" t="s">
        <v>23</v>
      </c>
      <c r="S2914" s="1" t="s">
        <v>34218</v>
      </c>
    </row>
    <row r="2915" spans="1:19" x14ac:dyDescent="0.25">
      <c r="A2915">
        <v>101193746</v>
      </c>
      <c r="B2915" t="s">
        <v>7902</v>
      </c>
      <c r="C2915" t="s">
        <v>7903</v>
      </c>
      <c r="F2915" t="str">
        <f>"9178610432"</f>
        <v>9178610432</v>
      </c>
      <c r="G2915" t="s">
        <v>7904</v>
      </c>
      <c r="H2915" t="s">
        <v>1674</v>
      </c>
      <c r="I2915" t="s">
        <v>22</v>
      </c>
      <c r="J2915">
        <v>91501</v>
      </c>
      <c r="L2915" t="s">
        <v>23</v>
      </c>
      <c r="M2915" t="s">
        <v>7904</v>
      </c>
      <c r="N2915" t="s">
        <v>1674</v>
      </c>
      <c r="O2915" t="s">
        <v>22</v>
      </c>
      <c r="P2915">
        <v>91501</v>
      </c>
      <c r="R2915" t="s">
        <v>23</v>
      </c>
      <c r="S2915" s="1" t="s">
        <v>34218</v>
      </c>
    </row>
    <row r="2916" spans="1:19" x14ac:dyDescent="0.25">
      <c r="A2916">
        <v>101282790</v>
      </c>
      <c r="B2916" t="s">
        <v>3089</v>
      </c>
      <c r="C2916" t="s">
        <v>110</v>
      </c>
      <c r="F2916" t="str">
        <f>"9708156800"</f>
        <v>9708156800</v>
      </c>
      <c r="G2916" t="s">
        <v>7905</v>
      </c>
      <c r="H2916" t="s">
        <v>529</v>
      </c>
      <c r="I2916" t="s">
        <v>71</v>
      </c>
      <c r="J2916">
        <v>80537</v>
      </c>
      <c r="K2916">
        <v>4966</v>
      </c>
      <c r="L2916" t="s">
        <v>23</v>
      </c>
      <c r="M2916" t="s">
        <v>7905</v>
      </c>
      <c r="N2916" t="s">
        <v>529</v>
      </c>
      <c r="O2916" t="s">
        <v>71</v>
      </c>
      <c r="P2916">
        <v>80537</v>
      </c>
      <c r="Q2916">
        <v>4966</v>
      </c>
      <c r="R2916" t="s">
        <v>23</v>
      </c>
      <c r="S2916" s="1" t="s">
        <v>34218</v>
      </c>
    </row>
    <row r="2917" spans="1:19" x14ac:dyDescent="0.25">
      <c r="A2917">
        <v>100924706</v>
      </c>
      <c r="B2917" t="s">
        <v>2080</v>
      </c>
      <c r="C2917" t="s">
        <v>7906</v>
      </c>
      <c r="F2917" t="str">
        <f>"4024901115"</f>
        <v>4024901115</v>
      </c>
      <c r="G2917" t="s">
        <v>7907</v>
      </c>
      <c r="H2917" t="s">
        <v>5644</v>
      </c>
      <c r="I2917" t="s">
        <v>370</v>
      </c>
      <c r="J2917" t="s">
        <v>7908</v>
      </c>
      <c r="K2917">
        <v>8037</v>
      </c>
      <c r="L2917" t="s">
        <v>23</v>
      </c>
      <c r="M2917" t="s">
        <v>7907</v>
      </c>
      <c r="N2917" t="s">
        <v>5644</v>
      </c>
      <c r="O2917" t="s">
        <v>370</v>
      </c>
      <c r="P2917" t="s">
        <v>7908</v>
      </c>
      <c r="Q2917">
        <v>8037</v>
      </c>
      <c r="R2917" t="s">
        <v>23</v>
      </c>
      <c r="S2917" s="1" t="s">
        <v>34218</v>
      </c>
    </row>
    <row r="2918" spans="1:19" x14ac:dyDescent="0.25">
      <c r="A2918">
        <v>101309759</v>
      </c>
      <c r="B2918" t="s">
        <v>7909</v>
      </c>
      <c r="C2918" t="s">
        <v>7910</v>
      </c>
      <c r="F2918" t="str">
        <f>"2072139788"</f>
        <v>2072139788</v>
      </c>
      <c r="G2918" t="s">
        <v>7911</v>
      </c>
      <c r="H2918" t="s">
        <v>7912</v>
      </c>
      <c r="I2918" t="s">
        <v>191</v>
      </c>
      <c r="J2918">
        <v>4957</v>
      </c>
      <c r="K2918">
        <v>3711</v>
      </c>
      <c r="L2918" t="s">
        <v>23</v>
      </c>
      <c r="M2918" t="s">
        <v>7911</v>
      </c>
      <c r="N2918" t="s">
        <v>7912</v>
      </c>
      <c r="O2918" t="s">
        <v>191</v>
      </c>
      <c r="P2918">
        <v>4957</v>
      </c>
      <c r="Q2918">
        <v>3711</v>
      </c>
      <c r="R2918" t="s">
        <v>23</v>
      </c>
      <c r="S2918" s="1" t="s">
        <v>34218</v>
      </c>
    </row>
    <row r="2919" spans="1:19" x14ac:dyDescent="0.25">
      <c r="A2919">
        <v>101014617</v>
      </c>
      <c r="B2919" t="s">
        <v>3740</v>
      </c>
      <c r="C2919" t="s">
        <v>313</v>
      </c>
      <c r="F2919" t="str">
        <f>"7724094892"</f>
        <v>7724094892</v>
      </c>
      <c r="G2919" t="s">
        <v>7913</v>
      </c>
      <c r="H2919" t="s">
        <v>872</v>
      </c>
      <c r="I2919" t="s">
        <v>52</v>
      </c>
      <c r="J2919">
        <v>34951</v>
      </c>
      <c r="K2919">
        <v>3118</v>
      </c>
      <c r="L2919" t="s">
        <v>23</v>
      </c>
      <c r="M2919" t="s">
        <v>7913</v>
      </c>
      <c r="N2919" t="s">
        <v>872</v>
      </c>
      <c r="O2919" t="s">
        <v>52</v>
      </c>
      <c r="P2919">
        <v>34951</v>
      </c>
      <c r="Q2919">
        <v>3118</v>
      </c>
      <c r="R2919" t="s">
        <v>23</v>
      </c>
      <c r="S2919" s="1" t="s">
        <v>34218</v>
      </c>
    </row>
    <row r="2920" spans="1:19" x14ac:dyDescent="0.25">
      <c r="A2920">
        <v>101022729</v>
      </c>
      <c r="B2920" t="s">
        <v>7914</v>
      </c>
      <c r="C2920" t="s">
        <v>7915</v>
      </c>
      <c r="F2920" t="str">
        <f>"2022422349"</f>
        <v>2022422349</v>
      </c>
      <c r="H2920" t="s">
        <v>2202</v>
      </c>
      <c r="I2920" t="s">
        <v>565</v>
      </c>
      <c r="J2920">
        <v>51111</v>
      </c>
      <c r="L2920" t="s">
        <v>23</v>
      </c>
      <c r="N2920" t="s">
        <v>2202</v>
      </c>
      <c r="O2920" t="s">
        <v>565</v>
      </c>
      <c r="P2920">
        <v>51111</v>
      </c>
      <c r="R2920" t="s">
        <v>23</v>
      </c>
      <c r="S2920" s="1" t="s">
        <v>34218</v>
      </c>
    </row>
    <row r="2921" spans="1:19" x14ac:dyDescent="0.25">
      <c r="A2921">
        <v>101309857</v>
      </c>
      <c r="B2921" t="s">
        <v>7916</v>
      </c>
      <c r="C2921" t="s">
        <v>286</v>
      </c>
      <c r="F2921" t="str">
        <f>"3107093225"</f>
        <v>3107093225</v>
      </c>
      <c r="G2921" t="s">
        <v>7917</v>
      </c>
      <c r="H2921" t="s">
        <v>299</v>
      </c>
      <c r="I2921" t="s">
        <v>22</v>
      </c>
      <c r="J2921">
        <v>90025</v>
      </c>
      <c r="L2921" t="s">
        <v>23</v>
      </c>
      <c r="M2921" t="s">
        <v>7917</v>
      </c>
      <c r="N2921" t="s">
        <v>299</v>
      </c>
      <c r="O2921" t="s">
        <v>22</v>
      </c>
      <c r="P2921">
        <v>90025</v>
      </c>
      <c r="R2921" t="s">
        <v>23</v>
      </c>
      <c r="S2921" s="1" t="s">
        <v>34218</v>
      </c>
    </row>
    <row r="2922" spans="1:19" x14ac:dyDescent="0.25">
      <c r="A2922">
        <v>100540463</v>
      </c>
      <c r="B2922" t="s">
        <v>7918</v>
      </c>
      <c r="C2922" t="s">
        <v>313</v>
      </c>
      <c r="F2922" t="str">
        <f>"6086376159"</f>
        <v>6086376159</v>
      </c>
      <c r="G2922" t="s">
        <v>7919</v>
      </c>
      <c r="H2922" t="s">
        <v>7920</v>
      </c>
      <c r="I2922" t="s">
        <v>100</v>
      </c>
      <c r="J2922">
        <v>54665</v>
      </c>
      <c r="L2922" t="s">
        <v>23</v>
      </c>
      <c r="M2922" t="s">
        <v>7919</v>
      </c>
      <c r="N2922" t="s">
        <v>7920</v>
      </c>
      <c r="O2922" t="s">
        <v>100</v>
      </c>
      <c r="P2922">
        <v>54665</v>
      </c>
      <c r="R2922" t="s">
        <v>23</v>
      </c>
      <c r="S2922" s="1" t="s">
        <v>34218</v>
      </c>
    </row>
    <row r="2923" spans="1:19" x14ac:dyDescent="0.25">
      <c r="A2923">
        <v>101288559</v>
      </c>
      <c r="B2923" t="s">
        <v>4139</v>
      </c>
      <c r="C2923" t="s">
        <v>7921</v>
      </c>
      <c r="F2923" t="str">
        <f>"2517213956"</f>
        <v>2517213956</v>
      </c>
      <c r="G2923" t="s">
        <v>7922</v>
      </c>
      <c r="H2923" t="s">
        <v>3282</v>
      </c>
      <c r="I2923" t="s">
        <v>1387</v>
      </c>
      <c r="J2923">
        <v>36532</v>
      </c>
      <c r="K2923">
        <v>3814</v>
      </c>
      <c r="L2923" t="s">
        <v>23</v>
      </c>
      <c r="M2923" t="s">
        <v>7922</v>
      </c>
      <c r="N2923" t="s">
        <v>3282</v>
      </c>
      <c r="O2923" t="s">
        <v>1387</v>
      </c>
      <c r="P2923">
        <v>36532</v>
      </c>
      <c r="Q2923">
        <v>3814</v>
      </c>
      <c r="R2923" t="s">
        <v>23</v>
      </c>
      <c r="S2923" s="1" t="s">
        <v>34218</v>
      </c>
    </row>
    <row r="2924" spans="1:19" x14ac:dyDescent="0.25">
      <c r="A2924">
        <v>100854320</v>
      </c>
      <c r="B2924" t="s">
        <v>7923</v>
      </c>
      <c r="C2924" t="s">
        <v>7924</v>
      </c>
      <c r="F2924" t="str">
        <f>"9784125858"</f>
        <v>9784125858</v>
      </c>
      <c r="G2924" t="s">
        <v>7925</v>
      </c>
      <c r="H2924" t="s">
        <v>653</v>
      </c>
      <c r="I2924" t="s">
        <v>117</v>
      </c>
      <c r="J2924">
        <v>10034</v>
      </c>
      <c r="K2924">
        <v>2771</v>
      </c>
      <c r="L2924" t="s">
        <v>23</v>
      </c>
      <c r="M2924" t="s">
        <v>7925</v>
      </c>
      <c r="N2924" t="s">
        <v>653</v>
      </c>
      <c r="O2924" t="s">
        <v>117</v>
      </c>
      <c r="P2924">
        <v>10034</v>
      </c>
      <c r="Q2924">
        <v>2771</v>
      </c>
      <c r="R2924" t="s">
        <v>23</v>
      </c>
      <c r="S2924" s="1" t="s">
        <v>34218</v>
      </c>
    </row>
    <row r="2925" spans="1:19" x14ac:dyDescent="0.25">
      <c r="A2925">
        <v>100680624</v>
      </c>
      <c r="B2925" t="s">
        <v>2486</v>
      </c>
      <c r="C2925" t="s">
        <v>1208</v>
      </c>
      <c r="F2925" t="str">
        <f>"7739353190"</f>
        <v>7739353190</v>
      </c>
      <c r="G2925" t="s">
        <v>7926</v>
      </c>
      <c r="H2925" t="s">
        <v>134</v>
      </c>
      <c r="I2925" t="s">
        <v>135</v>
      </c>
      <c r="J2925">
        <v>60618</v>
      </c>
      <c r="K2925">
        <v>1706</v>
      </c>
      <c r="L2925" t="s">
        <v>23</v>
      </c>
      <c r="M2925" t="s">
        <v>7926</v>
      </c>
      <c r="N2925" t="s">
        <v>134</v>
      </c>
      <c r="O2925" t="s">
        <v>135</v>
      </c>
      <c r="P2925">
        <v>60618</v>
      </c>
      <c r="Q2925">
        <v>1706</v>
      </c>
      <c r="R2925" t="s">
        <v>23</v>
      </c>
      <c r="S2925" s="1" t="s">
        <v>34218</v>
      </c>
    </row>
    <row r="2926" spans="1:19" x14ac:dyDescent="0.25">
      <c r="A2926">
        <v>101300354</v>
      </c>
      <c r="B2926" t="s">
        <v>7927</v>
      </c>
      <c r="C2926" t="s">
        <v>123</v>
      </c>
      <c r="F2926" t="str">
        <f>"7034300143"</f>
        <v>7034300143</v>
      </c>
      <c r="G2926" t="s">
        <v>7928</v>
      </c>
      <c r="H2926" t="s">
        <v>4685</v>
      </c>
      <c r="I2926" t="s">
        <v>255</v>
      </c>
      <c r="J2926">
        <v>22066</v>
      </c>
      <c r="K2926">
        <v>3024</v>
      </c>
      <c r="L2926" t="s">
        <v>23</v>
      </c>
      <c r="M2926" t="s">
        <v>7928</v>
      </c>
      <c r="N2926" t="s">
        <v>4685</v>
      </c>
      <c r="O2926" t="s">
        <v>255</v>
      </c>
      <c r="P2926">
        <v>22066</v>
      </c>
      <c r="Q2926">
        <v>3024</v>
      </c>
      <c r="R2926" t="s">
        <v>23</v>
      </c>
      <c r="S2926" s="1" t="s">
        <v>34218</v>
      </c>
    </row>
    <row r="2927" spans="1:19" x14ac:dyDescent="0.25">
      <c r="A2927">
        <v>100771000</v>
      </c>
      <c r="B2927" t="s">
        <v>4401</v>
      </c>
      <c r="C2927" t="s">
        <v>1218</v>
      </c>
      <c r="F2927" t="str">
        <f>"7035738625"</f>
        <v>7035738625</v>
      </c>
      <c r="G2927" t="s">
        <v>7929</v>
      </c>
      <c r="H2927" t="s">
        <v>758</v>
      </c>
      <c r="I2927" t="s">
        <v>148</v>
      </c>
      <c r="J2927">
        <v>20910</v>
      </c>
      <c r="K2927">
        <v>3530</v>
      </c>
      <c r="L2927" t="s">
        <v>23</v>
      </c>
      <c r="M2927" t="s">
        <v>7929</v>
      </c>
      <c r="N2927" t="s">
        <v>758</v>
      </c>
      <c r="O2927" t="s">
        <v>148</v>
      </c>
      <c r="P2927">
        <v>20910</v>
      </c>
      <c r="Q2927">
        <v>3530</v>
      </c>
      <c r="R2927" t="s">
        <v>23</v>
      </c>
      <c r="S2927" s="1" t="s">
        <v>34218</v>
      </c>
    </row>
    <row r="2928" spans="1:19" x14ac:dyDescent="0.25">
      <c r="A2928">
        <v>100931107</v>
      </c>
      <c r="B2928" t="s">
        <v>7930</v>
      </c>
      <c r="C2928" t="s">
        <v>575</v>
      </c>
      <c r="F2928" t="str">
        <f>"2126848162"</f>
        <v>2126848162</v>
      </c>
      <c r="G2928" t="s">
        <v>7931</v>
      </c>
      <c r="H2928" t="s">
        <v>653</v>
      </c>
      <c r="I2928" t="s">
        <v>117</v>
      </c>
      <c r="J2928" t="s">
        <v>7932</v>
      </c>
      <c r="K2928">
        <v>2976</v>
      </c>
      <c r="L2928" t="s">
        <v>23</v>
      </c>
      <c r="M2928" t="s">
        <v>7931</v>
      </c>
      <c r="N2928" t="s">
        <v>653</v>
      </c>
      <c r="O2928" t="s">
        <v>117</v>
      </c>
      <c r="P2928" t="s">
        <v>7932</v>
      </c>
      <c r="Q2928">
        <v>2976</v>
      </c>
      <c r="R2928" t="s">
        <v>23</v>
      </c>
      <c r="S2928" s="1" t="s">
        <v>34218</v>
      </c>
    </row>
    <row r="2929" spans="1:19" x14ac:dyDescent="0.25">
      <c r="A2929">
        <v>100805362</v>
      </c>
      <c r="B2929" t="s">
        <v>7933</v>
      </c>
      <c r="C2929" t="s">
        <v>313</v>
      </c>
      <c r="F2929" t="str">
        <f>"8014853779"</f>
        <v>8014853779</v>
      </c>
      <c r="G2929" t="s">
        <v>7934</v>
      </c>
      <c r="H2929" t="s">
        <v>818</v>
      </c>
      <c r="I2929" t="s">
        <v>43</v>
      </c>
      <c r="J2929" t="s">
        <v>7935</v>
      </c>
      <c r="K2929">
        <v>8166</v>
      </c>
      <c r="L2929" t="s">
        <v>23</v>
      </c>
      <c r="M2929" t="s">
        <v>7934</v>
      </c>
      <c r="N2929" t="s">
        <v>818</v>
      </c>
      <c r="O2929" t="s">
        <v>43</v>
      </c>
      <c r="P2929" t="s">
        <v>7935</v>
      </c>
      <c r="Q2929">
        <v>8166</v>
      </c>
      <c r="R2929" t="s">
        <v>23</v>
      </c>
      <c r="S2929" s="1" t="s">
        <v>34218</v>
      </c>
    </row>
    <row r="2930" spans="1:19" x14ac:dyDescent="0.25">
      <c r="A2930">
        <v>101426525</v>
      </c>
      <c r="B2930" t="s">
        <v>93</v>
      </c>
      <c r="C2930" t="s">
        <v>838</v>
      </c>
      <c r="F2930" t="str">
        <f>"2025691537"</f>
        <v>2025691537</v>
      </c>
      <c r="G2930" t="s">
        <v>7936</v>
      </c>
      <c r="H2930" t="s">
        <v>165</v>
      </c>
      <c r="I2930" t="s">
        <v>148</v>
      </c>
      <c r="J2930" t="s">
        <v>7937</v>
      </c>
      <c r="K2930">
        <v>2413</v>
      </c>
      <c r="L2930" t="s">
        <v>23</v>
      </c>
      <c r="M2930" t="s">
        <v>7936</v>
      </c>
      <c r="N2930" t="s">
        <v>165</v>
      </c>
      <c r="O2930" t="s">
        <v>148</v>
      </c>
      <c r="P2930" t="s">
        <v>7937</v>
      </c>
      <c r="Q2930">
        <v>2413</v>
      </c>
      <c r="R2930" t="s">
        <v>23</v>
      </c>
      <c r="S2930" s="1" t="s">
        <v>34218</v>
      </c>
    </row>
    <row r="2931" spans="1:19" x14ac:dyDescent="0.25">
      <c r="A2931">
        <v>100626615</v>
      </c>
      <c r="B2931" t="s">
        <v>276</v>
      </c>
      <c r="C2931" t="s">
        <v>475</v>
      </c>
      <c r="F2931" t="str">
        <f>"5615161124"</f>
        <v>5615161124</v>
      </c>
      <c r="G2931" t="s">
        <v>7938</v>
      </c>
      <c r="H2931" t="s">
        <v>1571</v>
      </c>
      <c r="I2931" t="s">
        <v>52</v>
      </c>
      <c r="J2931" t="s">
        <v>7939</v>
      </c>
      <c r="K2931">
        <v>5653</v>
      </c>
      <c r="L2931" t="s">
        <v>23</v>
      </c>
      <c r="M2931" t="s">
        <v>7938</v>
      </c>
      <c r="N2931" t="s">
        <v>1571</v>
      </c>
      <c r="O2931" t="s">
        <v>52</v>
      </c>
      <c r="P2931" t="s">
        <v>7939</v>
      </c>
      <c r="Q2931">
        <v>5653</v>
      </c>
      <c r="R2931" t="s">
        <v>23</v>
      </c>
      <c r="S2931" s="1" t="s">
        <v>34218</v>
      </c>
    </row>
    <row r="2932" spans="1:19" x14ac:dyDescent="0.25">
      <c r="A2932">
        <v>101395683</v>
      </c>
      <c r="B2932" t="s">
        <v>7940</v>
      </c>
      <c r="C2932" t="s">
        <v>4140</v>
      </c>
      <c r="F2932" t="str">
        <f>"6156651635"</f>
        <v>6156651635</v>
      </c>
      <c r="G2932" t="s">
        <v>7941</v>
      </c>
      <c r="H2932" t="s">
        <v>913</v>
      </c>
      <c r="I2932" t="s">
        <v>914</v>
      </c>
      <c r="J2932">
        <v>37205</v>
      </c>
      <c r="K2932">
        <v>4705</v>
      </c>
      <c r="L2932" t="s">
        <v>23</v>
      </c>
      <c r="M2932" t="s">
        <v>7941</v>
      </c>
      <c r="N2932" t="s">
        <v>913</v>
      </c>
      <c r="O2932" t="s">
        <v>914</v>
      </c>
      <c r="P2932">
        <v>37205</v>
      </c>
      <c r="Q2932">
        <v>4705</v>
      </c>
      <c r="R2932" t="s">
        <v>23</v>
      </c>
      <c r="S2932" s="1" t="s">
        <v>34218</v>
      </c>
    </row>
    <row r="2933" spans="1:19" x14ac:dyDescent="0.25">
      <c r="A2933">
        <v>100528685</v>
      </c>
      <c r="B2933" t="s">
        <v>7942</v>
      </c>
      <c r="C2933" t="s">
        <v>1157</v>
      </c>
      <c r="F2933" t="str">
        <f>"4137273328"</f>
        <v>4137273328</v>
      </c>
      <c r="G2933" t="s">
        <v>7943</v>
      </c>
      <c r="H2933" t="s">
        <v>7944</v>
      </c>
      <c r="I2933" t="s">
        <v>236</v>
      </c>
      <c r="J2933">
        <v>1060</v>
      </c>
      <c r="K2933">
        <v>1709</v>
      </c>
      <c r="L2933" t="s">
        <v>23</v>
      </c>
      <c r="M2933" t="s">
        <v>7943</v>
      </c>
      <c r="N2933" t="s">
        <v>7944</v>
      </c>
      <c r="O2933" t="s">
        <v>236</v>
      </c>
      <c r="P2933">
        <v>1060</v>
      </c>
      <c r="Q2933">
        <v>1709</v>
      </c>
      <c r="R2933" t="s">
        <v>23</v>
      </c>
      <c r="S2933" s="1" t="s">
        <v>34218</v>
      </c>
    </row>
    <row r="2934" spans="1:19" x14ac:dyDescent="0.25">
      <c r="A2934">
        <v>100583642</v>
      </c>
      <c r="B2934" t="s">
        <v>7945</v>
      </c>
      <c r="C2934" t="s">
        <v>718</v>
      </c>
      <c r="F2934" t="str">
        <f>"6364646806"</f>
        <v>6364646806</v>
      </c>
      <c r="G2934" t="s">
        <v>7946</v>
      </c>
      <c r="H2934" t="s">
        <v>7947</v>
      </c>
      <c r="I2934" t="s">
        <v>126</v>
      </c>
      <c r="J2934">
        <v>63012</v>
      </c>
      <c r="K2934">
        <v>2619</v>
      </c>
      <c r="L2934" t="s">
        <v>23</v>
      </c>
      <c r="M2934" t="s">
        <v>7946</v>
      </c>
      <c r="N2934" t="s">
        <v>7947</v>
      </c>
      <c r="O2934" t="s">
        <v>126</v>
      </c>
      <c r="P2934">
        <v>63012</v>
      </c>
      <c r="Q2934">
        <v>2619</v>
      </c>
      <c r="R2934" t="s">
        <v>23</v>
      </c>
      <c r="S2934" s="1" t="s">
        <v>34218</v>
      </c>
    </row>
    <row r="2935" spans="1:19" x14ac:dyDescent="0.25">
      <c r="A2935">
        <v>101220407</v>
      </c>
      <c r="B2935" t="s">
        <v>7948</v>
      </c>
      <c r="C2935" t="s">
        <v>7949</v>
      </c>
      <c r="F2935" t="str">
        <f>"4359791583"</f>
        <v>4359791583</v>
      </c>
      <c r="G2935" t="s">
        <v>7950</v>
      </c>
      <c r="H2935" t="s">
        <v>7951</v>
      </c>
      <c r="I2935" t="s">
        <v>332</v>
      </c>
      <c r="J2935">
        <v>84305</v>
      </c>
      <c r="L2935" t="s">
        <v>23</v>
      </c>
      <c r="M2935" t="s">
        <v>7950</v>
      </c>
      <c r="N2935" t="s">
        <v>7951</v>
      </c>
      <c r="O2935" t="s">
        <v>332</v>
      </c>
      <c r="P2935">
        <v>84305</v>
      </c>
      <c r="R2935" t="s">
        <v>23</v>
      </c>
      <c r="S2935" s="1" t="s">
        <v>34218</v>
      </c>
    </row>
    <row r="2936" spans="1:19" x14ac:dyDescent="0.25">
      <c r="A2936">
        <v>101146866</v>
      </c>
      <c r="B2936" t="s">
        <v>7952</v>
      </c>
      <c r="C2936" t="s">
        <v>7953</v>
      </c>
      <c r="F2936" t="str">
        <f>"7205659853"</f>
        <v>7205659853</v>
      </c>
      <c r="G2936" t="s">
        <v>7954</v>
      </c>
      <c r="H2936" t="s">
        <v>423</v>
      </c>
      <c r="I2936" t="s">
        <v>71</v>
      </c>
      <c r="J2936">
        <v>80304</v>
      </c>
      <c r="L2936" t="s">
        <v>23</v>
      </c>
      <c r="M2936" t="s">
        <v>7954</v>
      </c>
      <c r="N2936" t="s">
        <v>423</v>
      </c>
      <c r="O2936" t="s">
        <v>71</v>
      </c>
      <c r="P2936">
        <v>80304</v>
      </c>
      <c r="R2936" t="s">
        <v>23</v>
      </c>
      <c r="S2936" s="1" t="s">
        <v>34218</v>
      </c>
    </row>
    <row r="2937" spans="1:19" x14ac:dyDescent="0.25">
      <c r="A2937">
        <v>100970042</v>
      </c>
      <c r="B2937" t="s">
        <v>7955</v>
      </c>
      <c r="C2937" t="s">
        <v>699</v>
      </c>
      <c r="F2937" t="str">
        <f>"9543946090"</f>
        <v>9543946090</v>
      </c>
      <c r="G2937" t="s">
        <v>7956</v>
      </c>
      <c r="H2937" t="s">
        <v>2696</v>
      </c>
      <c r="I2937" t="s">
        <v>52</v>
      </c>
      <c r="J2937" t="s">
        <v>7957</v>
      </c>
      <c r="K2937">
        <v>4371</v>
      </c>
      <c r="L2937" t="s">
        <v>23</v>
      </c>
      <c r="M2937" t="s">
        <v>7956</v>
      </c>
      <c r="N2937" t="s">
        <v>2696</v>
      </c>
      <c r="O2937" t="s">
        <v>52</v>
      </c>
      <c r="P2937" t="s">
        <v>7957</v>
      </c>
      <c r="Q2937">
        <v>4371</v>
      </c>
      <c r="R2937" t="s">
        <v>23</v>
      </c>
      <c r="S2937" s="1" t="s">
        <v>34218</v>
      </c>
    </row>
    <row r="2938" spans="1:19" x14ac:dyDescent="0.25">
      <c r="A2938">
        <v>100891410</v>
      </c>
      <c r="B2938" t="s">
        <v>7958</v>
      </c>
      <c r="C2938" t="s">
        <v>4188</v>
      </c>
      <c r="F2938" t="str">
        <f>"8474260418"</f>
        <v>8474260418</v>
      </c>
      <c r="G2938" t="s">
        <v>7959</v>
      </c>
      <c r="H2938" t="s">
        <v>7960</v>
      </c>
      <c r="I2938" t="s">
        <v>135</v>
      </c>
      <c r="J2938" t="s">
        <v>7961</v>
      </c>
      <c r="K2938">
        <v>1201</v>
      </c>
      <c r="L2938" t="s">
        <v>23</v>
      </c>
      <c r="M2938" t="s">
        <v>7959</v>
      </c>
      <c r="N2938" t="s">
        <v>7960</v>
      </c>
      <c r="O2938" t="s">
        <v>135</v>
      </c>
      <c r="P2938" t="s">
        <v>7961</v>
      </c>
      <c r="Q2938">
        <v>1201</v>
      </c>
      <c r="R2938" t="s">
        <v>23</v>
      </c>
      <c r="S2938" s="1" t="s">
        <v>34218</v>
      </c>
    </row>
    <row r="2939" spans="1:19" x14ac:dyDescent="0.25">
      <c r="A2939">
        <v>100776264</v>
      </c>
      <c r="B2939" t="s">
        <v>7962</v>
      </c>
      <c r="C2939" t="s">
        <v>894</v>
      </c>
      <c r="D2939" t="s">
        <v>383</v>
      </c>
      <c r="F2939" t="str">
        <f>"6174979035"</f>
        <v>6174979035</v>
      </c>
      <c r="G2939" t="s">
        <v>7963</v>
      </c>
      <c r="H2939" t="s">
        <v>3385</v>
      </c>
      <c r="I2939" t="s">
        <v>236</v>
      </c>
      <c r="J2939" t="s">
        <v>7964</v>
      </c>
      <c r="K2939">
        <v>1134</v>
      </c>
      <c r="L2939" t="s">
        <v>23</v>
      </c>
      <c r="M2939" t="s">
        <v>7963</v>
      </c>
      <c r="N2939" t="s">
        <v>3385</v>
      </c>
      <c r="O2939" t="s">
        <v>236</v>
      </c>
      <c r="P2939" t="s">
        <v>7964</v>
      </c>
      <c r="Q2939">
        <v>1134</v>
      </c>
      <c r="R2939" t="s">
        <v>23</v>
      </c>
      <c r="S2939" s="1" t="s">
        <v>34218</v>
      </c>
    </row>
    <row r="2940" spans="1:19" x14ac:dyDescent="0.25">
      <c r="A2940">
        <v>100975778</v>
      </c>
      <c r="B2940" t="s">
        <v>3237</v>
      </c>
      <c r="C2940" t="s">
        <v>2767</v>
      </c>
      <c r="F2940" t="str">
        <f>"5107246442"</f>
        <v>5107246442</v>
      </c>
      <c r="G2940" t="s">
        <v>7965</v>
      </c>
      <c r="H2940" t="s">
        <v>7966</v>
      </c>
      <c r="I2940" t="s">
        <v>22</v>
      </c>
      <c r="J2940" t="s">
        <v>7967</v>
      </c>
      <c r="K2940">
        <v>2689</v>
      </c>
      <c r="L2940" t="s">
        <v>23</v>
      </c>
      <c r="M2940" t="s">
        <v>7965</v>
      </c>
      <c r="N2940" t="s">
        <v>7966</v>
      </c>
      <c r="O2940" t="s">
        <v>22</v>
      </c>
      <c r="P2940" t="s">
        <v>7967</v>
      </c>
      <c r="Q2940">
        <v>2689</v>
      </c>
      <c r="R2940" t="s">
        <v>23</v>
      </c>
      <c r="S2940" s="1" t="s">
        <v>34218</v>
      </c>
    </row>
    <row r="2941" spans="1:19" x14ac:dyDescent="0.25">
      <c r="A2941">
        <v>101412685</v>
      </c>
      <c r="B2941" t="s">
        <v>7968</v>
      </c>
      <c r="C2941" t="s">
        <v>644</v>
      </c>
      <c r="F2941" t="str">
        <f>"9876544210"</f>
        <v>9876544210</v>
      </c>
      <c r="G2941" t="s">
        <v>2752</v>
      </c>
      <c r="H2941" t="s">
        <v>2753</v>
      </c>
      <c r="I2941" t="s">
        <v>33</v>
      </c>
      <c r="J2941">
        <v>16830</v>
      </c>
      <c r="K2941">
        <v>672</v>
      </c>
      <c r="L2941" t="s">
        <v>23</v>
      </c>
      <c r="M2941" t="s">
        <v>2752</v>
      </c>
      <c r="N2941" t="s">
        <v>2753</v>
      </c>
      <c r="O2941" t="s">
        <v>33</v>
      </c>
      <c r="P2941">
        <v>16830</v>
      </c>
      <c r="Q2941">
        <v>672</v>
      </c>
      <c r="R2941" t="s">
        <v>23</v>
      </c>
      <c r="S2941" s="1" t="s">
        <v>34218</v>
      </c>
    </row>
    <row r="2942" spans="1:19" x14ac:dyDescent="0.25">
      <c r="A2942">
        <v>101142580</v>
      </c>
      <c r="B2942" t="s">
        <v>1933</v>
      </c>
      <c r="C2942" t="s">
        <v>1959</v>
      </c>
      <c r="F2942" t="str">
        <f>"2129999999"</f>
        <v>2129999999</v>
      </c>
      <c r="G2942" t="s">
        <v>7969</v>
      </c>
      <c r="H2942" t="s">
        <v>1257</v>
      </c>
      <c r="I2942" t="s">
        <v>365</v>
      </c>
      <c r="J2942">
        <v>85248</v>
      </c>
      <c r="K2942">
        <v>9235</v>
      </c>
      <c r="L2942" t="s">
        <v>23</v>
      </c>
      <c r="M2942" t="s">
        <v>7969</v>
      </c>
      <c r="N2942" t="s">
        <v>1257</v>
      </c>
      <c r="O2942" t="s">
        <v>365</v>
      </c>
      <c r="P2942">
        <v>85248</v>
      </c>
      <c r="Q2942">
        <v>9235</v>
      </c>
      <c r="R2942" t="s">
        <v>23</v>
      </c>
      <c r="S2942" s="1" t="s">
        <v>34218</v>
      </c>
    </row>
    <row r="2943" spans="1:19" x14ac:dyDescent="0.25">
      <c r="A2943">
        <v>101206329</v>
      </c>
      <c r="B2943" t="s">
        <v>7970</v>
      </c>
      <c r="C2943" t="s">
        <v>483</v>
      </c>
      <c r="F2943" t="str">
        <f>"5302433401"</f>
        <v>5302433401</v>
      </c>
      <c r="G2943" t="s">
        <v>7971</v>
      </c>
      <c r="H2943" t="s">
        <v>7972</v>
      </c>
      <c r="I2943" t="s">
        <v>38</v>
      </c>
      <c r="J2943" t="s">
        <v>7973</v>
      </c>
      <c r="K2943">
        <v>5753</v>
      </c>
      <c r="L2943" t="s">
        <v>23</v>
      </c>
      <c r="M2943" t="s">
        <v>7971</v>
      </c>
      <c r="N2943" t="s">
        <v>7972</v>
      </c>
      <c r="O2943" t="s">
        <v>38</v>
      </c>
      <c r="P2943" t="s">
        <v>7973</v>
      </c>
      <c r="Q2943">
        <v>5753</v>
      </c>
      <c r="R2943" t="s">
        <v>23</v>
      </c>
      <c r="S2943" s="1" t="s">
        <v>34218</v>
      </c>
    </row>
    <row r="2944" spans="1:19" x14ac:dyDescent="0.25">
      <c r="A2944">
        <v>100518658</v>
      </c>
      <c r="B2944" t="s">
        <v>7974</v>
      </c>
      <c r="C2944" t="s">
        <v>7975</v>
      </c>
      <c r="F2944" t="str">
        <f>"5555555555"</f>
        <v>5555555555</v>
      </c>
      <c r="G2944" t="s">
        <v>7976</v>
      </c>
      <c r="H2944" t="s">
        <v>4570</v>
      </c>
      <c r="I2944" t="s">
        <v>52</v>
      </c>
      <c r="J2944">
        <v>34293</v>
      </c>
      <c r="K2944">
        <v>4248</v>
      </c>
      <c r="L2944" t="s">
        <v>23</v>
      </c>
      <c r="M2944" t="s">
        <v>7976</v>
      </c>
      <c r="N2944" t="s">
        <v>4570</v>
      </c>
      <c r="O2944" t="s">
        <v>52</v>
      </c>
      <c r="P2944">
        <v>34293</v>
      </c>
      <c r="Q2944">
        <v>4248</v>
      </c>
      <c r="R2944" t="s">
        <v>23</v>
      </c>
      <c r="S2944" s="1" t="s">
        <v>34218</v>
      </c>
    </row>
    <row r="2945" spans="1:19" x14ac:dyDescent="0.25">
      <c r="A2945">
        <v>100890315</v>
      </c>
      <c r="B2945" t="s">
        <v>654</v>
      </c>
      <c r="C2945" t="s">
        <v>613</v>
      </c>
      <c r="F2945" t="str">
        <f>"8707540029"</f>
        <v>8707540029</v>
      </c>
      <c r="G2945" t="s">
        <v>7977</v>
      </c>
      <c r="H2945" t="s">
        <v>2097</v>
      </c>
      <c r="I2945" t="s">
        <v>2537</v>
      </c>
      <c r="J2945">
        <v>72641</v>
      </c>
      <c r="K2945">
        <v>526</v>
      </c>
      <c r="L2945" t="s">
        <v>23</v>
      </c>
      <c r="M2945" t="s">
        <v>7977</v>
      </c>
      <c r="N2945" t="s">
        <v>2097</v>
      </c>
      <c r="O2945" t="s">
        <v>2537</v>
      </c>
      <c r="P2945">
        <v>72641</v>
      </c>
      <c r="Q2945">
        <v>526</v>
      </c>
      <c r="R2945" t="s">
        <v>23</v>
      </c>
      <c r="S2945" s="1" t="s">
        <v>34218</v>
      </c>
    </row>
    <row r="2946" spans="1:19" x14ac:dyDescent="0.25">
      <c r="A2946">
        <v>101397262</v>
      </c>
      <c r="B2946" t="s">
        <v>7978</v>
      </c>
      <c r="C2946" t="s">
        <v>7979</v>
      </c>
      <c r="F2946" t="str">
        <f>"8125686470"</f>
        <v>8125686470</v>
      </c>
      <c r="G2946" t="s">
        <v>7980</v>
      </c>
      <c r="H2946" t="s">
        <v>3686</v>
      </c>
      <c r="I2946" t="s">
        <v>57</v>
      </c>
      <c r="J2946" t="s">
        <v>7981</v>
      </c>
      <c r="K2946">
        <v>5404</v>
      </c>
      <c r="L2946" t="s">
        <v>23</v>
      </c>
      <c r="M2946" t="s">
        <v>7980</v>
      </c>
      <c r="N2946" t="s">
        <v>3686</v>
      </c>
      <c r="O2946" t="s">
        <v>57</v>
      </c>
      <c r="P2946" t="s">
        <v>7981</v>
      </c>
      <c r="Q2946">
        <v>5404</v>
      </c>
      <c r="R2946" t="s">
        <v>23</v>
      </c>
      <c r="S2946" s="1" t="s">
        <v>34218</v>
      </c>
    </row>
    <row r="2947" spans="1:19" x14ac:dyDescent="0.25">
      <c r="A2947">
        <v>100531360</v>
      </c>
      <c r="B2947" t="s">
        <v>7982</v>
      </c>
      <c r="C2947" t="s">
        <v>399</v>
      </c>
      <c r="F2947" t="str">
        <f>"7135269776"</f>
        <v>7135269776</v>
      </c>
      <c r="G2947" t="s">
        <v>7983</v>
      </c>
      <c r="H2947" t="s">
        <v>1402</v>
      </c>
      <c r="I2947" t="s">
        <v>38</v>
      </c>
      <c r="J2947" t="s">
        <v>7984</v>
      </c>
      <c r="K2947">
        <v>1760</v>
      </c>
      <c r="L2947" t="s">
        <v>23</v>
      </c>
      <c r="M2947" t="s">
        <v>7983</v>
      </c>
      <c r="N2947" t="s">
        <v>1402</v>
      </c>
      <c r="O2947" t="s">
        <v>38</v>
      </c>
      <c r="P2947" t="s">
        <v>7984</v>
      </c>
      <c r="Q2947">
        <v>1760</v>
      </c>
      <c r="R2947" t="s">
        <v>23</v>
      </c>
      <c r="S2947" s="1" t="s">
        <v>34218</v>
      </c>
    </row>
    <row r="2948" spans="1:19" x14ac:dyDescent="0.25">
      <c r="A2948">
        <v>100528713</v>
      </c>
      <c r="B2948" t="s">
        <v>93</v>
      </c>
      <c r="C2948" t="s">
        <v>3988</v>
      </c>
      <c r="F2948" t="str">
        <f>"4807213254"</f>
        <v>4807213254</v>
      </c>
      <c r="G2948" t="s">
        <v>7985</v>
      </c>
      <c r="H2948" t="s">
        <v>625</v>
      </c>
      <c r="I2948" t="s">
        <v>365</v>
      </c>
      <c r="J2948">
        <v>85213</v>
      </c>
      <c r="K2948">
        <v>3180</v>
      </c>
      <c r="L2948" t="s">
        <v>23</v>
      </c>
      <c r="M2948" t="s">
        <v>7985</v>
      </c>
      <c r="N2948" t="s">
        <v>625</v>
      </c>
      <c r="O2948" t="s">
        <v>365</v>
      </c>
      <c r="P2948">
        <v>85213</v>
      </c>
      <c r="Q2948">
        <v>3180</v>
      </c>
      <c r="R2948" t="s">
        <v>23</v>
      </c>
      <c r="S2948" s="1" t="s">
        <v>34218</v>
      </c>
    </row>
    <row r="2949" spans="1:19" x14ac:dyDescent="0.25">
      <c r="A2949">
        <v>101146931</v>
      </c>
      <c r="B2949" t="s">
        <v>7175</v>
      </c>
      <c r="C2949" t="s">
        <v>81</v>
      </c>
      <c r="F2949" t="str">
        <f>"7075425502"</f>
        <v>7075425502</v>
      </c>
      <c r="G2949" t="s">
        <v>7986</v>
      </c>
      <c r="H2949" t="s">
        <v>21</v>
      </c>
      <c r="I2949" t="s">
        <v>22</v>
      </c>
      <c r="J2949">
        <v>95407</v>
      </c>
      <c r="K2949">
        <v>6993</v>
      </c>
      <c r="L2949" t="s">
        <v>23</v>
      </c>
      <c r="M2949" t="s">
        <v>7986</v>
      </c>
      <c r="N2949" t="s">
        <v>21</v>
      </c>
      <c r="O2949" t="s">
        <v>22</v>
      </c>
      <c r="P2949">
        <v>95407</v>
      </c>
      <c r="Q2949">
        <v>6993</v>
      </c>
      <c r="R2949" t="s">
        <v>23</v>
      </c>
      <c r="S2949" s="1" t="s">
        <v>34218</v>
      </c>
    </row>
    <row r="2950" spans="1:19" x14ac:dyDescent="0.25">
      <c r="A2950">
        <v>101413653</v>
      </c>
      <c r="B2950" t="s">
        <v>7987</v>
      </c>
      <c r="C2950" t="s">
        <v>2679</v>
      </c>
      <c r="F2950" t="str">
        <f>"3108371792"</f>
        <v>3108371792</v>
      </c>
      <c r="G2950" t="s">
        <v>7988</v>
      </c>
      <c r="H2950" t="s">
        <v>299</v>
      </c>
      <c r="I2950" t="s">
        <v>22</v>
      </c>
      <c r="J2950">
        <v>90064</v>
      </c>
      <c r="K2950">
        <v>3444</v>
      </c>
      <c r="L2950" t="s">
        <v>23</v>
      </c>
      <c r="M2950" t="s">
        <v>7988</v>
      </c>
      <c r="N2950" t="s">
        <v>299</v>
      </c>
      <c r="O2950" t="s">
        <v>22</v>
      </c>
      <c r="P2950">
        <v>90064</v>
      </c>
      <c r="Q2950">
        <v>3444</v>
      </c>
      <c r="R2950" t="s">
        <v>23</v>
      </c>
      <c r="S2950" s="1" t="s">
        <v>34218</v>
      </c>
    </row>
    <row r="2951" spans="1:19" x14ac:dyDescent="0.25">
      <c r="A2951">
        <v>101228997</v>
      </c>
      <c r="B2951" t="s">
        <v>7989</v>
      </c>
      <c r="C2951" t="s">
        <v>1879</v>
      </c>
      <c r="F2951" t="str">
        <f>"4159734213"</f>
        <v>4159734213</v>
      </c>
      <c r="G2951" t="s">
        <v>7990</v>
      </c>
      <c r="H2951" t="s">
        <v>2629</v>
      </c>
      <c r="I2951" t="s">
        <v>22</v>
      </c>
      <c r="J2951">
        <v>94965</v>
      </c>
      <c r="K2951">
        <v>1030</v>
      </c>
      <c r="L2951" t="s">
        <v>23</v>
      </c>
      <c r="M2951" t="s">
        <v>7990</v>
      </c>
      <c r="N2951" t="s">
        <v>2629</v>
      </c>
      <c r="O2951" t="s">
        <v>22</v>
      </c>
      <c r="P2951">
        <v>94965</v>
      </c>
      <c r="Q2951">
        <v>1030</v>
      </c>
      <c r="R2951" t="s">
        <v>23</v>
      </c>
      <c r="S2951" s="1" t="s">
        <v>34218</v>
      </c>
    </row>
    <row r="2952" spans="1:19" x14ac:dyDescent="0.25">
      <c r="A2952">
        <v>100521566</v>
      </c>
      <c r="B2952" t="s">
        <v>6820</v>
      </c>
      <c r="C2952" t="s">
        <v>233</v>
      </c>
      <c r="F2952" t="str">
        <f>"5207910038"</f>
        <v>5207910038</v>
      </c>
      <c r="H2952" t="s">
        <v>1439</v>
      </c>
      <c r="I2952" t="s">
        <v>365</v>
      </c>
      <c r="J2952">
        <v>85711</v>
      </c>
      <c r="L2952" t="s">
        <v>23</v>
      </c>
      <c r="N2952" t="s">
        <v>1439</v>
      </c>
      <c r="O2952" t="s">
        <v>365</v>
      </c>
      <c r="P2952">
        <v>85711</v>
      </c>
      <c r="R2952" t="s">
        <v>23</v>
      </c>
      <c r="S2952" s="1" t="s">
        <v>34218</v>
      </c>
    </row>
    <row r="2953" spans="1:19" x14ac:dyDescent="0.25">
      <c r="A2953">
        <v>100677344</v>
      </c>
      <c r="B2953" t="s">
        <v>4694</v>
      </c>
      <c r="C2953" t="s">
        <v>874</v>
      </c>
      <c r="F2953" t="str">
        <f>"8183982343"</f>
        <v>8183982343</v>
      </c>
      <c r="G2953" t="s">
        <v>7991</v>
      </c>
      <c r="H2953" t="s">
        <v>134</v>
      </c>
      <c r="I2953" t="s">
        <v>135</v>
      </c>
      <c r="J2953">
        <v>60626</v>
      </c>
      <c r="K2953">
        <v>2890</v>
      </c>
      <c r="L2953" t="s">
        <v>23</v>
      </c>
      <c r="M2953" t="s">
        <v>7991</v>
      </c>
      <c r="N2953" t="s">
        <v>134</v>
      </c>
      <c r="O2953" t="s">
        <v>135</v>
      </c>
      <c r="P2953">
        <v>60626</v>
      </c>
      <c r="Q2953">
        <v>2890</v>
      </c>
      <c r="R2953" t="s">
        <v>23</v>
      </c>
      <c r="S2953" s="1" t="s">
        <v>34218</v>
      </c>
    </row>
    <row r="2954" spans="1:19" x14ac:dyDescent="0.25">
      <c r="A2954">
        <v>101064620</v>
      </c>
      <c r="B2954" t="s">
        <v>7992</v>
      </c>
      <c r="C2954" t="s">
        <v>1384</v>
      </c>
      <c r="F2954" t="str">
        <f>"2063728515"</f>
        <v>2063728515</v>
      </c>
      <c r="G2954" t="s">
        <v>7993</v>
      </c>
      <c r="H2954" t="s">
        <v>7994</v>
      </c>
      <c r="I2954" t="s">
        <v>84</v>
      </c>
      <c r="J2954">
        <v>98087</v>
      </c>
      <c r="K2954">
        <v>1867</v>
      </c>
      <c r="L2954" t="s">
        <v>23</v>
      </c>
      <c r="M2954" t="s">
        <v>7993</v>
      </c>
      <c r="N2954" t="s">
        <v>7994</v>
      </c>
      <c r="O2954" t="s">
        <v>84</v>
      </c>
      <c r="P2954">
        <v>98087</v>
      </c>
      <c r="Q2954">
        <v>1867</v>
      </c>
      <c r="R2954" t="s">
        <v>23</v>
      </c>
      <c r="S2954" s="1" t="s">
        <v>34218</v>
      </c>
    </row>
    <row r="2955" spans="1:19" x14ac:dyDescent="0.25">
      <c r="A2955">
        <v>100564742</v>
      </c>
      <c r="B2955" t="s">
        <v>7995</v>
      </c>
      <c r="C2955" t="s">
        <v>7996</v>
      </c>
      <c r="F2955" t="str">
        <f>"4157246470"</f>
        <v>4157246470</v>
      </c>
      <c r="G2955" t="s">
        <v>7997</v>
      </c>
      <c r="H2955" t="s">
        <v>130</v>
      </c>
      <c r="I2955" t="s">
        <v>22</v>
      </c>
      <c r="J2955">
        <v>94102</v>
      </c>
      <c r="K2955">
        <v>2877</v>
      </c>
      <c r="L2955" t="s">
        <v>23</v>
      </c>
      <c r="M2955" t="s">
        <v>7997</v>
      </c>
      <c r="N2955" t="s">
        <v>130</v>
      </c>
      <c r="O2955" t="s">
        <v>22</v>
      </c>
      <c r="P2955">
        <v>94102</v>
      </c>
      <c r="Q2955">
        <v>2877</v>
      </c>
      <c r="R2955" t="s">
        <v>23</v>
      </c>
      <c r="S2955" s="1" t="s">
        <v>34218</v>
      </c>
    </row>
    <row r="2956" spans="1:19" x14ac:dyDescent="0.25">
      <c r="A2956">
        <v>101292315</v>
      </c>
      <c r="B2956" t="s">
        <v>7998</v>
      </c>
      <c r="C2956" t="s">
        <v>7999</v>
      </c>
      <c r="F2956" t="str">
        <f>"7138390005"</f>
        <v>7138390005</v>
      </c>
      <c r="H2956" t="s">
        <v>1402</v>
      </c>
      <c r="I2956" t="s">
        <v>38</v>
      </c>
      <c r="J2956">
        <v>77025</v>
      </c>
      <c r="L2956" t="s">
        <v>23</v>
      </c>
      <c r="N2956" t="s">
        <v>1402</v>
      </c>
      <c r="O2956" t="s">
        <v>38</v>
      </c>
      <c r="P2956">
        <v>77025</v>
      </c>
      <c r="R2956" t="s">
        <v>23</v>
      </c>
      <c r="S2956" s="1" t="s">
        <v>34218</v>
      </c>
    </row>
    <row r="2957" spans="1:19" x14ac:dyDescent="0.25">
      <c r="A2957">
        <v>100537523</v>
      </c>
      <c r="B2957" t="s">
        <v>8000</v>
      </c>
      <c r="C2957" t="s">
        <v>123</v>
      </c>
      <c r="F2957" t="str">
        <f>"7028894920"</f>
        <v>7028894920</v>
      </c>
      <c r="G2957" t="s">
        <v>8001</v>
      </c>
      <c r="H2957" t="s">
        <v>1787</v>
      </c>
      <c r="I2957" t="s">
        <v>702</v>
      </c>
      <c r="J2957" t="s">
        <v>8002</v>
      </c>
      <c r="K2957">
        <v>5263</v>
      </c>
      <c r="L2957" t="s">
        <v>23</v>
      </c>
      <c r="M2957" t="s">
        <v>8001</v>
      </c>
      <c r="N2957" t="s">
        <v>1787</v>
      </c>
      <c r="O2957" t="s">
        <v>702</v>
      </c>
      <c r="P2957" t="s">
        <v>8002</v>
      </c>
      <c r="Q2957">
        <v>5263</v>
      </c>
      <c r="R2957" t="s">
        <v>23</v>
      </c>
      <c r="S2957" s="1" t="s">
        <v>34218</v>
      </c>
    </row>
    <row r="2958" spans="1:19" x14ac:dyDescent="0.25">
      <c r="A2958">
        <v>101264663</v>
      </c>
      <c r="B2958" t="s">
        <v>744</v>
      </c>
      <c r="C2958" t="s">
        <v>8003</v>
      </c>
      <c r="F2958" t="str">
        <f>"6232037492"</f>
        <v>6232037492</v>
      </c>
      <c r="G2958" t="s">
        <v>8004</v>
      </c>
      <c r="H2958" t="s">
        <v>2449</v>
      </c>
      <c r="I2958" t="s">
        <v>71</v>
      </c>
      <c r="J2958">
        <v>80112</v>
      </c>
      <c r="K2958">
        <v>1512</v>
      </c>
      <c r="L2958" t="s">
        <v>23</v>
      </c>
      <c r="M2958" t="s">
        <v>8004</v>
      </c>
      <c r="N2958" t="s">
        <v>2449</v>
      </c>
      <c r="O2958" t="s">
        <v>71</v>
      </c>
      <c r="P2958">
        <v>80112</v>
      </c>
      <c r="Q2958">
        <v>1512</v>
      </c>
      <c r="R2958" t="s">
        <v>23</v>
      </c>
      <c r="S2958" s="1" t="s">
        <v>34218</v>
      </c>
    </row>
    <row r="2959" spans="1:19" x14ac:dyDescent="0.25">
      <c r="A2959">
        <v>101014546</v>
      </c>
      <c r="B2959" t="s">
        <v>4628</v>
      </c>
      <c r="C2959" t="s">
        <v>1906</v>
      </c>
      <c r="F2959" t="str">
        <f>"9703759178"</f>
        <v>9703759178</v>
      </c>
      <c r="G2959" t="s">
        <v>8005</v>
      </c>
      <c r="H2959" t="s">
        <v>4347</v>
      </c>
      <c r="I2959" t="s">
        <v>71</v>
      </c>
      <c r="J2959">
        <v>81301</v>
      </c>
      <c r="L2959" t="s">
        <v>23</v>
      </c>
      <c r="M2959" t="s">
        <v>8005</v>
      </c>
      <c r="N2959" t="s">
        <v>4347</v>
      </c>
      <c r="O2959" t="s">
        <v>71</v>
      </c>
      <c r="P2959">
        <v>81301</v>
      </c>
      <c r="R2959" t="s">
        <v>23</v>
      </c>
      <c r="S2959" s="1" t="s">
        <v>34218</v>
      </c>
    </row>
    <row r="2960" spans="1:19" x14ac:dyDescent="0.25">
      <c r="A2960">
        <v>101330758</v>
      </c>
      <c r="B2960" t="s">
        <v>3109</v>
      </c>
      <c r="C2960" t="s">
        <v>7212</v>
      </c>
      <c r="F2960" t="str">
        <f>"8089669968"</f>
        <v>8089669968</v>
      </c>
      <c r="G2960" t="s">
        <v>8006</v>
      </c>
      <c r="H2960" t="s">
        <v>1344</v>
      </c>
      <c r="I2960" t="s">
        <v>984</v>
      </c>
      <c r="J2960">
        <v>96778</v>
      </c>
      <c r="K2960">
        <v>9802</v>
      </c>
      <c r="L2960" t="s">
        <v>23</v>
      </c>
      <c r="M2960" t="s">
        <v>8006</v>
      </c>
      <c r="N2960" t="s">
        <v>1344</v>
      </c>
      <c r="O2960" t="s">
        <v>984</v>
      </c>
      <c r="P2960">
        <v>96778</v>
      </c>
      <c r="Q2960">
        <v>9802</v>
      </c>
      <c r="R2960" t="s">
        <v>23</v>
      </c>
      <c r="S2960" s="1" t="s">
        <v>34218</v>
      </c>
    </row>
    <row r="2961" spans="1:19" x14ac:dyDescent="0.25">
      <c r="A2961">
        <v>100511042</v>
      </c>
      <c r="B2961" t="s">
        <v>8007</v>
      </c>
      <c r="C2961" t="s">
        <v>1374</v>
      </c>
      <c r="F2961" t="str">
        <f>"9712083869"</f>
        <v>9712083869</v>
      </c>
      <c r="G2961" t="s">
        <v>8008</v>
      </c>
      <c r="H2961" t="s">
        <v>2378</v>
      </c>
      <c r="I2961" t="s">
        <v>43</v>
      </c>
      <c r="J2961">
        <v>97351</v>
      </c>
      <c r="K2961">
        <v>2031</v>
      </c>
      <c r="L2961" t="s">
        <v>23</v>
      </c>
      <c r="M2961" t="s">
        <v>8008</v>
      </c>
      <c r="N2961" t="s">
        <v>2378</v>
      </c>
      <c r="O2961" t="s">
        <v>43</v>
      </c>
      <c r="P2961">
        <v>97351</v>
      </c>
      <c r="Q2961">
        <v>2031</v>
      </c>
      <c r="R2961" t="s">
        <v>23</v>
      </c>
      <c r="S2961" s="1" t="s">
        <v>34218</v>
      </c>
    </row>
    <row r="2962" spans="1:19" x14ac:dyDescent="0.25">
      <c r="A2962">
        <v>101253781</v>
      </c>
      <c r="B2962" t="s">
        <v>8009</v>
      </c>
      <c r="C2962" t="s">
        <v>8010</v>
      </c>
      <c r="F2962" t="str">
        <f>"6504646665"</f>
        <v>6504646665</v>
      </c>
      <c r="G2962" t="s">
        <v>8011</v>
      </c>
      <c r="H2962" t="s">
        <v>3680</v>
      </c>
      <c r="I2962" t="s">
        <v>565</v>
      </c>
      <c r="J2962" t="s">
        <v>8012</v>
      </c>
      <c r="K2962">
        <v>8611</v>
      </c>
      <c r="L2962" t="s">
        <v>23</v>
      </c>
      <c r="M2962" t="s">
        <v>8011</v>
      </c>
      <c r="N2962" t="s">
        <v>3680</v>
      </c>
      <c r="O2962" t="s">
        <v>565</v>
      </c>
      <c r="P2962" t="s">
        <v>8012</v>
      </c>
      <c r="Q2962">
        <v>8611</v>
      </c>
      <c r="R2962" t="s">
        <v>23</v>
      </c>
      <c r="S2962" s="1" t="s">
        <v>34218</v>
      </c>
    </row>
    <row r="2963" spans="1:19" x14ac:dyDescent="0.25">
      <c r="A2963">
        <v>101025865</v>
      </c>
      <c r="B2963" t="s">
        <v>7483</v>
      </c>
      <c r="C2963" t="s">
        <v>2776</v>
      </c>
      <c r="F2963" t="str">
        <f>"7275258775"</f>
        <v>7275258775</v>
      </c>
      <c r="G2963" t="s">
        <v>8013</v>
      </c>
      <c r="H2963" t="s">
        <v>6211</v>
      </c>
      <c r="I2963" t="s">
        <v>33</v>
      </c>
      <c r="J2963">
        <v>18902</v>
      </c>
      <c r="L2963" t="s">
        <v>23</v>
      </c>
      <c r="M2963" t="s">
        <v>8013</v>
      </c>
      <c r="N2963" t="s">
        <v>6211</v>
      </c>
      <c r="O2963" t="s">
        <v>33</v>
      </c>
      <c r="P2963">
        <v>18902</v>
      </c>
      <c r="R2963" t="s">
        <v>23</v>
      </c>
      <c r="S2963" s="1" t="s">
        <v>34218</v>
      </c>
    </row>
    <row r="2964" spans="1:19" x14ac:dyDescent="0.25">
      <c r="A2964">
        <v>100752664</v>
      </c>
      <c r="B2964" t="s">
        <v>8014</v>
      </c>
      <c r="C2964" t="s">
        <v>1327</v>
      </c>
      <c r="F2964" t="str">
        <f>"6015282672"</f>
        <v>6015282672</v>
      </c>
      <c r="G2964" t="s">
        <v>8015</v>
      </c>
      <c r="H2964" t="s">
        <v>3680</v>
      </c>
      <c r="I2964" t="s">
        <v>565</v>
      </c>
      <c r="J2964">
        <v>52556</v>
      </c>
      <c r="K2964">
        <v>37</v>
      </c>
      <c r="L2964" t="s">
        <v>23</v>
      </c>
      <c r="M2964" t="s">
        <v>8015</v>
      </c>
      <c r="N2964" t="s">
        <v>3680</v>
      </c>
      <c r="O2964" t="s">
        <v>565</v>
      </c>
      <c r="P2964">
        <v>52556</v>
      </c>
      <c r="Q2964">
        <v>37</v>
      </c>
      <c r="R2964" t="s">
        <v>23</v>
      </c>
      <c r="S2964" s="1" t="s">
        <v>34218</v>
      </c>
    </row>
    <row r="2965" spans="1:19" x14ac:dyDescent="0.25">
      <c r="A2965">
        <v>101350410</v>
      </c>
      <c r="B2965" t="s">
        <v>8016</v>
      </c>
      <c r="C2965" t="s">
        <v>8017</v>
      </c>
      <c r="F2965" t="str">
        <f>"5596769441"</f>
        <v>5596769441</v>
      </c>
      <c r="G2965" t="s">
        <v>8018</v>
      </c>
      <c r="H2965" t="s">
        <v>8019</v>
      </c>
      <c r="I2965" t="s">
        <v>22</v>
      </c>
      <c r="J2965">
        <v>93611</v>
      </c>
      <c r="K2965">
        <v>4423</v>
      </c>
      <c r="L2965" t="s">
        <v>23</v>
      </c>
      <c r="M2965" t="s">
        <v>8018</v>
      </c>
      <c r="N2965" t="s">
        <v>8019</v>
      </c>
      <c r="O2965" t="s">
        <v>22</v>
      </c>
      <c r="P2965">
        <v>93611</v>
      </c>
      <c r="Q2965">
        <v>4423</v>
      </c>
      <c r="R2965" t="s">
        <v>23</v>
      </c>
      <c r="S2965" s="1" t="s">
        <v>34218</v>
      </c>
    </row>
    <row r="2966" spans="1:19" x14ac:dyDescent="0.25">
      <c r="A2966">
        <v>101007804</v>
      </c>
      <c r="B2966" t="s">
        <v>497</v>
      </c>
      <c r="C2966" t="s">
        <v>8020</v>
      </c>
      <c r="F2966" t="str">
        <f>"8503985929"</f>
        <v>8503985929</v>
      </c>
      <c r="G2966" t="s">
        <v>8021</v>
      </c>
      <c r="H2966" t="s">
        <v>8022</v>
      </c>
      <c r="I2966" t="s">
        <v>52</v>
      </c>
      <c r="J2966" t="s">
        <v>8023</v>
      </c>
      <c r="K2966">
        <v>5710</v>
      </c>
      <c r="L2966" t="s">
        <v>23</v>
      </c>
      <c r="M2966" t="s">
        <v>8021</v>
      </c>
      <c r="N2966" t="s">
        <v>8022</v>
      </c>
      <c r="O2966" t="s">
        <v>52</v>
      </c>
      <c r="P2966" t="s">
        <v>8023</v>
      </c>
      <c r="Q2966">
        <v>5710</v>
      </c>
      <c r="R2966" t="s">
        <v>23</v>
      </c>
      <c r="S2966" s="1" t="s">
        <v>34218</v>
      </c>
    </row>
    <row r="2967" spans="1:19" x14ac:dyDescent="0.25">
      <c r="A2967">
        <v>100673522</v>
      </c>
      <c r="B2967" t="s">
        <v>8024</v>
      </c>
      <c r="C2967" t="s">
        <v>309</v>
      </c>
      <c r="F2967" t="str">
        <f>"3178922934"</f>
        <v>3178922934</v>
      </c>
      <c r="G2967" t="s">
        <v>8025</v>
      </c>
      <c r="H2967" t="s">
        <v>3794</v>
      </c>
      <c r="I2967" t="s">
        <v>57</v>
      </c>
      <c r="J2967" t="s">
        <v>8026</v>
      </c>
      <c r="K2967">
        <v>8515</v>
      </c>
      <c r="L2967" t="s">
        <v>23</v>
      </c>
      <c r="M2967" t="s">
        <v>8025</v>
      </c>
      <c r="N2967" t="s">
        <v>3794</v>
      </c>
      <c r="O2967" t="s">
        <v>57</v>
      </c>
      <c r="P2967" t="s">
        <v>8026</v>
      </c>
      <c r="Q2967">
        <v>8515</v>
      </c>
      <c r="R2967" t="s">
        <v>23</v>
      </c>
      <c r="S2967" s="1" t="s">
        <v>34218</v>
      </c>
    </row>
    <row r="2968" spans="1:19" x14ac:dyDescent="0.25">
      <c r="A2968">
        <v>101103797</v>
      </c>
      <c r="B2968" t="s">
        <v>1205</v>
      </c>
      <c r="C2968" t="s">
        <v>8027</v>
      </c>
      <c r="F2968" t="str">
        <f>"5105176882"</f>
        <v>5105176882</v>
      </c>
      <c r="G2968" t="s">
        <v>8028</v>
      </c>
      <c r="H2968" t="s">
        <v>1861</v>
      </c>
      <c r="I2968" t="s">
        <v>22</v>
      </c>
      <c r="J2968">
        <v>94530</v>
      </c>
      <c r="K2968">
        <v>2512</v>
      </c>
      <c r="L2968" t="s">
        <v>23</v>
      </c>
      <c r="M2968" t="s">
        <v>8028</v>
      </c>
      <c r="N2968" t="s">
        <v>1861</v>
      </c>
      <c r="O2968" t="s">
        <v>22</v>
      </c>
      <c r="P2968">
        <v>94530</v>
      </c>
      <c r="Q2968">
        <v>2512</v>
      </c>
      <c r="R2968" t="s">
        <v>23</v>
      </c>
      <c r="S2968" s="1" t="s">
        <v>34218</v>
      </c>
    </row>
    <row r="2969" spans="1:19" x14ac:dyDescent="0.25">
      <c r="A2969">
        <v>101111632</v>
      </c>
      <c r="B2969" t="s">
        <v>6681</v>
      </c>
      <c r="C2969" t="s">
        <v>403</v>
      </c>
      <c r="F2969" t="str">
        <f>"5555555555"</f>
        <v>5555555555</v>
      </c>
      <c r="G2969" t="s">
        <v>8029</v>
      </c>
      <c r="H2969" t="s">
        <v>3424</v>
      </c>
      <c r="I2969" t="s">
        <v>148</v>
      </c>
      <c r="J2969">
        <v>21617</v>
      </c>
      <c r="K2969">
        <v>2358</v>
      </c>
      <c r="L2969" t="s">
        <v>23</v>
      </c>
      <c r="M2969" t="s">
        <v>8029</v>
      </c>
      <c r="N2969" t="s">
        <v>3424</v>
      </c>
      <c r="O2969" t="s">
        <v>148</v>
      </c>
      <c r="P2969">
        <v>21617</v>
      </c>
      <c r="Q2969">
        <v>2358</v>
      </c>
      <c r="R2969" t="s">
        <v>23</v>
      </c>
      <c r="S2969" s="1" t="s">
        <v>34218</v>
      </c>
    </row>
    <row r="2970" spans="1:19" x14ac:dyDescent="0.25">
      <c r="A2970">
        <v>101121374</v>
      </c>
      <c r="B2970" t="s">
        <v>1174</v>
      </c>
      <c r="C2970" t="s">
        <v>874</v>
      </c>
      <c r="F2970" t="str">
        <f>"5025853430"</f>
        <v>5025853430</v>
      </c>
      <c r="G2970" t="s">
        <v>8030</v>
      </c>
      <c r="H2970" t="s">
        <v>1096</v>
      </c>
      <c r="I2970" t="s">
        <v>1097</v>
      </c>
      <c r="J2970">
        <v>40206</v>
      </c>
      <c r="K2970">
        <v>3119</v>
      </c>
      <c r="L2970" t="s">
        <v>23</v>
      </c>
      <c r="M2970" t="s">
        <v>8030</v>
      </c>
      <c r="N2970" t="s">
        <v>1096</v>
      </c>
      <c r="O2970" t="s">
        <v>1097</v>
      </c>
      <c r="P2970">
        <v>40206</v>
      </c>
      <c r="Q2970">
        <v>3119</v>
      </c>
      <c r="R2970" t="s">
        <v>23</v>
      </c>
      <c r="S2970" s="1" t="s">
        <v>34218</v>
      </c>
    </row>
    <row r="2971" spans="1:19" x14ac:dyDescent="0.25">
      <c r="A2971">
        <v>101348593</v>
      </c>
      <c r="B2971" t="s">
        <v>7731</v>
      </c>
      <c r="C2971" t="s">
        <v>3110</v>
      </c>
      <c r="F2971" t="str">
        <f>"8572047468"</f>
        <v>8572047468</v>
      </c>
      <c r="G2971" t="s">
        <v>8031</v>
      </c>
      <c r="H2971" t="s">
        <v>2514</v>
      </c>
      <c r="I2971" t="s">
        <v>236</v>
      </c>
      <c r="J2971">
        <v>2128</v>
      </c>
      <c r="K2971">
        <v>2270</v>
      </c>
      <c r="L2971" t="s">
        <v>23</v>
      </c>
      <c r="M2971" t="s">
        <v>8031</v>
      </c>
      <c r="N2971" t="s">
        <v>2514</v>
      </c>
      <c r="O2971" t="s">
        <v>236</v>
      </c>
      <c r="P2971">
        <v>2128</v>
      </c>
      <c r="Q2971">
        <v>2270</v>
      </c>
      <c r="R2971" t="s">
        <v>23</v>
      </c>
      <c r="S2971" s="1" t="s">
        <v>34218</v>
      </c>
    </row>
    <row r="2972" spans="1:19" x14ac:dyDescent="0.25">
      <c r="A2972">
        <v>101300291</v>
      </c>
      <c r="B2972" t="s">
        <v>8032</v>
      </c>
      <c r="C2972" t="s">
        <v>1955</v>
      </c>
      <c r="F2972" t="str">
        <f>"9253726478"</f>
        <v>9253726478</v>
      </c>
      <c r="G2972" t="s">
        <v>8033</v>
      </c>
      <c r="H2972" t="s">
        <v>3198</v>
      </c>
      <c r="I2972" t="s">
        <v>22</v>
      </c>
      <c r="J2972">
        <v>94523</v>
      </c>
      <c r="K2972">
        <v>1048</v>
      </c>
      <c r="L2972" t="s">
        <v>23</v>
      </c>
      <c r="M2972" t="s">
        <v>8033</v>
      </c>
      <c r="N2972" t="s">
        <v>3198</v>
      </c>
      <c r="O2972" t="s">
        <v>22</v>
      </c>
      <c r="P2972">
        <v>94523</v>
      </c>
      <c r="Q2972">
        <v>1048</v>
      </c>
      <c r="R2972" t="s">
        <v>23</v>
      </c>
      <c r="S2972" s="1" t="s">
        <v>34218</v>
      </c>
    </row>
    <row r="2973" spans="1:19" x14ac:dyDescent="0.25">
      <c r="A2973">
        <v>101297779</v>
      </c>
      <c r="B2973" t="s">
        <v>8034</v>
      </c>
      <c r="C2973" t="s">
        <v>543</v>
      </c>
      <c r="F2973" t="str">
        <f>"7706408325"</f>
        <v>7706408325</v>
      </c>
      <c r="G2973" t="s">
        <v>8035</v>
      </c>
      <c r="H2973" t="s">
        <v>344</v>
      </c>
      <c r="I2973" t="s">
        <v>28</v>
      </c>
      <c r="J2973">
        <v>30075</v>
      </c>
      <c r="K2973">
        <v>5250</v>
      </c>
      <c r="L2973" t="s">
        <v>23</v>
      </c>
      <c r="M2973" t="s">
        <v>8035</v>
      </c>
      <c r="N2973" t="s">
        <v>344</v>
      </c>
      <c r="O2973" t="s">
        <v>28</v>
      </c>
      <c r="P2973">
        <v>30075</v>
      </c>
      <c r="Q2973">
        <v>5250</v>
      </c>
      <c r="R2973" t="s">
        <v>23</v>
      </c>
      <c r="S2973" s="1" t="s">
        <v>34218</v>
      </c>
    </row>
    <row r="2974" spans="1:19" x14ac:dyDescent="0.25">
      <c r="A2974">
        <v>101408418</v>
      </c>
      <c r="B2974" t="s">
        <v>6638</v>
      </c>
      <c r="C2974" t="s">
        <v>247</v>
      </c>
      <c r="F2974" t="str">
        <f>"9517350781"</f>
        <v>9517350781</v>
      </c>
      <c r="G2974" t="s">
        <v>8036</v>
      </c>
      <c r="H2974" t="s">
        <v>8037</v>
      </c>
      <c r="I2974" t="s">
        <v>22</v>
      </c>
      <c r="J2974">
        <v>92881</v>
      </c>
      <c r="K2974">
        <v>3743</v>
      </c>
      <c r="L2974" t="s">
        <v>23</v>
      </c>
      <c r="M2974" t="s">
        <v>8036</v>
      </c>
      <c r="N2974" t="s">
        <v>8037</v>
      </c>
      <c r="O2974" t="s">
        <v>22</v>
      </c>
      <c r="P2974">
        <v>92881</v>
      </c>
      <c r="Q2974">
        <v>3743</v>
      </c>
      <c r="R2974" t="s">
        <v>23</v>
      </c>
      <c r="S2974" s="1" t="s">
        <v>34218</v>
      </c>
    </row>
    <row r="2975" spans="1:19" x14ac:dyDescent="0.25">
      <c r="A2975">
        <v>101415922</v>
      </c>
      <c r="B2975" t="s">
        <v>6621</v>
      </c>
      <c r="C2975" t="s">
        <v>1350</v>
      </c>
      <c r="F2975" t="str">
        <f>"9702371259"</f>
        <v>9702371259</v>
      </c>
      <c r="G2975" t="s">
        <v>8038</v>
      </c>
      <c r="H2975" t="s">
        <v>2399</v>
      </c>
      <c r="I2975" t="s">
        <v>71</v>
      </c>
      <c r="J2975">
        <v>80528</v>
      </c>
      <c r="K2975">
        <v>6377</v>
      </c>
      <c r="L2975" t="s">
        <v>23</v>
      </c>
      <c r="M2975" t="s">
        <v>8038</v>
      </c>
      <c r="N2975" t="s">
        <v>2399</v>
      </c>
      <c r="O2975" t="s">
        <v>71</v>
      </c>
      <c r="P2975">
        <v>80528</v>
      </c>
      <c r="Q2975">
        <v>6377</v>
      </c>
      <c r="R2975" t="s">
        <v>23</v>
      </c>
      <c r="S2975" s="1" t="s">
        <v>34218</v>
      </c>
    </row>
    <row r="2976" spans="1:19" x14ac:dyDescent="0.25">
      <c r="A2976">
        <v>100854264</v>
      </c>
      <c r="B2976" t="s">
        <v>8039</v>
      </c>
      <c r="C2976" t="s">
        <v>6584</v>
      </c>
      <c r="F2976" t="str">
        <f>"7166883527"</f>
        <v>7166883527</v>
      </c>
      <c r="G2976" t="s">
        <v>8040</v>
      </c>
      <c r="H2976" t="s">
        <v>202</v>
      </c>
      <c r="I2976" t="s">
        <v>117</v>
      </c>
      <c r="J2976">
        <v>14221</v>
      </c>
      <c r="L2976" t="s">
        <v>23</v>
      </c>
      <c r="M2976" t="s">
        <v>8040</v>
      </c>
      <c r="N2976" t="s">
        <v>202</v>
      </c>
      <c r="O2976" t="s">
        <v>117</v>
      </c>
      <c r="P2976">
        <v>14221</v>
      </c>
      <c r="R2976" t="s">
        <v>23</v>
      </c>
      <c r="S2976" s="1" t="s">
        <v>34218</v>
      </c>
    </row>
    <row r="2977" spans="1:19" x14ac:dyDescent="0.25">
      <c r="A2977">
        <v>101081076</v>
      </c>
      <c r="B2977" t="s">
        <v>8041</v>
      </c>
      <c r="C2977" t="s">
        <v>8042</v>
      </c>
      <c r="F2977" t="str">
        <f>"6267919795"</f>
        <v>6267919795</v>
      </c>
      <c r="G2977" t="s">
        <v>8043</v>
      </c>
      <c r="H2977" t="s">
        <v>7283</v>
      </c>
      <c r="I2977" t="s">
        <v>22</v>
      </c>
      <c r="J2977">
        <v>91001</v>
      </c>
      <c r="K2977">
        <v>5219</v>
      </c>
      <c r="L2977" t="s">
        <v>23</v>
      </c>
      <c r="M2977" t="s">
        <v>8043</v>
      </c>
      <c r="N2977" t="s">
        <v>7283</v>
      </c>
      <c r="O2977" t="s">
        <v>22</v>
      </c>
      <c r="P2977">
        <v>91001</v>
      </c>
      <c r="Q2977">
        <v>5219</v>
      </c>
      <c r="R2977" t="s">
        <v>23</v>
      </c>
      <c r="S2977" s="1" t="s">
        <v>34218</v>
      </c>
    </row>
    <row r="2978" spans="1:19" x14ac:dyDescent="0.25">
      <c r="A2978">
        <v>101099941</v>
      </c>
      <c r="B2978" t="s">
        <v>5478</v>
      </c>
      <c r="C2978" t="s">
        <v>1879</v>
      </c>
      <c r="F2978" t="str">
        <f>"5413881793"</f>
        <v>5413881793</v>
      </c>
      <c r="G2978" t="s">
        <v>8044</v>
      </c>
      <c r="H2978" t="s">
        <v>2391</v>
      </c>
      <c r="I2978" t="s">
        <v>43</v>
      </c>
      <c r="J2978">
        <v>97703</v>
      </c>
      <c r="K2978">
        <v>2525</v>
      </c>
      <c r="L2978" t="s">
        <v>23</v>
      </c>
      <c r="M2978" t="s">
        <v>8044</v>
      </c>
      <c r="N2978" t="s">
        <v>2391</v>
      </c>
      <c r="O2978" t="s">
        <v>43</v>
      </c>
      <c r="P2978">
        <v>97703</v>
      </c>
      <c r="Q2978">
        <v>2525</v>
      </c>
      <c r="R2978" t="s">
        <v>23</v>
      </c>
      <c r="S2978" s="1" t="s">
        <v>34218</v>
      </c>
    </row>
    <row r="2979" spans="1:19" x14ac:dyDescent="0.25">
      <c r="A2979">
        <v>101318266</v>
      </c>
      <c r="B2979" t="s">
        <v>7499</v>
      </c>
      <c r="C2979" t="s">
        <v>1463</v>
      </c>
      <c r="F2979" t="str">
        <f>"2163211344"</f>
        <v>2163211344</v>
      </c>
      <c r="G2979" t="s">
        <v>8045</v>
      </c>
      <c r="H2979" t="s">
        <v>8046</v>
      </c>
      <c r="I2979" t="s">
        <v>178</v>
      </c>
      <c r="J2979">
        <v>44118</v>
      </c>
      <c r="K2979">
        <v>3616</v>
      </c>
      <c r="L2979" t="s">
        <v>23</v>
      </c>
      <c r="M2979" t="s">
        <v>8045</v>
      </c>
      <c r="N2979" t="s">
        <v>8046</v>
      </c>
      <c r="O2979" t="s">
        <v>178</v>
      </c>
      <c r="P2979">
        <v>44118</v>
      </c>
      <c r="Q2979">
        <v>3616</v>
      </c>
      <c r="R2979" t="s">
        <v>23</v>
      </c>
      <c r="S2979" s="1" t="s">
        <v>34218</v>
      </c>
    </row>
    <row r="2980" spans="1:19" x14ac:dyDescent="0.25">
      <c r="A2980">
        <v>101225580</v>
      </c>
      <c r="B2980" t="s">
        <v>4136</v>
      </c>
      <c r="C2980" t="s">
        <v>4299</v>
      </c>
      <c r="F2980" t="str">
        <f>"2015227321"</f>
        <v>2015227321</v>
      </c>
      <c r="G2980" t="s">
        <v>8047</v>
      </c>
      <c r="H2980" t="s">
        <v>8048</v>
      </c>
      <c r="I2980" t="s">
        <v>250</v>
      </c>
      <c r="J2980">
        <v>7675</v>
      </c>
      <c r="K2980">
        <v>3300</v>
      </c>
      <c r="L2980" t="s">
        <v>23</v>
      </c>
      <c r="M2980" t="s">
        <v>8047</v>
      </c>
      <c r="N2980" t="s">
        <v>8048</v>
      </c>
      <c r="O2980" t="s">
        <v>250</v>
      </c>
      <c r="P2980">
        <v>7675</v>
      </c>
      <c r="Q2980">
        <v>3300</v>
      </c>
      <c r="R2980" t="s">
        <v>23</v>
      </c>
      <c r="S2980" s="1" t="s">
        <v>34218</v>
      </c>
    </row>
    <row r="2981" spans="1:19" x14ac:dyDescent="0.25">
      <c r="A2981">
        <v>101061001</v>
      </c>
      <c r="B2981" t="s">
        <v>3187</v>
      </c>
      <c r="C2981" t="s">
        <v>49</v>
      </c>
      <c r="F2981" t="str">
        <f>"5555555555"</f>
        <v>5555555555</v>
      </c>
      <c r="G2981" t="s">
        <v>8049</v>
      </c>
      <c r="H2981" t="s">
        <v>8050</v>
      </c>
      <c r="I2981" t="s">
        <v>52</v>
      </c>
      <c r="J2981">
        <v>32763</v>
      </c>
      <c r="K2981">
        <v>8524</v>
      </c>
      <c r="L2981" t="s">
        <v>23</v>
      </c>
      <c r="M2981" t="s">
        <v>8049</v>
      </c>
      <c r="N2981" t="s">
        <v>8050</v>
      </c>
      <c r="O2981" t="s">
        <v>52</v>
      </c>
      <c r="P2981">
        <v>32763</v>
      </c>
      <c r="Q2981">
        <v>8524</v>
      </c>
      <c r="R2981" t="s">
        <v>23</v>
      </c>
      <c r="S2981" s="1" t="s">
        <v>34218</v>
      </c>
    </row>
    <row r="2982" spans="1:19" x14ac:dyDescent="0.25">
      <c r="A2982">
        <v>101245871</v>
      </c>
      <c r="B2982" t="s">
        <v>8051</v>
      </c>
      <c r="C2982" t="s">
        <v>8052</v>
      </c>
      <c r="F2982" t="str">
        <f>"4253481772"</f>
        <v>4253481772</v>
      </c>
      <c r="G2982" t="s">
        <v>8053</v>
      </c>
      <c r="H2982" t="s">
        <v>746</v>
      </c>
      <c r="I2982" t="s">
        <v>43</v>
      </c>
      <c r="J2982">
        <v>97477</v>
      </c>
      <c r="K2982">
        <v>1549</v>
      </c>
      <c r="L2982" t="s">
        <v>23</v>
      </c>
      <c r="M2982" t="s">
        <v>8053</v>
      </c>
      <c r="N2982" t="s">
        <v>746</v>
      </c>
      <c r="O2982" t="s">
        <v>43</v>
      </c>
      <c r="P2982">
        <v>97477</v>
      </c>
      <c r="Q2982">
        <v>1549</v>
      </c>
      <c r="R2982" t="s">
        <v>23</v>
      </c>
      <c r="S2982" s="1" t="s">
        <v>34218</v>
      </c>
    </row>
    <row r="2983" spans="1:19" x14ac:dyDescent="0.25">
      <c r="A2983">
        <v>101266160</v>
      </c>
      <c r="B2983" t="s">
        <v>1611</v>
      </c>
      <c r="C2983" t="s">
        <v>8042</v>
      </c>
      <c r="F2983" t="str">
        <f>"2073700325"</f>
        <v>2073700325</v>
      </c>
      <c r="G2983" t="s">
        <v>8054</v>
      </c>
      <c r="H2983" t="s">
        <v>8055</v>
      </c>
      <c r="I2983" t="s">
        <v>191</v>
      </c>
      <c r="J2983">
        <v>4032</v>
      </c>
      <c r="K2983">
        <v>1132</v>
      </c>
      <c r="L2983" t="s">
        <v>23</v>
      </c>
      <c r="M2983" t="s">
        <v>8054</v>
      </c>
      <c r="N2983" t="s">
        <v>8055</v>
      </c>
      <c r="O2983" t="s">
        <v>191</v>
      </c>
      <c r="P2983">
        <v>4032</v>
      </c>
      <c r="Q2983">
        <v>1132</v>
      </c>
      <c r="R2983" t="s">
        <v>23</v>
      </c>
      <c r="S2983" s="1" t="s">
        <v>34218</v>
      </c>
    </row>
    <row r="2984" spans="1:19" x14ac:dyDescent="0.25">
      <c r="A2984">
        <v>100953158</v>
      </c>
      <c r="B2984" t="s">
        <v>8056</v>
      </c>
      <c r="C2984" t="s">
        <v>8057</v>
      </c>
      <c r="F2984" t="str">
        <f>"7154702381"</f>
        <v>7154702381</v>
      </c>
      <c r="G2984" t="s">
        <v>8058</v>
      </c>
      <c r="H2984" t="s">
        <v>8059</v>
      </c>
      <c r="I2984" t="s">
        <v>100</v>
      </c>
      <c r="J2984">
        <v>54401</v>
      </c>
      <c r="K2984">
        <v>4807</v>
      </c>
      <c r="L2984" t="s">
        <v>23</v>
      </c>
      <c r="M2984" t="s">
        <v>8058</v>
      </c>
      <c r="N2984" t="s">
        <v>8059</v>
      </c>
      <c r="O2984" t="s">
        <v>100</v>
      </c>
      <c r="P2984">
        <v>54401</v>
      </c>
      <c r="Q2984">
        <v>4807</v>
      </c>
      <c r="R2984" t="s">
        <v>23</v>
      </c>
      <c r="S2984" s="1" t="s">
        <v>34218</v>
      </c>
    </row>
    <row r="2985" spans="1:19" x14ac:dyDescent="0.25">
      <c r="A2985">
        <v>100518555</v>
      </c>
      <c r="B2985" t="s">
        <v>8060</v>
      </c>
      <c r="C2985" t="s">
        <v>890</v>
      </c>
      <c r="F2985" t="str">
        <f>"4342343131"</f>
        <v>4342343131</v>
      </c>
      <c r="G2985" t="s">
        <v>8061</v>
      </c>
      <c r="H2985" t="s">
        <v>254</v>
      </c>
      <c r="I2985" t="s">
        <v>255</v>
      </c>
      <c r="J2985">
        <v>22901</v>
      </c>
      <c r="K2985">
        <v>2513</v>
      </c>
      <c r="L2985" t="s">
        <v>23</v>
      </c>
      <c r="M2985" t="s">
        <v>8061</v>
      </c>
      <c r="N2985" t="s">
        <v>254</v>
      </c>
      <c r="O2985" t="s">
        <v>255</v>
      </c>
      <c r="P2985">
        <v>22901</v>
      </c>
      <c r="Q2985">
        <v>2513</v>
      </c>
      <c r="R2985" t="s">
        <v>23</v>
      </c>
      <c r="S2985" s="1" t="s">
        <v>34218</v>
      </c>
    </row>
    <row r="2986" spans="1:19" x14ac:dyDescent="0.25">
      <c r="A2986">
        <v>101173344</v>
      </c>
      <c r="B2986" t="s">
        <v>744</v>
      </c>
      <c r="C2986" t="s">
        <v>644</v>
      </c>
      <c r="F2986" t="str">
        <f>"3037795430"</f>
        <v>3037795430</v>
      </c>
      <c r="G2986" t="s">
        <v>8062</v>
      </c>
      <c r="H2986" t="s">
        <v>2449</v>
      </c>
      <c r="I2986" t="s">
        <v>71</v>
      </c>
      <c r="J2986">
        <v>80122</v>
      </c>
      <c r="K2986">
        <v>2143</v>
      </c>
      <c r="L2986" t="s">
        <v>23</v>
      </c>
      <c r="M2986" t="s">
        <v>8062</v>
      </c>
      <c r="N2986" t="s">
        <v>2449</v>
      </c>
      <c r="O2986" t="s">
        <v>71</v>
      </c>
      <c r="P2986">
        <v>80122</v>
      </c>
      <c r="Q2986">
        <v>2143</v>
      </c>
      <c r="R2986" t="s">
        <v>23</v>
      </c>
      <c r="S2986" s="1" t="s">
        <v>34218</v>
      </c>
    </row>
    <row r="2987" spans="1:19" x14ac:dyDescent="0.25">
      <c r="A2987">
        <v>101269046</v>
      </c>
      <c r="B2987" t="s">
        <v>3349</v>
      </c>
      <c r="C2987" t="s">
        <v>8063</v>
      </c>
      <c r="F2987" t="str">
        <f>"4258275162"</f>
        <v>4258275162</v>
      </c>
      <c r="H2987" t="s">
        <v>1019</v>
      </c>
      <c r="I2987" t="s">
        <v>84</v>
      </c>
      <c r="J2987">
        <v>98033</v>
      </c>
      <c r="L2987" t="s">
        <v>23</v>
      </c>
      <c r="N2987" t="s">
        <v>1019</v>
      </c>
      <c r="O2987" t="s">
        <v>84</v>
      </c>
      <c r="P2987">
        <v>98033</v>
      </c>
      <c r="R2987" t="s">
        <v>23</v>
      </c>
      <c r="S2987" s="1" t="s">
        <v>34218</v>
      </c>
    </row>
    <row r="2988" spans="1:19" x14ac:dyDescent="0.25">
      <c r="A2988">
        <v>101128116</v>
      </c>
      <c r="B2988" t="s">
        <v>8064</v>
      </c>
      <c r="C2988" t="s">
        <v>2557</v>
      </c>
      <c r="F2988" t="str">
        <f>"7187436171"</f>
        <v>7187436171</v>
      </c>
      <c r="G2988" t="s">
        <v>8065</v>
      </c>
      <c r="H2988" t="s">
        <v>412</v>
      </c>
      <c r="I2988" t="s">
        <v>117</v>
      </c>
      <c r="J2988">
        <v>11229</v>
      </c>
      <c r="K2988">
        <v>4416</v>
      </c>
      <c r="L2988" t="s">
        <v>23</v>
      </c>
      <c r="M2988" t="s">
        <v>8065</v>
      </c>
      <c r="N2988" t="s">
        <v>412</v>
      </c>
      <c r="O2988" t="s">
        <v>117</v>
      </c>
      <c r="P2988">
        <v>11229</v>
      </c>
      <c r="Q2988">
        <v>4416</v>
      </c>
      <c r="R2988" t="s">
        <v>23</v>
      </c>
      <c r="S2988" s="1" t="s">
        <v>34218</v>
      </c>
    </row>
    <row r="2989" spans="1:19" x14ac:dyDescent="0.25">
      <c r="A2989">
        <v>101401358</v>
      </c>
      <c r="B2989" t="s">
        <v>8066</v>
      </c>
      <c r="C2989" t="s">
        <v>2127</v>
      </c>
      <c r="F2989" t="str">
        <f>"8477358667"</f>
        <v>8477358667</v>
      </c>
      <c r="G2989" t="s">
        <v>8067</v>
      </c>
      <c r="H2989" t="s">
        <v>8068</v>
      </c>
      <c r="I2989" t="s">
        <v>135</v>
      </c>
      <c r="J2989">
        <v>60045</v>
      </c>
      <c r="L2989" t="s">
        <v>23</v>
      </c>
      <c r="M2989" t="s">
        <v>8067</v>
      </c>
      <c r="N2989" t="s">
        <v>8068</v>
      </c>
      <c r="O2989" t="s">
        <v>135</v>
      </c>
      <c r="P2989">
        <v>60045</v>
      </c>
      <c r="R2989" t="s">
        <v>23</v>
      </c>
      <c r="S2989" s="1" t="s">
        <v>34218</v>
      </c>
    </row>
    <row r="2990" spans="1:19" x14ac:dyDescent="0.25">
      <c r="A2990">
        <v>100960313</v>
      </c>
      <c r="B2990" t="s">
        <v>8069</v>
      </c>
      <c r="C2990" t="s">
        <v>8070</v>
      </c>
      <c r="F2990" t="str">
        <f>"8163535432"</f>
        <v>8163535432</v>
      </c>
      <c r="G2990" t="s">
        <v>8071</v>
      </c>
      <c r="H2990" t="s">
        <v>1863</v>
      </c>
      <c r="I2990" t="s">
        <v>126</v>
      </c>
      <c r="J2990">
        <v>64138</v>
      </c>
      <c r="K2990">
        <v>4714</v>
      </c>
      <c r="L2990" t="s">
        <v>23</v>
      </c>
      <c r="M2990" t="s">
        <v>8071</v>
      </c>
      <c r="N2990" t="s">
        <v>1863</v>
      </c>
      <c r="O2990" t="s">
        <v>126</v>
      </c>
      <c r="P2990">
        <v>64138</v>
      </c>
      <c r="Q2990">
        <v>4714</v>
      </c>
      <c r="R2990" t="s">
        <v>23</v>
      </c>
      <c r="S2990" s="1" t="s">
        <v>34218</v>
      </c>
    </row>
    <row r="2991" spans="1:19" x14ac:dyDescent="0.25">
      <c r="A2991">
        <v>101185474</v>
      </c>
      <c r="B2991" t="s">
        <v>8072</v>
      </c>
      <c r="C2991" t="s">
        <v>1616</v>
      </c>
      <c r="F2991" t="str">
        <f>"4083719995"</f>
        <v>4083719995</v>
      </c>
      <c r="G2991" t="s">
        <v>8073</v>
      </c>
      <c r="H2991" t="s">
        <v>2375</v>
      </c>
      <c r="I2991" t="s">
        <v>100</v>
      </c>
      <c r="J2991">
        <v>53717</v>
      </c>
      <c r="K2991">
        <v>2261</v>
      </c>
      <c r="L2991" t="s">
        <v>23</v>
      </c>
      <c r="M2991" t="s">
        <v>8073</v>
      </c>
      <c r="N2991" t="s">
        <v>2375</v>
      </c>
      <c r="O2991" t="s">
        <v>100</v>
      </c>
      <c r="P2991">
        <v>53717</v>
      </c>
      <c r="Q2991">
        <v>2261</v>
      </c>
      <c r="R2991" t="s">
        <v>23</v>
      </c>
      <c r="S2991" s="1" t="s">
        <v>34218</v>
      </c>
    </row>
    <row r="2992" spans="1:19" x14ac:dyDescent="0.25">
      <c r="A2992">
        <v>101020870</v>
      </c>
      <c r="B2992" t="s">
        <v>6563</v>
      </c>
      <c r="C2992" t="s">
        <v>522</v>
      </c>
      <c r="F2992" t="str">
        <f>"6072555136"</f>
        <v>6072555136</v>
      </c>
      <c r="G2992" t="s">
        <v>8074</v>
      </c>
      <c r="H2992" t="s">
        <v>8075</v>
      </c>
      <c r="I2992" t="s">
        <v>117</v>
      </c>
      <c r="J2992">
        <v>14881</v>
      </c>
      <c r="L2992" t="s">
        <v>23</v>
      </c>
      <c r="M2992" t="s">
        <v>8074</v>
      </c>
      <c r="N2992" t="s">
        <v>8075</v>
      </c>
      <c r="O2992" t="s">
        <v>117</v>
      </c>
      <c r="P2992">
        <v>14881</v>
      </c>
      <c r="R2992" t="s">
        <v>23</v>
      </c>
      <c r="S2992" s="1" t="s">
        <v>34218</v>
      </c>
    </row>
    <row r="2993" spans="1:19" x14ac:dyDescent="0.25">
      <c r="A2993">
        <v>100738746</v>
      </c>
      <c r="B2993" t="s">
        <v>8076</v>
      </c>
      <c r="C2993" t="s">
        <v>155</v>
      </c>
      <c r="F2993" t="str">
        <f>"8505631000"</f>
        <v>8505631000</v>
      </c>
      <c r="H2993" t="s">
        <v>8077</v>
      </c>
      <c r="I2993" t="s">
        <v>8078</v>
      </c>
      <c r="J2993" t="s">
        <v>8079</v>
      </c>
      <c r="L2993" t="s">
        <v>22</v>
      </c>
      <c r="N2993" t="s">
        <v>8077</v>
      </c>
      <c r="O2993" t="s">
        <v>8078</v>
      </c>
      <c r="P2993" t="s">
        <v>8079</v>
      </c>
      <c r="R2993" t="s">
        <v>22</v>
      </c>
      <c r="S2993" s="1" t="s">
        <v>34218</v>
      </c>
    </row>
    <row r="2994" spans="1:19" x14ac:dyDescent="0.25">
      <c r="A2994">
        <v>101378788</v>
      </c>
      <c r="B2994" t="s">
        <v>1941</v>
      </c>
      <c r="C2994" t="s">
        <v>8080</v>
      </c>
      <c r="F2994" t="str">
        <f>"8022962381"</f>
        <v>8022962381</v>
      </c>
      <c r="G2994" t="s">
        <v>8081</v>
      </c>
      <c r="H2994" t="s">
        <v>8082</v>
      </c>
      <c r="I2994" t="s">
        <v>353</v>
      </c>
      <c r="J2994">
        <v>3777</v>
      </c>
      <c r="K2994">
        <v>4331</v>
      </c>
      <c r="L2994" t="s">
        <v>23</v>
      </c>
      <c r="M2994" t="s">
        <v>8081</v>
      </c>
      <c r="N2994" t="s">
        <v>8082</v>
      </c>
      <c r="O2994" t="s">
        <v>353</v>
      </c>
      <c r="P2994">
        <v>3777</v>
      </c>
      <c r="Q2994">
        <v>4331</v>
      </c>
      <c r="R2994" t="s">
        <v>23</v>
      </c>
      <c r="S2994" s="1" t="s">
        <v>34218</v>
      </c>
    </row>
    <row r="2995" spans="1:19" x14ac:dyDescent="0.25">
      <c r="A2995">
        <v>101086179</v>
      </c>
      <c r="B2995" t="s">
        <v>8083</v>
      </c>
      <c r="C2995" t="s">
        <v>1588</v>
      </c>
      <c r="F2995" t="str">
        <f>"9702079653"</f>
        <v>9702079653</v>
      </c>
      <c r="G2995" t="s">
        <v>8084</v>
      </c>
      <c r="H2995" t="s">
        <v>2399</v>
      </c>
      <c r="I2995" t="s">
        <v>71</v>
      </c>
      <c r="J2995">
        <v>80526</v>
      </c>
      <c r="L2995" t="s">
        <v>23</v>
      </c>
      <c r="M2995" t="s">
        <v>8084</v>
      </c>
      <c r="N2995" t="s">
        <v>2399</v>
      </c>
      <c r="O2995" t="s">
        <v>71</v>
      </c>
      <c r="P2995">
        <v>80526</v>
      </c>
      <c r="R2995" t="s">
        <v>23</v>
      </c>
      <c r="S2995" s="1" t="s">
        <v>34218</v>
      </c>
    </row>
    <row r="2996" spans="1:19" x14ac:dyDescent="0.25">
      <c r="A2996">
        <v>100747640</v>
      </c>
      <c r="B2996" t="s">
        <v>8085</v>
      </c>
      <c r="C2996" t="s">
        <v>329</v>
      </c>
      <c r="F2996" t="str">
        <f>"5059869284"</f>
        <v>5059869284</v>
      </c>
      <c r="G2996" t="s">
        <v>8086</v>
      </c>
      <c r="H2996" t="s">
        <v>1431</v>
      </c>
      <c r="I2996" t="s">
        <v>639</v>
      </c>
      <c r="J2996">
        <v>87501</v>
      </c>
      <c r="K2996">
        <v>1817</v>
      </c>
      <c r="L2996" t="s">
        <v>23</v>
      </c>
      <c r="M2996" t="s">
        <v>8086</v>
      </c>
      <c r="N2996" t="s">
        <v>1431</v>
      </c>
      <c r="O2996" t="s">
        <v>639</v>
      </c>
      <c r="P2996">
        <v>87501</v>
      </c>
      <c r="Q2996">
        <v>1817</v>
      </c>
      <c r="R2996" t="s">
        <v>23</v>
      </c>
      <c r="S2996" s="1" t="s">
        <v>34218</v>
      </c>
    </row>
    <row r="2997" spans="1:19" x14ac:dyDescent="0.25">
      <c r="A2997">
        <v>100747664</v>
      </c>
      <c r="B2997" t="s">
        <v>8087</v>
      </c>
      <c r="C2997" t="s">
        <v>644</v>
      </c>
      <c r="F2997" t="str">
        <f>"6315493212"</f>
        <v>6315493212</v>
      </c>
      <c r="G2997" t="s">
        <v>8088</v>
      </c>
      <c r="H2997" t="s">
        <v>8089</v>
      </c>
      <c r="I2997" t="s">
        <v>117</v>
      </c>
      <c r="J2997">
        <v>11746</v>
      </c>
      <c r="K2997">
        <v>3507</v>
      </c>
      <c r="L2997" t="s">
        <v>23</v>
      </c>
      <c r="M2997" t="s">
        <v>8088</v>
      </c>
      <c r="N2997" t="s">
        <v>8089</v>
      </c>
      <c r="O2997" t="s">
        <v>117</v>
      </c>
      <c r="P2997">
        <v>11746</v>
      </c>
      <c r="Q2997">
        <v>3507</v>
      </c>
      <c r="R2997" t="s">
        <v>23</v>
      </c>
      <c r="S2997" s="1" t="s">
        <v>34218</v>
      </c>
    </row>
    <row r="2998" spans="1:19" x14ac:dyDescent="0.25">
      <c r="A2998">
        <v>100523343</v>
      </c>
      <c r="B2998" t="s">
        <v>8090</v>
      </c>
      <c r="C2998" t="s">
        <v>8091</v>
      </c>
      <c r="F2998" t="str">
        <f>"3015552121"</f>
        <v>3015552121</v>
      </c>
      <c r="G2998" t="s">
        <v>8092</v>
      </c>
      <c r="H2998" t="s">
        <v>8093</v>
      </c>
      <c r="I2998" t="s">
        <v>148</v>
      </c>
      <c r="J2998">
        <v>20878</v>
      </c>
      <c r="K2998">
        <v>4863</v>
      </c>
      <c r="L2998" t="s">
        <v>23</v>
      </c>
      <c r="M2998" t="s">
        <v>8092</v>
      </c>
      <c r="N2998" t="s">
        <v>8093</v>
      </c>
      <c r="O2998" t="s">
        <v>148</v>
      </c>
      <c r="P2998">
        <v>20878</v>
      </c>
      <c r="Q2998">
        <v>4863</v>
      </c>
      <c r="R2998" t="s">
        <v>23</v>
      </c>
      <c r="S2998" s="1" t="s">
        <v>34218</v>
      </c>
    </row>
    <row r="2999" spans="1:19" x14ac:dyDescent="0.25">
      <c r="A2999">
        <v>100918564</v>
      </c>
      <c r="B2999" t="s">
        <v>8094</v>
      </c>
      <c r="C2999" t="s">
        <v>1444</v>
      </c>
      <c r="F2999" t="str">
        <f>"3014903833"</f>
        <v>3014903833</v>
      </c>
      <c r="G2999" t="s">
        <v>8095</v>
      </c>
      <c r="H2999" t="s">
        <v>560</v>
      </c>
      <c r="I2999" t="s">
        <v>148</v>
      </c>
      <c r="J2999">
        <v>20850</v>
      </c>
      <c r="K2999">
        <v>3812</v>
      </c>
      <c r="L2999" t="s">
        <v>23</v>
      </c>
      <c r="M2999" t="s">
        <v>8095</v>
      </c>
      <c r="N2999" t="s">
        <v>560</v>
      </c>
      <c r="O2999" t="s">
        <v>148</v>
      </c>
      <c r="P2999">
        <v>20850</v>
      </c>
      <c r="Q2999">
        <v>3812</v>
      </c>
      <c r="R2999" t="s">
        <v>23</v>
      </c>
      <c r="S2999" s="1" t="s">
        <v>34218</v>
      </c>
    </row>
    <row r="3000" spans="1:19" x14ac:dyDescent="0.25">
      <c r="A3000">
        <v>100926020</v>
      </c>
      <c r="B3000" t="s">
        <v>6640</v>
      </c>
      <c r="C3000" t="s">
        <v>180</v>
      </c>
      <c r="F3000" t="str">
        <f>"2037781996"</f>
        <v>2037781996</v>
      </c>
      <c r="G3000" t="s">
        <v>8096</v>
      </c>
      <c r="H3000" t="s">
        <v>1707</v>
      </c>
      <c r="I3000" t="s">
        <v>161</v>
      </c>
      <c r="J3000">
        <v>6810</v>
      </c>
      <c r="K3000">
        <v>6311</v>
      </c>
      <c r="L3000" t="s">
        <v>23</v>
      </c>
      <c r="M3000" t="s">
        <v>8096</v>
      </c>
      <c r="N3000" t="s">
        <v>1707</v>
      </c>
      <c r="O3000" t="s">
        <v>161</v>
      </c>
      <c r="P3000">
        <v>6810</v>
      </c>
      <c r="Q3000">
        <v>6311</v>
      </c>
      <c r="R3000" t="s">
        <v>23</v>
      </c>
      <c r="S3000" s="1" t="s">
        <v>34218</v>
      </c>
    </row>
    <row r="3001" spans="1:19" x14ac:dyDescent="0.25">
      <c r="A3001">
        <v>100926981</v>
      </c>
      <c r="B3001" t="s">
        <v>5387</v>
      </c>
      <c r="C3001" t="s">
        <v>1179</v>
      </c>
      <c r="F3001" t="str">
        <f>"6363988808"</f>
        <v>6363988808</v>
      </c>
      <c r="G3001" t="s">
        <v>8097</v>
      </c>
      <c r="H3001" t="s">
        <v>8098</v>
      </c>
      <c r="I3001" t="s">
        <v>126</v>
      </c>
      <c r="J3001">
        <v>63385</v>
      </c>
      <c r="K3001">
        <v>6169</v>
      </c>
      <c r="L3001" t="s">
        <v>23</v>
      </c>
      <c r="M3001" t="s">
        <v>8097</v>
      </c>
      <c r="N3001" t="s">
        <v>8098</v>
      </c>
      <c r="O3001" t="s">
        <v>126</v>
      </c>
      <c r="P3001">
        <v>63385</v>
      </c>
      <c r="Q3001">
        <v>6169</v>
      </c>
      <c r="R3001" t="s">
        <v>23</v>
      </c>
      <c r="S3001" s="1" t="s">
        <v>34218</v>
      </c>
    </row>
    <row r="3002" spans="1:19" x14ac:dyDescent="0.25">
      <c r="A3002">
        <v>100924584</v>
      </c>
      <c r="B3002" t="s">
        <v>4115</v>
      </c>
      <c r="C3002" t="s">
        <v>8099</v>
      </c>
      <c r="F3002" t="str">
        <f>"3608994522"</f>
        <v>3608994522</v>
      </c>
      <c r="G3002" t="s">
        <v>8100</v>
      </c>
      <c r="H3002" t="s">
        <v>646</v>
      </c>
      <c r="I3002" t="s">
        <v>84</v>
      </c>
      <c r="J3002">
        <v>98274</v>
      </c>
      <c r="K3002">
        <v>4758</v>
      </c>
      <c r="L3002" t="s">
        <v>23</v>
      </c>
      <c r="M3002" t="s">
        <v>8100</v>
      </c>
      <c r="N3002" t="s">
        <v>646</v>
      </c>
      <c r="O3002" t="s">
        <v>84</v>
      </c>
      <c r="P3002">
        <v>98274</v>
      </c>
      <c r="Q3002">
        <v>4758</v>
      </c>
      <c r="R3002" t="s">
        <v>23</v>
      </c>
      <c r="S3002" s="1" t="s">
        <v>34218</v>
      </c>
    </row>
    <row r="3003" spans="1:19" x14ac:dyDescent="0.25">
      <c r="A3003">
        <v>100937104</v>
      </c>
      <c r="B3003" t="s">
        <v>2637</v>
      </c>
      <c r="C3003" t="s">
        <v>911</v>
      </c>
      <c r="F3003" t="str">
        <f>"9516992591"</f>
        <v>9516992591</v>
      </c>
      <c r="G3003" t="s">
        <v>8101</v>
      </c>
      <c r="H3003" t="s">
        <v>634</v>
      </c>
      <c r="I3003" t="s">
        <v>22</v>
      </c>
      <c r="J3003">
        <v>92592</v>
      </c>
      <c r="K3003">
        <v>6484</v>
      </c>
      <c r="L3003" t="s">
        <v>23</v>
      </c>
      <c r="M3003" t="s">
        <v>8101</v>
      </c>
      <c r="N3003" t="s">
        <v>634</v>
      </c>
      <c r="O3003" t="s">
        <v>22</v>
      </c>
      <c r="P3003">
        <v>92592</v>
      </c>
      <c r="Q3003">
        <v>6484</v>
      </c>
      <c r="R3003" t="s">
        <v>23</v>
      </c>
      <c r="S3003" s="1" t="s">
        <v>34218</v>
      </c>
    </row>
    <row r="3004" spans="1:19" x14ac:dyDescent="0.25">
      <c r="A3004">
        <v>100560471</v>
      </c>
      <c r="B3004" t="s">
        <v>8102</v>
      </c>
      <c r="C3004" t="s">
        <v>1647</v>
      </c>
      <c r="F3004" t="str">
        <f>"7184280190"</f>
        <v>7184280190</v>
      </c>
      <c r="G3004" t="s">
        <v>8103</v>
      </c>
      <c r="H3004" t="s">
        <v>8104</v>
      </c>
      <c r="I3004" t="s">
        <v>117</v>
      </c>
      <c r="J3004">
        <v>11362</v>
      </c>
      <c r="K3004">
        <v>1235</v>
      </c>
      <c r="L3004" t="s">
        <v>23</v>
      </c>
      <c r="M3004" t="s">
        <v>8103</v>
      </c>
      <c r="N3004" t="s">
        <v>8104</v>
      </c>
      <c r="O3004" t="s">
        <v>117</v>
      </c>
      <c r="P3004">
        <v>11362</v>
      </c>
      <c r="Q3004">
        <v>1235</v>
      </c>
      <c r="R3004" t="s">
        <v>23</v>
      </c>
      <c r="S3004" s="1" t="s">
        <v>34218</v>
      </c>
    </row>
    <row r="3005" spans="1:19" x14ac:dyDescent="0.25">
      <c r="A3005">
        <v>100794952</v>
      </c>
      <c r="B3005" t="s">
        <v>6084</v>
      </c>
      <c r="C3005" t="s">
        <v>535</v>
      </c>
      <c r="F3005" t="str">
        <f>"4156400803"</f>
        <v>4156400803</v>
      </c>
      <c r="G3005" t="s">
        <v>8105</v>
      </c>
      <c r="H3005" t="s">
        <v>130</v>
      </c>
      <c r="I3005" t="s">
        <v>22</v>
      </c>
      <c r="J3005">
        <v>94118</v>
      </c>
      <c r="K3005">
        <v>3870</v>
      </c>
      <c r="L3005" t="s">
        <v>23</v>
      </c>
      <c r="M3005" t="s">
        <v>8105</v>
      </c>
      <c r="N3005" t="s">
        <v>130</v>
      </c>
      <c r="O3005" t="s">
        <v>22</v>
      </c>
      <c r="P3005">
        <v>94118</v>
      </c>
      <c r="Q3005">
        <v>3870</v>
      </c>
      <c r="R3005" t="s">
        <v>23</v>
      </c>
      <c r="S3005" s="1" t="s">
        <v>34218</v>
      </c>
    </row>
    <row r="3006" spans="1:19" x14ac:dyDescent="0.25">
      <c r="A3006">
        <v>100811980</v>
      </c>
      <c r="B3006" t="s">
        <v>276</v>
      </c>
      <c r="C3006" t="s">
        <v>8106</v>
      </c>
      <c r="F3006" t="str">
        <f>"3473468877"</f>
        <v>3473468877</v>
      </c>
      <c r="G3006" t="s">
        <v>8107</v>
      </c>
      <c r="H3006" t="s">
        <v>1105</v>
      </c>
      <c r="I3006" t="s">
        <v>117</v>
      </c>
      <c r="J3006">
        <v>10463</v>
      </c>
      <c r="K3006">
        <v>3608</v>
      </c>
      <c r="L3006" t="s">
        <v>23</v>
      </c>
      <c r="M3006" t="s">
        <v>8107</v>
      </c>
      <c r="N3006" t="s">
        <v>1105</v>
      </c>
      <c r="O3006" t="s">
        <v>117</v>
      </c>
      <c r="P3006">
        <v>10463</v>
      </c>
      <c r="Q3006">
        <v>3608</v>
      </c>
      <c r="R3006" t="s">
        <v>23</v>
      </c>
      <c r="S3006" s="1" t="s">
        <v>34218</v>
      </c>
    </row>
    <row r="3007" spans="1:19" x14ac:dyDescent="0.25">
      <c r="A3007">
        <v>101018561</v>
      </c>
      <c r="B3007" t="s">
        <v>486</v>
      </c>
      <c r="C3007" t="s">
        <v>575</v>
      </c>
      <c r="F3007" t="str">
        <f>"6127298068"</f>
        <v>6127298068</v>
      </c>
      <c r="G3007" t="s">
        <v>8108</v>
      </c>
      <c r="H3007" t="s">
        <v>569</v>
      </c>
      <c r="I3007" t="s">
        <v>187</v>
      </c>
      <c r="J3007">
        <v>55417</v>
      </c>
      <c r="K3007">
        <v>2129</v>
      </c>
      <c r="L3007" t="s">
        <v>23</v>
      </c>
      <c r="M3007" t="s">
        <v>8108</v>
      </c>
      <c r="N3007" t="s">
        <v>569</v>
      </c>
      <c r="O3007" t="s">
        <v>187</v>
      </c>
      <c r="P3007">
        <v>55417</v>
      </c>
      <c r="Q3007">
        <v>2129</v>
      </c>
      <c r="R3007" t="s">
        <v>23</v>
      </c>
      <c r="S3007" s="1" t="s">
        <v>34218</v>
      </c>
    </row>
    <row r="3008" spans="1:19" x14ac:dyDescent="0.25">
      <c r="A3008">
        <v>100675750</v>
      </c>
      <c r="B3008" t="s">
        <v>8109</v>
      </c>
      <c r="C3008" t="s">
        <v>846</v>
      </c>
      <c r="F3008" t="str">
        <f>"3369842055"</f>
        <v>3369842055</v>
      </c>
      <c r="G3008" t="s">
        <v>8110</v>
      </c>
      <c r="H3008" t="s">
        <v>8111</v>
      </c>
      <c r="I3008" t="s">
        <v>446</v>
      </c>
      <c r="J3008">
        <v>28670</v>
      </c>
      <c r="K3008">
        <v>8827</v>
      </c>
      <c r="L3008" t="s">
        <v>23</v>
      </c>
      <c r="M3008" t="s">
        <v>8110</v>
      </c>
      <c r="N3008" t="s">
        <v>8111</v>
      </c>
      <c r="O3008" t="s">
        <v>446</v>
      </c>
      <c r="P3008">
        <v>28670</v>
      </c>
      <c r="Q3008">
        <v>8827</v>
      </c>
      <c r="R3008" t="s">
        <v>23</v>
      </c>
      <c r="S3008" s="1" t="s">
        <v>34218</v>
      </c>
    </row>
    <row r="3009" spans="1:19" x14ac:dyDescent="0.25">
      <c r="A3009">
        <v>100880449</v>
      </c>
      <c r="B3009" t="s">
        <v>1425</v>
      </c>
      <c r="C3009" t="s">
        <v>2961</v>
      </c>
      <c r="F3009" t="str">
        <f>"4155677671"</f>
        <v>4155677671</v>
      </c>
      <c r="G3009" t="s">
        <v>8112</v>
      </c>
      <c r="H3009" t="s">
        <v>130</v>
      </c>
      <c r="I3009" t="s">
        <v>22</v>
      </c>
      <c r="J3009">
        <v>94115</v>
      </c>
      <c r="K3009">
        <v>2213</v>
      </c>
      <c r="L3009" t="s">
        <v>23</v>
      </c>
      <c r="M3009" t="s">
        <v>8112</v>
      </c>
      <c r="N3009" t="s">
        <v>130</v>
      </c>
      <c r="O3009" t="s">
        <v>22</v>
      </c>
      <c r="P3009">
        <v>94115</v>
      </c>
      <c r="Q3009">
        <v>2213</v>
      </c>
      <c r="R3009" t="s">
        <v>23</v>
      </c>
      <c r="S3009" s="1" t="s">
        <v>34218</v>
      </c>
    </row>
    <row r="3010" spans="1:19" x14ac:dyDescent="0.25">
      <c r="A3010">
        <v>100860741</v>
      </c>
      <c r="B3010" t="s">
        <v>8113</v>
      </c>
      <c r="C3010" t="s">
        <v>842</v>
      </c>
      <c r="F3010" t="str">
        <f>"3305656053"</f>
        <v>3305656053</v>
      </c>
      <c r="G3010" t="s">
        <v>8114</v>
      </c>
      <c r="H3010" t="s">
        <v>8115</v>
      </c>
      <c r="I3010" t="s">
        <v>178</v>
      </c>
      <c r="J3010">
        <v>44410</v>
      </c>
      <c r="K3010">
        <v>9561</v>
      </c>
      <c r="L3010" t="s">
        <v>23</v>
      </c>
      <c r="M3010" t="s">
        <v>8114</v>
      </c>
      <c r="N3010" t="s">
        <v>8115</v>
      </c>
      <c r="O3010" t="s">
        <v>178</v>
      </c>
      <c r="P3010">
        <v>44410</v>
      </c>
      <c r="Q3010">
        <v>9561</v>
      </c>
      <c r="R3010" t="s">
        <v>23</v>
      </c>
      <c r="S3010" s="1" t="s">
        <v>34218</v>
      </c>
    </row>
    <row r="3011" spans="1:19" x14ac:dyDescent="0.25">
      <c r="A3011">
        <v>100854705</v>
      </c>
      <c r="B3011" t="s">
        <v>8116</v>
      </c>
      <c r="C3011" t="s">
        <v>2127</v>
      </c>
      <c r="F3011" t="str">
        <f>"2394981761"</f>
        <v>2394981761</v>
      </c>
      <c r="G3011" t="s">
        <v>8117</v>
      </c>
      <c r="H3011" t="s">
        <v>5304</v>
      </c>
      <c r="I3011" t="s">
        <v>52</v>
      </c>
      <c r="J3011">
        <v>34134</v>
      </c>
      <c r="K3011">
        <v>7571</v>
      </c>
      <c r="L3011" t="s">
        <v>23</v>
      </c>
      <c r="M3011" t="s">
        <v>8117</v>
      </c>
      <c r="N3011" t="s">
        <v>5304</v>
      </c>
      <c r="O3011" t="s">
        <v>52</v>
      </c>
      <c r="P3011">
        <v>34134</v>
      </c>
      <c r="Q3011">
        <v>7571</v>
      </c>
      <c r="R3011" t="s">
        <v>23</v>
      </c>
      <c r="S3011" s="1" t="s">
        <v>34218</v>
      </c>
    </row>
    <row r="3012" spans="1:19" x14ac:dyDescent="0.25">
      <c r="A3012">
        <v>100901138</v>
      </c>
      <c r="B3012" t="s">
        <v>5449</v>
      </c>
      <c r="C3012" t="s">
        <v>3113</v>
      </c>
      <c r="F3012" t="str">
        <f>"8163731174"</f>
        <v>8163731174</v>
      </c>
      <c r="G3012" t="s">
        <v>8118</v>
      </c>
      <c r="H3012" t="s">
        <v>1863</v>
      </c>
      <c r="I3012" t="s">
        <v>126</v>
      </c>
      <c r="J3012">
        <v>64155</v>
      </c>
      <c r="K3012">
        <v>3356</v>
      </c>
      <c r="L3012" t="s">
        <v>23</v>
      </c>
      <c r="M3012" t="s">
        <v>8118</v>
      </c>
      <c r="N3012" t="s">
        <v>1863</v>
      </c>
      <c r="O3012" t="s">
        <v>126</v>
      </c>
      <c r="P3012">
        <v>64155</v>
      </c>
      <c r="Q3012">
        <v>3356</v>
      </c>
      <c r="R3012" t="s">
        <v>23</v>
      </c>
      <c r="S3012" s="1" t="s">
        <v>34218</v>
      </c>
    </row>
    <row r="3013" spans="1:19" x14ac:dyDescent="0.25">
      <c r="A3013">
        <v>100901367</v>
      </c>
      <c r="B3013" t="s">
        <v>8119</v>
      </c>
      <c r="C3013" t="s">
        <v>1323</v>
      </c>
      <c r="F3013" t="str">
        <f>"7326567785"</f>
        <v>7326567785</v>
      </c>
      <c r="G3013" t="s">
        <v>8120</v>
      </c>
      <c r="H3013" t="s">
        <v>8121</v>
      </c>
      <c r="I3013" t="s">
        <v>250</v>
      </c>
      <c r="J3013">
        <v>8831</v>
      </c>
      <c r="K3013">
        <v>2536</v>
      </c>
      <c r="L3013" t="s">
        <v>23</v>
      </c>
      <c r="M3013" t="s">
        <v>8120</v>
      </c>
      <c r="N3013" t="s">
        <v>8121</v>
      </c>
      <c r="O3013" t="s">
        <v>250</v>
      </c>
      <c r="P3013">
        <v>8831</v>
      </c>
      <c r="Q3013">
        <v>2536</v>
      </c>
      <c r="R3013" t="s">
        <v>23</v>
      </c>
      <c r="S3013" s="1" t="s">
        <v>34218</v>
      </c>
    </row>
    <row r="3014" spans="1:19" x14ac:dyDescent="0.25">
      <c r="A3014">
        <v>100906738</v>
      </c>
      <c r="B3014" t="s">
        <v>1581</v>
      </c>
      <c r="C3014" t="s">
        <v>1676</v>
      </c>
      <c r="F3014" t="str">
        <f>"2397318895"</f>
        <v>2397318895</v>
      </c>
      <c r="G3014" t="s">
        <v>8122</v>
      </c>
      <c r="H3014" t="s">
        <v>6368</v>
      </c>
      <c r="I3014" t="s">
        <v>52</v>
      </c>
      <c r="J3014">
        <v>33917</v>
      </c>
      <c r="K3014">
        <v>2012</v>
      </c>
      <c r="L3014" t="s">
        <v>23</v>
      </c>
      <c r="M3014" t="s">
        <v>8122</v>
      </c>
      <c r="N3014" t="s">
        <v>6368</v>
      </c>
      <c r="O3014" t="s">
        <v>52</v>
      </c>
      <c r="P3014">
        <v>33917</v>
      </c>
      <c r="Q3014">
        <v>2012</v>
      </c>
      <c r="R3014" t="s">
        <v>23</v>
      </c>
      <c r="S3014" s="1" t="s">
        <v>34218</v>
      </c>
    </row>
    <row r="3015" spans="1:19" x14ac:dyDescent="0.25">
      <c r="A3015">
        <v>101065098</v>
      </c>
      <c r="B3015" t="s">
        <v>465</v>
      </c>
      <c r="C3015" t="s">
        <v>865</v>
      </c>
      <c r="F3015" t="str">
        <f>"5202897434"</f>
        <v>5202897434</v>
      </c>
      <c r="G3015" t="s">
        <v>8123</v>
      </c>
      <c r="H3015" t="s">
        <v>1439</v>
      </c>
      <c r="I3015" t="s">
        <v>365</v>
      </c>
      <c r="J3015">
        <v>85719</v>
      </c>
      <c r="K3015">
        <v>4930</v>
      </c>
      <c r="L3015" t="s">
        <v>23</v>
      </c>
      <c r="M3015" t="s">
        <v>8123</v>
      </c>
      <c r="N3015" t="s">
        <v>1439</v>
      </c>
      <c r="O3015" t="s">
        <v>365</v>
      </c>
      <c r="P3015">
        <v>85719</v>
      </c>
      <c r="Q3015">
        <v>4930</v>
      </c>
      <c r="R3015" t="s">
        <v>23</v>
      </c>
      <c r="S3015" s="1" t="s">
        <v>34218</v>
      </c>
    </row>
    <row r="3016" spans="1:19" x14ac:dyDescent="0.25">
      <c r="A3016">
        <v>101271193</v>
      </c>
      <c r="B3016" t="s">
        <v>8124</v>
      </c>
      <c r="C3016" t="s">
        <v>1873</v>
      </c>
      <c r="F3016" t="str">
        <f>"4103774574"</f>
        <v>4103774574</v>
      </c>
      <c r="G3016" t="s">
        <v>8125</v>
      </c>
      <c r="H3016" t="s">
        <v>3668</v>
      </c>
      <c r="I3016" t="s">
        <v>148</v>
      </c>
      <c r="J3016">
        <v>21212</v>
      </c>
      <c r="K3016">
        <v>1802</v>
      </c>
      <c r="L3016" t="s">
        <v>23</v>
      </c>
      <c r="M3016" t="s">
        <v>8125</v>
      </c>
      <c r="N3016" t="s">
        <v>3668</v>
      </c>
      <c r="O3016" t="s">
        <v>148</v>
      </c>
      <c r="P3016">
        <v>21212</v>
      </c>
      <c r="Q3016">
        <v>1802</v>
      </c>
      <c r="R3016" t="s">
        <v>23</v>
      </c>
      <c r="S3016" s="1" t="s">
        <v>34218</v>
      </c>
    </row>
    <row r="3017" spans="1:19" x14ac:dyDescent="0.25">
      <c r="A3017">
        <v>101276579</v>
      </c>
      <c r="B3017" t="s">
        <v>8126</v>
      </c>
      <c r="C3017" t="s">
        <v>5613</v>
      </c>
      <c r="F3017" t="str">
        <f>"5076065204"</f>
        <v>5076065204</v>
      </c>
      <c r="G3017" t="s">
        <v>8127</v>
      </c>
      <c r="H3017" t="s">
        <v>37</v>
      </c>
      <c r="I3017" t="s">
        <v>187</v>
      </c>
      <c r="J3017">
        <v>55912</v>
      </c>
      <c r="K3017">
        <v>1325</v>
      </c>
      <c r="L3017" t="s">
        <v>23</v>
      </c>
      <c r="M3017" t="s">
        <v>8127</v>
      </c>
      <c r="N3017" t="s">
        <v>37</v>
      </c>
      <c r="O3017" t="s">
        <v>187</v>
      </c>
      <c r="P3017">
        <v>55912</v>
      </c>
      <c r="Q3017">
        <v>1325</v>
      </c>
      <c r="R3017" t="s">
        <v>23</v>
      </c>
      <c r="S3017" s="1" t="s">
        <v>34218</v>
      </c>
    </row>
    <row r="3018" spans="1:19" x14ac:dyDescent="0.25">
      <c r="A3018">
        <v>101273977</v>
      </c>
      <c r="B3018" t="s">
        <v>1800</v>
      </c>
      <c r="C3018" t="s">
        <v>286</v>
      </c>
      <c r="F3018" t="str">
        <f>"2158400368"</f>
        <v>2158400368</v>
      </c>
      <c r="G3018" t="s">
        <v>8128</v>
      </c>
      <c r="H3018" t="s">
        <v>573</v>
      </c>
      <c r="I3018" t="s">
        <v>33</v>
      </c>
      <c r="J3018">
        <v>19111</v>
      </c>
      <c r="K3018">
        <v>1201</v>
      </c>
      <c r="L3018" t="s">
        <v>23</v>
      </c>
      <c r="M3018" t="s">
        <v>8128</v>
      </c>
      <c r="N3018" t="s">
        <v>573</v>
      </c>
      <c r="O3018" t="s">
        <v>33</v>
      </c>
      <c r="P3018">
        <v>19111</v>
      </c>
      <c r="Q3018">
        <v>1201</v>
      </c>
      <c r="R3018" t="s">
        <v>23</v>
      </c>
      <c r="S3018" s="1" t="s">
        <v>34218</v>
      </c>
    </row>
    <row r="3019" spans="1:19" x14ac:dyDescent="0.25">
      <c r="A3019">
        <v>101284200</v>
      </c>
      <c r="B3019" t="s">
        <v>8129</v>
      </c>
      <c r="C3019" t="s">
        <v>8130</v>
      </c>
      <c r="F3019" t="str">
        <f>"2064277226"</f>
        <v>2064277226</v>
      </c>
      <c r="G3019" t="s">
        <v>8131</v>
      </c>
      <c r="H3019" t="s">
        <v>1456</v>
      </c>
      <c r="I3019" t="s">
        <v>84</v>
      </c>
      <c r="J3019">
        <v>98012</v>
      </c>
      <c r="K3019">
        <v>9635</v>
      </c>
      <c r="L3019" t="s">
        <v>23</v>
      </c>
      <c r="M3019" t="s">
        <v>8131</v>
      </c>
      <c r="N3019" t="s">
        <v>1456</v>
      </c>
      <c r="O3019" t="s">
        <v>84</v>
      </c>
      <c r="P3019">
        <v>98012</v>
      </c>
      <c r="Q3019">
        <v>9635</v>
      </c>
      <c r="R3019" t="s">
        <v>23</v>
      </c>
      <c r="S3019" s="1" t="s">
        <v>34218</v>
      </c>
    </row>
    <row r="3020" spans="1:19" x14ac:dyDescent="0.25">
      <c r="A3020">
        <v>101315386</v>
      </c>
      <c r="B3020" t="s">
        <v>8132</v>
      </c>
      <c r="C3020" t="s">
        <v>6279</v>
      </c>
      <c r="F3020" t="str">
        <f>"5555555555"</f>
        <v>5555555555</v>
      </c>
      <c r="G3020" t="s">
        <v>8133</v>
      </c>
      <c r="H3020" t="s">
        <v>8134</v>
      </c>
      <c r="I3020" t="s">
        <v>43</v>
      </c>
      <c r="J3020">
        <v>97451</v>
      </c>
      <c r="K3020">
        <v>999</v>
      </c>
      <c r="L3020" t="s">
        <v>23</v>
      </c>
      <c r="M3020" t="s">
        <v>8133</v>
      </c>
      <c r="N3020" t="s">
        <v>8134</v>
      </c>
      <c r="O3020" t="s">
        <v>43</v>
      </c>
      <c r="P3020">
        <v>97451</v>
      </c>
      <c r="Q3020">
        <v>999</v>
      </c>
      <c r="R3020" t="s">
        <v>23</v>
      </c>
      <c r="S3020" s="1" t="s">
        <v>34218</v>
      </c>
    </row>
    <row r="3021" spans="1:19" x14ac:dyDescent="0.25">
      <c r="A3021">
        <v>101319917</v>
      </c>
      <c r="B3021" t="s">
        <v>8135</v>
      </c>
      <c r="C3021" t="s">
        <v>1107</v>
      </c>
      <c r="F3021" t="str">
        <f>"4135321864"</f>
        <v>4135321864</v>
      </c>
      <c r="G3021" t="s">
        <v>8136</v>
      </c>
      <c r="H3021" t="s">
        <v>8137</v>
      </c>
      <c r="I3021" t="s">
        <v>236</v>
      </c>
      <c r="J3021">
        <v>1075</v>
      </c>
      <c r="K3021">
        <v>1128</v>
      </c>
      <c r="L3021" t="s">
        <v>23</v>
      </c>
      <c r="M3021" t="s">
        <v>8136</v>
      </c>
      <c r="N3021" t="s">
        <v>8137</v>
      </c>
      <c r="O3021" t="s">
        <v>236</v>
      </c>
      <c r="P3021">
        <v>1075</v>
      </c>
      <c r="Q3021">
        <v>1128</v>
      </c>
      <c r="R3021" t="s">
        <v>23</v>
      </c>
      <c r="S3021" s="1" t="s">
        <v>34218</v>
      </c>
    </row>
    <row r="3022" spans="1:19" x14ac:dyDescent="0.25">
      <c r="A3022">
        <v>101324690</v>
      </c>
      <c r="B3022" t="s">
        <v>8138</v>
      </c>
      <c r="C3022" t="s">
        <v>7445</v>
      </c>
      <c r="F3022" t="str">
        <f>"9512054979"</f>
        <v>9512054979</v>
      </c>
      <c r="G3022" t="s">
        <v>8139</v>
      </c>
      <c r="H3022" t="s">
        <v>8140</v>
      </c>
      <c r="I3022" t="s">
        <v>22</v>
      </c>
      <c r="J3022">
        <v>91711</v>
      </c>
      <c r="K3022">
        <v>4351</v>
      </c>
      <c r="L3022" t="s">
        <v>23</v>
      </c>
      <c r="M3022" t="s">
        <v>8139</v>
      </c>
      <c r="N3022" t="s">
        <v>8140</v>
      </c>
      <c r="O3022" t="s">
        <v>22</v>
      </c>
      <c r="P3022">
        <v>91711</v>
      </c>
      <c r="Q3022">
        <v>4351</v>
      </c>
      <c r="R3022" t="s">
        <v>23</v>
      </c>
      <c r="S3022" s="1" t="s">
        <v>34218</v>
      </c>
    </row>
    <row r="3023" spans="1:19" x14ac:dyDescent="0.25">
      <c r="A3023">
        <v>101329378</v>
      </c>
      <c r="B3023" t="s">
        <v>8141</v>
      </c>
      <c r="C3023" t="s">
        <v>531</v>
      </c>
      <c r="F3023" t="str">
        <f>"7138990622"</f>
        <v>7138990622</v>
      </c>
      <c r="G3023" t="s">
        <v>8142</v>
      </c>
      <c r="H3023" t="s">
        <v>5535</v>
      </c>
      <c r="I3023" t="s">
        <v>22</v>
      </c>
      <c r="J3023">
        <v>92845</v>
      </c>
      <c r="K3023">
        <v>3018</v>
      </c>
      <c r="L3023" t="s">
        <v>23</v>
      </c>
      <c r="M3023" t="s">
        <v>8142</v>
      </c>
      <c r="N3023" t="s">
        <v>5535</v>
      </c>
      <c r="O3023" t="s">
        <v>22</v>
      </c>
      <c r="P3023">
        <v>92845</v>
      </c>
      <c r="Q3023">
        <v>3018</v>
      </c>
      <c r="R3023" t="s">
        <v>23</v>
      </c>
      <c r="S3023" s="1" t="s">
        <v>34218</v>
      </c>
    </row>
    <row r="3024" spans="1:19" x14ac:dyDescent="0.25">
      <c r="A3024">
        <v>101096786</v>
      </c>
      <c r="B3024" t="s">
        <v>8143</v>
      </c>
      <c r="C3024" t="s">
        <v>8144</v>
      </c>
      <c r="F3024" t="str">
        <f>"8456779088"</f>
        <v>8456779088</v>
      </c>
      <c r="G3024" t="s">
        <v>8145</v>
      </c>
      <c r="H3024" t="s">
        <v>8146</v>
      </c>
      <c r="I3024" t="s">
        <v>117</v>
      </c>
      <c r="J3024">
        <v>12569</v>
      </c>
      <c r="K3024">
        <v>5007</v>
      </c>
      <c r="L3024" t="s">
        <v>23</v>
      </c>
      <c r="M3024" t="s">
        <v>8145</v>
      </c>
      <c r="N3024" t="s">
        <v>8146</v>
      </c>
      <c r="O3024" t="s">
        <v>117</v>
      </c>
      <c r="P3024">
        <v>12569</v>
      </c>
      <c r="Q3024">
        <v>5007</v>
      </c>
      <c r="R3024" t="s">
        <v>23</v>
      </c>
      <c r="S3024" s="1" t="s">
        <v>34218</v>
      </c>
    </row>
    <row r="3025" spans="1:19" x14ac:dyDescent="0.25">
      <c r="A3025">
        <v>100821155</v>
      </c>
      <c r="B3025" t="s">
        <v>1335</v>
      </c>
      <c r="C3025" t="s">
        <v>7569</v>
      </c>
      <c r="F3025" t="str">
        <f>"9047245305"</f>
        <v>9047245305</v>
      </c>
      <c r="G3025" t="s">
        <v>8147</v>
      </c>
      <c r="H3025" t="s">
        <v>143</v>
      </c>
      <c r="I3025" t="s">
        <v>52</v>
      </c>
      <c r="J3025">
        <v>32225</v>
      </c>
      <c r="K3025">
        <v>9081</v>
      </c>
      <c r="L3025" t="s">
        <v>23</v>
      </c>
      <c r="M3025" t="s">
        <v>8147</v>
      </c>
      <c r="N3025" t="s">
        <v>143</v>
      </c>
      <c r="O3025" t="s">
        <v>52</v>
      </c>
      <c r="P3025">
        <v>32225</v>
      </c>
      <c r="Q3025">
        <v>9081</v>
      </c>
      <c r="R3025" t="s">
        <v>23</v>
      </c>
      <c r="S3025" s="1" t="s">
        <v>34218</v>
      </c>
    </row>
    <row r="3026" spans="1:19" x14ac:dyDescent="0.25">
      <c r="A3026">
        <v>100730531</v>
      </c>
      <c r="B3026" t="s">
        <v>141</v>
      </c>
      <c r="C3026" t="s">
        <v>2033</v>
      </c>
      <c r="F3026" t="str">
        <f>"3604277327"</f>
        <v>3604277327</v>
      </c>
      <c r="G3026" t="s">
        <v>8148</v>
      </c>
      <c r="H3026" t="s">
        <v>8149</v>
      </c>
      <c r="I3026" t="s">
        <v>84</v>
      </c>
      <c r="J3026">
        <v>98546</v>
      </c>
      <c r="K3026">
        <v>9721</v>
      </c>
      <c r="L3026" t="s">
        <v>23</v>
      </c>
      <c r="M3026" t="s">
        <v>8148</v>
      </c>
      <c r="N3026" t="s">
        <v>8149</v>
      </c>
      <c r="O3026" t="s">
        <v>84</v>
      </c>
      <c r="P3026">
        <v>98546</v>
      </c>
      <c r="Q3026">
        <v>9721</v>
      </c>
      <c r="R3026" t="s">
        <v>23</v>
      </c>
      <c r="S3026" s="1" t="s">
        <v>34218</v>
      </c>
    </row>
    <row r="3027" spans="1:19" x14ac:dyDescent="0.25">
      <c r="A3027">
        <v>100739276</v>
      </c>
      <c r="B3027" t="s">
        <v>8150</v>
      </c>
      <c r="C3027" t="s">
        <v>40</v>
      </c>
      <c r="F3027" t="str">
        <f>"7405240465"</f>
        <v>7405240465</v>
      </c>
      <c r="G3027" t="s">
        <v>8151</v>
      </c>
      <c r="H3027" t="s">
        <v>8152</v>
      </c>
      <c r="I3027" t="s">
        <v>178</v>
      </c>
      <c r="J3027">
        <v>43074</v>
      </c>
      <c r="K3027">
        <v>9553</v>
      </c>
      <c r="L3027" t="s">
        <v>23</v>
      </c>
      <c r="M3027" t="s">
        <v>8151</v>
      </c>
      <c r="N3027" t="s">
        <v>8152</v>
      </c>
      <c r="O3027" t="s">
        <v>178</v>
      </c>
      <c r="P3027">
        <v>43074</v>
      </c>
      <c r="Q3027">
        <v>9553</v>
      </c>
      <c r="R3027" t="s">
        <v>23</v>
      </c>
      <c r="S3027" s="1" t="s">
        <v>34218</v>
      </c>
    </row>
    <row r="3028" spans="1:19" x14ac:dyDescent="0.25">
      <c r="A3028">
        <v>100761556</v>
      </c>
      <c r="B3028" t="s">
        <v>8153</v>
      </c>
      <c r="C3028" t="s">
        <v>8154</v>
      </c>
      <c r="F3028" t="str">
        <f>"7036441722"</f>
        <v>7036441722</v>
      </c>
      <c r="G3028" t="s">
        <v>8155</v>
      </c>
      <c r="H3028" t="s">
        <v>746</v>
      </c>
      <c r="I3028" t="s">
        <v>255</v>
      </c>
      <c r="J3028">
        <v>22152</v>
      </c>
      <c r="K3028">
        <v>1003</v>
      </c>
      <c r="L3028" t="s">
        <v>23</v>
      </c>
      <c r="M3028" t="s">
        <v>8155</v>
      </c>
      <c r="N3028" t="s">
        <v>746</v>
      </c>
      <c r="O3028" t="s">
        <v>255</v>
      </c>
      <c r="P3028">
        <v>22152</v>
      </c>
      <c r="Q3028">
        <v>1003</v>
      </c>
      <c r="R3028" t="s">
        <v>23</v>
      </c>
      <c r="S3028" s="1" t="s">
        <v>34218</v>
      </c>
    </row>
    <row r="3029" spans="1:19" x14ac:dyDescent="0.25">
      <c r="A3029">
        <v>100766271</v>
      </c>
      <c r="B3029" t="s">
        <v>1611</v>
      </c>
      <c r="C3029" t="s">
        <v>1208</v>
      </c>
      <c r="F3029" t="str">
        <f>"8659223260"</f>
        <v>8659223260</v>
      </c>
      <c r="G3029" t="s">
        <v>8156</v>
      </c>
      <c r="H3029" t="s">
        <v>6224</v>
      </c>
      <c r="I3029" t="s">
        <v>914</v>
      </c>
      <c r="J3029">
        <v>37938</v>
      </c>
      <c r="K3029">
        <v>1910</v>
      </c>
      <c r="L3029" t="s">
        <v>23</v>
      </c>
      <c r="M3029" t="s">
        <v>8156</v>
      </c>
      <c r="N3029" t="s">
        <v>6224</v>
      </c>
      <c r="O3029" t="s">
        <v>914</v>
      </c>
      <c r="P3029">
        <v>37938</v>
      </c>
      <c r="Q3029">
        <v>1910</v>
      </c>
      <c r="R3029" t="s">
        <v>23</v>
      </c>
      <c r="S3029" s="1" t="s">
        <v>34218</v>
      </c>
    </row>
    <row r="3030" spans="1:19" x14ac:dyDescent="0.25">
      <c r="A3030">
        <v>100657794</v>
      </c>
      <c r="B3030" t="s">
        <v>8157</v>
      </c>
      <c r="C3030" t="s">
        <v>621</v>
      </c>
      <c r="F3030" t="str">
        <f>"2078656294"</f>
        <v>2078656294</v>
      </c>
      <c r="G3030" t="s">
        <v>8158</v>
      </c>
      <c r="H3030" t="s">
        <v>8055</v>
      </c>
      <c r="I3030" t="s">
        <v>191</v>
      </c>
      <c r="J3030">
        <v>4032</v>
      </c>
      <c r="K3030">
        <v>6749</v>
      </c>
      <c r="L3030" t="s">
        <v>23</v>
      </c>
      <c r="M3030" t="s">
        <v>8158</v>
      </c>
      <c r="N3030" t="s">
        <v>8055</v>
      </c>
      <c r="O3030" t="s">
        <v>191</v>
      </c>
      <c r="P3030">
        <v>4032</v>
      </c>
      <c r="Q3030">
        <v>6749</v>
      </c>
      <c r="R3030" t="s">
        <v>23</v>
      </c>
      <c r="S3030" s="1" t="s">
        <v>34218</v>
      </c>
    </row>
    <row r="3031" spans="1:19" x14ac:dyDescent="0.25">
      <c r="A3031">
        <v>100874687</v>
      </c>
      <c r="B3031" t="s">
        <v>8159</v>
      </c>
      <c r="C3031" t="s">
        <v>1036</v>
      </c>
      <c r="F3031" t="str">
        <f>"7082245777"</f>
        <v>7082245777</v>
      </c>
      <c r="G3031" t="s">
        <v>8160</v>
      </c>
      <c r="H3031" t="s">
        <v>5566</v>
      </c>
      <c r="I3031" t="s">
        <v>135</v>
      </c>
      <c r="J3031">
        <v>60477</v>
      </c>
      <c r="K3031">
        <v>6465</v>
      </c>
      <c r="L3031" t="s">
        <v>23</v>
      </c>
      <c r="M3031" t="s">
        <v>8160</v>
      </c>
      <c r="N3031" t="s">
        <v>5566</v>
      </c>
      <c r="O3031" t="s">
        <v>135</v>
      </c>
      <c r="P3031">
        <v>60477</v>
      </c>
      <c r="Q3031">
        <v>6465</v>
      </c>
      <c r="R3031" t="s">
        <v>23</v>
      </c>
      <c r="S3031" s="1" t="s">
        <v>34218</v>
      </c>
    </row>
    <row r="3032" spans="1:19" x14ac:dyDescent="0.25">
      <c r="A3032">
        <v>101025051</v>
      </c>
      <c r="B3032" t="s">
        <v>8161</v>
      </c>
      <c r="C3032" t="s">
        <v>1153</v>
      </c>
      <c r="F3032" t="str">
        <f>"5183994843"</f>
        <v>5183994843</v>
      </c>
      <c r="G3032" t="s">
        <v>8162</v>
      </c>
      <c r="H3032" t="s">
        <v>8163</v>
      </c>
      <c r="I3032" t="s">
        <v>117</v>
      </c>
      <c r="J3032">
        <v>12302</v>
      </c>
      <c r="K3032">
        <v>3905</v>
      </c>
      <c r="L3032" t="s">
        <v>23</v>
      </c>
      <c r="M3032" t="s">
        <v>8162</v>
      </c>
      <c r="N3032" t="s">
        <v>8163</v>
      </c>
      <c r="O3032" t="s">
        <v>117</v>
      </c>
      <c r="P3032">
        <v>12302</v>
      </c>
      <c r="Q3032">
        <v>3905</v>
      </c>
      <c r="R3032" t="s">
        <v>23</v>
      </c>
      <c r="S3032" s="1" t="s">
        <v>34218</v>
      </c>
    </row>
    <row r="3033" spans="1:19" x14ac:dyDescent="0.25">
      <c r="A3033">
        <v>100634956</v>
      </c>
      <c r="B3033" t="s">
        <v>8164</v>
      </c>
      <c r="C3033" t="s">
        <v>49</v>
      </c>
      <c r="F3033" t="str">
        <f>"2707652103"</f>
        <v>2707652103</v>
      </c>
      <c r="G3033" t="s">
        <v>8165</v>
      </c>
      <c r="H3033" t="s">
        <v>8166</v>
      </c>
      <c r="I3033" t="s">
        <v>1097</v>
      </c>
      <c r="J3033">
        <v>42701</v>
      </c>
      <c r="K3033">
        <v>6830</v>
      </c>
      <c r="L3033" t="s">
        <v>23</v>
      </c>
      <c r="M3033" t="s">
        <v>8165</v>
      </c>
      <c r="N3033" t="s">
        <v>8166</v>
      </c>
      <c r="O3033" t="s">
        <v>1097</v>
      </c>
      <c r="P3033">
        <v>42701</v>
      </c>
      <c r="Q3033">
        <v>6830</v>
      </c>
      <c r="R3033" t="s">
        <v>23</v>
      </c>
      <c r="S3033" s="1" t="s">
        <v>34218</v>
      </c>
    </row>
    <row r="3034" spans="1:19" x14ac:dyDescent="0.25">
      <c r="A3034">
        <v>100637944</v>
      </c>
      <c r="B3034" t="s">
        <v>8167</v>
      </c>
      <c r="C3034" t="s">
        <v>8168</v>
      </c>
      <c r="F3034" t="str">
        <f>"8185699160"</f>
        <v>8185699160</v>
      </c>
      <c r="G3034" t="s">
        <v>8169</v>
      </c>
      <c r="H3034" t="s">
        <v>653</v>
      </c>
      <c r="I3034" t="s">
        <v>117</v>
      </c>
      <c r="J3034">
        <v>10025</v>
      </c>
      <c r="K3034">
        <v>5380</v>
      </c>
      <c r="L3034" t="s">
        <v>23</v>
      </c>
      <c r="M3034" t="s">
        <v>8169</v>
      </c>
      <c r="N3034" t="s">
        <v>653</v>
      </c>
      <c r="O3034" t="s">
        <v>117</v>
      </c>
      <c r="P3034">
        <v>10025</v>
      </c>
      <c r="Q3034">
        <v>5380</v>
      </c>
      <c r="R3034" t="s">
        <v>23</v>
      </c>
      <c r="S3034" s="1" t="s">
        <v>34218</v>
      </c>
    </row>
    <row r="3035" spans="1:19" x14ac:dyDescent="0.25">
      <c r="A3035">
        <v>100915365</v>
      </c>
      <c r="B3035" t="s">
        <v>744</v>
      </c>
      <c r="C3035" t="s">
        <v>8170</v>
      </c>
      <c r="F3035" t="str">
        <f>"5133810522"</f>
        <v>5133810522</v>
      </c>
      <c r="G3035" t="s">
        <v>8171</v>
      </c>
      <c r="H3035" t="s">
        <v>2086</v>
      </c>
      <c r="I3035" t="s">
        <v>178</v>
      </c>
      <c r="J3035">
        <v>45203</v>
      </c>
      <c r="K3035">
        <v>1541</v>
      </c>
      <c r="L3035" t="s">
        <v>23</v>
      </c>
      <c r="M3035" t="s">
        <v>8171</v>
      </c>
      <c r="N3035" t="s">
        <v>2086</v>
      </c>
      <c r="O3035" t="s">
        <v>178</v>
      </c>
      <c r="P3035">
        <v>45203</v>
      </c>
      <c r="Q3035">
        <v>1541</v>
      </c>
      <c r="R3035" t="s">
        <v>23</v>
      </c>
      <c r="S3035" s="1" t="s">
        <v>34218</v>
      </c>
    </row>
    <row r="3036" spans="1:19" x14ac:dyDescent="0.25">
      <c r="A3036">
        <v>101125876</v>
      </c>
      <c r="B3036" t="s">
        <v>1335</v>
      </c>
      <c r="C3036" t="s">
        <v>247</v>
      </c>
      <c r="F3036" t="str">
        <f>"4158267479"</f>
        <v>4158267479</v>
      </c>
      <c r="G3036" t="s">
        <v>8172</v>
      </c>
      <c r="H3036" t="s">
        <v>130</v>
      </c>
      <c r="I3036" t="s">
        <v>22</v>
      </c>
      <c r="J3036">
        <v>94131</v>
      </c>
      <c r="K3036">
        <v>1384</v>
      </c>
      <c r="L3036" t="s">
        <v>23</v>
      </c>
      <c r="M3036" t="s">
        <v>8172</v>
      </c>
      <c r="N3036" t="s">
        <v>130</v>
      </c>
      <c r="O3036" t="s">
        <v>22</v>
      </c>
      <c r="P3036">
        <v>94131</v>
      </c>
      <c r="Q3036">
        <v>1384</v>
      </c>
      <c r="R3036" t="s">
        <v>23</v>
      </c>
      <c r="S3036" s="1" t="s">
        <v>34218</v>
      </c>
    </row>
    <row r="3037" spans="1:19" x14ac:dyDescent="0.25">
      <c r="A3037">
        <v>100692349</v>
      </c>
      <c r="B3037" t="s">
        <v>8173</v>
      </c>
      <c r="C3037" t="s">
        <v>838</v>
      </c>
      <c r="F3037" t="str">
        <f>"3026559493"</f>
        <v>3026559493</v>
      </c>
      <c r="G3037" t="s">
        <v>8174</v>
      </c>
      <c r="H3037" t="s">
        <v>8175</v>
      </c>
      <c r="I3037" t="s">
        <v>2310</v>
      </c>
      <c r="J3037">
        <v>19707</v>
      </c>
      <c r="K3037">
        <v>9643</v>
      </c>
      <c r="L3037" t="s">
        <v>23</v>
      </c>
      <c r="M3037" t="s">
        <v>8174</v>
      </c>
      <c r="N3037" t="s">
        <v>8175</v>
      </c>
      <c r="O3037" t="s">
        <v>2310</v>
      </c>
      <c r="P3037">
        <v>19707</v>
      </c>
      <c r="Q3037">
        <v>9643</v>
      </c>
      <c r="R3037" t="s">
        <v>23</v>
      </c>
      <c r="S3037" s="1" t="s">
        <v>34218</v>
      </c>
    </row>
    <row r="3038" spans="1:19" x14ac:dyDescent="0.25">
      <c r="A3038">
        <v>100692523</v>
      </c>
      <c r="B3038" t="s">
        <v>8176</v>
      </c>
      <c r="C3038" t="s">
        <v>1218</v>
      </c>
      <c r="F3038" t="str">
        <f>"9733834774"</f>
        <v>9733834774</v>
      </c>
      <c r="G3038" t="s">
        <v>8177</v>
      </c>
      <c r="H3038" t="s">
        <v>6104</v>
      </c>
      <c r="I3038" t="s">
        <v>250</v>
      </c>
      <c r="J3038">
        <v>7860</v>
      </c>
      <c r="K3038">
        <v>5128</v>
      </c>
      <c r="L3038" t="s">
        <v>23</v>
      </c>
      <c r="M3038" t="s">
        <v>8177</v>
      </c>
      <c r="N3038" t="s">
        <v>6104</v>
      </c>
      <c r="O3038" t="s">
        <v>250</v>
      </c>
      <c r="P3038">
        <v>7860</v>
      </c>
      <c r="Q3038">
        <v>5128</v>
      </c>
      <c r="R3038" t="s">
        <v>23</v>
      </c>
      <c r="S3038" s="1" t="s">
        <v>34218</v>
      </c>
    </row>
    <row r="3039" spans="1:19" x14ac:dyDescent="0.25">
      <c r="A3039">
        <v>100706416</v>
      </c>
      <c r="B3039" t="s">
        <v>8178</v>
      </c>
      <c r="C3039" t="s">
        <v>49</v>
      </c>
      <c r="F3039" t="str">
        <f>"3159269980"</f>
        <v>3159269980</v>
      </c>
      <c r="G3039" t="s">
        <v>8179</v>
      </c>
      <c r="H3039" t="s">
        <v>7195</v>
      </c>
      <c r="I3039" t="s">
        <v>117</v>
      </c>
      <c r="J3039">
        <v>14505</v>
      </c>
      <c r="K3039">
        <v>9752</v>
      </c>
      <c r="L3039" t="s">
        <v>23</v>
      </c>
      <c r="M3039" t="s">
        <v>8179</v>
      </c>
      <c r="N3039" t="s">
        <v>7195</v>
      </c>
      <c r="O3039" t="s">
        <v>117</v>
      </c>
      <c r="P3039">
        <v>14505</v>
      </c>
      <c r="Q3039">
        <v>9752</v>
      </c>
      <c r="R3039" t="s">
        <v>23</v>
      </c>
      <c r="S3039" s="1" t="s">
        <v>34218</v>
      </c>
    </row>
    <row r="3040" spans="1:19" x14ac:dyDescent="0.25">
      <c r="A3040">
        <v>100707457</v>
      </c>
      <c r="B3040" t="s">
        <v>8180</v>
      </c>
      <c r="C3040" t="s">
        <v>440</v>
      </c>
      <c r="F3040" t="str">
        <f>"8123300789"</f>
        <v>8123300789</v>
      </c>
      <c r="G3040" t="s">
        <v>8181</v>
      </c>
      <c r="H3040" t="s">
        <v>685</v>
      </c>
      <c r="I3040" t="s">
        <v>57</v>
      </c>
      <c r="J3040">
        <v>47401</v>
      </c>
      <c r="K3040">
        <v>6814</v>
      </c>
      <c r="L3040" t="s">
        <v>23</v>
      </c>
      <c r="M3040" t="s">
        <v>8181</v>
      </c>
      <c r="N3040" t="s">
        <v>685</v>
      </c>
      <c r="O3040" t="s">
        <v>57</v>
      </c>
      <c r="P3040">
        <v>47401</v>
      </c>
      <c r="Q3040">
        <v>6814</v>
      </c>
      <c r="R3040" t="s">
        <v>23</v>
      </c>
      <c r="S3040" s="1" t="s">
        <v>34218</v>
      </c>
    </row>
    <row r="3041" spans="1:19" x14ac:dyDescent="0.25">
      <c r="A3041">
        <v>100899409</v>
      </c>
      <c r="B3041" t="s">
        <v>744</v>
      </c>
      <c r="C3041" t="s">
        <v>575</v>
      </c>
      <c r="F3041" t="str">
        <f>"3133003275"</f>
        <v>3133003275</v>
      </c>
      <c r="G3041" t="s">
        <v>8182</v>
      </c>
      <c r="H3041" t="s">
        <v>8183</v>
      </c>
      <c r="I3041" t="s">
        <v>140</v>
      </c>
      <c r="J3041">
        <v>48122</v>
      </c>
      <c r="K3041">
        <v>1010</v>
      </c>
      <c r="L3041" t="s">
        <v>23</v>
      </c>
      <c r="M3041" t="s">
        <v>8182</v>
      </c>
      <c r="N3041" t="s">
        <v>8183</v>
      </c>
      <c r="O3041" t="s">
        <v>140</v>
      </c>
      <c r="P3041">
        <v>48122</v>
      </c>
      <c r="Q3041">
        <v>1010</v>
      </c>
      <c r="R3041" t="s">
        <v>23</v>
      </c>
      <c r="S3041" s="1" t="s">
        <v>34218</v>
      </c>
    </row>
    <row r="3042" spans="1:19" x14ac:dyDescent="0.25">
      <c r="A3042">
        <v>101103725</v>
      </c>
      <c r="B3042" t="s">
        <v>8184</v>
      </c>
      <c r="C3042" t="s">
        <v>575</v>
      </c>
      <c r="F3042" t="str">
        <f>"6466421019"</f>
        <v>6466421019</v>
      </c>
      <c r="G3042" t="s">
        <v>8185</v>
      </c>
      <c r="H3042" t="s">
        <v>653</v>
      </c>
      <c r="I3042" t="s">
        <v>117</v>
      </c>
      <c r="J3042">
        <v>10023</v>
      </c>
      <c r="K3042">
        <v>3088</v>
      </c>
      <c r="L3042" t="s">
        <v>23</v>
      </c>
      <c r="M3042" t="s">
        <v>8185</v>
      </c>
      <c r="N3042" t="s">
        <v>653</v>
      </c>
      <c r="O3042" t="s">
        <v>117</v>
      </c>
      <c r="P3042">
        <v>10023</v>
      </c>
      <c r="Q3042">
        <v>3088</v>
      </c>
      <c r="R3042" t="s">
        <v>23</v>
      </c>
      <c r="S3042" s="1" t="s">
        <v>34218</v>
      </c>
    </row>
    <row r="3043" spans="1:19" x14ac:dyDescent="0.25">
      <c r="A3043">
        <v>101120265</v>
      </c>
      <c r="B3043" t="s">
        <v>1144</v>
      </c>
      <c r="C3043" t="s">
        <v>8186</v>
      </c>
      <c r="F3043" t="str">
        <f>"5105499554"</f>
        <v>5105499554</v>
      </c>
      <c r="G3043" t="s">
        <v>8187</v>
      </c>
      <c r="H3043" t="s">
        <v>66</v>
      </c>
      <c r="I3043" t="s">
        <v>22</v>
      </c>
      <c r="J3043">
        <v>94708</v>
      </c>
      <c r="K3043">
        <v>1820</v>
      </c>
      <c r="L3043" t="s">
        <v>23</v>
      </c>
      <c r="M3043" t="s">
        <v>8187</v>
      </c>
      <c r="N3043" t="s">
        <v>66</v>
      </c>
      <c r="O3043" t="s">
        <v>22</v>
      </c>
      <c r="P3043">
        <v>94708</v>
      </c>
      <c r="Q3043">
        <v>1820</v>
      </c>
      <c r="R3043" t="s">
        <v>23</v>
      </c>
      <c r="S3043" s="1" t="s">
        <v>34218</v>
      </c>
    </row>
    <row r="3044" spans="1:19" x14ac:dyDescent="0.25">
      <c r="A3044">
        <v>101291751</v>
      </c>
      <c r="B3044" t="s">
        <v>8188</v>
      </c>
      <c r="C3044" t="s">
        <v>3113</v>
      </c>
      <c r="F3044" t="str">
        <f>"5085247731"</f>
        <v>5085247731</v>
      </c>
      <c r="G3044" t="s">
        <v>8189</v>
      </c>
      <c r="H3044" t="s">
        <v>1080</v>
      </c>
      <c r="I3044" t="s">
        <v>236</v>
      </c>
      <c r="J3044">
        <v>1701</v>
      </c>
      <c r="K3044">
        <v>4903</v>
      </c>
      <c r="L3044" t="s">
        <v>23</v>
      </c>
      <c r="M3044" t="s">
        <v>8189</v>
      </c>
      <c r="N3044" t="s">
        <v>1080</v>
      </c>
      <c r="O3044" t="s">
        <v>236</v>
      </c>
      <c r="P3044">
        <v>1701</v>
      </c>
      <c r="Q3044">
        <v>4903</v>
      </c>
      <c r="R3044" t="s">
        <v>23</v>
      </c>
      <c r="S3044" s="1" t="s">
        <v>34218</v>
      </c>
    </row>
    <row r="3045" spans="1:19" x14ac:dyDescent="0.25">
      <c r="A3045">
        <v>101086432</v>
      </c>
      <c r="B3045" t="s">
        <v>4551</v>
      </c>
      <c r="C3045" t="s">
        <v>8190</v>
      </c>
      <c r="F3045" t="str">
        <f>"5413675597"</f>
        <v>5413675597</v>
      </c>
      <c r="G3045" t="s">
        <v>8191</v>
      </c>
      <c r="H3045" t="s">
        <v>8192</v>
      </c>
      <c r="I3045" t="s">
        <v>43</v>
      </c>
      <c r="J3045">
        <v>97386</v>
      </c>
      <c r="K3045">
        <v>9523</v>
      </c>
      <c r="L3045" t="s">
        <v>23</v>
      </c>
      <c r="M3045" t="s">
        <v>8191</v>
      </c>
      <c r="N3045" t="s">
        <v>8192</v>
      </c>
      <c r="O3045" t="s">
        <v>43</v>
      </c>
      <c r="P3045">
        <v>97386</v>
      </c>
      <c r="Q3045">
        <v>9523</v>
      </c>
      <c r="R3045" t="s">
        <v>23</v>
      </c>
      <c r="S3045" s="1" t="s">
        <v>34218</v>
      </c>
    </row>
    <row r="3046" spans="1:19" x14ac:dyDescent="0.25">
      <c r="A3046">
        <v>101091243</v>
      </c>
      <c r="B3046" t="s">
        <v>8193</v>
      </c>
      <c r="C3046" t="s">
        <v>30</v>
      </c>
      <c r="F3046" t="str">
        <f>"3017752575"</f>
        <v>3017752575</v>
      </c>
      <c r="G3046" t="s">
        <v>8194</v>
      </c>
      <c r="H3046" t="s">
        <v>8195</v>
      </c>
      <c r="I3046" t="s">
        <v>148</v>
      </c>
      <c r="J3046">
        <v>21791</v>
      </c>
      <c r="K3046">
        <v>8404</v>
      </c>
      <c r="L3046" t="s">
        <v>23</v>
      </c>
      <c r="M3046" t="s">
        <v>8194</v>
      </c>
      <c r="N3046" t="s">
        <v>8195</v>
      </c>
      <c r="O3046" t="s">
        <v>148</v>
      </c>
      <c r="P3046">
        <v>21791</v>
      </c>
      <c r="Q3046">
        <v>8404</v>
      </c>
      <c r="R3046" t="s">
        <v>23</v>
      </c>
      <c r="S3046" s="1" t="s">
        <v>34218</v>
      </c>
    </row>
    <row r="3047" spans="1:19" x14ac:dyDescent="0.25">
      <c r="A3047">
        <v>101312376</v>
      </c>
      <c r="B3047" t="s">
        <v>8196</v>
      </c>
      <c r="C3047" t="s">
        <v>2497</v>
      </c>
      <c r="F3047" t="str">
        <f>"9092440841"</f>
        <v>9092440841</v>
      </c>
      <c r="G3047" t="s">
        <v>8197</v>
      </c>
      <c r="H3047" t="s">
        <v>4667</v>
      </c>
      <c r="I3047" t="s">
        <v>22</v>
      </c>
      <c r="J3047">
        <v>91737</v>
      </c>
      <c r="K3047">
        <v>3936</v>
      </c>
      <c r="L3047" t="s">
        <v>23</v>
      </c>
      <c r="M3047" t="s">
        <v>8197</v>
      </c>
      <c r="N3047" t="s">
        <v>4667</v>
      </c>
      <c r="O3047" t="s">
        <v>22</v>
      </c>
      <c r="P3047">
        <v>91737</v>
      </c>
      <c r="Q3047">
        <v>3936</v>
      </c>
      <c r="R3047" t="s">
        <v>23</v>
      </c>
      <c r="S3047" s="1" t="s">
        <v>34218</v>
      </c>
    </row>
    <row r="3048" spans="1:19" x14ac:dyDescent="0.25">
      <c r="A3048">
        <v>101303049</v>
      </c>
      <c r="B3048" t="s">
        <v>8198</v>
      </c>
      <c r="C3048" t="s">
        <v>8199</v>
      </c>
      <c r="F3048" t="str">
        <f>"5178037779"</f>
        <v>5178037779</v>
      </c>
      <c r="G3048" t="s">
        <v>8200</v>
      </c>
      <c r="H3048" t="s">
        <v>822</v>
      </c>
      <c r="I3048" t="s">
        <v>140</v>
      </c>
      <c r="J3048">
        <v>48915</v>
      </c>
      <c r="K3048">
        <v>1253</v>
      </c>
      <c r="L3048" t="s">
        <v>23</v>
      </c>
      <c r="M3048" t="s">
        <v>8200</v>
      </c>
      <c r="N3048" t="s">
        <v>822</v>
      </c>
      <c r="O3048" t="s">
        <v>140</v>
      </c>
      <c r="P3048">
        <v>48915</v>
      </c>
      <c r="Q3048">
        <v>1253</v>
      </c>
      <c r="R3048" t="s">
        <v>23</v>
      </c>
      <c r="S3048" s="1" t="s">
        <v>34218</v>
      </c>
    </row>
    <row r="3049" spans="1:19" x14ac:dyDescent="0.25">
      <c r="A3049">
        <v>101306899</v>
      </c>
      <c r="B3049" t="s">
        <v>4042</v>
      </c>
      <c r="C3049" t="s">
        <v>1107</v>
      </c>
      <c r="F3049" t="str">
        <f>"5555555555"</f>
        <v>5555555555</v>
      </c>
      <c r="G3049" t="s">
        <v>8201</v>
      </c>
      <c r="H3049" t="s">
        <v>2391</v>
      </c>
      <c r="I3049" t="s">
        <v>43</v>
      </c>
      <c r="J3049">
        <v>97702</v>
      </c>
      <c r="K3049">
        <v>1090</v>
      </c>
      <c r="L3049" t="s">
        <v>23</v>
      </c>
      <c r="M3049" t="s">
        <v>8201</v>
      </c>
      <c r="N3049" t="s">
        <v>2391</v>
      </c>
      <c r="O3049" t="s">
        <v>43</v>
      </c>
      <c r="P3049">
        <v>97702</v>
      </c>
      <c r="Q3049">
        <v>1090</v>
      </c>
      <c r="R3049" t="s">
        <v>23</v>
      </c>
      <c r="S3049" s="1" t="s">
        <v>34218</v>
      </c>
    </row>
    <row r="3050" spans="1:19" x14ac:dyDescent="0.25">
      <c r="A3050">
        <v>101192850</v>
      </c>
      <c r="B3050" t="s">
        <v>8202</v>
      </c>
      <c r="C3050" t="s">
        <v>8203</v>
      </c>
      <c r="F3050" t="str">
        <f>"7188291002"</f>
        <v>7188291002</v>
      </c>
      <c r="G3050" t="s">
        <v>8204</v>
      </c>
      <c r="H3050" t="s">
        <v>1105</v>
      </c>
      <c r="I3050" t="s">
        <v>117</v>
      </c>
      <c r="J3050">
        <v>10465</v>
      </c>
      <c r="K3050">
        <v>1009</v>
      </c>
      <c r="L3050" t="s">
        <v>23</v>
      </c>
      <c r="M3050" t="s">
        <v>8204</v>
      </c>
      <c r="N3050" t="s">
        <v>1105</v>
      </c>
      <c r="O3050" t="s">
        <v>117</v>
      </c>
      <c r="P3050">
        <v>10465</v>
      </c>
      <c r="Q3050">
        <v>1009</v>
      </c>
      <c r="R3050" t="s">
        <v>23</v>
      </c>
      <c r="S3050" s="1" t="s">
        <v>34218</v>
      </c>
    </row>
    <row r="3051" spans="1:19" x14ac:dyDescent="0.25">
      <c r="A3051">
        <v>100945627</v>
      </c>
      <c r="B3051" t="s">
        <v>5686</v>
      </c>
      <c r="C3051" t="s">
        <v>2127</v>
      </c>
      <c r="F3051" t="str">
        <f>"5706864745"</f>
        <v>5706864745</v>
      </c>
      <c r="G3051" t="s">
        <v>8205</v>
      </c>
      <c r="H3051" t="s">
        <v>8206</v>
      </c>
      <c r="I3051" t="s">
        <v>33</v>
      </c>
      <c r="J3051">
        <v>18337</v>
      </c>
      <c r="K3051">
        <v>7223</v>
      </c>
      <c r="L3051" t="s">
        <v>23</v>
      </c>
      <c r="M3051" t="s">
        <v>8205</v>
      </c>
      <c r="N3051" t="s">
        <v>8206</v>
      </c>
      <c r="O3051" t="s">
        <v>33</v>
      </c>
      <c r="P3051">
        <v>18337</v>
      </c>
      <c r="Q3051">
        <v>7223</v>
      </c>
      <c r="R3051" t="s">
        <v>23</v>
      </c>
      <c r="S3051" s="1" t="s">
        <v>34218</v>
      </c>
    </row>
    <row r="3052" spans="1:19" x14ac:dyDescent="0.25">
      <c r="A3052">
        <v>101150256</v>
      </c>
      <c r="B3052" t="s">
        <v>8207</v>
      </c>
      <c r="C3052" t="s">
        <v>8208</v>
      </c>
      <c r="F3052" t="str">
        <f>"5856242861"</f>
        <v>5856242861</v>
      </c>
      <c r="G3052" t="s">
        <v>8209</v>
      </c>
      <c r="H3052" t="s">
        <v>8210</v>
      </c>
      <c r="I3052" t="s">
        <v>117</v>
      </c>
      <c r="J3052">
        <v>14472</v>
      </c>
      <c r="K3052">
        <v>9733</v>
      </c>
      <c r="L3052" t="s">
        <v>23</v>
      </c>
      <c r="M3052" t="s">
        <v>8209</v>
      </c>
      <c r="N3052" t="s">
        <v>8210</v>
      </c>
      <c r="O3052" t="s">
        <v>117</v>
      </c>
      <c r="P3052">
        <v>14472</v>
      </c>
      <c r="Q3052">
        <v>9733</v>
      </c>
      <c r="R3052" t="s">
        <v>23</v>
      </c>
      <c r="S3052" s="1" t="s">
        <v>34218</v>
      </c>
    </row>
    <row r="3053" spans="1:19" x14ac:dyDescent="0.25">
      <c r="A3053">
        <v>101066650</v>
      </c>
      <c r="B3053" t="s">
        <v>916</v>
      </c>
      <c r="C3053" t="s">
        <v>382</v>
      </c>
      <c r="F3053" t="str">
        <f>"4136875532"</f>
        <v>4136875532</v>
      </c>
      <c r="G3053" t="s">
        <v>8211</v>
      </c>
      <c r="H3053" t="s">
        <v>7944</v>
      </c>
      <c r="I3053" t="s">
        <v>236</v>
      </c>
      <c r="J3053">
        <v>1060</v>
      </c>
      <c r="K3053">
        <v>2223</v>
      </c>
      <c r="L3053" t="s">
        <v>23</v>
      </c>
      <c r="M3053" t="s">
        <v>8211</v>
      </c>
      <c r="N3053" t="s">
        <v>7944</v>
      </c>
      <c r="O3053" t="s">
        <v>236</v>
      </c>
      <c r="P3053">
        <v>1060</v>
      </c>
      <c r="Q3053">
        <v>2223</v>
      </c>
      <c r="R3053" t="s">
        <v>23</v>
      </c>
      <c r="S3053" s="1" t="s">
        <v>34218</v>
      </c>
    </row>
    <row r="3054" spans="1:19" x14ac:dyDescent="0.25">
      <c r="A3054">
        <v>100744159</v>
      </c>
      <c r="B3054" t="s">
        <v>8212</v>
      </c>
      <c r="C3054" t="s">
        <v>77</v>
      </c>
      <c r="F3054" t="str">
        <f>"4124017081"</f>
        <v>4124017081</v>
      </c>
      <c r="G3054" t="s">
        <v>8213</v>
      </c>
      <c r="H3054" t="s">
        <v>6979</v>
      </c>
      <c r="I3054" t="s">
        <v>33</v>
      </c>
      <c r="J3054">
        <v>15136</v>
      </c>
      <c r="K3054">
        <v>1063</v>
      </c>
      <c r="L3054" t="s">
        <v>23</v>
      </c>
      <c r="M3054" t="s">
        <v>8213</v>
      </c>
      <c r="N3054" t="s">
        <v>6979</v>
      </c>
      <c r="O3054" t="s">
        <v>33</v>
      </c>
      <c r="P3054">
        <v>15136</v>
      </c>
      <c r="Q3054">
        <v>1063</v>
      </c>
      <c r="R3054" t="s">
        <v>23</v>
      </c>
      <c r="S3054" s="1" t="s">
        <v>34218</v>
      </c>
    </row>
    <row r="3055" spans="1:19" x14ac:dyDescent="0.25">
      <c r="A3055">
        <v>100606536</v>
      </c>
      <c r="B3055" t="s">
        <v>105</v>
      </c>
      <c r="C3055" t="s">
        <v>554</v>
      </c>
      <c r="F3055" t="str">
        <f>"6195610887"</f>
        <v>6195610887</v>
      </c>
      <c r="G3055" t="s">
        <v>8214</v>
      </c>
      <c r="H3055" t="s">
        <v>8215</v>
      </c>
      <c r="I3055" t="s">
        <v>22</v>
      </c>
      <c r="J3055">
        <v>92040</v>
      </c>
      <c r="K3055">
        <v>1023</v>
      </c>
      <c r="L3055" t="s">
        <v>23</v>
      </c>
      <c r="M3055" t="s">
        <v>8214</v>
      </c>
      <c r="N3055" t="s">
        <v>8215</v>
      </c>
      <c r="O3055" t="s">
        <v>22</v>
      </c>
      <c r="P3055">
        <v>92040</v>
      </c>
      <c r="Q3055">
        <v>1023</v>
      </c>
      <c r="R3055" t="s">
        <v>23</v>
      </c>
      <c r="S3055" s="1" t="s">
        <v>34218</v>
      </c>
    </row>
    <row r="3056" spans="1:19" x14ac:dyDescent="0.25">
      <c r="A3056">
        <v>100616597</v>
      </c>
      <c r="B3056" t="s">
        <v>8216</v>
      </c>
      <c r="C3056" t="s">
        <v>1879</v>
      </c>
      <c r="F3056" t="str">
        <f>"2067210424"</f>
        <v>2067210424</v>
      </c>
      <c r="G3056" t="s">
        <v>8217</v>
      </c>
      <c r="H3056" t="s">
        <v>1531</v>
      </c>
      <c r="I3056" t="s">
        <v>84</v>
      </c>
      <c r="J3056">
        <v>98144</v>
      </c>
      <c r="K3056">
        <v>5632</v>
      </c>
      <c r="L3056" t="s">
        <v>23</v>
      </c>
      <c r="M3056" t="s">
        <v>8217</v>
      </c>
      <c r="N3056" t="s">
        <v>1531</v>
      </c>
      <c r="O3056" t="s">
        <v>84</v>
      </c>
      <c r="P3056">
        <v>98144</v>
      </c>
      <c r="Q3056">
        <v>5632</v>
      </c>
      <c r="R3056" t="s">
        <v>23</v>
      </c>
      <c r="S3056" s="1" t="s">
        <v>34218</v>
      </c>
    </row>
    <row r="3057" spans="1:19" x14ac:dyDescent="0.25">
      <c r="A3057">
        <v>101318170</v>
      </c>
      <c r="B3057" t="s">
        <v>8218</v>
      </c>
      <c r="C3057" t="s">
        <v>490</v>
      </c>
      <c r="F3057" t="str">
        <f>"7149449495"</f>
        <v>7149449495</v>
      </c>
      <c r="G3057" t="s">
        <v>8219</v>
      </c>
      <c r="H3057" t="s">
        <v>8220</v>
      </c>
      <c r="I3057" t="s">
        <v>22</v>
      </c>
      <c r="J3057">
        <v>92806</v>
      </c>
      <c r="K3057">
        <v>4334</v>
      </c>
      <c r="L3057" t="s">
        <v>23</v>
      </c>
      <c r="M3057" t="s">
        <v>8219</v>
      </c>
      <c r="N3057" t="s">
        <v>8220</v>
      </c>
      <c r="O3057" t="s">
        <v>22</v>
      </c>
      <c r="P3057">
        <v>92806</v>
      </c>
      <c r="Q3057">
        <v>4334</v>
      </c>
      <c r="R3057" t="s">
        <v>23</v>
      </c>
      <c r="S3057" s="1" t="s">
        <v>34218</v>
      </c>
    </row>
    <row r="3058" spans="1:19" x14ac:dyDescent="0.25">
      <c r="A3058">
        <v>100762529</v>
      </c>
      <c r="B3058" t="s">
        <v>2375</v>
      </c>
      <c r="C3058" t="s">
        <v>329</v>
      </c>
      <c r="F3058" t="str">
        <f>"5054660850"</f>
        <v>5054660850</v>
      </c>
      <c r="G3058" t="s">
        <v>8221</v>
      </c>
      <c r="H3058" t="s">
        <v>8222</v>
      </c>
      <c r="I3058" t="s">
        <v>639</v>
      </c>
      <c r="J3058">
        <v>87540</v>
      </c>
      <c r="K3058">
        <v>9772</v>
      </c>
      <c r="L3058" t="s">
        <v>23</v>
      </c>
      <c r="M3058" t="s">
        <v>8221</v>
      </c>
      <c r="N3058" t="s">
        <v>8222</v>
      </c>
      <c r="O3058" t="s">
        <v>639</v>
      </c>
      <c r="P3058">
        <v>87540</v>
      </c>
      <c r="Q3058">
        <v>9772</v>
      </c>
      <c r="R3058" t="s">
        <v>23</v>
      </c>
      <c r="S3058" s="1" t="s">
        <v>34218</v>
      </c>
    </row>
    <row r="3059" spans="1:19" x14ac:dyDescent="0.25">
      <c r="A3059">
        <v>100969428</v>
      </c>
      <c r="B3059" t="s">
        <v>910</v>
      </c>
      <c r="C3059" t="s">
        <v>1350</v>
      </c>
      <c r="F3059" t="str">
        <f>"3238391771"</f>
        <v>3238391771</v>
      </c>
      <c r="G3059" t="s">
        <v>8223</v>
      </c>
      <c r="H3059" t="s">
        <v>6645</v>
      </c>
      <c r="I3059" t="s">
        <v>22</v>
      </c>
      <c r="J3059">
        <v>91040</v>
      </c>
      <c r="K3059">
        <v>1824</v>
      </c>
      <c r="L3059" t="s">
        <v>23</v>
      </c>
      <c r="M3059" t="s">
        <v>8223</v>
      </c>
      <c r="N3059" t="s">
        <v>6645</v>
      </c>
      <c r="O3059" t="s">
        <v>22</v>
      </c>
      <c r="P3059">
        <v>91040</v>
      </c>
      <c r="Q3059">
        <v>1824</v>
      </c>
      <c r="R3059" t="s">
        <v>23</v>
      </c>
      <c r="S3059" s="1" t="s">
        <v>34218</v>
      </c>
    </row>
    <row r="3060" spans="1:19" x14ac:dyDescent="0.25">
      <c r="A3060">
        <v>100673768</v>
      </c>
      <c r="B3060" t="s">
        <v>744</v>
      </c>
      <c r="C3060" t="s">
        <v>30</v>
      </c>
      <c r="F3060" t="str">
        <f>"5023703053"</f>
        <v>5023703053</v>
      </c>
      <c r="G3060" t="s">
        <v>8224</v>
      </c>
      <c r="H3060" t="s">
        <v>8225</v>
      </c>
      <c r="I3060" t="s">
        <v>1097</v>
      </c>
      <c r="J3060">
        <v>40601</v>
      </c>
      <c r="K3060">
        <v>7818</v>
      </c>
      <c r="L3060" t="s">
        <v>23</v>
      </c>
      <c r="M3060" t="s">
        <v>8224</v>
      </c>
      <c r="N3060" t="s">
        <v>8225</v>
      </c>
      <c r="O3060" t="s">
        <v>1097</v>
      </c>
      <c r="P3060">
        <v>40601</v>
      </c>
      <c r="Q3060">
        <v>7818</v>
      </c>
      <c r="R3060" t="s">
        <v>23</v>
      </c>
      <c r="S3060" s="1" t="s">
        <v>34218</v>
      </c>
    </row>
    <row r="3061" spans="1:19" x14ac:dyDescent="0.25">
      <c r="A3061">
        <v>100678504</v>
      </c>
      <c r="B3061" t="s">
        <v>8226</v>
      </c>
      <c r="C3061" t="s">
        <v>158</v>
      </c>
      <c r="F3061" t="str">
        <f>"8608291188"</f>
        <v>8608291188</v>
      </c>
      <c r="G3061" t="s">
        <v>8227</v>
      </c>
      <c r="H3061" t="s">
        <v>8228</v>
      </c>
      <c r="I3061" t="s">
        <v>161</v>
      </c>
      <c r="J3061">
        <v>6023</v>
      </c>
      <c r="K3061">
        <v>1034</v>
      </c>
      <c r="L3061" t="s">
        <v>23</v>
      </c>
      <c r="M3061" t="s">
        <v>8227</v>
      </c>
      <c r="N3061" t="s">
        <v>8228</v>
      </c>
      <c r="O3061" t="s">
        <v>161</v>
      </c>
      <c r="P3061">
        <v>6023</v>
      </c>
      <c r="Q3061">
        <v>1034</v>
      </c>
      <c r="R3061" t="s">
        <v>23</v>
      </c>
      <c r="S3061" s="1" t="s">
        <v>34218</v>
      </c>
    </row>
    <row r="3062" spans="1:19" x14ac:dyDescent="0.25">
      <c r="A3062">
        <v>100866785</v>
      </c>
      <c r="B3062" t="s">
        <v>8229</v>
      </c>
      <c r="C3062" t="s">
        <v>2411</v>
      </c>
      <c r="F3062" t="str">
        <f>"9703395548"</f>
        <v>9703395548</v>
      </c>
      <c r="G3062" t="s">
        <v>8230</v>
      </c>
      <c r="H3062" t="s">
        <v>1408</v>
      </c>
      <c r="I3062" t="s">
        <v>71</v>
      </c>
      <c r="J3062">
        <v>80634</v>
      </c>
      <c r="K3062">
        <v>7714</v>
      </c>
      <c r="L3062" t="s">
        <v>23</v>
      </c>
      <c r="M3062" t="s">
        <v>8230</v>
      </c>
      <c r="N3062" t="s">
        <v>1408</v>
      </c>
      <c r="O3062" t="s">
        <v>71</v>
      </c>
      <c r="P3062">
        <v>80634</v>
      </c>
      <c r="Q3062">
        <v>7714</v>
      </c>
      <c r="R3062" t="s">
        <v>23</v>
      </c>
      <c r="S3062" s="1" t="s">
        <v>34218</v>
      </c>
    </row>
    <row r="3063" spans="1:19" x14ac:dyDescent="0.25">
      <c r="A3063">
        <v>100880059</v>
      </c>
      <c r="B3063" t="s">
        <v>1164</v>
      </c>
      <c r="C3063" t="s">
        <v>8231</v>
      </c>
      <c r="F3063" t="str">
        <f>"5103253772"</f>
        <v>5103253772</v>
      </c>
      <c r="G3063" t="s">
        <v>8232</v>
      </c>
      <c r="H3063" t="s">
        <v>88</v>
      </c>
      <c r="I3063" t="s">
        <v>22</v>
      </c>
      <c r="J3063">
        <v>94605</v>
      </c>
      <c r="K3063">
        <v>3106</v>
      </c>
      <c r="L3063" t="s">
        <v>23</v>
      </c>
      <c r="M3063" t="s">
        <v>8232</v>
      </c>
      <c r="N3063" t="s">
        <v>88</v>
      </c>
      <c r="O3063" t="s">
        <v>22</v>
      </c>
      <c r="P3063">
        <v>94605</v>
      </c>
      <c r="Q3063">
        <v>3106</v>
      </c>
      <c r="R3063" t="s">
        <v>23</v>
      </c>
      <c r="S3063" s="1" t="s">
        <v>34218</v>
      </c>
    </row>
    <row r="3064" spans="1:19" x14ac:dyDescent="0.25">
      <c r="A3064">
        <v>101049884</v>
      </c>
      <c r="B3064" t="s">
        <v>5821</v>
      </c>
      <c r="C3064" t="s">
        <v>4273</v>
      </c>
      <c r="F3064" t="str">
        <f>"7702524615"</f>
        <v>7702524615</v>
      </c>
      <c r="G3064" t="s">
        <v>8233</v>
      </c>
      <c r="H3064" t="s">
        <v>8234</v>
      </c>
      <c r="I3064" t="s">
        <v>28</v>
      </c>
      <c r="J3064">
        <v>30265</v>
      </c>
      <c r="K3064">
        <v>5590</v>
      </c>
      <c r="L3064" t="s">
        <v>23</v>
      </c>
      <c r="M3064" t="s">
        <v>8233</v>
      </c>
      <c r="N3064" t="s">
        <v>8234</v>
      </c>
      <c r="O3064" t="s">
        <v>28</v>
      </c>
      <c r="P3064">
        <v>30265</v>
      </c>
      <c r="Q3064">
        <v>5590</v>
      </c>
      <c r="R3064" t="s">
        <v>23</v>
      </c>
      <c r="S3064" s="1" t="s">
        <v>34218</v>
      </c>
    </row>
    <row r="3065" spans="1:19" x14ac:dyDescent="0.25">
      <c r="A3065">
        <v>100705769</v>
      </c>
      <c r="B3065" t="s">
        <v>199</v>
      </c>
      <c r="C3065" t="s">
        <v>8235</v>
      </c>
      <c r="F3065" t="str">
        <f>"5555555555"</f>
        <v>5555555555</v>
      </c>
      <c r="G3065" t="s">
        <v>8236</v>
      </c>
      <c r="H3065" t="s">
        <v>227</v>
      </c>
      <c r="I3065" t="s">
        <v>43</v>
      </c>
      <c r="J3065">
        <v>97233</v>
      </c>
      <c r="K3065">
        <v>5760</v>
      </c>
      <c r="L3065" t="s">
        <v>23</v>
      </c>
      <c r="M3065" t="s">
        <v>8236</v>
      </c>
      <c r="N3065" t="s">
        <v>227</v>
      </c>
      <c r="O3065" t="s">
        <v>43</v>
      </c>
      <c r="P3065">
        <v>97233</v>
      </c>
      <c r="Q3065">
        <v>5760</v>
      </c>
      <c r="R3065" t="s">
        <v>23</v>
      </c>
      <c r="S3065" s="1" t="s">
        <v>34218</v>
      </c>
    </row>
    <row r="3066" spans="1:19" x14ac:dyDescent="0.25">
      <c r="A3066">
        <v>100633764</v>
      </c>
      <c r="B3066" t="s">
        <v>8237</v>
      </c>
      <c r="C3066" t="s">
        <v>1588</v>
      </c>
      <c r="F3066" t="str">
        <f>"7734042128"</f>
        <v>7734042128</v>
      </c>
      <c r="G3066" t="s">
        <v>8238</v>
      </c>
      <c r="H3066" t="s">
        <v>134</v>
      </c>
      <c r="I3066" t="s">
        <v>135</v>
      </c>
      <c r="J3066">
        <v>60657</v>
      </c>
      <c r="K3066">
        <v>1549</v>
      </c>
      <c r="L3066" t="s">
        <v>23</v>
      </c>
      <c r="M3066" t="s">
        <v>8238</v>
      </c>
      <c r="N3066" t="s">
        <v>134</v>
      </c>
      <c r="O3066" t="s">
        <v>135</v>
      </c>
      <c r="P3066">
        <v>60657</v>
      </c>
      <c r="Q3066">
        <v>1549</v>
      </c>
      <c r="R3066" t="s">
        <v>23</v>
      </c>
      <c r="S3066" s="1" t="s">
        <v>34218</v>
      </c>
    </row>
    <row r="3067" spans="1:19" x14ac:dyDescent="0.25">
      <c r="A3067">
        <v>100848447</v>
      </c>
      <c r="B3067" t="s">
        <v>744</v>
      </c>
      <c r="C3067" t="s">
        <v>1015</v>
      </c>
      <c r="F3067" t="str">
        <f>"9195423807"</f>
        <v>9195423807</v>
      </c>
      <c r="G3067" t="s">
        <v>4417</v>
      </c>
      <c r="H3067" t="s">
        <v>8239</v>
      </c>
      <c r="I3067" t="s">
        <v>446</v>
      </c>
      <c r="J3067">
        <v>27559</v>
      </c>
      <c r="K3067">
        <v>265</v>
      </c>
      <c r="L3067" t="s">
        <v>23</v>
      </c>
      <c r="M3067" t="s">
        <v>4417</v>
      </c>
      <c r="N3067" t="s">
        <v>8239</v>
      </c>
      <c r="O3067" t="s">
        <v>446</v>
      </c>
      <c r="P3067">
        <v>27559</v>
      </c>
      <c r="Q3067">
        <v>265</v>
      </c>
      <c r="R3067" t="s">
        <v>23</v>
      </c>
      <c r="S3067" s="1" t="s">
        <v>34218</v>
      </c>
    </row>
    <row r="3068" spans="1:19" x14ac:dyDescent="0.25">
      <c r="A3068">
        <v>101073444</v>
      </c>
      <c r="B3068" t="s">
        <v>8240</v>
      </c>
      <c r="C3068" t="s">
        <v>8241</v>
      </c>
      <c r="F3068" t="str">
        <f>"4078807387"</f>
        <v>4078807387</v>
      </c>
      <c r="G3068" t="s">
        <v>8242</v>
      </c>
      <c r="H3068" t="s">
        <v>2505</v>
      </c>
      <c r="I3068" t="s">
        <v>52</v>
      </c>
      <c r="J3068">
        <v>32746</v>
      </c>
      <c r="K3068">
        <v>6250</v>
      </c>
      <c r="L3068" t="s">
        <v>23</v>
      </c>
      <c r="M3068" t="s">
        <v>8242</v>
      </c>
      <c r="N3068" t="s">
        <v>2505</v>
      </c>
      <c r="O3068" t="s">
        <v>52</v>
      </c>
      <c r="P3068">
        <v>32746</v>
      </c>
      <c r="Q3068">
        <v>6250</v>
      </c>
      <c r="R3068" t="s">
        <v>23</v>
      </c>
      <c r="S3068" s="1" t="s">
        <v>34218</v>
      </c>
    </row>
    <row r="3069" spans="1:19" x14ac:dyDescent="0.25">
      <c r="A3069">
        <v>100893783</v>
      </c>
      <c r="B3069" t="s">
        <v>465</v>
      </c>
      <c r="C3069" t="s">
        <v>102</v>
      </c>
      <c r="F3069" t="str">
        <f>"6098407791"</f>
        <v>6098407791</v>
      </c>
      <c r="G3069" t="s">
        <v>8243</v>
      </c>
      <c r="H3069" t="s">
        <v>8244</v>
      </c>
      <c r="I3069" t="s">
        <v>250</v>
      </c>
      <c r="J3069">
        <v>8210</v>
      </c>
      <c r="K3069">
        <v>1217</v>
      </c>
      <c r="L3069" t="s">
        <v>23</v>
      </c>
      <c r="M3069" t="s">
        <v>8243</v>
      </c>
      <c r="N3069" t="s">
        <v>8244</v>
      </c>
      <c r="O3069" t="s">
        <v>250</v>
      </c>
      <c r="P3069">
        <v>8210</v>
      </c>
      <c r="Q3069">
        <v>1217</v>
      </c>
      <c r="R3069" t="s">
        <v>23</v>
      </c>
      <c r="S3069" s="1" t="s">
        <v>34218</v>
      </c>
    </row>
    <row r="3070" spans="1:19" x14ac:dyDescent="0.25">
      <c r="A3070">
        <v>100900176</v>
      </c>
      <c r="B3070" t="s">
        <v>8245</v>
      </c>
      <c r="C3070" t="s">
        <v>1939</v>
      </c>
      <c r="F3070" t="str">
        <f>"5058209932"</f>
        <v>5058209932</v>
      </c>
      <c r="G3070" t="s">
        <v>8246</v>
      </c>
      <c r="H3070" t="s">
        <v>1431</v>
      </c>
      <c r="I3070" t="s">
        <v>639</v>
      </c>
      <c r="J3070">
        <v>87507</v>
      </c>
      <c r="K3070">
        <v>3445</v>
      </c>
      <c r="L3070" t="s">
        <v>23</v>
      </c>
      <c r="M3070" t="s">
        <v>8246</v>
      </c>
      <c r="N3070" t="s">
        <v>1431</v>
      </c>
      <c r="O3070" t="s">
        <v>639</v>
      </c>
      <c r="P3070">
        <v>87507</v>
      </c>
      <c r="Q3070">
        <v>3445</v>
      </c>
      <c r="R3070" t="s">
        <v>23</v>
      </c>
      <c r="S3070" s="1" t="s">
        <v>34218</v>
      </c>
    </row>
    <row r="3071" spans="1:19" x14ac:dyDescent="0.25">
      <c r="A3071">
        <v>100903359</v>
      </c>
      <c r="B3071" t="s">
        <v>6156</v>
      </c>
      <c r="C3071" t="s">
        <v>8247</v>
      </c>
      <c r="F3071" t="str">
        <f>"8283578069"</f>
        <v>8283578069</v>
      </c>
      <c r="G3071" t="s">
        <v>8248</v>
      </c>
      <c r="H3071" t="s">
        <v>4635</v>
      </c>
      <c r="I3071" t="s">
        <v>446</v>
      </c>
      <c r="J3071">
        <v>28711</v>
      </c>
      <c r="K3071">
        <v>9408</v>
      </c>
      <c r="L3071" t="s">
        <v>23</v>
      </c>
      <c r="M3071" t="s">
        <v>8248</v>
      </c>
      <c r="N3071" t="s">
        <v>4635</v>
      </c>
      <c r="O3071" t="s">
        <v>446</v>
      </c>
      <c r="P3071">
        <v>28711</v>
      </c>
      <c r="Q3071">
        <v>9408</v>
      </c>
      <c r="R3071" t="s">
        <v>23</v>
      </c>
      <c r="S3071" s="1" t="s">
        <v>34218</v>
      </c>
    </row>
    <row r="3072" spans="1:19" x14ac:dyDescent="0.25">
      <c r="A3072">
        <v>100903411</v>
      </c>
      <c r="B3072" t="s">
        <v>8249</v>
      </c>
      <c r="C3072" t="s">
        <v>403</v>
      </c>
      <c r="F3072" t="str">
        <f>"3037771111"</f>
        <v>3037771111</v>
      </c>
      <c r="G3072" t="s">
        <v>8250</v>
      </c>
      <c r="H3072" t="s">
        <v>2175</v>
      </c>
      <c r="I3072" t="s">
        <v>71</v>
      </c>
      <c r="J3072">
        <v>80111</v>
      </c>
      <c r="K3072">
        <v>4135</v>
      </c>
      <c r="L3072" t="s">
        <v>23</v>
      </c>
      <c r="M3072" t="s">
        <v>8250</v>
      </c>
      <c r="N3072" t="s">
        <v>2175</v>
      </c>
      <c r="O3072" t="s">
        <v>71</v>
      </c>
      <c r="P3072">
        <v>80111</v>
      </c>
      <c r="Q3072">
        <v>4135</v>
      </c>
      <c r="R3072" t="s">
        <v>23</v>
      </c>
      <c r="S3072" s="1" t="s">
        <v>34218</v>
      </c>
    </row>
    <row r="3073" spans="1:19" x14ac:dyDescent="0.25">
      <c r="A3073">
        <v>100909790</v>
      </c>
      <c r="B3073" t="s">
        <v>8251</v>
      </c>
      <c r="C3073" t="s">
        <v>2127</v>
      </c>
      <c r="F3073" t="str">
        <f>"4053406168"</f>
        <v>4053406168</v>
      </c>
      <c r="G3073" t="s">
        <v>8252</v>
      </c>
      <c r="H3073" t="s">
        <v>3274</v>
      </c>
      <c r="I3073" t="s">
        <v>62</v>
      </c>
      <c r="J3073">
        <v>73034</v>
      </c>
      <c r="K3073">
        <v>9067</v>
      </c>
      <c r="L3073" t="s">
        <v>23</v>
      </c>
      <c r="M3073" t="s">
        <v>8252</v>
      </c>
      <c r="N3073" t="s">
        <v>3274</v>
      </c>
      <c r="O3073" t="s">
        <v>62</v>
      </c>
      <c r="P3073">
        <v>73034</v>
      </c>
      <c r="Q3073">
        <v>9067</v>
      </c>
      <c r="R3073" t="s">
        <v>23</v>
      </c>
      <c r="S3073" s="1" t="s">
        <v>34218</v>
      </c>
    </row>
    <row r="3074" spans="1:19" x14ac:dyDescent="0.25">
      <c r="A3074">
        <v>101094627</v>
      </c>
      <c r="B3074" t="s">
        <v>8253</v>
      </c>
      <c r="C3074" t="s">
        <v>8254</v>
      </c>
      <c r="F3074" t="str">
        <f>"7323319196"</f>
        <v>7323319196</v>
      </c>
      <c r="G3074" t="s">
        <v>8255</v>
      </c>
      <c r="H3074" t="s">
        <v>8256</v>
      </c>
      <c r="I3074" t="s">
        <v>250</v>
      </c>
      <c r="J3074">
        <v>8816</v>
      </c>
      <c r="K3074">
        <v>2418</v>
      </c>
      <c r="L3074" t="s">
        <v>23</v>
      </c>
      <c r="M3074" t="s">
        <v>8255</v>
      </c>
      <c r="N3074" t="s">
        <v>8256</v>
      </c>
      <c r="O3074" t="s">
        <v>250</v>
      </c>
      <c r="P3074">
        <v>8816</v>
      </c>
      <c r="Q3074">
        <v>2418</v>
      </c>
      <c r="R3074" t="s">
        <v>23</v>
      </c>
      <c r="S3074" s="1" t="s">
        <v>34218</v>
      </c>
    </row>
    <row r="3075" spans="1:19" x14ac:dyDescent="0.25">
      <c r="A3075">
        <v>100706112</v>
      </c>
      <c r="B3075" t="s">
        <v>8257</v>
      </c>
      <c r="C3075" t="s">
        <v>1588</v>
      </c>
      <c r="F3075" t="str">
        <f>"4148614080"</f>
        <v>4148614080</v>
      </c>
      <c r="G3075" t="s">
        <v>8258</v>
      </c>
      <c r="H3075" t="s">
        <v>8259</v>
      </c>
      <c r="I3075" t="s">
        <v>100</v>
      </c>
      <c r="J3075">
        <v>54135</v>
      </c>
      <c r="K3075">
        <v>9402</v>
      </c>
      <c r="L3075" t="s">
        <v>23</v>
      </c>
      <c r="M3075" t="s">
        <v>8258</v>
      </c>
      <c r="N3075" t="s">
        <v>8259</v>
      </c>
      <c r="O3075" t="s">
        <v>100</v>
      </c>
      <c r="P3075">
        <v>54135</v>
      </c>
      <c r="Q3075">
        <v>9402</v>
      </c>
      <c r="R3075" t="s">
        <v>23</v>
      </c>
      <c r="S3075" s="1" t="s">
        <v>34218</v>
      </c>
    </row>
    <row r="3076" spans="1:19" x14ac:dyDescent="0.25">
      <c r="A3076">
        <v>100733242</v>
      </c>
      <c r="B3076" t="s">
        <v>7361</v>
      </c>
      <c r="C3076" t="s">
        <v>25</v>
      </c>
      <c r="F3076" t="str">
        <f>"7035385683"</f>
        <v>7035385683</v>
      </c>
      <c r="G3076" t="s">
        <v>8260</v>
      </c>
      <c r="H3076" t="s">
        <v>8261</v>
      </c>
      <c r="I3076" t="s">
        <v>255</v>
      </c>
      <c r="J3076">
        <v>20135</v>
      </c>
      <c r="K3076">
        <v>4603</v>
      </c>
      <c r="L3076" t="s">
        <v>23</v>
      </c>
      <c r="M3076" t="s">
        <v>8260</v>
      </c>
      <c r="N3076" t="s">
        <v>8261</v>
      </c>
      <c r="O3076" t="s">
        <v>255</v>
      </c>
      <c r="P3076">
        <v>20135</v>
      </c>
      <c r="Q3076">
        <v>4603</v>
      </c>
      <c r="R3076" t="s">
        <v>23</v>
      </c>
      <c r="S3076" s="1" t="s">
        <v>34218</v>
      </c>
    </row>
    <row r="3077" spans="1:19" x14ac:dyDescent="0.25">
      <c r="A3077">
        <v>100931071</v>
      </c>
      <c r="B3077" t="s">
        <v>2176</v>
      </c>
      <c r="C3077" t="s">
        <v>8262</v>
      </c>
      <c r="F3077" t="str">
        <f>"3149664038"</f>
        <v>3149664038</v>
      </c>
      <c r="G3077" t="s">
        <v>8263</v>
      </c>
      <c r="H3077" t="s">
        <v>8264</v>
      </c>
      <c r="I3077" t="s">
        <v>126</v>
      </c>
      <c r="J3077">
        <v>63122</v>
      </c>
      <c r="K3077">
        <v>2810</v>
      </c>
      <c r="L3077" t="s">
        <v>23</v>
      </c>
      <c r="M3077" t="s">
        <v>8263</v>
      </c>
      <c r="N3077" t="s">
        <v>8264</v>
      </c>
      <c r="O3077" t="s">
        <v>126</v>
      </c>
      <c r="P3077">
        <v>63122</v>
      </c>
      <c r="Q3077">
        <v>2810</v>
      </c>
      <c r="R3077" t="s">
        <v>23</v>
      </c>
      <c r="S3077" s="1" t="s">
        <v>34218</v>
      </c>
    </row>
    <row r="3078" spans="1:19" x14ac:dyDescent="0.25">
      <c r="A3078">
        <v>100935223</v>
      </c>
      <c r="B3078" t="s">
        <v>8265</v>
      </c>
      <c r="C3078" t="s">
        <v>8266</v>
      </c>
      <c r="F3078" t="str">
        <f>"5048610849"</f>
        <v>5048610849</v>
      </c>
      <c r="G3078" t="s">
        <v>8267</v>
      </c>
      <c r="H3078" t="s">
        <v>840</v>
      </c>
      <c r="I3078" t="s">
        <v>153</v>
      </c>
      <c r="J3078">
        <v>70118</v>
      </c>
      <c r="K3078">
        <v>4057</v>
      </c>
      <c r="L3078" t="s">
        <v>23</v>
      </c>
      <c r="M3078" t="s">
        <v>8267</v>
      </c>
      <c r="N3078" t="s">
        <v>840</v>
      </c>
      <c r="O3078" t="s">
        <v>153</v>
      </c>
      <c r="P3078">
        <v>70118</v>
      </c>
      <c r="Q3078">
        <v>4057</v>
      </c>
      <c r="R3078" t="s">
        <v>23</v>
      </c>
      <c r="S3078" s="1" t="s">
        <v>34218</v>
      </c>
    </row>
    <row r="3079" spans="1:19" x14ac:dyDescent="0.25">
      <c r="A3079">
        <v>100934425</v>
      </c>
      <c r="B3079" t="s">
        <v>8268</v>
      </c>
      <c r="C3079" t="s">
        <v>1179</v>
      </c>
      <c r="F3079" t="str">
        <f>"6098591821"</f>
        <v>6098591821</v>
      </c>
      <c r="G3079" t="s">
        <v>8269</v>
      </c>
      <c r="H3079" t="s">
        <v>8270</v>
      </c>
      <c r="I3079" t="s">
        <v>250</v>
      </c>
      <c r="J3079">
        <v>8088</v>
      </c>
      <c r="K3079">
        <v>9207</v>
      </c>
      <c r="L3079" t="s">
        <v>23</v>
      </c>
      <c r="M3079" t="s">
        <v>8269</v>
      </c>
      <c r="N3079" t="s">
        <v>8270</v>
      </c>
      <c r="O3079" t="s">
        <v>250</v>
      </c>
      <c r="P3079">
        <v>8088</v>
      </c>
      <c r="Q3079">
        <v>9207</v>
      </c>
      <c r="R3079" t="s">
        <v>23</v>
      </c>
      <c r="S3079" s="1" t="s">
        <v>34218</v>
      </c>
    </row>
    <row r="3080" spans="1:19" x14ac:dyDescent="0.25">
      <c r="A3080">
        <v>100758228</v>
      </c>
      <c r="B3080" t="s">
        <v>8271</v>
      </c>
      <c r="C3080" t="s">
        <v>40</v>
      </c>
      <c r="F3080" t="str">
        <f>"3103954429"</f>
        <v>3103954429</v>
      </c>
      <c r="G3080" t="s">
        <v>8272</v>
      </c>
      <c r="H3080" t="s">
        <v>726</v>
      </c>
      <c r="I3080" t="s">
        <v>22</v>
      </c>
      <c r="J3080">
        <v>90403</v>
      </c>
      <c r="K3080">
        <v>4066</v>
      </c>
      <c r="L3080" t="s">
        <v>23</v>
      </c>
      <c r="M3080" t="s">
        <v>8272</v>
      </c>
      <c r="N3080" t="s">
        <v>726</v>
      </c>
      <c r="O3080" t="s">
        <v>22</v>
      </c>
      <c r="P3080">
        <v>90403</v>
      </c>
      <c r="Q3080">
        <v>4066</v>
      </c>
      <c r="R3080" t="s">
        <v>23</v>
      </c>
      <c r="S3080" s="1" t="s">
        <v>34218</v>
      </c>
    </row>
    <row r="3081" spans="1:19" x14ac:dyDescent="0.25">
      <c r="A3081">
        <v>100962171</v>
      </c>
      <c r="B3081" t="s">
        <v>670</v>
      </c>
      <c r="C3081" t="s">
        <v>2941</v>
      </c>
      <c r="F3081" t="str">
        <f>"4237751838"</f>
        <v>4237751838</v>
      </c>
      <c r="G3081" t="s">
        <v>8273</v>
      </c>
      <c r="H3081" t="s">
        <v>8274</v>
      </c>
      <c r="I3081" t="s">
        <v>914</v>
      </c>
      <c r="J3081">
        <v>37332</v>
      </c>
      <c r="K3081">
        <v>3269</v>
      </c>
      <c r="L3081" t="s">
        <v>23</v>
      </c>
      <c r="M3081" t="s">
        <v>8273</v>
      </c>
      <c r="N3081" t="s">
        <v>8274</v>
      </c>
      <c r="O3081" t="s">
        <v>914</v>
      </c>
      <c r="P3081">
        <v>37332</v>
      </c>
      <c r="Q3081">
        <v>3269</v>
      </c>
      <c r="R3081" t="s">
        <v>23</v>
      </c>
      <c r="S3081" s="1" t="s">
        <v>34218</v>
      </c>
    </row>
    <row r="3082" spans="1:19" x14ac:dyDescent="0.25">
      <c r="A3082">
        <v>100536002</v>
      </c>
      <c r="B3082" t="s">
        <v>8275</v>
      </c>
      <c r="C3082" t="s">
        <v>2938</v>
      </c>
      <c r="F3082" t="str">
        <f>"3105418583"</f>
        <v>3105418583</v>
      </c>
      <c r="G3082" t="s">
        <v>8276</v>
      </c>
      <c r="H3082" t="s">
        <v>8277</v>
      </c>
      <c r="I3082" t="s">
        <v>22</v>
      </c>
      <c r="J3082">
        <v>90274</v>
      </c>
      <c r="K3082">
        <v>2839</v>
      </c>
      <c r="L3082" t="s">
        <v>23</v>
      </c>
      <c r="M3082" t="s">
        <v>8276</v>
      </c>
      <c r="N3082" t="s">
        <v>8277</v>
      </c>
      <c r="O3082" t="s">
        <v>22</v>
      </c>
      <c r="P3082">
        <v>90274</v>
      </c>
      <c r="Q3082">
        <v>2839</v>
      </c>
      <c r="R3082" t="s">
        <v>23</v>
      </c>
      <c r="S3082" s="1" t="s">
        <v>34218</v>
      </c>
    </row>
    <row r="3083" spans="1:19" x14ac:dyDescent="0.25">
      <c r="A3083">
        <v>100528840</v>
      </c>
      <c r="B3083" t="s">
        <v>8278</v>
      </c>
      <c r="C3083" t="s">
        <v>155</v>
      </c>
      <c r="F3083" t="str">
        <f>"8595545014"</f>
        <v>8595545014</v>
      </c>
      <c r="G3083" t="s">
        <v>8279</v>
      </c>
      <c r="H3083" t="s">
        <v>8280</v>
      </c>
      <c r="I3083" t="s">
        <v>1097</v>
      </c>
      <c r="J3083">
        <v>40502</v>
      </c>
      <c r="K3083">
        <v>1510</v>
      </c>
      <c r="L3083" t="s">
        <v>23</v>
      </c>
      <c r="M3083" t="s">
        <v>8279</v>
      </c>
      <c r="N3083" t="s">
        <v>8280</v>
      </c>
      <c r="O3083" t="s">
        <v>1097</v>
      </c>
      <c r="P3083">
        <v>40502</v>
      </c>
      <c r="Q3083">
        <v>1510</v>
      </c>
      <c r="R3083" t="s">
        <v>23</v>
      </c>
      <c r="S3083" s="1" t="s">
        <v>34218</v>
      </c>
    </row>
    <row r="3084" spans="1:19" x14ac:dyDescent="0.25">
      <c r="A3084">
        <v>100537543</v>
      </c>
      <c r="B3084" t="s">
        <v>8281</v>
      </c>
      <c r="C3084" t="s">
        <v>8282</v>
      </c>
      <c r="F3084" t="str">
        <f>"2018677970"</f>
        <v>2018677970</v>
      </c>
      <c r="G3084" t="s">
        <v>8283</v>
      </c>
      <c r="H3084" t="s">
        <v>4834</v>
      </c>
      <c r="I3084" t="s">
        <v>250</v>
      </c>
      <c r="J3084">
        <v>7086</v>
      </c>
      <c r="K3084">
        <v>6906</v>
      </c>
      <c r="L3084" t="s">
        <v>23</v>
      </c>
      <c r="M3084" t="s">
        <v>8283</v>
      </c>
      <c r="N3084" t="s">
        <v>4834</v>
      </c>
      <c r="O3084" t="s">
        <v>250</v>
      </c>
      <c r="P3084">
        <v>7086</v>
      </c>
      <c r="Q3084">
        <v>6906</v>
      </c>
      <c r="R3084" t="s">
        <v>23</v>
      </c>
      <c r="S3084" s="1" t="s">
        <v>34218</v>
      </c>
    </row>
    <row r="3085" spans="1:19" x14ac:dyDescent="0.25">
      <c r="A3085">
        <v>100742927</v>
      </c>
      <c r="B3085" t="s">
        <v>8284</v>
      </c>
      <c r="C3085" t="s">
        <v>498</v>
      </c>
      <c r="F3085" t="str">
        <f>"3157895105"</f>
        <v>3157895105</v>
      </c>
      <c r="G3085" t="s">
        <v>8285</v>
      </c>
      <c r="H3085" t="s">
        <v>7820</v>
      </c>
      <c r="I3085" t="s">
        <v>117</v>
      </c>
      <c r="J3085">
        <v>14456</v>
      </c>
      <c r="K3085">
        <v>9713</v>
      </c>
      <c r="L3085" t="s">
        <v>23</v>
      </c>
      <c r="M3085" t="s">
        <v>8285</v>
      </c>
      <c r="N3085" t="s">
        <v>7820</v>
      </c>
      <c r="O3085" t="s">
        <v>117</v>
      </c>
      <c r="P3085">
        <v>14456</v>
      </c>
      <c r="Q3085">
        <v>9713</v>
      </c>
      <c r="R3085" t="s">
        <v>23</v>
      </c>
      <c r="S3085" s="1" t="s">
        <v>34218</v>
      </c>
    </row>
    <row r="3086" spans="1:19" x14ac:dyDescent="0.25">
      <c r="A3086">
        <v>100813182</v>
      </c>
      <c r="B3086" t="s">
        <v>8286</v>
      </c>
      <c r="C3086" t="s">
        <v>3670</v>
      </c>
      <c r="F3086" t="str">
        <f>"7407766393"</f>
        <v>7407766393</v>
      </c>
      <c r="G3086" t="s">
        <v>8287</v>
      </c>
      <c r="H3086" t="s">
        <v>5014</v>
      </c>
      <c r="I3086" t="s">
        <v>178</v>
      </c>
      <c r="J3086">
        <v>45662</v>
      </c>
      <c r="K3086">
        <v>5469</v>
      </c>
      <c r="L3086" t="s">
        <v>23</v>
      </c>
      <c r="M3086" t="s">
        <v>8287</v>
      </c>
      <c r="N3086" t="s">
        <v>5014</v>
      </c>
      <c r="O3086" t="s">
        <v>178</v>
      </c>
      <c r="P3086">
        <v>45662</v>
      </c>
      <c r="Q3086">
        <v>5469</v>
      </c>
      <c r="R3086" t="s">
        <v>23</v>
      </c>
      <c r="S3086" s="1" t="s">
        <v>34218</v>
      </c>
    </row>
    <row r="3087" spans="1:19" x14ac:dyDescent="0.25">
      <c r="A3087">
        <v>100657714</v>
      </c>
      <c r="B3087" t="s">
        <v>8288</v>
      </c>
      <c r="C3087" t="s">
        <v>8289</v>
      </c>
      <c r="F3087" t="str">
        <f>"4795538714"</f>
        <v>4795538714</v>
      </c>
      <c r="G3087" t="s">
        <v>8290</v>
      </c>
      <c r="H3087" t="s">
        <v>8291</v>
      </c>
      <c r="I3087" t="s">
        <v>2537</v>
      </c>
      <c r="J3087">
        <v>72715</v>
      </c>
      <c r="K3087">
        <v>5114</v>
      </c>
      <c r="L3087" t="s">
        <v>23</v>
      </c>
      <c r="M3087" t="s">
        <v>8290</v>
      </c>
      <c r="N3087" t="s">
        <v>8291</v>
      </c>
      <c r="O3087" t="s">
        <v>2537</v>
      </c>
      <c r="P3087">
        <v>72715</v>
      </c>
      <c r="Q3087">
        <v>5114</v>
      </c>
      <c r="R3087" t="s">
        <v>23</v>
      </c>
      <c r="S3087" s="1" t="s">
        <v>34218</v>
      </c>
    </row>
    <row r="3088" spans="1:19" x14ac:dyDescent="0.25">
      <c r="A3088">
        <v>100674945</v>
      </c>
      <c r="B3088" t="s">
        <v>8292</v>
      </c>
      <c r="C3088" t="s">
        <v>1671</v>
      </c>
      <c r="F3088" t="str">
        <f>"3019061200"</f>
        <v>3019061200</v>
      </c>
      <c r="G3088" t="s">
        <v>8293</v>
      </c>
      <c r="H3088" t="s">
        <v>560</v>
      </c>
      <c r="I3088" t="s">
        <v>148</v>
      </c>
      <c r="J3088">
        <v>20850</v>
      </c>
      <c r="K3088">
        <v>2042</v>
      </c>
      <c r="L3088" t="s">
        <v>23</v>
      </c>
      <c r="M3088" t="s">
        <v>8293</v>
      </c>
      <c r="N3088" t="s">
        <v>560</v>
      </c>
      <c r="O3088" t="s">
        <v>148</v>
      </c>
      <c r="P3088">
        <v>20850</v>
      </c>
      <c r="Q3088">
        <v>2042</v>
      </c>
      <c r="R3088" t="s">
        <v>23</v>
      </c>
      <c r="S3088" s="1" t="s">
        <v>34218</v>
      </c>
    </row>
    <row r="3089" spans="1:19" x14ac:dyDescent="0.25">
      <c r="A3089">
        <v>100524762</v>
      </c>
      <c r="B3089" t="s">
        <v>8294</v>
      </c>
      <c r="C3089" t="s">
        <v>1176</v>
      </c>
      <c r="F3089" t="str">
        <f>"8089896364"</f>
        <v>8089896364</v>
      </c>
      <c r="G3089" t="s">
        <v>8295</v>
      </c>
      <c r="H3089" t="s">
        <v>8296</v>
      </c>
      <c r="I3089" t="s">
        <v>984</v>
      </c>
      <c r="J3089">
        <v>96753</v>
      </c>
      <c r="K3089">
        <v>7146</v>
      </c>
      <c r="L3089" t="s">
        <v>23</v>
      </c>
      <c r="M3089" t="s">
        <v>8295</v>
      </c>
      <c r="N3089" t="s">
        <v>8296</v>
      </c>
      <c r="O3089" t="s">
        <v>984</v>
      </c>
      <c r="P3089">
        <v>96753</v>
      </c>
      <c r="Q3089">
        <v>7146</v>
      </c>
      <c r="R3089" t="s">
        <v>23</v>
      </c>
      <c r="S3089" s="1" t="s">
        <v>34218</v>
      </c>
    </row>
    <row r="3090" spans="1:19" x14ac:dyDescent="0.25">
      <c r="A3090">
        <v>101266341</v>
      </c>
      <c r="B3090" t="s">
        <v>8297</v>
      </c>
      <c r="C3090" t="s">
        <v>865</v>
      </c>
      <c r="F3090" t="str">
        <f>"5109325030"</f>
        <v>5109325030</v>
      </c>
      <c r="G3090" t="s">
        <v>8298</v>
      </c>
      <c r="H3090" t="s">
        <v>227</v>
      </c>
      <c r="I3090" t="s">
        <v>43</v>
      </c>
      <c r="J3090">
        <v>97215</v>
      </c>
      <c r="K3090">
        <v>2495</v>
      </c>
      <c r="L3090" t="s">
        <v>23</v>
      </c>
      <c r="M3090" t="s">
        <v>8298</v>
      </c>
      <c r="N3090" t="s">
        <v>227</v>
      </c>
      <c r="O3090" t="s">
        <v>43</v>
      </c>
      <c r="P3090">
        <v>97215</v>
      </c>
      <c r="Q3090">
        <v>2495</v>
      </c>
      <c r="R3090" t="s">
        <v>23</v>
      </c>
      <c r="S3090" s="1" t="s">
        <v>34218</v>
      </c>
    </row>
    <row r="3091" spans="1:19" x14ac:dyDescent="0.25">
      <c r="A3091">
        <v>100561784</v>
      </c>
      <c r="B3091" t="s">
        <v>8299</v>
      </c>
      <c r="C3091" t="s">
        <v>1124</v>
      </c>
      <c r="F3091" t="str">
        <f>"3042617732"</f>
        <v>3042617732</v>
      </c>
      <c r="G3091" t="s">
        <v>8300</v>
      </c>
      <c r="H3091" t="s">
        <v>8301</v>
      </c>
      <c r="I3091" t="s">
        <v>327</v>
      </c>
      <c r="J3091">
        <v>25420</v>
      </c>
      <c r="K3091">
        <v>176</v>
      </c>
      <c r="L3091" t="s">
        <v>23</v>
      </c>
      <c r="M3091" t="s">
        <v>8300</v>
      </c>
      <c r="N3091" t="s">
        <v>8301</v>
      </c>
      <c r="O3091" t="s">
        <v>327</v>
      </c>
      <c r="P3091">
        <v>25420</v>
      </c>
      <c r="Q3091">
        <v>176</v>
      </c>
      <c r="R3091" t="s">
        <v>23</v>
      </c>
      <c r="S3091" s="1" t="s">
        <v>34218</v>
      </c>
    </row>
    <row r="3092" spans="1:19" x14ac:dyDescent="0.25">
      <c r="A3092">
        <v>100570573</v>
      </c>
      <c r="B3092" t="s">
        <v>8302</v>
      </c>
      <c r="C3092" t="s">
        <v>916</v>
      </c>
      <c r="F3092" t="str">
        <f>"3232466241"</f>
        <v>3232466241</v>
      </c>
      <c r="G3092" t="s">
        <v>8303</v>
      </c>
      <c r="H3092" t="s">
        <v>299</v>
      </c>
      <c r="I3092" t="s">
        <v>22</v>
      </c>
      <c r="J3092">
        <v>90019</v>
      </c>
      <c r="K3092">
        <v>2550</v>
      </c>
      <c r="L3092" t="s">
        <v>23</v>
      </c>
      <c r="M3092" t="s">
        <v>8303</v>
      </c>
      <c r="N3092" t="s">
        <v>299</v>
      </c>
      <c r="O3092" t="s">
        <v>22</v>
      </c>
      <c r="P3092">
        <v>90019</v>
      </c>
      <c r="Q3092">
        <v>2550</v>
      </c>
      <c r="R3092" t="s">
        <v>23</v>
      </c>
      <c r="S3092" s="1" t="s">
        <v>34218</v>
      </c>
    </row>
    <row r="3093" spans="1:19" x14ac:dyDescent="0.25">
      <c r="A3093">
        <v>100572531</v>
      </c>
      <c r="B3093" t="s">
        <v>8304</v>
      </c>
      <c r="C3093" t="s">
        <v>2044</v>
      </c>
      <c r="F3093" t="str">
        <f>"6463313262"</f>
        <v>6463313262</v>
      </c>
      <c r="G3093" t="s">
        <v>8305</v>
      </c>
      <c r="H3093" t="s">
        <v>412</v>
      </c>
      <c r="I3093" t="s">
        <v>117</v>
      </c>
      <c r="J3093">
        <v>11214</v>
      </c>
      <c r="K3093">
        <v>6003</v>
      </c>
      <c r="L3093" t="s">
        <v>23</v>
      </c>
      <c r="M3093" t="s">
        <v>8305</v>
      </c>
      <c r="N3093" t="s">
        <v>412</v>
      </c>
      <c r="O3093" t="s">
        <v>117</v>
      </c>
      <c r="P3093">
        <v>11214</v>
      </c>
      <c r="Q3093">
        <v>6003</v>
      </c>
      <c r="R3093" t="s">
        <v>23</v>
      </c>
      <c r="S3093" s="1" t="s">
        <v>34218</v>
      </c>
    </row>
    <row r="3094" spans="1:19" x14ac:dyDescent="0.25">
      <c r="A3094">
        <v>100768371</v>
      </c>
      <c r="B3094" t="s">
        <v>8306</v>
      </c>
      <c r="C3094" t="s">
        <v>1549</v>
      </c>
      <c r="F3094" t="str">
        <f>"5093281670"</f>
        <v>5093281670</v>
      </c>
      <c r="G3094" t="s">
        <v>8307</v>
      </c>
      <c r="H3094" t="s">
        <v>3129</v>
      </c>
      <c r="I3094" t="s">
        <v>84</v>
      </c>
      <c r="J3094">
        <v>99205</v>
      </c>
      <c r="K3094">
        <v>2219</v>
      </c>
      <c r="L3094" t="s">
        <v>23</v>
      </c>
      <c r="M3094" t="s">
        <v>8307</v>
      </c>
      <c r="N3094" t="s">
        <v>3129</v>
      </c>
      <c r="O3094" t="s">
        <v>84</v>
      </c>
      <c r="P3094">
        <v>99205</v>
      </c>
      <c r="Q3094">
        <v>2219</v>
      </c>
      <c r="R3094" t="s">
        <v>23</v>
      </c>
      <c r="S3094" s="1" t="s">
        <v>34218</v>
      </c>
    </row>
    <row r="3095" spans="1:19" x14ac:dyDescent="0.25">
      <c r="A3095">
        <v>100984979</v>
      </c>
      <c r="B3095" t="s">
        <v>5610</v>
      </c>
      <c r="C3095" t="s">
        <v>3442</v>
      </c>
      <c r="F3095" t="str">
        <f>"7322228675"</f>
        <v>7322228675</v>
      </c>
      <c r="G3095" t="s">
        <v>8308</v>
      </c>
      <c r="H3095" t="s">
        <v>8309</v>
      </c>
      <c r="I3095" t="s">
        <v>250</v>
      </c>
      <c r="J3095">
        <v>7755</v>
      </c>
      <c r="K3095">
        <v>1210</v>
      </c>
      <c r="L3095" t="s">
        <v>23</v>
      </c>
      <c r="M3095" t="s">
        <v>8308</v>
      </c>
      <c r="N3095" t="s">
        <v>8309</v>
      </c>
      <c r="O3095" t="s">
        <v>250</v>
      </c>
      <c r="P3095">
        <v>7755</v>
      </c>
      <c r="Q3095">
        <v>1210</v>
      </c>
      <c r="R3095" t="s">
        <v>23</v>
      </c>
      <c r="S3095" s="1" t="s">
        <v>34218</v>
      </c>
    </row>
    <row r="3096" spans="1:19" x14ac:dyDescent="0.25">
      <c r="A3096">
        <v>100578764</v>
      </c>
      <c r="B3096" t="s">
        <v>8310</v>
      </c>
      <c r="C3096" t="s">
        <v>1955</v>
      </c>
      <c r="F3096" t="str">
        <f>"7406226180"</f>
        <v>7406226180</v>
      </c>
      <c r="G3096" t="s">
        <v>8311</v>
      </c>
      <c r="H3096" t="s">
        <v>8312</v>
      </c>
      <c r="I3096" t="s">
        <v>178</v>
      </c>
      <c r="J3096">
        <v>43812</v>
      </c>
      <c r="K3096">
        <v>2704</v>
      </c>
      <c r="L3096" t="s">
        <v>23</v>
      </c>
      <c r="M3096" t="s">
        <v>8311</v>
      </c>
      <c r="N3096" t="s">
        <v>8312</v>
      </c>
      <c r="O3096" t="s">
        <v>178</v>
      </c>
      <c r="P3096">
        <v>43812</v>
      </c>
      <c r="Q3096">
        <v>2704</v>
      </c>
      <c r="R3096" t="s">
        <v>23</v>
      </c>
      <c r="S3096" s="1" t="s">
        <v>34218</v>
      </c>
    </row>
    <row r="3097" spans="1:19" x14ac:dyDescent="0.25">
      <c r="A3097">
        <v>100784734</v>
      </c>
      <c r="B3097" t="s">
        <v>8313</v>
      </c>
      <c r="C3097" t="s">
        <v>8314</v>
      </c>
      <c r="F3097" t="str">
        <f>"2064392441"</f>
        <v>2064392441</v>
      </c>
      <c r="G3097" t="s">
        <v>8315</v>
      </c>
      <c r="H3097" t="s">
        <v>1531</v>
      </c>
      <c r="I3097" t="s">
        <v>84</v>
      </c>
      <c r="J3097">
        <v>98105</v>
      </c>
      <c r="K3097">
        <v>4296</v>
      </c>
      <c r="L3097" t="s">
        <v>23</v>
      </c>
      <c r="M3097" t="s">
        <v>8315</v>
      </c>
      <c r="N3097" t="s">
        <v>1531</v>
      </c>
      <c r="O3097" t="s">
        <v>84</v>
      </c>
      <c r="P3097">
        <v>98105</v>
      </c>
      <c r="Q3097">
        <v>4296</v>
      </c>
      <c r="R3097" t="s">
        <v>23</v>
      </c>
      <c r="S3097" s="1" t="s">
        <v>34218</v>
      </c>
    </row>
    <row r="3098" spans="1:19" x14ac:dyDescent="0.25">
      <c r="A3098">
        <v>100805106</v>
      </c>
      <c r="B3098" t="s">
        <v>5497</v>
      </c>
      <c r="C3098" t="s">
        <v>49</v>
      </c>
      <c r="F3098" t="str">
        <f>"2154821360"</f>
        <v>2154821360</v>
      </c>
      <c r="G3098" t="s">
        <v>8316</v>
      </c>
      <c r="H3098" t="s">
        <v>8317</v>
      </c>
      <c r="I3098" t="s">
        <v>33</v>
      </c>
      <c r="J3098">
        <v>19128</v>
      </c>
      <c r="K3098">
        <v>3125</v>
      </c>
      <c r="L3098" t="s">
        <v>23</v>
      </c>
      <c r="M3098" t="s">
        <v>8316</v>
      </c>
      <c r="N3098" t="s">
        <v>8317</v>
      </c>
      <c r="O3098" t="s">
        <v>33</v>
      </c>
      <c r="P3098">
        <v>19128</v>
      </c>
      <c r="Q3098">
        <v>3125</v>
      </c>
      <c r="R3098" t="s">
        <v>23</v>
      </c>
      <c r="S3098" s="1" t="s">
        <v>34218</v>
      </c>
    </row>
    <row r="3099" spans="1:19" x14ac:dyDescent="0.25">
      <c r="A3099">
        <v>101064551</v>
      </c>
      <c r="B3099" t="s">
        <v>8318</v>
      </c>
      <c r="C3099" t="s">
        <v>1487</v>
      </c>
      <c r="F3099" t="str">
        <f>"2082010000"</f>
        <v>2082010000</v>
      </c>
      <c r="G3099" t="s">
        <v>8319</v>
      </c>
      <c r="H3099" t="s">
        <v>6512</v>
      </c>
      <c r="I3099" t="s">
        <v>38</v>
      </c>
      <c r="J3099">
        <v>76262</v>
      </c>
      <c r="K3099">
        <v>5547</v>
      </c>
      <c r="L3099" t="s">
        <v>23</v>
      </c>
      <c r="M3099" t="s">
        <v>8319</v>
      </c>
      <c r="N3099" t="s">
        <v>6512</v>
      </c>
      <c r="O3099" t="s">
        <v>38</v>
      </c>
      <c r="P3099">
        <v>76262</v>
      </c>
      <c r="Q3099">
        <v>5547</v>
      </c>
      <c r="R3099" t="s">
        <v>23</v>
      </c>
      <c r="S3099" s="1" t="s">
        <v>34218</v>
      </c>
    </row>
    <row r="3100" spans="1:19" x14ac:dyDescent="0.25">
      <c r="A3100">
        <v>100651668</v>
      </c>
      <c r="B3100" t="s">
        <v>8320</v>
      </c>
      <c r="C3100" t="s">
        <v>1658</v>
      </c>
      <c r="F3100" t="str">
        <f>"9199248356"</f>
        <v>9199248356</v>
      </c>
      <c r="G3100" t="s">
        <v>8321</v>
      </c>
      <c r="H3100" t="s">
        <v>143</v>
      </c>
      <c r="I3100" t="s">
        <v>2537</v>
      </c>
      <c r="J3100">
        <v>72076</v>
      </c>
      <c r="K3100">
        <v>3959</v>
      </c>
      <c r="L3100" t="s">
        <v>23</v>
      </c>
      <c r="M3100" t="s">
        <v>8321</v>
      </c>
      <c r="N3100" t="s">
        <v>143</v>
      </c>
      <c r="O3100" t="s">
        <v>2537</v>
      </c>
      <c r="P3100">
        <v>72076</v>
      </c>
      <c r="Q3100">
        <v>3959</v>
      </c>
      <c r="R3100" t="s">
        <v>23</v>
      </c>
      <c r="S3100" s="1" t="s">
        <v>34218</v>
      </c>
    </row>
    <row r="3101" spans="1:19" x14ac:dyDescent="0.25">
      <c r="A3101">
        <v>100853857</v>
      </c>
      <c r="B3101" t="s">
        <v>2531</v>
      </c>
      <c r="C3101" t="s">
        <v>8322</v>
      </c>
      <c r="F3101" t="str">
        <f>"6305178773"</f>
        <v>6305178773</v>
      </c>
      <c r="G3101" t="s">
        <v>8323</v>
      </c>
      <c r="H3101" t="s">
        <v>2974</v>
      </c>
      <c r="I3101" t="s">
        <v>135</v>
      </c>
      <c r="J3101">
        <v>60189</v>
      </c>
      <c r="K3101">
        <v>2123</v>
      </c>
      <c r="L3101" t="s">
        <v>23</v>
      </c>
      <c r="M3101" t="s">
        <v>8323</v>
      </c>
      <c r="N3101" t="s">
        <v>2974</v>
      </c>
      <c r="O3101" t="s">
        <v>135</v>
      </c>
      <c r="P3101">
        <v>60189</v>
      </c>
      <c r="Q3101">
        <v>2123</v>
      </c>
      <c r="R3101" t="s">
        <v>23</v>
      </c>
      <c r="S3101" s="1" t="s">
        <v>34218</v>
      </c>
    </row>
    <row r="3102" spans="1:19" x14ac:dyDescent="0.25">
      <c r="A3102">
        <v>100747291</v>
      </c>
      <c r="B3102" t="s">
        <v>8324</v>
      </c>
      <c r="C3102" t="s">
        <v>8325</v>
      </c>
      <c r="F3102" t="str">
        <f>"2103476290"</f>
        <v>2103476290</v>
      </c>
      <c r="G3102" t="s">
        <v>8326</v>
      </c>
      <c r="H3102" t="s">
        <v>2175</v>
      </c>
      <c r="I3102" t="s">
        <v>71</v>
      </c>
      <c r="J3102">
        <v>80110</v>
      </c>
      <c r="K3102">
        <v>3555</v>
      </c>
      <c r="L3102" t="s">
        <v>23</v>
      </c>
      <c r="M3102" t="s">
        <v>8326</v>
      </c>
      <c r="N3102" t="s">
        <v>2175</v>
      </c>
      <c r="O3102" t="s">
        <v>71</v>
      </c>
      <c r="P3102">
        <v>80110</v>
      </c>
      <c r="Q3102">
        <v>3555</v>
      </c>
      <c r="R3102" t="s">
        <v>23</v>
      </c>
      <c r="S3102" s="1" t="s">
        <v>34218</v>
      </c>
    </row>
    <row r="3103" spans="1:19" x14ac:dyDescent="0.25">
      <c r="A3103">
        <v>101162717</v>
      </c>
      <c r="B3103" t="s">
        <v>8327</v>
      </c>
      <c r="C3103" t="s">
        <v>582</v>
      </c>
      <c r="F3103" t="str">
        <f>"2034885464"</f>
        <v>2034885464</v>
      </c>
      <c r="G3103" t="s">
        <v>8328</v>
      </c>
      <c r="H3103" t="s">
        <v>5688</v>
      </c>
      <c r="I3103" t="s">
        <v>161</v>
      </c>
      <c r="J3103">
        <v>6405</v>
      </c>
      <c r="K3103">
        <v>5426</v>
      </c>
      <c r="L3103" t="s">
        <v>23</v>
      </c>
      <c r="M3103" t="s">
        <v>8328</v>
      </c>
      <c r="N3103" t="s">
        <v>5688</v>
      </c>
      <c r="O3103" t="s">
        <v>161</v>
      </c>
      <c r="P3103">
        <v>6405</v>
      </c>
      <c r="Q3103">
        <v>5426</v>
      </c>
      <c r="R3103" t="s">
        <v>23</v>
      </c>
      <c r="S3103" s="1" t="s">
        <v>34218</v>
      </c>
    </row>
    <row r="3104" spans="1:19" x14ac:dyDescent="0.25">
      <c r="A3104">
        <v>101053879</v>
      </c>
      <c r="B3104" t="s">
        <v>8329</v>
      </c>
      <c r="C3104" t="s">
        <v>613</v>
      </c>
      <c r="F3104" t="str">
        <f>"5414797516"</f>
        <v>5414797516</v>
      </c>
      <c r="G3104" t="s">
        <v>8330</v>
      </c>
      <c r="H3104" t="s">
        <v>458</v>
      </c>
      <c r="I3104" t="s">
        <v>43</v>
      </c>
      <c r="J3104">
        <v>97527</v>
      </c>
      <c r="K3104">
        <v>9535</v>
      </c>
      <c r="L3104" t="s">
        <v>23</v>
      </c>
      <c r="M3104" t="s">
        <v>8330</v>
      </c>
      <c r="N3104" t="s">
        <v>458</v>
      </c>
      <c r="O3104" t="s">
        <v>43</v>
      </c>
      <c r="P3104">
        <v>97527</v>
      </c>
      <c r="Q3104">
        <v>9535</v>
      </c>
      <c r="R3104" t="s">
        <v>23</v>
      </c>
      <c r="S3104" s="1" t="s">
        <v>34218</v>
      </c>
    </row>
    <row r="3105" spans="1:19" x14ac:dyDescent="0.25">
      <c r="A3105">
        <v>101069250</v>
      </c>
      <c r="B3105" t="s">
        <v>8331</v>
      </c>
      <c r="C3105" t="s">
        <v>286</v>
      </c>
      <c r="F3105" t="str">
        <f>"2159979628"</f>
        <v>2159979628</v>
      </c>
      <c r="G3105" t="s">
        <v>8332</v>
      </c>
      <c r="H3105" t="s">
        <v>8333</v>
      </c>
      <c r="I3105" t="s">
        <v>33</v>
      </c>
      <c r="J3105">
        <v>18914</v>
      </c>
      <c r="K3105">
        <v>3102</v>
      </c>
      <c r="L3105" t="s">
        <v>23</v>
      </c>
      <c r="M3105" t="s">
        <v>8332</v>
      </c>
      <c r="N3105" t="s">
        <v>8333</v>
      </c>
      <c r="O3105" t="s">
        <v>33</v>
      </c>
      <c r="P3105">
        <v>18914</v>
      </c>
      <c r="Q3105">
        <v>3102</v>
      </c>
      <c r="R3105" t="s">
        <v>23</v>
      </c>
      <c r="S3105" s="1" t="s">
        <v>34218</v>
      </c>
    </row>
    <row r="3106" spans="1:19" x14ac:dyDescent="0.25">
      <c r="A3106">
        <v>101282746</v>
      </c>
      <c r="B3106" t="s">
        <v>8334</v>
      </c>
      <c r="C3106" t="s">
        <v>4722</v>
      </c>
      <c r="F3106" t="str">
        <f>"8142388293"</f>
        <v>8142388293</v>
      </c>
      <c r="G3106" t="s">
        <v>8335</v>
      </c>
      <c r="H3106" t="s">
        <v>5675</v>
      </c>
      <c r="I3106" t="s">
        <v>33</v>
      </c>
      <c r="J3106">
        <v>16803</v>
      </c>
      <c r="K3106">
        <v>2837</v>
      </c>
      <c r="L3106" t="s">
        <v>23</v>
      </c>
      <c r="M3106" t="s">
        <v>8335</v>
      </c>
      <c r="N3106" t="s">
        <v>5675</v>
      </c>
      <c r="O3106" t="s">
        <v>33</v>
      </c>
      <c r="P3106">
        <v>16803</v>
      </c>
      <c r="Q3106">
        <v>2837</v>
      </c>
      <c r="R3106" t="s">
        <v>23</v>
      </c>
      <c r="S3106" s="1" t="s">
        <v>34218</v>
      </c>
    </row>
    <row r="3107" spans="1:19" x14ac:dyDescent="0.25">
      <c r="A3107">
        <v>101290560</v>
      </c>
      <c r="B3107" t="s">
        <v>8336</v>
      </c>
      <c r="C3107" t="s">
        <v>114</v>
      </c>
      <c r="F3107" t="str">
        <f>"5096826226"</f>
        <v>5096826226</v>
      </c>
      <c r="G3107" t="s">
        <v>8337</v>
      </c>
      <c r="H3107" t="s">
        <v>8338</v>
      </c>
      <c r="I3107" t="s">
        <v>84</v>
      </c>
      <c r="J3107">
        <v>98816</v>
      </c>
      <c r="K3107">
        <v>9558</v>
      </c>
      <c r="L3107" t="s">
        <v>23</v>
      </c>
      <c r="M3107" t="s">
        <v>8337</v>
      </c>
      <c r="N3107" t="s">
        <v>8338</v>
      </c>
      <c r="O3107" t="s">
        <v>84</v>
      </c>
      <c r="P3107">
        <v>98816</v>
      </c>
      <c r="Q3107">
        <v>9558</v>
      </c>
      <c r="R3107" t="s">
        <v>23</v>
      </c>
      <c r="S3107" s="1" t="s">
        <v>34218</v>
      </c>
    </row>
    <row r="3108" spans="1:19" x14ac:dyDescent="0.25">
      <c r="A3108">
        <v>101092695</v>
      </c>
      <c r="B3108" t="s">
        <v>8339</v>
      </c>
      <c r="C3108" t="s">
        <v>2518</v>
      </c>
      <c r="F3108" t="str">
        <f>"8129459591"</f>
        <v>8129459591</v>
      </c>
      <c r="G3108" t="s">
        <v>8340</v>
      </c>
      <c r="H3108" t="s">
        <v>805</v>
      </c>
      <c r="I3108" t="s">
        <v>57</v>
      </c>
      <c r="J3108">
        <v>47150</v>
      </c>
      <c r="K3108">
        <v>2593</v>
      </c>
      <c r="L3108" t="s">
        <v>23</v>
      </c>
      <c r="M3108" t="s">
        <v>8340</v>
      </c>
      <c r="N3108" t="s">
        <v>805</v>
      </c>
      <c r="O3108" t="s">
        <v>57</v>
      </c>
      <c r="P3108">
        <v>47150</v>
      </c>
      <c r="Q3108">
        <v>2593</v>
      </c>
      <c r="R3108" t="s">
        <v>23</v>
      </c>
      <c r="S3108" s="1" t="s">
        <v>34218</v>
      </c>
    </row>
    <row r="3109" spans="1:19" x14ac:dyDescent="0.25">
      <c r="A3109">
        <v>101303109</v>
      </c>
      <c r="B3109" t="s">
        <v>8341</v>
      </c>
      <c r="C3109" t="s">
        <v>2232</v>
      </c>
      <c r="F3109" t="str">
        <f>"9258124402"</f>
        <v>9258124402</v>
      </c>
      <c r="G3109" t="s">
        <v>8342</v>
      </c>
      <c r="H3109" t="s">
        <v>858</v>
      </c>
      <c r="I3109" t="s">
        <v>22</v>
      </c>
      <c r="J3109">
        <v>94553</v>
      </c>
      <c r="K3109">
        <v>4212</v>
      </c>
      <c r="L3109" t="s">
        <v>23</v>
      </c>
      <c r="M3109" t="s">
        <v>8342</v>
      </c>
      <c r="N3109" t="s">
        <v>858</v>
      </c>
      <c r="O3109" t="s">
        <v>22</v>
      </c>
      <c r="P3109">
        <v>94553</v>
      </c>
      <c r="Q3109">
        <v>4212</v>
      </c>
      <c r="R3109" t="s">
        <v>23</v>
      </c>
      <c r="S3109" s="1" t="s">
        <v>34218</v>
      </c>
    </row>
    <row r="3110" spans="1:19" x14ac:dyDescent="0.25">
      <c r="A3110">
        <v>100918164</v>
      </c>
      <c r="B3110" t="s">
        <v>8343</v>
      </c>
      <c r="C3110" t="s">
        <v>40</v>
      </c>
      <c r="F3110" t="str">
        <f>"4018239031"</f>
        <v>4018239031</v>
      </c>
      <c r="G3110" t="s">
        <v>8344</v>
      </c>
      <c r="H3110" t="s">
        <v>3987</v>
      </c>
      <c r="I3110" t="s">
        <v>662</v>
      </c>
      <c r="J3110">
        <v>2893</v>
      </c>
      <c r="L3110" t="s">
        <v>23</v>
      </c>
      <c r="M3110" t="s">
        <v>8344</v>
      </c>
      <c r="N3110" t="s">
        <v>3987</v>
      </c>
      <c r="O3110" t="s">
        <v>662</v>
      </c>
      <c r="P3110">
        <v>2893</v>
      </c>
      <c r="R3110" t="s">
        <v>23</v>
      </c>
      <c r="S3110" s="1" t="s">
        <v>34218</v>
      </c>
    </row>
    <row r="3111" spans="1:19" x14ac:dyDescent="0.25">
      <c r="A3111">
        <v>100751557</v>
      </c>
      <c r="B3111" t="s">
        <v>4212</v>
      </c>
      <c r="C3111" t="s">
        <v>102</v>
      </c>
      <c r="F3111" t="str">
        <f>"3158265634"</f>
        <v>3158265634</v>
      </c>
      <c r="G3111" t="s">
        <v>8345</v>
      </c>
      <c r="H3111" t="s">
        <v>8346</v>
      </c>
      <c r="I3111" t="s">
        <v>117</v>
      </c>
      <c r="J3111">
        <v>13324</v>
      </c>
      <c r="K3111">
        <v>2908</v>
      </c>
      <c r="L3111" t="s">
        <v>23</v>
      </c>
      <c r="M3111" t="s">
        <v>8345</v>
      </c>
      <c r="N3111" t="s">
        <v>8346</v>
      </c>
      <c r="O3111" t="s">
        <v>117</v>
      </c>
      <c r="P3111">
        <v>13324</v>
      </c>
      <c r="Q3111">
        <v>2908</v>
      </c>
      <c r="R3111" t="s">
        <v>23</v>
      </c>
      <c r="S3111" s="1" t="s">
        <v>34218</v>
      </c>
    </row>
    <row r="3112" spans="1:19" x14ac:dyDescent="0.25">
      <c r="A3112">
        <v>100761232</v>
      </c>
      <c r="B3112" t="s">
        <v>8347</v>
      </c>
      <c r="C3112" t="s">
        <v>3618</v>
      </c>
      <c r="F3112" t="str">
        <f>"6464572997"</f>
        <v>6464572997</v>
      </c>
      <c r="G3112" t="s">
        <v>8348</v>
      </c>
      <c r="H3112" t="s">
        <v>8349</v>
      </c>
      <c r="I3112" t="s">
        <v>33</v>
      </c>
      <c r="J3112">
        <v>18938</v>
      </c>
      <c r="K3112">
        <v>2243</v>
      </c>
      <c r="L3112" t="s">
        <v>23</v>
      </c>
      <c r="M3112" t="s">
        <v>8348</v>
      </c>
      <c r="N3112" t="s">
        <v>8349</v>
      </c>
      <c r="O3112" t="s">
        <v>33</v>
      </c>
      <c r="P3112">
        <v>18938</v>
      </c>
      <c r="Q3112">
        <v>2243</v>
      </c>
      <c r="R3112" t="s">
        <v>23</v>
      </c>
      <c r="S3112" s="1" t="s">
        <v>34218</v>
      </c>
    </row>
    <row r="3113" spans="1:19" x14ac:dyDescent="0.25">
      <c r="A3113">
        <v>100570640</v>
      </c>
      <c r="B3113" t="s">
        <v>2637</v>
      </c>
      <c r="C3113" t="s">
        <v>172</v>
      </c>
      <c r="F3113" t="str">
        <f>"3308341704"</f>
        <v>3308341704</v>
      </c>
      <c r="G3113" t="s">
        <v>4647</v>
      </c>
      <c r="H3113" t="s">
        <v>4648</v>
      </c>
      <c r="I3113" t="s">
        <v>178</v>
      </c>
      <c r="J3113">
        <v>44647</v>
      </c>
      <c r="K3113">
        <v>6123</v>
      </c>
      <c r="L3113" t="s">
        <v>23</v>
      </c>
      <c r="M3113" t="s">
        <v>4647</v>
      </c>
      <c r="N3113" t="s">
        <v>4648</v>
      </c>
      <c r="O3113" t="s">
        <v>178</v>
      </c>
      <c r="P3113">
        <v>44647</v>
      </c>
      <c r="Q3113">
        <v>6123</v>
      </c>
      <c r="R3113" t="s">
        <v>23</v>
      </c>
      <c r="S3113" s="1" t="s">
        <v>34218</v>
      </c>
    </row>
    <row r="3114" spans="1:19" x14ac:dyDescent="0.25">
      <c r="A3114">
        <v>100569275</v>
      </c>
      <c r="B3114" t="s">
        <v>6788</v>
      </c>
      <c r="C3114" t="s">
        <v>1179</v>
      </c>
      <c r="F3114" t="str">
        <f>"5857039551"</f>
        <v>5857039551</v>
      </c>
      <c r="G3114" t="s">
        <v>8350</v>
      </c>
      <c r="H3114" t="s">
        <v>688</v>
      </c>
      <c r="I3114" t="s">
        <v>117</v>
      </c>
      <c r="J3114">
        <v>14610</v>
      </c>
      <c r="K3114">
        <v>1017</v>
      </c>
      <c r="L3114" t="s">
        <v>23</v>
      </c>
      <c r="M3114" t="s">
        <v>8350</v>
      </c>
      <c r="N3114" t="s">
        <v>688</v>
      </c>
      <c r="O3114" t="s">
        <v>117</v>
      </c>
      <c r="P3114">
        <v>14610</v>
      </c>
      <c r="Q3114">
        <v>1017</v>
      </c>
      <c r="R3114" t="s">
        <v>23</v>
      </c>
      <c r="S3114" s="1" t="s">
        <v>34218</v>
      </c>
    </row>
    <row r="3115" spans="1:19" x14ac:dyDescent="0.25">
      <c r="A3115">
        <v>100575516</v>
      </c>
      <c r="B3115" t="s">
        <v>8351</v>
      </c>
      <c r="C3115" t="s">
        <v>8352</v>
      </c>
      <c r="F3115" t="str">
        <f>"6613992383"</f>
        <v>6613992383</v>
      </c>
      <c r="G3115" t="s">
        <v>8353</v>
      </c>
      <c r="H3115" t="s">
        <v>1400</v>
      </c>
      <c r="I3115" t="s">
        <v>22</v>
      </c>
      <c r="J3115">
        <v>93314</v>
      </c>
      <c r="K3115">
        <v>9641</v>
      </c>
      <c r="L3115" t="s">
        <v>23</v>
      </c>
      <c r="M3115" t="s">
        <v>8353</v>
      </c>
      <c r="N3115" t="s">
        <v>1400</v>
      </c>
      <c r="O3115" t="s">
        <v>22</v>
      </c>
      <c r="P3115">
        <v>93314</v>
      </c>
      <c r="Q3115">
        <v>9641</v>
      </c>
      <c r="R3115" t="s">
        <v>23</v>
      </c>
      <c r="S3115" s="1" t="s">
        <v>34218</v>
      </c>
    </row>
    <row r="3116" spans="1:19" x14ac:dyDescent="0.25">
      <c r="A3116">
        <v>100572600</v>
      </c>
      <c r="B3116" t="s">
        <v>8354</v>
      </c>
      <c r="C3116" t="s">
        <v>644</v>
      </c>
      <c r="F3116" t="str">
        <f>"6153834061"</f>
        <v>6153834061</v>
      </c>
      <c r="G3116" t="s">
        <v>8355</v>
      </c>
      <c r="H3116" t="s">
        <v>913</v>
      </c>
      <c r="I3116" t="s">
        <v>914</v>
      </c>
      <c r="J3116">
        <v>37215</v>
      </c>
      <c r="K3116">
        <v>1511</v>
      </c>
      <c r="L3116" t="s">
        <v>23</v>
      </c>
      <c r="M3116" t="s">
        <v>8355</v>
      </c>
      <c r="N3116" t="s">
        <v>913</v>
      </c>
      <c r="O3116" t="s">
        <v>914</v>
      </c>
      <c r="P3116">
        <v>37215</v>
      </c>
      <c r="Q3116">
        <v>1511</v>
      </c>
      <c r="R3116" t="s">
        <v>23</v>
      </c>
      <c r="S3116" s="1" t="s">
        <v>34218</v>
      </c>
    </row>
    <row r="3117" spans="1:19" x14ac:dyDescent="0.25">
      <c r="A3117">
        <v>100765135</v>
      </c>
      <c r="B3117" t="s">
        <v>7147</v>
      </c>
      <c r="C3117" t="s">
        <v>2802</v>
      </c>
      <c r="F3117" t="str">
        <f>"3013303063"</f>
        <v>3013303063</v>
      </c>
      <c r="G3117" t="s">
        <v>8356</v>
      </c>
      <c r="H3117" t="s">
        <v>4859</v>
      </c>
      <c r="I3117" t="s">
        <v>148</v>
      </c>
      <c r="J3117">
        <v>20879</v>
      </c>
      <c r="K3117">
        <v>1754</v>
      </c>
      <c r="L3117" t="s">
        <v>23</v>
      </c>
      <c r="M3117" t="s">
        <v>8356</v>
      </c>
      <c r="N3117" t="s">
        <v>4859</v>
      </c>
      <c r="O3117" t="s">
        <v>148</v>
      </c>
      <c r="P3117">
        <v>20879</v>
      </c>
      <c r="Q3117">
        <v>1754</v>
      </c>
      <c r="R3117" t="s">
        <v>23</v>
      </c>
      <c r="S3117" s="1" t="s">
        <v>34218</v>
      </c>
    </row>
    <row r="3118" spans="1:19" x14ac:dyDescent="0.25">
      <c r="A3118">
        <v>100763333</v>
      </c>
      <c r="B3118" t="s">
        <v>980</v>
      </c>
      <c r="C3118" t="s">
        <v>1153</v>
      </c>
      <c r="F3118" t="str">
        <f>"3035064728"</f>
        <v>3035064728</v>
      </c>
      <c r="G3118" t="s">
        <v>8357</v>
      </c>
      <c r="H3118" t="s">
        <v>423</v>
      </c>
      <c r="I3118" t="s">
        <v>71</v>
      </c>
      <c r="J3118">
        <v>80304</v>
      </c>
      <c r="K3118">
        <v>666</v>
      </c>
      <c r="L3118" t="s">
        <v>23</v>
      </c>
      <c r="M3118" t="s">
        <v>8357</v>
      </c>
      <c r="N3118" t="s">
        <v>423</v>
      </c>
      <c r="O3118" t="s">
        <v>71</v>
      </c>
      <c r="P3118">
        <v>80304</v>
      </c>
      <c r="Q3118">
        <v>666</v>
      </c>
      <c r="R3118" t="s">
        <v>23</v>
      </c>
      <c r="S3118" s="1" t="s">
        <v>34218</v>
      </c>
    </row>
    <row r="3119" spans="1:19" x14ac:dyDescent="0.25">
      <c r="A3119">
        <v>100625211</v>
      </c>
      <c r="B3119" t="s">
        <v>3517</v>
      </c>
      <c r="C3119" t="s">
        <v>432</v>
      </c>
      <c r="F3119" t="str">
        <f>"7813373678"</f>
        <v>7813373678</v>
      </c>
      <c r="G3119" t="s">
        <v>8358</v>
      </c>
      <c r="H3119" t="s">
        <v>8359</v>
      </c>
      <c r="I3119" t="s">
        <v>236</v>
      </c>
      <c r="J3119">
        <v>2189</v>
      </c>
      <c r="K3119">
        <v>2545</v>
      </c>
      <c r="L3119" t="s">
        <v>23</v>
      </c>
      <c r="M3119" t="s">
        <v>8358</v>
      </c>
      <c r="N3119" t="s">
        <v>8359</v>
      </c>
      <c r="O3119" t="s">
        <v>236</v>
      </c>
      <c r="P3119">
        <v>2189</v>
      </c>
      <c r="Q3119">
        <v>2545</v>
      </c>
      <c r="R3119" t="s">
        <v>23</v>
      </c>
      <c r="S3119" s="1" t="s">
        <v>34218</v>
      </c>
    </row>
    <row r="3120" spans="1:19" x14ac:dyDescent="0.25">
      <c r="A3120">
        <v>100625236</v>
      </c>
      <c r="B3120" t="s">
        <v>8360</v>
      </c>
      <c r="C3120" t="s">
        <v>2127</v>
      </c>
      <c r="F3120" t="str">
        <f>"6103282312"</f>
        <v>6103282312</v>
      </c>
      <c r="G3120" t="s">
        <v>8361</v>
      </c>
      <c r="H3120" t="s">
        <v>746</v>
      </c>
      <c r="I3120" t="s">
        <v>33</v>
      </c>
      <c r="J3120">
        <v>19064</v>
      </c>
      <c r="K3120">
        <v>1627</v>
      </c>
      <c r="L3120" t="s">
        <v>23</v>
      </c>
      <c r="M3120" t="s">
        <v>8361</v>
      </c>
      <c r="N3120" t="s">
        <v>746</v>
      </c>
      <c r="O3120" t="s">
        <v>33</v>
      </c>
      <c r="P3120">
        <v>19064</v>
      </c>
      <c r="Q3120">
        <v>1627</v>
      </c>
      <c r="R3120" t="s">
        <v>23</v>
      </c>
      <c r="S3120" s="1" t="s">
        <v>34218</v>
      </c>
    </row>
    <row r="3121" spans="1:19" x14ac:dyDescent="0.25">
      <c r="A3121">
        <v>100819879</v>
      </c>
      <c r="B3121" t="s">
        <v>8362</v>
      </c>
      <c r="C3121" t="s">
        <v>274</v>
      </c>
      <c r="F3121" t="str">
        <f>"7724655107"</f>
        <v>7724655107</v>
      </c>
      <c r="G3121" t="s">
        <v>8363</v>
      </c>
      <c r="H3121" t="s">
        <v>872</v>
      </c>
      <c r="I3121" t="s">
        <v>52</v>
      </c>
      <c r="J3121">
        <v>34945</v>
      </c>
      <c r="K3121">
        <v>2534</v>
      </c>
      <c r="L3121" t="s">
        <v>23</v>
      </c>
      <c r="M3121" t="s">
        <v>8363</v>
      </c>
      <c r="N3121" t="s">
        <v>872</v>
      </c>
      <c r="O3121" t="s">
        <v>52</v>
      </c>
      <c r="P3121">
        <v>34945</v>
      </c>
      <c r="Q3121">
        <v>2534</v>
      </c>
      <c r="R3121" t="s">
        <v>23</v>
      </c>
      <c r="S3121" s="1" t="s">
        <v>34218</v>
      </c>
    </row>
    <row r="3122" spans="1:19" x14ac:dyDescent="0.25">
      <c r="A3122">
        <v>100638454</v>
      </c>
      <c r="B3122" t="s">
        <v>105</v>
      </c>
      <c r="C3122" t="s">
        <v>274</v>
      </c>
      <c r="F3122" t="str">
        <f>"5172506077"</f>
        <v>5172506077</v>
      </c>
      <c r="G3122" t="s">
        <v>8364</v>
      </c>
      <c r="H3122" t="s">
        <v>303</v>
      </c>
      <c r="I3122" t="s">
        <v>140</v>
      </c>
      <c r="J3122">
        <v>49203</v>
      </c>
      <c r="K3122">
        <v>4635</v>
      </c>
      <c r="L3122" t="s">
        <v>23</v>
      </c>
      <c r="M3122" t="s">
        <v>8364</v>
      </c>
      <c r="N3122" t="s">
        <v>303</v>
      </c>
      <c r="O3122" t="s">
        <v>140</v>
      </c>
      <c r="P3122">
        <v>49203</v>
      </c>
      <c r="Q3122">
        <v>4635</v>
      </c>
      <c r="R3122" t="s">
        <v>23</v>
      </c>
      <c r="S3122" s="1" t="s">
        <v>34218</v>
      </c>
    </row>
    <row r="3123" spans="1:19" x14ac:dyDescent="0.25">
      <c r="A3123">
        <v>100654981</v>
      </c>
      <c r="B3123" t="s">
        <v>4363</v>
      </c>
      <c r="C3123" t="s">
        <v>1043</v>
      </c>
      <c r="F3123" t="str">
        <f>"9738874498"</f>
        <v>9738874498</v>
      </c>
      <c r="G3123" t="s">
        <v>8365</v>
      </c>
      <c r="H3123" t="s">
        <v>8366</v>
      </c>
      <c r="I3123" t="s">
        <v>250</v>
      </c>
      <c r="J3123">
        <v>7054</v>
      </c>
      <c r="K3123">
        <v>4020</v>
      </c>
      <c r="L3123" t="s">
        <v>23</v>
      </c>
      <c r="M3123" t="s">
        <v>8365</v>
      </c>
      <c r="N3123" t="s">
        <v>8366</v>
      </c>
      <c r="O3123" t="s">
        <v>250</v>
      </c>
      <c r="P3123">
        <v>7054</v>
      </c>
      <c r="Q3123">
        <v>4020</v>
      </c>
      <c r="R3123" t="s">
        <v>23</v>
      </c>
      <c r="S3123" s="1" t="s">
        <v>34218</v>
      </c>
    </row>
    <row r="3124" spans="1:19" x14ac:dyDescent="0.25">
      <c r="A3124">
        <v>100654965</v>
      </c>
      <c r="B3124" t="s">
        <v>8367</v>
      </c>
      <c r="C3124" t="s">
        <v>8368</v>
      </c>
      <c r="F3124" t="str">
        <f>"3122032164"</f>
        <v>3122032164</v>
      </c>
      <c r="G3124" t="s">
        <v>8369</v>
      </c>
      <c r="H3124" t="s">
        <v>134</v>
      </c>
      <c r="I3124" t="s">
        <v>135</v>
      </c>
      <c r="J3124">
        <v>60615</v>
      </c>
      <c r="K3124">
        <v>1921</v>
      </c>
      <c r="L3124" t="s">
        <v>23</v>
      </c>
      <c r="M3124" t="s">
        <v>8369</v>
      </c>
      <c r="N3124" t="s">
        <v>134</v>
      </c>
      <c r="O3124" t="s">
        <v>135</v>
      </c>
      <c r="P3124">
        <v>60615</v>
      </c>
      <c r="Q3124">
        <v>1921</v>
      </c>
      <c r="R3124" t="s">
        <v>23</v>
      </c>
      <c r="S3124" s="1" t="s">
        <v>34218</v>
      </c>
    </row>
    <row r="3125" spans="1:19" x14ac:dyDescent="0.25">
      <c r="A3125">
        <v>100602564</v>
      </c>
      <c r="B3125" t="s">
        <v>654</v>
      </c>
      <c r="C3125" t="s">
        <v>4140</v>
      </c>
      <c r="F3125" t="str">
        <f>"6192990923"</f>
        <v>6192990923</v>
      </c>
      <c r="G3125" t="s">
        <v>8370</v>
      </c>
      <c r="H3125" t="s">
        <v>198</v>
      </c>
      <c r="I3125" t="s">
        <v>22</v>
      </c>
      <c r="J3125">
        <v>92103</v>
      </c>
      <c r="K3125">
        <v>3710</v>
      </c>
      <c r="L3125" t="s">
        <v>23</v>
      </c>
      <c r="M3125" t="s">
        <v>8370</v>
      </c>
      <c r="N3125" t="s">
        <v>198</v>
      </c>
      <c r="O3125" t="s">
        <v>22</v>
      </c>
      <c r="P3125">
        <v>92103</v>
      </c>
      <c r="Q3125">
        <v>3710</v>
      </c>
      <c r="R3125" t="s">
        <v>23</v>
      </c>
      <c r="S3125" s="1" t="s">
        <v>34218</v>
      </c>
    </row>
    <row r="3126" spans="1:19" x14ac:dyDescent="0.25">
      <c r="A3126">
        <v>101019191</v>
      </c>
      <c r="B3126" t="s">
        <v>8371</v>
      </c>
      <c r="C3126" t="s">
        <v>367</v>
      </c>
      <c r="F3126" t="str">
        <f>"2017229304"</f>
        <v>2017229304</v>
      </c>
      <c r="G3126" t="s">
        <v>8372</v>
      </c>
      <c r="H3126" t="s">
        <v>3776</v>
      </c>
      <c r="I3126" t="s">
        <v>250</v>
      </c>
      <c r="J3126">
        <v>7642</v>
      </c>
      <c r="K3126">
        <v>1040</v>
      </c>
      <c r="L3126" t="s">
        <v>23</v>
      </c>
      <c r="M3126" t="s">
        <v>8372</v>
      </c>
      <c r="N3126" t="s">
        <v>3776</v>
      </c>
      <c r="O3126" t="s">
        <v>250</v>
      </c>
      <c r="P3126">
        <v>7642</v>
      </c>
      <c r="Q3126">
        <v>1040</v>
      </c>
      <c r="R3126" t="s">
        <v>23</v>
      </c>
      <c r="S3126" s="1" t="s">
        <v>34218</v>
      </c>
    </row>
    <row r="3127" spans="1:19" x14ac:dyDescent="0.25">
      <c r="A3127">
        <v>101024105</v>
      </c>
      <c r="B3127" t="s">
        <v>8373</v>
      </c>
      <c r="C3127" t="s">
        <v>8374</v>
      </c>
      <c r="F3127" t="str">
        <f>"3344883413"</f>
        <v>3344883413</v>
      </c>
      <c r="G3127" t="s">
        <v>8375</v>
      </c>
      <c r="H3127" t="s">
        <v>8376</v>
      </c>
      <c r="I3127" t="s">
        <v>1387</v>
      </c>
      <c r="J3127">
        <v>36467</v>
      </c>
      <c r="K3127">
        <v>1346</v>
      </c>
      <c r="L3127" t="s">
        <v>23</v>
      </c>
      <c r="M3127" t="s">
        <v>8375</v>
      </c>
      <c r="N3127" t="s">
        <v>8376</v>
      </c>
      <c r="O3127" t="s">
        <v>1387</v>
      </c>
      <c r="P3127">
        <v>36467</v>
      </c>
      <c r="Q3127">
        <v>1346</v>
      </c>
      <c r="R3127" t="s">
        <v>23</v>
      </c>
      <c r="S3127" s="1" t="s">
        <v>34218</v>
      </c>
    </row>
    <row r="3128" spans="1:19" x14ac:dyDescent="0.25">
      <c r="A3128">
        <v>100879120</v>
      </c>
      <c r="B3128" t="s">
        <v>8377</v>
      </c>
      <c r="C3128" t="s">
        <v>7358</v>
      </c>
      <c r="F3128" t="str">
        <f>"6465059263"</f>
        <v>6465059263</v>
      </c>
      <c r="G3128" t="s">
        <v>8378</v>
      </c>
      <c r="H3128" t="s">
        <v>653</v>
      </c>
      <c r="I3128" t="s">
        <v>117</v>
      </c>
      <c r="J3128">
        <v>10040</v>
      </c>
      <c r="K3128">
        <v>2720</v>
      </c>
      <c r="L3128" t="s">
        <v>23</v>
      </c>
      <c r="M3128" t="s">
        <v>8378</v>
      </c>
      <c r="N3128" t="s">
        <v>653</v>
      </c>
      <c r="O3128" t="s">
        <v>117</v>
      </c>
      <c r="P3128">
        <v>10040</v>
      </c>
      <c r="Q3128">
        <v>2720</v>
      </c>
      <c r="R3128" t="s">
        <v>23</v>
      </c>
      <c r="S3128" s="1" t="s">
        <v>34218</v>
      </c>
    </row>
    <row r="3129" spans="1:19" x14ac:dyDescent="0.25">
      <c r="A3129">
        <v>100887843</v>
      </c>
      <c r="B3129" t="s">
        <v>8379</v>
      </c>
      <c r="C3129" t="s">
        <v>1873</v>
      </c>
      <c r="F3129" t="str">
        <f>"5308930869"</f>
        <v>5308930869</v>
      </c>
      <c r="G3129" t="s">
        <v>8380</v>
      </c>
      <c r="H3129" t="s">
        <v>121</v>
      </c>
      <c r="I3129" t="s">
        <v>22</v>
      </c>
      <c r="J3129">
        <v>95926</v>
      </c>
      <c r="K3129">
        <v>4522</v>
      </c>
      <c r="L3129" t="s">
        <v>23</v>
      </c>
      <c r="M3129" t="s">
        <v>8380</v>
      </c>
      <c r="N3129" t="s">
        <v>121</v>
      </c>
      <c r="O3129" t="s">
        <v>22</v>
      </c>
      <c r="P3129">
        <v>95926</v>
      </c>
      <c r="Q3129">
        <v>4522</v>
      </c>
      <c r="R3129" t="s">
        <v>23</v>
      </c>
      <c r="S3129" s="1" t="s">
        <v>34218</v>
      </c>
    </row>
    <row r="3130" spans="1:19" x14ac:dyDescent="0.25">
      <c r="A3130">
        <v>101044644</v>
      </c>
      <c r="B3130" t="s">
        <v>8381</v>
      </c>
      <c r="C3130" t="s">
        <v>718</v>
      </c>
      <c r="F3130" t="str">
        <f>"5166550502"</f>
        <v>5166550502</v>
      </c>
      <c r="G3130" t="s">
        <v>8382</v>
      </c>
      <c r="H3130" t="s">
        <v>8383</v>
      </c>
      <c r="I3130" t="s">
        <v>117</v>
      </c>
      <c r="J3130">
        <v>11598</v>
      </c>
      <c r="K3130">
        <v>2819</v>
      </c>
      <c r="L3130" t="s">
        <v>23</v>
      </c>
      <c r="M3130" t="s">
        <v>8382</v>
      </c>
      <c r="N3130" t="s">
        <v>8383</v>
      </c>
      <c r="O3130" t="s">
        <v>117</v>
      </c>
      <c r="P3130">
        <v>11598</v>
      </c>
      <c r="Q3130">
        <v>2819</v>
      </c>
      <c r="R3130" t="s">
        <v>23</v>
      </c>
      <c r="S3130" s="1" t="s">
        <v>34218</v>
      </c>
    </row>
    <row r="3131" spans="1:19" x14ac:dyDescent="0.25">
      <c r="A3131">
        <v>100723816</v>
      </c>
      <c r="B3131" t="s">
        <v>626</v>
      </c>
      <c r="C3131" t="s">
        <v>8384</v>
      </c>
      <c r="F3131" t="str">
        <f>"5623215614"</f>
        <v>5623215614</v>
      </c>
      <c r="G3131" t="s">
        <v>8385</v>
      </c>
      <c r="H3131" t="s">
        <v>8386</v>
      </c>
      <c r="I3131" t="s">
        <v>22</v>
      </c>
      <c r="J3131">
        <v>90706</v>
      </c>
      <c r="K3131">
        <v>5820</v>
      </c>
      <c r="L3131" t="s">
        <v>23</v>
      </c>
      <c r="M3131" t="s">
        <v>8385</v>
      </c>
      <c r="N3131" t="s">
        <v>8386</v>
      </c>
      <c r="O3131" t="s">
        <v>22</v>
      </c>
      <c r="P3131">
        <v>90706</v>
      </c>
      <c r="Q3131">
        <v>5820</v>
      </c>
      <c r="R3131" t="s">
        <v>23</v>
      </c>
      <c r="S3131" s="1" t="s">
        <v>34218</v>
      </c>
    </row>
    <row r="3132" spans="1:19" x14ac:dyDescent="0.25">
      <c r="A3132">
        <v>100927175</v>
      </c>
      <c r="B3132" t="s">
        <v>8387</v>
      </c>
      <c r="C3132" t="s">
        <v>8388</v>
      </c>
      <c r="F3132" t="str">
        <f>"5109650734"</f>
        <v>5109650734</v>
      </c>
      <c r="G3132" t="s">
        <v>8389</v>
      </c>
      <c r="H3132" t="s">
        <v>3466</v>
      </c>
      <c r="I3132" t="s">
        <v>22</v>
      </c>
      <c r="J3132">
        <v>94801</v>
      </c>
      <c r="K3132">
        <v>3236</v>
      </c>
      <c r="L3132" t="s">
        <v>23</v>
      </c>
      <c r="M3132" t="s">
        <v>8389</v>
      </c>
      <c r="N3132" t="s">
        <v>3466</v>
      </c>
      <c r="O3132" t="s">
        <v>22</v>
      </c>
      <c r="P3132">
        <v>94801</v>
      </c>
      <c r="Q3132">
        <v>3236</v>
      </c>
      <c r="R3132" t="s">
        <v>23</v>
      </c>
      <c r="S3132" s="1" t="s">
        <v>34218</v>
      </c>
    </row>
    <row r="3133" spans="1:19" x14ac:dyDescent="0.25">
      <c r="A3133">
        <v>101304216</v>
      </c>
      <c r="B3133" t="s">
        <v>141</v>
      </c>
      <c r="C3133" t="s">
        <v>1555</v>
      </c>
      <c r="F3133" t="str">
        <f>"8138314016"</f>
        <v>8138314016</v>
      </c>
      <c r="G3133" t="s">
        <v>8390</v>
      </c>
      <c r="H3133" t="s">
        <v>2279</v>
      </c>
      <c r="I3133" t="s">
        <v>52</v>
      </c>
      <c r="J3133">
        <v>33611</v>
      </c>
      <c r="K3133">
        <v>4022</v>
      </c>
      <c r="L3133" t="s">
        <v>23</v>
      </c>
      <c r="M3133" t="s">
        <v>8390</v>
      </c>
      <c r="N3133" t="s">
        <v>2279</v>
      </c>
      <c r="O3133" t="s">
        <v>52</v>
      </c>
      <c r="P3133">
        <v>33611</v>
      </c>
      <c r="Q3133">
        <v>4022</v>
      </c>
      <c r="R3133" t="s">
        <v>23</v>
      </c>
      <c r="S3133" s="1" t="s">
        <v>34218</v>
      </c>
    </row>
    <row r="3134" spans="1:19" x14ac:dyDescent="0.25">
      <c r="A3134">
        <v>101330564</v>
      </c>
      <c r="B3134" t="s">
        <v>8391</v>
      </c>
      <c r="C3134" t="s">
        <v>1161</v>
      </c>
      <c r="F3134" t="str">
        <f>"7734970901"</f>
        <v>7734970901</v>
      </c>
      <c r="G3134" t="s">
        <v>8392</v>
      </c>
      <c r="H3134" t="s">
        <v>2809</v>
      </c>
      <c r="I3134" t="s">
        <v>135</v>
      </c>
      <c r="J3134">
        <v>60302</v>
      </c>
      <c r="K3134">
        <v>2501</v>
      </c>
      <c r="L3134" t="s">
        <v>23</v>
      </c>
      <c r="M3134" t="s">
        <v>8392</v>
      </c>
      <c r="N3134" t="s">
        <v>2809</v>
      </c>
      <c r="O3134" t="s">
        <v>135</v>
      </c>
      <c r="P3134">
        <v>60302</v>
      </c>
      <c r="Q3134">
        <v>2501</v>
      </c>
      <c r="R3134" t="s">
        <v>23</v>
      </c>
      <c r="S3134" s="1" t="s">
        <v>34218</v>
      </c>
    </row>
    <row r="3135" spans="1:19" x14ac:dyDescent="0.25">
      <c r="A3135">
        <v>100906735</v>
      </c>
      <c r="B3135" t="s">
        <v>8393</v>
      </c>
      <c r="C3135" t="s">
        <v>1444</v>
      </c>
      <c r="F3135" t="str">
        <f>"5033359991"</f>
        <v>5033359991</v>
      </c>
      <c r="G3135" t="s">
        <v>8394</v>
      </c>
      <c r="H3135" t="s">
        <v>227</v>
      </c>
      <c r="I3135" t="s">
        <v>43</v>
      </c>
      <c r="J3135">
        <v>97233</v>
      </c>
      <c r="K3135">
        <v>3594</v>
      </c>
      <c r="L3135" t="s">
        <v>23</v>
      </c>
      <c r="M3135" t="s">
        <v>8394</v>
      </c>
      <c r="N3135" t="s">
        <v>227</v>
      </c>
      <c r="O3135" t="s">
        <v>43</v>
      </c>
      <c r="P3135">
        <v>97233</v>
      </c>
      <c r="Q3135">
        <v>3594</v>
      </c>
      <c r="R3135" t="s">
        <v>23</v>
      </c>
      <c r="S3135" s="1" t="s">
        <v>34218</v>
      </c>
    </row>
    <row r="3136" spans="1:19" x14ac:dyDescent="0.25">
      <c r="A3136">
        <v>100906908</v>
      </c>
      <c r="B3136" t="s">
        <v>8395</v>
      </c>
      <c r="C3136" t="s">
        <v>8396</v>
      </c>
      <c r="F3136" t="str">
        <f>"4159246876"</f>
        <v>4159246876</v>
      </c>
      <c r="G3136" t="s">
        <v>8397</v>
      </c>
      <c r="H3136" t="s">
        <v>7389</v>
      </c>
      <c r="I3136" t="s">
        <v>22</v>
      </c>
      <c r="J3136">
        <v>94925</v>
      </c>
      <c r="K3136">
        <v>1314</v>
      </c>
      <c r="L3136" t="s">
        <v>23</v>
      </c>
      <c r="M3136" t="s">
        <v>8397</v>
      </c>
      <c r="N3136" t="s">
        <v>7389</v>
      </c>
      <c r="O3136" t="s">
        <v>22</v>
      </c>
      <c r="P3136">
        <v>94925</v>
      </c>
      <c r="Q3136">
        <v>1314</v>
      </c>
      <c r="R3136" t="s">
        <v>23</v>
      </c>
      <c r="S3136" s="1" t="s">
        <v>34218</v>
      </c>
    </row>
    <row r="3137" spans="1:19" x14ac:dyDescent="0.25">
      <c r="A3137">
        <v>101102845</v>
      </c>
      <c r="B3137" t="s">
        <v>8398</v>
      </c>
      <c r="C3137" t="s">
        <v>8399</v>
      </c>
      <c r="F3137" t="str">
        <f>"7706427853"</f>
        <v>7706427853</v>
      </c>
      <c r="G3137" t="s">
        <v>8400</v>
      </c>
      <c r="H3137" t="s">
        <v>344</v>
      </c>
      <c r="I3137" t="s">
        <v>28</v>
      </c>
      <c r="J3137">
        <v>30075</v>
      </c>
      <c r="K3137">
        <v>1110</v>
      </c>
      <c r="L3137" t="s">
        <v>23</v>
      </c>
      <c r="M3137" t="s">
        <v>8400</v>
      </c>
      <c r="N3137" t="s">
        <v>344</v>
      </c>
      <c r="O3137" t="s">
        <v>28</v>
      </c>
      <c r="P3137">
        <v>30075</v>
      </c>
      <c r="Q3137">
        <v>1110</v>
      </c>
      <c r="R3137" t="s">
        <v>23</v>
      </c>
      <c r="S3137" s="1" t="s">
        <v>34218</v>
      </c>
    </row>
    <row r="3138" spans="1:19" x14ac:dyDescent="0.25">
      <c r="A3138">
        <v>100815333</v>
      </c>
      <c r="B3138" t="s">
        <v>8401</v>
      </c>
      <c r="C3138" t="s">
        <v>4587</v>
      </c>
      <c r="F3138" t="str">
        <f>"4128822285"</f>
        <v>4128822285</v>
      </c>
      <c r="G3138" t="s">
        <v>8402</v>
      </c>
      <c r="H3138" t="s">
        <v>3363</v>
      </c>
      <c r="I3138" t="s">
        <v>33</v>
      </c>
      <c r="J3138">
        <v>15227</v>
      </c>
      <c r="K3138">
        <v>3921</v>
      </c>
      <c r="L3138" t="s">
        <v>23</v>
      </c>
      <c r="M3138" t="s">
        <v>8402</v>
      </c>
      <c r="N3138" t="s">
        <v>3363</v>
      </c>
      <c r="O3138" t="s">
        <v>33</v>
      </c>
      <c r="P3138">
        <v>15227</v>
      </c>
      <c r="Q3138">
        <v>3921</v>
      </c>
      <c r="R3138" t="s">
        <v>23</v>
      </c>
      <c r="S3138" s="1" t="s">
        <v>34218</v>
      </c>
    </row>
    <row r="3139" spans="1:19" x14ac:dyDescent="0.25">
      <c r="A3139">
        <v>100666989</v>
      </c>
      <c r="B3139" t="s">
        <v>1671</v>
      </c>
      <c r="C3139" t="s">
        <v>8403</v>
      </c>
      <c r="F3139" t="str">
        <f>"6166336558"</f>
        <v>6166336558</v>
      </c>
      <c r="G3139" t="s">
        <v>8404</v>
      </c>
      <c r="H3139" t="s">
        <v>8405</v>
      </c>
      <c r="I3139" t="s">
        <v>140</v>
      </c>
      <c r="J3139">
        <v>49519</v>
      </c>
      <c r="K3139">
        <v>3366</v>
      </c>
      <c r="L3139" t="s">
        <v>23</v>
      </c>
      <c r="M3139" t="s">
        <v>8404</v>
      </c>
      <c r="N3139" t="s">
        <v>8405</v>
      </c>
      <c r="O3139" t="s">
        <v>140</v>
      </c>
      <c r="P3139">
        <v>49519</v>
      </c>
      <c r="Q3139">
        <v>3366</v>
      </c>
      <c r="R3139" t="s">
        <v>23</v>
      </c>
      <c r="S3139" s="1" t="s">
        <v>34218</v>
      </c>
    </row>
    <row r="3140" spans="1:19" x14ac:dyDescent="0.25">
      <c r="A3140">
        <v>100537520</v>
      </c>
      <c r="B3140" t="s">
        <v>8406</v>
      </c>
      <c r="C3140" t="s">
        <v>1327</v>
      </c>
      <c r="F3140" t="str">
        <f>"5037539149"</f>
        <v>5037539149</v>
      </c>
      <c r="G3140" t="s">
        <v>8407</v>
      </c>
      <c r="H3140" t="s">
        <v>227</v>
      </c>
      <c r="I3140" t="s">
        <v>43</v>
      </c>
      <c r="J3140">
        <v>97203</v>
      </c>
      <c r="K3140">
        <v>2001</v>
      </c>
      <c r="L3140" t="s">
        <v>23</v>
      </c>
      <c r="M3140" t="s">
        <v>8407</v>
      </c>
      <c r="N3140" t="s">
        <v>227</v>
      </c>
      <c r="O3140" t="s">
        <v>43</v>
      </c>
      <c r="P3140">
        <v>97203</v>
      </c>
      <c r="Q3140">
        <v>2001</v>
      </c>
      <c r="R3140" t="s">
        <v>23</v>
      </c>
      <c r="S3140" s="1" t="s">
        <v>34218</v>
      </c>
    </row>
    <row r="3141" spans="1:19" x14ac:dyDescent="0.25">
      <c r="A3141">
        <v>101252536</v>
      </c>
      <c r="B3141" t="s">
        <v>8408</v>
      </c>
      <c r="C3141" t="s">
        <v>8409</v>
      </c>
      <c r="F3141" t="str">
        <f>"3476422039"</f>
        <v>3476422039</v>
      </c>
      <c r="G3141" t="s">
        <v>8410</v>
      </c>
      <c r="H3141" t="s">
        <v>6192</v>
      </c>
      <c r="I3141" t="s">
        <v>117</v>
      </c>
      <c r="J3141">
        <v>11355</v>
      </c>
      <c r="K3141">
        <v>3935</v>
      </c>
      <c r="L3141" t="s">
        <v>23</v>
      </c>
      <c r="M3141" t="s">
        <v>8410</v>
      </c>
      <c r="N3141" t="s">
        <v>6192</v>
      </c>
      <c r="O3141" t="s">
        <v>117</v>
      </c>
      <c r="P3141">
        <v>11355</v>
      </c>
      <c r="Q3141">
        <v>3935</v>
      </c>
      <c r="R3141" t="s">
        <v>23</v>
      </c>
      <c r="S3141" s="1" t="s">
        <v>34218</v>
      </c>
    </row>
    <row r="3142" spans="1:19" x14ac:dyDescent="0.25">
      <c r="A3142">
        <v>100544009</v>
      </c>
      <c r="B3142" t="s">
        <v>8411</v>
      </c>
      <c r="C3142" t="s">
        <v>1542</v>
      </c>
      <c r="F3142" t="str">
        <f>"5414791842"</f>
        <v>5414791842</v>
      </c>
      <c r="G3142" t="s">
        <v>8412</v>
      </c>
      <c r="H3142" t="s">
        <v>458</v>
      </c>
      <c r="I3142" t="s">
        <v>43</v>
      </c>
      <c r="J3142">
        <v>97526</v>
      </c>
      <c r="K3142">
        <v>3017</v>
      </c>
      <c r="L3142" t="s">
        <v>23</v>
      </c>
      <c r="M3142" t="s">
        <v>8412</v>
      </c>
      <c r="N3142" t="s">
        <v>458</v>
      </c>
      <c r="O3142" t="s">
        <v>43</v>
      </c>
      <c r="P3142">
        <v>97526</v>
      </c>
      <c r="Q3142">
        <v>3017</v>
      </c>
      <c r="R3142" t="s">
        <v>23</v>
      </c>
      <c r="S3142" s="1" t="s">
        <v>34218</v>
      </c>
    </row>
    <row r="3143" spans="1:19" x14ac:dyDescent="0.25">
      <c r="A3143">
        <v>100548846</v>
      </c>
      <c r="B3143" t="s">
        <v>1234</v>
      </c>
      <c r="C3143" t="s">
        <v>180</v>
      </c>
      <c r="F3143" t="str">
        <f>"5034076726"</f>
        <v>5034076726</v>
      </c>
      <c r="G3143" t="s">
        <v>8413</v>
      </c>
      <c r="H3143" t="s">
        <v>8414</v>
      </c>
      <c r="I3143" t="s">
        <v>43</v>
      </c>
      <c r="J3143">
        <v>97013</v>
      </c>
      <c r="K3143">
        <v>3361</v>
      </c>
      <c r="L3143" t="s">
        <v>23</v>
      </c>
      <c r="M3143" t="s">
        <v>8413</v>
      </c>
      <c r="N3143" t="s">
        <v>8414</v>
      </c>
      <c r="O3143" t="s">
        <v>43</v>
      </c>
      <c r="P3143">
        <v>97013</v>
      </c>
      <c r="Q3143">
        <v>3361</v>
      </c>
      <c r="R3143" t="s">
        <v>23</v>
      </c>
      <c r="S3143" s="1" t="s">
        <v>34218</v>
      </c>
    </row>
    <row r="3144" spans="1:19" x14ac:dyDescent="0.25">
      <c r="A3144">
        <v>100713963</v>
      </c>
      <c r="B3144" t="s">
        <v>8415</v>
      </c>
      <c r="C3144" t="s">
        <v>547</v>
      </c>
      <c r="F3144" t="str">
        <f>"7075288252"</f>
        <v>7075288252</v>
      </c>
      <c r="G3144" t="s">
        <v>8416</v>
      </c>
      <c r="H3144" t="s">
        <v>21</v>
      </c>
      <c r="I3144" t="s">
        <v>22</v>
      </c>
      <c r="J3144">
        <v>95404</v>
      </c>
      <c r="K3144">
        <v>2918</v>
      </c>
      <c r="L3144" t="s">
        <v>23</v>
      </c>
      <c r="M3144" t="s">
        <v>8416</v>
      </c>
      <c r="N3144" t="s">
        <v>21</v>
      </c>
      <c r="O3144" t="s">
        <v>22</v>
      </c>
      <c r="P3144">
        <v>95404</v>
      </c>
      <c r="Q3144">
        <v>2918</v>
      </c>
      <c r="R3144" t="s">
        <v>23</v>
      </c>
      <c r="S3144" s="1" t="s">
        <v>34218</v>
      </c>
    </row>
    <row r="3145" spans="1:19" x14ac:dyDescent="0.25">
      <c r="A3145">
        <v>100715651</v>
      </c>
      <c r="B3145" t="s">
        <v>8417</v>
      </c>
      <c r="C3145" t="s">
        <v>2776</v>
      </c>
      <c r="F3145" t="str">
        <f>"9702868315"</f>
        <v>9702868315</v>
      </c>
      <c r="G3145" t="s">
        <v>8418</v>
      </c>
      <c r="H3145" t="s">
        <v>529</v>
      </c>
      <c r="I3145" t="s">
        <v>71</v>
      </c>
      <c r="J3145">
        <v>80537</v>
      </c>
      <c r="K3145">
        <v>6051</v>
      </c>
      <c r="L3145" t="s">
        <v>23</v>
      </c>
      <c r="M3145" t="s">
        <v>8418</v>
      </c>
      <c r="N3145" t="s">
        <v>529</v>
      </c>
      <c r="O3145" t="s">
        <v>71</v>
      </c>
      <c r="P3145">
        <v>80537</v>
      </c>
      <c r="Q3145">
        <v>6051</v>
      </c>
      <c r="R3145" t="s">
        <v>23</v>
      </c>
      <c r="S3145" s="1" t="s">
        <v>34218</v>
      </c>
    </row>
    <row r="3146" spans="1:19" x14ac:dyDescent="0.25">
      <c r="A3146">
        <v>100548129</v>
      </c>
      <c r="B3146" t="s">
        <v>4284</v>
      </c>
      <c r="C3146" t="s">
        <v>8419</v>
      </c>
      <c r="F3146" t="str">
        <f>"5052433174"</f>
        <v>5052433174</v>
      </c>
      <c r="G3146" t="s">
        <v>8420</v>
      </c>
      <c r="H3146" t="s">
        <v>638</v>
      </c>
      <c r="I3146" t="s">
        <v>639</v>
      </c>
      <c r="J3146">
        <v>87106</v>
      </c>
      <c r="K3146">
        <v>4703</v>
      </c>
      <c r="L3146" t="s">
        <v>23</v>
      </c>
      <c r="M3146" t="s">
        <v>8420</v>
      </c>
      <c r="N3146" t="s">
        <v>638</v>
      </c>
      <c r="O3146" t="s">
        <v>639</v>
      </c>
      <c r="P3146">
        <v>87106</v>
      </c>
      <c r="Q3146">
        <v>4703</v>
      </c>
      <c r="R3146" t="s">
        <v>23</v>
      </c>
      <c r="S3146" s="1" t="s">
        <v>34218</v>
      </c>
    </row>
    <row r="3147" spans="1:19" x14ac:dyDescent="0.25">
      <c r="A3147">
        <v>100553703</v>
      </c>
      <c r="B3147" t="s">
        <v>8421</v>
      </c>
      <c r="C3147" t="s">
        <v>8422</v>
      </c>
      <c r="F3147" t="str">
        <f>"6092313959"</f>
        <v>6092313959</v>
      </c>
      <c r="G3147" t="s">
        <v>8423</v>
      </c>
      <c r="H3147" t="s">
        <v>8424</v>
      </c>
      <c r="I3147" t="s">
        <v>250</v>
      </c>
      <c r="J3147">
        <v>8226</v>
      </c>
      <c r="K3147">
        <v>3613</v>
      </c>
      <c r="L3147" t="s">
        <v>23</v>
      </c>
      <c r="M3147" t="s">
        <v>8423</v>
      </c>
      <c r="N3147" t="s">
        <v>8424</v>
      </c>
      <c r="O3147" t="s">
        <v>250</v>
      </c>
      <c r="P3147">
        <v>8226</v>
      </c>
      <c r="Q3147">
        <v>3613</v>
      </c>
      <c r="R3147" t="s">
        <v>23</v>
      </c>
      <c r="S3147" s="1" t="s">
        <v>34218</v>
      </c>
    </row>
    <row r="3148" spans="1:19" x14ac:dyDescent="0.25">
      <c r="A3148">
        <v>100962772</v>
      </c>
      <c r="B3148" t="s">
        <v>8425</v>
      </c>
      <c r="C3148" t="s">
        <v>40</v>
      </c>
      <c r="F3148" t="str">
        <f>"9062483537"</f>
        <v>9062483537</v>
      </c>
      <c r="G3148" t="s">
        <v>8426</v>
      </c>
      <c r="H3148" t="s">
        <v>8427</v>
      </c>
      <c r="I3148" t="s">
        <v>140</v>
      </c>
      <c r="J3148">
        <v>49715</v>
      </c>
      <c r="K3148">
        <v>9295</v>
      </c>
      <c r="L3148" t="s">
        <v>23</v>
      </c>
      <c r="M3148" t="s">
        <v>8426</v>
      </c>
      <c r="N3148" t="s">
        <v>8427</v>
      </c>
      <c r="O3148" t="s">
        <v>140</v>
      </c>
      <c r="P3148">
        <v>49715</v>
      </c>
      <c r="Q3148">
        <v>9295</v>
      </c>
      <c r="R3148" t="s">
        <v>23</v>
      </c>
      <c r="S3148" s="1" t="s">
        <v>34218</v>
      </c>
    </row>
    <row r="3149" spans="1:19" x14ac:dyDescent="0.25">
      <c r="A3149">
        <v>100578780</v>
      </c>
      <c r="B3149" t="s">
        <v>6084</v>
      </c>
      <c r="C3149" t="s">
        <v>3350</v>
      </c>
      <c r="F3149" t="str">
        <f>"9149461409"</f>
        <v>9149461409</v>
      </c>
      <c r="G3149" t="s">
        <v>8428</v>
      </c>
      <c r="H3149" t="s">
        <v>2403</v>
      </c>
      <c r="I3149" t="s">
        <v>117</v>
      </c>
      <c r="J3149">
        <v>10603</v>
      </c>
      <c r="K3149">
        <v>3703</v>
      </c>
      <c r="L3149" t="s">
        <v>23</v>
      </c>
      <c r="M3149" t="s">
        <v>8428</v>
      </c>
      <c r="N3149" t="s">
        <v>2403</v>
      </c>
      <c r="O3149" t="s">
        <v>117</v>
      </c>
      <c r="P3149">
        <v>10603</v>
      </c>
      <c r="Q3149">
        <v>3703</v>
      </c>
      <c r="R3149" t="s">
        <v>23</v>
      </c>
      <c r="S3149" s="1" t="s">
        <v>34218</v>
      </c>
    </row>
    <row r="3150" spans="1:19" x14ac:dyDescent="0.25">
      <c r="A3150">
        <v>100584803</v>
      </c>
      <c r="B3150" t="s">
        <v>826</v>
      </c>
      <c r="C3150" t="s">
        <v>2453</v>
      </c>
      <c r="F3150" t="str">
        <f>"7652878517"</f>
        <v>7652878517</v>
      </c>
      <c r="G3150" t="s">
        <v>8429</v>
      </c>
      <c r="H3150" t="s">
        <v>8430</v>
      </c>
      <c r="I3150" t="s">
        <v>57</v>
      </c>
      <c r="J3150">
        <v>47303</v>
      </c>
      <c r="K3150">
        <v>1124</v>
      </c>
      <c r="L3150" t="s">
        <v>23</v>
      </c>
      <c r="M3150" t="s">
        <v>8429</v>
      </c>
      <c r="N3150" t="s">
        <v>8430</v>
      </c>
      <c r="O3150" t="s">
        <v>57</v>
      </c>
      <c r="P3150">
        <v>47303</v>
      </c>
      <c r="Q3150">
        <v>1124</v>
      </c>
      <c r="R3150" t="s">
        <v>23</v>
      </c>
      <c r="S3150" s="1" t="s">
        <v>34218</v>
      </c>
    </row>
    <row r="3151" spans="1:19" x14ac:dyDescent="0.25">
      <c r="A3151">
        <v>100795052</v>
      </c>
      <c r="B3151" t="s">
        <v>1220</v>
      </c>
      <c r="C3151" t="s">
        <v>403</v>
      </c>
      <c r="F3151" t="str">
        <f>"7077950744"</f>
        <v>7077950744</v>
      </c>
      <c r="G3151" t="s">
        <v>8431</v>
      </c>
      <c r="H3151" t="s">
        <v>8432</v>
      </c>
      <c r="I3151" t="s">
        <v>22</v>
      </c>
      <c r="J3151">
        <v>94931</v>
      </c>
      <c r="K3151">
        <v>4573</v>
      </c>
      <c r="L3151" t="s">
        <v>23</v>
      </c>
      <c r="M3151" t="s">
        <v>8431</v>
      </c>
      <c r="N3151" t="s">
        <v>8432</v>
      </c>
      <c r="O3151" t="s">
        <v>22</v>
      </c>
      <c r="P3151">
        <v>94931</v>
      </c>
      <c r="Q3151">
        <v>4573</v>
      </c>
      <c r="R3151" t="s">
        <v>23</v>
      </c>
      <c r="S3151" s="1" t="s">
        <v>34218</v>
      </c>
    </row>
    <row r="3152" spans="1:19" x14ac:dyDescent="0.25">
      <c r="A3152">
        <v>100800732</v>
      </c>
      <c r="B3152" t="s">
        <v>8433</v>
      </c>
      <c r="C3152" t="s">
        <v>4133</v>
      </c>
      <c r="F3152" t="str">
        <f>"2087262405"</f>
        <v>2087262405</v>
      </c>
      <c r="G3152" t="s">
        <v>8434</v>
      </c>
      <c r="H3152" t="s">
        <v>7015</v>
      </c>
      <c r="I3152" t="s">
        <v>348</v>
      </c>
      <c r="J3152">
        <v>83340</v>
      </c>
      <c r="K3152">
        <v>4701</v>
      </c>
      <c r="L3152" t="s">
        <v>23</v>
      </c>
      <c r="M3152" t="s">
        <v>8434</v>
      </c>
      <c r="N3152" t="s">
        <v>7015</v>
      </c>
      <c r="O3152" t="s">
        <v>348</v>
      </c>
      <c r="P3152">
        <v>83340</v>
      </c>
      <c r="Q3152">
        <v>4701</v>
      </c>
      <c r="R3152" t="s">
        <v>23</v>
      </c>
      <c r="S3152" s="1" t="s">
        <v>34218</v>
      </c>
    </row>
    <row r="3153" spans="1:19" x14ac:dyDescent="0.25">
      <c r="A3153">
        <v>100801316</v>
      </c>
      <c r="B3153" t="s">
        <v>3535</v>
      </c>
      <c r="C3153" t="s">
        <v>6420</v>
      </c>
      <c r="F3153" t="str">
        <f>"9492923167"</f>
        <v>9492923167</v>
      </c>
      <c r="G3153" t="s">
        <v>8435</v>
      </c>
      <c r="H3153" t="s">
        <v>8068</v>
      </c>
      <c r="I3153" t="s">
        <v>22</v>
      </c>
      <c r="J3153">
        <v>92630</v>
      </c>
      <c r="K3153">
        <v>6537</v>
      </c>
      <c r="L3153" t="s">
        <v>23</v>
      </c>
      <c r="M3153" t="s">
        <v>8435</v>
      </c>
      <c r="N3153" t="s">
        <v>8068</v>
      </c>
      <c r="O3153" t="s">
        <v>22</v>
      </c>
      <c r="P3153">
        <v>92630</v>
      </c>
      <c r="Q3153">
        <v>6537</v>
      </c>
      <c r="R3153" t="s">
        <v>23</v>
      </c>
      <c r="S3153" s="1" t="s">
        <v>34218</v>
      </c>
    </row>
    <row r="3154" spans="1:19" x14ac:dyDescent="0.25">
      <c r="A3154">
        <v>100629156</v>
      </c>
      <c r="B3154" t="s">
        <v>8436</v>
      </c>
      <c r="C3154" t="s">
        <v>49</v>
      </c>
      <c r="F3154" t="str">
        <f>"6514268797"</f>
        <v>6514268797</v>
      </c>
      <c r="G3154" t="s">
        <v>8437</v>
      </c>
      <c r="H3154" t="s">
        <v>8438</v>
      </c>
      <c r="I3154" t="s">
        <v>187</v>
      </c>
      <c r="J3154">
        <v>55110</v>
      </c>
      <c r="K3154">
        <v>3755</v>
      </c>
      <c r="L3154" t="s">
        <v>23</v>
      </c>
      <c r="M3154" t="s">
        <v>8437</v>
      </c>
      <c r="N3154" t="s">
        <v>8438</v>
      </c>
      <c r="O3154" t="s">
        <v>187</v>
      </c>
      <c r="P3154">
        <v>55110</v>
      </c>
      <c r="Q3154">
        <v>3755</v>
      </c>
      <c r="R3154" t="s">
        <v>23</v>
      </c>
      <c r="S3154" s="1" t="s">
        <v>34218</v>
      </c>
    </row>
    <row r="3155" spans="1:19" x14ac:dyDescent="0.25">
      <c r="A3155">
        <v>100656517</v>
      </c>
      <c r="B3155" t="s">
        <v>8439</v>
      </c>
      <c r="C3155" t="s">
        <v>1331</v>
      </c>
      <c r="F3155" t="str">
        <f>"6262771725"</f>
        <v>6262771725</v>
      </c>
      <c r="G3155" t="s">
        <v>8440</v>
      </c>
      <c r="H3155" t="s">
        <v>8441</v>
      </c>
      <c r="I3155" t="s">
        <v>22</v>
      </c>
      <c r="J3155">
        <v>91024</v>
      </c>
      <c r="K3155">
        <v>2813</v>
      </c>
      <c r="L3155" t="s">
        <v>23</v>
      </c>
      <c r="M3155" t="s">
        <v>8440</v>
      </c>
      <c r="N3155" t="s">
        <v>8441</v>
      </c>
      <c r="O3155" t="s">
        <v>22</v>
      </c>
      <c r="P3155">
        <v>91024</v>
      </c>
      <c r="Q3155">
        <v>2813</v>
      </c>
      <c r="R3155" t="s">
        <v>23</v>
      </c>
      <c r="S3155" s="1" t="s">
        <v>34218</v>
      </c>
    </row>
    <row r="3156" spans="1:19" x14ac:dyDescent="0.25">
      <c r="A3156">
        <v>100855916</v>
      </c>
      <c r="B3156" t="s">
        <v>8442</v>
      </c>
      <c r="C3156" t="s">
        <v>8443</v>
      </c>
      <c r="F3156" t="str">
        <f>"6102290724"</f>
        <v>6102290724</v>
      </c>
      <c r="G3156" t="s">
        <v>8444</v>
      </c>
      <c r="H3156" t="s">
        <v>8445</v>
      </c>
      <c r="I3156" t="s">
        <v>33</v>
      </c>
      <c r="J3156">
        <v>19333</v>
      </c>
      <c r="K3156">
        <v>1569</v>
      </c>
      <c r="L3156" t="s">
        <v>23</v>
      </c>
      <c r="M3156" t="s">
        <v>8444</v>
      </c>
      <c r="N3156" t="s">
        <v>8445</v>
      </c>
      <c r="O3156" t="s">
        <v>33</v>
      </c>
      <c r="P3156">
        <v>19333</v>
      </c>
      <c r="Q3156">
        <v>1569</v>
      </c>
      <c r="R3156" t="s">
        <v>23</v>
      </c>
      <c r="S3156" s="1" t="s">
        <v>34218</v>
      </c>
    </row>
    <row r="3157" spans="1:19" x14ac:dyDescent="0.25">
      <c r="A3157">
        <v>100683399</v>
      </c>
      <c r="B3157" t="s">
        <v>8446</v>
      </c>
      <c r="C3157" t="s">
        <v>7257</v>
      </c>
      <c r="F3157" t="str">
        <f>"3036521147"</f>
        <v>3036521147</v>
      </c>
      <c r="G3157" t="s">
        <v>8447</v>
      </c>
      <c r="H3157" t="s">
        <v>2285</v>
      </c>
      <c r="I3157" t="s">
        <v>22</v>
      </c>
      <c r="J3157">
        <v>92037</v>
      </c>
      <c r="K3157">
        <v>5176</v>
      </c>
      <c r="L3157" t="s">
        <v>23</v>
      </c>
      <c r="M3157" t="s">
        <v>8447</v>
      </c>
      <c r="N3157" t="s">
        <v>2285</v>
      </c>
      <c r="O3157" t="s">
        <v>22</v>
      </c>
      <c r="P3157">
        <v>92037</v>
      </c>
      <c r="Q3157">
        <v>5176</v>
      </c>
      <c r="R3157" t="s">
        <v>23</v>
      </c>
      <c r="S3157" s="1" t="s">
        <v>34218</v>
      </c>
    </row>
    <row r="3158" spans="1:19" x14ac:dyDescent="0.25">
      <c r="A3158">
        <v>100682543</v>
      </c>
      <c r="B3158" t="s">
        <v>2486</v>
      </c>
      <c r="C3158" t="s">
        <v>1658</v>
      </c>
      <c r="F3158" t="str">
        <f>"2027445831"</f>
        <v>2027445831</v>
      </c>
      <c r="G3158" t="s">
        <v>8448</v>
      </c>
      <c r="H3158" t="s">
        <v>746</v>
      </c>
      <c r="I3158" t="s">
        <v>255</v>
      </c>
      <c r="J3158">
        <v>22150</v>
      </c>
      <c r="K3158">
        <v>3928</v>
      </c>
      <c r="L3158" t="s">
        <v>23</v>
      </c>
      <c r="M3158" t="s">
        <v>8448</v>
      </c>
      <c r="N3158" t="s">
        <v>746</v>
      </c>
      <c r="O3158" t="s">
        <v>255</v>
      </c>
      <c r="P3158">
        <v>22150</v>
      </c>
      <c r="Q3158">
        <v>3928</v>
      </c>
      <c r="R3158" t="s">
        <v>23</v>
      </c>
      <c r="S3158" s="1" t="s">
        <v>34218</v>
      </c>
    </row>
    <row r="3159" spans="1:19" x14ac:dyDescent="0.25">
      <c r="A3159">
        <v>100895493</v>
      </c>
      <c r="B3159" t="s">
        <v>7797</v>
      </c>
      <c r="C3159" t="s">
        <v>621</v>
      </c>
      <c r="F3159" t="str">
        <f>"6033325398"</f>
        <v>6033325398</v>
      </c>
      <c r="G3159" t="s">
        <v>8449</v>
      </c>
      <c r="H3159" t="s">
        <v>688</v>
      </c>
      <c r="I3159" t="s">
        <v>353</v>
      </c>
      <c r="J3159">
        <v>3867</v>
      </c>
      <c r="K3159">
        <v>4244</v>
      </c>
      <c r="L3159" t="s">
        <v>23</v>
      </c>
      <c r="M3159" t="s">
        <v>8449</v>
      </c>
      <c r="N3159" t="s">
        <v>688</v>
      </c>
      <c r="O3159" t="s">
        <v>353</v>
      </c>
      <c r="P3159">
        <v>3867</v>
      </c>
      <c r="Q3159">
        <v>4244</v>
      </c>
      <c r="R3159" t="s">
        <v>23</v>
      </c>
      <c r="S3159" s="1" t="s">
        <v>34218</v>
      </c>
    </row>
    <row r="3160" spans="1:19" x14ac:dyDescent="0.25">
      <c r="A3160">
        <v>100898932</v>
      </c>
      <c r="B3160" t="s">
        <v>8450</v>
      </c>
      <c r="C3160" t="s">
        <v>8451</v>
      </c>
      <c r="F3160" t="str">
        <f>"2152717878"</f>
        <v>2152717878</v>
      </c>
      <c r="G3160" t="s">
        <v>8452</v>
      </c>
      <c r="H3160" t="s">
        <v>8317</v>
      </c>
      <c r="I3160" t="s">
        <v>33</v>
      </c>
      <c r="J3160">
        <v>19147</v>
      </c>
      <c r="K3160">
        <v>5823</v>
      </c>
      <c r="L3160" t="s">
        <v>23</v>
      </c>
      <c r="M3160" t="s">
        <v>8452</v>
      </c>
      <c r="N3160" t="s">
        <v>8317</v>
      </c>
      <c r="O3160" t="s">
        <v>33</v>
      </c>
      <c r="P3160">
        <v>19147</v>
      </c>
      <c r="Q3160">
        <v>5823</v>
      </c>
      <c r="R3160" t="s">
        <v>23</v>
      </c>
      <c r="S3160" s="1" t="s">
        <v>34218</v>
      </c>
    </row>
    <row r="3161" spans="1:19" x14ac:dyDescent="0.25">
      <c r="A3161">
        <v>101102836</v>
      </c>
      <c r="B3161" t="s">
        <v>3956</v>
      </c>
      <c r="C3161" t="s">
        <v>1043</v>
      </c>
      <c r="F3161" t="str">
        <f>"4058027140"</f>
        <v>4058027140</v>
      </c>
      <c r="G3161" t="s">
        <v>8453</v>
      </c>
      <c r="H3161" t="s">
        <v>61</v>
      </c>
      <c r="I3161" t="s">
        <v>62</v>
      </c>
      <c r="J3161">
        <v>73107</v>
      </c>
      <c r="K3161">
        <v>3015</v>
      </c>
      <c r="L3161" t="s">
        <v>23</v>
      </c>
      <c r="M3161" t="s">
        <v>8453</v>
      </c>
      <c r="N3161" t="s">
        <v>61</v>
      </c>
      <c r="O3161" t="s">
        <v>62</v>
      </c>
      <c r="P3161">
        <v>73107</v>
      </c>
      <c r="Q3161">
        <v>3015</v>
      </c>
      <c r="R3161" t="s">
        <v>23</v>
      </c>
      <c r="S3161" s="1" t="s">
        <v>34218</v>
      </c>
    </row>
    <row r="3162" spans="1:19" x14ac:dyDescent="0.25">
      <c r="A3162">
        <v>101047017</v>
      </c>
      <c r="B3162" t="s">
        <v>744</v>
      </c>
      <c r="C3162" t="s">
        <v>1239</v>
      </c>
      <c r="F3162" t="str">
        <f>"6303627796"</f>
        <v>6303627796</v>
      </c>
      <c r="G3162" t="s">
        <v>8454</v>
      </c>
      <c r="H3162" t="s">
        <v>5700</v>
      </c>
      <c r="I3162" t="s">
        <v>135</v>
      </c>
      <c r="J3162">
        <v>60098</v>
      </c>
      <c r="K3162">
        <v>4291</v>
      </c>
      <c r="L3162" t="s">
        <v>23</v>
      </c>
      <c r="M3162" t="s">
        <v>8454</v>
      </c>
      <c r="N3162" t="s">
        <v>5700</v>
      </c>
      <c r="O3162" t="s">
        <v>135</v>
      </c>
      <c r="P3162">
        <v>60098</v>
      </c>
      <c r="Q3162">
        <v>4291</v>
      </c>
      <c r="R3162" t="s">
        <v>23</v>
      </c>
      <c r="S3162" s="1" t="s">
        <v>34218</v>
      </c>
    </row>
    <row r="3163" spans="1:19" x14ac:dyDescent="0.25">
      <c r="A3163">
        <v>100549552</v>
      </c>
      <c r="B3163" t="s">
        <v>8455</v>
      </c>
      <c r="C3163" t="s">
        <v>8144</v>
      </c>
      <c r="F3163" t="str">
        <f>"8478694590"</f>
        <v>8478694590</v>
      </c>
      <c r="G3163" t="s">
        <v>8456</v>
      </c>
      <c r="H3163" t="s">
        <v>1754</v>
      </c>
      <c r="I3163" t="s">
        <v>135</v>
      </c>
      <c r="J3163">
        <v>60202</v>
      </c>
      <c r="K3163">
        <v>1719</v>
      </c>
      <c r="L3163" t="s">
        <v>23</v>
      </c>
      <c r="M3163" t="s">
        <v>8456</v>
      </c>
      <c r="N3163" t="s">
        <v>1754</v>
      </c>
      <c r="O3163" t="s">
        <v>135</v>
      </c>
      <c r="P3163">
        <v>60202</v>
      </c>
      <c r="Q3163">
        <v>1719</v>
      </c>
      <c r="R3163" t="s">
        <v>23</v>
      </c>
      <c r="S3163" s="1" t="s">
        <v>34218</v>
      </c>
    </row>
    <row r="3164" spans="1:19" x14ac:dyDescent="0.25">
      <c r="A3164">
        <v>101072050</v>
      </c>
      <c r="B3164" t="s">
        <v>8457</v>
      </c>
      <c r="C3164" t="s">
        <v>329</v>
      </c>
      <c r="F3164" t="str">
        <f>"8606431685"</f>
        <v>8606431685</v>
      </c>
      <c r="G3164" t="s">
        <v>8458</v>
      </c>
      <c r="H3164" t="s">
        <v>3473</v>
      </c>
      <c r="I3164" t="s">
        <v>161</v>
      </c>
      <c r="J3164">
        <v>6042</v>
      </c>
      <c r="K3164">
        <v>2444</v>
      </c>
      <c r="L3164" t="s">
        <v>23</v>
      </c>
      <c r="M3164" t="s">
        <v>8458</v>
      </c>
      <c r="N3164" t="s">
        <v>3473</v>
      </c>
      <c r="O3164" t="s">
        <v>161</v>
      </c>
      <c r="P3164">
        <v>6042</v>
      </c>
      <c r="Q3164">
        <v>2444</v>
      </c>
      <c r="R3164" t="s">
        <v>23</v>
      </c>
      <c r="S3164" s="1" t="s">
        <v>34218</v>
      </c>
    </row>
    <row r="3165" spans="1:19" x14ac:dyDescent="0.25">
      <c r="A3165">
        <v>101277939</v>
      </c>
      <c r="B3165" t="s">
        <v>224</v>
      </c>
      <c r="C3165" t="s">
        <v>155</v>
      </c>
      <c r="F3165" t="str">
        <f>"4849481047"</f>
        <v>4849481047</v>
      </c>
      <c r="G3165" t="s">
        <v>8459</v>
      </c>
      <c r="H3165" t="s">
        <v>8460</v>
      </c>
      <c r="I3165" t="s">
        <v>33</v>
      </c>
      <c r="J3165">
        <v>19464</v>
      </c>
      <c r="K3165">
        <v>3716</v>
      </c>
      <c r="L3165" t="s">
        <v>23</v>
      </c>
      <c r="M3165" t="s">
        <v>8459</v>
      </c>
      <c r="N3165" t="s">
        <v>8460</v>
      </c>
      <c r="O3165" t="s">
        <v>33</v>
      </c>
      <c r="P3165">
        <v>19464</v>
      </c>
      <c r="Q3165">
        <v>3716</v>
      </c>
      <c r="R3165" t="s">
        <v>23</v>
      </c>
      <c r="S3165" s="1" t="s">
        <v>34218</v>
      </c>
    </row>
    <row r="3166" spans="1:19" x14ac:dyDescent="0.25">
      <c r="A3166">
        <v>101284041</v>
      </c>
      <c r="B3166" t="s">
        <v>8461</v>
      </c>
      <c r="C3166" t="s">
        <v>8462</v>
      </c>
      <c r="F3166" t="str">
        <f>"7272906753"</f>
        <v>7272906753</v>
      </c>
      <c r="G3166" t="s">
        <v>8463</v>
      </c>
      <c r="H3166" t="s">
        <v>733</v>
      </c>
      <c r="I3166" t="s">
        <v>52</v>
      </c>
      <c r="J3166">
        <v>33705</v>
      </c>
      <c r="K3166">
        <v>5813</v>
      </c>
      <c r="L3166" t="s">
        <v>23</v>
      </c>
      <c r="M3166" t="s">
        <v>8463</v>
      </c>
      <c r="N3166" t="s">
        <v>733</v>
      </c>
      <c r="O3166" t="s">
        <v>52</v>
      </c>
      <c r="P3166">
        <v>33705</v>
      </c>
      <c r="Q3166">
        <v>5813</v>
      </c>
      <c r="R3166" t="s">
        <v>23</v>
      </c>
      <c r="S3166" s="1" t="s">
        <v>34218</v>
      </c>
    </row>
    <row r="3167" spans="1:19" x14ac:dyDescent="0.25">
      <c r="A3167">
        <v>100518578</v>
      </c>
      <c r="B3167" t="s">
        <v>8464</v>
      </c>
      <c r="C3167" t="s">
        <v>1124</v>
      </c>
      <c r="F3167" t="str">
        <f>"2156359771"</f>
        <v>2156359771</v>
      </c>
      <c r="G3167" t="s">
        <v>8465</v>
      </c>
      <c r="H3167" t="s">
        <v>8466</v>
      </c>
      <c r="I3167" t="s">
        <v>33</v>
      </c>
      <c r="J3167">
        <v>19027</v>
      </c>
      <c r="K3167">
        <v>2313</v>
      </c>
      <c r="L3167" t="s">
        <v>23</v>
      </c>
      <c r="M3167" t="s">
        <v>8465</v>
      </c>
      <c r="N3167" t="s">
        <v>8466</v>
      </c>
      <c r="O3167" t="s">
        <v>33</v>
      </c>
      <c r="P3167">
        <v>19027</v>
      </c>
      <c r="Q3167">
        <v>2313</v>
      </c>
      <c r="R3167" t="s">
        <v>23</v>
      </c>
      <c r="S3167" s="1" t="s">
        <v>34218</v>
      </c>
    </row>
    <row r="3168" spans="1:19" x14ac:dyDescent="0.25">
      <c r="A3168">
        <v>100522798</v>
      </c>
      <c r="B3168" t="s">
        <v>8467</v>
      </c>
      <c r="C3168" t="s">
        <v>956</v>
      </c>
      <c r="F3168" t="str">
        <f>"3023561752"</f>
        <v>3023561752</v>
      </c>
      <c r="G3168" t="s">
        <v>8468</v>
      </c>
      <c r="H3168" t="s">
        <v>814</v>
      </c>
      <c r="I3168" t="s">
        <v>2310</v>
      </c>
      <c r="J3168">
        <v>19709</v>
      </c>
      <c r="K3168">
        <v>9896</v>
      </c>
      <c r="L3168" t="s">
        <v>23</v>
      </c>
      <c r="M3168" t="s">
        <v>8468</v>
      </c>
      <c r="N3168" t="s">
        <v>814</v>
      </c>
      <c r="O3168" t="s">
        <v>2310</v>
      </c>
      <c r="P3168">
        <v>19709</v>
      </c>
      <c r="Q3168">
        <v>9896</v>
      </c>
      <c r="R3168" t="s">
        <v>23</v>
      </c>
      <c r="S3168" s="1" t="s">
        <v>34218</v>
      </c>
    </row>
    <row r="3169" spans="1:19" x14ac:dyDescent="0.25">
      <c r="A3169">
        <v>100712995</v>
      </c>
      <c r="B3169" t="s">
        <v>8469</v>
      </c>
      <c r="C3169" t="s">
        <v>699</v>
      </c>
      <c r="F3169" t="str">
        <f>"9287759824"</f>
        <v>9287759824</v>
      </c>
      <c r="G3169" t="s">
        <v>8470</v>
      </c>
      <c r="H3169" t="s">
        <v>364</v>
      </c>
      <c r="I3169" t="s">
        <v>365</v>
      </c>
      <c r="J3169">
        <v>86314</v>
      </c>
      <c r="K3169">
        <v>2651</v>
      </c>
      <c r="L3169" t="s">
        <v>23</v>
      </c>
      <c r="M3169" t="s">
        <v>8470</v>
      </c>
      <c r="N3169" t="s">
        <v>364</v>
      </c>
      <c r="O3169" t="s">
        <v>365</v>
      </c>
      <c r="P3169">
        <v>86314</v>
      </c>
      <c r="Q3169">
        <v>2651</v>
      </c>
      <c r="R3169" t="s">
        <v>23</v>
      </c>
      <c r="S3169" s="1" t="s">
        <v>34218</v>
      </c>
    </row>
    <row r="3170" spans="1:19" x14ac:dyDescent="0.25">
      <c r="A3170">
        <v>100915286</v>
      </c>
      <c r="B3170" t="s">
        <v>8471</v>
      </c>
      <c r="C3170" t="s">
        <v>8472</v>
      </c>
      <c r="F3170" t="str">
        <f>"6147720749"</f>
        <v>6147720749</v>
      </c>
      <c r="G3170" t="s">
        <v>8473</v>
      </c>
      <c r="H3170" t="s">
        <v>4632</v>
      </c>
      <c r="I3170" t="s">
        <v>178</v>
      </c>
      <c r="J3170">
        <v>43214</v>
      </c>
      <c r="K3170">
        <v>1038</v>
      </c>
      <c r="L3170" t="s">
        <v>23</v>
      </c>
      <c r="M3170" t="s">
        <v>8473</v>
      </c>
      <c r="N3170" t="s">
        <v>4632</v>
      </c>
      <c r="O3170" t="s">
        <v>178</v>
      </c>
      <c r="P3170">
        <v>43214</v>
      </c>
      <c r="Q3170">
        <v>1038</v>
      </c>
      <c r="R3170" t="s">
        <v>23</v>
      </c>
      <c r="S3170" s="1" t="s">
        <v>34218</v>
      </c>
    </row>
    <row r="3171" spans="1:19" x14ac:dyDescent="0.25">
      <c r="A3171">
        <v>100932372</v>
      </c>
      <c r="B3171" t="s">
        <v>8102</v>
      </c>
      <c r="C3171" t="s">
        <v>865</v>
      </c>
      <c r="F3171" t="str">
        <f>"4155551212"</f>
        <v>4155551212</v>
      </c>
      <c r="G3171" t="s">
        <v>8474</v>
      </c>
      <c r="H3171" t="s">
        <v>3815</v>
      </c>
      <c r="I3171" t="s">
        <v>22</v>
      </c>
      <c r="J3171">
        <v>94960</v>
      </c>
      <c r="K3171">
        <v>1242</v>
      </c>
      <c r="L3171" t="s">
        <v>23</v>
      </c>
      <c r="M3171" t="s">
        <v>8474</v>
      </c>
      <c r="N3171" t="s">
        <v>3815</v>
      </c>
      <c r="O3171" t="s">
        <v>22</v>
      </c>
      <c r="P3171">
        <v>94960</v>
      </c>
      <c r="Q3171">
        <v>1242</v>
      </c>
      <c r="R3171" t="s">
        <v>23</v>
      </c>
      <c r="S3171" s="1" t="s">
        <v>34218</v>
      </c>
    </row>
    <row r="3172" spans="1:19" x14ac:dyDescent="0.25">
      <c r="A3172">
        <v>100803887</v>
      </c>
      <c r="B3172" t="s">
        <v>8475</v>
      </c>
      <c r="C3172" t="s">
        <v>1533</v>
      </c>
      <c r="F3172" t="str">
        <f>"7329108543"</f>
        <v>7329108543</v>
      </c>
      <c r="G3172" t="s">
        <v>8476</v>
      </c>
      <c r="H3172" t="s">
        <v>5446</v>
      </c>
      <c r="I3172" t="s">
        <v>250</v>
      </c>
      <c r="J3172">
        <v>7095</v>
      </c>
      <c r="K3172">
        <v>1141</v>
      </c>
      <c r="L3172" t="s">
        <v>23</v>
      </c>
      <c r="M3172" t="s">
        <v>8476</v>
      </c>
      <c r="N3172" t="s">
        <v>5446</v>
      </c>
      <c r="O3172" t="s">
        <v>250</v>
      </c>
      <c r="P3172">
        <v>7095</v>
      </c>
      <c r="Q3172">
        <v>1141</v>
      </c>
      <c r="R3172" t="s">
        <v>23</v>
      </c>
      <c r="S3172" s="1" t="s">
        <v>34218</v>
      </c>
    </row>
    <row r="3173" spans="1:19" x14ac:dyDescent="0.25">
      <c r="A3173">
        <v>100548076</v>
      </c>
      <c r="B3173" t="s">
        <v>8477</v>
      </c>
      <c r="C3173" t="s">
        <v>1030</v>
      </c>
      <c r="F3173" t="str">
        <f>"3864922549"</f>
        <v>3864922549</v>
      </c>
      <c r="G3173" t="s">
        <v>8478</v>
      </c>
      <c r="H3173" t="s">
        <v>8479</v>
      </c>
      <c r="I3173" t="s">
        <v>52</v>
      </c>
      <c r="J3173">
        <v>32129</v>
      </c>
      <c r="K3173">
        <v>4107</v>
      </c>
      <c r="L3173" t="s">
        <v>23</v>
      </c>
      <c r="M3173" t="s">
        <v>8478</v>
      </c>
      <c r="N3173" t="s">
        <v>8479</v>
      </c>
      <c r="O3173" t="s">
        <v>52</v>
      </c>
      <c r="P3173">
        <v>32129</v>
      </c>
      <c r="Q3173">
        <v>4107</v>
      </c>
      <c r="R3173" t="s">
        <v>23</v>
      </c>
      <c r="S3173" s="1" t="s">
        <v>34218</v>
      </c>
    </row>
    <row r="3174" spans="1:19" x14ac:dyDescent="0.25">
      <c r="A3174">
        <v>100559042</v>
      </c>
      <c r="B3174" t="s">
        <v>1626</v>
      </c>
      <c r="C3174" t="s">
        <v>290</v>
      </c>
      <c r="F3174" t="str">
        <f>"8185551212"</f>
        <v>8185551212</v>
      </c>
      <c r="G3174" t="s">
        <v>8480</v>
      </c>
      <c r="H3174" t="s">
        <v>8481</v>
      </c>
      <c r="I3174" t="s">
        <v>22</v>
      </c>
      <c r="J3174">
        <v>91602</v>
      </c>
      <c r="K3174">
        <v>1002</v>
      </c>
      <c r="L3174" t="s">
        <v>23</v>
      </c>
      <c r="M3174" t="s">
        <v>8480</v>
      </c>
      <c r="N3174" t="s">
        <v>8481</v>
      </c>
      <c r="O3174" t="s">
        <v>22</v>
      </c>
      <c r="P3174">
        <v>91602</v>
      </c>
      <c r="Q3174">
        <v>1002</v>
      </c>
      <c r="R3174" t="s">
        <v>23</v>
      </c>
      <c r="S3174" s="1" t="s">
        <v>34218</v>
      </c>
    </row>
    <row r="3175" spans="1:19" x14ac:dyDescent="0.25">
      <c r="A3175">
        <v>100560782</v>
      </c>
      <c r="B3175" t="s">
        <v>4734</v>
      </c>
      <c r="C3175" t="s">
        <v>513</v>
      </c>
      <c r="F3175" t="str">
        <f>"7088484114"</f>
        <v>7088484114</v>
      </c>
      <c r="G3175" t="s">
        <v>8482</v>
      </c>
      <c r="H3175" t="s">
        <v>2809</v>
      </c>
      <c r="I3175" t="s">
        <v>135</v>
      </c>
      <c r="J3175">
        <v>60304</v>
      </c>
      <c r="K3175">
        <v>1944</v>
      </c>
      <c r="L3175" t="s">
        <v>23</v>
      </c>
      <c r="M3175" t="s">
        <v>8482</v>
      </c>
      <c r="N3175" t="s">
        <v>2809</v>
      </c>
      <c r="O3175" t="s">
        <v>135</v>
      </c>
      <c r="P3175">
        <v>60304</v>
      </c>
      <c r="Q3175">
        <v>1944</v>
      </c>
      <c r="R3175" t="s">
        <v>23</v>
      </c>
      <c r="S3175" s="1" t="s">
        <v>34218</v>
      </c>
    </row>
    <row r="3176" spans="1:19" x14ac:dyDescent="0.25">
      <c r="A3176">
        <v>100771917</v>
      </c>
      <c r="B3176" t="s">
        <v>8483</v>
      </c>
      <c r="C3176" t="s">
        <v>522</v>
      </c>
      <c r="F3176" t="str">
        <f>"9085316314"</f>
        <v>9085316314</v>
      </c>
      <c r="G3176" t="s">
        <v>8484</v>
      </c>
      <c r="H3176" t="s">
        <v>8485</v>
      </c>
      <c r="I3176" t="s">
        <v>250</v>
      </c>
      <c r="J3176">
        <v>7974</v>
      </c>
      <c r="K3176">
        <v>1127</v>
      </c>
      <c r="L3176" t="s">
        <v>23</v>
      </c>
      <c r="M3176" t="s">
        <v>8484</v>
      </c>
      <c r="N3176" t="s">
        <v>8485</v>
      </c>
      <c r="O3176" t="s">
        <v>250</v>
      </c>
      <c r="P3176">
        <v>7974</v>
      </c>
      <c r="Q3176">
        <v>1127</v>
      </c>
      <c r="R3176" t="s">
        <v>23</v>
      </c>
      <c r="S3176" s="1" t="s">
        <v>34218</v>
      </c>
    </row>
    <row r="3177" spans="1:19" x14ac:dyDescent="0.25">
      <c r="A3177">
        <v>100580942</v>
      </c>
      <c r="B3177" t="s">
        <v>8486</v>
      </c>
      <c r="C3177" t="s">
        <v>2037</v>
      </c>
      <c r="F3177" t="str">
        <f>"4145021602"</f>
        <v>4145021602</v>
      </c>
      <c r="G3177" t="s">
        <v>8487</v>
      </c>
      <c r="H3177" t="s">
        <v>8488</v>
      </c>
      <c r="I3177" t="s">
        <v>100</v>
      </c>
      <c r="J3177">
        <v>53228</v>
      </c>
      <c r="K3177">
        <v>2209</v>
      </c>
      <c r="L3177" t="s">
        <v>23</v>
      </c>
      <c r="M3177" t="s">
        <v>8487</v>
      </c>
      <c r="N3177" t="s">
        <v>8488</v>
      </c>
      <c r="O3177" t="s">
        <v>100</v>
      </c>
      <c r="P3177">
        <v>53228</v>
      </c>
      <c r="Q3177">
        <v>2209</v>
      </c>
      <c r="R3177" t="s">
        <v>23</v>
      </c>
      <c r="S3177" s="1" t="s">
        <v>34218</v>
      </c>
    </row>
    <row r="3178" spans="1:19" x14ac:dyDescent="0.25">
      <c r="A3178">
        <v>100598623</v>
      </c>
      <c r="B3178" t="s">
        <v>8489</v>
      </c>
      <c r="C3178" t="s">
        <v>890</v>
      </c>
      <c r="F3178" t="str">
        <f>"7727775321"</f>
        <v>7727775321</v>
      </c>
      <c r="G3178" t="s">
        <v>8490</v>
      </c>
      <c r="H3178" t="s">
        <v>8491</v>
      </c>
      <c r="I3178" t="s">
        <v>52</v>
      </c>
      <c r="J3178">
        <v>34953</v>
      </c>
      <c r="K3178">
        <v>2917</v>
      </c>
      <c r="L3178" t="s">
        <v>23</v>
      </c>
      <c r="M3178" t="s">
        <v>8490</v>
      </c>
      <c r="N3178" t="s">
        <v>8491</v>
      </c>
      <c r="O3178" t="s">
        <v>52</v>
      </c>
      <c r="P3178">
        <v>34953</v>
      </c>
      <c r="Q3178">
        <v>2917</v>
      </c>
      <c r="R3178" t="s">
        <v>23</v>
      </c>
      <c r="S3178" s="1" t="s">
        <v>34218</v>
      </c>
    </row>
    <row r="3179" spans="1:19" x14ac:dyDescent="0.25">
      <c r="A3179">
        <v>100789105</v>
      </c>
      <c r="B3179" t="s">
        <v>8492</v>
      </c>
      <c r="C3179" t="s">
        <v>575</v>
      </c>
      <c r="F3179" t="str">
        <f>"7172844282"</f>
        <v>7172844282</v>
      </c>
      <c r="G3179" t="s">
        <v>8493</v>
      </c>
      <c r="H3179" t="s">
        <v>8494</v>
      </c>
      <c r="I3179" t="s">
        <v>33</v>
      </c>
      <c r="J3179">
        <v>17532</v>
      </c>
      <c r="K3179">
        <v>9726</v>
      </c>
      <c r="L3179" t="s">
        <v>23</v>
      </c>
      <c r="M3179" t="s">
        <v>8493</v>
      </c>
      <c r="N3179" t="s">
        <v>8494</v>
      </c>
      <c r="O3179" t="s">
        <v>33</v>
      </c>
      <c r="P3179">
        <v>17532</v>
      </c>
      <c r="Q3179">
        <v>9726</v>
      </c>
      <c r="R3179" t="s">
        <v>23</v>
      </c>
      <c r="S3179" s="1" t="s">
        <v>34218</v>
      </c>
    </row>
    <row r="3180" spans="1:19" x14ac:dyDescent="0.25">
      <c r="A3180">
        <v>100811991</v>
      </c>
      <c r="B3180" t="s">
        <v>8495</v>
      </c>
      <c r="C3180" t="s">
        <v>8496</v>
      </c>
      <c r="F3180" t="str">
        <f>"9786585546"</f>
        <v>9786585546</v>
      </c>
      <c r="G3180" t="s">
        <v>8497</v>
      </c>
      <c r="H3180" t="s">
        <v>8498</v>
      </c>
      <c r="I3180" t="s">
        <v>236</v>
      </c>
      <c r="J3180">
        <v>1876</v>
      </c>
      <c r="K3180">
        <v>4432</v>
      </c>
      <c r="L3180" t="s">
        <v>23</v>
      </c>
      <c r="M3180" t="s">
        <v>8497</v>
      </c>
      <c r="N3180" t="s">
        <v>8498</v>
      </c>
      <c r="O3180" t="s">
        <v>236</v>
      </c>
      <c r="P3180">
        <v>1876</v>
      </c>
      <c r="Q3180">
        <v>4432</v>
      </c>
      <c r="R3180" t="s">
        <v>23</v>
      </c>
      <c r="S3180" s="1" t="s">
        <v>34218</v>
      </c>
    </row>
    <row r="3181" spans="1:19" x14ac:dyDescent="0.25">
      <c r="A3181">
        <v>100659974</v>
      </c>
      <c r="B3181" t="s">
        <v>8499</v>
      </c>
      <c r="C3181" t="s">
        <v>2127</v>
      </c>
      <c r="F3181" t="str">
        <f>"6083954812"</f>
        <v>6083954812</v>
      </c>
      <c r="G3181" t="s">
        <v>8500</v>
      </c>
      <c r="H3181" t="s">
        <v>2375</v>
      </c>
      <c r="I3181" t="s">
        <v>100</v>
      </c>
      <c r="J3181">
        <v>53715</v>
      </c>
      <c r="K3181">
        <v>2176</v>
      </c>
      <c r="L3181" t="s">
        <v>23</v>
      </c>
      <c r="M3181" t="s">
        <v>8500</v>
      </c>
      <c r="N3181" t="s">
        <v>2375</v>
      </c>
      <c r="O3181" t="s">
        <v>100</v>
      </c>
      <c r="P3181">
        <v>53715</v>
      </c>
      <c r="Q3181">
        <v>2176</v>
      </c>
      <c r="R3181" t="s">
        <v>23</v>
      </c>
      <c r="S3181" s="1" t="s">
        <v>34218</v>
      </c>
    </row>
    <row r="3182" spans="1:19" x14ac:dyDescent="0.25">
      <c r="A3182">
        <v>100662350</v>
      </c>
      <c r="B3182" t="s">
        <v>7693</v>
      </c>
      <c r="C3182" t="s">
        <v>2281</v>
      </c>
      <c r="F3182" t="str">
        <f>"7079647490"</f>
        <v>7079647490</v>
      </c>
      <c r="G3182" t="s">
        <v>8501</v>
      </c>
      <c r="H3182" t="s">
        <v>8502</v>
      </c>
      <c r="I3182" t="s">
        <v>22</v>
      </c>
      <c r="J3182">
        <v>95437</v>
      </c>
      <c r="K3182">
        <v>7719</v>
      </c>
      <c r="L3182" t="s">
        <v>23</v>
      </c>
      <c r="M3182" t="s">
        <v>8501</v>
      </c>
      <c r="N3182" t="s">
        <v>8502</v>
      </c>
      <c r="O3182" t="s">
        <v>22</v>
      </c>
      <c r="P3182">
        <v>95437</v>
      </c>
      <c r="Q3182">
        <v>7719</v>
      </c>
      <c r="R3182" t="s">
        <v>23</v>
      </c>
      <c r="S3182" s="1" t="s">
        <v>34218</v>
      </c>
    </row>
    <row r="3183" spans="1:19" x14ac:dyDescent="0.25">
      <c r="A3183">
        <v>100869691</v>
      </c>
      <c r="B3183" t="s">
        <v>8503</v>
      </c>
      <c r="C3183" t="s">
        <v>1463</v>
      </c>
      <c r="F3183" t="str">
        <f>"2198085966"</f>
        <v>2198085966</v>
      </c>
      <c r="G3183" t="s">
        <v>8504</v>
      </c>
      <c r="H3183" t="s">
        <v>8505</v>
      </c>
      <c r="I3183" t="s">
        <v>57</v>
      </c>
      <c r="J3183">
        <v>46373</v>
      </c>
      <c r="K3183">
        <v>9058</v>
      </c>
      <c r="L3183" t="s">
        <v>23</v>
      </c>
      <c r="M3183" t="s">
        <v>8504</v>
      </c>
      <c r="N3183" t="s">
        <v>8505</v>
      </c>
      <c r="O3183" t="s">
        <v>57</v>
      </c>
      <c r="P3183">
        <v>46373</v>
      </c>
      <c r="Q3183">
        <v>9058</v>
      </c>
      <c r="R3183" t="s">
        <v>23</v>
      </c>
      <c r="S3183" s="1" t="s">
        <v>34218</v>
      </c>
    </row>
    <row r="3184" spans="1:19" x14ac:dyDescent="0.25">
      <c r="A3184">
        <v>100855219</v>
      </c>
      <c r="B3184" t="s">
        <v>8506</v>
      </c>
      <c r="C3184" t="s">
        <v>8507</v>
      </c>
      <c r="F3184" t="str">
        <f>"8188888888"</f>
        <v>8188888888</v>
      </c>
      <c r="G3184" t="s">
        <v>8508</v>
      </c>
      <c r="H3184" t="s">
        <v>1538</v>
      </c>
      <c r="I3184" t="s">
        <v>22</v>
      </c>
      <c r="J3184">
        <v>91423</v>
      </c>
      <c r="K3184">
        <v>1929</v>
      </c>
      <c r="L3184" t="s">
        <v>23</v>
      </c>
      <c r="M3184" t="s">
        <v>8508</v>
      </c>
      <c r="N3184" t="s">
        <v>1538</v>
      </c>
      <c r="O3184" t="s">
        <v>22</v>
      </c>
      <c r="P3184">
        <v>91423</v>
      </c>
      <c r="Q3184">
        <v>1929</v>
      </c>
      <c r="R3184" t="s">
        <v>23</v>
      </c>
      <c r="S3184" s="1" t="s">
        <v>34218</v>
      </c>
    </row>
    <row r="3185" spans="1:19" x14ac:dyDescent="0.25">
      <c r="A3185">
        <v>100896918</v>
      </c>
      <c r="B3185" t="s">
        <v>7881</v>
      </c>
      <c r="C3185" t="s">
        <v>266</v>
      </c>
      <c r="F3185" t="str">
        <f>"3109266990"</f>
        <v>3109266990</v>
      </c>
      <c r="G3185" t="s">
        <v>8509</v>
      </c>
      <c r="H3185" t="s">
        <v>2370</v>
      </c>
      <c r="I3185" t="s">
        <v>22</v>
      </c>
      <c r="J3185">
        <v>90230</v>
      </c>
      <c r="K3185">
        <v>4226</v>
      </c>
      <c r="L3185" t="s">
        <v>23</v>
      </c>
      <c r="M3185" t="s">
        <v>8509</v>
      </c>
      <c r="N3185" t="s">
        <v>2370</v>
      </c>
      <c r="O3185" t="s">
        <v>22</v>
      </c>
      <c r="P3185">
        <v>90230</v>
      </c>
      <c r="Q3185">
        <v>4226</v>
      </c>
      <c r="R3185" t="s">
        <v>23</v>
      </c>
      <c r="S3185" s="1" t="s">
        <v>34218</v>
      </c>
    </row>
    <row r="3186" spans="1:19" x14ac:dyDescent="0.25">
      <c r="A3186">
        <v>101303050</v>
      </c>
      <c r="B3186" t="s">
        <v>8510</v>
      </c>
      <c r="C3186" t="s">
        <v>2776</v>
      </c>
      <c r="F3186" t="str">
        <f>"8286659247"</f>
        <v>8286659247</v>
      </c>
      <c r="G3186" t="s">
        <v>8511</v>
      </c>
      <c r="H3186" t="s">
        <v>8512</v>
      </c>
      <c r="I3186" t="s">
        <v>446</v>
      </c>
      <c r="J3186">
        <v>28715</v>
      </c>
      <c r="K3186">
        <v>2080</v>
      </c>
      <c r="L3186" t="s">
        <v>23</v>
      </c>
      <c r="M3186" t="s">
        <v>8511</v>
      </c>
      <c r="N3186" t="s">
        <v>8512</v>
      </c>
      <c r="O3186" t="s">
        <v>446</v>
      </c>
      <c r="P3186">
        <v>28715</v>
      </c>
      <c r="Q3186">
        <v>2080</v>
      </c>
      <c r="R3186" t="s">
        <v>23</v>
      </c>
      <c r="S3186" s="1" t="s">
        <v>34218</v>
      </c>
    </row>
    <row r="3187" spans="1:19" x14ac:dyDescent="0.25">
      <c r="A3187">
        <v>101307137</v>
      </c>
      <c r="B3187" t="s">
        <v>8513</v>
      </c>
      <c r="C3187" t="s">
        <v>1422</v>
      </c>
      <c r="F3187" t="str">
        <f>"3364376242"</f>
        <v>3364376242</v>
      </c>
      <c r="G3187" t="s">
        <v>8514</v>
      </c>
      <c r="H3187" t="s">
        <v>2798</v>
      </c>
      <c r="I3187" t="s">
        <v>446</v>
      </c>
      <c r="J3187">
        <v>27215</v>
      </c>
      <c r="K3187">
        <v>9520</v>
      </c>
      <c r="L3187" t="s">
        <v>23</v>
      </c>
      <c r="M3187" t="s">
        <v>8514</v>
      </c>
      <c r="N3187" t="s">
        <v>2798</v>
      </c>
      <c r="O3187" t="s">
        <v>446</v>
      </c>
      <c r="P3187">
        <v>27215</v>
      </c>
      <c r="Q3187">
        <v>9520</v>
      </c>
      <c r="R3187" t="s">
        <v>23</v>
      </c>
      <c r="S3187" s="1" t="s">
        <v>34218</v>
      </c>
    </row>
    <row r="3188" spans="1:19" x14ac:dyDescent="0.25">
      <c r="A3188">
        <v>101312809</v>
      </c>
      <c r="B3188" t="s">
        <v>8515</v>
      </c>
      <c r="C3188" t="s">
        <v>2281</v>
      </c>
      <c r="F3188" t="str">
        <f>"8177979323"</f>
        <v>8177979323</v>
      </c>
      <c r="G3188" t="s">
        <v>8516</v>
      </c>
      <c r="H3188" t="s">
        <v>8517</v>
      </c>
      <c r="I3188" t="s">
        <v>38</v>
      </c>
      <c r="J3188">
        <v>76179</v>
      </c>
      <c r="K3188">
        <v>978</v>
      </c>
      <c r="L3188" t="s">
        <v>23</v>
      </c>
      <c r="M3188" t="s">
        <v>8516</v>
      </c>
      <c r="N3188" t="s">
        <v>8517</v>
      </c>
      <c r="O3188" t="s">
        <v>38</v>
      </c>
      <c r="P3188">
        <v>76179</v>
      </c>
      <c r="Q3188">
        <v>978</v>
      </c>
      <c r="R3188" t="s">
        <v>23</v>
      </c>
      <c r="S3188" s="1" t="s">
        <v>34218</v>
      </c>
    </row>
    <row r="3189" spans="1:19" x14ac:dyDescent="0.25">
      <c r="A3189">
        <v>101344561</v>
      </c>
      <c r="B3189" t="s">
        <v>8518</v>
      </c>
      <c r="C3189" t="s">
        <v>5613</v>
      </c>
      <c r="F3189" t="str">
        <f>"5124548056"</f>
        <v>5124548056</v>
      </c>
      <c r="G3189" t="s">
        <v>8519</v>
      </c>
      <c r="H3189" t="s">
        <v>37</v>
      </c>
      <c r="I3189" t="s">
        <v>38</v>
      </c>
      <c r="J3189">
        <v>78757</v>
      </c>
      <c r="K3189">
        <v>3103</v>
      </c>
      <c r="L3189" t="s">
        <v>23</v>
      </c>
      <c r="M3189" t="s">
        <v>8519</v>
      </c>
      <c r="N3189" t="s">
        <v>37</v>
      </c>
      <c r="O3189" t="s">
        <v>38</v>
      </c>
      <c r="P3189">
        <v>78757</v>
      </c>
      <c r="Q3189">
        <v>3103</v>
      </c>
      <c r="R3189" t="s">
        <v>23</v>
      </c>
      <c r="S3189" s="1" t="s">
        <v>34218</v>
      </c>
    </row>
    <row r="3190" spans="1:19" x14ac:dyDescent="0.25">
      <c r="A3190">
        <v>101341706</v>
      </c>
      <c r="B3190" t="s">
        <v>8520</v>
      </c>
      <c r="C3190" t="s">
        <v>4587</v>
      </c>
      <c r="F3190" t="str">
        <f>"5054744850"</f>
        <v>5054744850</v>
      </c>
      <c r="G3190" t="s">
        <v>8521</v>
      </c>
      <c r="H3190" t="s">
        <v>1431</v>
      </c>
      <c r="I3190" t="s">
        <v>639</v>
      </c>
      <c r="J3190">
        <v>87507</v>
      </c>
      <c r="K3190">
        <v>7701</v>
      </c>
      <c r="L3190" t="s">
        <v>23</v>
      </c>
      <c r="M3190" t="s">
        <v>8521</v>
      </c>
      <c r="N3190" t="s">
        <v>1431</v>
      </c>
      <c r="O3190" t="s">
        <v>639</v>
      </c>
      <c r="P3190">
        <v>87507</v>
      </c>
      <c r="Q3190">
        <v>7701</v>
      </c>
      <c r="R3190" t="s">
        <v>23</v>
      </c>
      <c r="S3190" s="1" t="s">
        <v>34218</v>
      </c>
    </row>
    <row r="3191" spans="1:19" x14ac:dyDescent="0.25">
      <c r="A3191">
        <v>101359461</v>
      </c>
      <c r="B3191" t="s">
        <v>8522</v>
      </c>
      <c r="C3191" t="s">
        <v>4257</v>
      </c>
      <c r="F3191" t="str">
        <f>"5175452979"</f>
        <v>5175452979</v>
      </c>
      <c r="G3191" t="s">
        <v>8523</v>
      </c>
      <c r="H3191" t="s">
        <v>5540</v>
      </c>
      <c r="I3191" t="s">
        <v>140</v>
      </c>
      <c r="J3191">
        <v>48855</v>
      </c>
      <c r="K3191">
        <v>6411</v>
      </c>
      <c r="L3191" t="s">
        <v>23</v>
      </c>
      <c r="M3191" t="s">
        <v>8523</v>
      </c>
      <c r="N3191" t="s">
        <v>5540</v>
      </c>
      <c r="O3191" t="s">
        <v>140</v>
      </c>
      <c r="P3191">
        <v>48855</v>
      </c>
      <c r="Q3191">
        <v>6411</v>
      </c>
      <c r="R3191" t="s">
        <v>23</v>
      </c>
      <c r="S3191" s="1" t="s">
        <v>34218</v>
      </c>
    </row>
    <row r="3192" spans="1:19" x14ac:dyDescent="0.25">
      <c r="A3192">
        <v>101360995</v>
      </c>
      <c r="B3192" t="s">
        <v>8524</v>
      </c>
      <c r="C3192" t="s">
        <v>180</v>
      </c>
      <c r="F3192" t="str">
        <f>"7602458734"</f>
        <v>7602458734</v>
      </c>
      <c r="G3192" t="s">
        <v>8525</v>
      </c>
      <c r="H3192" t="s">
        <v>8526</v>
      </c>
      <c r="I3192" t="s">
        <v>22</v>
      </c>
      <c r="J3192">
        <v>92394</v>
      </c>
      <c r="K3192">
        <v>1383</v>
      </c>
      <c r="L3192" t="s">
        <v>23</v>
      </c>
      <c r="M3192" t="s">
        <v>8525</v>
      </c>
      <c r="N3192" t="s">
        <v>8526</v>
      </c>
      <c r="O3192" t="s">
        <v>22</v>
      </c>
      <c r="P3192">
        <v>92394</v>
      </c>
      <c r="Q3192">
        <v>1383</v>
      </c>
      <c r="R3192" t="s">
        <v>23</v>
      </c>
      <c r="S3192" s="1" t="s">
        <v>34218</v>
      </c>
    </row>
    <row r="3193" spans="1:19" x14ac:dyDescent="0.25">
      <c r="A3193">
        <v>100995109</v>
      </c>
      <c r="B3193" t="s">
        <v>1134</v>
      </c>
      <c r="C3193" t="s">
        <v>1873</v>
      </c>
      <c r="F3193" t="str">
        <f>"9703980883"</f>
        <v>9703980883</v>
      </c>
      <c r="G3193" t="s">
        <v>8527</v>
      </c>
      <c r="H3193" t="s">
        <v>3348</v>
      </c>
      <c r="I3193" t="s">
        <v>71</v>
      </c>
      <c r="J3193">
        <v>81147</v>
      </c>
      <c r="K3193">
        <v>7004</v>
      </c>
      <c r="L3193" t="s">
        <v>23</v>
      </c>
      <c r="M3193" t="s">
        <v>8527</v>
      </c>
      <c r="N3193" t="s">
        <v>3348</v>
      </c>
      <c r="O3193" t="s">
        <v>71</v>
      </c>
      <c r="P3193">
        <v>81147</v>
      </c>
      <c r="Q3193">
        <v>7004</v>
      </c>
      <c r="R3193" t="s">
        <v>23</v>
      </c>
      <c r="S3193" s="1" t="s">
        <v>34218</v>
      </c>
    </row>
    <row r="3194" spans="1:19" x14ac:dyDescent="0.25">
      <c r="A3194">
        <v>101174930</v>
      </c>
      <c r="B3194" t="s">
        <v>744</v>
      </c>
      <c r="C3194" t="s">
        <v>1161</v>
      </c>
      <c r="F3194" t="str">
        <f>"8055463100"</f>
        <v>8055463100</v>
      </c>
      <c r="G3194" t="s">
        <v>8528</v>
      </c>
      <c r="H3194" t="s">
        <v>1181</v>
      </c>
      <c r="I3194" t="s">
        <v>22</v>
      </c>
      <c r="J3194">
        <v>93402</v>
      </c>
      <c r="K3194">
        <v>4006</v>
      </c>
      <c r="L3194" t="s">
        <v>23</v>
      </c>
      <c r="M3194" t="s">
        <v>8528</v>
      </c>
      <c r="N3194" t="s">
        <v>1181</v>
      </c>
      <c r="O3194" t="s">
        <v>22</v>
      </c>
      <c r="P3194">
        <v>93402</v>
      </c>
      <c r="Q3194">
        <v>4006</v>
      </c>
      <c r="R3194" t="s">
        <v>23</v>
      </c>
      <c r="S3194" s="1" t="s">
        <v>34218</v>
      </c>
    </row>
    <row r="3195" spans="1:19" x14ac:dyDescent="0.25">
      <c r="A3195">
        <v>101178264</v>
      </c>
      <c r="B3195" t="s">
        <v>686</v>
      </c>
      <c r="C3195" t="s">
        <v>1542</v>
      </c>
      <c r="F3195" t="str">
        <f>"8584831212"</f>
        <v>8584831212</v>
      </c>
      <c r="G3195" t="s">
        <v>8529</v>
      </c>
      <c r="H3195" t="s">
        <v>198</v>
      </c>
      <c r="I3195" t="s">
        <v>22</v>
      </c>
      <c r="J3195">
        <v>92117</v>
      </c>
      <c r="K3195">
        <v>2507</v>
      </c>
      <c r="L3195" t="s">
        <v>23</v>
      </c>
      <c r="M3195" t="s">
        <v>8529</v>
      </c>
      <c r="N3195" t="s">
        <v>198</v>
      </c>
      <c r="O3195" t="s">
        <v>22</v>
      </c>
      <c r="P3195">
        <v>92117</v>
      </c>
      <c r="Q3195">
        <v>2507</v>
      </c>
      <c r="R3195" t="s">
        <v>23</v>
      </c>
      <c r="S3195" s="1" t="s">
        <v>34218</v>
      </c>
    </row>
    <row r="3196" spans="1:19" x14ac:dyDescent="0.25">
      <c r="A3196">
        <v>101183513</v>
      </c>
      <c r="B3196" t="s">
        <v>8530</v>
      </c>
      <c r="C3196" t="s">
        <v>1208</v>
      </c>
      <c r="F3196" t="str">
        <f>"3474526158"</f>
        <v>3474526158</v>
      </c>
      <c r="G3196" t="s">
        <v>8531</v>
      </c>
      <c r="H3196" t="s">
        <v>412</v>
      </c>
      <c r="I3196" t="s">
        <v>117</v>
      </c>
      <c r="J3196">
        <v>11229</v>
      </c>
      <c r="K3196">
        <v>2948</v>
      </c>
      <c r="L3196" t="s">
        <v>23</v>
      </c>
      <c r="M3196" t="s">
        <v>8531</v>
      </c>
      <c r="N3196" t="s">
        <v>412</v>
      </c>
      <c r="O3196" t="s">
        <v>117</v>
      </c>
      <c r="P3196">
        <v>11229</v>
      </c>
      <c r="Q3196">
        <v>2948</v>
      </c>
      <c r="R3196" t="s">
        <v>23</v>
      </c>
      <c r="S3196" s="1" t="s">
        <v>34218</v>
      </c>
    </row>
    <row r="3197" spans="1:19" x14ac:dyDescent="0.25">
      <c r="A3197">
        <v>101065109</v>
      </c>
      <c r="B3197" t="s">
        <v>8294</v>
      </c>
      <c r="C3197" t="s">
        <v>8532</v>
      </c>
      <c r="F3197" t="str">
        <f>"3106494273"</f>
        <v>3106494273</v>
      </c>
      <c r="G3197" t="s">
        <v>8533</v>
      </c>
      <c r="H3197" t="s">
        <v>299</v>
      </c>
      <c r="I3197" t="s">
        <v>22</v>
      </c>
      <c r="J3197">
        <v>90045</v>
      </c>
      <c r="K3197">
        <v>3707</v>
      </c>
      <c r="L3197" t="s">
        <v>23</v>
      </c>
      <c r="M3197" t="s">
        <v>8533</v>
      </c>
      <c r="N3197" t="s">
        <v>299</v>
      </c>
      <c r="O3197" t="s">
        <v>22</v>
      </c>
      <c r="P3197">
        <v>90045</v>
      </c>
      <c r="Q3197">
        <v>3707</v>
      </c>
      <c r="R3197" t="s">
        <v>23</v>
      </c>
      <c r="S3197" s="1" t="s">
        <v>34218</v>
      </c>
    </row>
    <row r="3198" spans="1:19" x14ac:dyDescent="0.25">
      <c r="A3198">
        <v>101272835</v>
      </c>
      <c r="B3198" t="s">
        <v>8534</v>
      </c>
      <c r="C3198" t="s">
        <v>8535</v>
      </c>
      <c r="F3198" t="str">
        <f>"3522171770"</f>
        <v>3522171770</v>
      </c>
      <c r="G3198" t="s">
        <v>8536</v>
      </c>
      <c r="H3198" t="s">
        <v>8537</v>
      </c>
      <c r="I3198" t="s">
        <v>52</v>
      </c>
      <c r="J3198">
        <v>32726</v>
      </c>
      <c r="K3198">
        <v>8404</v>
      </c>
      <c r="L3198" t="s">
        <v>23</v>
      </c>
      <c r="M3198" t="s">
        <v>8536</v>
      </c>
      <c r="N3198" t="s">
        <v>8537</v>
      </c>
      <c r="O3198" t="s">
        <v>52</v>
      </c>
      <c r="P3198">
        <v>32726</v>
      </c>
      <c r="Q3198">
        <v>8404</v>
      </c>
      <c r="R3198" t="s">
        <v>23</v>
      </c>
      <c r="S3198" s="1" t="s">
        <v>34218</v>
      </c>
    </row>
    <row r="3199" spans="1:19" x14ac:dyDescent="0.25">
      <c r="A3199">
        <v>101282006</v>
      </c>
      <c r="B3199" t="s">
        <v>8538</v>
      </c>
      <c r="C3199" t="s">
        <v>262</v>
      </c>
      <c r="F3199" t="str">
        <f>"3608303157"</f>
        <v>3608303157</v>
      </c>
      <c r="G3199" t="s">
        <v>8539</v>
      </c>
      <c r="H3199" t="s">
        <v>3105</v>
      </c>
      <c r="I3199" t="s">
        <v>84</v>
      </c>
      <c r="J3199">
        <v>98312</v>
      </c>
      <c r="K3199">
        <v>9614</v>
      </c>
      <c r="L3199" t="s">
        <v>23</v>
      </c>
      <c r="M3199" t="s">
        <v>8539</v>
      </c>
      <c r="N3199" t="s">
        <v>3105</v>
      </c>
      <c r="O3199" t="s">
        <v>84</v>
      </c>
      <c r="P3199">
        <v>98312</v>
      </c>
      <c r="Q3199">
        <v>9614</v>
      </c>
      <c r="R3199" t="s">
        <v>23</v>
      </c>
      <c r="S3199" s="1" t="s">
        <v>34218</v>
      </c>
    </row>
    <row r="3200" spans="1:19" x14ac:dyDescent="0.25">
      <c r="A3200">
        <v>101289488</v>
      </c>
      <c r="B3200" t="s">
        <v>8540</v>
      </c>
      <c r="C3200" t="s">
        <v>8541</v>
      </c>
      <c r="F3200" t="str">
        <f>"8329654461"</f>
        <v>8329654461</v>
      </c>
      <c r="G3200" t="s">
        <v>8542</v>
      </c>
      <c r="H3200" t="s">
        <v>4917</v>
      </c>
      <c r="I3200" t="s">
        <v>241</v>
      </c>
      <c r="J3200">
        <v>66607</v>
      </c>
      <c r="K3200">
        <v>1915</v>
      </c>
      <c r="L3200" t="s">
        <v>23</v>
      </c>
      <c r="M3200" t="s">
        <v>8542</v>
      </c>
      <c r="N3200" t="s">
        <v>4917</v>
      </c>
      <c r="O3200" t="s">
        <v>241</v>
      </c>
      <c r="P3200">
        <v>66607</v>
      </c>
      <c r="Q3200">
        <v>1915</v>
      </c>
      <c r="R3200" t="s">
        <v>23</v>
      </c>
      <c r="S3200" s="1" t="s">
        <v>34218</v>
      </c>
    </row>
    <row r="3201" spans="1:19" x14ac:dyDescent="0.25">
      <c r="A3201">
        <v>101278522</v>
      </c>
      <c r="B3201" t="s">
        <v>8543</v>
      </c>
      <c r="C3201" t="s">
        <v>7257</v>
      </c>
      <c r="F3201" t="str">
        <f>"6105440377"</f>
        <v>6105440377</v>
      </c>
      <c r="G3201" t="s">
        <v>8544</v>
      </c>
      <c r="H3201" t="s">
        <v>746</v>
      </c>
      <c r="I3201" t="s">
        <v>33</v>
      </c>
      <c r="J3201">
        <v>19064</v>
      </c>
      <c r="K3201">
        <v>1543</v>
      </c>
      <c r="L3201" t="s">
        <v>23</v>
      </c>
      <c r="M3201" t="s">
        <v>8544</v>
      </c>
      <c r="N3201" t="s">
        <v>746</v>
      </c>
      <c r="O3201" t="s">
        <v>33</v>
      </c>
      <c r="P3201">
        <v>19064</v>
      </c>
      <c r="Q3201">
        <v>1543</v>
      </c>
      <c r="R3201" t="s">
        <v>23</v>
      </c>
      <c r="S3201" s="1" t="s">
        <v>34218</v>
      </c>
    </row>
    <row r="3202" spans="1:19" x14ac:dyDescent="0.25">
      <c r="A3202">
        <v>101392177</v>
      </c>
      <c r="B3202" t="s">
        <v>928</v>
      </c>
      <c r="C3202" t="s">
        <v>2642</v>
      </c>
      <c r="F3202" t="str">
        <f>"5035506870"</f>
        <v>5035506870</v>
      </c>
      <c r="G3202" t="s">
        <v>8545</v>
      </c>
      <c r="H3202" t="s">
        <v>7027</v>
      </c>
      <c r="I3202" t="s">
        <v>43</v>
      </c>
      <c r="J3202">
        <v>97007</v>
      </c>
      <c r="K3202">
        <v>4732</v>
      </c>
      <c r="L3202" t="s">
        <v>23</v>
      </c>
      <c r="M3202" t="s">
        <v>8545</v>
      </c>
      <c r="N3202" t="s">
        <v>7027</v>
      </c>
      <c r="O3202" t="s">
        <v>43</v>
      </c>
      <c r="P3202">
        <v>97007</v>
      </c>
      <c r="Q3202">
        <v>4732</v>
      </c>
      <c r="R3202" t="s">
        <v>23</v>
      </c>
      <c r="S3202" s="1" t="s">
        <v>34218</v>
      </c>
    </row>
    <row r="3203" spans="1:19" x14ac:dyDescent="0.25">
      <c r="A3203">
        <v>101403945</v>
      </c>
      <c r="B3203" t="s">
        <v>8546</v>
      </c>
      <c r="C3203" t="s">
        <v>8547</v>
      </c>
      <c r="F3203" t="str">
        <f>"7344821506"</f>
        <v>7344821506</v>
      </c>
      <c r="G3203" t="s">
        <v>8548</v>
      </c>
      <c r="H3203" t="s">
        <v>7045</v>
      </c>
      <c r="I3203" t="s">
        <v>140</v>
      </c>
      <c r="J3203">
        <v>48198</v>
      </c>
      <c r="K3203">
        <v>3655</v>
      </c>
      <c r="L3203" t="s">
        <v>23</v>
      </c>
      <c r="M3203" t="s">
        <v>8548</v>
      </c>
      <c r="N3203" t="s">
        <v>7045</v>
      </c>
      <c r="O3203" t="s">
        <v>140</v>
      </c>
      <c r="P3203">
        <v>48198</v>
      </c>
      <c r="Q3203">
        <v>3655</v>
      </c>
      <c r="R3203" t="s">
        <v>23</v>
      </c>
      <c r="S3203" s="1" t="s">
        <v>34218</v>
      </c>
    </row>
    <row r="3204" spans="1:19" x14ac:dyDescent="0.25">
      <c r="A3204">
        <v>101408996</v>
      </c>
      <c r="B3204" t="s">
        <v>2891</v>
      </c>
      <c r="C3204" t="s">
        <v>3909</v>
      </c>
      <c r="F3204" t="str">
        <f>"5613523689"</f>
        <v>5613523689</v>
      </c>
      <c r="G3204" t="s">
        <v>8549</v>
      </c>
      <c r="H3204" t="s">
        <v>4693</v>
      </c>
      <c r="I3204" t="s">
        <v>52</v>
      </c>
      <c r="J3204">
        <v>33484</v>
      </c>
      <c r="K3204">
        <v>1239</v>
      </c>
      <c r="L3204" t="s">
        <v>23</v>
      </c>
      <c r="M3204" t="s">
        <v>8549</v>
      </c>
      <c r="N3204" t="s">
        <v>4693</v>
      </c>
      <c r="O3204" t="s">
        <v>52</v>
      </c>
      <c r="P3204">
        <v>33484</v>
      </c>
      <c r="Q3204">
        <v>1239</v>
      </c>
      <c r="R3204" t="s">
        <v>23</v>
      </c>
      <c r="S3204" s="1" t="s">
        <v>34218</v>
      </c>
    </row>
    <row r="3205" spans="1:19" x14ac:dyDescent="0.25">
      <c r="A3205">
        <v>101402838</v>
      </c>
      <c r="B3205" t="s">
        <v>8550</v>
      </c>
      <c r="C3205" t="s">
        <v>81</v>
      </c>
      <c r="F3205" t="str">
        <f>"4153462807"</f>
        <v>4153462807</v>
      </c>
      <c r="G3205" t="s">
        <v>8551</v>
      </c>
      <c r="H3205" t="s">
        <v>130</v>
      </c>
      <c r="I3205" t="s">
        <v>22</v>
      </c>
      <c r="J3205">
        <v>94115</v>
      </c>
      <c r="K3205">
        <v>2927</v>
      </c>
      <c r="L3205" t="s">
        <v>23</v>
      </c>
      <c r="M3205" t="s">
        <v>8551</v>
      </c>
      <c r="N3205" t="s">
        <v>130</v>
      </c>
      <c r="O3205" t="s">
        <v>22</v>
      </c>
      <c r="P3205">
        <v>94115</v>
      </c>
      <c r="Q3205">
        <v>2927</v>
      </c>
      <c r="R3205" t="s">
        <v>23</v>
      </c>
      <c r="S3205" s="1" t="s">
        <v>34218</v>
      </c>
    </row>
    <row r="3206" spans="1:19" x14ac:dyDescent="0.25">
      <c r="A3206">
        <v>101077433</v>
      </c>
      <c r="B3206" t="s">
        <v>8552</v>
      </c>
      <c r="C3206" t="s">
        <v>5283</v>
      </c>
      <c r="F3206" t="str">
        <f>"9284991942"</f>
        <v>9284991942</v>
      </c>
      <c r="G3206" t="s">
        <v>8553</v>
      </c>
      <c r="H3206" t="s">
        <v>723</v>
      </c>
      <c r="I3206" t="s">
        <v>365</v>
      </c>
      <c r="J3206" t="s">
        <v>8554</v>
      </c>
      <c r="K3206">
        <v>6561</v>
      </c>
      <c r="L3206" t="s">
        <v>23</v>
      </c>
      <c r="M3206" t="s">
        <v>8553</v>
      </c>
      <c r="N3206" t="s">
        <v>723</v>
      </c>
      <c r="O3206" t="s">
        <v>365</v>
      </c>
      <c r="P3206" t="s">
        <v>8554</v>
      </c>
      <c r="Q3206">
        <v>6561</v>
      </c>
      <c r="R3206" t="s">
        <v>23</v>
      </c>
      <c r="S3206" s="1" t="s">
        <v>34218</v>
      </c>
    </row>
    <row r="3207" spans="1:19" x14ac:dyDescent="0.25">
      <c r="A3207">
        <v>100565345</v>
      </c>
      <c r="B3207" t="s">
        <v>2769</v>
      </c>
      <c r="C3207" t="s">
        <v>172</v>
      </c>
      <c r="F3207" t="str">
        <f>"8454293128"</f>
        <v>8454293128</v>
      </c>
      <c r="G3207" t="s">
        <v>8555</v>
      </c>
      <c r="H3207" t="s">
        <v>4617</v>
      </c>
      <c r="I3207" t="s">
        <v>117</v>
      </c>
      <c r="J3207" t="s">
        <v>8556</v>
      </c>
      <c r="K3207">
        <v>4250</v>
      </c>
      <c r="L3207" t="s">
        <v>23</v>
      </c>
      <c r="M3207" t="s">
        <v>8555</v>
      </c>
      <c r="N3207" t="s">
        <v>4617</v>
      </c>
      <c r="O3207" t="s">
        <v>117</v>
      </c>
      <c r="P3207" t="s">
        <v>8556</v>
      </c>
      <c r="Q3207">
        <v>4250</v>
      </c>
      <c r="R3207" t="s">
        <v>23</v>
      </c>
      <c r="S3207" s="1" t="s">
        <v>34218</v>
      </c>
    </row>
    <row r="3208" spans="1:19" x14ac:dyDescent="0.25">
      <c r="A3208">
        <v>101310160</v>
      </c>
      <c r="B3208" t="s">
        <v>8557</v>
      </c>
      <c r="C3208" t="s">
        <v>8558</v>
      </c>
      <c r="F3208" t="str">
        <f>"9897330295"</f>
        <v>9897330295</v>
      </c>
      <c r="G3208" t="s">
        <v>8559</v>
      </c>
      <c r="H3208" t="s">
        <v>8560</v>
      </c>
      <c r="I3208" t="s">
        <v>140</v>
      </c>
      <c r="J3208" t="s">
        <v>8561</v>
      </c>
      <c r="K3208">
        <v>9511</v>
      </c>
      <c r="L3208" t="s">
        <v>23</v>
      </c>
      <c r="M3208" t="s">
        <v>8559</v>
      </c>
      <c r="N3208" t="s">
        <v>8560</v>
      </c>
      <c r="O3208" t="s">
        <v>140</v>
      </c>
      <c r="P3208" t="s">
        <v>8561</v>
      </c>
      <c r="Q3208">
        <v>9511</v>
      </c>
      <c r="R3208" t="s">
        <v>23</v>
      </c>
      <c r="S3208" s="1" t="s">
        <v>34218</v>
      </c>
    </row>
    <row r="3209" spans="1:19" x14ac:dyDescent="0.25">
      <c r="A3209">
        <v>101378655</v>
      </c>
      <c r="B3209" t="s">
        <v>8562</v>
      </c>
      <c r="C3209" t="s">
        <v>1588</v>
      </c>
      <c r="F3209" t="str">
        <f>"8656934442"</f>
        <v>8656934442</v>
      </c>
      <c r="G3209" t="s">
        <v>8563</v>
      </c>
      <c r="H3209" t="s">
        <v>6224</v>
      </c>
      <c r="I3209" t="s">
        <v>914</v>
      </c>
      <c r="J3209">
        <v>37909</v>
      </c>
      <c r="K3209">
        <v>2401</v>
      </c>
      <c r="L3209" t="s">
        <v>23</v>
      </c>
      <c r="M3209" t="s">
        <v>8563</v>
      </c>
      <c r="N3209" t="s">
        <v>6224</v>
      </c>
      <c r="O3209" t="s">
        <v>914</v>
      </c>
      <c r="P3209">
        <v>37909</v>
      </c>
      <c r="Q3209">
        <v>2401</v>
      </c>
      <c r="R3209" t="s">
        <v>23</v>
      </c>
      <c r="S3209" s="1" t="s">
        <v>34218</v>
      </c>
    </row>
    <row r="3210" spans="1:19" x14ac:dyDescent="0.25">
      <c r="A3210">
        <v>100680319</v>
      </c>
      <c r="B3210" t="s">
        <v>8564</v>
      </c>
      <c r="C3210" t="s">
        <v>2193</v>
      </c>
      <c r="F3210" t="str">
        <f>"6194273834"</f>
        <v>6194273834</v>
      </c>
      <c r="G3210" t="s">
        <v>8565</v>
      </c>
      <c r="H3210" t="s">
        <v>2948</v>
      </c>
      <c r="I3210" t="s">
        <v>22</v>
      </c>
      <c r="J3210">
        <v>91910</v>
      </c>
      <c r="K3210">
        <v>2709</v>
      </c>
      <c r="L3210" t="s">
        <v>23</v>
      </c>
      <c r="M3210" t="s">
        <v>8565</v>
      </c>
      <c r="N3210" t="s">
        <v>2948</v>
      </c>
      <c r="O3210" t="s">
        <v>22</v>
      </c>
      <c r="P3210">
        <v>91910</v>
      </c>
      <c r="Q3210">
        <v>2709</v>
      </c>
      <c r="R3210" t="s">
        <v>23</v>
      </c>
      <c r="S3210" s="1" t="s">
        <v>34218</v>
      </c>
    </row>
    <row r="3211" spans="1:19" x14ac:dyDescent="0.25">
      <c r="A3211">
        <v>100637567</v>
      </c>
      <c r="B3211" t="s">
        <v>8566</v>
      </c>
      <c r="C3211" t="s">
        <v>432</v>
      </c>
      <c r="F3211" t="str">
        <f>"8087838775"</f>
        <v>8087838775</v>
      </c>
      <c r="G3211" t="s">
        <v>8567</v>
      </c>
      <c r="H3211" t="s">
        <v>8568</v>
      </c>
      <c r="I3211" t="s">
        <v>984</v>
      </c>
      <c r="J3211" t="s">
        <v>8569</v>
      </c>
      <c r="K3211">
        <v>1031</v>
      </c>
      <c r="L3211" t="s">
        <v>23</v>
      </c>
      <c r="M3211" t="s">
        <v>8567</v>
      </c>
      <c r="N3211" t="s">
        <v>8568</v>
      </c>
      <c r="O3211" t="s">
        <v>984</v>
      </c>
      <c r="P3211" t="s">
        <v>8569</v>
      </c>
      <c r="Q3211">
        <v>1031</v>
      </c>
      <c r="R3211" t="s">
        <v>23</v>
      </c>
      <c r="S3211" s="1" t="s">
        <v>34218</v>
      </c>
    </row>
    <row r="3212" spans="1:19" x14ac:dyDescent="0.25">
      <c r="A3212">
        <v>101041139</v>
      </c>
      <c r="B3212" t="s">
        <v>1800</v>
      </c>
      <c r="C3212" t="s">
        <v>3460</v>
      </c>
      <c r="F3212" t="str">
        <f>"2606224834"</f>
        <v>2606224834</v>
      </c>
      <c r="G3212" t="s">
        <v>8570</v>
      </c>
      <c r="H3212" t="s">
        <v>8571</v>
      </c>
      <c r="I3212" t="s">
        <v>57</v>
      </c>
      <c r="J3212">
        <v>46777</v>
      </c>
      <c r="K3212">
        <v>9348</v>
      </c>
      <c r="L3212" t="s">
        <v>23</v>
      </c>
      <c r="M3212" t="s">
        <v>8570</v>
      </c>
      <c r="N3212" t="s">
        <v>8571</v>
      </c>
      <c r="O3212" t="s">
        <v>57</v>
      </c>
      <c r="P3212">
        <v>46777</v>
      </c>
      <c r="Q3212">
        <v>9348</v>
      </c>
      <c r="R3212" t="s">
        <v>23</v>
      </c>
      <c r="S3212" s="1" t="s">
        <v>34218</v>
      </c>
    </row>
    <row r="3213" spans="1:19" x14ac:dyDescent="0.25">
      <c r="A3213">
        <v>101233070</v>
      </c>
      <c r="B3213" t="s">
        <v>8572</v>
      </c>
      <c r="C3213" t="s">
        <v>1467</v>
      </c>
      <c r="F3213" t="str">
        <f>"2016706814"</f>
        <v>2016706814</v>
      </c>
      <c r="G3213" t="s">
        <v>8573</v>
      </c>
      <c r="H3213" t="s">
        <v>7527</v>
      </c>
      <c r="I3213" t="s">
        <v>250</v>
      </c>
      <c r="J3213">
        <v>7450</v>
      </c>
      <c r="K3213">
        <v>3727</v>
      </c>
      <c r="L3213" t="s">
        <v>23</v>
      </c>
      <c r="M3213" t="s">
        <v>8573</v>
      </c>
      <c r="N3213" t="s">
        <v>7527</v>
      </c>
      <c r="O3213" t="s">
        <v>250</v>
      </c>
      <c r="P3213">
        <v>7450</v>
      </c>
      <c r="Q3213">
        <v>3727</v>
      </c>
      <c r="R3213" t="s">
        <v>23</v>
      </c>
      <c r="S3213" s="1" t="s">
        <v>34218</v>
      </c>
    </row>
    <row r="3214" spans="1:19" x14ac:dyDescent="0.25">
      <c r="A3214">
        <v>101255019</v>
      </c>
      <c r="B3214" t="s">
        <v>8574</v>
      </c>
      <c r="C3214" t="s">
        <v>8575</v>
      </c>
      <c r="F3214" t="str">
        <f>"2104928152"</f>
        <v>2104928152</v>
      </c>
      <c r="G3214" t="s">
        <v>8576</v>
      </c>
      <c r="H3214" t="s">
        <v>2261</v>
      </c>
      <c r="I3214" t="s">
        <v>38</v>
      </c>
      <c r="J3214">
        <v>78231</v>
      </c>
      <c r="K3214">
        <v>1519</v>
      </c>
      <c r="L3214" t="s">
        <v>23</v>
      </c>
      <c r="M3214" t="s">
        <v>8576</v>
      </c>
      <c r="N3214" t="s">
        <v>2261</v>
      </c>
      <c r="O3214" t="s">
        <v>38</v>
      </c>
      <c r="P3214">
        <v>78231</v>
      </c>
      <c r="Q3214">
        <v>1519</v>
      </c>
      <c r="R3214" t="s">
        <v>23</v>
      </c>
      <c r="S3214" s="1" t="s">
        <v>34218</v>
      </c>
    </row>
    <row r="3215" spans="1:19" x14ac:dyDescent="0.25">
      <c r="A3215">
        <v>101253191</v>
      </c>
      <c r="B3215" t="s">
        <v>8577</v>
      </c>
      <c r="C3215" t="s">
        <v>8578</v>
      </c>
      <c r="F3215" t="str">
        <f>"9517671113"</f>
        <v>9517671113</v>
      </c>
      <c r="G3215" t="s">
        <v>8579</v>
      </c>
      <c r="H3215" t="s">
        <v>634</v>
      </c>
      <c r="I3215" t="s">
        <v>22</v>
      </c>
      <c r="J3215">
        <v>92592</v>
      </c>
      <c r="K3215">
        <v>9686</v>
      </c>
      <c r="L3215" t="s">
        <v>23</v>
      </c>
      <c r="M3215" t="s">
        <v>8579</v>
      </c>
      <c r="N3215" t="s">
        <v>634</v>
      </c>
      <c r="O3215" t="s">
        <v>22</v>
      </c>
      <c r="P3215">
        <v>92592</v>
      </c>
      <c r="Q3215">
        <v>9686</v>
      </c>
      <c r="R3215" t="s">
        <v>23</v>
      </c>
      <c r="S3215" s="1" t="s">
        <v>34218</v>
      </c>
    </row>
    <row r="3216" spans="1:19" x14ac:dyDescent="0.25">
      <c r="A3216">
        <v>101267269</v>
      </c>
      <c r="B3216" t="s">
        <v>4694</v>
      </c>
      <c r="C3216" t="s">
        <v>128</v>
      </c>
      <c r="F3216" t="str">
        <f>"8055385067"</f>
        <v>8055385067</v>
      </c>
      <c r="G3216" t="s">
        <v>8580</v>
      </c>
      <c r="H3216" t="s">
        <v>315</v>
      </c>
      <c r="I3216" t="s">
        <v>22</v>
      </c>
      <c r="J3216">
        <v>93422</v>
      </c>
      <c r="K3216">
        <v>4128</v>
      </c>
      <c r="L3216" t="s">
        <v>23</v>
      </c>
      <c r="M3216" t="s">
        <v>8580</v>
      </c>
      <c r="N3216" t="s">
        <v>315</v>
      </c>
      <c r="O3216" t="s">
        <v>22</v>
      </c>
      <c r="P3216">
        <v>93422</v>
      </c>
      <c r="Q3216">
        <v>4128</v>
      </c>
      <c r="R3216" t="s">
        <v>23</v>
      </c>
      <c r="S3216" s="1" t="s">
        <v>34218</v>
      </c>
    </row>
    <row r="3217" spans="1:19" x14ac:dyDescent="0.25">
      <c r="A3217">
        <v>100992691</v>
      </c>
      <c r="B3217" t="s">
        <v>8581</v>
      </c>
      <c r="C3217" t="s">
        <v>406</v>
      </c>
      <c r="F3217" t="str">
        <f>"9097096864"</f>
        <v>9097096864</v>
      </c>
      <c r="G3217" t="s">
        <v>8582</v>
      </c>
      <c r="H3217" t="s">
        <v>8583</v>
      </c>
      <c r="I3217" t="s">
        <v>22</v>
      </c>
      <c r="J3217">
        <v>91767</v>
      </c>
      <c r="K3217">
        <v>3566</v>
      </c>
      <c r="L3217" t="s">
        <v>23</v>
      </c>
      <c r="M3217" t="s">
        <v>8582</v>
      </c>
      <c r="N3217" t="s">
        <v>8583</v>
      </c>
      <c r="O3217" t="s">
        <v>22</v>
      </c>
      <c r="P3217">
        <v>91767</v>
      </c>
      <c r="Q3217">
        <v>3566</v>
      </c>
      <c r="R3217" t="s">
        <v>23</v>
      </c>
      <c r="S3217" s="1" t="s">
        <v>34218</v>
      </c>
    </row>
    <row r="3218" spans="1:19" x14ac:dyDescent="0.25">
      <c r="A3218">
        <v>101001369</v>
      </c>
      <c r="B3218" t="s">
        <v>8584</v>
      </c>
      <c r="C3218" t="s">
        <v>929</v>
      </c>
      <c r="F3218" t="str">
        <f>"9164834399"</f>
        <v>9164834399</v>
      </c>
      <c r="G3218" t="s">
        <v>8585</v>
      </c>
      <c r="H3218" t="s">
        <v>650</v>
      </c>
      <c r="I3218" t="s">
        <v>22</v>
      </c>
      <c r="J3218">
        <v>95825</v>
      </c>
      <c r="K3218">
        <v>4126</v>
      </c>
      <c r="L3218" t="s">
        <v>23</v>
      </c>
      <c r="M3218" t="s">
        <v>8585</v>
      </c>
      <c r="N3218" t="s">
        <v>650</v>
      </c>
      <c r="O3218" t="s">
        <v>22</v>
      </c>
      <c r="P3218">
        <v>95825</v>
      </c>
      <c r="Q3218">
        <v>4126</v>
      </c>
      <c r="R3218" t="s">
        <v>23</v>
      </c>
      <c r="S3218" s="1" t="s">
        <v>34218</v>
      </c>
    </row>
    <row r="3219" spans="1:19" x14ac:dyDescent="0.25">
      <c r="A3219">
        <v>101001446</v>
      </c>
      <c r="B3219" t="s">
        <v>37</v>
      </c>
      <c r="C3219" t="s">
        <v>225</v>
      </c>
      <c r="F3219" t="str">
        <f>"6189931503"</f>
        <v>6189931503</v>
      </c>
      <c r="G3219" t="s">
        <v>8586</v>
      </c>
      <c r="H3219" t="s">
        <v>7195</v>
      </c>
      <c r="I3219" t="s">
        <v>135</v>
      </c>
      <c r="J3219">
        <v>62959</v>
      </c>
      <c r="K3219">
        <v>4819</v>
      </c>
      <c r="L3219" t="s">
        <v>23</v>
      </c>
      <c r="M3219" t="s">
        <v>8586</v>
      </c>
      <c r="N3219" t="s">
        <v>7195</v>
      </c>
      <c r="O3219" t="s">
        <v>135</v>
      </c>
      <c r="P3219">
        <v>62959</v>
      </c>
      <c r="Q3219">
        <v>4819</v>
      </c>
      <c r="R3219" t="s">
        <v>23</v>
      </c>
      <c r="S3219" s="1" t="s">
        <v>34218</v>
      </c>
    </row>
    <row r="3220" spans="1:19" x14ac:dyDescent="0.25">
      <c r="A3220">
        <v>101002354</v>
      </c>
      <c r="B3220" t="s">
        <v>8587</v>
      </c>
      <c r="C3220" t="s">
        <v>8588</v>
      </c>
      <c r="F3220" t="str">
        <f>"4154072747"</f>
        <v>4154072747</v>
      </c>
      <c r="G3220" t="s">
        <v>8589</v>
      </c>
      <c r="H3220" t="s">
        <v>1535</v>
      </c>
      <c r="I3220" t="s">
        <v>22</v>
      </c>
      <c r="J3220">
        <v>94941</v>
      </c>
      <c r="K3220">
        <v>3930</v>
      </c>
      <c r="L3220" t="s">
        <v>23</v>
      </c>
      <c r="M3220" t="s">
        <v>8589</v>
      </c>
      <c r="N3220" t="s">
        <v>1535</v>
      </c>
      <c r="O3220" t="s">
        <v>22</v>
      </c>
      <c r="P3220">
        <v>94941</v>
      </c>
      <c r="Q3220">
        <v>3930</v>
      </c>
      <c r="R3220" t="s">
        <v>23</v>
      </c>
      <c r="S3220" s="1" t="s">
        <v>34218</v>
      </c>
    </row>
    <row r="3221" spans="1:19" x14ac:dyDescent="0.25">
      <c r="A3221">
        <v>101014759</v>
      </c>
      <c r="B3221" t="s">
        <v>1339</v>
      </c>
      <c r="C3221" t="s">
        <v>274</v>
      </c>
      <c r="F3221" t="str">
        <f>"8168636650"</f>
        <v>8168636650</v>
      </c>
      <c r="G3221" t="s">
        <v>8590</v>
      </c>
      <c r="H3221" t="s">
        <v>2378</v>
      </c>
      <c r="I3221" t="s">
        <v>126</v>
      </c>
      <c r="J3221">
        <v>64053</v>
      </c>
      <c r="K3221">
        <v>1039</v>
      </c>
      <c r="L3221" t="s">
        <v>23</v>
      </c>
      <c r="M3221" t="s">
        <v>8590</v>
      </c>
      <c r="N3221" t="s">
        <v>2378</v>
      </c>
      <c r="O3221" t="s">
        <v>126</v>
      </c>
      <c r="P3221">
        <v>64053</v>
      </c>
      <c r="Q3221">
        <v>1039</v>
      </c>
      <c r="R3221" t="s">
        <v>23</v>
      </c>
      <c r="S3221" s="1" t="s">
        <v>34218</v>
      </c>
    </row>
    <row r="3222" spans="1:19" x14ac:dyDescent="0.25">
      <c r="A3222">
        <v>101200313</v>
      </c>
      <c r="B3222" t="s">
        <v>8591</v>
      </c>
      <c r="C3222" t="s">
        <v>483</v>
      </c>
      <c r="F3222" t="str">
        <f>"8025464587"</f>
        <v>8025464587</v>
      </c>
      <c r="G3222" t="s">
        <v>8592</v>
      </c>
      <c r="H3222" t="s">
        <v>746</v>
      </c>
      <c r="I3222" t="s">
        <v>307</v>
      </c>
      <c r="J3222">
        <v>5156</v>
      </c>
      <c r="K3222">
        <v>9775</v>
      </c>
      <c r="L3222" t="s">
        <v>23</v>
      </c>
      <c r="M3222" t="s">
        <v>8592</v>
      </c>
      <c r="N3222" t="s">
        <v>746</v>
      </c>
      <c r="O3222" t="s">
        <v>307</v>
      </c>
      <c r="P3222">
        <v>5156</v>
      </c>
      <c r="Q3222">
        <v>9775</v>
      </c>
      <c r="R3222" t="s">
        <v>23</v>
      </c>
      <c r="S3222" s="1" t="s">
        <v>34218</v>
      </c>
    </row>
    <row r="3223" spans="1:19" x14ac:dyDescent="0.25">
      <c r="A3223">
        <v>101066622</v>
      </c>
      <c r="B3223" t="s">
        <v>4962</v>
      </c>
      <c r="C3223" t="s">
        <v>1208</v>
      </c>
      <c r="F3223" t="str">
        <f>"3234567890"</f>
        <v>3234567890</v>
      </c>
      <c r="G3223" t="s">
        <v>8593</v>
      </c>
      <c r="H3223" t="s">
        <v>2696</v>
      </c>
      <c r="I3223" t="s">
        <v>22</v>
      </c>
      <c r="J3223">
        <v>90068</v>
      </c>
      <c r="K3223">
        <v>3928</v>
      </c>
      <c r="L3223" t="s">
        <v>23</v>
      </c>
      <c r="M3223" t="s">
        <v>8593</v>
      </c>
      <c r="N3223" t="s">
        <v>2696</v>
      </c>
      <c r="O3223" t="s">
        <v>22</v>
      </c>
      <c r="P3223">
        <v>90068</v>
      </c>
      <c r="Q3223">
        <v>3928</v>
      </c>
      <c r="R3223" t="s">
        <v>23</v>
      </c>
      <c r="S3223" s="1" t="s">
        <v>34218</v>
      </c>
    </row>
    <row r="3224" spans="1:19" x14ac:dyDescent="0.25">
      <c r="A3224">
        <v>100753845</v>
      </c>
      <c r="B3224" t="s">
        <v>8594</v>
      </c>
      <c r="C3224" t="s">
        <v>1773</v>
      </c>
      <c r="F3224" t="str">
        <f>"2034667223"</f>
        <v>2034667223</v>
      </c>
      <c r="G3224" t="s">
        <v>8595</v>
      </c>
      <c r="H3224" t="s">
        <v>2434</v>
      </c>
      <c r="I3224" t="s">
        <v>161</v>
      </c>
      <c r="J3224">
        <v>6513</v>
      </c>
      <c r="K3224">
        <v>3347</v>
      </c>
      <c r="L3224" t="s">
        <v>23</v>
      </c>
      <c r="M3224" t="s">
        <v>8595</v>
      </c>
      <c r="N3224" t="s">
        <v>2434</v>
      </c>
      <c r="O3224" t="s">
        <v>161</v>
      </c>
      <c r="P3224">
        <v>6513</v>
      </c>
      <c r="Q3224">
        <v>3347</v>
      </c>
      <c r="R3224" t="s">
        <v>23</v>
      </c>
      <c r="S3224" s="1" t="s">
        <v>34218</v>
      </c>
    </row>
    <row r="3225" spans="1:19" x14ac:dyDescent="0.25">
      <c r="A3225">
        <v>101049198</v>
      </c>
      <c r="B3225" t="s">
        <v>497</v>
      </c>
      <c r="C3225" t="s">
        <v>5814</v>
      </c>
      <c r="F3225" t="str">
        <f>"6083611141"</f>
        <v>6083611141</v>
      </c>
      <c r="G3225" t="s">
        <v>8596</v>
      </c>
      <c r="H3225" t="s">
        <v>8597</v>
      </c>
      <c r="I3225" t="s">
        <v>100</v>
      </c>
      <c r="J3225">
        <v>53511</v>
      </c>
      <c r="K3225">
        <v>5038</v>
      </c>
      <c r="L3225" t="s">
        <v>23</v>
      </c>
      <c r="M3225" t="s">
        <v>8596</v>
      </c>
      <c r="N3225" t="s">
        <v>8597</v>
      </c>
      <c r="O3225" t="s">
        <v>100</v>
      </c>
      <c r="P3225">
        <v>53511</v>
      </c>
      <c r="Q3225">
        <v>5038</v>
      </c>
      <c r="R3225" t="s">
        <v>23</v>
      </c>
      <c r="S3225" s="1" t="s">
        <v>34218</v>
      </c>
    </row>
    <row r="3226" spans="1:19" x14ac:dyDescent="0.25">
      <c r="A3226">
        <v>100538871</v>
      </c>
      <c r="B3226" t="s">
        <v>8598</v>
      </c>
      <c r="C3226" t="s">
        <v>180</v>
      </c>
      <c r="F3226" t="str">
        <f>"8432157496"</f>
        <v>8432157496</v>
      </c>
      <c r="G3226" t="s">
        <v>8599</v>
      </c>
      <c r="H3226" t="s">
        <v>3021</v>
      </c>
      <c r="I3226" t="s">
        <v>1482</v>
      </c>
      <c r="J3226">
        <v>29588</v>
      </c>
      <c r="K3226">
        <v>6440</v>
      </c>
      <c r="L3226" t="s">
        <v>23</v>
      </c>
      <c r="M3226" t="s">
        <v>8599</v>
      </c>
      <c r="N3226" t="s">
        <v>3021</v>
      </c>
      <c r="O3226" t="s">
        <v>1482</v>
      </c>
      <c r="P3226">
        <v>29588</v>
      </c>
      <c r="Q3226">
        <v>6440</v>
      </c>
      <c r="R3226" t="s">
        <v>23</v>
      </c>
      <c r="S3226" s="1" t="s">
        <v>34218</v>
      </c>
    </row>
    <row r="3227" spans="1:19" x14ac:dyDescent="0.25">
      <c r="A3227">
        <v>100541866</v>
      </c>
      <c r="B3227" t="s">
        <v>8600</v>
      </c>
      <c r="C3227" t="s">
        <v>547</v>
      </c>
      <c r="F3227" t="str">
        <f>"6127829255"</f>
        <v>6127829255</v>
      </c>
      <c r="G3227" t="s">
        <v>8601</v>
      </c>
      <c r="H3227" t="s">
        <v>569</v>
      </c>
      <c r="I3227" t="s">
        <v>187</v>
      </c>
      <c r="J3227">
        <v>55418</v>
      </c>
      <c r="K3227">
        <v>2210</v>
      </c>
      <c r="L3227" t="s">
        <v>23</v>
      </c>
      <c r="M3227" t="s">
        <v>8601</v>
      </c>
      <c r="N3227" t="s">
        <v>569</v>
      </c>
      <c r="O3227" t="s">
        <v>187</v>
      </c>
      <c r="P3227">
        <v>55418</v>
      </c>
      <c r="Q3227">
        <v>2210</v>
      </c>
      <c r="R3227" t="s">
        <v>23</v>
      </c>
      <c r="S3227" s="1" t="s">
        <v>34218</v>
      </c>
    </row>
    <row r="3228" spans="1:19" x14ac:dyDescent="0.25">
      <c r="A3228">
        <v>100810364</v>
      </c>
      <c r="B3228" t="s">
        <v>7057</v>
      </c>
      <c r="C3228" t="s">
        <v>627</v>
      </c>
      <c r="F3228" t="str">
        <f>"8056461269"</f>
        <v>8056461269</v>
      </c>
      <c r="G3228" t="s">
        <v>8602</v>
      </c>
      <c r="H3228" t="s">
        <v>8603</v>
      </c>
      <c r="I3228" t="s">
        <v>22</v>
      </c>
      <c r="J3228">
        <v>93023</v>
      </c>
      <c r="K3228">
        <v>9514</v>
      </c>
      <c r="L3228" t="s">
        <v>23</v>
      </c>
      <c r="M3228" t="s">
        <v>8602</v>
      </c>
      <c r="N3228" t="s">
        <v>8603</v>
      </c>
      <c r="O3228" t="s">
        <v>22</v>
      </c>
      <c r="P3228">
        <v>93023</v>
      </c>
      <c r="Q3228">
        <v>9514</v>
      </c>
      <c r="R3228" t="s">
        <v>23</v>
      </c>
      <c r="S3228" s="1" t="s">
        <v>34218</v>
      </c>
    </row>
    <row r="3229" spans="1:19" x14ac:dyDescent="0.25">
      <c r="A3229">
        <v>100591579</v>
      </c>
      <c r="B3229" t="s">
        <v>8604</v>
      </c>
      <c r="C3229" t="s">
        <v>842</v>
      </c>
      <c r="F3229" t="str">
        <f>"4078086683"</f>
        <v>4078086683</v>
      </c>
      <c r="G3229" t="s">
        <v>8605</v>
      </c>
      <c r="H3229" t="s">
        <v>1412</v>
      </c>
      <c r="I3229" t="s">
        <v>52</v>
      </c>
      <c r="J3229">
        <v>32835</v>
      </c>
      <c r="K3229">
        <v>1905</v>
      </c>
      <c r="L3229" t="s">
        <v>23</v>
      </c>
      <c r="M3229" t="s">
        <v>8605</v>
      </c>
      <c r="N3229" t="s">
        <v>1412</v>
      </c>
      <c r="O3229" t="s">
        <v>52</v>
      </c>
      <c r="P3229">
        <v>32835</v>
      </c>
      <c r="Q3229">
        <v>1905</v>
      </c>
      <c r="R3229" t="s">
        <v>23</v>
      </c>
      <c r="S3229" s="1" t="s">
        <v>34218</v>
      </c>
    </row>
    <row r="3230" spans="1:19" x14ac:dyDescent="0.25">
      <c r="A3230">
        <v>100598348</v>
      </c>
      <c r="B3230" t="s">
        <v>8606</v>
      </c>
      <c r="C3230" t="s">
        <v>4046</v>
      </c>
      <c r="F3230" t="str">
        <f>"7739751123"</f>
        <v>7739751123</v>
      </c>
      <c r="G3230" t="s">
        <v>8607</v>
      </c>
      <c r="H3230" t="s">
        <v>134</v>
      </c>
      <c r="I3230" t="s">
        <v>135</v>
      </c>
      <c r="J3230">
        <v>60657</v>
      </c>
      <c r="K3230">
        <v>6778</v>
      </c>
      <c r="L3230" t="s">
        <v>23</v>
      </c>
      <c r="M3230" t="s">
        <v>8607</v>
      </c>
      <c r="N3230" t="s">
        <v>134</v>
      </c>
      <c r="O3230" t="s">
        <v>135</v>
      </c>
      <c r="P3230">
        <v>60657</v>
      </c>
      <c r="Q3230">
        <v>6778</v>
      </c>
      <c r="R3230" t="s">
        <v>23</v>
      </c>
      <c r="S3230" s="1" t="s">
        <v>34218</v>
      </c>
    </row>
    <row r="3231" spans="1:19" x14ac:dyDescent="0.25">
      <c r="A3231">
        <v>100598292</v>
      </c>
      <c r="B3231" t="s">
        <v>8608</v>
      </c>
      <c r="C3231" t="s">
        <v>1161</v>
      </c>
      <c r="F3231" t="str">
        <f>"3603485531"</f>
        <v>3603485531</v>
      </c>
      <c r="G3231" t="s">
        <v>8609</v>
      </c>
      <c r="H3231" t="s">
        <v>6001</v>
      </c>
      <c r="I3231" t="s">
        <v>84</v>
      </c>
      <c r="J3231">
        <v>98290</v>
      </c>
      <c r="K3231">
        <v>2053</v>
      </c>
      <c r="L3231" t="s">
        <v>23</v>
      </c>
      <c r="M3231" t="s">
        <v>8609</v>
      </c>
      <c r="N3231" t="s">
        <v>6001</v>
      </c>
      <c r="O3231" t="s">
        <v>84</v>
      </c>
      <c r="P3231">
        <v>98290</v>
      </c>
      <c r="Q3231">
        <v>2053</v>
      </c>
      <c r="R3231" t="s">
        <v>23</v>
      </c>
      <c r="S3231" s="1" t="s">
        <v>34218</v>
      </c>
    </row>
    <row r="3232" spans="1:19" x14ac:dyDescent="0.25">
      <c r="A3232">
        <v>100785153</v>
      </c>
      <c r="B3232" t="s">
        <v>8610</v>
      </c>
      <c r="C3232" t="s">
        <v>180</v>
      </c>
      <c r="F3232" t="str">
        <f>"5555555555"</f>
        <v>5555555555</v>
      </c>
      <c r="G3232" t="s">
        <v>8611</v>
      </c>
      <c r="H3232" t="s">
        <v>37</v>
      </c>
      <c r="I3232" t="s">
        <v>38</v>
      </c>
      <c r="J3232">
        <v>78727</v>
      </c>
      <c r="K3232">
        <v>3143</v>
      </c>
      <c r="L3232" t="s">
        <v>23</v>
      </c>
      <c r="M3232" t="s">
        <v>8611</v>
      </c>
      <c r="N3232" t="s">
        <v>37</v>
      </c>
      <c r="O3232" t="s">
        <v>38</v>
      </c>
      <c r="P3232">
        <v>78727</v>
      </c>
      <c r="Q3232">
        <v>3143</v>
      </c>
      <c r="R3232" t="s">
        <v>23</v>
      </c>
      <c r="S3232" s="1" t="s">
        <v>34218</v>
      </c>
    </row>
    <row r="3233" spans="1:19" x14ac:dyDescent="0.25">
      <c r="A3233">
        <v>100640042</v>
      </c>
      <c r="B3233" t="s">
        <v>8612</v>
      </c>
      <c r="C3233" t="s">
        <v>8613</v>
      </c>
      <c r="F3233" t="str">
        <f>"4136348976"</f>
        <v>4136348976</v>
      </c>
      <c r="G3233" t="s">
        <v>8614</v>
      </c>
      <c r="H3233" t="s">
        <v>6490</v>
      </c>
      <c r="I3233" t="s">
        <v>236</v>
      </c>
      <c r="J3233">
        <v>1070</v>
      </c>
      <c r="K3233">
        <v>9775</v>
      </c>
      <c r="L3233" t="s">
        <v>23</v>
      </c>
      <c r="M3233" t="s">
        <v>8614</v>
      </c>
      <c r="N3233" t="s">
        <v>6490</v>
      </c>
      <c r="O3233" t="s">
        <v>236</v>
      </c>
      <c r="P3233">
        <v>1070</v>
      </c>
      <c r="Q3233">
        <v>9775</v>
      </c>
      <c r="R3233" t="s">
        <v>23</v>
      </c>
      <c r="S3233" s="1" t="s">
        <v>34218</v>
      </c>
    </row>
    <row r="3234" spans="1:19" x14ac:dyDescent="0.25">
      <c r="A3234">
        <v>100652565</v>
      </c>
      <c r="B3234" t="s">
        <v>2459</v>
      </c>
      <c r="C3234" t="s">
        <v>8615</v>
      </c>
      <c r="F3234" t="str">
        <f>"6057319131"</f>
        <v>6057319131</v>
      </c>
      <c r="G3234" t="s">
        <v>8616</v>
      </c>
      <c r="H3234" t="s">
        <v>8617</v>
      </c>
      <c r="I3234" t="s">
        <v>4652</v>
      </c>
      <c r="J3234">
        <v>57022</v>
      </c>
      <c r="K3234">
        <v>2012</v>
      </c>
      <c r="L3234" t="s">
        <v>23</v>
      </c>
      <c r="M3234" t="s">
        <v>8616</v>
      </c>
      <c r="N3234" t="s">
        <v>8617</v>
      </c>
      <c r="O3234" t="s">
        <v>4652</v>
      </c>
      <c r="P3234">
        <v>57022</v>
      </c>
      <c r="Q3234">
        <v>2012</v>
      </c>
      <c r="R3234" t="s">
        <v>23</v>
      </c>
      <c r="S3234" s="1" t="s">
        <v>34218</v>
      </c>
    </row>
    <row r="3235" spans="1:19" x14ac:dyDescent="0.25">
      <c r="A3235">
        <v>100655777</v>
      </c>
      <c r="B3235" t="s">
        <v>8618</v>
      </c>
      <c r="C3235" t="s">
        <v>3113</v>
      </c>
      <c r="F3235" t="str">
        <f>"3016893745"</f>
        <v>3016893745</v>
      </c>
      <c r="G3235" t="s">
        <v>8619</v>
      </c>
      <c r="H3235" t="s">
        <v>8620</v>
      </c>
      <c r="I3235" t="s">
        <v>148</v>
      </c>
      <c r="J3235">
        <v>21532</v>
      </c>
      <c r="K3235">
        <v>1639</v>
      </c>
      <c r="L3235" t="s">
        <v>23</v>
      </c>
      <c r="M3235" t="s">
        <v>8619</v>
      </c>
      <c r="N3235" t="s">
        <v>8620</v>
      </c>
      <c r="O3235" t="s">
        <v>148</v>
      </c>
      <c r="P3235">
        <v>21532</v>
      </c>
      <c r="Q3235">
        <v>1639</v>
      </c>
      <c r="R3235" t="s">
        <v>23</v>
      </c>
      <c r="S3235" s="1" t="s">
        <v>34218</v>
      </c>
    </row>
    <row r="3236" spans="1:19" x14ac:dyDescent="0.25">
      <c r="A3236">
        <v>100711220</v>
      </c>
      <c r="B3236" t="s">
        <v>1545</v>
      </c>
      <c r="C3236" t="s">
        <v>8621</v>
      </c>
      <c r="F3236" t="str">
        <f>"3047363533"</f>
        <v>3047363533</v>
      </c>
      <c r="G3236" t="s">
        <v>8622</v>
      </c>
      <c r="H3236" t="s">
        <v>8623</v>
      </c>
      <c r="I3236" t="s">
        <v>327</v>
      </c>
      <c r="J3236">
        <v>25545</v>
      </c>
      <c r="K3236">
        <v>9740</v>
      </c>
      <c r="L3236" t="s">
        <v>23</v>
      </c>
      <c r="M3236" t="s">
        <v>8622</v>
      </c>
      <c r="N3236" t="s">
        <v>8623</v>
      </c>
      <c r="O3236" t="s">
        <v>327</v>
      </c>
      <c r="P3236">
        <v>25545</v>
      </c>
      <c r="Q3236">
        <v>9740</v>
      </c>
      <c r="R3236" t="s">
        <v>23</v>
      </c>
      <c r="S3236" s="1" t="s">
        <v>34218</v>
      </c>
    </row>
    <row r="3237" spans="1:19" x14ac:dyDescent="0.25">
      <c r="A3237">
        <v>100766205</v>
      </c>
      <c r="B3237" t="s">
        <v>4064</v>
      </c>
      <c r="C3237" t="s">
        <v>1036</v>
      </c>
      <c r="F3237" t="str">
        <f>"7404482044"</f>
        <v>7404482044</v>
      </c>
      <c r="G3237" t="s">
        <v>8624</v>
      </c>
      <c r="H3237" t="s">
        <v>8625</v>
      </c>
      <c r="I3237" t="s">
        <v>178</v>
      </c>
      <c r="J3237">
        <v>45711</v>
      </c>
      <c r="K3237">
        <v>9327</v>
      </c>
      <c r="L3237" t="s">
        <v>23</v>
      </c>
      <c r="M3237" t="s">
        <v>8624</v>
      </c>
      <c r="N3237" t="s">
        <v>8625</v>
      </c>
      <c r="O3237" t="s">
        <v>178</v>
      </c>
      <c r="P3237">
        <v>45711</v>
      </c>
      <c r="Q3237">
        <v>9327</v>
      </c>
      <c r="R3237" t="s">
        <v>23</v>
      </c>
      <c r="S3237" s="1" t="s">
        <v>34218</v>
      </c>
    </row>
    <row r="3238" spans="1:19" x14ac:dyDescent="0.25">
      <c r="A3238">
        <v>100552801</v>
      </c>
      <c r="B3238" t="s">
        <v>8626</v>
      </c>
      <c r="C3238" t="s">
        <v>1962</v>
      </c>
      <c r="F3238" t="str">
        <f>"2017968650"</f>
        <v>2017968650</v>
      </c>
      <c r="G3238" t="s">
        <v>8627</v>
      </c>
      <c r="H3238" t="s">
        <v>8628</v>
      </c>
      <c r="I3238" t="s">
        <v>250</v>
      </c>
      <c r="J3238">
        <v>7410</v>
      </c>
      <c r="L3238" t="s">
        <v>23</v>
      </c>
      <c r="M3238" t="s">
        <v>8627</v>
      </c>
      <c r="N3238" t="s">
        <v>8628</v>
      </c>
      <c r="O3238" t="s">
        <v>250</v>
      </c>
      <c r="P3238">
        <v>7410</v>
      </c>
      <c r="R3238" t="s">
        <v>23</v>
      </c>
      <c r="S3238" s="1" t="s">
        <v>34218</v>
      </c>
    </row>
    <row r="3239" spans="1:19" x14ac:dyDescent="0.25">
      <c r="A3239">
        <v>100888659</v>
      </c>
      <c r="B3239" t="s">
        <v>8629</v>
      </c>
      <c r="C3239" t="s">
        <v>1542</v>
      </c>
      <c r="F3239" t="str">
        <f>"6607474410"</f>
        <v>6607474410</v>
      </c>
      <c r="G3239" t="s">
        <v>8630</v>
      </c>
      <c r="H3239" t="s">
        <v>1311</v>
      </c>
      <c r="I3239" t="s">
        <v>126</v>
      </c>
      <c r="J3239">
        <v>64093</v>
      </c>
      <c r="K3239">
        <v>7519</v>
      </c>
      <c r="L3239" t="s">
        <v>23</v>
      </c>
      <c r="M3239" t="s">
        <v>8630</v>
      </c>
      <c r="N3239" t="s">
        <v>1311</v>
      </c>
      <c r="O3239" t="s">
        <v>126</v>
      </c>
      <c r="P3239">
        <v>64093</v>
      </c>
      <c r="Q3239">
        <v>7519</v>
      </c>
      <c r="R3239" t="s">
        <v>23</v>
      </c>
      <c r="S3239" s="1" t="s">
        <v>34218</v>
      </c>
    </row>
    <row r="3240" spans="1:19" x14ac:dyDescent="0.25">
      <c r="A3240">
        <v>100682639</v>
      </c>
      <c r="B3240" t="s">
        <v>8631</v>
      </c>
      <c r="C3240" t="s">
        <v>8632</v>
      </c>
      <c r="F3240" t="str">
        <f>"3153799506"</f>
        <v>3153799506</v>
      </c>
      <c r="G3240" t="s">
        <v>8633</v>
      </c>
      <c r="H3240" t="s">
        <v>139</v>
      </c>
      <c r="I3240" t="s">
        <v>117</v>
      </c>
      <c r="J3240">
        <v>13617</v>
      </c>
      <c r="K3240">
        <v>1142</v>
      </c>
      <c r="L3240" t="s">
        <v>23</v>
      </c>
      <c r="M3240" t="s">
        <v>8633</v>
      </c>
      <c r="N3240" t="s">
        <v>139</v>
      </c>
      <c r="O3240" t="s">
        <v>117</v>
      </c>
      <c r="P3240">
        <v>13617</v>
      </c>
      <c r="Q3240">
        <v>1142</v>
      </c>
      <c r="R3240" t="s">
        <v>23</v>
      </c>
      <c r="S3240" s="1" t="s">
        <v>34218</v>
      </c>
    </row>
    <row r="3241" spans="1:19" x14ac:dyDescent="0.25">
      <c r="A3241">
        <v>100902223</v>
      </c>
      <c r="B3241" t="s">
        <v>8634</v>
      </c>
      <c r="C3241" t="s">
        <v>4284</v>
      </c>
      <c r="F3241" t="str">
        <f>"6039231399"</f>
        <v>6039231399</v>
      </c>
      <c r="G3241" t="s">
        <v>8635</v>
      </c>
      <c r="H3241" t="s">
        <v>688</v>
      </c>
      <c r="I3241" t="s">
        <v>353</v>
      </c>
      <c r="J3241">
        <v>3867</v>
      </c>
      <c r="K3241">
        <v>5270</v>
      </c>
      <c r="L3241" t="s">
        <v>23</v>
      </c>
      <c r="M3241" t="s">
        <v>8635</v>
      </c>
      <c r="N3241" t="s">
        <v>688</v>
      </c>
      <c r="O3241" t="s">
        <v>353</v>
      </c>
      <c r="P3241">
        <v>3867</v>
      </c>
      <c r="Q3241">
        <v>5270</v>
      </c>
      <c r="R3241" t="s">
        <v>23</v>
      </c>
      <c r="S3241" s="1" t="s">
        <v>34218</v>
      </c>
    </row>
    <row r="3242" spans="1:19" x14ac:dyDescent="0.25">
      <c r="A3242">
        <v>101154607</v>
      </c>
      <c r="B3242" t="s">
        <v>8636</v>
      </c>
      <c r="C3242" t="s">
        <v>8637</v>
      </c>
      <c r="F3242" t="str">
        <f>"8046623343"</f>
        <v>8046623343</v>
      </c>
      <c r="G3242" t="s">
        <v>8638</v>
      </c>
      <c r="H3242" t="s">
        <v>3466</v>
      </c>
      <c r="I3242" t="s">
        <v>255</v>
      </c>
      <c r="J3242">
        <v>23223</v>
      </c>
      <c r="K3242">
        <v>5154</v>
      </c>
      <c r="L3242" t="s">
        <v>23</v>
      </c>
      <c r="M3242" t="s">
        <v>8638</v>
      </c>
      <c r="N3242" t="s">
        <v>3466</v>
      </c>
      <c r="O3242" t="s">
        <v>255</v>
      </c>
      <c r="P3242">
        <v>23223</v>
      </c>
      <c r="Q3242">
        <v>5154</v>
      </c>
      <c r="R3242" t="s">
        <v>23</v>
      </c>
      <c r="S3242" s="1" t="s">
        <v>34218</v>
      </c>
    </row>
    <row r="3243" spans="1:19" x14ac:dyDescent="0.25">
      <c r="A3243">
        <v>101169930</v>
      </c>
      <c r="B3243" t="s">
        <v>3956</v>
      </c>
      <c r="C3243" t="s">
        <v>7257</v>
      </c>
      <c r="F3243" t="str">
        <f>"9169914105"</f>
        <v>9169914105</v>
      </c>
      <c r="G3243" t="s">
        <v>8639</v>
      </c>
      <c r="H3243" t="s">
        <v>8640</v>
      </c>
      <c r="I3243" t="s">
        <v>22</v>
      </c>
      <c r="J3243">
        <v>95626</v>
      </c>
      <c r="K3243">
        <v>9660</v>
      </c>
      <c r="L3243" t="s">
        <v>23</v>
      </c>
      <c r="M3243" t="s">
        <v>8639</v>
      </c>
      <c r="N3243" t="s">
        <v>8640</v>
      </c>
      <c r="O3243" t="s">
        <v>22</v>
      </c>
      <c r="P3243">
        <v>95626</v>
      </c>
      <c r="Q3243">
        <v>9660</v>
      </c>
      <c r="R3243" t="s">
        <v>23</v>
      </c>
      <c r="S3243" s="1" t="s">
        <v>34218</v>
      </c>
    </row>
    <row r="3244" spans="1:19" x14ac:dyDescent="0.25">
      <c r="A3244">
        <v>101235747</v>
      </c>
      <c r="B3244" t="s">
        <v>3877</v>
      </c>
      <c r="C3244" t="s">
        <v>4828</v>
      </c>
      <c r="F3244" t="str">
        <f>"6479988684"</f>
        <v>6479988684</v>
      </c>
      <c r="G3244" t="s">
        <v>8641</v>
      </c>
      <c r="H3244" t="s">
        <v>3880</v>
      </c>
      <c r="I3244" t="s">
        <v>22</v>
      </c>
      <c r="J3244">
        <v>95688</v>
      </c>
      <c r="K3244">
        <v>3853</v>
      </c>
      <c r="L3244" t="s">
        <v>23</v>
      </c>
      <c r="M3244" t="s">
        <v>8641</v>
      </c>
      <c r="N3244" t="s">
        <v>3880</v>
      </c>
      <c r="O3244" t="s">
        <v>22</v>
      </c>
      <c r="P3244">
        <v>95688</v>
      </c>
      <c r="Q3244">
        <v>3853</v>
      </c>
      <c r="R3244" t="s">
        <v>23</v>
      </c>
      <c r="S3244" s="1" t="s">
        <v>34218</v>
      </c>
    </row>
    <row r="3245" spans="1:19" x14ac:dyDescent="0.25">
      <c r="A3245">
        <v>101244558</v>
      </c>
      <c r="B3245" t="s">
        <v>8642</v>
      </c>
      <c r="C3245" t="s">
        <v>40</v>
      </c>
      <c r="F3245" t="str">
        <f>"5302747383"</f>
        <v>5302747383</v>
      </c>
      <c r="G3245" t="s">
        <v>8643</v>
      </c>
      <c r="H3245" t="s">
        <v>8644</v>
      </c>
      <c r="I3245" t="s">
        <v>22</v>
      </c>
      <c r="J3245">
        <v>95946</v>
      </c>
      <c r="K3245">
        <v>9394</v>
      </c>
      <c r="L3245" t="s">
        <v>23</v>
      </c>
      <c r="M3245" t="s">
        <v>8643</v>
      </c>
      <c r="N3245" t="s">
        <v>8644</v>
      </c>
      <c r="O3245" t="s">
        <v>22</v>
      </c>
      <c r="P3245">
        <v>95946</v>
      </c>
      <c r="Q3245">
        <v>9394</v>
      </c>
      <c r="R3245" t="s">
        <v>23</v>
      </c>
      <c r="S3245" s="1" t="s">
        <v>34218</v>
      </c>
    </row>
    <row r="3246" spans="1:19" x14ac:dyDescent="0.25">
      <c r="A3246">
        <v>101272621</v>
      </c>
      <c r="B3246" t="s">
        <v>8645</v>
      </c>
      <c r="C3246" t="s">
        <v>8646</v>
      </c>
      <c r="F3246" t="str">
        <f>"5129190302"</f>
        <v>5129190302</v>
      </c>
      <c r="G3246" t="s">
        <v>8647</v>
      </c>
      <c r="H3246" t="s">
        <v>37</v>
      </c>
      <c r="I3246" t="s">
        <v>38</v>
      </c>
      <c r="J3246">
        <v>78737</v>
      </c>
      <c r="K3246">
        <v>9519</v>
      </c>
      <c r="L3246" t="s">
        <v>23</v>
      </c>
      <c r="M3246" t="s">
        <v>8647</v>
      </c>
      <c r="N3246" t="s">
        <v>37</v>
      </c>
      <c r="O3246" t="s">
        <v>38</v>
      </c>
      <c r="P3246">
        <v>78737</v>
      </c>
      <c r="Q3246">
        <v>9519</v>
      </c>
      <c r="R3246" t="s">
        <v>23</v>
      </c>
      <c r="S3246" s="1" t="s">
        <v>34218</v>
      </c>
    </row>
    <row r="3247" spans="1:19" x14ac:dyDescent="0.25">
      <c r="A3247">
        <v>101085763</v>
      </c>
      <c r="B3247" t="s">
        <v>1800</v>
      </c>
      <c r="C3247" t="s">
        <v>132</v>
      </c>
      <c r="F3247" t="str">
        <f>"3869573425"</f>
        <v>3869573425</v>
      </c>
      <c r="G3247" t="s">
        <v>8648</v>
      </c>
      <c r="H3247" t="s">
        <v>8649</v>
      </c>
      <c r="I3247" t="s">
        <v>52</v>
      </c>
      <c r="J3247">
        <v>32141</v>
      </c>
      <c r="K3247">
        <v>7684</v>
      </c>
      <c r="L3247" t="s">
        <v>23</v>
      </c>
      <c r="M3247" t="s">
        <v>8648</v>
      </c>
      <c r="N3247" t="s">
        <v>8649</v>
      </c>
      <c r="O3247" t="s">
        <v>52</v>
      </c>
      <c r="P3247">
        <v>32141</v>
      </c>
      <c r="Q3247">
        <v>7684</v>
      </c>
      <c r="R3247" t="s">
        <v>23</v>
      </c>
      <c r="S3247" s="1" t="s">
        <v>34218</v>
      </c>
    </row>
    <row r="3248" spans="1:19" x14ac:dyDescent="0.25">
      <c r="A3248">
        <v>101304239</v>
      </c>
      <c r="B3248" t="s">
        <v>8650</v>
      </c>
      <c r="C3248" t="s">
        <v>90</v>
      </c>
      <c r="F3248" t="str">
        <f>"9492123540"</f>
        <v>9492123540</v>
      </c>
      <c r="G3248" t="s">
        <v>8651</v>
      </c>
      <c r="H3248" t="s">
        <v>198</v>
      </c>
      <c r="I3248" t="s">
        <v>22</v>
      </c>
      <c r="J3248">
        <v>92102</v>
      </c>
      <c r="K3248">
        <v>2386</v>
      </c>
      <c r="L3248" t="s">
        <v>23</v>
      </c>
      <c r="M3248" t="s">
        <v>8651</v>
      </c>
      <c r="N3248" t="s">
        <v>198</v>
      </c>
      <c r="O3248" t="s">
        <v>22</v>
      </c>
      <c r="P3248">
        <v>92102</v>
      </c>
      <c r="Q3248">
        <v>2386</v>
      </c>
      <c r="R3248" t="s">
        <v>23</v>
      </c>
      <c r="S3248" s="1" t="s">
        <v>34218</v>
      </c>
    </row>
    <row r="3249" spans="1:19" x14ac:dyDescent="0.25">
      <c r="A3249">
        <v>101318757</v>
      </c>
      <c r="B3249" t="s">
        <v>2509</v>
      </c>
      <c r="C3249" t="s">
        <v>155</v>
      </c>
      <c r="F3249" t="str">
        <f>"2078076845"</f>
        <v>2078076845</v>
      </c>
      <c r="G3249" t="s">
        <v>8652</v>
      </c>
      <c r="H3249" t="s">
        <v>8653</v>
      </c>
      <c r="I3249" t="s">
        <v>191</v>
      </c>
      <c r="J3249">
        <v>4074</v>
      </c>
      <c r="K3249">
        <v>8872</v>
      </c>
      <c r="L3249" t="s">
        <v>23</v>
      </c>
      <c r="M3249" t="s">
        <v>8652</v>
      </c>
      <c r="N3249" t="s">
        <v>8653</v>
      </c>
      <c r="O3249" t="s">
        <v>191</v>
      </c>
      <c r="P3249">
        <v>4074</v>
      </c>
      <c r="Q3249">
        <v>8872</v>
      </c>
      <c r="R3249" t="s">
        <v>23</v>
      </c>
      <c r="S3249" s="1" t="s">
        <v>34218</v>
      </c>
    </row>
    <row r="3250" spans="1:19" x14ac:dyDescent="0.25">
      <c r="A3250">
        <v>101386345</v>
      </c>
      <c r="B3250" t="s">
        <v>1554</v>
      </c>
      <c r="C3250" t="s">
        <v>8654</v>
      </c>
      <c r="F3250" t="str">
        <f>"5403810474"</f>
        <v>5403810474</v>
      </c>
      <c r="G3250" t="s">
        <v>8655</v>
      </c>
      <c r="H3250" t="s">
        <v>1510</v>
      </c>
      <c r="I3250" t="s">
        <v>255</v>
      </c>
      <c r="J3250">
        <v>24073</v>
      </c>
      <c r="K3250">
        <v>1517</v>
      </c>
      <c r="L3250" t="s">
        <v>23</v>
      </c>
      <c r="M3250" t="s">
        <v>8655</v>
      </c>
      <c r="N3250" t="s">
        <v>1510</v>
      </c>
      <c r="O3250" t="s">
        <v>255</v>
      </c>
      <c r="P3250">
        <v>24073</v>
      </c>
      <c r="Q3250">
        <v>1517</v>
      </c>
      <c r="R3250" t="s">
        <v>23</v>
      </c>
      <c r="S3250" s="1" t="s">
        <v>34218</v>
      </c>
    </row>
    <row r="3251" spans="1:19" x14ac:dyDescent="0.25">
      <c r="A3251">
        <v>101395169</v>
      </c>
      <c r="B3251" t="s">
        <v>8656</v>
      </c>
      <c r="C3251" t="s">
        <v>8657</v>
      </c>
      <c r="F3251" t="str">
        <f>"7068968275"</f>
        <v>7068968275</v>
      </c>
      <c r="G3251" t="s">
        <v>8658</v>
      </c>
      <c r="H3251" t="s">
        <v>8659</v>
      </c>
      <c r="I3251" t="s">
        <v>28</v>
      </c>
      <c r="J3251">
        <v>30546</v>
      </c>
      <c r="K3251">
        <v>2956</v>
      </c>
      <c r="L3251" t="s">
        <v>23</v>
      </c>
      <c r="M3251" t="s">
        <v>8658</v>
      </c>
      <c r="N3251" t="s">
        <v>8659</v>
      </c>
      <c r="O3251" t="s">
        <v>28</v>
      </c>
      <c r="P3251">
        <v>30546</v>
      </c>
      <c r="Q3251">
        <v>2956</v>
      </c>
      <c r="R3251" t="s">
        <v>23</v>
      </c>
      <c r="S3251" s="1" t="s">
        <v>34218</v>
      </c>
    </row>
    <row r="3252" spans="1:19" x14ac:dyDescent="0.25">
      <c r="A3252">
        <v>100590528</v>
      </c>
      <c r="B3252" t="s">
        <v>8660</v>
      </c>
      <c r="C3252" t="s">
        <v>1598</v>
      </c>
      <c r="F3252" t="str">
        <f>"3014180886"</f>
        <v>3014180886</v>
      </c>
      <c r="G3252" t="s">
        <v>8661</v>
      </c>
      <c r="H3252" t="s">
        <v>8662</v>
      </c>
      <c r="I3252" t="s">
        <v>148</v>
      </c>
      <c r="J3252" t="s">
        <v>8663</v>
      </c>
      <c r="K3252">
        <v>7424</v>
      </c>
      <c r="L3252" t="s">
        <v>23</v>
      </c>
      <c r="M3252" t="s">
        <v>8661</v>
      </c>
      <c r="N3252" t="s">
        <v>8662</v>
      </c>
      <c r="O3252" t="s">
        <v>148</v>
      </c>
      <c r="P3252" t="s">
        <v>8663</v>
      </c>
      <c r="Q3252">
        <v>7424</v>
      </c>
      <c r="R3252" t="s">
        <v>23</v>
      </c>
      <c r="S3252" s="1" t="s">
        <v>34218</v>
      </c>
    </row>
    <row r="3253" spans="1:19" x14ac:dyDescent="0.25">
      <c r="A3253">
        <v>101346673</v>
      </c>
      <c r="B3253" t="s">
        <v>3482</v>
      </c>
      <c r="C3253" t="s">
        <v>30</v>
      </c>
      <c r="F3253" t="str">
        <f>"3238229359"</f>
        <v>3238229359</v>
      </c>
      <c r="G3253" t="s">
        <v>8664</v>
      </c>
      <c r="H3253" t="s">
        <v>8665</v>
      </c>
      <c r="I3253" t="s">
        <v>22</v>
      </c>
      <c r="J3253">
        <v>90046</v>
      </c>
      <c r="K3253">
        <v>5169</v>
      </c>
      <c r="L3253" t="s">
        <v>23</v>
      </c>
      <c r="M3253" t="s">
        <v>8664</v>
      </c>
      <c r="N3253" t="s">
        <v>8665</v>
      </c>
      <c r="O3253" t="s">
        <v>22</v>
      </c>
      <c r="P3253">
        <v>90046</v>
      </c>
      <c r="Q3253">
        <v>5169</v>
      </c>
      <c r="R3253" t="s">
        <v>23</v>
      </c>
      <c r="S3253" s="1" t="s">
        <v>34218</v>
      </c>
    </row>
    <row r="3254" spans="1:19" x14ac:dyDescent="0.25">
      <c r="A3254">
        <v>101355869</v>
      </c>
      <c r="B3254" t="s">
        <v>8666</v>
      </c>
      <c r="C3254" t="s">
        <v>838</v>
      </c>
      <c r="F3254" t="str">
        <f>"9146717058"</f>
        <v>9146717058</v>
      </c>
      <c r="G3254" t="s">
        <v>8667</v>
      </c>
      <c r="H3254" t="s">
        <v>8668</v>
      </c>
      <c r="I3254" t="s">
        <v>117</v>
      </c>
      <c r="J3254">
        <v>10530</v>
      </c>
      <c r="K3254">
        <v>1676</v>
      </c>
      <c r="L3254" t="s">
        <v>23</v>
      </c>
      <c r="M3254" t="s">
        <v>8667</v>
      </c>
      <c r="N3254" t="s">
        <v>8668</v>
      </c>
      <c r="O3254" t="s">
        <v>117</v>
      </c>
      <c r="P3254">
        <v>10530</v>
      </c>
      <c r="Q3254">
        <v>1676</v>
      </c>
      <c r="R3254" t="s">
        <v>23</v>
      </c>
      <c r="S3254" s="1" t="s">
        <v>34218</v>
      </c>
    </row>
    <row r="3255" spans="1:19" x14ac:dyDescent="0.25">
      <c r="A3255">
        <v>101348874</v>
      </c>
      <c r="B3255" t="s">
        <v>8669</v>
      </c>
      <c r="C3255" t="s">
        <v>1460</v>
      </c>
      <c r="F3255" t="str">
        <f>"7853574155"</f>
        <v>7853574155</v>
      </c>
      <c r="G3255" t="s">
        <v>8670</v>
      </c>
      <c r="H3255" t="s">
        <v>4917</v>
      </c>
      <c r="I3255" t="s">
        <v>241</v>
      </c>
      <c r="J3255">
        <v>66604</v>
      </c>
      <c r="K3255">
        <v>1637</v>
      </c>
      <c r="L3255" t="s">
        <v>23</v>
      </c>
      <c r="M3255" t="s">
        <v>8670</v>
      </c>
      <c r="N3255" t="s">
        <v>4917</v>
      </c>
      <c r="O3255" t="s">
        <v>241</v>
      </c>
      <c r="P3255">
        <v>66604</v>
      </c>
      <c r="Q3255">
        <v>1637</v>
      </c>
      <c r="R3255" t="s">
        <v>23</v>
      </c>
      <c r="S3255" s="1" t="s">
        <v>34218</v>
      </c>
    </row>
    <row r="3256" spans="1:19" x14ac:dyDescent="0.25">
      <c r="A3256">
        <v>101356890</v>
      </c>
      <c r="B3256" t="s">
        <v>8671</v>
      </c>
      <c r="C3256" t="s">
        <v>644</v>
      </c>
      <c r="F3256" t="str">
        <f>"7046514126"</f>
        <v>7046514126</v>
      </c>
      <c r="G3256" t="s">
        <v>8672</v>
      </c>
      <c r="H3256" t="s">
        <v>1531</v>
      </c>
      <c r="I3256" t="s">
        <v>84</v>
      </c>
      <c r="J3256">
        <v>98125</v>
      </c>
      <c r="K3256">
        <v>4301</v>
      </c>
      <c r="L3256" t="s">
        <v>23</v>
      </c>
      <c r="M3256" t="s">
        <v>8672</v>
      </c>
      <c r="N3256" t="s">
        <v>1531</v>
      </c>
      <c r="O3256" t="s">
        <v>84</v>
      </c>
      <c r="P3256">
        <v>98125</v>
      </c>
      <c r="Q3256">
        <v>4301</v>
      </c>
      <c r="R3256" t="s">
        <v>23</v>
      </c>
      <c r="S3256" s="1" t="s">
        <v>34218</v>
      </c>
    </row>
    <row r="3257" spans="1:19" x14ac:dyDescent="0.25">
      <c r="A3257">
        <v>101379821</v>
      </c>
      <c r="B3257" t="s">
        <v>8673</v>
      </c>
      <c r="C3257" t="s">
        <v>4502</v>
      </c>
      <c r="F3257" t="str">
        <f>"6103657940"</f>
        <v>6103657940</v>
      </c>
      <c r="G3257" t="s">
        <v>8674</v>
      </c>
      <c r="H3257" t="s">
        <v>8675</v>
      </c>
      <c r="I3257" t="s">
        <v>33</v>
      </c>
      <c r="J3257">
        <v>18034</v>
      </c>
      <c r="K3257">
        <v>9104</v>
      </c>
      <c r="L3257" t="s">
        <v>23</v>
      </c>
      <c r="M3257" t="s">
        <v>8674</v>
      </c>
      <c r="N3257" t="s">
        <v>8675</v>
      </c>
      <c r="O3257" t="s">
        <v>33</v>
      </c>
      <c r="P3257">
        <v>18034</v>
      </c>
      <c r="Q3257">
        <v>9104</v>
      </c>
      <c r="R3257" t="s">
        <v>23</v>
      </c>
      <c r="S3257" s="1" t="s">
        <v>34218</v>
      </c>
    </row>
    <row r="3258" spans="1:19" x14ac:dyDescent="0.25">
      <c r="A3258">
        <v>101296516</v>
      </c>
      <c r="B3258" t="s">
        <v>1001</v>
      </c>
      <c r="C3258" t="s">
        <v>8676</v>
      </c>
      <c r="F3258" t="str">
        <f>"4023461773"</f>
        <v>4023461773</v>
      </c>
      <c r="G3258" t="s">
        <v>8677</v>
      </c>
      <c r="H3258" t="s">
        <v>5644</v>
      </c>
      <c r="I3258" t="s">
        <v>370</v>
      </c>
      <c r="J3258">
        <v>68152</v>
      </c>
      <c r="K3258">
        <v>2019</v>
      </c>
      <c r="L3258" t="s">
        <v>23</v>
      </c>
      <c r="M3258" t="s">
        <v>8677</v>
      </c>
      <c r="N3258" t="s">
        <v>5644</v>
      </c>
      <c r="O3258" t="s">
        <v>370</v>
      </c>
      <c r="P3258">
        <v>68152</v>
      </c>
      <c r="Q3258">
        <v>2019</v>
      </c>
      <c r="R3258" t="s">
        <v>23</v>
      </c>
      <c r="S3258" s="1" t="s">
        <v>34218</v>
      </c>
    </row>
    <row r="3259" spans="1:19" x14ac:dyDescent="0.25">
      <c r="A3259">
        <v>101301992</v>
      </c>
      <c r="B3259" t="s">
        <v>8678</v>
      </c>
      <c r="C3259" t="s">
        <v>8679</v>
      </c>
      <c r="F3259" t="str">
        <f>"4135341736"</f>
        <v>4135341736</v>
      </c>
      <c r="G3259" t="s">
        <v>8680</v>
      </c>
      <c r="H3259" t="s">
        <v>8681</v>
      </c>
      <c r="I3259" t="s">
        <v>236</v>
      </c>
      <c r="J3259">
        <v>1040</v>
      </c>
      <c r="K3259">
        <v>3502</v>
      </c>
      <c r="L3259" t="s">
        <v>23</v>
      </c>
      <c r="M3259" t="s">
        <v>8680</v>
      </c>
      <c r="N3259" t="s">
        <v>8681</v>
      </c>
      <c r="O3259" t="s">
        <v>236</v>
      </c>
      <c r="P3259">
        <v>1040</v>
      </c>
      <c r="Q3259">
        <v>3502</v>
      </c>
      <c r="R3259" t="s">
        <v>23</v>
      </c>
      <c r="S3259" s="1" t="s">
        <v>34218</v>
      </c>
    </row>
    <row r="3260" spans="1:19" x14ac:dyDescent="0.25">
      <c r="A3260">
        <v>101307240</v>
      </c>
      <c r="B3260" t="s">
        <v>3828</v>
      </c>
      <c r="C3260" t="s">
        <v>1726</v>
      </c>
      <c r="F3260" t="str">
        <f>"8027224546"</f>
        <v>8027224546</v>
      </c>
      <c r="G3260" t="s">
        <v>8682</v>
      </c>
      <c r="H3260" t="s">
        <v>8683</v>
      </c>
      <c r="I3260" t="s">
        <v>307</v>
      </c>
      <c r="J3260">
        <v>5346</v>
      </c>
      <c r="K3260">
        <v>9155</v>
      </c>
      <c r="L3260" t="s">
        <v>23</v>
      </c>
      <c r="M3260" t="s">
        <v>8682</v>
      </c>
      <c r="N3260" t="s">
        <v>8683</v>
      </c>
      <c r="O3260" t="s">
        <v>307</v>
      </c>
      <c r="P3260">
        <v>5346</v>
      </c>
      <c r="Q3260">
        <v>9155</v>
      </c>
      <c r="R3260" t="s">
        <v>23</v>
      </c>
      <c r="S3260" s="1" t="s">
        <v>34218</v>
      </c>
    </row>
    <row r="3261" spans="1:19" x14ac:dyDescent="0.25">
      <c r="A3261">
        <v>100809735</v>
      </c>
      <c r="B3261" t="s">
        <v>8684</v>
      </c>
      <c r="C3261" t="s">
        <v>2281</v>
      </c>
      <c r="F3261" t="str">
        <f>"9175661300"</f>
        <v>9175661300</v>
      </c>
      <c r="G3261" t="s">
        <v>8685</v>
      </c>
      <c r="H3261" t="s">
        <v>198</v>
      </c>
      <c r="I3261" t="s">
        <v>22</v>
      </c>
      <c r="J3261">
        <v>92111</v>
      </c>
      <c r="K3261">
        <v>5039</v>
      </c>
      <c r="L3261" t="s">
        <v>23</v>
      </c>
      <c r="M3261" t="s">
        <v>8685</v>
      </c>
      <c r="N3261" t="s">
        <v>198</v>
      </c>
      <c r="O3261" t="s">
        <v>22</v>
      </c>
      <c r="P3261">
        <v>92111</v>
      </c>
      <c r="Q3261">
        <v>5039</v>
      </c>
      <c r="R3261" t="s">
        <v>23</v>
      </c>
      <c r="S3261" s="1" t="s">
        <v>34218</v>
      </c>
    </row>
    <row r="3262" spans="1:19" x14ac:dyDescent="0.25">
      <c r="A3262">
        <v>101128842</v>
      </c>
      <c r="B3262" t="s">
        <v>8686</v>
      </c>
      <c r="C3262" t="s">
        <v>30</v>
      </c>
      <c r="F3262" t="str">
        <f>"6106893887"</f>
        <v>6106893887</v>
      </c>
      <c r="G3262" t="s">
        <v>8687</v>
      </c>
      <c r="H3262" t="s">
        <v>7727</v>
      </c>
      <c r="I3262" t="s">
        <v>33</v>
      </c>
      <c r="J3262">
        <v>19518</v>
      </c>
      <c r="K3262">
        <v>9577</v>
      </c>
      <c r="L3262" t="s">
        <v>23</v>
      </c>
      <c r="M3262" t="s">
        <v>8687</v>
      </c>
      <c r="N3262" t="s">
        <v>7727</v>
      </c>
      <c r="O3262" t="s">
        <v>33</v>
      </c>
      <c r="P3262">
        <v>19518</v>
      </c>
      <c r="Q3262">
        <v>9577</v>
      </c>
      <c r="R3262" t="s">
        <v>23</v>
      </c>
      <c r="S3262" s="1" t="s">
        <v>34218</v>
      </c>
    </row>
    <row r="3263" spans="1:19" x14ac:dyDescent="0.25">
      <c r="A3263">
        <v>101136211</v>
      </c>
      <c r="B3263" t="s">
        <v>8688</v>
      </c>
      <c r="C3263" t="s">
        <v>2151</v>
      </c>
      <c r="F3263" t="str">
        <f>"4065382212"</f>
        <v>4065382212</v>
      </c>
      <c r="G3263" t="s">
        <v>8689</v>
      </c>
      <c r="H3263" t="s">
        <v>8690</v>
      </c>
      <c r="I3263" t="s">
        <v>1000</v>
      </c>
      <c r="J3263">
        <v>59457</v>
      </c>
      <c r="K3263">
        <v>2437</v>
      </c>
      <c r="L3263" t="s">
        <v>23</v>
      </c>
      <c r="M3263" t="s">
        <v>8689</v>
      </c>
      <c r="N3263" t="s">
        <v>8690</v>
      </c>
      <c r="O3263" t="s">
        <v>1000</v>
      </c>
      <c r="P3263">
        <v>59457</v>
      </c>
      <c r="Q3263">
        <v>2437</v>
      </c>
      <c r="R3263" t="s">
        <v>23</v>
      </c>
      <c r="S3263" s="1" t="s">
        <v>34218</v>
      </c>
    </row>
    <row r="3264" spans="1:19" x14ac:dyDescent="0.25">
      <c r="A3264">
        <v>101392255</v>
      </c>
      <c r="B3264" t="s">
        <v>2092</v>
      </c>
      <c r="C3264" t="s">
        <v>158</v>
      </c>
      <c r="F3264" t="str">
        <f>"7705556666"</f>
        <v>7705556666</v>
      </c>
      <c r="G3264" t="s">
        <v>8691</v>
      </c>
      <c r="H3264" t="s">
        <v>8692</v>
      </c>
      <c r="I3264" t="s">
        <v>28</v>
      </c>
      <c r="J3264">
        <v>30032</v>
      </c>
      <c r="K3264">
        <v>3974</v>
      </c>
      <c r="L3264" t="s">
        <v>23</v>
      </c>
      <c r="M3264" t="s">
        <v>8691</v>
      </c>
      <c r="N3264" t="s">
        <v>8692</v>
      </c>
      <c r="O3264" t="s">
        <v>28</v>
      </c>
      <c r="P3264">
        <v>30032</v>
      </c>
      <c r="Q3264">
        <v>3974</v>
      </c>
      <c r="R3264" t="s">
        <v>23</v>
      </c>
      <c r="S3264" s="1" t="s">
        <v>34218</v>
      </c>
    </row>
    <row r="3265" spans="1:19" x14ac:dyDescent="0.25">
      <c r="A3265">
        <v>101334115</v>
      </c>
      <c r="B3265" t="s">
        <v>8693</v>
      </c>
      <c r="C3265" t="s">
        <v>4012</v>
      </c>
      <c r="F3265" t="str">
        <f>"9857856242"</f>
        <v>9857856242</v>
      </c>
      <c r="G3265" t="s">
        <v>8694</v>
      </c>
      <c r="H3265" t="s">
        <v>8695</v>
      </c>
      <c r="I3265" t="s">
        <v>153</v>
      </c>
      <c r="J3265">
        <v>70070</v>
      </c>
      <c r="K3265">
        <v>3025</v>
      </c>
      <c r="L3265" t="s">
        <v>23</v>
      </c>
      <c r="M3265" t="s">
        <v>8694</v>
      </c>
      <c r="N3265" t="s">
        <v>8695</v>
      </c>
      <c r="O3265" t="s">
        <v>153</v>
      </c>
      <c r="P3265">
        <v>70070</v>
      </c>
      <c r="Q3265">
        <v>3025</v>
      </c>
      <c r="R3265" t="s">
        <v>23</v>
      </c>
      <c r="S3265" s="1" t="s">
        <v>34218</v>
      </c>
    </row>
    <row r="3266" spans="1:19" x14ac:dyDescent="0.25">
      <c r="A3266">
        <v>100805043</v>
      </c>
      <c r="B3266" t="s">
        <v>8696</v>
      </c>
      <c r="C3266" t="s">
        <v>1873</v>
      </c>
      <c r="F3266" t="str">
        <f>"3106580822"</f>
        <v>3106580822</v>
      </c>
      <c r="G3266" t="s">
        <v>8697</v>
      </c>
      <c r="H3266" t="s">
        <v>6937</v>
      </c>
      <c r="I3266" t="s">
        <v>22</v>
      </c>
      <c r="J3266">
        <v>90254</v>
      </c>
      <c r="K3266">
        <v>2219</v>
      </c>
      <c r="L3266" t="s">
        <v>23</v>
      </c>
      <c r="M3266" t="s">
        <v>8697</v>
      </c>
      <c r="N3266" t="s">
        <v>6937</v>
      </c>
      <c r="O3266" t="s">
        <v>22</v>
      </c>
      <c r="P3266">
        <v>90254</v>
      </c>
      <c r="Q3266">
        <v>2219</v>
      </c>
      <c r="R3266" t="s">
        <v>23</v>
      </c>
      <c r="S3266" s="1" t="s">
        <v>34218</v>
      </c>
    </row>
    <row r="3267" spans="1:19" x14ac:dyDescent="0.25">
      <c r="A3267">
        <v>101212010</v>
      </c>
      <c r="B3267" t="s">
        <v>8698</v>
      </c>
      <c r="C3267" t="s">
        <v>30</v>
      </c>
      <c r="F3267" t="str">
        <f>"3037720000"</f>
        <v>3037720000</v>
      </c>
      <c r="G3267" t="s">
        <v>8699</v>
      </c>
      <c r="H3267" t="s">
        <v>2399</v>
      </c>
      <c r="I3267" t="s">
        <v>71</v>
      </c>
      <c r="J3267">
        <v>80525</v>
      </c>
      <c r="K3267">
        <v>3737</v>
      </c>
      <c r="L3267" t="s">
        <v>23</v>
      </c>
      <c r="M3267" t="s">
        <v>8699</v>
      </c>
      <c r="N3267" t="s">
        <v>2399</v>
      </c>
      <c r="O3267" t="s">
        <v>71</v>
      </c>
      <c r="P3267">
        <v>80525</v>
      </c>
      <c r="Q3267">
        <v>3737</v>
      </c>
      <c r="R3267" t="s">
        <v>23</v>
      </c>
      <c r="S3267" s="1" t="s">
        <v>34218</v>
      </c>
    </row>
    <row r="3268" spans="1:19" x14ac:dyDescent="0.25">
      <c r="A3268">
        <v>101007361</v>
      </c>
      <c r="B3268" t="s">
        <v>105</v>
      </c>
      <c r="C3268" t="s">
        <v>119</v>
      </c>
      <c r="F3268" t="str">
        <f>"8314384564"</f>
        <v>8314384564</v>
      </c>
      <c r="G3268" t="s">
        <v>8700</v>
      </c>
      <c r="H3268" t="s">
        <v>1293</v>
      </c>
      <c r="I3268" t="s">
        <v>22</v>
      </c>
      <c r="J3268">
        <v>95060</v>
      </c>
      <c r="K3268">
        <v>1122</v>
      </c>
      <c r="L3268" t="s">
        <v>23</v>
      </c>
      <c r="M3268" t="s">
        <v>8700</v>
      </c>
      <c r="N3268" t="s">
        <v>1293</v>
      </c>
      <c r="O3268" t="s">
        <v>22</v>
      </c>
      <c r="P3268">
        <v>95060</v>
      </c>
      <c r="Q3268">
        <v>1122</v>
      </c>
      <c r="R3268" t="s">
        <v>23</v>
      </c>
      <c r="S3268" s="1" t="s">
        <v>34218</v>
      </c>
    </row>
    <row r="3269" spans="1:19" x14ac:dyDescent="0.25">
      <c r="A3269">
        <v>101211475</v>
      </c>
      <c r="B3269" t="s">
        <v>7006</v>
      </c>
      <c r="C3269" t="s">
        <v>440</v>
      </c>
      <c r="F3269" t="str">
        <f>"5039419646"</f>
        <v>5039419646</v>
      </c>
      <c r="G3269" t="s">
        <v>8701</v>
      </c>
      <c r="H3269" t="s">
        <v>818</v>
      </c>
      <c r="I3269" t="s">
        <v>43</v>
      </c>
      <c r="J3269">
        <v>97006</v>
      </c>
      <c r="K3269">
        <v>1795</v>
      </c>
      <c r="L3269" t="s">
        <v>23</v>
      </c>
      <c r="M3269" t="s">
        <v>8701</v>
      </c>
      <c r="N3269" t="s">
        <v>818</v>
      </c>
      <c r="O3269" t="s">
        <v>43</v>
      </c>
      <c r="P3269">
        <v>97006</v>
      </c>
      <c r="Q3269">
        <v>1795</v>
      </c>
      <c r="R3269" t="s">
        <v>23</v>
      </c>
      <c r="S3269" s="1" t="s">
        <v>34218</v>
      </c>
    </row>
    <row r="3270" spans="1:19" x14ac:dyDescent="0.25">
      <c r="A3270">
        <v>101227732</v>
      </c>
      <c r="B3270" t="s">
        <v>8489</v>
      </c>
      <c r="C3270" t="s">
        <v>8702</v>
      </c>
      <c r="F3270" t="str">
        <f>"7148403074"</f>
        <v>7148403074</v>
      </c>
      <c r="G3270" t="s">
        <v>8703</v>
      </c>
      <c r="H3270" t="s">
        <v>3847</v>
      </c>
      <c r="I3270" t="s">
        <v>22</v>
      </c>
      <c r="J3270">
        <v>92649</v>
      </c>
      <c r="K3270">
        <v>4842</v>
      </c>
      <c r="L3270" t="s">
        <v>23</v>
      </c>
      <c r="M3270" t="s">
        <v>8703</v>
      </c>
      <c r="N3270" t="s">
        <v>3847</v>
      </c>
      <c r="O3270" t="s">
        <v>22</v>
      </c>
      <c r="P3270">
        <v>92649</v>
      </c>
      <c r="Q3270">
        <v>4842</v>
      </c>
      <c r="R3270" t="s">
        <v>23</v>
      </c>
      <c r="S3270" s="1" t="s">
        <v>34218</v>
      </c>
    </row>
    <row r="3271" spans="1:19" x14ac:dyDescent="0.25">
      <c r="A3271">
        <v>100632044</v>
      </c>
      <c r="B3271" t="s">
        <v>8704</v>
      </c>
      <c r="C3271" t="s">
        <v>8705</v>
      </c>
      <c r="F3271" t="str">
        <f>"7078260373"</f>
        <v>7078260373</v>
      </c>
      <c r="G3271" t="s">
        <v>8706</v>
      </c>
      <c r="H3271" t="s">
        <v>1261</v>
      </c>
      <c r="I3271" t="s">
        <v>22</v>
      </c>
      <c r="J3271">
        <v>95501</v>
      </c>
      <c r="K3271">
        <v>4348</v>
      </c>
      <c r="L3271" t="s">
        <v>23</v>
      </c>
      <c r="M3271" t="s">
        <v>8706</v>
      </c>
      <c r="N3271" t="s">
        <v>1261</v>
      </c>
      <c r="O3271" t="s">
        <v>22</v>
      </c>
      <c r="P3271">
        <v>95501</v>
      </c>
      <c r="Q3271">
        <v>4348</v>
      </c>
      <c r="R3271" t="s">
        <v>23</v>
      </c>
      <c r="S3271" s="1" t="s">
        <v>34218</v>
      </c>
    </row>
    <row r="3272" spans="1:19" x14ac:dyDescent="0.25">
      <c r="A3272">
        <v>101148453</v>
      </c>
      <c r="B3272" t="s">
        <v>8707</v>
      </c>
      <c r="C3272" t="s">
        <v>699</v>
      </c>
      <c r="F3272" t="str">
        <f>"9084329945"</f>
        <v>9084329945</v>
      </c>
      <c r="G3272" t="s">
        <v>8708</v>
      </c>
      <c r="H3272" t="s">
        <v>5848</v>
      </c>
      <c r="I3272" t="s">
        <v>250</v>
      </c>
      <c r="J3272">
        <v>8822</v>
      </c>
      <c r="K3272">
        <v>1854</v>
      </c>
      <c r="L3272" t="s">
        <v>23</v>
      </c>
      <c r="M3272" t="s">
        <v>8708</v>
      </c>
      <c r="N3272" t="s">
        <v>5848</v>
      </c>
      <c r="O3272" t="s">
        <v>250</v>
      </c>
      <c r="P3272">
        <v>8822</v>
      </c>
      <c r="Q3272">
        <v>1854</v>
      </c>
      <c r="R3272" t="s">
        <v>23</v>
      </c>
      <c r="S3272" s="1" t="s">
        <v>34218</v>
      </c>
    </row>
    <row r="3273" spans="1:19" x14ac:dyDescent="0.25">
      <c r="A3273">
        <v>101111736</v>
      </c>
      <c r="B3273" t="s">
        <v>8709</v>
      </c>
      <c r="C3273" t="s">
        <v>132</v>
      </c>
      <c r="F3273" t="str">
        <f>"8473593413"</f>
        <v>8473593413</v>
      </c>
      <c r="G3273" t="s">
        <v>8710</v>
      </c>
      <c r="H3273" t="s">
        <v>8711</v>
      </c>
      <c r="I3273" t="s">
        <v>135</v>
      </c>
      <c r="J3273">
        <v>60074</v>
      </c>
      <c r="K3273">
        <v>1808</v>
      </c>
      <c r="L3273" t="s">
        <v>23</v>
      </c>
      <c r="M3273" t="s">
        <v>8710</v>
      </c>
      <c r="N3273" t="s">
        <v>8711</v>
      </c>
      <c r="O3273" t="s">
        <v>135</v>
      </c>
      <c r="P3273">
        <v>60074</v>
      </c>
      <c r="Q3273">
        <v>1808</v>
      </c>
      <c r="R3273" t="s">
        <v>23</v>
      </c>
      <c r="S3273" s="1" t="s">
        <v>34218</v>
      </c>
    </row>
    <row r="3274" spans="1:19" x14ac:dyDescent="0.25">
      <c r="A3274">
        <v>101289474</v>
      </c>
      <c r="B3274" t="s">
        <v>8712</v>
      </c>
      <c r="C3274" t="s">
        <v>114</v>
      </c>
      <c r="F3274" t="str">
        <f>"4088461728"</f>
        <v>4088461728</v>
      </c>
      <c r="G3274" t="s">
        <v>8713</v>
      </c>
      <c r="H3274" t="s">
        <v>7296</v>
      </c>
      <c r="I3274" t="s">
        <v>22</v>
      </c>
      <c r="J3274">
        <v>95020</v>
      </c>
      <c r="K3274">
        <v>4453</v>
      </c>
      <c r="L3274" t="s">
        <v>23</v>
      </c>
      <c r="M3274" t="s">
        <v>8713</v>
      </c>
      <c r="N3274" t="s">
        <v>7296</v>
      </c>
      <c r="O3274" t="s">
        <v>22</v>
      </c>
      <c r="P3274">
        <v>95020</v>
      </c>
      <c r="Q3274">
        <v>4453</v>
      </c>
      <c r="R3274" t="s">
        <v>23</v>
      </c>
      <c r="S3274" s="1" t="s">
        <v>34218</v>
      </c>
    </row>
    <row r="3275" spans="1:19" x14ac:dyDescent="0.25">
      <c r="A3275">
        <v>101267023</v>
      </c>
      <c r="B3275" t="s">
        <v>8714</v>
      </c>
      <c r="C3275" t="s">
        <v>8451</v>
      </c>
      <c r="F3275" t="str">
        <f>"7032175114"</f>
        <v>7032175114</v>
      </c>
      <c r="G3275" t="s">
        <v>8715</v>
      </c>
      <c r="H3275" t="s">
        <v>8716</v>
      </c>
      <c r="I3275" t="s">
        <v>255</v>
      </c>
      <c r="J3275">
        <v>22947</v>
      </c>
      <c r="K3275">
        <v>2196</v>
      </c>
      <c r="L3275" t="s">
        <v>23</v>
      </c>
      <c r="M3275" t="s">
        <v>8715</v>
      </c>
      <c r="N3275" t="s">
        <v>8716</v>
      </c>
      <c r="O3275" t="s">
        <v>255</v>
      </c>
      <c r="P3275">
        <v>22947</v>
      </c>
      <c r="Q3275">
        <v>2196</v>
      </c>
      <c r="R3275" t="s">
        <v>23</v>
      </c>
      <c r="S3275" s="1" t="s">
        <v>34218</v>
      </c>
    </row>
    <row r="3276" spans="1:19" x14ac:dyDescent="0.25">
      <c r="A3276">
        <v>101039014</v>
      </c>
      <c r="B3276" t="s">
        <v>8717</v>
      </c>
      <c r="C3276" t="s">
        <v>8718</v>
      </c>
      <c r="F3276" t="str">
        <f>"9413495181"</f>
        <v>9413495181</v>
      </c>
      <c r="G3276" t="s">
        <v>8719</v>
      </c>
      <c r="H3276" t="s">
        <v>2910</v>
      </c>
      <c r="I3276" t="s">
        <v>52</v>
      </c>
      <c r="J3276">
        <v>34236</v>
      </c>
      <c r="K3276">
        <v>2468</v>
      </c>
      <c r="L3276" t="s">
        <v>23</v>
      </c>
      <c r="M3276" t="s">
        <v>8719</v>
      </c>
      <c r="N3276" t="s">
        <v>2910</v>
      </c>
      <c r="O3276" t="s">
        <v>52</v>
      </c>
      <c r="P3276">
        <v>34236</v>
      </c>
      <c r="Q3276">
        <v>2468</v>
      </c>
      <c r="R3276" t="s">
        <v>23</v>
      </c>
      <c r="S3276" s="1" t="s">
        <v>34218</v>
      </c>
    </row>
    <row r="3277" spans="1:19" x14ac:dyDescent="0.25">
      <c r="A3277">
        <v>101042240</v>
      </c>
      <c r="B3277" t="s">
        <v>4691</v>
      </c>
      <c r="C3277" t="s">
        <v>8720</v>
      </c>
      <c r="F3277" t="str">
        <f>"5186773810"</f>
        <v>5186773810</v>
      </c>
      <c r="G3277" t="s">
        <v>8721</v>
      </c>
      <c r="H3277" t="s">
        <v>3385</v>
      </c>
      <c r="I3277" t="s">
        <v>117</v>
      </c>
      <c r="J3277">
        <v>12816</v>
      </c>
      <c r="K3277">
        <v>4607</v>
      </c>
      <c r="L3277" t="s">
        <v>23</v>
      </c>
      <c r="M3277" t="s">
        <v>8721</v>
      </c>
      <c r="N3277" t="s">
        <v>3385</v>
      </c>
      <c r="O3277" t="s">
        <v>117</v>
      </c>
      <c r="P3277">
        <v>12816</v>
      </c>
      <c r="Q3277">
        <v>4607</v>
      </c>
      <c r="R3277" t="s">
        <v>23</v>
      </c>
      <c r="S3277" s="1" t="s">
        <v>34218</v>
      </c>
    </row>
    <row r="3278" spans="1:19" x14ac:dyDescent="0.25">
      <c r="A3278">
        <v>101258386</v>
      </c>
      <c r="B3278" t="s">
        <v>8722</v>
      </c>
      <c r="C3278" t="s">
        <v>8723</v>
      </c>
      <c r="F3278" t="str">
        <f>"9159295246"</f>
        <v>9159295246</v>
      </c>
      <c r="G3278" t="s">
        <v>8724</v>
      </c>
      <c r="H3278" t="s">
        <v>1716</v>
      </c>
      <c r="I3278" t="s">
        <v>38</v>
      </c>
      <c r="J3278">
        <v>79938</v>
      </c>
      <c r="K3278">
        <v>7743</v>
      </c>
      <c r="L3278" t="s">
        <v>23</v>
      </c>
      <c r="M3278" t="s">
        <v>8724</v>
      </c>
      <c r="N3278" t="s">
        <v>1716</v>
      </c>
      <c r="O3278" t="s">
        <v>38</v>
      </c>
      <c r="P3278">
        <v>79938</v>
      </c>
      <c r="Q3278">
        <v>7743</v>
      </c>
      <c r="R3278" t="s">
        <v>23</v>
      </c>
      <c r="S3278" s="1" t="s">
        <v>34218</v>
      </c>
    </row>
    <row r="3279" spans="1:19" x14ac:dyDescent="0.25">
      <c r="A3279">
        <v>101263822</v>
      </c>
      <c r="B3279" t="s">
        <v>8725</v>
      </c>
      <c r="C3279" t="s">
        <v>699</v>
      </c>
      <c r="F3279" t="str">
        <f>"7326169346"</f>
        <v>7326169346</v>
      </c>
      <c r="G3279" t="s">
        <v>8726</v>
      </c>
      <c r="H3279" t="s">
        <v>4646</v>
      </c>
      <c r="I3279" t="s">
        <v>250</v>
      </c>
      <c r="J3279">
        <v>8873</v>
      </c>
      <c r="K3279">
        <v>4847</v>
      </c>
      <c r="L3279" t="s">
        <v>23</v>
      </c>
      <c r="M3279" t="s">
        <v>8726</v>
      </c>
      <c r="N3279" t="s">
        <v>4646</v>
      </c>
      <c r="O3279" t="s">
        <v>250</v>
      </c>
      <c r="P3279">
        <v>8873</v>
      </c>
      <c r="Q3279">
        <v>4847</v>
      </c>
      <c r="R3279" t="s">
        <v>23</v>
      </c>
      <c r="S3279" s="1" t="s">
        <v>34218</v>
      </c>
    </row>
    <row r="3280" spans="1:19" x14ac:dyDescent="0.25">
      <c r="A3280">
        <v>100910014</v>
      </c>
      <c r="B3280" t="s">
        <v>102</v>
      </c>
      <c r="C3280" t="s">
        <v>1714</v>
      </c>
      <c r="F3280" t="str">
        <f>"9495813142"</f>
        <v>9495813142</v>
      </c>
      <c r="G3280" t="s">
        <v>8727</v>
      </c>
      <c r="H3280" t="s">
        <v>8728</v>
      </c>
      <c r="I3280" t="s">
        <v>22</v>
      </c>
      <c r="J3280" t="s">
        <v>8729</v>
      </c>
      <c r="K3280">
        <v>8151</v>
      </c>
      <c r="L3280" t="s">
        <v>23</v>
      </c>
      <c r="M3280" t="s">
        <v>8727</v>
      </c>
      <c r="N3280" t="s">
        <v>8728</v>
      </c>
      <c r="O3280" t="s">
        <v>22</v>
      </c>
      <c r="P3280" t="s">
        <v>8729</v>
      </c>
      <c r="Q3280">
        <v>8151</v>
      </c>
      <c r="R3280" t="s">
        <v>23</v>
      </c>
      <c r="S3280" s="1" t="s">
        <v>34218</v>
      </c>
    </row>
    <row r="3281" spans="1:19" x14ac:dyDescent="0.25">
      <c r="A3281">
        <v>100826009</v>
      </c>
      <c r="B3281" t="s">
        <v>7568</v>
      </c>
      <c r="C3281" t="s">
        <v>8730</v>
      </c>
      <c r="F3281" t="str">
        <f>"8055782525"</f>
        <v>8055782525</v>
      </c>
      <c r="G3281" t="s">
        <v>8731</v>
      </c>
      <c r="H3281" t="s">
        <v>454</v>
      </c>
      <c r="I3281" t="s">
        <v>22</v>
      </c>
      <c r="J3281">
        <v>93065</v>
      </c>
      <c r="K3281">
        <v>5233</v>
      </c>
      <c r="L3281" t="s">
        <v>23</v>
      </c>
      <c r="M3281" t="s">
        <v>8731</v>
      </c>
      <c r="N3281" t="s">
        <v>454</v>
      </c>
      <c r="O3281" t="s">
        <v>22</v>
      </c>
      <c r="P3281">
        <v>93065</v>
      </c>
      <c r="Q3281">
        <v>5233</v>
      </c>
      <c r="R3281" t="s">
        <v>23</v>
      </c>
      <c r="S3281" s="1" t="s">
        <v>34218</v>
      </c>
    </row>
    <row r="3282" spans="1:19" x14ac:dyDescent="0.25">
      <c r="A3282">
        <v>100834070</v>
      </c>
      <c r="B3282" t="s">
        <v>8732</v>
      </c>
      <c r="C3282" t="s">
        <v>6214</v>
      </c>
      <c r="F3282" t="str">
        <f>"6666666666"</f>
        <v>6666666666</v>
      </c>
      <c r="G3282" t="s">
        <v>8733</v>
      </c>
      <c r="H3282" t="s">
        <v>3902</v>
      </c>
      <c r="I3282" t="s">
        <v>22</v>
      </c>
      <c r="J3282">
        <v>91016</v>
      </c>
      <c r="K3282">
        <v>4332</v>
      </c>
      <c r="L3282" t="s">
        <v>23</v>
      </c>
      <c r="M3282" t="s">
        <v>8733</v>
      </c>
      <c r="N3282" t="s">
        <v>3902</v>
      </c>
      <c r="O3282" t="s">
        <v>22</v>
      </c>
      <c r="P3282">
        <v>91016</v>
      </c>
      <c r="Q3282">
        <v>4332</v>
      </c>
      <c r="R3282" t="s">
        <v>23</v>
      </c>
      <c r="S3282" s="1" t="s">
        <v>34218</v>
      </c>
    </row>
    <row r="3283" spans="1:19" x14ac:dyDescent="0.25">
      <c r="A3283">
        <v>101018463</v>
      </c>
      <c r="B3283" t="s">
        <v>1339</v>
      </c>
      <c r="C3283" t="s">
        <v>30</v>
      </c>
      <c r="F3283" t="str">
        <f>"7173822288"</f>
        <v>7173822288</v>
      </c>
      <c r="G3283" t="s">
        <v>8734</v>
      </c>
      <c r="H3283" t="s">
        <v>8735</v>
      </c>
      <c r="I3283" t="s">
        <v>33</v>
      </c>
      <c r="J3283">
        <v>17321</v>
      </c>
      <c r="K3283">
        <v>9466</v>
      </c>
      <c r="L3283" t="s">
        <v>23</v>
      </c>
      <c r="M3283" t="s">
        <v>8734</v>
      </c>
      <c r="N3283" t="s">
        <v>8735</v>
      </c>
      <c r="O3283" t="s">
        <v>33</v>
      </c>
      <c r="P3283">
        <v>17321</v>
      </c>
      <c r="Q3283">
        <v>9466</v>
      </c>
      <c r="R3283" t="s">
        <v>23</v>
      </c>
      <c r="S3283" s="1" t="s">
        <v>34218</v>
      </c>
    </row>
    <row r="3284" spans="1:19" x14ac:dyDescent="0.25">
      <c r="A3284">
        <v>101217481</v>
      </c>
      <c r="B3284" t="s">
        <v>7547</v>
      </c>
      <c r="C3284" t="s">
        <v>1036</v>
      </c>
      <c r="F3284" t="str">
        <f>"2486699284"</f>
        <v>2486699284</v>
      </c>
      <c r="G3284" t="s">
        <v>8736</v>
      </c>
      <c r="H3284" t="s">
        <v>8737</v>
      </c>
      <c r="I3284" t="s">
        <v>140</v>
      </c>
      <c r="J3284">
        <v>48390</v>
      </c>
      <c r="K3284">
        <v>1735</v>
      </c>
      <c r="L3284" t="s">
        <v>23</v>
      </c>
      <c r="M3284" t="s">
        <v>8736</v>
      </c>
      <c r="N3284" t="s">
        <v>8737</v>
      </c>
      <c r="O3284" t="s">
        <v>140</v>
      </c>
      <c r="P3284">
        <v>48390</v>
      </c>
      <c r="Q3284">
        <v>1735</v>
      </c>
      <c r="R3284" t="s">
        <v>23</v>
      </c>
      <c r="S3284" s="1" t="s">
        <v>34218</v>
      </c>
    </row>
    <row r="3285" spans="1:19" x14ac:dyDescent="0.25">
      <c r="A3285">
        <v>101036269</v>
      </c>
      <c r="B3285" t="s">
        <v>1622</v>
      </c>
      <c r="C3285" t="s">
        <v>8738</v>
      </c>
      <c r="F3285" t="str">
        <f>"4154829744"</f>
        <v>4154829744</v>
      </c>
      <c r="G3285" t="s">
        <v>8739</v>
      </c>
      <c r="H3285" t="s">
        <v>2684</v>
      </c>
      <c r="I3285" t="s">
        <v>22</v>
      </c>
      <c r="J3285">
        <v>94901</v>
      </c>
      <c r="K3285">
        <v>1209</v>
      </c>
      <c r="L3285" t="s">
        <v>23</v>
      </c>
      <c r="M3285" t="s">
        <v>8739</v>
      </c>
      <c r="N3285" t="s">
        <v>2684</v>
      </c>
      <c r="O3285" t="s">
        <v>22</v>
      </c>
      <c r="P3285">
        <v>94901</v>
      </c>
      <c r="Q3285">
        <v>1209</v>
      </c>
      <c r="R3285" t="s">
        <v>23</v>
      </c>
      <c r="S3285" s="1" t="s">
        <v>34218</v>
      </c>
    </row>
    <row r="3286" spans="1:19" x14ac:dyDescent="0.25">
      <c r="A3286">
        <v>101045120</v>
      </c>
      <c r="B3286" t="s">
        <v>8740</v>
      </c>
      <c r="C3286" t="s">
        <v>8741</v>
      </c>
      <c r="F3286" t="str">
        <f>"9098618015"</f>
        <v>9098618015</v>
      </c>
      <c r="G3286" t="s">
        <v>8742</v>
      </c>
      <c r="H3286" t="s">
        <v>8743</v>
      </c>
      <c r="I3286" t="s">
        <v>22</v>
      </c>
      <c r="J3286">
        <v>91765</v>
      </c>
      <c r="K3286">
        <v>2844</v>
      </c>
      <c r="L3286" t="s">
        <v>23</v>
      </c>
      <c r="M3286" t="s">
        <v>8742</v>
      </c>
      <c r="N3286" t="s">
        <v>8743</v>
      </c>
      <c r="O3286" t="s">
        <v>22</v>
      </c>
      <c r="P3286">
        <v>91765</v>
      </c>
      <c r="Q3286">
        <v>2844</v>
      </c>
      <c r="R3286" t="s">
        <v>23</v>
      </c>
      <c r="S3286" s="1" t="s">
        <v>34218</v>
      </c>
    </row>
    <row r="3287" spans="1:19" x14ac:dyDescent="0.25">
      <c r="A3287">
        <v>101253300</v>
      </c>
      <c r="B3287" t="s">
        <v>8744</v>
      </c>
      <c r="C3287" t="s">
        <v>715</v>
      </c>
      <c r="F3287" t="str">
        <f>"7657485115"</f>
        <v>7657485115</v>
      </c>
      <c r="G3287" t="s">
        <v>8745</v>
      </c>
      <c r="H3287" t="s">
        <v>8746</v>
      </c>
      <c r="I3287" t="s">
        <v>57</v>
      </c>
      <c r="J3287">
        <v>47342</v>
      </c>
      <c r="K3287">
        <v>9209</v>
      </c>
      <c r="L3287" t="s">
        <v>23</v>
      </c>
      <c r="M3287" t="s">
        <v>8745</v>
      </c>
      <c r="N3287" t="s">
        <v>8746</v>
      </c>
      <c r="O3287" t="s">
        <v>57</v>
      </c>
      <c r="P3287">
        <v>47342</v>
      </c>
      <c r="Q3287">
        <v>9209</v>
      </c>
      <c r="R3287" t="s">
        <v>23</v>
      </c>
      <c r="S3287" s="1" t="s">
        <v>34218</v>
      </c>
    </row>
    <row r="3288" spans="1:19" x14ac:dyDescent="0.25">
      <c r="A3288">
        <v>101246501</v>
      </c>
      <c r="B3288" t="s">
        <v>8747</v>
      </c>
      <c r="C3288" t="s">
        <v>8010</v>
      </c>
      <c r="F3288" t="str">
        <f>"9175472410"</f>
        <v>9175472410</v>
      </c>
      <c r="G3288" t="s">
        <v>8748</v>
      </c>
      <c r="H3288" t="s">
        <v>653</v>
      </c>
      <c r="I3288" t="s">
        <v>117</v>
      </c>
      <c r="J3288">
        <v>10024</v>
      </c>
      <c r="K3288">
        <v>1925</v>
      </c>
      <c r="L3288" t="s">
        <v>23</v>
      </c>
      <c r="M3288" t="s">
        <v>8748</v>
      </c>
      <c r="N3288" t="s">
        <v>653</v>
      </c>
      <c r="O3288" t="s">
        <v>117</v>
      </c>
      <c r="P3288">
        <v>10024</v>
      </c>
      <c r="Q3288">
        <v>1925</v>
      </c>
      <c r="R3288" t="s">
        <v>23</v>
      </c>
      <c r="S3288" s="1" t="s">
        <v>34218</v>
      </c>
    </row>
    <row r="3289" spans="1:19" x14ac:dyDescent="0.25">
      <c r="A3289">
        <v>101309102</v>
      </c>
      <c r="B3289" t="s">
        <v>8749</v>
      </c>
      <c r="C3289" t="s">
        <v>621</v>
      </c>
      <c r="F3289" t="str">
        <f>"5173392449"</f>
        <v>5173392449</v>
      </c>
      <c r="G3289" t="s">
        <v>8750</v>
      </c>
      <c r="H3289" t="s">
        <v>8751</v>
      </c>
      <c r="I3289" t="s">
        <v>140</v>
      </c>
      <c r="J3289">
        <v>48823</v>
      </c>
      <c r="K3289">
        <v>2924</v>
      </c>
      <c r="L3289" t="s">
        <v>23</v>
      </c>
      <c r="M3289" t="s">
        <v>8750</v>
      </c>
      <c r="N3289" t="s">
        <v>8751</v>
      </c>
      <c r="O3289" t="s">
        <v>140</v>
      </c>
      <c r="P3289">
        <v>48823</v>
      </c>
      <c r="Q3289">
        <v>2924</v>
      </c>
      <c r="R3289" t="s">
        <v>23</v>
      </c>
      <c r="S3289" s="1" t="s">
        <v>34218</v>
      </c>
    </row>
    <row r="3290" spans="1:19" x14ac:dyDescent="0.25">
      <c r="A3290">
        <v>101321244</v>
      </c>
      <c r="B3290" t="s">
        <v>8752</v>
      </c>
      <c r="C3290" t="s">
        <v>644</v>
      </c>
      <c r="F3290" t="str">
        <f>"7074419269"</f>
        <v>7074419269</v>
      </c>
      <c r="G3290" t="s">
        <v>8753</v>
      </c>
      <c r="H3290" t="s">
        <v>1261</v>
      </c>
      <c r="I3290" t="s">
        <v>22</v>
      </c>
      <c r="J3290">
        <v>95503</v>
      </c>
      <c r="K3290">
        <v>6208</v>
      </c>
      <c r="L3290" t="s">
        <v>23</v>
      </c>
      <c r="M3290" t="s">
        <v>8753</v>
      </c>
      <c r="N3290" t="s">
        <v>1261</v>
      </c>
      <c r="O3290" t="s">
        <v>22</v>
      </c>
      <c r="P3290">
        <v>95503</v>
      </c>
      <c r="Q3290">
        <v>6208</v>
      </c>
      <c r="R3290" t="s">
        <v>23</v>
      </c>
      <c r="S3290" s="1" t="s">
        <v>34218</v>
      </c>
    </row>
    <row r="3291" spans="1:19" x14ac:dyDescent="0.25">
      <c r="A3291">
        <v>101325366</v>
      </c>
      <c r="B3291" t="s">
        <v>8754</v>
      </c>
      <c r="C3291" t="s">
        <v>342</v>
      </c>
      <c r="F3291" t="str">
        <f>"4156812513"</f>
        <v>4156812513</v>
      </c>
      <c r="G3291" t="s">
        <v>8755</v>
      </c>
      <c r="H3291" t="s">
        <v>130</v>
      </c>
      <c r="I3291" t="s">
        <v>22</v>
      </c>
      <c r="J3291">
        <v>94116</v>
      </c>
      <c r="K3291">
        <v>1710</v>
      </c>
      <c r="L3291" t="s">
        <v>23</v>
      </c>
      <c r="M3291" t="s">
        <v>8755</v>
      </c>
      <c r="N3291" t="s">
        <v>130</v>
      </c>
      <c r="O3291" t="s">
        <v>22</v>
      </c>
      <c r="P3291">
        <v>94116</v>
      </c>
      <c r="Q3291">
        <v>1710</v>
      </c>
      <c r="R3291" t="s">
        <v>23</v>
      </c>
      <c r="S3291" s="1" t="s">
        <v>34218</v>
      </c>
    </row>
    <row r="3292" spans="1:19" x14ac:dyDescent="0.25">
      <c r="A3292">
        <v>101335461</v>
      </c>
      <c r="B3292" t="s">
        <v>8756</v>
      </c>
      <c r="C3292" t="s">
        <v>664</v>
      </c>
      <c r="F3292" t="str">
        <f>"5106499216"</f>
        <v>5106499216</v>
      </c>
      <c r="G3292" t="s">
        <v>8757</v>
      </c>
      <c r="H3292" t="s">
        <v>66</v>
      </c>
      <c r="I3292" t="s">
        <v>22</v>
      </c>
      <c r="J3292">
        <v>94702</v>
      </c>
      <c r="K3292">
        <v>2021</v>
      </c>
      <c r="L3292" t="s">
        <v>23</v>
      </c>
      <c r="M3292" t="s">
        <v>8757</v>
      </c>
      <c r="N3292" t="s">
        <v>66</v>
      </c>
      <c r="O3292" t="s">
        <v>22</v>
      </c>
      <c r="P3292">
        <v>94702</v>
      </c>
      <c r="Q3292">
        <v>2021</v>
      </c>
      <c r="R3292" t="s">
        <v>23</v>
      </c>
      <c r="S3292" s="1" t="s">
        <v>34218</v>
      </c>
    </row>
    <row r="3293" spans="1:19" x14ac:dyDescent="0.25">
      <c r="A3293">
        <v>101329493</v>
      </c>
      <c r="B3293" t="s">
        <v>4562</v>
      </c>
      <c r="C3293" t="s">
        <v>1306</v>
      </c>
      <c r="F3293" t="str">
        <f>"5105470108"</f>
        <v>5105470108</v>
      </c>
      <c r="G3293" t="s">
        <v>8758</v>
      </c>
      <c r="H3293" t="s">
        <v>88</v>
      </c>
      <c r="I3293" t="s">
        <v>22</v>
      </c>
      <c r="J3293">
        <v>94618</v>
      </c>
      <c r="K3293">
        <v>2147</v>
      </c>
      <c r="L3293" t="s">
        <v>23</v>
      </c>
      <c r="M3293" t="s">
        <v>8758</v>
      </c>
      <c r="N3293" t="s">
        <v>88</v>
      </c>
      <c r="O3293" t="s">
        <v>22</v>
      </c>
      <c r="P3293">
        <v>94618</v>
      </c>
      <c r="Q3293">
        <v>2147</v>
      </c>
      <c r="R3293" t="s">
        <v>23</v>
      </c>
      <c r="S3293" s="1" t="s">
        <v>34218</v>
      </c>
    </row>
    <row r="3294" spans="1:19" x14ac:dyDescent="0.25">
      <c r="A3294">
        <v>101112629</v>
      </c>
      <c r="B3294" t="s">
        <v>8759</v>
      </c>
      <c r="C3294" t="s">
        <v>543</v>
      </c>
      <c r="F3294" t="str">
        <f>"3035555555"</f>
        <v>3035555555</v>
      </c>
      <c r="G3294" t="s">
        <v>8760</v>
      </c>
      <c r="H3294" t="s">
        <v>2449</v>
      </c>
      <c r="I3294" t="s">
        <v>71</v>
      </c>
      <c r="J3294">
        <v>80112</v>
      </c>
      <c r="K3294">
        <v>2335</v>
      </c>
      <c r="L3294" t="s">
        <v>23</v>
      </c>
      <c r="M3294" t="s">
        <v>8760</v>
      </c>
      <c r="N3294" t="s">
        <v>2449</v>
      </c>
      <c r="O3294" t="s">
        <v>71</v>
      </c>
      <c r="P3294">
        <v>80112</v>
      </c>
      <c r="Q3294">
        <v>2335</v>
      </c>
      <c r="R3294" t="s">
        <v>23</v>
      </c>
      <c r="S3294" s="1" t="s">
        <v>34218</v>
      </c>
    </row>
    <row r="3295" spans="1:19" x14ac:dyDescent="0.25">
      <c r="A3295">
        <v>101360908</v>
      </c>
      <c r="B3295" t="s">
        <v>2482</v>
      </c>
      <c r="C3295" t="s">
        <v>1588</v>
      </c>
      <c r="F3295" t="str">
        <f>"8174004149"</f>
        <v>8174004149</v>
      </c>
      <c r="G3295" t="s">
        <v>8761</v>
      </c>
      <c r="H3295" t="s">
        <v>8762</v>
      </c>
      <c r="I3295" t="s">
        <v>38</v>
      </c>
      <c r="J3295">
        <v>75156</v>
      </c>
      <c r="K3295">
        <v>7201</v>
      </c>
      <c r="L3295" t="s">
        <v>23</v>
      </c>
      <c r="M3295" t="s">
        <v>8761</v>
      </c>
      <c r="N3295" t="s">
        <v>8762</v>
      </c>
      <c r="O3295" t="s">
        <v>38</v>
      </c>
      <c r="P3295">
        <v>75156</v>
      </c>
      <c r="Q3295">
        <v>7201</v>
      </c>
      <c r="R3295" t="s">
        <v>23</v>
      </c>
      <c r="S3295" s="1" t="s">
        <v>34218</v>
      </c>
    </row>
    <row r="3296" spans="1:19" x14ac:dyDescent="0.25">
      <c r="A3296">
        <v>101362046</v>
      </c>
      <c r="B3296" t="s">
        <v>8763</v>
      </c>
      <c r="C3296" t="s">
        <v>2411</v>
      </c>
      <c r="F3296" t="str">
        <f>"7708447575"</f>
        <v>7708447575</v>
      </c>
      <c r="G3296" t="s">
        <v>8764</v>
      </c>
      <c r="H3296" t="s">
        <v>4540</v>
      </c>
      <c r="I3296" t="s">
        <v>28</v>
      </c>
      <c r="J3296">
        <v>30041</v>
      </c>
      <c r="K3296">
        <v>5022</v>
      </c>
      <c r="L3296" t="s">
        <v>23</v>
      </c>
      <c r="M3296" t="s">
        <v>8764</v>
      </c>
      <c r="N3296" t="s">
        <v>4540</v>
      </c>
      <c r="O3296" t="s">
        <v>28</v>
      </c>
      <c r="P3296">
        <v>30041</v>
      </c>
      <c r="Q3296">
        <v>5022</v>
      </c>
      <c r="R3296" t="s">
        <v>23</v>
      </c>
      <c r="S3296" s="1" t="s">
        <v>34218</v>
      </c>
    </row>
    <row r="3297" spans="1:19" x14ac:dyDescent="0.25">
      <c r="A3297">
        <v>101383345</v>
      </c>
      <c r="B3297" t="s">
        <v>8765</v>
      </c>
      <c r="C3297" t="s">
        <v>180</v>
      </c>
      <c r="F3297" t="str">
        <f>"5628826163"</f>
        <v>5628826163</v>
      </c>
      <c r="G3297" t="s">
        <v>8766</v>
      </c>
      <c r="H3297" t="s">
        <v>311</v>
      </c>
      <c r="I3297" t="s">
        <v>22</v>
      </c>
      <c r="J3297">
        <v>90804</v>
      </c>
      <c r="K3297">
        <v>3101</v>
      </c>
      <c r="L3297" t="s">
        <v>23</v>
      </c>
      <c r="M3297" t="s">
        <v>8766</v>
      </c>
      <c r="N3297" t="s">
        <v>311</v>
      </c>
      <c r="O3297" t="s">
        <v>22</v>
      </c>
      <c r="P3297">
        <v>90804</v>
      </c>
      <c r="Q3297">
        <v>3101</v>
      </c>
      <c r="R3297" t="s">
        <v>23</v>
      </c>
      <c r="S3297" s="1" t="s">
        <v>34218</v>
      </c>
    </row>
    <row r="3298" spans="1:19" x14ac:dyDescent="0.25">
      <c r="A3298">
        <v>100973034</v>
      </c>
      <c r="B3298" t="s">
        <v>6145</v>
      </c>
      <c r="C3298" t="s">
        <v>2892</v>
      </c>
      <c r="F3298" t="str">
        <f>"2032817515"</f>
        <v>2032817515</v>
      </c>
      <c r="G3298" t="s">
        <v>8767</v>
      </c>
      <c r="H3298" t="s">
        <v>3268</v>
      </c>
      <c r="I3298" t="s">
        <v>161</v>
      </c>
      <c r="J3298">
        <v>6517</v>
      </c>
      <c r="K3298">
        <v>2958</v>
      </c>
      <c r="L3298" t="s">
        <v>23</v>
      </c>
      <c r="M3298" t="s">
        <v>8767</v>
      </c>
      <c r="N3298" t="s">
        <v>3268</v>
      </c>
      <c r="O3298" t="s">
        <v>161</v>
      </c>
      <c r="P3298">
        <v>6517</v>
      </c>
      <c r="Q3298">
        <v>2958</v>
      </c>
      <c r="R3298" t="s">
        <v>23</v>
      </c>
      <c r="S3298" s="1" t="s">
        <v>34218</v>
      </c>
    </row>
    <row r="3299" spans="1:19" x14ac:dyDescent="0.25">
      <c r="A3299">
        <v>100980241</v>
      </c>
      <c r="B3299" t="s">
        <v>8768</v>
      </c>
      <c r="C3299" t="s">
        <v>123</v>
      </c>
      <c r="F3299" t="str">
        <f>"4042526044"</f>
        <v>4042526044</v>
      </c>
      <c r="G3299" t="s">
        <v>8769</v>
      </c>
      <c r="H3299" t="s">
        <v>27</v>
      </c>
      <c r="I3299" t="s">
        <v>28</v>
      </c>
      <c r="J3299">
        <v>30328</v>
      </c>
      <c r="K3299">
        <v>2835</v>
      </c>
      <c r="L3299" t="s">
        <v>23</v>
      </c>
      <c r="M3299" t="s">
        <v>8769</v>
      </c>
      <c r="N3299" t="s">
        <v>27</v>
      </c>
      <c r="O3299" t="s">
        <v>28</v>
      </c>
      <c r="P3299">
        <v>30328</v>
      </c>
      <c r="Q3299">
        <v>2835</v>
      </c>
      <c r="R3299" t="s">
        <v>23</v>
      </c>
      <c r="S3299" s="1" t="s">
        <v>34218</v>
      </c>
    </row>
    <row r="3300" spans="1:19" x14ac:dyDescent="0.25">
      <c r="A3300">
        <v>100985764</v>
      </c>
      <c r="B3300" t="s">
        <v>8770</v>
      </c>
      <c r="C3300" t="s">
        <v>3566</v>
      </c>
      <c r="F3300" t="str">
        <f>"4252215454"</f>
        <v>4252215454</v>
      </c>
      <c r="G3300" t="s">
        <v>8771</v>
      </c>
      <c r="H3300" t="s">
        <v>92</v>
      </c>
      <c r="I3300" t="s">
        <v>84</v>
      </c>
      <c r="J3300">
        <v>98006</v>
      </c>
      <c r="K3300">
        <v>1326</v>
      </c>
      <c r="L3300" t="s">
        <v>23</v>
      </c>
      <c r="M3300" t="s">
        <v>8771</v>
      </c>
      <c r="N3300" t="s">
        <v>92</v>
      </c>
      <c r="O3300" t="s">
        <v>84</v>
      </c>
      <c r="P3300">
        <v>98006</v>
      </c>
      <c r="Q3300">
        <v>1326</v>
      </c>
      <c r="R3300" t="s">
        <v>23</v>
      </c>
      <c r="S3300" s="1" t="s">
        <v>34218</v>
      </c>
    </row>
    <row r="3301" spans="1:19" x14ac:dyDescent="0.25">
      <c r="A3301">
        <v>101180224</v>
      </c>
      <c r="B3301" t="s">
        <v>3159</v>
      </c>
      <c r="C3301" t="s">
        <v>5435</v>
      </c>
      <c r="F3301" t="str">
        <f>"2053245467"</f>
        <v>2053245467</v>
      </c>
      <c r="G3301" t="s">
        <v>8772</v>
      </c>
      <c r="H3301" t="s">
        <v>3972</v>
      </c>
      <c r="I3301" t="s">
        <v>1387</v>
      </c>
      <c r="J3301">
        <v>35204</v>
      </c>
      <c r="K3301">
        <v>2014</v>
      </c>
      <c r="L3301" t="s">
        <v>23</v>
      </c>
      <c r="M3301" t="s">
        <v>8772</v>
      </c>
      <c r="N3301" t="s">
        <v>3972</v>
      </c>
      <c r="O3301" t="s">
        <v>1387</v>
      </c>
      <c r="P3301">
        <v>35204</v>
      </c>
      <c r="Q3301">
        <v>2014</v>
      </c>
      <c r="R3301" t="s">
        <v>23</v>
      </c>
      <c r="S3301" s="1" t="s">
        <v>34218</v>
      </c>
    </row>
    <row r="3302" spans="1:19" x14ac:dyDescent="0.25">
      <c r="A3302">
        <v>101174866</v>
      </c>
      <c r="B3302" t="s">
        <v>8632</v>
      </c>
      <c r="C3302" t="s">
        <v>329</v>
      </c>
      <c r="F3302" t="str">
        <f>"5057285640"</f>
        <v>5057285640</v>
      </c>
      <c r="G3302" t="s">
        <v>8773</v>
      </c>
      <c r="H3302" t="s">
        <v>638</v>
      </c>
      <c r="I3302" t="s">
        <v>639</v>
      </c>
      <c r="J3302">
        <v>87105</v>
      </c>
      <c r="K3302">
        <v>2951</v>
      </c>
      <c r="L3302" t="s">
        <v>23</v>
      </c>
      <c r="M3302" t="s">
        <v>8773</v>
      </c>
      <c r="N3302" t="s">
        <v>638</v>
      </c>
      <c r="O3302" t="s">
        <v>639</v>
      </c>
      <c r="P3302">
        <v>87105</v>
      </c>
      <c r="Q3302">
        <v>2951</v>
      </c>
      <c r="R3302" t="s">
        <v>23</v>
      </c>
      <c r="S3302" s="1" t="s">
        <v>34218</v>
      </c>
    </row>
    <row r="3303" spans="1:19" x14ac:dyDescent="0.25">
      <c r="A3303">
        <v>101419918</v>
      </c>
      <c r="B3303" t="s">
        <v>8774</v>
      </c>
      <c r="C3303" t="s">
        <v>102</v>
      </c>
      <c r="F3303" t="str">
        <f>"7407821036"</f>
        <v>7407821036</v>
      </c>
      <c r="G3303" t="s">
        <v>8775</v>
      </c>
      <c r="H3303" t="s">
        <v>5037</v>
      </c>
      <c r="I3303" t="s">
        <v>178</v>
      </c>
      <c r="J3303" t="s">
        <v>8776</v>
      </c>
      <c r="K3303">
        <v>9732</v>
      </c>
      <c r="L3303" t="s">
        <v>23</v>
      </c>
      <c r="M3303" t="s">
        <v>8775</v>
      </c>
      <c r="N3303" t="s">
        <v>5037</v>
      </c>
      <c r="O3303" t="s">
        <v>178</v>
      </c>
      <c r="P3303" t="s">
        <v>8776</v>
      </c>
      <c r="Q3303">
        <v>9732</v>
      </c>
      <c r="R3303" t="s">
        <v>23</v>
      </c>
      <c r="S3303" s="1" t="s">
        <v>34218</v>
      </c>
    </row>
    <row r="3304" spans="1:19" x14ac:dyDescent="0.25">
      <c r="A3304">
        <v>101295418</v>
      </c>
      <c r="B3304" t="s">
        <v>8777</v>
      </c>
      <c r="C3304" t="s">
        <v>8778</v>
      </c>
      <c r="F3304" t="str">
        <f>"4089359744"</f>
        <v>4089359744</v>
      </c>
      <c r="G3304" t="s">
        <v>8779</v>
      </c>
      <c r="H3304" t="s">
        <v>3534</v>
      </c>
      <c r="I3304" t="s">
        <v>22</v>
      </c>
      <c r="J3304">
        <v>95035</v>
      </c>
      <c r="K3304">
        <v>3907</v>
      </c>
      <c r="L3304" t="s">
        <v>23</v>
      </c>
      <c r="M3304" t="s">
        <v>8779</v>
      </c>
      <c r="N3304" t="s">
        <v>3534</v>
      </c>
      <c r="O3304" t="s">
        <v>22</v>
      </c>
      <c r="P3304">
        <v>95035</v>
      </c>
      <c r="Q3304">
        <v>3907</v>
      </c>
      <c r="R3304" t="s">
        <v>23</v>
      </c>
      <c r="S3304" s="1" t="s">
        <v>34218</v>
      </c>
    </row>
    <row r="3305" spans="1:19" x14ac:dyDescent="0.25">
      <c r="A3305">
        <v>101297927</v>
      </c>
      <c r="B3305" t="s">
        <v>8780</v>
      </c>
      <c r="C3305" t="s">
        <v>2127</v>
      </c>
      <c r="F3305" t="str">
        <f>"8059834028"</f>
        <v>8059834028</v>
      </c>
      <c r="G3305" t="s">
        <v>8781</v>
      </c>
      <c r="H3305" t="s">
        <v>2923</v>
      </c>
      <c r="I3305" t="s">
        <v>22</v>
      </c>
      <c r="J3305">
        <v>93036</v>
      </c>
      <c r="K3305">
        <v>2795</v>
      </c>
      <c r="L3305" t="s">
        <v>23</v>
      </c>
      <c r="M3305" t="s">
        <v>8781</v>
      </c>
      <c r="N3305" t="s">
        <v>2923</v>
      </c>
      <c r="O3305" t="s">
        <v>22</v>
      </c>
      <c r="P3305">
        <v>93036</v>
      </c>
      <c r="Q3305">
        <v>2795</v>
      </c>
      <c r="R3305" t="s">
        <v>23</v>
      </c>
      <c r="S3305" s="1" t="s">
        <v>34218</v>
      </c>
    </row>
    <row r="3306" spans="1:19" x14ac:dyDescent="0.25">
      <c r="A3306">
        <v>101300558</v>
      </c>
      <c r="B3306" t="s">
        <v>1429</v>
      </c>
      <c r="C3306" t="s">
        <v>8782</v>
      </c>
      <c r="F3306" t="str">
        <f>"5555555555"</f>
        <v>5555555555</v>
      </c>
      <c r="G3306" t="s">
        <v>8783</v>
      </c>
      <c r="H3306" t="s">
        <v>7820</v>
      </c>
      <c r="I3306" t="s">
        <v>117</v>
      </c>
      <c r="J3306">
        <v>14456</v>
      </c>
      <c r="K3306">
        <v>2033</v>
      </c>
      <c r="L3306" t="s">
        <v>23</v>
      </c>
      <c r="M3306" t="s">
        <v>8783</v>
      </c>
      <c r="N3306" t="s">
        <v>7820</v>
      </c>
      <c r="O3306" t="s">
        <v>117</v>
      </c>
      <c r="P3306">
        <v>14456</v>
      </c>
      <c r="Q3306">
        <v>2033</v>
      </c>
      <c r="R3306" t="s">
        <v>23</v>
      </c>
      <c r="S3306" s="1" t="s">
        <v>34218</v>
      </c>
    </row>
    <row r="3307" spans="1:19" x14ac:dyDescent="0.25">
      <c r="A3307">
        <v>101305845</v>
      </c>
      <c r="B3307" t="s">
        <v>8784</v>
      </c>
      <c r="C3307" t="s">
        <v>2892</v>
      </c>
      <c r="F3307" t="str">
        <f>"3054451980"</f>
        <v>3054451980</v>
      </c>
      <c r="G3307" t="s">
        <v>8785</v>
      </c>
      <c r="H3307" t="s">
        <v>869</v>
      </c>
      <c r="I3307" t="s">
        <v>52</v>
      </c>
      <c r="J3307">
        <v>33133</v>
      </c>
      <c r="K3307">
        <v>5400</v>
      </c>
      <c r="L3307" t="s">
        <v>23</v>
      </c>
      <c r="M3307" t="s">
        <v>8785</v>
      </c>
      <c r="N3307" t="s">
        <v>869</v>
      </c>
      <c r="O3307" t="s">
        <v>52</v>
      </c>
      <c r="P3307">
        <v>33133</v>
      </c>
      <c r="Q3307">
        <v>5400</v>
      </c>
      <c r="R3307" t="s">
        <v>23</v>
      </c>
      <c r="S3307" s="1" t="s">
        <v>34218</v>
      </c>
    </row>
    <row r="3308" spans="1:19" x14ac:dyDescent="0.25">
      <c r="A3308">
        <v>101409001</v>
      </c>
      <c r="B3308" t="s">
        <v>8786</v>
      </c>
      <c r="C3308" t="s">
        <v>894</v>
      </c>
      <c r="F3308" t="str">
        <f>"5032548519"</f>
        <v>5032548519</v>
      </c>
      <c r="G3308" t="s">
        <v>8787</v>
      </c>
      <c r="H3308" t="s">
        <v>227</v>
      </c>
      <c r="I3308" t="s">
        <v>43</v>
      </c>
      <c r="J3308">
        <v>97206</v>
      </c>
      <c r="K3308">
        <v>9024</v>
      </c>
      <c r="L3308" t="s">
        <v>23</v>
      </c>
      <c r="M3308" t="s">
        <v>8787</v>
      </c>
      <c r="N3308" t="s">
        <v>227</v>
      </c>
      <c r="O3308" t="s">
        <v>43</v>
      </c>
      <c r="P3308">
        <v>97206</v>
      </c>
      <c r="Q3308">
        <v>9024</v>
      </c>
      <c r="R3308" t="s">
        <v>23</v>
      </c>
      <c r="S3308" s="1" t="s">
        <v>34218</v>
      </c>
    </row>
    <row r="3309" spans="1:19" x14ac:dyDescent="0.25">
      <c r="A3309">
        <v>101415352</v>
      </c>
      <c r="B3309" t="s">
        <v>8788</v>
      </c>
      <c r="C3309" t="s">
        <v>8789</v>
      </c>
      <c r="F3309" t="str">
        <f>"5124440056"</f>
        <v>5124440056</v>
      </c>
      <c r="G3309" t="s">
        <v>8790</v>
      </c>
      <c r="H3309" t="s">
        <v>37</v>
      </c>
      <c r="I3309" t="s">
        <v>38</v>
      </c>
      <c r="J3309">
        <v>78704</v>
      </c>
      <c r="K3309">
        <v>6105</v>
      </c>
      <c r="L3309" t="s">
        <v>23</v>
      </c>
      <c r="M3309" t="s">
        <v>8790</v>
      </c>
      <c r="N3309" t="s">
        <v>37</v>
      </c>
      <c r="O3309" t="s">
        <v>38</v>
      </c>
      <c r="P3309">
        <v>78704</v>
      </c>
      <c r="Q3309">
        <v>6105</v>
      </c>
      <c r="R3309" t="s">
        <v>23</v>
      </c>
      <c r="S3309" s="1" t="s">
        <v>34218</v>
      </c>
    </row>
    <row r="3310" spans="1:19" x14ac:dyDescent="0.25">
      <c r="A3310">
        <v>100977825</v>
      </c>
      <c r="B3310" t="s">
        <v>247</v>
      </c>
      <c r="C3310" t="s">
        <v>90</v>
      </c>
      <c r="F3310" t="str">
        <f>"5742919515"</f>
        <v>5742919515</v>
      </c>
      <c r="G3310" t="s">
        <v>8791</v>
      </c>
      <c r="H3310" t="s">
        <v>6433</v>
      </c>
      <c r="I3310" t="s">
        <v>57</v>
      </c>
      <c r="J3310">
        <v>46614</v>
      </c>
      <c r="K3310">
        <v>9549</v>
      </c>
      <c r="L3310" t="s">
        <v>23</v>
      </c>
      <c r="M3310" t="s">
        <v>8791</v>
      </c>
      <c r="N3310" t="s">
        <v>6433</v>
      </c>
      <c r="O3310" t="s">
        <v>57</v>
      </c>
      <c r="P3310">
        <v>46614</v>
      </c>
      <c r="Q3310">
        <v>9549</v>
      </c>
      <c r="R3310" t="s">
        <v>23</v>
      </c>
      <c r="S3310" s="1" t="s">
        <v>34218</v>
      </c>
    </row>
    <row r="3311" spans="1:19" x14ac:dyDescent="0.25">
      <c r="A3311">
        <v>100985836</v>
      </c>
      <c r="B3311" t="s">
        <v>862</v>
      </c>
      <c r="C3311" t="s">
        <v>1542</v>
      </c>
      <c r="F3311" t="str">
        <f>"9198459813"</f>
        <v>9198459813</v>
      </c>
      <c r="G3311" t="s">
        <v>8792</v>
      </c>
      <c r="H3311" t="s">
        <v>567</v>
      </c>
      <c r="I3311" t="s">
        <v>446</v>
      </c>
      <c r="J3311">
        <v>27612</v>
      </c>
      <c r="K3311">
        <v>6111</v>
      </c>
      <c r="L3311" t="s">
        <v>23</v>
      </c>
      <c r="M3311" t="s">
        <v>8792</v>
      </c>
      <c r="N3311" t="s">
        <v>567</v>
      </c>
      <c r="O3311" t="s">
        <v>446</v>
      </c>
      <c r="P3311">
        <v>27612</v>
      </c>
      <c r="Q3311">
        <v>6111</v>
      </c>
      <c r="R3311" t="s">
        <v>23</v>
      </c>
      <c r="S3311" s="1" t="s">
        <v>34218</v>
      </c>
    </row>
    <row r="3312" spans="1:19" x14ac:dyDescent="0.25">
      <c r="A3312">
        <v>100986511</v>
      </c>
      <c r="B3312" t="s">
        <v>486</v>
      </c>
      <c r="C3312" t="s">
        <v>3518</v>
      </c>
      <c r="F3312" t="str">
        <f>"9512129700"</f>
        <v>9512129700</v>
      </c>
      <c r="G3312" t="s">
        <v>8793</v>
      </c>
      <c r="H3312" t="s">
        <v>1687</v>
      </c>
      <c r="I3312" t="s">
        <v>22</v>
      </c>
      <c r="J3312">
        <v>95628</v>
      </c>
      <c r="K3312">
        <v>3228</v>
      </c>
      <c r="L3312" t="s">
        <v>23</v>
      </c>
      <c r="M3312" t="s">
        <v>8793</v>
      </c>
      <c r="N3312" t="s">
        <v>1687</v>
      </c>
      <c r="O3312" t="s">
        <v>22</v>
      </c>
      <c r="P3312">
        <v>95628</v>
      </c>
      <c r="Q3312">
        <v>3228</v>
      </c>
      <c r="R3312" t="s">
        <v>23</v>
      </c>
      <c r="S3312" s="1" t="s">
        <v>34218</v>
      </c>
    </row>
    <row r="3313" spans="1:19" x14ac:dyDescent="0.25">
      <c r="A3313">
        <v>100993222</v>
      </c>
      <c r="B3313" t="s">
        <v>8794</v>
      </c>
      <c r="C3313" t="s">
        <v>810</v>
      </c>
      <c r="F3313" t="str">
        <f>"9137106080"</f>
        <v>9137106080</v>
      </c>
      <c r="G3313" t="s">
        <v>8795</v>
      </c>
      <c r="H3313" t="s">
        <v>7018</v>
      </c>
      <c r="I3313" t="s">
        <v>241</v>
      </c>
      <c r="J3313">
        <v>66062</v>
      </c>
      <c r="K3313">
        <v>4591</v>
      </c>
      <c r="L3313" t="s">
        <v>23</v>
      </c>
      <c r="M3313" t="s">
        <v>8795</v>
      </c>
      <c r="N3313" t="s">
        <v>7018</v>
      </c>
      <c r="O3313" t="s">
        <v>241</v>
      </c>
      <c r="P3313">
        <v>66062</v>
      </c>
      <c r="Q3313">
        <v>4591</v>
      </c>
      <c r="R3313" t="s">
        <v>23</v>
      </c>
      <c r="S3313" s="1" t="s">
        <v>34218</v>
      </c>
    </row>
    <row r="3314" spans="1:19" x14ac:dyDescent="0.25">
      <c r="A3314">
        <v>101193914</v>
      </c>
      <c r="B3314" t="s">
        <v>3696</v>
      </c>
      <c r="C3314" t="s">
        <v>1374</v>
      </c>
      <c r="F3314" t="str">
        <f>"2037227808"</f>
        <v>2037227808</v>
      </c>
      <c r="G3314" t="s">
        <v>8796</v>
      </c>
      <c r="H3314" t="s">
        <v>83</v>
      </c>
      <c r="I3314" t="s">
        <v>84</v>
      </c>
      <c r="J3314">
        <v>98221</v>
      </c>
      <c r="K3314">
        <v>1935</v>
      </c>
      <c r="L3314" t="s">
        <v>23</v>
      </c>
      <c r="M3314" t="s">
        <v>8796</v>
      </c>
      <c r="N3314" t="s">
        <v>83</v>
      </c>
      <c r="O3314" t="s">
        <v>84</v>
      </c>
      <c r="P3314">
        <v>98221</v>
      </c>
      <c r="Q3314">
        <v>1935</v>
      </c>
      <c r="R3314" t="s">
        <v>23</v>
      </c>
      <c r="S3314" s="1" t="s">
        <v>34218</v>
      </c>
    </row>
    <row r="3315" spans="1:19" x14ac:dyDescent="0.25">
      <c r="A3315">
        <v>100946978</v>
      </c>
      <c r="B3315" t="s">
        <v>1827</v>
      </c>
      <c r="C3315" t="s">
        <v>4512</v>
      </c>
      <c r="F3315" t="str">
        <f>"9098992317"</f>
        <v>9098992317</v>
      </c>
      <c r="G3315" t="s">
        <v>8797</v>
      </c>
      <c r="H3315" t="s">
        <v>3388</v>
      </c>
      <c r="I3315" t="s">
        <v>22</v>
      </c>
      <c r="J3315">
        <v>91739</v>
      </c>
      <c r="K3315">
        <v>1925</v>
      </c>
      <c r="L3315" t="s">
        <v>23</v>
      </c>
      <c r="M3315" t="s">
        <v>8797</v>
      </c>
      <c r="N3315" t="s">
        <v>3388</v>
      </c>
      <c r="O3315" t="s">
        <v>22</v>
      </c>
      <c r="P3315">
        <v>91739</v>
      </c>
      <c r="Q3315">
        <v>1925</v>
      </c>
      <c r="R3315" t="s">
        <v>23</v>
      </c>
      <c r="S3315" s="1" t="s">
        <v>34218</v>
      </c>
    </row>
    <row r="3316" spans="1:19" x14ac:dyDescent="0.25">
      <c r="A3316">
        <v>100947963</v>
      </c>
      <c r="B3316" t="s">
        <v>8798</v>
      </c>
      <c r="C3316" t="s">
        <v>1623</v>
      </c>
      <c r="F3316" t="str">
        <f>"5555555555"</f>
        <v>5555555555</v>
      </c>
      <c r="G3316" t="s">
        <v>8799</v>
      </c>
      <c r="H3316" t="s">
        <v>125</v>
      </c>
      <c r="I3316" t="s">
        <v>126</v>
      </c>
      <c r="J3316">
        <v>63132</v>
      </c>
      <c r="K3316">
        <v>3538</v>
      </c>
      <c r="L3316" t="s">
        <v>23</v>
      </c>
      <c r="M3316" t="s">
        <v>8799</v>
      </c>
      <c r="N3316" t="s">
        <v>125</v>
      </c>
      <c r="O3316" t="s">
        <v>126</v>
      </c>
      <c r="P3316">
        <v>63132</v>
      </c>
      <c r="Q3316">
        <v>3538</v>
      </c>
      <c r="R3316" t="s">
        <v>23</v>
      </c>
      <c r="S3316" s="1" t="s">
        <v>34218</v>
      </c>
    </row>
    <row r="3317" spans="1:19" x14ac:dyDescent="0.25">
      <c r="A3317">
        <v>100964360</v>
      </c>
      <c r="B3317" t="s">
        <v>8800</v>
      </c>
      <c r="C3317" t="s">
        <v>7764</v>
      </c>
      <c r="F3317" t="str">
        <f>"5088229737"</f>
        <v>5088229737</v>
      </c>
      <c r="G3317" t="s">
        <v>8801</v>
      </c>
      <c r="H3317" t="s">
        <v>8802</v>
      </c>
      <c r="I3317" t="s">
        <v>236</v>
      </c>
      <c r="J3317">
        <v>2779</v>
      </c>
      <c r="K3317">
        <v>2201</v>
      </c>
      <c r="L3317" t="s">
        <v>23</v>
      </c>
      <c r="M3317" t="s">
        <v>8801</v>
      </c>
      <c r="N3317" t="s">
        <v>8802</v>
      </c>
      <c r="O3317" t="s">
        <v>236</v>
      </c>
      <c r="P3317">
        <v>2779</v>
      </c>
      <c r="Q3317">
        <v>2201</v>
      </c>
      <c r="R3317" t="s">
        <v>23</v>
      </c>
      <c r="S3317" s="1" t="s">
        <v>34218</v>
      </c>
    </row>
    <row r="3318" spans="1:19" x14ac:dyDescent="0.25">
      <c r="A3318">
        <v>101293309</v>
      </c>
      <c r="B3318" t="s">
        <v>8803</v>
      </c>
      <c r="C3318" t="s">
        <v>8804</v>
      </c>
      <c r="F3318" t="str">
        <f>"3014390634"</f>
        <v>3014390634</v>
      </c>
      <c r="G3318" t="s">
        <v>8805</v>
      </c>
      <c r="H3318" t="s">
        <v>758</v>
      </c>
      <c r="I3318" t="s">
        <v>148</v>
      </c>
      <c r="J3318" t="s">
        <v>8806</v>
      </c>
      <c r="K3318">
        <v>1616</v>
      </c>
      <c r="L3318" t="s">
        <v>23</v>
      </c>
      <c r="M3318" t="s">
        <v>8805</v>
      </c>
      <c r="N3318" t="s">
        <v>758</v>
      </c>
      <c r="O3318" t="s">
        <v>148</v>
      </c>
      <c r="P3318" t="s">
        <v>8806</v>
      </c>
      <c r="Q3318">
        <v>1616</v>
      </c>
      <c r="R3318" t="s">
        <v>23</v>
      </c>
      <c r="S3318" s="1" t="s">
        <v>34218</v>
      </c>
    </row>
    <row r="3319" spans="1:19" x14ac:dyDescent="0.25">
      <c r="A3319">
        <v>100764543</v>
      </c>
      <c r="B3319" t="s">
        <v>8807</v>
      </c>
      <c r="C3319" t="s">
        <v>4359</v>
      </c>
      <c r="F3319" t="str">
        <f>"7188962229"</f>
        <v>7188962229</v>
      </c>
      <c r="G3319" t="s">
        <v>8808</v>
      </c>
      <c r="H3319" t="s">
        <v>4105</v>
      </c>
      <c r="I3319" t="s">
        <v>117</v>
      </c>
      <c r="J3319">
        <v>11375</v>
      </c>
      <c r="L3319" t="s">
        <v>23</v>
      </c>
      <c r="M3319" t="s">
        <v>8808</v>
      </c>
      <c r="N3319" t="s">
        <v>4105</v>
      </c>
      <c r="O3319" t="s">
        <v>117</v>
      </c>
      <c r="P3319">
        <v>11375</v>
      </c>
      <c r="R3319" t="s">
        <v>23</v>
      </c>
      <c r="S3319" s="1" t="s">
        <v>34218</v>
      </c>
    </row>
    <row r="3320" spans="1:19" x14ac:dyDescent="0.25">
      <c r="A3320">
        <v>101069904</v>
      </c>
      <c r="B3320" t="s">
        <v>8809</v>
      </c>
      <c r="C3320" t="s">
        <v>1036</v>
      </c>
      <c r="F3320" t="str">
        <f>"3142268450"</f>
        <v>3142268450</v>
      </c>
      <c r="G3320" t="s">
        <v>8810</v>
      </c>
      <c r="H3320" t="s">
        <v>8264</v>
      </c>
      <c r="I3320" t="s">
        <v>126</v>
      </c>
      <c r="J3320">
        <v>63122</v>
      </c>
      <c r="K3320">
        <v>4015</v>
      </c>
      <c r="L3320" t="s">
        <v>23</v>
      </c>
      <c r="M3320" t="s">
        <v>8810</v>
      </c>
      <c r="N3320" t="s">
        <v>8264</v>
      </c>
      <c r="O3320" t="s">
        <v>126</v>
      </c>
      <c r="P3320">
        <v>63122</v>
      </c>
      <c r="Q3320">
        <v>4015</v>
      </c>
      <c r="R3320" t="s">
        <v>23</v>
      </c>
      <c r="S3320" s="1" t="s">
        <v>34218</v>
      </c>
    </row>
    <row r="3321" spans="1:19" x14ac:dyDescent="0.25">
      <c r="A3321">
        <v>101279333</v>
      </c>
      <c r="B3321" t="s">
        <v>8811</v>
      </c>
      <c r="C3321" t="s">
        <v>8812</v>
      </c>
      <c r="F3321" t="str">
        <f>"2012947517"</f>
        <v>2012947517</v>
      </c>
      <c r="G3321" t="s">
        <v>8813</v>
      </c>
      <c r="H3321" t="s">
        <v>8814</v>
      </c>
      <c r="I3321" t="s">
        <v>250</v>
      </c>
      <c r="J3321">
        <v>7670</v>
      </c>
      <c r="K3321">
        <v>2645</v>
      </c>
      <c r="L3321" t="s">
        <v>23</v>
      </c>
      <c r="M3321" t="s">
        <v>8813</v>
      </c>
      <c r="N3321" t="s">
        <v>8814</v>
      </c>
      <c r="O3321" t="s">
        <v>250</v>
      </c>
      <c r="P3321">
        <v>7670</v>
      </c>
      <c r="Q3321">
        <v>2645</v>
      </c>
      <c r="R3321" t="s">
        <v>23</v>
      </c>
      <c r="S3321" s="1" t="s">
        <v>34218</v>
      </c>
    </row>
    <row r="3322" spans="1:19" x14ac:dyDescent="0.25">
      <c r="A3322">
        <v>101268930</v>
      </c>
      <c r="B3322" t="s">
        <v>8815</v>
      </c>
      <c r="C3322" t="s">
        <v>2127</v>
      </c>
      <c r="F3322" t="str">
        <f>"9513605624"</f>
        <v>9513605624</v>
      </c>
      <c r="G3322" t="s">
        <v>8816</v>
      </c>
      <c r="H3322" t="s">
        <v>8817</v>
      </c>
      <c r="I3322" t="s">
        <v>22</v>
      </c>
      <c r="J3322">
        <v>91752</v>
      </c>
      <c r="K3322">
        <v>1367</v>
      </c>
      <c r="L3322" t="s">
        <v>23</v>
      </c>
      <c r="M3322" t="s">
        <v>8816</v>
      </c>
      <c r="N3322" t="s">
        <v>8817</v>
      </c>
      <c r="O3322" t="s">
        <v>22</v>
      </c>
      <c r="P3322">
        <v>91752</v>
      </c>
      <c r="Q3322">
        <v>1367</v>
      </c>
      <c r="R3322" t="s">
        <v>23</v>
      </c>
      <c r="S3322" s="1" t="s">
        <v>34218</v>
      </c>
    </row>
    <row r="3323" spans="1:19" x14ac:dyDescent="0.25">
      <c r="A3323">
        <v>101287423</v>
      </c>
      <c r="B3323" t="s">
        <v>3110</v>
      </c>
      <c r="C3323" t="s">
        <v>1306</v>
      </c>
      <c r="F3323" t="str">
        <f>"4084462144"</f>
        <v>4084462144</v>
      </c>
      <c r="G3323" t="s">
        <v>8818</v>
      </c>
      <c r="H3323" t="s">
        <v>481</v>
      </c>
      <c r="I3323" t="s">
        <v>22</v>
      </c>
      <c r="J3323">
        <v>95129</v>
      </c>
      <c r="K3323">
        <v>4132</v>
      </c>
      <c r="L3323" t="s">
        <v>23</v>
      </c>
      <c r="M3323" t="s">
        <v>8818</v>
      </c>
      <c r="N3323" t="s">
        <v>481</v>
      </c>
      <c r="O3323" t="s">
        <v>22</v>
      </c>
      <c r="P3323">
        <v>95129</v>
      </c>
      <c r="Q3323">
        <v>4132</v>
      </c>
      <c r="R3323" t="s">
        <v>23</v>
      </c>
      <c r="S3323" s="1" t="s">
        <v>34218</v>
      </c>
    </row>
    <row r="3324" spans="1:19" x14ac:dyDescent="0.25">
      <c r="A3324">
        <v>101297273</v>
      </c>
      <c r="B3324" t="s">
        <v>8819</v>
      </c>
      <c r="C3324" t="s">
        <v>286</v>
      </c>
      <c r="F3324" t="str">
        <f>"8567682511"</f>
        <v>8567682511</v>
      </c>
      <c r="G3324" t="s">
        <v>8820</v>
      </c>
      <c r="H3324" t="s">
        <v>8821</v>
      </c>
      <c r="I3324" t="s">
        <v>250</v>
      </c>
      <c r="J3324">
        <v>8004</v>
      </c>
      <c r="K3324">
        <v>1513</v>
      </c>
      <c r="L3324" t="s">
        <v>23</v>
      </c>
      <c r="M3324" t="s">
        <v>8820</v>
      </c>
      <c r="N3324" t="s">
        <v>8821</v>
      </c>
      <c r="O3324" t="s">
        <v>250</v>
      </c>
      <c r="P3324">
        <v>8004</v>
      </c>
      <c r="Q3324">
        <v>1513</v>
      </c>
      <c r="R3324" t="s">
        <v>23</v>
      </c>
      <c r="S3324" s="1" t="s">
        <v>34218</v>
      </c>
    </row>
    <row r="3325" spans="1:19" x14ac:dyDescent="0.25">
      <c r="A3325">
        <v>101294929</v>
      </c>
      <c r="B3325" t="s">
        <v>8822</v>
      </c>
      <c r="C3325" t="s">
        <v>7884</v>
      </c>
      <c r="F3325" t="str">
        <f>"7574967248"</f>
        <v>7574967248</v>
      </c>
      <c r="G3325" t="s">
        <v>8823</v>
      </c>
      <c r="H3325" t="s">
        <v>737</v>
      </c>
      <c r="I3325" t="s">
        <v>255</v>
      </c>
      <c r="J3325">
        <v>23456</v>
      </c>
      <c r="K3325">
        <v>4883</v>
      </c>
      <c r="L3325" t="s">
        <v>23</v>
      </c>
      <c r="M3325" t="s">
        <v>8823</v>
      </c>
      <c r="N3325" t="s">
        <v>737</v>
      </c>
      <c r="O3325" t="s">
        <v>255</v>
      </c>
      <c r="P3325">
        <v>23456</v>
      </c>
      <c r="Q3325">
        <v>4883</v>
      </c>
      <c r="R3325" t="s">
        <v>23</v>
      </c>
      <c r="S3325" s="1" t="s">
        <v>34218</v>
      </c>
    </row>
    <row r="3326" spans="1:19" x14ac:dyDescent="0.25">
      <c r="A3326">
        <v>101296314</v>
      </c>
      <c r="B3326" t="s">
        <v>8824</v>
      </c>
      <c r="C3326" t="s">
        <v>2776</v>
      </c>
      <c r="F3326" t="str">
        <f>"6194564635"</f>
        <v>6194564635</v>
      </c>
      <c r="G3326" t="s">
        <v>8825</v>
      </c>
      <c r="H3326" t="s">
        <v>8826</v>
      </c>
      <c r="I3326" t="s">
        <v>22</v>
      </c>
      <c r="J3326">
        <v>92021</v>
      </c>
      <c r="K3326">
        <v>1815</v>
      </c>
      <c r="L3326" t="s">
        <v>23</v>
      </c>
      <c r="M3326" t="s">
        <v>8825</v>
      </c>
      <c r="N3326" t="s">
        <v>8826</v>
      </c>
      <c r="O3326" t="s">
        <v>22</v>
      </c>
      <c r="P3326">
        <v>92021</v>
      </c>
      <c r="Q3326">
        <v>1815</v>
      </c>
      <c r="R3326" t="s">
        <v>23</v>
      </c>
      <c r="S3326" s="1" t="s">
        <v>34218</v>
      </c>
    </row>
    <row r="3327" spans="1:19" x14ac:dyDescent="0.25">
      <c r="A3327">
        <v>100995295</v>
      </c>
      <c r="B3327" t="s">
        <v>4264</v>
      </c>
      <c r="C3327" t="s">
        <v>8827</v>
      </c>
      <c r="F3327" t="str">
        <f>"9092655925"</f>
        <v>9092655925</v>
      </c>
      <c r="G3327" t="s">
        <v>8828</v>
      </c>
      <c r="H3327" t="s">
        <v>8829</v>
      </c>
      <c r="I3327" t="s">
        <v>22</v>
      </c>
      <c r="J3327">
        <v>92314</v>
      </c>
      <c r="K3327">
        <v>899</v>
      </c>
      <c r="L3327" t="s">
        <v>23</v>
      </c>
      <c r="M3327" t="s">
        <v>8828</v>
      </c>
      <c r="N3327" t="s">
        <v>8829</v>
      </c>
      <c r="O3327" t="s">
        <v>22</v>
      </c>
      <c r="P3327">
        <v>92314</v>
      </c>
      <c r="Q3327">
        <v>899</v>
      </c>
      <c r="R3327" t="s">
        <v>23</v>
      </c>
      <c r="S3327" s="1" t="s">
        <v>34218</v>
      </c>
    </row>
    <row r="3328" spans="1:19" x14ac:dyDescent="0.25">
      <c r="A3328">
        <v>101015211</v>
      </c>
      <c r="B3328" t="s">
        <v>8830</v>
      </c>
      <c r="C3328" t="s">
        <v>40</v>
      </c>
      <c r="F3328" t="str">
        <f>"7017570194"</f>
        <v>7017570194</v>
      </c>
      <c r="G3328" t="s">
        <v>8831</v>
      </c>
      <c r="H3328" t="s">
        <v>8832</v>
      </c>
      <c r="I3328" t="s">
        <v>7839</v>
      </c>
      <c r="J3328">
        <v>58201</v>
      </c>
      <c r="K3328">
        <v>8412</v>
      </c>
      <c r="L3328" t="s">
        <v>23</v>
      </c>
      <c r="M3328" t="s">
        <v>8831</v>
      </c>
      <c r="N3328" t="s">
        <v>8832</v>
      </c>
      <c r="O3328" t="s">
        <v>7839</v>
      </c>
      <c r="P3328">
        <v>58201</v>
      </c>
      <c r="Q3328">
        <v>8412</v>
      </c>
      <c r="R3328" t="s">
        <v>23</v>
      </c>
      <c r="S3328" s="1" t="s">
        <v>34218</v>
      </c>
    </row>
    <row r="3329" spans="1:19" x14ac:dyDescent="0.25">
      <c r="A3329">
        <v>101012689</v>
      </c>
      <c r="B3329" t="s">
        <v>8833</v>
      </c>
      <c r="C3329" t="s">
        <v>145</v>
      </c>
      <c r="F3329" t="str">
        <f>"9785799348"</f>
        <v>9785799348</v>
      </c>
      <c r="G3329" t="s">
        <v>8834</v>
      </c>
      <c r="H3329" t="s">
        <v>6637</v>
      </c>
      <c r="I3329" t="s">
        <v>236</v>
      </c>
      <c r="J3329">
        <v>1776</v>
      </c>
      <c r="K3329">
        <v>1361</v>
      </c>
      <c r="L3329" t="s">
        <v>23</v>
      </c>
      <c r="M3329" t="s">
        <v>8834</v>
      </c>
      <c r="N3329" t="s">
        <v>6637</v>
      </c>
      <c r="O3329" t="s">
        <v>236</v>
      </c>
      <c r="P3329">
        <v>1776</v>
      </c>
      <c r="Q3329">
        <v>1361</v>
      </c>
      <c r="R3329" t="s">
        <v>23</v>
      </c>
      <c r="S3329" s="1" t="s">
        <v>34218</v>
      </c>
    </row>
    <row r="3330" spans="1:19" x14ac:dyDescent="0.25">
      <c r="A3330">
        <v>101040238</v>
      </c>
      <c r="B3330" t="s">
        <v>8835</v>
      </c>
      <c r="C3330" t="s">
        <v>846</v>
      </c>
      <c r="F3330" t="str">
        <f>"8602768292"</f>
        <v>8602768292</v>
      </c>
      <c r="G3330" t="s">
        <v>8836</v>
      </c>
      <c r="H3330" t="s">
        <v>8837</v>
      </c>
      <c r="I3330" t="s">
        <v>161</v>
      </c>
      <c r="J3330">
        <v>6489</v>
      </c>
      <c r="K3330">
        <v>2080</v>
      </c>
      <c r="L3330" t="s">
        <v>23</v>
      </c>
      <c r="M3330" t="s">
        <v>8836</v>
      </c>
      <c r="N3330" t="s">
        <v>8837</v>
      </c>
      <c r="O3330" t="s">
        <v>161</v>
      </c>
      <c r="P3330">
        <v>6489</v>
      </c>
      <c r="Q3330">
        <v>2080</v>
      </c>
      <c r="R3330" t="s">
        <v>23</v>
      </c>
      <c r="S3330" s="1" t="s">
        <v>34218</v>
      </c>
    </row>
    <row r="3331" spans="1:19" x14ac:dyDescent="0.25">
      <c r="A3331">
        <v>101239563</v>
      </c>
      <c r="B3331" t="s">
        <v>8838</v>
      </c>
      <c r="C3331" t="s">
        <v>123</v>
      </c>
      <c r="F3331" t="str">
        <f>"7166568051"</f>
        <v>7166568051</v>
      </c>
      <c r="G3331" t="s">
        <v>8839</v>
      </c>
      <c r="H3331" t="s">
        <v>202</v>
      </c>
      <c r="I3331" t="s">
        <v>117</v>
      </c>
      <c r="J3331">
        <v>14227</v>
      </c>
      <c r="K3331">
        <v>3018</v>
      </c>
      <c r="L3331" t="s">
        <v>23</v>
      </c>
      <c r="M3331" t="s">
        <v>8839</v>
      </c>
      <c r="N3331" t="s">
        <v>202</v>
      </c>
      <c r="O3331" t="s">
        <v>117</v>
      </c>
      <c r="P3331">
        <v>14227</v>
      </c>
      <c r="Q3331">
        <v>3018</v>
      </c>
      <c r="R3331" t="s">
        <v>23</v>
      </c>
      <c r="S3331" s="1" t="s">
        <v>34218</v>
      </c>
    </row>
    <row r="3332" spans="1:19" x14ac:dyDescent="0.25">
      <c r="A3332">
        <v>101236146</v>
      </c>
      <c r="B3332" t="s">
        <v>1807</v>
      </c>
      <c r="C3332" t="s">
        <v>699</v>
      </c>
      <c r="F3332" t="str">
        <f>"6504004248"</f>
        <v>6504004248</v>
      </c>
      <c r="G3332" t="s">
        <v>8840</v>
      </c>
      <c r="H3332" t="s">
        <v>8841</v>
      </c>
      <c r="I3332" t="s">
        <v>22</v>
      </c>
      <c r="J3332">
        <v>94022</v>
      </c>
      <c r="K3332">
        <v>1654</v>
      </c>
      <c r="L3332" t="s">
        <v>23</v>
      </c>
      <c r="M3332" t="s">
        <v>8840</v>
      </c>
      <c r="N3332" t="s">
        <v>8841</v>
      </c>
      <c r="O3332" t="s">
        <v>22</v>
      </c>
      <c r="P3332">
        <v>94022</v>
      </c>
      <c r="Q3332">
        <v>1654</v>
      </c>
      <c r="R3332" t="s">
        <v>23</v>
      </c>
      <c r="S3332" s="1" t="s">
        <v>34218</v>
      </c>
    </row>
    <row r="3333" spans="1:19" x14ac:dyDescent="0.25">
      <c r="A3333">
        <v>101249801</v>
      </c>
      <c r="B3333" t="s">
        <v>8842</v>
      </c>
      <c r="C3333" t="s">
        <v>8843</v>
      </c>
      <c r="F3333" t="str">
        <f>"7402380860"</f>
        <v>7402380860</v>
      </c>
      <c r="G3333" t="s">
        <v>8844</v>
      </c>
      <c r="H3333" t="s">
        <v>8845</v>
      </c>
      <c r="I3333" t="s">
        <v>178</v>
      </c>
      <c r="J3333">
        <v>43713</v>
      </c>
      <c r="K3333">
        <v>9427</v>
      </c>
      <c r="L3333" t="s">
        <v>23</v>
      </c>
      <c r="M3333" t="s">
        <v>8844</v>
      </c>
      <c r="N3333" t="s">
        <v>8845</v>
      </c>
      <c r="O3333" t="s">
        <v>178</v>
      </c>
      <c r="P3333">
        <v>43713</v>
      </c>
      <c r="Q3333">
        <v>9427</v>
      </c>
      <c r="R3333" t="s">
        <v>23</v>
      </c>
      <c r="S3333" s="1" t="s">
        <v>34218</v>
      </c>
    </row>
    <row r="3334" spans="1:19" x14ac:dyDescent="0.25">
      <c r="A3334">
        <v>100934354</v>
      </c>
      <c r="B3334" t="s">
        <v>8846</v>
      </c>
      <c r="C3334" t="s">
        <v>4587</v>
      </c>
      <c r="F3334" t="str">
        <f>"9063370100"</f>
        <v>9063370100</v>
      </c>
      <c r="G3334" t="s">
        <v>8847</v>
      </c>
      <c r="H3334" t="s">
        <v>8848</v>
      </c>
      <c r="I3334" t="s">
        <v>140</v>
      </c>
      <c r="J3334">
        <v>49913</v>
      </c>
      <c r="K3334">
        <v>1421</v>
      </c>
      <c r="L3334" t="s">
        <v>23</v>
      </c>
      <c r="M3334" t="s">
        <v>8847</v>
      </c>
      <c r="N3334" t="s">
        <v>8848</v>
      </c>
      <c r="O3334" t="s">
        <v>140</v>
      </c>
      <c r="P3334">
        <v>49913</v>
      </c>
      <c r="Q3334">
        <v>1421</v>
      </c>
      <c r="R3334" t="s">
        <v>23</v>
      </c>
      <c r="S3334" s="1" t="s">
        <v>34218</v>
      </c>
    </row>
    <row r="3335" spans="1:19" x14ac:dyDescent="0.25">
      <c r="A3335">
        <v>101295403</v>
      </c>
      <c r="B3335" t="s">
        <v>8849</v>
      </c>
      <c r="C3335" t="s">
        <v>1306</v>
      </c>
      <c r="F3335" t="str">
        <f>"5109675062"</f>
        <v>5109675062</v>
      </c>
      <c r="G3335" t="s">
        <v>8850</v>
      </c>
      <c r="H3335" t="s">
        <v>88</v>
      </c>
      <c r="I3335" t="s">
        <v>22</v>
      </c>
      <c r="J3335">
        <v>94602</v>
      </c>
      <c r="L3335" t="s">
        <v>23</v>
      </c>
      <c r="M3335" t="s">
        <v>8850</v>
      </c>
      <c r="N3335" t="s">
        <v>88</v>
      </c>
      <c r="O3335" t="s">
        <v>22</v>
      </c>
      <c r="P3335">
        <v>94602</v>
      </c>
      <c r="R3335" t="s">
        <v>23</v>
      </c>
      <c r="S3335" s="1" t="s">
        <v>34218</v>
      </c>
    </row>
    <row r="3336" spans="1:19" x14ac:dyDescent="0.25">
      <c r="A3336">
        <v>101397347</v>
      </c>
      <c r="B3336" t="s">
        <v>8851</v>
      </c>
      <c r="C3336" t="s">
        <v>8852</v>
      </c>
      <c r="F3336" t="str">
        <f>"3036791384"</f>
        <v>3036791384</v>
      </c>
      <c r="G3336" t="s">
        <v>8853</v>
      </c>
      <c r="H3336" t="s">
        <v>7232</v>
      </c>
      <c r="I3336" t="s">
        <v>71</v>
      </c>
      <c r="J3336">
        <v>80439</v>
      </c>
      <c r="K3336">
        <v>6306</v>
      </c>
      <c r="L3336" t="s">
        <v>23</v>
      </c>
      <c r="M3336" t="s">
        <v>8853</v>
      </c>
      <c r="N3336" t="s">
        <v>7232</v>
      </c>
      <c r="O3336" t="s">
        <v>71</v>
      </c>
      <c r="P3336">
        <v>80439</v>
      </c>
      <c r="Q3336">
        <v>6306</v>
      </c>
      <c r="R3336" t="s">
        <v>23</v>
      </c>
      <c r="S3336" s="1" t="s">
        <v>34218</v>
      </c>
    </row>
    <row r="3337" spans="1:19" x14ac:dyDescent="0.25">
      <c r="A3337">
        <v>101407034</v>
      </c>
      <c r="B3337" t="s">
        <v>8854</v>
      </c>
      <c r="C3337" t="s">
        <v>644</v>
      </c>
      <c r="F3337" t="str">
        <f>"4125314953"</f>
        <v>4125314953</v>
      </c>
      <c r="G3337" t="s">
        <v>8855</v>
      </c>
      <c r="H3337" t="s">
        <v>3363</v>
      </c>
      <c r="I3337" t="s">
        <v>33</v>
      </c>
      <c r="J3337">
        <v>15216</v>
      </c>
      <c r="K3337">
        <v>3354</v>
      </c>
      <c r="L3337" t="s">
        <v>23</v>
      </c>
      <c r="M3337" t="s">
        <v>8855</v>
      </c>
      <c r="N3337" t="s">
        <v>3363</v>
      </c>
      <c r="O3337" t="s">
        <v>33</v>
      </c>
      <c r="P3337">
        <v>15216</v>
      </c>
      <c r="Q3337">
        <v>3354</v>
      </c>
      <c r="R3337" t="s">
        <v>23</v>
      </c>
      <c r="S3337" s="1" t="s">
        <v>34218</v>
      </c>
    </row>
    <row r="3338" spans="1:19" x14ac:dyDescent="0.25">
      <c r="A3338">
        <v>101412201</v>
      </c>
      <c r="B3338" t="s">
        <v>8856</v>
      </c>
      <c r="C3338" t="s">
        <v>1757</v>
      </c>
      <c r="F3338" t="str">
        <f>"4046363738"</f>
        <v>4046363738</v>
      </c>
      <c r="G3338" t="s">
        <v>8857</v>
      </c>
      <c r="H3338" t="s">
        <v>27</v>
      </c>
      <c r="I3338" t="s">
        <v>28</v>
      </c>
      <c r="J3338">
        <v>30329</v>
      </c>
      <c r="K3338">
        <v>3422</v>
      </c>
      <c r="L3338" t="s">
        <v>23</v>
      </c>
      <c r="M3338" t="s">
        <v>8857</v>
      </c>
      <c r="N3338" t="s">
        <v>27</v>
      </c>
      <c r="O3338" t="s">
        <v>28</v>
      </c>
      <c r="P3338">
        <v>30329</v>
      </c>
      <c r="Q3338">
        <v>3422</v>
      </c>
      <c r="R3338" t="s">
        <v>23</v>
      </c>
      <c r="S3338" s="1" t="s">
        <v>34218</v>
      </c>
    </row>
    <row r="3339" spans="1:19" x14ac:dyDescent="0.25">
      <c r="A3339">
        <v>101322604</v>
      </c>
      <c r="B3339" t="s">
        <v>8858</v>
      </c>
      <c r="C3339" t="s">
        <v>1153</v>
      </c>
      <c r="F3339" t="str">
        <f>"7166685955"</f>
        <v>7166685955</v>
      </c>
      <c r="G3339" t="s">
        <v>8859</v>
      </c>
      <c r="H3339" t="s">
        <v>6151</v>
      </c>
      <c r="I3339" t="s">
        <v>117</v>
      </c>
      <c r="J3339">
        <v>14086</v>
      </c>
      <c r="K3339">
        <v>3236</v>
      </c>
      <c r="L3339" t="s">
        <v>23</v>
      </c>
      <c r="M3339" t="s">
        <v>8859</v>
      </c>
      <c r="N3339" t="s">
        <v>6151</v>
      </c>
      <c r="O3339" t="s">
        <v>117</v>
      </c>
      <c r="P3339">
        <v>14086</v>
      </c>
      <c r="Q3339">
        <v>3236</v>
      </c>
      <c r="R3339" t="s">
        <v>23</v>
      </c>
      <c r="S3339" s="1" t="s">
        <v>34218</v>
      </c>
    </row>
    <row r="3340" spans="1:19" x14ac:dyDescent="0.25">
      <c r="A3340">
        <v>101320197</v>
      </c>
      <c r="B3340" t="s">
        <v>3650</v>
      </c>
      <c r="C3340" t="s">
        <v>8860</v>
      </c>
      <c r="F3340" t="str">
        <f>"7074983231"</f>
        <v>7074983231</v>
      </c>
      <c r="G3340" t="s">
        <v>8861</v>
      </c>
      <c r="H3340" t="s">
        <v>1261</v>
      </c>
      <c r="I3340" t="s">
        <v>22</v>
      </c>
      <c r="J3340">
        <v>95501</v>
      </c>
      <c r="K3340">
        <v>4315</v>
      </c>
      <c r="L3340" t="s">
        <v>23</v>
      </c>
      <c r="M3340" t="s">
        <v>8861</v>
      </c>
      <c r="N3340" t="s">
        <v>1261</v>
      </c>
      <c r="O3340" t="s">
        <v>22</v>
      </c>
      <c r="P3340">
        <v>95501</v>
      </c>
      <c r="Q3340">
        <v>4315</v>
      </c>
      <c r="R3340" t="s">
        <v>23</v>
      </c>
      <c r="S3340" s="1" t="s">
        <v>34218</v>
      </c>
    </row>
    <row r="3341" spans="1:19" x14ac:dyDescent="0.25">
      <c r="A3341">
        <v>101334086</v>
      </c>
      <c r="B3341" t="s">
        <v>1444</v>
      </c>
      <c r="C3341" t="s">
        <v>225</v>
      </c>
      <c r="F3341" t="str">
        <f>"6315091602"</f>
        <v>6315091602</v>
      </c>
      <c r="G3341" t="s">
        <v>8862</v>
      </c>
      <c r="H3341" t="s">
        <v>8863</v>
      </c>
      <c r="I3341" t="s">
        <v>117</v>
      </c>
      <c r="J3341">
        <v>11764</v>
      </c>
      <c r="K3341">
        <v>2818</v>
      </c>
      <c r="L3341" t="s">
        <v>23</v>
      </c>
      <c r="M3341" t="s">
        <v>8862</v>
      </c>
      <c r="N3341" t="s">
        <v>8863</v>
      </c>
      <c r="O3341" t="s">
        <v>117</v>
      </c>
      <c r="P3341">
        <v>11764</v>
      </c>
      <c r="Q3341">
        <v>2818</v>
      </c>
      <c r="R3341" t="s">
        <v>23</v>
      </c>
      <c r="S3341" s="1" t="s">
        <v>34218</v>
      </c>
    </row>
    <row r="3342" spans="1:19" x14ac:dyDescent="0.25">
      <c r="A3342">
        <v>100690435</v>
      </c>
      <c r="B3342" t="s">
        <v>8864</v>
      </c>
      <c r="C3342" t="s">
        <v>1239</v>
      </c>
      <c r="F3342" t="str">
        <f>"4108488591"</f>
        <v>4108488591</v>
      </c>
      <c r="G3342" t="s">
        <v>8865</v>
      </c>
      <c r="H3342" t="s">
        <v>602</v>
      </c>
      <c r="I3342" t="s">
        <v>148</v>
      </c>
      <c r="J3342">
        <v>21157</v>
      </c>
      <c r="K3342">
        <v>5961</v>
      </c>
      <c r="L3342" t="s">
        <v>23</v>
      </c>
      <c r="M3342" t="s">
        <v>8865</v>
      </c>
      <c r="N3342" t="s">
        <v>602</v>
      </c>
      <c r="O3342" t="s">
        <v>148</v>
      </c>
      <c r="P3342">
        <v>21157</v>
      </c>
      <c r="Q3342">
        <v>5961</v>
      </c>
      <c r="R3342" t="s">
        <v>23</v>
      </c>
      <c r="S3342" s="1" t="s">
        <v>34218</v>
      </c>
    </row>
    <row r="3343" spans="1:19" x14ac:dyDescent="0.25">
      <c r="A3343">
        <v>100913289</v>
      </c>
      <c r="B3343" t="s">
        <v>8866</v>
      </c>
      <c r="C3343" t="s">
        <v>2159</v>
      </c>
      <c r="F3343" t="str">
        <f>"2152420000"</f>
        <v>2152420000</v>
      </c>
      <c r="G3343" t="s">
        <v>8867</v>
      </c>
      <c r="H3343" t="s">
        <v>8317</v>
      </c>
      <c r="I3343" t="s">
        <v>33</v>
      </c>
      <c r="J3343">
        <v>19119</v>
      </c>
      <c r="K3343">
        <v>2406</v>
      </c>
      <c r="L3343" t="s">
        <v>23</v>
      </c>
      <c r="M3343" t="s">
        <v>8867</v>
      </c>
      <c r="N3343" t="s">
        <v>8317</v>
      </c>
      <c r="O3343" t="s">
        <v>33</v>
      </c>
      <c r="P3343">
        <v>19119</v>
      </c>
      <c r="Q3343">
        <v>2406</v>
      </c>
      <c r="R3343" t="s">
        <v>23</v>
      </c>
      <c r="S3343" s="1" t="s">
        <v>34218</v>
      </c>
    </row>
    <row r="3344" spans="1:19" x14ac:dyDescent="0.25">
      <c r="A3344">
        <v>101100690</v>
      </c>
      <c r="B3344" t="s">
        <v>8868</v>
      </c>
      <c r="C3344" t="s">
        <v>110</v>
      </c>
      <c r="F3344" t="str">
        <f>"5617560600"</f>
        <v>5617560600</v>
      </c>
      <c r="G3344" t="s">
        <v>8869</v>
      </c>
      <c r="H3344" t="s">
        <v>8870</v>
      </c>
      <c r="I3344" t="s">
        <v>307</v>
      </c>
      <c r="J3344">
        <v>5701</v>
      </c>
      <c r="K3344">
        <v>4022</v>
      </c>
      <c r="L3344" t="s">
        <v>23</v>
      </c>
      <c r="M3344" t="s">
        <v>8869</v>
      </c>
      <c r="N3344" t="s">
        <v>8870</v>
      </c>
      <c r="O3344" t="s">
        <v>307</v>
      </c>
      <c r="P3344">
        <v>5701</v>
      </c>
      <c r="Q3344">
        <v>4022</v>
      </c>
      <c r="R3344" t="s">
        <v>23</v>
      </c>
      <c r="S3344" s="1" t="s">
        <v>34218</v>
      </c>
    </row>
    <row r="3345" spans="1:19" x14ac:dyDescent="0.25">
      <c r="A3345">
        <v>101113891</v>
      </c>
      <c r="B3345" t="s">
        <v>8871</v>
      </c>
      <c r="C3345" t="s">
        <v>1873</v>
      </c>
      <c r="F3345" t="str">
        <f>"5025940403"</f>
        <v>5025940403</v>
      </c>
      <c r="G3345" t="s">
        <v>8872</v>
      </c>
      <c r="H3345" t="s">
        <v>8873</v>
      </c>
      <c r="I3345" t="s">
        <v>57</v>
      </c>
      <c r="J3345">
        <v>47163</v>
      </c>
      <c r="K3345">
        <v>133</v>
      </c>
      <c r="L3345" t="s">
        <v>23</v>
      </c>
      <c r="M3345" t="s">
        <v>8872</v>
      </c>
      <c r="N3345" t="s">
        <v>8873</v>
      </c>
      <c r="O3345" t="s">
        <v>57</v>
      </c>
      <c r="P3345">
        <v>47163</v>
      </c>
      <c r="Q3345">
        <v>133</v>
      </c>
      <c r="R3345" t="s">
        <v>23</v>
      </c>
      <c r="S3345" s="1" t="s">
        <v>34218</v>
      </c>
    </row>
    <row r="3346" spans="1:19" x14ac:dyDescent="0.25">
      <c r="A3346">
        <v>100983844</v>
      </c>
      <c r="B3346" t="s">
        <v>8874</v>
      </c>
      <c r="C3346" t="s">
        <v>2599</v>
      </c>
      <c r="F3346" t="str">
        <f>"6307392708"</f>
        <v>6307392708</v>
      </c>
      <c r="G3346" t="s">
        <v>8875</v>
      </c>
      <c r="H3346" t="s">
        <v>6813</v>
      </c>
      <c r="I3346" t="s">
        <v>135</v>
      </c>
      <c r="J3346">
        <v>60440</v>
      </c>
      <c r="K3346">
        <v>1370</v>
      </c>
      <c r="L3346" t="s">
        <v>23</v>
      </c>
      <c r="M3346" t="s">
        <v>8875</v>
      </c>
      <c r="N3346" t="s">
        <v>6813</v>
      </c>
      <c r="O3346" t="s">
        <v>135</v>
      </c>
      <c r="P3346">
        <v>60440</v>
      </c>
      <c r="Q3346">
        <v>1370</v>
      </c>
      <c r="R3346" t="s">
        <v>23</v>
      </c>
      <c r="S3346" s="1" t="s">
        <v>34218</v>
      </c>
    </row>
    <row r="3347" spans="1:19" x14ac:dyDescent="0.25">
      <c r="A3347">
        <v>101352099</v>
      </c>
      <c r="B3347" t="s">
        <v>8876</v>
      </c>
      <c r="C3347" t="s">
        <v>8877</v>
      </c>
      <c r="F3347" t="str">
        <f>"2155514190"</f>
        <v>2155514190</v>
      </c>
      <c r="G3347" t="s">
        <v>8878</v>
      </c>
      <c r="H3347" t="s">
        <v>8317</v>
      </c>
      <c r="I3347" t="s">
        <v>33</v>
      </c>
      <c r="J3347">
        <v>19148</v>
      </c>
      <c r="K3347">
        <v>3018</v>
      </c>
      <c r="L3347" t="s">
        <v>23</v>
      </c>
      <c r="M3347" t="s">
        <v>8878</v>
      </c>
      <c r="N3347" t="s">
        <v>8317</v>
      </c>
      <c r="O3347" t="s">
        <v>33</v>
      </c>
      <c r="P3347">
        <v>19148</v>
      </c>
      <c r="Q3347">
        <v>3018</v>
      </c>
      <c r="R3347" t="s">
        <v>23</v>
      </c>
      <c r="S3347" s="1" t="s">
        <v>34218</v>
      </c>
    </row>
    <row r="3348" spans="1:19" x14ac:dyDescent="0.25">
      <c r="A3348">
        <v>101339714</v>
      </c>
      <c r="B3348" t="s">
        <v>2656</v>
      </c>
      <c r="C3348" t="s">
        <v>4184</v>
      </c>
      <c r="F3348" t="str">
        <f>"4025937147"</f>
        <v>4025937147</v>
      </c>
      <c r="G3348" t="s">
        <v>8879</v>
      </c>
      <c r="H3348" t="s">
        <v>5644</v>
      </c>
      <c r="I3348" t="s">
        <v>370</v>
      </c>
      <c r="J3348">
        <v>68135</v>
      </c>
      <c r="K3348">
        <v>3567</v>
      </c>
      <c r="L3348" t="s">
        <v>23</v>
      </c>
      <c r="M3348" t="s">
        <v>8879</v>
      </c>
      <c r="N3348" t="s">
        <v>5644</v>
      </c>
      <c r="O3348" t="s">
        <v>370</v>
      </c>
      <c r="P3348">
        <v>68135</v>
      </c>
      <c r="Q3348">
        <v>3567</v>
      </c>
      <c r="R3348" t="s">
        <v>23</v>
      </c>
      <c r="S3348" s="1" t="s">
        <v>34218</v>
      </c>
    </row>
    <row r="3349" spans="1:19" x14ac:dyDescent="0.25">
      <c r="A3349">
        <v>101369907</v>
      </c>
      <c r="B3349" t="s">
        <v>873</v>
      </c>
      <c r="C3349" t="s">
        <v>575</v>
      </c>
      <c r="F3349" t="str">
        <f>"2158343850"</f>
        <v>2158343850</v>
      </c>
      <c r="G3349" t="s">
        <v>8880</v>
      </c>
      <c r="H3349" t="s">
        <v>8881</v>
      </c>
      <c r="I3349" t="s">
        <v>33</v>
      </c>
      <c r="J3349">
        <v>19038</v>
      </c>
      <c r="K3349">
        <v>7008</v>
      </c>
      <c r="L3349" t="s">
        <v>23</v>
      </c>
      <c r="M3349" t="s">
        <v>8880</v>
      </c>
      <c r="N3349" t="s">
        <v>8881</v>
      </c>
      <c r="O3349" t="s">
        <v>33</v>
      </c>
      <c r="P3349">
        <v>19038</v>
      </c>
      <c r="Q3349">
        <v>7008</v>
      </c>
      <c r="R3349" t="s">
        <v>23</v>
      </c>
      <c r="S3349" s="1" t="s">
        <v>34218</v>
      </c>
    </row>
    <row r="3350" spans="1:19" x14ac:dyDescent="0.25">
      <c r="A3350">
        <v>101296468</v>
      </c>
      <c r="B3350" t="s">
        <v>1007</v>
      </c>
      <c r="C3350" t="s">
        <v>5836</v>
      </c>
      <c r="F3350" t="str">
        <f>"8282999465"</f>
        <v>8282999465</v>
      </c>
      <c r="G3350" t="s">
        <v>8882</v>
      </c>
      <c r="H3350" t="s">
        <v>445</v>
      </c>
      <c r="I3350" t="s">
        <v>446</v>
      </c>
      <c r="J3350">
        <v>28805</v>
      </c>
      <c r="K3350">
        <v>9211</v>
      </c>
      <c r="L3350" t="s">
        <v>23</v>
      </c>
      <c r="M3350" t="s">
        <v>8882</v>
      </c>
      <c r="N3350" t="s">
        <v>445</v>
      </c>
      <c r="O3350" t="s">
        <v>446</v>
      </c>
      <c r="P3350">
        <v>28805</v>
      </c>
      <c r="Q3350">
        <v>9211</v>
      </c>
      <c r="R3350" t="s">
        <v>23</v>
      </c>
      <c r="S3350" s="1" t="s">
        <v>34218</v>
      </c>
    </row>
    <row r="3351" spans="1:19" x14ac:dyDescent="0.25">
      <c r="A3351">
        <v>101301057</v>
      </c>
      <c r="B3351" t="s">
        <v>8883</v>
      </c>
      <c r="C3351" t="s">
        <v>8884</v>
      </c>
      <c r="F3351" t="str">
        <f>"6025406459"</f>
        <v>6025406459</v>
      </c>
      <c r="G3351" t="s">
        <v>8885</v>
      </c>
      <c r="H3351" t="s">
        <v>471</v>
      </c>
      <c r="I3351" t="s">
        <v>365</v>
      </c>
      <c r="J3351">
        <v>85260</v>
      </c>
      <c r="K3351">
        <v>9224</v>
      </c>
      <c r="L3351" t="s">
        <v>23</v>
      </c>
      <c r="M3351" t="s">
        <v>8885</v>
      </c>
      <c r="N3351" t="s">
        <v>471</v>
      </c>
      <c r="O3351" t="s">
        <v>365</v>
      </c>
      <c r="P3351">
        <v>85260</v>
      </c>
      <c r="Q3351">
        <v>9224</v>
      </c>
      <c r="R3351" t="s">
        <v>23</v>
      </c>
      <c r="S3351" s="1" t="s">
        <v>34218</v>
      </c>
    </row>
    <row r="3352" spans="1:19" x14ac:dyDescent="0.25">
      <c r="A3352">
        <v>101010967</v>
      </c>
      <c r="B3352" t="s">
        <v>8886</v>
      </c>
      <c r="C3352" t="s">
        <v>2642</v>
      </c>
      <c r="F3352" t="str">
        <f>"2067144904"</f>
        <v>2067144904</v>
      </c>
      <c r="G3352" t="s">
        <v>8887</v>
      </c>
      <c r="H3352" t="s">
        <v>5786</v>
      </c>
      <c r="I3352" t="s">
        <v>84</v>
      </c>
      <c r="J3352">
        <v>98072</v>
      </c>
      <c r="L3352" t="s">
        <v>23</v>
      </c>
      <c r="M3352" t="s">
        <v>8887</v>
      </c>
      <c r="N3352" t="s">
        <v>5786</v>
      </c>
      <c r="O3352" t="s">
        <v>84</v>
      </c>
      <c r="P3352">
        <v>98072</v>
      </c>
      <c r="R3352" t="s">
        <v>23</v>
      </c>
      <c r="S3352" s="1" t="s">
        <v>34218</v>
      </c>
    </row>
    <row r="3353" spans="1:19" x14ac:dyDescent="0.25">
      <c r="A3353">
        <v>100824794</v>
      </c>
      <c r="B3353" t="s">
        <v>1536</v>
      </c>
      <c r="C3353" t="s">
        <v>1223</v>
      </c>
      <c r="F3353" t="str">
        <f>"5404006129"</f>
        <v>5404006129</v>
      </c>
      <c r="G3353" t="s">
        <v>8888</v>
      </c>
      <c r="H3353" t="s">
        <v>6512</v>
      </c>
      <c r="I3353" t="s">
        <v>255</v>
      </c>
      <c r="J3353">
        <v>24018</v>
      </c>
      <c r="K3353">
        <v>2625</v>
      </c>
      <c r="L3353" t="s">
        <v>23</v>
      </c>
      <c r="M3353" t="s">
        <v>8888</v>
      </c>
      <c r="N3353" t="s">
        <v>6512</v>
      </c>
      <c r="O3353" t="s">
        <v>255</v>
      </c>
      <c r="P3353">
        <v>24018</v>
      </c>
      <c r="Q3353">
        <v>2625</v>
      </c>
      <c r="R3353" t="s">
        <v>23</v>
      </c>
      <c r="S3353" s="1" t="s">
        <v>34218</v>
      </c>
    </row>
    <row r="3354" spans="1:19" x14ac:dyDescent="0.25">
      <c r="A3354">
        <v>100828156</v>
      </c>
      <c r="B3354" t="s">
        <v>4477</v>
      </c>
      <c r="C3354" t="s">
        <v>575</v>
      </c>
      <c r="F3354" t="str">
        <f>"5105244340"</f>
        <v>5105244340</v>
      </c>
      <c r="G3354" t="s">
        <v>8889</v>
      </c>
      <c r="H3354" t="s">
        <v>3707</v>
      </c>
      <c r="I3354" t="s">
        <v>22</v>
      </c>
      <c r="J3354">
        <v>94708</v>
      </c>
      <c r="K3354">
        <v>1024</v>
      </c>
      <c r="L3354" t="s">
        <v>23</v>
      </c>
      <c r="M3354" t="s">
        <v>8889</v>
      </c>
      <c r="N3354" t="s">
        <v>3707</v>
      </c>
      <c r="O3354" t="s">
        <v>22</v>
      </c>
      <c r="P3354">
        <v>94708</v>
      </c>
      <c r="Q3354">
        <v>1024</v>
      </c>
      <c r="R3354" t="s">
        <v>23</v>
      </c>
      <c r="S3354" s="1" t="s">
        <v>34218</v>
      </c>
    </row>
    <row r="3355" spans="1:19" x14ac:dyDescent="0.25">
      <c r="A3355">
        <v>101007446</v>
      </c>
      <c r="B3355" t="s">
        <v>5631</v>
      </c>
      <c r="C3355" t="s">
        <v>410</v>
      </c>
      <c r="F3355" t="str">
        <f>"9897729315"</f>
        <v>9897729315</v>
      </c>
      <c r="G3355" t="s">
        <v>8890</v>
      </c>
      <c r="H3355" t="s">
        <v>2039</v>
      </c>
      <c r="I3355" t="s">
        <v>140</v>
      </c>
      <c r="J3355">
        <v>48858</v>
      </c>
      <c r="K3355">
        <v>3612</v>
      </c>
      <c r="L3355" t="s">
        <v>23</v>
      </c>
      <c r="M3355" t="s">
        <v>8890</v>
      </c>
      <c r="N3355" t="s">
        <v>2039</v>
      </c>
      <c r="O3355" t="s">
        <v>140</v>
      </c>
      <c r="P3355">
        <v>48858</v>
      </c>
      <c r="Q3355">
        <v>3612</v>
      </c>
      <c r="R3355" t="s">
        <v>23</v>
      </c>
      <c r="S3355" s="1" t="s">
        <v>34218</v>
      </c>
    </row>
    <row r="3356" spans="1:19" x14ac:dyDescent="0.25">
      <c r="A3356">
        <v>101205148</v>
      </c>
      <c r="B3356" t="s">
        <v>8891</v>
      </c>
      <c r="C3356" t="s">
        <v>8852</v>
      </c>
      <c r="F3356" t="str">
        <f>"2243010792"</f>
        <v>2243010792</v>
      </c>
      <c r="G3356" t="s">
        <v>8892</v>
      </c>
      <c r="H3356" t="s">
        <v>496</v>
      </c>
      <c r="I3356" t="s">
        <v>22</v>
      </c>
      <c r="J3356">
        <v>94954</v>
      </c>
      <c r="K3356">
        <v>366</v>
      </c>
      <c r="L3356" t="s">
        <v>23</v>
      </c>
      <c r="M3356" t="s">
        <v>8892</v>
      </c>
      <c r="N3356" t="s">
        <v>496</v>
      </c>
      <c r="O3356" t="s">
        <v>22</v>
      </c>
      <c r="P3356">
        <v>94954</v>
      </c>
      <c r="Q3356">
        <v>366</v>
      </c>
      <c r="R3356" t="s">
        <v>23</v>
      </c>
      <c r="S3356" s="1" t="s">
        <v>34218</v>
      </c>
    </row>
    <row r="3357" spans="1:19" x14ac:dyDescent="0.25">
      <c r="A3357">
        <v>101143189</v>
      </c>
      <c r="B3357" t="s">
        <v>8893</v>
      </c>
      <c r="C3357" t="s">
        <v>1082</v>
      </c>
      <c r="F3357" t="str">
        <f>"7139071748"</f>
        <v>7139071748</v>
      </c>
      <c r="G3357" t="s">
        <v>8894</v>
      </c>
      <c r="H3357" t="s">
        <v>1402</v>
      </c>
      <c r="I3357" t="s">
        <v>38</v>
      </c>
      <c r="J3357">
        <v>77055</v>
      </c>
      <c r="K3357">
        <v>6719</v>
      </c>
      <c r="L3357" t="s">
        <v>23</v>
      </c>
      <c r="M3357" t="s">
        <v>8894</v>
      </c>
      <c r="N3357" t="s">
        <v>1402</v>
      </c>
      <c r="O3357" t="s">
        <v>38</v>
      </c>
      <c r="P3357">
        <v>77055</v>
      </c>
      <c r="Q3357">
        <v>6719</v>
      </c>
      <c r="R3357" t="s">
        <v>23</v>
      </c>
      <c r="S3357" s="1" t="s">
        <v>34218</v>
      </c>
    </row>
    <row r="3358" spans="1:19" x14ac:dyDescent="0.25">
      <c r="A3358">
        <v>101398200</v>
      </c>
      <c r="B3358" t="s">
        <v>8895</v>
      </c>
      <c r="C3358" t="s">
        <v>4245</v>
      </c>
      <c r="F3358" t="str">
        <f>"7033237847"</f>
        <v>7033237847</v>
      </c>
      <c r="G3358" t="s">
        <v>8896</v>
      </c>
      <c r="H3358" t="s">
        <v>336</v>
      </c>
      <c r="I3358" t="s">
        <v>255</v>
      </c>
      <c r="J3358">
        <v>22003</v>
      </c>
      <c r="K3358">
        <v>4332</v>
      </c>
      <c r="L3358" t="s">
        <v>23</v>
      </c>
      <c r="M3358" t="s">
        <v>8896</v>
      </c>
      <c r="N3358" t="s">
        <v>336</v>
      </c>
      <c r="O3358" t="s">
        <v>255</v>
      </c>
      <c r="P3358">
        <v>22003</v>
      </c>
      <c r="Q3358">
        <v>4332</v>
      </c>
      <c r="R3358" t="s">
        <v>23</v>
      </c>
      <c r="S3358" s="1" t="s">
        <v>34218</v>
      </c>
    </row>
    <row r="3359" spans="1:19" x14ac:dyDescent="0.25">
      <c r="A3359">
        <v>101416737</v>
      </c>
      <c r="B3359" t="s">
        <v>2802</v>
      </c>
      <c r="C3359" t="s">
        <v>509</v>
      </c>
      <c r="F3359" t="str">
        <f>"4158310972"</f>
        <v>4158310972</v>
      </c>
      <c r="G3359" t="s">
        <v>8897</v>
      </c>
      <c r="H3359" t="s">
        <v>130</v>
      </c>
      <c r="I3359" t="s">
        <v>22</v>
      </c>
      <c r="J3359">
        <v>94118</v>
      </c>
      <c r="K3359">
        <v>1222</v>
      </c>
      <c r="L3359" t="s">
        <v>23</v>
      </c>
      <c r="M3359" t="s">
        <v>8897</v>
      </c>
      <c r="N3359" t="s">
        <v>130</v>
      </c>
      <c r="O3359" t="s">
        <v>22</v>
      </c>
      <c r="P3359">
        <v>94118</v>
      </c>
      <c r="Q3359">
        <v>1222</v>
      </c>
      <c r="R3359" t="s">
        <v>23</v>
      </c>
      <c r="S3359" s="1" t="s">
        <v>34218</v>
      </c>
    </row>
    <row r="3360" spans="1:19" x14ac:dyDescent="0.25">
      <c r="A3360">
        <v>100748198</v>
      </c>
      <c r="B3360" t="s">
        <v>1164</v>
      </c>
      <c r="C3360" t="s">
        <v>1873</v>
      </c>
      <c r="F3360" t="str">
        <f>"3122460965"</f>
        <v>3122460965</v>
      </c>
      <c r="G3360" t="s">
        <v>8898</v>
      </c>
      <c r="H3360" t="s">
        <v>8899</v>
      </c>
      <c r="I3360" t="s">
        <v>135</v>
      </c>
      <c r="J3360">
        <v>60046</v>
      </c>
      <c r="K3360">
        <v>9030</v>
      </c>
      <c r="L3360" t="s">
        <v>23</v>
      </c>
      <c r="M3360" t="s">
        <v>8898</v>
      </c>
      <c r="N3360" t="s">
        <v>8899</v>
      </c>
      <c r="O3360" t="s">
        <v>135</v>
      </c>
      <c r="P3360">
        <v>60046</v>
      </c>
      <c r="Q3360">
        <v>9030</v>
      </c>
      <c r="R3360" t="s">
        <v>23</v>
      </c>
      <c r="S3360" s="1" t="s">
        <v>34218</v>
      </c>
    </row>
    <row r="3361" spans="1:19" x14ac:dyDescent="0.25">
      <c r="A3361">
        <v>100813047</v>
      </c>
      <c r="B3361" t="s">
        <v>8900</v>
      </c>
      <c r="C3361" t="s">
        <v>114</v>
      </c>
      <c r="F3361" t="str">
        <f>"5185272995"</f>
        <v>5185272995</v>
      </c>
      <c r="G3361" t="s">
        <v>8901</v>
      </c>
      <c r="H3361" t="s">
        <v>8902</v>
      </c>
      <c r="I3361" t="s">
        <v>117</v>
      </c>
      <c r="J3361">
        <v>12144</v>
      </c>
      <c r="K3361">
        <v>9643</v>
      </c>
      <c r="L3361" t="s">
        <v>23</v>
      </c>
      <c r="M3361" t="s">
        <v>8901</v>
      </c>
      <c r="N3361" t="s">
        <v>8902</v>
      </c>
      <c r="O3361" t="s">
        <v>117</v>
      </c>
      <c r="P3361">
        <v>12144</v>
      </c>
      <c r="Q3361">
        <v>9643</v>
      </c>
      <c r="R3361" t="s">
        <v>23</v>
      </c>
      <c r="S3361" s="1" t="s">
        <v>34218</v>
      </c>
    </row>
    <row r="3362" spans="1:19" x14ac:dyDescent="0.25">
      <c r="A3362">
        <v>101251095</v>
      </c>
      <c r="B3362" t="s">
        <v>8903</v>
      </c>
      <c r="C3362" t="s">
        <v>699</v>
      </c>
      <c r="F3362" t="str">
        <f>"2062571043"</f>
        <v>2062571043</v>
      </c>
      <c r="G3362" t="s">
        <v>8904</v>
      </c>
      <c r="H3362" t="s">
        <v>1531</v>
      </c>
      <c r="I3362" t="s">
        <v>84</v>
      </c>
      <c r="J3362">
        <v>98177</v>
      </c>
      <c r="K3362">
        <v>5145</v>
      </c>
      <c r="L3362" t="s">
        <v>23</v>
      </c>
      <c r="M3362" t="s">
        <v>8904</v>
      </c>
      <c r="N3362" t="s">
        <v>1531</v>
      </c>
      <c r="O3362" t="s">
        <v>84</v>
      </c>
      <c r="P3362">
        <v>98177</v>
      </c>
      <c r="Q3362">
        <v>5145</v>
      </c>
      <c r="R3362" t="s">
        <v>23</v>
      </c>
      <c r="S3362" s="1" t="s">
        <v>34218</v>
      </c>
    </row>
    <row r="3363" spans="1:19" x14ac:dyDescent="0.25">
      <c r="A3363">
        <v>101242721</v>
      </c>
      <c r="B3363" t="s">
        <v>8905</v>
      </c>
      <c r="C3363" t="s">
        <v>8906</v>
      </c>
      <c r="F3363" t="str">
        <f>"3166843415"</f>
        <v>3166843415</v>
      </c>
      <c r="G3363" t="s">
        <v>8907</v>
      </c>
      <c r="H3363" t="s">
        <v>340</v>
      </c>
      <c r="I3363" t="s">
        <v>241</v>
      </c>
      <c r="J3363">
        <v>67208</v>
      </c>
      <c r="K3363">
        <v>3405</v>
      </c>
      <c r="L3363" t="s">
        <v>23</v>
      </c>
      <c r="M3363" t="s">
        <v>8907</v>
      </c>
      <c r="N3363" t="s">
        <v>340</v>
      </c>
      <c r="O3363" t="s">
        <v>241</v>
      </c>
      <c r="P3363">
        <v>67208</v>
      </c>
      <c r="Q3363">
        <v>3405</v>
      </c>
      <c r="R3363" t="s">
        <v>23</v>
      </c>
      <c r="S3363" s="1" t="s">
        <v>34218</v>
      </c>
    </row>
    <row r="3364" spans="1:19" x14ac:dyDescent="0.25">
      <c r="A3364">
        <v>101245047</v>
      </c>
      <c r="B3364" t="s">
        <v>8908</v>
      </c>
      <c r="C3364" t="s">
        <v>1327</v>
      </c>
      <c r="F3364" t="str">
        <f>"5087483321"</f>
        <v>5087483321</v>
      </c>
      <c r="G3364" t="s">
        <v>8909</v>
      </c>
      <c r="H3364" t="s">
        <v>7195</v>
      </c>
      <c r="I3364" t="s">
        <v>236</v>
      </c>
      <c r="J3364">
        <v>2738</v>
      </c>
      <c r="K3364">
        <v>1522</v>
      </c>
      <c r="L3364" t="s">
        <v>23</v>
      </c>
      <c r="M3364" t="s">
        <v>8909</v>
      </c>
      <c r="N3364" t="s">
        <v>7195</v>
      </c>
      <c r="O3364" t="s">
        <v>236</v>
      </c>
      <c r="P3364">
        <v>2738</v>
      </c>
      <c r="Q3364">
        <v>1522</v>
      </c>
      <c r="R3364" t="s">
        <v>23</v>
      </c>
      <c r="S3364" s="1" t="s">
        <v>34218</v>
      </c>
    </row>
    <row r="3365" spans="1:19" x14ac:dyDescent="0.25">
      <c r="A3365">
        <v>101386374</v>
      </c>
      <c r="B3365" t="s">
        <v>8910</v>
      </c>
      <c r="C3365" t="s">
        <v>1533</v>
      </c>
      <c r="F3365" t="str">
        <f>"2397715946"</f>
        <v>2397715946</v>
      </c>
      <c r="G3365" t="s">
        <v>8911</v>
      </c>
      <c r="H3365" t="s">
        <v>8912</v>
      </c>
      <c r="I3365" t="s">
        <v>135</v>
      </c>
      <c r="J3365">
        <v>60073</v>
      </c>
      <c r="K3365">
        <v>3424</v>
      </c>
      <c r="L3365" t="s">
        <v>23</v>
      </c>
      <c r="M3365" t="s">
        <v>8911</v>
      </c>
      <c r="N3365" t="s">
        <v>8912</v>
      </c>
      <c r="O3365" t="s">
        <v>135</v>
      </c>
      <c r="P3365">
        <v>60073</v>
      </c>
      <c r="Q3365">
        <v>3424</v>
      </c>
      <c r="R3365" t="s">
        <v>23</v>
      </c>
      <c r="S3365" s="1" t="s">
        <v>34218</v>
      </c>
    </row>
    <row r="3366" spans="1:19" x14ac:dyDescent="0.25">
      <c r="A3366">
        <v>101301055</v>
      </c>
      <c r="B3366" t="s">
        <v>8257</v>
      </c>
      <c r="C3366" t="s">
        <v>1086</v>
      </c>
      <c r="F3366" t="str">
        <f>"4144757720"</f>
        <v>4144757720</v>
      </c>
      <c r="G3366" t="s">
        <v>8913</v>
      </c>
      <c r="H3366" t="s">
        <v>389</v>
      </c>
      <c r="I3366" t="s">
        <v>100</v>
      </c>
      <c r="J3366">
        <v>53213</v>
      </c>
      <c r="K3366">
        <v>4066</v>
      </c>
      <c r="L3366" t="s">
        <v>23</v>
      </c>
      <c r="M3366" t="s">
        <v>8913</v>
      </c>
      <c r="N3366" t="s">
        <v>389</v>
      </c>
      <c r="O3366" t="s">
        <v>100</v>
      </c>
      <c r="P3366">
        <v>53213</v>
      </c>
      <c r="Q3366">
        <v>4066</v>
      </c>
      <c r="R3366" t="s">
        <v>23</v>
      </c>
      <c r="S3366" s="1" t="s">
        <v>34218</v>
      </c>
    </row>
    <row r="3367" spans="1:19" x14ac:dyDescent="0.25">
      <c r="A3367">
        <v>101393528</v>
      </c>
      <c r="B3367" t="s">
        <v>8914</v>
      </c>
      <c r="C3367" t="s">
        <v>247</v>
      </c>
      <c r="F3367" t="str">
        <f>"9199467040"</f>
        <v>9199467040</v>
      </c>
      <c r="G3367" t="s">
        <v>8915</v>
      </c>
      <c r="H3367" t="s">
        <v>567</v>
      </c>
      <c r="I3367" t="s">
        <v>446</v>
      </c>
      <c r="J3367">
        <v>27606</v>
      </c>
      <c r="K3367">
        <v>9610</v>
      </c>
      <c r="L3367" t="s">
        <v>23</v>
      </c>
      <c r="M3367" t="s">
        <v>8915</v>
      </c>
      <c r="N3367" t="s">
        <v>567</v>
      </c>
      <c r="O3367" t="s">
        <v>446</v>
      </c>
      <c r="P3367">
        <v>27606</v>
      </c>
      <c r="Q3367">
        <v>9610</v>
      </c>
      <c r="R3367" t="s">
        <v>23</v>
      </c>
      <c r="S3367" s="1" t="s">
        <v>34218</v>
      </c>
    </row>
    <row r="3368" spans="1:19" x14ac:dyDescent="0.25">
      <c r="A3368">
        <v>101117446</v>
      </c>
      <c r="B3368" t="s">
        <v>8916</v>
      </c>
      <c r="C3368" t="s">
        <v>2892</v>
      </c>
      <c r="F3368" t="str">
        <f>"5853353439"</f>
        <v>5853353439</v>
      </c>
      <c r="G3368" t="s">
        <v>8917</v>
      </c>
      <c r="H3368" t="s">
        <v>8918</v>
      </c>
      <c r="I3368" t="s">
        <v>117</v>
      </c>
      <c r="J3368">
        <v>14437</v>
      </c>
      <c r="K3368">
        <v>9140</v>
      </c>
      <c r="L3368" t="s">
        <v>23</v>
      </c>
      <c r="M3368" t="s">
        <v>8917</v>
      </c>
      <c r="N3368" t="s">
        <v>8918</v>
      </c>
      <c r="O3368" t="s">
        <v>117</v>
      </c>
      <c r="P3368">
        <v>14437</v>
      </c>
      <c r="Q3368">
        <v>9140</v>
      </c>
      <c r="R3368" t="s">
        <v>23</v>
      </c>
      <c r="S3368" s="1" t="s">
        <v>34218</v>
      </c>
    </row>
    <row r="3369" spans="1:19" x14ac:dyDescent="0.25">
      <c r="A3369">
        <v>101350438</v>
      </c>
      <c r="B3369" t="s">
        <v>8919</v>
      </c>
      <c r="C3369" t="s">
        <v>8920</v>
      </c>
      <c r="F3369" t="str">
        <f>"3607884273"</f>
        <v>3607884273</v>
      </c>
      <c r="G3369" t="s">
        <v>8921</v>
      </c>
      <c r="H3369" t="s">
        <v>591</v>
      </c>
      <c r="I3369" t="s">
        <v>84</v>
      </c>
      <c r="J3369">
        <v>98225</v>
      </c>
      <c r="K3369">
        <v>2338</v>
      </c>
      <c r="L3369" t="s">
        <v>23</v>
      </c>
      <c r="M3369" t="s">
        <v>8921</v>
      </c>
      <c r="N3369" t="s">
        <v>591</v>
      </c>
      <c r="O3369" t="s">
        <v>84</v>
      </c>
      <c r="P3369">
        <v>98225</v>
      </c>
      <c r="Q3369">
        <v>2338</v>
      </c>
      <c r="R3369" t="s">
        <v>23</v>
      </c>
      <c r="S3369" s="1" t="s">
        <v>34218</v>
      </c>
    </row>
    <row r="3370" spans="1:19" x14ac:dyDescent="0.25">
      <c r="A3370">
        <v>101350477</v>
      </c>
      <c r="B3370" t="s">
        <v>8922</v>
      </c>
      <c r="C3370" t="s">
        <v>2857</v>
      </c>
      <c r="F3370" t="str">
        <f>"3107294902"</f>
        <v>3107294902</v>
      </c>
      <c r="G3370" t="s">
        <v>8923</v>
      </c>
      <c r="H3370" t="s">
        <v>299</v>
      </c>
      <c r="I3370" t="s">
        <v>22</v>
      </c>
      <c r="J3370">
        <v>90068</v>
      </c>
      <c r="K3370">
        <v>1738</v>
      </c>
      <c r="L3370" t="s">
        <v>23</v>
      </c>
      <c r="M3370" t="s">
        <v>8923</v>
      </c>
      <c r="N3370" t="s">
        <v>299</v>
      </c>
      <c r="O3370" t="s">
        <v>22</v>
      </c>
      <c r="P3370">
        <v>90068</v>
      </c>
      <c r="Q3370">
        <v>1738</v>
      </c>
      <c r="R3370" t="s">
        <v>23</v>
      </c>
      <c r="S3370" s="1" t="s">
        <v>34218</v>
      </c>
    </row>
    <row r="3371" spans="1:19" x14ac:dyDescent="0.25">
      <c r="A3371">
        <v>101357250</v>
      </c>
      <c r="B3371" t="s">
        <v>8924</v>
      </c>
      <c r="C3371" t="s">
        <v>959</v>
      </c>
      <c r="F3371" t="str">
        <f>"5406748696"</f>
        <v>5406748696</v>
      </c>
      <c r="G3371" t="s">
        <v>8925</v>
      </c>
      <c r="H3371" t="s">
        <v>4405</v>
      </c>
      <c r="I3371" t="s">
        <v>255</v>
      </c>
      <c r="J3371">
        <v>24084</v>
      </c>
      <c r="K3371">
        <v>4644</v>
      </c>
      <c r="L3371" t="s">
        <v>23</v>
      </c>
      <c r="M3371" t="s">
        <v>8925</v>
      </c>
      <c r="N3371" t="s">
        <v>4405</v>
      </c>
      <c r="O3371" t="s">
        <v>255</v>
      </c>
      <c r="P3371">
        <v>24084</v>
      </c>
      <c r="Q3371">
        <v>4644</v>
      </c>
      <c r="R3371" t="s">
        <v>23</v>
      </c>
      <c r="S3371" s="1" t="s">
        <v>34218</v>
      </c>
    </row>
    <row r="3372" spans="1:19" x14ac:dyDescent="0.25">
      <c r="A3372">
        <v>101179330</v>
      </c>
      <c r="B3372" t="s">
        <v>8926</v>
      </c>
      <c r="C3372" t="s">
        <v>1350</v>
      </c>
      <c r="F3372" t="str">
        <f>"6177233022"</f>
        <v>6177233022</v>
      </c>
      <c r="G3372" t="s">
        <v>8927</v>
      </c>
      <c r="H3372" t="s">
        <v>2514</v>
      </c>
      <c r="I3372" t="s">
        <v>236</v>
      </c>
      <c r="J3372">
        <v>2114</v>
      </c>
      <c r="K3372">
        <v>2343</v>
      </c>
      <c r="L3372" t="s">
        <v>23</v>
      </c>
      <c r="M3372" t="s">
        <v>8927</v>
      </c>
      <c r="N3372" t="s">
        <v>2514</v>
      </c>
      <c r="O3372" t="s">
        <v>236</v>
      </c>
      <c r="P3372">
        <v>2114</v>
      </c>
      <c r="Q3372">
        <v>2343</v>
      </c>
      <c r="R3372" t="s">
        <v>23</v>
      </c>
      <c r="S3372" s="1" t="s">
        <v>34218</v>
      </c>
    </row>
    <row r="3373" spans="1:19" x14ac:dyDescent="0.25">
      <c r="A3373">
        <v>101179397</v>
      </c>
      <c r="B3373" t="s">
        <v>8928</v>
      </c>
      <c r="C3373" t="s">
        <v>1632</v>
      </c>
      <c r="F3373" t="str">
        <f>"9069320049"</f>
        <v>9069320049</v>
      </c>
      <c r="G3373" t="s">
        <v>8929</v>
      </c>
      <c r="H3373" t="s">
        <v>8930</v>
      </c>
      <c r="I3373" t="s">
        <v>140</v>
      </c>
      <c r="J3373">
        <v>49938</v>
      </c>
      <c r="K3373">
        <v>9746</v>
      </c>
      <c r="L3373" t="s">
        <v>23</v>
      </c>
      <c r="M3373" t="s">
        <v>8929</v>
      </c>
      <c r="N3373" t="s">
        <v>8930</v>
      </c>
      <c r="O3373" t="s">
        <v>140</v>
      </c>
      <c r="P3373">
        <v>49938</v>
      </c>
      <c r="Q3373">
        <v>9746</v>
      </c>
      <c r="R3373" t="s">
        <v>23</v>
      </c>
      <c r="S3373" s="1" t="s">
        <v>34218</v>
      </c>
    </row>
    <row r="3374" spans="1:19" x14ac:dyDescent="0.25">
      <c r="A3374">
        <v>101174979</v>
      </c>
      <c r="B3374" t="s">
        <v>1446</v>
      </c>
      <c r="C3374" t="s">
        <v>4245</v>
      </c>
      <c r="F3374" t="str">
        <f>"2039971822"</f>
        <v>2039971822</v>
      </c>
      <c r="G3374" t="s">
        <v>8931</v>
      </c>
      <c r="H3374" t="s">
        <v>8932</v>
      </c>
      <c r="I3374" t="s">
        <v>33</v>
      </c>
      <c r="J3374">
        <v>19422</v>
      </c>
      <c r="K3374">
        <v>3274</v>
      </c>
      <c r="L3374" t="s">
        <v>23</v>
      </c>
      <c r="M3374" t="s">
        <v>8931</v>
      </c>
      <c r="N3374" t="s">
        <v>8932</v>
      </c>
      <c r="O3374" t="s">
        <v>33</v>
      </c>
      <c r="P3374">
        <v>19422</v>
      </c>
      <c r="Q3374">
        <v>3274</v>
      </c>
      <c r="R3374" t="s">
        <v>23</v>
      </c>
      <c r="S3374" s="1" t="s">
        <v>34218</v>
      </c>
    </row>
    <row r="3375" spans="1:19" x14ac:dyDescent="0.25">
      <c r="A3375">
        <v>101187893</v>
      </c>
      <c r="B3375" t="s">
        <v>8933</v>
      </c>
      <c r="C3375" t="s">
        <v>1906</v>
      </c>
      <c r="F3375" t="str">
        <f>"5306265343"</f>
        <v>5306265343</v>
      </c>
      <c r="G3375" t="s">
        <v>8934</v>
      </c>
      <c r="H3375" t="s">
        <v>2613</v>
      </c>
      <c r="I3375" t="s">
        <v>22</v>
      </c>
      <c r="J3375">
        <v>95667</v>
      </c>
      <c r="K3375">
        <v>7702</v>
      </c>
      <c r="L3375" t="s">
        <v>23</v>
      </c>
      <c r="M3375" t="s">
        <v>8934</v>
      </c>
      <c r="N3375" t="s">
        <v>2613</v>
      </c>
      <c r="O3375" t="s">
        <v>22</v>
      </c>
      <c r="P3375">
        <v>95667</v>
      </c>
      <c r="Q3375">
        <v>7702</v>
      </c>
      <c r="R3375" t="s">
        <v>23</v>
      </c>
      <c r="S3375" s="1" t="s">
        <v>34218</v>
      </c>
    </row>
    <row r="3376" spans="1:19" x14ac:dyDescent="0.25">
      <c r="A3376">
        <v>101195278</v>
      </c>
      <c r="B3376" t="s">
        <v>8935</v>
      </c>
      <c r="C3376" t="s">
        <v>475</v>
      </c>
      <c r="F3376" t="str">
        <f>"5057713682"</f>
        <v>5057713682</v>
      </c>
      <c r="G3376" t="s">
        <v>8936</v>
      </c>
      <c r="H3376" t="s">
        <v>8937</v>
      </c>
      <c r="I3376" t="s">
        <v>639</v>
      </c>
      <c r="J3376">
        <v>87043</v>
      </c>
      <c r="K3376">
        <v>8743</v>
      </c>
      <c r="L3376" t="s">
        <v>23</v>
      </c>
      <c r="M3376" t="s">
        <v>8936</v>
      </c>
      <c r="N3376" t="s">
        <v>8937</v>
      </c>
      <c r="O3376" t="s">
        <v>639</v>
      </c>
      <c r="P3376">
        <v>87043</v>
      </c>
      <c r="Q3376">
        <v>8743</v>
      </c>
      <c r="R3376" t="s">
        <v>23</v>
      </c>
      <c r="S3376" s="1" t="s">
        <v>34218</v>
      </c>
    </row>
    <row r="3377" spans="1:19" x14ac:dyDescent="0.25">
      <c r="A3377">
        <v>100955076</v>
      </c>
      <c r="B3377" t="s">
        <v>8938</v>
      </c>
      <c r="C3377" t="s">
        <v>4359</v>
      </c>
      <c r="F3377" t="str">
        <f>"7328332825"</f>
        <v>7328332825</v>
      </c>
      <c r="G3377" t="s">
        <v>8939</v>
      </c>
      <c r="H3377" t="s">
        <v>303</v>
      </c>
      <c r="I3377" t="s">
        <v>250</v>
      </c>
      <c r="J3377">
        <v>8527</v>
      </c>
      <c r="K3377">
        <v>3992</v>
      </c>
      <c r="L3377" t="s">
        <v>23</v>
      </c>
      <c r="M3377" t="s">
        <v>8939</v>
      </c>
      <c r="N3377" t="s">
        <v>303</v>
      </c>
      <c r="O3377" t="s">
        <v>250</v>
      </c>
      <c r="P3377">
        <v>8527</v>
      </c>
      <c r="Q3377">
        <v>3992</v>
      </c>
      <c r="R3377" t="s">
        <v>23</v>
      </c>
      <c r="S3377" s="1" t="s">
        <v>34218</v>
      </c>
    </row>
    <row r="3378" spans="1:19" x14ac:dyDescent="0.25">
      <c r="A3378">
        <v>100961070</v>
      </c>
      <c r="B3378" t="s">
        <v>8940</v>
      </c>
      <c r="C3378" t="s">
        <v>274</v>
      </c>
      <c r="F3378" t="str">
        <f>"7195472021"</f>
        <v>7195472021</v>
      </c>
      <c r="G3378" t="s">
        <v>8941</v>
      </c>
      <c r="H3378" t="s">
        <v>1337</v>
      </c>
      <c r="I3378" t="s">
        <v>71</v>
      </c>
      <c r="J3378">
        <v>81007</v>
      </c>
      <c r="K3378">
        <v>1202</v>
      </c>
      <c r="L3378" t="s">
        <v>23</v>
      </c>
      <c r="M3378" t="s">
        <v>8941</v>
      </c>
      <c r="N3378" t="s">
        <v>1337</v>
      </c>
      <c r="O3378" t="s">
        <v>71</v>
      </c>
      <c r="P3378">
        <v>81007</v>
      </c>
      <c r="Q3378">
        <v>1202</v>
      </c>
      <c r="R3378" t="s">
        <v>23</v>
      </c>
      <c r="S3378" s="1" t="s">
        <v>34218</v>
      </c>
    </row>
    <row r="3379" spans="1:19" x14ac:dyDescent="0.25">
      <c r="A3379">
        <v>100911553</v>
      </c>
      <c r="B3379" t="s">
        <v>8942</v>
      </c>
      <c r="C3379" t="s">
        <v>4570</v>
      </c>
      <c r="F3379" t="str">
        <f>"8178310998"</f>
        <v>8178310998</v>
      </c>
      <c r="G3379" t="s">
        <v>8943</v>
      </c>
      <c r="H3379" t="s">
        <v>8944</v>
      </c>
      <c r="I3379" t="s">
        <v>38</v>
      </c>
      <c r="J3379" t="s">
        <v>8945</v>
      </c>
      <c r="K3379">
        <v>3319</v>
      </c>
      <c r="L3379" t="s">
        <v>23</v>
      </c>
      <c r="M3379" t="s">
        <v>8943</v>
      </c>
      <c r="N3379" t="s">
        <v>8944</v>
      </c>
      <c r="O3379" t="s">
        <v>38</v>
      </c>
      <c r="P3379" t="s">
        <v>8945</v>
      </c>
      <c r="Q3379">
        <v>3319</v>
      </c>
      <c r="R3379" t="s">
        <v>23</v>
      </c>
      <c r="S3379" s="1" t="s">
        <v>34218</v>
      </c>
    </row>
    <row r="3380" spans="1:19" x14ac:dyDescent="0.25">
      <c r="A3380">
        <v>101401628</v>
      </c>
      <c r="B3380" t="s">
        <v>8946</v>
      </c>
      <c r="C3380" t="s">
        <v>158</v>
      </c>
      <c r="F3380" t="str">
        <f>"8438147042"</f>
        <v>8438147042</v>
      </c>
      <c r="G3380" t="s">
        <v>8947</v>
      </c>
      <c r="H3380" t="s">
        <v>8948</v>
      </c>
      <c r="I3380" t="s">
        <v>57</v>
      </c>
      <c r="J3380" t="s">
        <v>8949</v>
      </c>
      <c r="K3380">
        <v>1016</v>
      </c>
      <c r="L3380" t="s">
        <v>23</v>
      </c>
      <c r="M3380" t="s">
        <v>8947</v>
      </c>
      <c r="N3380" t="s">
        <v>8948</v>
      </c>
      <c r="O3380" t="s">
        <v>57</v>
      </c>
      <c r="P3380" t="s">
        <v>8949</v>
      </c>
      <c r="Q3380">
        <v>1016</v>
      </c>
      <c r="R3380" t="s">
        <v>23</v>
      </c>
      <c r="S3380" s="1" t="s">
        <v>34218</v>
      </c>
    </row>
    <row r="3381" spans="1:19" x14ac:dyDescent="0.25">
      <c r="A3381">
        <v>101129024</v>
      </c>
      <c r="B3381" t="s">
        <v>8950</v>
      </c>
      <c r="C3381" t="s">
        <v>579</v>
      </c>
      <c r="F3381" t="str">
        <f>"8314231467"</f>
        <v>8314231467</v>
      </c>
      <c r="G3381" t="s">
        <v>8951</v>
      </c>
      <c r="H3381" t="s">
        <v>1293</v>
      </c>
      <c r="I3381" t="s">
        <v>22</v>
      </c>
      <c r="J3381">
        <v>95060</v>
      </c>
      <c r="K3381">
        <v>6418</v>
      </c>
      <c r="L3381" t="s">
        <v>23</v>
      </c>
      <c r="M3381" t="s">
        <v>8951</v>
      </c>
      <c r="N3381" t="s">
        <v>1293</v>
      </c>
      <c r="O3381" t="s">
        <v>22</v>
      </c>
      <c r="P3381">
        <v>95060</v>
      </c>
      <c r="Q3381">
        <v>6418</v>
      </c>
      <c r="R3381" t="s">
        <v>23</v>
      </c>
      <c r="S3381" s="1" t="s">
        <v>34218</v>
      </c>
    </row>
    <row r="3382" spans="1:19" x14ac:dyDescent="0.25">
      <c r="A3382">
        <v>101129507</v>
      </c>
      <c r="B3382" t="s">
        <v>29</v>
      </c>
      <c r="C3382" t="s">
        <v>547</v>
      </c>
      <c r="F3382" t="str">
        <f>"8572126864"</f>
        <v>8572126864</v>
      </c>
      <c r="G3382" t="s">
        <v>8952</v>
      </c>
      <c r="H3382" t="s">
        <v>3385</v>
      </c>
      <c r="I3382" t="s">
        <v>236</v>
      </c>
      <c r="J3382">
        <v>2139</v>
      </c>
      <c r="K3382">
        <v>3783</v>
      </c>
      <c r="L3382" t="s">
        <v>23</v>
      </c>
      <c r="M3382" t="s">
        <v>8952</v>
      </c>
      <c r="N3382" t="s">
        <v>3385</v>
      </c>
      <c r="O3382" t="s">
        <v>236</v>
      </c>
      <c r="P3382">
        <v>2139</v>
      </c>
      <c r="Q3382">
        <v>3783</v>
      </c>
      <c r="R3382" t="s">
        <v>23</v>
      </c>
      <c r="S3382" s="1" t="s">
        <v>34218</v>
      </c>
    </row>
    <row r="3383" spans="1:19" x14ac:dyDescent="0.25">
      <c r="A3383">
        <v>101137318</v>
      </c>
      <c r="B3383" t="s">
        <v>8953</v>
      </c>
      <c r="C3383" t="s">
        <v>8954</v>
      </c>
      <c r="F3383" t="str">
        <f>"6088451892"</f>
        <v>6088451892</v>
      </c>
      <c r="G3383" t="s">
        <v>8955</v>
      </c>
      <c r="H3383" t="s">
        <v>8956</v>
      </c>
      <c r="I3383" t="s">
        <v>100</v>
      </c>
      <c r="J3383">
        <v>53532</v>
      </c>
      <c r="K3383">
        <v>1723</v>
      </c>
      <c r="L3383" t="s">
        <v>23</v>
      </c>
      <c r="M3383" t="s">
        <v>8955</v>
      </c>
      <c r="N3383" t="s">
        <v>8956</v>
      </c>
      <c r="O3383" t="s">
        <v>100</v>
      </c>
      <c r="P3383">
        <v>53532</v>
      </c>
      <c r="Q3383">
        <v>1723</v>
      </c>
      <c r="R3383" t="s">
        <v>23</v>
      </c>
      <c r="S3383" s="1" t="s">
        <v>34218</v>
      </c>
    </row>
    <row r="3384" spans="1:19" x14ac:dyDescent="0.25">
      <c r="A3384">
        <v>101415820</v>
      </c>
      <c r="B3384" t="s">
        <v>7093</v>
      </c>
      <c r="C3384" t="s">
        <v>8957</v>
      </c>
      <c r="F3384" t="str">
        <f>"5038607755"</f>
        <v>5038607755</v>
      </c>
      <c r="G3384" t="s">
        <v>8958</v>
      </c>
      <c r="H3384" t="s">
        <v>88</v>
      </c>
      <c r="I3384" t="s">
        <v>43</v>
      </c>
      <c r="J3384">
        <v>97462</v>
      </c>
      <c r="K3384">
        <v>9664</v>
      </c>
      <c r="L3384" t="s">
        <v>23</v>
      </c>
      <c r="M3384" t="s">
        <v>8958</v>
      </c>
      <c r="N3384" t="s">
        <v>88</v>
      </c>
      <c r="O3384" t="s">
        <v>43</v>
      </c>
      <c r="P3384">
        <v>97462</v>
      </c>
      <c r="Q3384">
        <v>9664</v>
      </c>
      <c r="R3384" t="s">
        <v>23</v>
      </c>
      <c r="S3384" s="1" t="s">
        <v>34218</v>
      </c>
    </row>
    <row r="3385" spans="1:19" x14ac:dyDescent="0.25">
      <c r="A3385">
        <v>101333025</v>
      </c>
      <c r="B3385" t="s">
        <v>8959</v>
      </c>
      <c r="C3385" t="s">
        <v>8960</v>
      </c>
      <c r="F3385" t="str">
        <f>"6502705857"</f>
        <v>6502705857</v>
      </c>
      <c r="G3385" t="s">
        <v>8961</v>
      </c>
      <c r="H3385" t="s">
        <v>8962</v>
      </c>
      <c r="I3385" t="s">
        <v>22</v>
      </c>
      <c r="J3385">
        <v>94080</v>
      </c>
      <c r="K3385">
        <v>1488</v>
      </c>
      <c r="L3385" t="s">
        <v>23</v>
      </c>
      <c r="M3385" t="s">
        <v>8961</v>
      </c>
      <c r="N3385" t="s">
        <v>8962</v>
      </c>
      <c r="O3385" t="s">
        <v>22</v>
      </c>
      <c r="P3385">
        <v>94080</v>
      </c>
      <c r="Q3385">
        <v>1488</v>
      </c>
      <c r="R3385" t="s">
        <v>23</v>
      </c>
      <c r="S3385" s="1" t="s">
        <v>34218</v>
      </c>
    </row>
    <row r="3386" spans="1:19" x14ac:dyDescent="0.25">
      <c r="A3386">
        <v>100905457</v>
      </c>
      <c r="B3386" t="s">
        <v>8963</v>
      </c>
      <c r="C3386" t="s">
        <v>252</v>
      </c>
      <c r="F3386" t="str">
        <f>"4434802256"</f>
        <v>4434802256</v>
      </c>
      <c r="G3386" t="s">
        <v>8964</v>
      </c>
      <c r="H3386" t="s">
        <v>8965</v>
      </c>
      <c r="I3386" t="s">
        <v>148</v>
      </c>
      <c r="J3386">
        <v>21661</v>
      </c>
      <c r="K3386">
        <v>1617</v>
      </c>
      <c r="L3386" t="s">
        <v>23</v>
      </c>
      <c r="M3386" t="s">
        <v>8964</v>
      </c>
      <c r="N3386" t="s">
        <v>8965</v>
      </c>
      <c r="O3386" t="s">
        <v>148</v>
      </c>
      <c r="P3386">
        <v>21661</v>
      </c>
      <c r="Q3386">
        <v>1617</v>
      </c>
      <c r="R3386" t="s">
        <v>23</v>
      </c>
      <c r="S3386" s="1" t="s">
        <v>34218</v>
      </c>
    </row>
    <row r="3387" spans="1:19" x14ac:dyDescent="0.25">
      <c r="A3387">
        <v>100600472</v>
      </c>
      <c r="B3387" t="s">
        <v>8966</v>
      </c>
      <c r="C3387" t="s">
        <v>2892</v>
      </c>
      <c r="F3387" t="str">
        <f>"6107757775"</f>
        <v>6107757775</v>
      </c>
      <c r="G3387" t="s">
        <v>8967</v>
      </c>
      <c r="H3387" t="s">
        <v>8968</v>
      </c>
      <c r="I3387" t="s">
        <v>33</v>
      </c>
      <c r="J3387">
        <v>19608</v>
      </c>
      <c r="K3387">
        <v>9788</v>
      </c>
      <c r="L3387" t="s">
        <v>23</v>
      </c>
      <c r="M3387" t="s">
        <v>8967</v>
      </c>
      <c r="N3387" t="s">
        <v>8968</v>
      </c>
      <c r="O3387" t="s">
        <v>33</v>
      </c>
      <c r="P3387">
        <v>19608</v>
      </c>
      <c r="Q3387">
        <v>9788</v>
      </c>
      <c r="R3387" t="s">
        <v>23</v>
      </c>
      <c r="S3387" s="1" t="s">
        <v>34218</v>
      </c>
    </row>
    <row r="3388" spans="1:19" x14ac:dyDescent="0.25">
      <c r="A3388">
        <v>101227604</v>
      </c>
      <c r="B3388" t="s">
        <v>1092</v>
      </c>
      <c r="C3388" t="s">
        <v>3164</v>
      </c>
      <c r="F3388" t="str">
        <f>"5202473304"</f>
        <v>5202473304</v>
      </c>
      <c r="G3388" t="s">
        <v>8969</v>
      </c>
      <c r="H3388" t="s">
        <v>1439</v>
      </c>
      <c r="I3388" t="s">
        <v>365</v>
      </c>
      <c r="J3388">
        <v>85718</v>
      </c>
      <c r="K3388">
        <v>1608</v>
      </c>
      <c r="L3388" t="s">
        <v>23</v>
      </c>
      <c r="M3388" t="s">
        <v>8969</v>
      </c>
      <c r="N3388" t="s">
        <v>1439</v>
      </c>
      <c r="O3388" t="s">
        <v>365</v>
      </c>
      <c r="P3388">
        <v>85718</v>
      </c>
      <c r="Q3388">
        <v>1608</v>
      </c>
      <c r="R3388" t="s">
        <v>23</v>
      </c>
      <c r="S3388" s="1" t="s">
        <v>34218</v>
      </c>
    </row>
    <row r="3389" spans="1:19" x14ac:dyDescent="0.25">
      <c r="A3389">
        <v>100547284</v>
      </c>
      <c r="B3389" t="s">
        <v>8970</v>
      </c>
      <c r="C3389" t="s">
        <v>3583</v>
      </c>
      <c r="F3389" t="str">
        <f>"3159876543"</f>
        <v>3159876543</v>
      </c>
      <c r="G3389" t="s">
        <v>8971</v>
      </c>
      <c r="H3389" t="s">
        <v>2091</v>
      </c>
      <c r="I3389" t="s">
        <v>117</v>
      </c>
      <c r="J3389">
        <v>13206</v>
      </c>
      <c r="L3389" t="s">
        <v>23</v>
      </c>
      <c r="M3389" t="s">
        <v>8971</v>
      </c>
      <c r="N3389" t="s">
        <v>2091</v>
      </c>
      <c r="O3389" t="s">
        <v>117</v>
      </c>
      <c r="P3389">
        <v>13206</v>
      </c>
      <c r="R3389" t="s">
        <v>23</v>
      </c>
      <c r="S3389" s="1" t="s">
        <v>34218</v>
      </c>
    </row>
    <row r="3390" spans="1:19" x14ac:dyDescent="0.25">
      <c r="A3390">
        <v>101473388</v>
      </c>
      <c r="B3390" t="s">
        <v>8972</v>
      </c>
      <c r="C3390" t="s">
        <v>513</v>
      </c>
      <c r="G3390" t="s">
        <v>8973</v>
      </c>
      <c r="H3390" t="s">
        <v>965</v>
      </c>
      <c r="I3390" t="s">
        <v>71</v>
      </c>
      <c r="J3390">
        <v>81432</v>
      </c>
      <c r="K3390">
        <v>9375</v>
      </c>
      <c r="L3390" t="s">
        <v>23</v>
      </c>
      <c r="M3390" t="s">
        <v>8973</v>
      </c>
      <c r="N3390" t="s">
        <v>965</v>
      </c>
      <c r="O3390" t="s">
        <v>71</v>
      </c>
      <c r="P3390">
        <v>81432</v>
      </c>
      <c r="Q3390">
        <v>9375</v>
      </c>
      <c r="R3390" t="s">
        <v>23</v>
      </c>
      <c r="S3390" s="1" t="s">
        <v>34218</v>
      </c>
    </row>
    <row r="3391" spans="1:19" x14ac:dyDescent="0.25">
      <c r="A3391">
        <v>101451740</v>
      </c>
      <c r="B3391" t="s">
        <v>8974</v>
      </c>
      <c r="C3391" t="s">
        <v>132</v>
      </c>
      <c r="G3391" t="s">
        <v>8975</v>
      </c>
      <c r="H3391" t="s">
        <v>5575</v>
      </c>
      <c r="I3391" t="s">
        <v>22</v>
      </c>
      <c r="J3391">
        <v>90640</v>
      </c>
      <c r="K3391">
        <v>2508</v>
      </c>
      <c r="L3391" t="s">
        <v>23</v>
      </c>
      <c r="M3391" t="s">
        <v>8975</v>
      </c>
      <c r="N3391" t="s">
        <v>5575</v>
      </c>
      <c r="O3391" t="s">
        <v>22</v>
      </c>
      <c r="P3391">
        <v>90640</v>
      </c>
      <c r="Q3391">
        <v>2508</v>
      </c>
      <c r="R3391" t="s">
        <v>23</v>
      </c>
      <c r="S3391" s="1" t="s">
        <v>34218</v>
      </c>
    </row>
    <row r="3392" spans="1:19" x14ac:dyDescent="0.25">
      <c r="A3392">
        <v>100939078</v>
      </c>
      <c r="B3392" t="s">
        <v>8976</v>
      </c>
      <c r="C3392" t="s">
        <v>575</v>
      </c>
      <c r="H3392" t="s">
        <v>8977</v>
      </c>
      <c r="I3392" t="s">
        <v>8978</v>
      </c>
      <c r="J3392" t="s">
        <v>8979</v>
      </c>
      <c r="L3392" t="s">
        <v>8980</v>
      </c>
      <c r="N3392" t="s">
        <v>8977</v>
      </c>
      <c r="O3392" t="s">
        <v>8978</v>
      </c>
      <c r="P3392" t="s">
        <v>8979</v>
      </c>
      <c r="R3392" t="s">
        <v>8980</v>
      </c>
      <c r="S3392" s="1" t="s">
        <v>34218</v>
      </c>
    </row>
    <row r="3393" spans="1:19" x14ac:dyDescent="0.25">
      <c r="A3393">
        <v>100525238</v>
      </c>
      <c r="B3393" t="s">
        <v>2952</v>
      </c>
      <c r="C3393" t="s">
        <v>641</v>
      </c>
      <c r="G3393" t="s">
        <v>8981</v>
      </c>
      <c r="H3393" t="s">
        <v>8982</v>
      </c>
      <c r="I3393" t="s">
        <v>52</v>
      </c>
      <c r="J3393">
        <v>32082</v>
      </c>
      <c r="K3393">
        <v>2615</v>
      </c>
      <c r="L3393" t="s">
        <v>23</v>
      </c>
      <c r="M3393" t="s">
        <v>8981</v>
      </c>
      <c r="N3393" t="s">
        <v>8982</v>
      </c>
      <c r="O3393" t="s">
        <v>52</v>
      </c>
      <c r="P3393">
        <v>32082</v>
      </c>
      <c r="Q3393">
        <v>2615</v>
      </c>
      <c r="R3393" t="s">
        <v>23</v>
      </c>
      <c r="S3393" s="1" t="s">
        <v>34218</v>
      </c>
    </row>
    <row r="3394" spans="1:19" x14ac:dyDescent="0.25">
      <c r="A3394">
        <v>100532185</v>
      </c>
      <c r="B3394" t="s">
        <v>8983</v>
      </c>
      <c r="C3394" t="s">
        <v>8984</v>
      </c>
      <c r="G3394" t="s">
        <v>8985</v>
      </c>
      <c r="H3394" t="s">
        <v>8986</v>
      </c>
      <c r="I3394" t="s">
        <v>22</v>
      </c>
      <c r="J3394">
        <v>94566</v>
      </c>
      <c r="K3394">
        <v>4569</v>
      </c>
      <c r="L3394" t="s">
        <v>23</v>
      </c>
      <c r="M3394" t="s">
        <v>8985</v>
      </c>
      <c r="N3394" t="s">
        <v>8986</v>
      </c>
      <c r="O3394" t="s">
        <v>22</v>
      </c>
      <c r="P3394">
        <v>94566</v>
      </c>
      <c r="Q3394">
        <v>4569</v>
      </c>
      <c r="R3394" t="s">
        <v>23</v>
      </c>
      <c r="S3394" s="1" t="s">
        <v>34218</v>
      </c>
    </row>
    <row r="3395" spans="1:19" x14ac:dyDescent="0.25">
      <c r="A3395">
        <v>100537697</v>
      </c>
      <c r="B3395" t="s">
        <v>8987</v>
      </c>
      <c r="C3395" t="s">
        <v>456</v>
      </c>
      <c r="G3395" t="s">
        <v>8988</v>
      </c>
      <c r="H3395" t="s">
        <v>8989</v>
      </c>
      <c r="I3395" t="s">
        <v>250</v>
      </c>
      <c r="J3395">
        <v>8857</v>
      </c>
      <c r="K3395">
        <v>2905</v>
      </c>
      <c r="L3395" t="s">
        <v>23</v>
      </c>
      <c r="M3395" t="s">
        <v>8988</v>
      </c>
      <c r="N3395" t="s">
        <v>8989</v>
      </c>
      <c r="O3395" t="s">
        <v>250</v>
      </c>
      <c r="P3395">
        <v>8857</v>
      </c>
      <c r="Q3395">
        <v>2905</v>
      </c>
      <c r="R3395" t="s">
        <v>23</v>
      </c>
      <c r="S3395" s="1" t="s">
        <v>34218</v>
      </c>
    </row>
    <row r="3396" spans="1:19" x14ac:dyDescent="0.25">
      <c r="A3396">
        <v>100817976</v>
      </c>
      <c r="B3396" t="s">
        <v>8990</v>
      </c>
      <c r="C3396" t="s">
        <v>30</v>
      </c>
      <c r="G3396" t="s">
        <v>8991</v>
      </c>
      <c r="H3396" t="s">
        <v>8992</v>
      </c>
      <c r="I3396" t="s">
        <v>22</v>
      </c>
      <c r="J3396">
        <v>92536</v>
      </c>
      <c r="L3396" t="s">
        <v>23</v>
      </c>
      <c r="M3396" t="s">
        <v>8991</v>
      </c>
      <c r="N3396" t="s">
        <v>8992</v>
      </c>
      <c r="O3396" t="s">
        <v>22</v>
      </c>
      <c r="P3396">
        <v>92536</v>
      </c>
      <c r="R3396" t="s">
        <v>23</v>
      </c>
      <c r="S3396" s="1" t="s">
        <v>34218</v>
      </c>
    </row>
    <row r="3397" spans="1:19" x14ac:dyDescent="0.25">
      <c r="A3397">
        <v>101339116</v>
      </c>
      <c r="B3397" t="s">
        <v>8993</v>
      </c>
      <c r="C3397" t="s">
        <v>1007</v>
      </c>
      <c r="G3397" t="s">
        <v>8994</v>
      </c>
      <c r="H3397" t="s">
        <v>2407</v>
      </c>
      <c r="I3397" t="s">
        <v>52</v>
      </c>
      <c r="J3397">
        <v>33756</v>
      </c>
      <c r="K3397">
        <v>3448</v>
      </c>
      <c r="L3397" t="s">
        <v>23</v>
      </c>
      <c r="M3397" t="s">
        <v>8994</v>
      </c>
      <c r="N3397" t="s">
        <v>2407</v>
      </c>
      <c r="O3397" t="s">
        <v>52</v>
      </c>
      <c r="P3397">
        <v>33756</v>
      </c>
      <c r="Q3397">
        <v>3448</v>
      </c>
      <c r="R3397" t="s">
        <v>23</v>
      </c>
      <c r="S3397" s="1" t="s">
        <v>34218</v>
      </c>
    </row>
    <row r="3398" spans="1:19" x14ac:dyDescent="0.25">
      <c r="A3398">
        <v>100541368</v>
      </c>
      <c r="B3398" t="s">
        <v>8995</v>
      </c>
      <c r="C3398" t="s">
        <v>4302</v>
      </c>
      <c r="G3398" t="s">
        <v>8996</v>
      </c>
      <c r="H3398" t="s">
        <v>8997</v>
      </c>
      <c r="I3398" t="s">
        <v>662</v>
      </c>
      <c r="J3398">
        <v>2906</v>
      </c>
      <c r="K3398">
        <v>367</v>
      </c>
      <c r="L3398" t="s">
        <v>23</v>
      </c>
      <c r="M3398" t="s">
        <v>8996</v>
      </c>
      <c r="N3398" t="s">
        <v>8997</v>
      </c>
      <c r="O3398" t="s">
        <v>662</v>
      </c>
      <c r="P3398">
        <v>2906</v>
      </c>
      <c r="Q3398">
        <v>367</v>
      </c>
      <c r="R3398" t="s">
        <v>23</v>
      </c>
      <c r="S3398" s="1" t="s">
        <v>34218</v>
      </c>
    </row>
    <row r="3399" spans="1:19" x14ac:dyDescent="0.25">
      <c r="A3399">
        <v>101205959</v>
      </c>
      <c r="B3399" t="s">
        <v>3696</v>
      </c>
      <c r="C3399" t="s">
        <v>1384</v>
      </c>
      <c r="G3399" t="s">
        <v>8998</v>
      </c>
      <c r="H3399" t="s">
        <v>8999</v>
      </c>
      <c r="I3399" t="s">
        <v>370</v>
      </c>
      <c r="J3399">
        <v>68113</v>
      </c>
      <c r="K3399">
        <v>23</v>
      </c>
      <c r="L3399" t="s">
        <v>23</v>
      </c>
      <c r="M3399" t="s">
        <v>8998</v>
      </c>
      <c r="N3399" t="s">
        <v>8999</v>
      </c>
      <c r="O3399" t="s">
        <v>370</v>
      </c>
      <c r="P3399">
        <v>68113</v>
      </c>
      <c r="Q3399">
        <v>23</v>
      </c>
      <c r="R3399" t="s">
        <v>23</v>
      </c>
      <c r="S3399" s="1" t="s">
        <v>34218</v>
      </c>
    </row>
    <row r="3400" spans="1:19" x14ac:dyDescent="0.25">
      <c r="A3400">
        <v>101300093</v>
      </c>
      <c r="B3400" t="s">
        <v>9000</v>
      </c>
      <c r="C3400" t="s">
        <v>585</v>
      </c>
      <c r="G3400" t="s">
        <v>9001</v>
      </c>
      <c r="H3400" t="s">
        <v>9002</v>
      </c>
      <c r="I3400" t="s">
        <v>117</v>
      </c>
      <c r="J3400">
        <v>10536</v>
      </c>
      <c r="K3400">
        <v>1417</v>
      </c>
      <c r="L3400" t="s">
        <v>23</v>
      </c>
      <c r="M3400" t="s">
        <v>9001</v>
      </c>
      <c r="N3400" t="s">
        <v>9002</v>
      </c>
      <c r="O3400" t="s">
        <v>117</v>
      </c>
      <c r="P3400">
        <v>10536</v>
      </c>
      <c r="Q3400">
        <v>1417</v>
      </c>
      <c r="R3400" t="s">
        <v>23</v>
      </c>
      <c r="S3400" s="1" t="s">
        <v>34218</v>
      </c>
    </row>
    <row r="3401" spans="1:19" x14ac:dyDescent="0.25">
      <c r="A3401">
        <v>101231470</v>
      </c>
      <c r="B3401" t="s">
        <v>966</v>
      </c>
      <c r="C3401" t="s">
        <v>718</v>
      </c>
      <c r="G3401" t="s">
        <v>9003</v>
      </c>
      <c r="H3401" t="s">
        <v>9004</v>
      </c>
      <c r="I3401" t="s">
        <v>38</v>
      </c>
      <c r="J3401">
        <v>77473</v>
      </c>
      <c r="L3401" t="s">
        <v>23</v>
      </c>
      <c r="M3401" t="s">
        <v>9003</v>
      </c>
      <c r="N3401" t="s">
        <v>9004</v>
      </c>
      <c r="O3401" t="s">
        <v>38</v>
      </c>
      <c r="P3401">
        <v>77473</v>
      </c>
      <c r="R3401" t="s">
        <v>23</v>
      </c>
      <c r="S3401" s="1" t="s">
        <v>34218</v>
      </c>
    </row>
    <row r="3402" spans="1:19" x14ac:dyDescent="0.25">
      <c r="A3402">
        <v>101428817</v>
      </c>
      <c r="B3402" t="s">
        <v>9005</v>
      </c>
      <c r="C3402" t="s">
        <v>1555</v>
      </c>
      <c r="G3402" t="s">
        <v>9006</v>
      </c>
      <c r="H3402" t="s">
        <v>3707</v>
      </c>
      <c r="I3402" t="s">
        <v>148</v>
      </c>
      <c r="J3402">
        <v>20895</v>
      </c>
      <c r="K3402">
        <v>2716</v>
      </c>
      <c r="L3402" t="s">
        <v>23</v>
      </c>
      <c r="M3402" t="s">
        <v>9006</v>
      </c>
      <c r="N3402" t="s">
        <v>3707</v>
      </c>
      <c r="O3402" t="s">
        <v>148</v>
      </c>
      <c r="P3402">
        <v>20895</v>
      </c>
      <c r="Q3402">
        <v>2716</v>
      </c>
      <c r="R3402" t="s">
        <v>23</v>
      </c>
      <c r="S3402" s="1" t="s">
        <v>34218</v>
      </c>
    </row>
    <row r="3403" spans="1:19" x14ac:dyDescent="0.25">
      <c r="A3403">
        <v>100886477</v>
      </c>
      <c r="B3403" t="s">
        <v>3843</v>
      </c>
      <c r="C3403" t="s">
        <v>3590</v>
      </c>
      <c r="G3403" t="s">
        <v>9007</v>
      </c>
      <c r="H3403" t="s">
        <v>9008</v>
      </c>
      <c r="I3403" t="s">
        <v>52</v>
      </c>
      <c r="J3403">
        <v>34609</v>
      </c>
      <c r="K3403">
        <v>5133</v>
      </c>
      <c r="L3403" t="s">
        <v>23</v>
      </c>
      <c r="M3403" t="s">
        <v>9007</v>
      </c>
      <c r="N3403" t="s">
        <v>9008</v>
      </c>
      <c r="O3403" t="s">
        <v>52</v>
      </c>
      <c r="P3403">
        <v>34609</v>
      </c>
      <c r="Q3403">
        <v>5133</v>
      </c>
      <c r="R3403" t="s">
        <v>23</v>
      </c>
      <c r="S3403" s="1" t="s">
        <v>34218</v>
      </c>
    </row>
    <row r="3404" spans="1:19" x14ac:dyDescent="0.25">
      <c r="A3404">
        <v>101150232</v>
      </c>
      <c r="B3404" t="s">
        <v>9009</v>
      </c>
      <c r="C3404" t="s">
        <v>2287</v>
      </c>
      <c r="G3404" t="s">
        <v>9010</v>
      </c>
      <c r="H3404" t="s">
        <v>9011</v>
      </c>
      <c r="I3404" t="s">
        <v>639</v>
      </c>
      <c r="J3404">
        <v>87532</v>
      </c>
      <c r="L3404" t="s">
        <v>23</v>
      </c>
      <c r="M3404" t="s">
        <v>9010</v>
      </c>
      <c r="N3404" t="s">
        <v>9011</v>
      </c>
      <c r="O3404" t="s">
        <v>639</v>
      </c>
      <c r="P3404">
        <v>87532</v>
      </c>
      <c r="R3404" t="s">
        <v>23</v>
      </c>
      <c r="S3404" s="1" t="s">
        <v>34218</v>
      </c>
    </row>
    <row r="3405" spans="1:19" x14ac:dyDescent="0.25">
      <c r="A3405">
        <v>100539678</v>
      </c>
      <c r="B3405" t="s">
        <v>2857</v>
      </c>
      <c r="C3405" t="s">
        <v>644</v>
      </c>
      <c r="G3405" t="s">
        <v>9012</v>
      </c>
      <c r="H3405" t="s">
        <v>9013</v>
      </c>
      <c r="I3405" t="s">
        <v>662</v>
      </c>
      <c r="J3405">
        <v>2828</v>
      </c>
      <c r="K3405">
        <v>1922</v>
      </c>
      <c r="L3405" t="s">
        <v>23</v>
      </c>
      <c r="M3405" t="s">
        <v>9012</v>
      </c>
      <c r="N3405" t="s">
        <v>9013</v>
      </c>
      <c r="O3405" t="s">
        <v>662</v>
      </c>
      <c r="P3405">
        <v>2828</v>
      </c>
      <c r="Q3405">
        <v>1922</v>
      </c>
      <c r="R3405" t="s">
        <v>23</v>
      </c>
      <c r="S3405" s="1" t="s">
        <v>34218</v>
      </c>
    </row>
    <row r="3406" spans="1:19" x14ac:dyDescent="0.25">
      <c r="A3406">
        <v>100542627</v>
      </c>
      <c r="B3406" t="s">
        <v>9014</v>
      </c>
      <c r="C3406" t="s">
        <v>1054</v>
      </c>
      <c r="G3406" t="s">
        <v>9015</v>
      </c>
      <c r="H3406" t="s">
        <v>9016</v>
      </c>
      <c r="I3406" t="s">
        <v>84</v>
      </c>
      <c r="J3406">
        <v>98027</v>
      </c>
      <c r="K3406">
        <v>6907</v>
      </c>
      <c r="L3406" t="s">
        <v>23</v>
      </c>
      <c r="M3406" t="s">
        <v>9015</v>
      </c>
      <c r="N3406" t="s">
        <v>9016</v>
      </c>
      <c r="O3406" t="s">
        <v>84</v>
      </c>
      <c r="P3406">
        <v>98027</v>
      </c>
      <c r="Q3406">
        <v>6907</v>
      </c>
      <c r="R3406" t="s">
        <v>23</v>
      </c>
      <c r="S3406" s="1" t="s">
        <v>34218</v>
      </c>
    </row>
    <row r="3407" spans="1:19" x14ac:dyDescent="0.25">
      <c r="A3407">
        <v>100543646</v>
      </c>
      <c r="B3407" t="s">
        <v>3263</v>
      </c>
      <c r="C3407" t="s">
        <v>535</v>
      </c>
      <c r="F3407" t="str">
        <f>"9494956774"</f>
        <v>9494956774</v>
      </c>
      <c r="G3407" t="s">
        <v>9017</v>
      </c>
      <c r="H3407" t="s">
        <v>9018</v>
      </c>
      <c r="I3407" t="s">
        <v>22</v>
      </c>
      <c r="J3407">
        <v>92677</v>
      </c>
      <c r="K3407">
        <v>5646</v>
      </c>
      <c r="L3407" t="s">
        <v>23</v>
      </c>
      <c r="M3407" t="s">
        <v>9017</v>
      </c>
      <c r="N3407" t="s">
        <v>9018</v>
      </c>
      <c r="O3407" t="s">
        <v>22</v>
      </c>
      <c r="P3407">
        <v>92677</v>
      </c>
      <c r="Q3407">
        <v>5646</v>
      </c>
      <c r="R3407" t="s">
        <v>23</v>
      </c>
      <c r="S3407" s="1" t="s">
        <v>34218</v>
      </c>
    </row>
    <row r="3408" spans="1:19" x14ac:dyDescent="0.25">
      <c r="A3408">
        <v>100543978</v>
      </c>
      <c r="B3408" t="s">
        <v>9019</v>
      </c>
      <c r="C3408" t="s">
        <v>9020</v>
      </c>
      <c r="G3408" t="s">
        <v>9021</v>
      </c>
      <c r="H3408" t="s">
        <v>1402</v>
      </c>
      <c r="I3408" t="s">
        <v>38</v>
      </c>
      <c r="J3408">
        <v>77099</v>
      </c>
      <c r="K3408">
        <v>1381</v>
      </c>
      <c r="L3408" t="s">
        <v>23</v>
      </c>
      <c r="M3408" t="s">
        <v>9021</v>
      </c>
      <c r="N3408" t="s">
        <v>1402</v>
      </c>
      <c r="O3408" t="s">
        <v>38</v>
      </c>
      <c r="P3408">
        <v>77099</v>
      </c>
      <c r="Q3408">
        <v>1381</v>
      </c>
      <c r="R3408" t="s">
        <v>23</v>
      </c>
      <c r="S3408" s="1" t="s">
        <v>34218</v>
      </c>
    </row>
    <row r="3409" spans="1:19" x14ac:dyDescent="0.25">
      <c r="A3409">
        <v>100541863</v>
      </c>
      <c r="B3409" t="s">
        <v>465</v>
      </c>
      <c r="C3409" t="s">
        <v>216</v>
      </c>
      <c r="G3409" t="s">
        <v>9022</v>
      </c>
      <c r="H3409" t="s">
        <v>9023</v>
      </c>
      <c r="I3409" t="s">
        <v>236</v>
      </c>
      <c r="J3409">
        <v>1057</v>
      </c>
      <c r="K3409">
        <v>9669</v>
      </c>
      <c r="L3409" t="s">
        <v>23</v>
      </c>
      <c r="M3409" t="s">
        <v>9022</v>
      </c>
      <c r="N3409" t="s">
        <v>9023</v>
      </c>
      <c r="O3409" t="s">
        <v>236</v>
      </c>
      <c r="P3409">
        <v>1057</v>
      </c>
      <c r="Q3409">
        <v>9669</v>
      </c>
      <c r="R3409" t="s">
        <v>23</v>
      </c>
      <c r="S3409" s="1" t="s">
        <v>34218</v>
      </c>
    </row>
    <row r="3410" spans="1:19" x14ac:dyDescent="0.25">
      <c r="A3410">
        <v>100544069</v>
      </c>
      <c r="B3410" t="s">
        <v>2689</v>
      </c>
      <c r="C3410" t="s">
        <v>5196</v>
      </c>
      <c r="G3410" t="s">
        <v>9024</v>
      </c>
      <c r="H3410" t="s">
        <v>9025</v>
      </c>
      <c r="I3410" t="s">
        <v>100</v>
      </c>
      <c r="J3410">
        <v>54763</v>
      </c>
      <c r="K3410">
        <v>9458</v>
      </c>
      <c r="L3410" t="s">
        <v>23</v>
      </c>
      <c r="M3410" t="s">
        <v>9024</v>
      </c>
      <c r="N3410" t="s">
        <v>9025</v>
      </c>
      <c r="O3410" t="s">
        <v>100</v>
      </c>
      <c r="P3410">
        <v>54763</v>
      </c>
      <c r="Q3410">
        <v>9458</v>
      </c>
      <c r="R3410" t="s">
        <v>23</v>
      </c>
      <c r="S3410" s="1" t="s">
        <v>34218</v>
      </c>
    </row>
    <row r="3411" spans="1:19" x14ac:dyDescent="0.25">
      <c r="A3411">
        <v>101350518</v>
      </c>
      <c r="B3411" t="s">
        <v>9026</v>
      </c>
      <c r="C3411" t="s">
        <v>2642</v>
      </c>
      <c r="I3411" t="s">
        <v>9027</v>
      </c>
      <c r="J3411" t="s">
        <v>9028</v>
      </c>
      <c r="L3411" t="s">
        <v>22</v>
      </c>
      <c r="O3411" t="s">
        <v>9027</v>
      </c>
      <c r="P3411" t="s">
        <v>9028</v>
      </c>
      <c r="R3411" t="s">
        <v>22</v>
      </c>
      <c r="S3411" s="1" t="s">
        <v>34218</v>
      </c>
    </row>
    <row r="3412" spans="1:19" x14ac:dyDescent="0.25">
      <c r="A3412">
        <v>100552138</v>
      </c>
      <c r="B3412" t="s">
        <v>9029</v>
      </c>
      <c r="C3412" t="s">
        <v>1153</v>
      </c>
      <c r="G3412" t="s">
        <v>9030</v>
      </c>
      <c r="H3412" t="s">
        <v>219</v>
      </c>
      <c r="I3412" t="s">
        <v>117</v>
      </c>
      <c r="J3412">
        <v>12590</v>
      </c>
      <c r="K3412">
        <v>6026</v>
      </c>
      <c r="L3412" t="s">
        <v>23</v>
      </c>
      <c r="M3412" t="s">
        <v>9030</v>
      </c>
      <c r="N3412" t="s">
        <v>219</v>
      </c>
      <c r="O3412" t="s">
        <v>117</v>
      </c>
      <c r="P3412">
        <v>12590</v>
      </c>
      <c r="Q3412">
        <v>6026</v>
      </c>
      <c r="R3412" t="s">
        <v>23</v>
      </c>
      <c r="S3412" s="1" t="s">
        <v>34218</v>
      </c>
    </row>
    <row r="3413" spans="1:19" x14ac:dyDescent="0.25">
      <c r="A3413">
        <v>100737369</v>
      </c>
      <c r="B3413" t="s">
        <v>9031</v>
      </c>
      <c r="C3413" t="s">
        <v>1157</v>
      </c>
      <c r="G3413" t="s">
        <v>9032</v>
      </c>
      <c r="H3413" t="s">
        <v>1337</v>
      </c>
      <c r="I3413" t="s">
        <v>71</v>
      </c>
      <c r="J3413">
        <v>81003</v>
      </c>
      <c r="K3413">
        <v>1609</v>
      </c>
      <c r="L3413" t="s">
        <v>23</v>
      </c>
      <c r="M3413" t="s">
        <v>9032</v>
      </c>
      <c r="N3413" t="s">
        <v>1337</v>
      </c>
      <c r="O3413" t="s">
        <v>71</v>
      </c>
      <c r="P3413">
        <v>81003</v>
      </c>
      <c r="Q3413">
        <v>1609</v>
      </c>
      <c r="R3413" t="s">
        <v>23</v>
      </c>
      <c r="S3413" s="1" t="s">
        <v>34218</v>
      </c>
    </row>
    <row r="3414" spans="1:19" x14ac:dyDescent="0.25">
      <c r="A3414">
        <v>100733643</v>
      </c>
      <c r="B3414" t="s">
        <v>9033</v>
      </c>
      <c r="C3414" t="s">
        <v>2763</v>
      </c>
      <c r="G3414" t="s">
        <v>9034</v>
      </c>
      <c r="H3414" t="s">
        <v>1402</v>
      </c>
      <c r="I3414" t="s">
        <v>38</v>
      </c>
      <c r="J3414">
        <v>77080</v>
      </c>
      <c r="K3414">
        <v>1209</v>
      </c>
      <c r="L3414" t="s">
        <v>23</v>
      </c>
      <c r="M3414" t="s">
        <v>9034</v>
      </c>
      <c r="N3414" t="s">
        <v>1402</v>
      </c>
      <c r="O3414" t="s">
        <v>38</v>
      </c>
      <c r="P3414">
        <v>77080</v>
      </c>
      <c r="Q3414">
        <v>1209</v>
      </c>
      <c r="R3414" t="s">
        <v>23</v>
      </c>
      <c r="S3414" s="1" t="s">
        <v>34218</v>
      </c>
    </row>
    <row r="3415" spans="1:19" x14ac:dyDescent="0.25">
      <c r="A3415">
        <v>100730520</v>
      </c>
      <c r="B3415" t="s">
        <v>2486</v>
      </c>
      <c r="C3415" t="s">
        <v>395</v>
      </c>
      <c r="G3415" t="s">
        <v>9035</v>
      </c>
      <c r="H3415" t="s">
        <v>9036</v>
      </c>
      <c r="I3415" t="s">
        <v>22</v>
      </c>
      <c r="J3415">
        <v>95019</v>
      </c>
      <c r="K3415">
        <v>2916</v>
      </c>
      <c r="L3415" t="s">
        <v>23</v>
      </c>
      <c r="M3415" t="s">
        <v>9035</v>
      </c>
      <c r="N3415" t="s">
        <v>9036</v>
      </c>
      <c r="O3415" t="s">
        <v>22</v>
      </c>
      <c r="P3415">
        <v>95019</v>
      </c>
      <c r="Q3415">
        <v>2916</v>
      </c>
      <c r="R3415" t="s">
        <v>23</v>
      </c>
      <c r="S3415" s="1" t="s">
        <v>34218</v>
      </c>
    </row>
    <row r="3416" spans="1:19" x14ac:dyDescent="0.25">
      <c r="A3416">
        <v>100740201</v>
      </c>
      <c r="B3416" t="s">
        <v>9037</v>
      </c>
      <c r="C3416" t="s">
        <v>846</v>
      </c>
      <c r="G3416" t="s">
        <v>9038</v>
      </c>
      <c r="H3416" t="s">
        <v>9039</v>
      </c>
      <c r="I3416" t="s">
        <v>178</v>
      </c>
      <c r="J3416">
        <v>45174</v>
      </c>
      <c r="K3416">
        <v>1037</v>
      </c>
      <c r="L3416" t="s">
        <v>23</v>
      </c>
      <c r="M3416" t="s">
        <v>9038</v>
      </c>
      <c r="N3416" t="s">
        <v>9039</v>
      </c>
      <c r="O3416" t="s">
        <v>178</v>
      </c>
      <c r="P3416">
        <v>45174</v>
      </c>
      <c r="Q3416">
        <v>1037</v>
      </c>
      <c r="R3416" t="s">
        <v>23</v>
      </c>
      <c r="S3416" s="1" t="s">
        <v>34218</v>
      </c>
    </row>
    <row r="3417" spans="1:19" x14ac:dyDescent="0.25">
      <c r="A3417">
        <v>100740377</v>
      </c>
      <c r="B3417" t="s">
        <v>5644</v>
      </c>
      <c r="C3417" t="s">
        <v>123</v>
      </c>
      <c r="G3417" t="s">
        <v>9040</v>
      </c>
      <c r="H3417" t="s">
        <v>21</v>
      </c>
      <c r="I3417" t="s">
        <v>22</v>
      </c>
      <c r="J3417">
        <v>95402</v>
      </c>
      <c r="K3417">
        <v>1531</v>
      </c>
      <c r="L3417" t="s">
        <v>23</v>
      </c>
      <c r="M3417" t="s">
        <v>9040</v>
      </c>
      <c r="N3417" t="s">
        <v>21</v>
      </c>
      <c r="O3417" t="s">
        <v>22</v>
      </c>
      <c r="P3417">
        <v>95402</v>
      </c>
      <c r="Q3417">
        <v>1531</v>
      </c>
      <c r="R3417" t="s">
        <v>23</v>
      </c>
      <c r="S3417" s="1" t="s">
        <v>34218</v>
      </c>
    </row>
    <row r="3418" spans="1:19" x14ac:dyDescent="0.25">
      <c r="A3418">
        <v>100739280</v>
      </c>
      <c r="B3418" t="s">
        <v>4694</v>
      </c>
      <c r="C3418" t="s">
        <v>1374</v>
      </c>
      <c r="G3418" t="s">
        <v>9041</v>
      </c>
      <c r="H3418" t="s">
        <v>5395</v>
      </c>
      <c r="I3418" t="s">
        <v>38</v>
      </c>
      <c r="J3418">
        <v>78132</v>
      </c>
      <c r="K3418">
        <v>2367</v>
      </c>
      <c r="L3418" t="s">
        <v>23</v>
      </c>
      <c r="M3418" t="s">
        <v>9041</v>
      </c>
      <c r="N3418" t="s">
        <v>5395</v>
      </c>
      <c r="O3418" t="s">
        <v>38</v>
      </c>
      <c r="P3418">
        <v>78132</v>
      </c>
      <c r="Q3418">
        <v>2367</v>
      </c>
      <c r="R3418" t="s">
        <v>23</v>
      </c>
      <c r="S3418" s="1" t="s">
        <v>34218</v>
      </c>
    </row>
    <row r="3419" spans="1:19" x14ac:dyDescent="0.25">
      <c r="A3419">
        <v>100740793</v>
      </c>
      <c r="B3419" t="s">
        <v>9042</v>
      </c>
      <c r="C3419" t="s">
        <v>2892</v>
      </c>
      <c r="G3419" t="s">
        <v>9043</v>
      </c>
      <c r="H3419" t="s">
        <v>4632</v>
      </c>
      <c r="I3419" t="s">
        <v>178</v>
      </c>
      <c r="J3419">
        <v>43203</v>
      </c>
      <c r="K3419">
        <v>1940</v>
      </c>
      <c r="L3419" t="s">
        <v>23</v>
      </c>
      <c r="M3419" t="s">
        <v>9043</v>
      </c>
      <c r="N3419" t="s">
        <v>4632</v>
      </c>
      <c r="O3419" t="s">
        <v>178</v>
      </c>
      <c r="P3419">
        <v>43203</v>
      </c>
      <c r="Q3419">
        <v>1940</v>
      </c>
      <c r="R3419" t="s">
        <v>23</v>
      </c>
      <c r="S3419" s="1" t="s">
        <v>34218</v>
      </c>
    </row>
    <row r="3420" spans="1:19" x14ac:dyDescent="0.25">
      <c r="A3420">
        <v>101060221</v>
      </c>
      <c r="B3420" t="s">
        <v>4754</v>
      </c>
      <c r="C3420" t="s">
        <v>123</v>
      </c>
      <c r="G3420" t="s">
        <v>9044</v>
      </c>
      <c r="H3420" t="s">
        <v>4235</v>
      </c>
      <c r="I3420" t="s">
        <v>984</v>
      </c>
      <c r="J3420">
        <v>96814</v>
      </c>
      <c r="K3420">
        <v>1148</v>
      </c>
      <c r="L3420" t="s">
        <v>23</v>
      </c>
      <c r="M3420" t="s">
        <v>9044</v>
      </c>
      <c r="N3420" t="s">
        <v>4235</v>
      </c>
      <c r="O3420" t="s">
        <v>984</v>
      </c>
      <c r="P3420">
        <v>96814</v>
      </c>
      <c r="Q3420">
        <v>1148</v>
      </c>
      <c r="R3420" t="s">
        <v>23</v>
      </c>
      <c r="S3420" s="1" t="s">
        <v>34218</v>
      </c>
    </row>
    <row r="3421" spans="1:19" x14ac:dyDescent="0.25">
      <c r="A3421">
        <v>101450856</v>
      </c>
      <c r="B3421" t="s">
        <v>9045</v>
      </c>
      <c r="C3421" t="s">
        <v>644</v>
      </c>
      <c r="G3421" t="s">
        <v>9046</v>
      </c>
      <c r="H3421" t="s">
        <v>650</v>
      </c>
      <c r="I3421" t="s">
        <v>22</v>
      </c>
      <c r="J3421">
        <v>95835</v>
      </c>
      <c r="K3421">
        <v>2133</v>
      </c>
      <c r="L3421" t="s">
        <v>23</v>
      </c>
      <c r="M3421" t="s">
        <v>9046</v>
      </c>
      <c r="N3421" t="s">
        <v>650</v>
      </c>
      <c r="O3421" t="s">
        <v>22</v>
      </c>
      <c r="P3421">
        <v>95835</v>
      </c>
      <c r="Q3421">
        <v>2133</v>
      </c>
      <c r="R3421" t="s">
        <v>23</v>
      </c>
      <c r="S3421" s="1" t="s">
        <v>34218</v>
      </c>
    </row>
    <row r="3422" spans="1:19" x14ac:dyDescent="0.25">
      <c r="A3422">
        <v>100859812</v>
      </c>
      <c r="B3422" t="s">
        <v>9047</v>
      </c>
      <c r="C3422" t="s">
        <v>1306</v>
      </c>
      <c r="G3422" t="s">
        <v>9048</v>
      </c>
      <c r="H3422" t="s">
        <v>4162</v>
      </c>
      <c r="I3422" t="s">
        <v>43</v>
      </c>
      <c r="J3422">
        <v>97124</v>
      </c>
      <c r="K3422">
        <v>7704</v>
      </c>
      <c r="L3422" t="s">
        <v>23</v>
      </c>
      <c r="M3422" t="s">
        <v>9048</v>
      </c>
      <c r="N3422" t="s">
        <v>4162</v>
      </c>
      <c r="O3422" t="s">
        <v>43</v>
      </c>
      <c r="P3422">
        <v>97124</v>
      </c>
      <c r="Q3422">
        <v>7704</v>
      </c>
      <c r="R3422" t="s">
        <v>23</v>
      </c>
      <c r="S3422" s="1" t="s">
        <v>34218</v>
      </c>
    </row>
    <row r="3423" spans="1:19" x14ac:dyDescent="0.25">
      <c r="A3423">
        <v>100531611</v>
      </c>
      <c r="B3423" t="s">
        <v>9049</v>
      </c>
      <c r="C3423" t="s">
        <v>9050</v>
      </c>
      <c r="G3423" t="s">
        <v>9051</v>
      </c>
      <c r="H3423" t="s">
        <v>567</v>
      </c>
      <c r="I3423" t="s">
        <v>446</v>
      </c>
      <c r="J3423">
        <v>27608</v>
      </c>
      <c r="K3423">
        <v>1013</v>
      </c>
      <c r="L3423" t="s">
        <v>23</v>
      </c>
      <c r="M3423" t="s">
        <v>9051</v>
      </c>
      <c r="N3423" t="s">
        <v>567</v>
      </c>
      <c r="O3423" t="s">
        <v>446</v>
      </c>
      <c r="P3423">
        <v>27608</v>
      </c>
      <c r="Q3423">
        <v>1013</v>
      </c>
      <c r="R3423" t="s">
        <v>23</v>
      </c>
      <c r="S3423" s="1" t="s">
        <v>34218</v>
      </c>
    </row>
    <row r="3424" spans="1:19" x14ac:dyDescent="0.25">
      <c r="A3424">
        <v>100531539</v>
      </c>
      <c r="B3424" t="s">
        <v>9052</v>
      </c>
      <c r="C3424" t="s">
        <v>123</v>
      </c>
      <c r="G3424" t="s">
        <v>9053</v>
      </c>
      <c r="H3424" t="s">
        <v>746</v>
      </c>
      <c r="I3424" t="s">
        <v>236</v>
      </c>
      <c r="J3424">
        <v>1104</v>
      </c>
      <c r="K3424">
        <v>1544</v>
      </c>
      <c r="L3424" t="s">
        <v>23</v>
      </c>
      <c r="M3424" t="s">
        <v>9053</v>
      </c>
      <c r="N3424" t="s">
        <v>746</v>
      </c>
      <c r="O3424" t="s">
        <v>236</v>
      </c>
      <c r="P3424">
        <v>1104</v>
      </c>
      <c r="Q3424">
        <v>1544</v>
      </c>
      <c r="R3424" t="s">
        <v>23</v>
      </c>
      <c r="S3424" s="1" t="s">
        <v>34218</v>
      </c>
    </row>
    <row r="3425" spans="1:19" x14ac:dyDescent="0.25">
      <c r="A3425">
        <v>100531914</v>
      </c>
      <c r="B3425" t="s">
        <v>9054</v>
      </c>
      <c r="C3425" t="s">
        <v>9055</v>
      </c>
      <c r="G3425" t="s">
        <v>9056</v>
      </c>
      <c r="H3425" t="s">
        <v>9057</v>
      </c>
      <c r="I3425" t="s">
        <v>236</v>
      </c>
      <c r="J3425">
        <v>1027</v>
      </c>
      <c r="K3425">
        <v>2610</v>
      </c>
      <c r="L3425" t="s">
        <v>23</v>
      </c>
      <c r="M3425" t="s">
        <v>9056</v>
      </c>
      <c r="N3425" t="s">
        <v>9057</v>
      </c>
      <c r="O3425" t="s">
        <v>236</v>
      </c>
      <c r="P3425">
        <v>1027</v>
      </c>
      <c r="Q3425">
        <v>2610</v>
      </c>
      <c r="R3425" t="s">
        <v>23</v>
      </c>
      <c r="S3425" s="1" t="s">
        <v>34218</v>
      </c>
    </row>
    <row r="3426" spans="1:19" x14ac:dyDescent="0.25">
      <c r="A3426">
        <v>100530949</v>
      </c>
      <c r="B3426" t="s">
        <v>9058</v>
      </c>
      <c r="C3426" t="s">
        <v>5787</v>
      </c>
      <c r="G3426" t="s">
        <v>9059</v>
      </c>
      <c r="H3426" t="s">
        <v>999</v>
      </c>
      <c r="I3426" t="s">
        <v>1000</v>
      </c>
      <c r="J3426">
        <v>59802</v>
      </c>
      <c r="K3426">
        <v>2309</v>
      </c>
      <c r="L3426" t="s">
        <v>23</v>
      </c>
      <c r="M3426" t="s">
        <v>9059</v>
      </c>
      <c r="N3426" t="s">
        <v>999</v>
      </c>
      <c r="O3426" t="s">
        <v>1000</v>
      </c>
      <c r="P3426">
        <v>59802</v>
      </c>
      <c r="Q3426">
        <v>2309</v>
      </c>
      <c r="R3426" t="s">
        <v>23</v>
      </c>
      <c r="S3426" s="1" t="s">
        <v>34218</v>
      </c>
    </row>
    <row r="3427" spans="1:19" x14ac:dyDescent="0.25">
      <c r="A3427">
        <v>100843998</v>
      </c>
      <c r="B3427" t="s">
        <v>9060</v>
      </c>
      <c r="C3427" t="s">
        <v>9061</v>
      </c>
      <c r="G3427" t="s">
        <v>9062</v>
      </c>
      <c r="H3427" t="s">
        <v>9063</v>
      </c>
      <c r="I3427" t="s">
        <v>22</v>
      </c>
      <c r="J3427">
        <v>94038</v>
      </c>
      <c r="L3427" t="s">
        <v>23</v>
      </c>
      <c r="M3427" t="s">
        <v>9062</v>
      </c>
      <c r="N3427" t="s">
        <v>9063</v>
      </c>
      <c r="O3427" t="s">
        <v>22</v>
      </c>
      <c r="P3427">
        <v>94038</v>
      </c>
      <c r="R3427" t="s">
        <v>23</v>
      </c>
      <c r="S3427" s="1" t="s">
        <v>34218</v>
      </c>
    </row>
    <row r="3428" spans="1:19" x14ac:dyDescent="0.25">
      <c r="A3428">
        <v>100536281</v>
      </c>
      <c r="B3428" t="s">
        <v>9064</v>
      </c>
      <c r="C3428" t="s">
        <v>1223</v>
      </c>
      <c r="G3428" t="s">
        <v>9065</v>
      </c>
      <c r="H3428" t="s">
        <v>9066</v>
      </c>
      <c r="I3428" t="s">
        <v>117</v>
      </c>
      <c r="J3428">
        <v>13365</v>
      </c>
      <c r="K3428">
        <v>1547</v>
      </c>
      <c r="L3428" t="s">
        <v>23</v>
      </c>
      <c r="M3428" t="s">
        <v>9065</v>
      </c>
      <c r="N3428" t="s">
        <v>9066</v>
      </c>
      <c r="O3428" t="s">
        <v>117</v>
      </c>
      <c r="P3428">
        <v>13365</v>
      </c>
      <c r="Q3428">
        <v>1547</v>
      </c>
      <c r="R3428" t="s">
        <v>23</v>
      </c>
      <c r="S3428" s="1" t="s">
        <v>34218</v>
      </c>
    </row>
    <row r="3429" spans="1:19" x14ac:dyDescent="0.25">
      <c r="A3429">
        <v>100537626</v>
      </c>
      <c r="B3429" t="s">
        <v>9067</v>
      </c>
      <c r="C3429" t="s">
        <v>90</v>
      </c>
      <c r="F3429" t="str">
        <f>"9099463013"</f>
        <v>9099463013</v>
      </c>
      <c r="G3429" t="s">
        <v>9068</v>
      </c>
      <c r="H3429" t="s">
        <v>3060</v>
      </c>
      <c r="I3429" t="s">
        <v>22</v>
      </c>
      <c r="J3429">
        <v>91786</v>
      </c>
      <c r="K3429">
        <v>5409</v>
      </c>
      <c r="L3429" t="s">
        <v>23</v>
      </c>
      <c r="M3429" t="s">
        <v>9068</v>
      </c>
      <c r="N3429" t="s">
        <v>3060</v>
      </c>
      <c r="O3429" t="s">
        <v>22</v>
      </c>
      <c r="P3429">
        <v>91786</v>
      </c>
      <c r="Q3429">
        <v>5409</v>
      </c>
      <c r="R3429" t="s">
        <v>23</v>
      </c>
      <c r="S3429" s="1" t="s">
        <v>34218</v>
      </c>
    </row>
    <row r="3430" spans="1:19" x14ac:dyDescent="0.25">
      <c r="A3430">
        <v>100540155</v>
      </c>
      <c r="B3430" t="s">
        <v>9069</v>
      </c>
      <c r="C3430" t="s">
        <v>2436</v>
      </c>
      <c r="G3430" t="s">
        <v>9070</v>
      </c>
      <c r="H3430" t="s">
        <v>2974</v>
      </c>
      <c r="I3430" t="s">
        <v>135</v>
      </c>
      <c r="J3430">
        <v>60187</v>
      </c>
      <c r="K3430">
        <v>4433</v>
      </c>
      <c r="L3430" t="s">
        <v>23</v>
      </c>
      <c r="M3430" t="s">
        <v>9070</v>
      </c>
      <c r="N3430" t="s">
        <v>2974</v>
      </c>
      <c r="O3430" t="s">
        <v>135</v>
      </c>
      <c r="P3430">
        <v>60187</v>
      </c>
      <c r="Q3430">
        <v>4433</v>
      </c>
      <c r="R3430" t="s">
        <v>23</v>
      </c>
      <c r="S3430" s="1" t="s">
        <v>34218</v>
      </c>
    </row>
    <row r="3431" spans="1:19" x14ac:dyDescent="0.25">
      <c r="A3431">
        <v>101453194</v>
      </c>
      <c r="B3431" t="s">
        <v>5137</v>
      </c>
      <c r="C3431" t="s">
        <v>2916</v>
      </c>
      <c r="G3431" t="s">
        <v>9071</v>
      </c>
      <c r="H3431" t="s">
        <v>2279</v>
      </c>
      <c r="I3431" t="s">
        <v>52</v>
      </c>
      <c r="J3431">
        <v>33647</v>
      </c>
      <c r="K3431">
        <v>5027</v>
      </c>
      <c r="L3431" t="s">
        <v>23</v>
      </c>
      <c r="M3431" t="s">
        <v>9071</v>
      </c>
      <c r="N3431" t="s">
        <v>2279</v>
      </c>
      <c r="O3431" t="s">
        <v>52</v>
      </c>
      <c r="P3431">
        <v>33647</v>
      </c>
      <c r="Q3431">
        <v>5027</v>
      </c>
      <c r="R3431" t="s">
        <v>23</v>
      </c>
      <c r="S3431" s="1" t="s">
        <v>34218</v>
      </c>
    </row>
    <row r="3432" spans="1:19" x14ac:dyDescent="0.25">
      <c r="A3432">
        <v>101431282</v>
      </c>
      <c r="B3432" t="s">
        <v>9072</v>
      </c>
      <c r="C3432" t="s">
        <v>8247</v>
      </c>
      <c r="G3432" t="s">
        <v>9073</v>
      </c>
      <c r="H3432" t="s">
        <v>311</v>
      </c>
      <c r="I3432" t="s">
        <v>22</v>
      </c>
      <c r="J3432">
        <v>90814</v>
      </c>
      <c r="K3432">
        <v>2819</v>
      </c>
      <c r="L3432" t="s">
        <v>23</v>
      </c>
      <c r="M3432" t="s">
        <v>9073</v>
      </c>
      <c r="N3432" t="s">
        <v>311</v>
      </c>
      <c r="O3432" t="s">
        <v>22</v>
      </c>
      <c r="P3432">
        <v>90814</v>
      </c>
      <c r="Q3432">
        <v>2819</v>
      </c>
      <c r="R3432" t="s">
        <v>23</v>
      </c>
      <c r="S3432" s="1" t="s">
        <v>34218</v>
      </c>
    </row>
    <row r="3433" spans="1:19" x14ac:dyDescent="0.25">
      <c r="A3433">
        <v>101310246</v>
      </c>
      <c r="B3433" t="s">
        <v>9074</v>
      </c>
      <c r="C3433" t="s">
        <v>3643</v>
      </c>
      <c r="H3433" t="s">
        <v>1647</v>
      </c>
      <c r="I3433" t="s">
        <v>9075</v>
      </c>
      <c r="J3433" t="s">
        <v>9076</v>
      </c>
      <c r="L3433" t="s">
        <v>22</v>
      </c>
      <c r="N3433" t="s">
        <v>1647</v>
      </c>
      <c r="O3433" t="s">
        <v>9075</v>
      </c>
      <c r="P3433" t="s">
        <v>9076</v>
      </c>
      <c r="R3433" t="s">
        <v>22</v>
      </c>
      <c r="S3433" s="1" t="s">
        <v>34218</v>
      </c>
    </row>
    <row r="3434" spans="1:19" x14ac:dyDescent="0.25">
      <c r="A3434">
        <v>101423601</v>
      </c>
      <c r="B3434" t="s">
        <v>9077</v>
      </c>
      <c r="C3434" t="s">
        <v>367</v>
      </c>
      <c r="G3434" t="s">
        <v>9078</v>
      </c>
      <c r="H3434" t="s">
        <v>5038</v>
      </c>
      <c r="I3434" t="s">
        <v>38</v>
      </c>
      <c r="J3434">
        <v>77378</v>
      </c>
      <c r="K3434">
        <v>8827</v>
      </c>
      <c r="L3434" t="s">
        <v>23</v>
      </c>
      <c r="M3434" t="s">
        <v>9078</v>
      </c>
      <c r="N3434" t="s">
        <v>5038</v>
      </c>
      <c r="O3434" t="s">
        <v>38</v>
      </c>
      <c r="P3434">
        <v>77378</v>
      </c>
      <c r="Q3434">
        <v>8827</v>
      </c>
      <c r="R3434" t="s">
        <v>23</v>
      </c>
      <c r="S3434" s="1" t="s">
        <v>34218</v>
      </c>
    </row>
    <row r="3435" spans="1:19" x14ac:dyDescent="0.25">
      <c r="A3435">
        <v>100540144</v>
      </c>
      <c r="B3435" t="s">
        <v>9079</v>
      </c>
      <c r="C3435" t="s">
        <v>2127</v>
      </c>
      <c r="G3435" t="s">
        <v>9080</v>
      </c>
      <c r="H3435" t="s">
        <v>3815</v>
      </c>
      <c r="I3435" t="s">
        <v>22</v>
      </c>
      <c r="J3435">
        <v>94960</v>
      </c>
      <c r="K3435">
        <v>2503</v>
      </c>
      <c r="L3435" t="s">
        <v>23</v>
      </c>
      <c r="M3435" t="s">
        <v>9080</v>
      </c>
      <c r="N3435" t="s">
        <v>3815</v>
      </c>
      <c r="O3435" t="s">
        <v>22</v>
      </c>
      <c r="P3435">
        <v>94960</v>
      </c>
      <c r="Q3435">
        <v>2503</v>
      </c>
      <c r="R3435" t="s">
        <v>23</v>
      </c>
      <c r="S3435" s="1" t="s">
        <v>34218</v>
      </c>
    </row>
    <row r="3436" spans="1:19" x14ac:dyDescent="0.25">
      <c r="A3436">
        <v>101141360</v>
      </c>
      <c r="B3436" t="s">
        <v>1726</v>
      </c>
      <c r="C3436" t="s">
        <v>641</v>
      </c>
      <c r="G3436" t="s">
        <v>9081</v>
      </c>
      <c r="H3436" t="s">
        <v>9082</v>
      </c>
      <c r="I3436" t="s">
        <v>639</v>
      </c>
      <c r="J3436">
        <v>87557</v>
      </c>
      <c r="K3436">
        <v>8779</v>
      </c>
      <c r="L3436" t="s">
        <v>23</v>
      </c>
      <c r="M3436" t="s">
        <v>9081</v>
      </c>
      <c r="N3436" t="s">
        <v>9082</v>
      </c>
      <c r="O3436" t="s">
        <v>639</v>
      </c>
      <c r="P3436">
        <v>87557</v>
      </c>
      <c r="Q3436">
        <v>8779</v>
      </c>
      <c r="R3436" t="s">
        <v>23</v>
      </c>
      <c r="S3436" s="1" t="s">
        <v>34218</v>
      </c>
    </row>
    <row r="3437" spans="1:19" x14ac:dyDescent="0.25">
      <c r="A3437">
        <v>100803001</v>
      </c>
      <c r="B3437" t="s">
        <v>141</v>
      </c>
      <c r="C3437" t="s">
        <v>585</v>
      </c>
      <c r="G3437" t="s">
        <v>9083</v>
      </c>
      <c r="H3437" t="s">
        <v>9084</v>
      </c>
      <c r="I3437" t="s">
        <v>178</v>
      </c>
      <c r="J3437">
        <v>44145</v>
      </c>
      <c r="K3437">
        <v>2233</v>
      </c>
      <c r="L3437" t="s">
        <v>23</v>
      </c>
      <c r="M3437" t="s">
        <v>9083</v>
      </c>
      <c r="N3437" t="s">
        <v>9084</v>
      </c>
      <c r="O3437" t="s">
        <v>178</v>
      </c>
      <c r="P3437">
        <v>44145</v>
      </c>
      <c r="Q3437">
        <v>2233</v>
      </c>
      <c r="R3437" t="s">
        <v>23</v>
      </c>
      <c r="S3437" s="1" t="s">
        <v>34218</v>
      </c>
    </row>
    <row r="3438" spans="1:19" x14ac:dyDescent="0.25">
      <c r="A3438">
        <v>101294279</v>
      </c>
      <c r="B3438" t="s">
        <v>9085</v>
      </c>
      <c r="C3438" t="s">
        <v>432</v>
      </c>
      <c r="G3438" t="s">
        <v>9086</v>
      </c>
      <c r="H3438" t="s">
        <v>2684</v>
      </c>
      <c r="I3438" t="s">
        <v>22</v>
      </c>
      <c r="J3438">
        <v>94903</v>
      </c>
      <c r="K3438">
        <v>2446</v>
      </c>
      <c r="L3438" t="s">
        <v>23</v>
      </c>
      <c r="M3438" t="s">
        <v>9086</v>
      </c>
      <c r="N3438" t="s">
        <v>2684</v>
      </c>
      <c r="O3438" t="s">
        <v>22</v>
      </c>
      <c r="P3438">
        <v>94903</v>
      </c>
      <c r="Q3438">
        <v>2446</v>
      </c>
      <c r="R3438" t="s">
        <v>23</v>
      </c>
      <c r="S3438" s="1" t="s">
        <v>34218</v>
      </c>
    </row>
    <row r="3439" spans="1:19" x14ac:dyDescent="0.25">
      <c r="A3439">
        <v>101112891</v>
      </c>
      <c r="B3439" t="s">
        <v>9087</v>
      </c>
      <c r="C3439" t="s">
        <v>90</v>
      </c>
      <c r="H3439" t="s">
        <v>4186</v>
      </c>
      <c r="J3439">
        <v>98052</v>
      </c>
      <c r="L3439" t="s">
        <v>22</v>
      </c>
      <c r="N3439" t="s">
        <v>4186</v>
      </c>
      <c r="P3439">
        <v>98052</v>
      </c>
      <c r="R3439" t="s">
        <v>22</v>
      </c>
      <c r="S3439" s="1" t="s">
        <v>34218</v>
      </c>
    </row>
    <row r="3440" spans="1:19" x14ac:dyDescent="0.25">
      <c r="A3440">
        <v>101142556</v>
      </c>
      <c r="B3440" t="s">
        <v>1297</v>
      </c>
      <c r="C3440" t="s">
        <v>9088</v>
      </c>
      <c r="G3440" t="s">
        <v>9089</v>
      </c>
      <c r="H3440" t="s">
        <v>3385</v>
      </c>
      <c r="I3440" t="s">
        <v>236</v>
      </c>
      <c r="J3440">
        <v>2139</v>
      </c>
      <c r="K3440">
        <v>3062</v>
      </c>
      <c r="L3440" t="s">
        <v>23</v>
      </c>
      <c r="M3440" t="s">
        <v>9089</v>
      </c>
      <c r="N3440" t="s">
        <v>3385</v>
      </c>
      <c r="O3440" t="s">
        <v>236</v>
      </c>
      <c r="P3440">
        <v>2139</v>
      </c>
      <c r="Q3440">
        <v>3062</v>
      </c>
      <c r="R3440" t="s">
        <v>23</v>
      </c>
      <c r="S3440" s="1" t="s">
        <v>34218</v>
      </c>
    </row>
    <row r="3441" spans="1:19" x14ac:dyDescent="0.25">
      <c r="A3441">
        <v>101470015</v>
      </c>
      <c r="B3441" t="s">
        <v>9090</v>
      </c>
      <c r="C3441" t="s">
        <v>1422</v>
      </c>
      <c r="H3441" t="s">
        <v>412</v>
      </c>
      <c r="I3441" t="s">
        <v>117</v>
      </c>
      <c r="J3441">
        <v>11215</v>
      </c>
      <c r="L3441" t="s">
        <v>23</v>
      </c>
      <c r="N3441" t="s">
        <v>412</v>
      </c>
      <c r="O3441" t="s">
        <v>117</v>
      </c>
      <c r="P3441">
        <v>11215</v>
      </c>
      <c r="R3441" t="s">
        <v>23</v>
      </c>
      <c r="S3441" s="1" t="s">
        <v>34218</v>
      </c>
    </row>
    <row r="3442" spans="1:19" x14ac:dyDescent="0.25">
      <c r="A3442">
        <v>101301113</v>
      </c>
      <c r="B3442" t="s">
        <v>9091</v>
      </c>
      <c r="C3442" t="s">
        <v>9092</v>
      </c>
      <c r="H3442" t="s">
        <v>21</v>
      </c>
      <c r="J3442">
        <v>95402</v>
      </c>
      <c r="L3442" t="s">
        <v>22</v>
      </c>
      <c r="N3442" t="s">
        <v>21</v>
      </c>
      <c r="P3442">
        <v>95402</v>
      </c>
      <c r="R3442" t="s">
        <v>22</v>
      </c>
      <c r="S3442" s="1" t="s">
        <v>34218</v>
      </c>
    </row>
    <row r="3443" spans="1:19" x14ac:dyDescent="0.25">
      <c r="A3443">
        <v>100538922</v>
      </c>
      <c r="B3443" t="s">
        <v>9093</v>
      </c>
      <c r="C3443" t="s">
        <v>582</v>
      </c>
      <c r="G3443" t="s">
        <v>9094</v>
      </c>
      <c r="H3443" t="s">
        <v>1254</v>
      </c>
      <c r="I3443" t="s">
        <v>52</v>
      </c>
      <c r="J3443">
        <v>33467</v>
      </c>
      <c r="K3443">
        <v>6981</v>
      </c>
      <c r="L3443" t="s">
        <v>23</v>
      </c>
      <c r="M3443" t="s">
        <v>9094</v>
      </c>
      <c r="N3443" t="s">
        <v>1254</v>
      </c>
      <c r="O3443" t="s">
        <v>52</v>
      </c>
      <c r="P3443">
        <v>33467</v>
      </c>
      <c r="Q3443">
        <v>6981</v>
      </c>
      <c r="R3443" t="s">
        <v>23</v>
      </c>
      <c r="S3443" s="1" t="s">
        <v>34218</v>
      </c>
    </row>
    <row r="3444" spans="1:19" x14ac:dyDescent="0.25">
      <c r="A3444">
        <v>100543984</v>
      </c>
      <c r="B3444" t="s">
        <v>465</v>
      </c>
      <c r="C3444" t="s">
        <v>217</v>
      </c>
      <c r="G3444" t="s">
        <v>9095</v>
      </c>
      <c r="H3444" t="s">
        <v>1126</v>
      </c>
      <c r="I3444" t="s">
        <v>33</v>
      </c>
      <c r="J3444">
        <v>16441</v>
      </c>
      <c r="K3444">
        <v>2017</v>
      </c>
      <c r="L3444" t="s">
        <v>23</v>
      </c>
      <c r="M3444" t="s">
        <v>9095</v>
      </c>
      <c r="N3444" t="s">
        <v>1126</v>
      </c>
      <c r="O3444" t="s">
        <v>33</v>
      </c>
      <c r="P3444">
        <v>16441</v>
      </c>
      <c r="Q3444">
        <v>2017</v>
      </c>
      <c r="R3444" t="s">
        <v>23</v>
      </c>
      <c r="S3444" s="1" t="s">
        <v>34218</v>
      </c>
    </row>
    <row r="3445" spans="1:19" x14ac:dyDescent="0.25">
      <c r="A3445">
        <v>100541000</v>
      </c>
      <c r="B3445" t="s">
        <v>3123</v>
      </c>
      <c r="C3445" t="s">
        <v>9096</v>
      </c>
      <c r="F3445" t="str">
        <f>"8179880822"</f>
        <v>8179880822</v>
      </c>
      <c r="G3445" t="s">
        <v>9097</v>
      </c>
      <c r="H3445" t="s">
        <v>2446</v>
      </c>
      <c r="I3445" t="s">
        <v>38</v>
      </c>
      <c r="J3445">
        <v>76248</v>
      </c>
      <c r="K3445">
        <v>3906</v>
      </c>
      <c r="L3445" t="s">
        <v>23</v>
      </c>
      <c r="M3445" t="s">
        <v>9097</v>
      </c>
      <c r="N3445" t="s">
        <v>2446</v>
      </c>
      <c r="O3445" t="s">
        <v>38</v>
      </c>
      <c r="P3445">
        <v>76248</v>
      </c>
      <c r="Q3445">
        <v>3906</v>
      </c>
      <c r="R3445" t="s">
        <v>23</v>
      </c>
      <c r="S3445" s="1" t="s">
        <v>34218</v>
      </c>
    </row>
    <row r="3446" spans="1:19" x14ac:dyDescent="0.25">
      <c r="A3446">
        <v>100547160</v>
      </c>
      <c r="B3446" t="s">
        <v>9098</v>
      </c>
      <c r="C3446" t="s">
        <v>4299</v>
      </c>
      <c r="G3446" t="s">
        <v>9099</v>
      </c>
      <c r="H3446" t="s">
        <v>393</v>
      </c>
      <c r="I3446" t="s">
        <v>71</v>
      </c>
      <c r="J3446">
        <v>80212</v>
      </c>
      <c r="K3446">
        <v>2035</v>
      </c>
      <c r="L3446" t="s">
        <v>23</v>
      </c>
      <c r="M3446" t="s">
        <v>9099</v>
      </c>
      <c r="N3446" t="s">
        <v>393</v>
      </c>
      <c r="O3446" t="s">
        <v>71</v>
      </c>
      <c r="P3446">
        <v>80212</v>
      </c>
      <c r="Q3446">
        <v>2035</v>
      </c>
      <c r="R3446" t="s">
        <v>23</v>
      </c>
      <c r="S3446" s="1" t="s">
        <v>34218</v>
      </c>
    </row>
    <row r="3447" spans="1:19" x14ac:dyDescent="0.25">
      <c r="A3447">
        <v>100735013</v>
      </c>
      <c r="B3447" t="s">
        <v>1449</v>
      </c>
      <c r="C3447" t="s">
        <v>266</v>
      </c>
      <c r="G3447" t="s">
        <v>9100</v>
      </c>
      <c r="H3447" t="s">
        <v>591</v>
      </c>
      <c r="I3447" t="s">
        <v>84</v>
      </c>
      <c r="J3447">
        <v>98226</v>
      </c>
      <c r="K3447">
        <v>9724</v>
      </c>
      <c r="L3447" t="s">
        <v>23</v>
      </c>
      <c r="M3447" t="s">
        <v>9100</v>
      </c>
      <c r="N3447" t="s">
        <v>591</v>
      </c>
      <c r="O3447" t="s">
        <v>84</v>
      </c>
      <c r="P3447">
        <v>98226</v>
      </c>
      <c r="Q3447">
        <v>9724</v>
      </c>
      <c r="R3447" t="s">
        <v>23</v>
      </c>
      <c r="S3447" s="1" t="s">
        <v>34218</v>
      </c>
    </row>
    <row r="3448" spans="1:19" x14ac:dyDescent="0.25">
      <c r="A3448">
        <v>100732549</v>
      </c>
      <c r="B3448" t="s">
        <v>6402</v>
      </c>
      <c r="C3448" t="s">
        <v>406</v>
      </c>
      <c r="G3448" t="s">
        <v>9101</v>
      </c>
      <c r="H3448" t="s">
        <v>9102</v>
      </c>
      <c r="I3448" t="s">
        <v>446</v>
      </c>
      <c r="J3448">
        <v>28023</v>
      </c>
      <c r="K3448">
        <v>6727</v>
      </c>
      <c r="L3448" t="s">
        <v>23</v>
      </c>
      <c r="M3448" t="s">
        <v>9101</v>
      </c>
      <c r="N3448" t="s">
        <v>9102</v>
      </c>
      <c r="O3448" t="s">
        <v>446</v>
      </c>
      <c r="P3448">
        <v>28023</v>
      </c>
      <c r="Q3448">
        <v>6727</v>
      </c>
      <c r="R3448" t="s">
        <v>23</v>
      </c>
      <c r="S3448" s="1" t="s">
        <v>34218</v>
      </c>
    </row>
    <row r="3449" spans="1:19" x14ac:dyDescent="0.25">
      <c r="A3449">
        <v>100732624</v>
      </c>
      <c r="B3449" t="s">
        <v>9103</v>
      </c>
      <c r="C3449" t="s">
        <v>2515</v>
      </c>
      <c r="G3449" t="s">
        <v>9104</v>
      </c>
      <c r="H3449" t="s">
        <v>7658</v>
      </c>
      <c r="I3449" t="s">
        <v>662</v>
      </c>
      <c r="J3449">
        <v>2916</v>
      </c>
      <c r="K3449">
        <v>2813</v>
      </c>
      <c r="L3449" t="s">
        <v>23</v>
      </c>
      <c r="M3449" t="s">
        <v>9104</v>
      </c>
      <c r="N3449" t="s">
        <v>7658</v>
      </c>
      <c r="O3449" t="s">
        <v>662</v>
      </c>
      <c r="P3449">
        <v>2916</v>
      </c>
      <c r="Q3449">
        <v>2813</v>
      </c>
      <c r="R3449" t="s">
        <v>23</v>
      </c>
      <c r="S3449" s="1" t="s">
        <v>34218</v>
      </c>
    </row>
    <row r="3450" spans="1:19" x14ac:dyDescent="0.25">
      <c r="A3450">
        <v>101480845</v>
      </c>
      <c r="B3450" t="s">
        <v>9105</v>
      </c>
      <c r="C3450" t="s">
        <v>9106</v>
      </c>
      <c r="G3450" t="s">
        <v>9107</v>
      </c>
      <c r="H3450" t="s">
        <v>6658</v>
      </c>
      <c r="I3450" t="s">
        <v>84</v>
      </c>
      <c r="J3450">
        <v>98338</v>
      </c>
      <c r="K3450">
        <v>6606</v>
      </c>
      <c r="L3450" t="s">
        <v>23</v>
      </c>
      <c r="M3450" t="s">
        <v>9107</v>
      </c>
      <c r="N3450" t="s">
        <v>6658</v>
      </c>
      <c r="O3450" t="s">
        <v>84</v>
      </c>
      <c r="P3450">
        <v>98338</v>
      </c>
      <c r="Q3450">
        <v>6606</v>
      </c>
      <c r="R3450" t="s">
        <v>23</v>
      </c>
      <c r="S3450" s="1" t="s">
        <v>34218</v>
      </c>
    </row>
    <row r="3451" spans="1:19" x14ac:dyDescent="0.25">
      <c r="A3451">
        <v>101473195</v>
      </c>
      <c r="B3451" t="s">
        <v>9108</v>
      </c>
      <c r="C3451" t="s">
        <v>890</v>
      </c>
      <c r="G3451" t="s">
        <v>9109</v>
      </c>
      <c r="H3451" t="s">
        <v>569</v>
      </c>
      <c r="I3451" t="s">
        <v>187</v>
      </c>
      <c r="J3451">
        <v>55409</v>
      </c>
      <c r="K3451">
        <v>1435</v>
      </c>
      <c r="L3451" t="s">
        <v>23</v>
      </c>
      <c r="M3451" t="s">
        <v>9109</v>
      </c>
      <c r="N3451" t="s">
        <v>569</v>
      </c>
      <c r="O3451" t="s">
        <v>187</v>
      </c>
      <c r="P3451">
        <v>55409</v>
      </c>
      <c r="Q3451">
        <v>1435</v>
      </c>
      <c r="R3451" t="s">
        <v>23</v>
      </c>
      <c r="S3451" s="1" t="s">
        <v>34218</v>
      </c>
    </row>
    <row r="3452" spans="1:19" x14ac:dyDescent="0.25">
      <c r="A3452">
        <v>101473757</v>
      </c>
      <c r="B3452" t="s">
        <v>9110</v>
      </c>
      <c r="C3452" t="s">
        <v>1153</v>
      </c>
      <c r="G3452" t="s">
        <v>9111</v>
      </c>
      <c r="H3452" t="s">
        <v>4420</v>
      </c>
      <c r="I3452" t="s">
        <v>52</v>
      </c>
      <c r="J3452">
        <v>34788</v>
      </c>
      <c r="K3452">
        <v>2775</v>
      </c>
      <c r="L3452" t="s">
        <v>23</v>
      </c>
      <c r="M3452" t="s">
        <v>9111</v>
      </c>
      <c r="N3452" t="s">
        <v>4420</v>
      </c>
      <c r="O3452" t="s">
        <v>52</v>
      </c>
      <c r="P3452">
        <v>34788</v>
      </c>
      <c r="Q3452">
        <v>2775</v>
      </c>
      <c r="R3452" t="s">
        <v>23</v>
      </c>
      <c r="S3452" s="1" t="s">
        <v>34218</v>
      </c>
    </row>
    <row r="3453" spans="1:19" x14ac:dyDescent="0.25">
      <c r="A3453">
        <v>101473177</v>
      </c>
      <c r="B3453" t="s">
        <v>9112</v>
      </c>
      <c r="C3453" t="s">
        <v>9113</v>
      </c>
      <c r="G3453" t="s">
        <v>9114</v>
      </c>
      <c r="H3453" t="s">
        <v>423</v>
      </c>
      <c r="I3453" t="s">
        <v>71</v>
      </c>
      <c r="J3453">
        <v>80302</v>
      </c>
      <c r="K3453">
        <v>6720</v>
      </c>
      <c r="L3453" t="s">
        <v>23</v>
      </c>
      <c r="M3453" t="s">
        <v>9114</v>
      </c>
      <c r="N3453" t="s">
        <v>423</v>
      </c>
      <c r="O3453" t="s">
        <v>71</v>
      </c>
      <c r="P3453">
        <v>80302</v>
      </c>
      <c r="Q3453">
        <v>6720</v>
      </c>
      <c r="R3453" t="s">
        <v>23</v>
      </c>
      <c r="S3453" s="1" t="s">
        <v>34218</v>
      </c>
    </row>
    <row r="3454" spans="1:19" x14ac:dyDescent="0.25">
      <c r="A3454">
        <v>101480854</v>
      </c>
      <c r="B3454" t="s">
        <v>9115</v>
      </c>
      <c r="C3454" t="s">
        <v>9116</v>
      </c>
      <c r="G3454" t="s">
        <v>9117</v>
      </c>
      <c r="H3454" t="s">
        <v>6629</v>
      </c>
      <c r="I3454" t="s">
        <v>38</v>
      </c>
      <c r="J3454">
        <v>77391</v>
      </c>
      <c r="K3454">
        <v>1272</v>
      </c>
      <c r="L3454" t="s">
        <v>23</v>
      </c>
      <c r="M3454" t="s">
        <v>9117</v>
      </c>
      <c r="N3454" t="s">
        <v>6629</v>
      </c>
      <c r="O3454" t="s">
        <v>38</v>
      </c>
      <c r="P3454">
        <v>77391</v>
      </c>
      <c r="Q3454">
        <v>1272</v>
      </c>
      <c r="R3454" t="s">
        <v>23</v>
      </c>
      <c r="S3454" s="1" t="s">
        <v>34218</v>
      </c>
    </row>
    <row r="3455" spans="1:19" x14ac:dyDescent="0.25">
      <c r="A3455">
        <v>101480856</v>
      </c>
      <c r="B3455" t="s">
        <v>9118</v>
      </c>
      <c r="C3455" t="s">
        <v>399</v>
      </c>
      <c r="G3455" t="s">
        <v>9119</v>
      </c>
      <c r="H3455" t="s">
        <v>2562</v>
      </c>
      <c r="I3455" t="s">
        <v>52</v>
      </c>
      <c r="J3455">
        <v>32159</v>
      </c>
      <c r="K3455">
        <v>2391</v>
      </c>
      <c r="L3455" t="s">
        <v>23</v>
      </c>
      <c r="M3455" t="s">
        <v>9119</v>
      </c>
      <c r="N3455" t="s">
        <v>2562</v>
      </c>
      <c r="O3455" t="s">
        <v>52</v>
      </c>
      <c r="P3455">
        <v>32159</v>
      </c>
      <c r="Q3455">
        <v>2391</v>
      </c>
      <c r="R3455" t="s">
        <v>23</v>
      </c>
      <c r="S3455" s="1" t="s">
        <v>34218</v>
      </c>
    </row>
    <row r="3456" spans="1:19" x14ac:dyDescent="0.25">
      <c r="A3456">
        <v>101480857</v>
      </c>
      <c r="B3456" t="s">
        <v>9120</v>
      </c>
      <c r="C3456" t="s">
        <v>1241</v>
      </c>
      <c r="G3456" t="s">
        <v>9121</v>
      </c>
      <c r="H3456" t="s">
        <v>9122</v>
      </c>
      <c r="I3456" t="s">
        <v>702</v>
      </c>
      <c r="J3456">
        <v>89701</v>
      </c>
      <c r="K3456">
        <v>4896</v>
      </c>
      <c r="L3456" t="s">
        <v>23</v>
      </c>
      <c r="M3456" t="s">
        <v>9121</v>
      </c>
      <c r="N3456" t="s">
        <v>9122</v>
      </c>
      <c r="O3456" t="s">
        <v>702</v>
      </c>
      <c r="P3456">
        <v>89701</v>
      </c>
      <c r="Q3456">
        <v>4896</v>
      </c>
      <c r="R3456" t="s">
        <v>23</v>
      </c>
      <c r="S3456" s="1" t="s">
        <v>34218</v>
      </c>
    </row>
    <row r="3457" spans="1:19" x14ac:dyDescent="0.25">
      <c r="A3457">
        <v>101399979</v>
      </c>
      <c r="B3457" t="s">
        <v>786</v>
      </c>
      <c r="C3457" t="s">
        <v>4302</v>
      </c>
      <c r="G3457" t="s">
        <v>9123</v>
      </c>
      <c r="H3457" t="s">
        <v>380</v>
      </c>
      <c r="I3457" t="s">
        <v>38</v>
      </c>
      <c r="J3457">
        <v>75208</v>
      </c>
      <c r="K3457">
        <v>4931</v>
      </c>
      <c r="L3457" t="s">
        <v>23</v>
      </c>
      <c r="M3457" t="s">
        <v>9123</v>
      </c>
      <c r="N3457" t="s">
        <v>380</v>
      </c>
      <c r="O3457" t="s">
        <v>38</v>
      </c>
      <c r="P3457">
        <v>75208</v>
      </c>
      <c r="Q3457">
        <v>4931</v>
      </c>
      <c r="R3457" t="s">
        <v>23</v>
      </c>
      <c r="S3457" s="1" t="s">
        <v>34218</v>
      </c>
    </row>
    <row r="3458" spans="1:19" x14ac:dyDescent="0.25">
      <c r="A3458">
        <v>100932123</v>
      </c>
      <c r="B3458" t="s">
        <v>9124</v>
      </c>
      <c r="C3458" t="s">
        <v>865</v>
      </c>
      <c r="G3458" t="s">
        <v>9125</v>
      </c>
      <c r="H3458" t="s">
        <v>7162</v>
      </c>
      <c r="I3458" t="s">
        <v>38</v>
      </c>
      <c r="J3458">
        <v>77450</v>
      </c>
      <c r="K3458">
        <v>6638</v>
      </c>
      <c r="L3458" t="s">
        <v>23</v>
      </c>
      <c r="M3458" t="s">
        <v>9125</v>
      </c>
      <c r="N3458" t="s">
        <v>7162</v>
      </c>
      <c r="O3458" t="s">
        <v>38</v>
      </c>
      <c r="P3458">
        <v>77450</v>
      </c>
      <c r="Q3458">
        <v>6638</v>
      </c>
      <c r="R3458" t="s">
        <v>23</v>
      </c>
      <c r="S3458" s="1" t="s">
        <v>34218</v>
      </c>
    </row>
    <row r="3459" spans="1:19" x14ac:dyDescent="0.25">
      <c r="A3459">
        <v>100997403</v>
      </c>
      <c r="B3459" t="s">
        <v>9126</v>
      </c>
      <c r="C3459" t="s">
        <v>6891</v>
      </c>
      <c r="G3459" t="s">
        <v>9127</v>
      </c>
      <c r="H3459" t="s">
        <v>2285</v>
      </c>
      <c r="I3459" t="s">
        <v>22</v>
      </c>
      <c r="J3459">
        <v>92037</v>
      </c>
      <c r="K3459">
        <v>7622</v>
      </c>
      <c r="L3459" t="s">
        <v>23</v>
      </c>
      <c r="M3459" t="s">
        <v>9127</v>
      </c>
      <c r="N3459" t="s">
        <v>2285</v>
      </c>
      <c r="O3459" t="s">
        <v>22</v>
      </c>
      <c r="P3459">
        <v>92037</v>
      </c>
      <c r="Q3459">
        <v>7622</v>
      </c>
      <c r="R3459" t="s">
        <v>23</v>
      </c>
      <c r="S3459" s="1" t="s">
        <v>34218</v>
      </c>
    </row>
    <row r="3460" spans="1:19" x14ac:dyDescent="0.25">
      <c r="A3460">
        <v>101464841</v>
      </c>
      <c r="B3460" t="s">
        <v>9128</v>
      </c>
      <c r="C3460" t="s">
        <v>1533</v>
      </c>
      <c r="G3460" t="s">
        <v>9129</v>
      </c>
      <c r="H3460" t="s">
        <v>9130</v>
      </c>
      <c r="I3460" t="s">
        <v>161</v>
      </c>
      <c r="J3460">
        <v>6025</v>
      </c>
      <c r="L3460" t="s">
        <v>23</v>
      </c>
      <c r="M3460" t="s">
        <v>9129</v>
      </c>
      <c r="N3460" t="s">
        <v>9130</v>
      </c>
      <c r="O3460" t="s">
        <v>161</v>
      </c>
      <c r="P3460">
        <v>6025</v>
      </c>
      <c r="R3460" t="s">
        <v>23</v>
      </c>
      <c r="S3460" s="1" t="s">
        <v>34218</v>
      </c>
    </row>
    <row r="3461" spans="1:19" x14ac:dyDescent="0.25">
      <c r="A3461">
        <v>101480430</v>
      </c>
      <c r="B3461" t="s">
        <v>9131</v>
      </c>
      <c r="C3461" t="s">
        <v>9132</v>
      </c>
      <c r="G3461" t="s">
        <v>9133</v>
      </c>
      <c r="H3461" t="s">
        <v>9134</v>
      </c>
      <c r="I3461" t="s">
        <v>33</v>
      </c>
      <c r="J3461">
        <v>18104</v>
      </c>
      <c r="K3461">
        <v>3926</v>
      </c>
      <c r="L3461" t="s">
        <v>23</v>
      </c>
      <c r="M3461" t="s">
        <v>9133</v>
      </c>
      <c r="N3461" t="s">
        <v>9134</v>
      </c>
      <c r="O3461" t="s">
        <v>33</v>
      </c>
      <c r="P3461">
        <v>18104</v>
      </c>
      <c r="Q3461">
        <v>3926</v>
      </c>
      <c r="R3461" t="s">
        <v>23</v>
      </c>
      <c r="S3461" s="1" t="s">
        <v>34218</v>
      </c>
    </row>
    <row r="3462" spans="1:19" x14ac:dyDescent="0.25">
      <c r="A3462">
        <v>101469404</v>
      </c>
      <c r="B3462" t="s">
        <v>9135</v>
      </c>
      <c r="C3462" t="s">
        <v>699</v>
      </c>
      <c r="G3462" t="s">
        <v>9136</v>
      </c>
      <c r="H3462" t="s">
        <v>602</v>
      </c>
      <c r="I3462" t="s">
        <v>71</v>
      </c>
      <c r="J3462">
        <v>80023</v>
      </c>
      <c r="K3462">
        <v>8438</v>
      </c>
      <c r="L3462" t="s">
        <v>23</v>
      </c>
      <c r="M3462" t="s">
        <v>9136</v>
      </c>
      <c r="N3462" t="s">
        <v>602</v>
      </c>
      <c r="O3462" t="s">
        <v>71</v>
      </c>
      <c r="P3462">
        <v>80023</v>
      </c>
      <c r="Q3462">
        <v>8438</v>
      </c>
      <c r="R3462" t="s">
        <v>23</v>
      </c>
      <c r="S3462" s="1" t="s">
        <v>34218</v>
      </c>
    </row>
    <row r="3463" spans="1:19" x14ac:dyDescent="0.25">
      <c r="A3463">
        <v>101480868</v>
      </c>
      <c r="B3463" t="s">
        <v>281</v>
      </c>
      <c r="C3463" t="s">
        <v>1906</v>
      </c>
      <c r="G3463" t="s">
        <v>9137</v>
      </c>
      <c r="H3463" t="s">
        <v>198</v>
      </c>
      <c r="I3463" t="s">
        <v>22</v>
      </c>
      <c r="J3463">
        <v>92117</v>
      </c>
      <c r="K3463">
        <v>5859</v>
      </c>
      <c r="L3463" t="s">
        <v>23</v>
      </c>
      <c r="M3463" t="s">
        <v>9137</v>
      </c>
      <c r="N3463" t="s">
        <v>198</v>
      </c>
      <c r="O3463" t="s">
        <v>22</v>
      </c>
      <c r="P3463">
        <v>92117</v>
      </c>
      <c r="Q3463">
        <v>5859</v>
      </c>
      <c r="R3463" t="s">
        <v>23</v>
      </c>
      <c r="S3463" s="1" t="s">
        <v>34218</v>
      </c>
    </row>
    <row r="3464" spans="1:19" x14ac:dyDescent="0.25">
      <c r="A3464">
        <v>100921865</v>
      </c>
      <c r="B3464" t="s">
        <v>9138</v>
      </c>
      <c r="C3464" t="s">
        <v>3442</v>
      </c>
      <c r="G3464" t="s">
        <v>9139</v>
      </c>
      <c r="H3464" t="s">
        <v>9140</v>
      </c>
      <c r="I3464" t="s">
        <v>33</v>
      </c>
      <c r="J3464">
        <v>17545</v>
      </c>
      <c r="K3464">
        <v>9009</v>
      </c>
      <c r="L3464" t="s">
        <v>23</v>
      </c>
      <c r="M3464" t="s">
        <v>9139</v>
      </c>
      <c r="N3464" t="s">
        <v>9140</v>
      </c>
      <c r="O3464" t="s">
        <v>33</v>
      </c>
      <c r="P3464">
        <v>17545</v>
      </c>
      <c r="Q3464">
        <v>9009</v>
      </c>
      <c r="R3464" t="s">
        <v>23</v>
      </c>
      <c r="S3464" s="1" t="s">
        <v>34218</v>
      </c>
    </row>
    <row r="3465" spans="1:19" x14ac:dyDescent="0.25">
      <c r="A3465">
        <v>101400798</v>
      </c>
      <c r="B3465" t="s">
        <v>9141</v>
      </c>
      <c r="C3465" t="s">
        <v>4284</v>
      </c>
      <c r="G3465" t="s">
        <v>9142</v>
      </c>
      <c r="H3465" t="s">
        <v>1315</v>
      </c>
      <c r="I3465" t="s">
        <v>33</v>
      </c>
      <c r="J3465">
        <v>18018</v>
      </c>
      <c r="K3465">
        <v>5118</v>
      </c>
      <c r="L3465" t="s">
        <v>23</v>
      </c>
      <c r="M3465" t="s">
        <v>9142</v>
      </c>
      <c r="N3465" t="s">
        <v>1315</v>
      </c>
      <c r="O3465" t="s">
        <v>33</v>
      </c>
      <c r="P3465">
        <v>18018</v>
      </c>
      <c r="Q3465">
        <v>5118</v>
      </c>
      <c r="R3465" t="s">
        <v>23</v>
      </c>
      <c r="S3465" s="1" t="s">
        <v>34218</v>
      </c>
    </row>
    <row r="3466" spans="1:19" x14ac:dyDescent="0.25">
      <c r="A3466">
        <v>101439060</v>
      </c>
      <c r="B3466" t="s">
        <v>9143</v>
      </c>
      <c r="C3466" t="s">
        <v>4582</v>
      </c>
      <c r="G3466" t="s">
        <v>9144</v>
      </c>
      <c r="H3466" t="s">
        <v>9145</v>
      </c>
      <c r="I3466" t="s">
        <v>135</v>
      </c>
      <c r="J3466">
        <v>60521</v>
      </c>
      <c r="K3466">
        <v>7631</v>
      </c>
      <c r="L3466" t="s">
        <v>23</v>
      </c>
      <c r="M3466" t="s">
        <v>9144</v>
      </c>
      <c r="N3466" t="s">
        <v>9145</v>
      </c>
      <c r="O3466" t="s">
        <v>135</v>
      </c>
      <c r="P3466">
        <v>60521</v>
      </c>
      <c r="Q3466">
        <v>7631</v>
      </c>
      <c r="R3466" t="s">
        <v>23</v>
      </c>
      <c r="S3466" s="1" t="s">
        <v>34218</v>
      </c>
    </row>
    <row r="3467" spans="1:19" x14ac:dyDescent="0.25">
      <c r="A3467">
        <v>101480877</v>
      </c>
      <c r="B3467" t="s">
        <v>9146</v>
      </c>
      <c r="C3467" t="s">
        <v>3590</v>
      </c>
      <c r="G3467" t="s">
        <v>9147</v>
      </c>
      <c r="H3467" t="s">
        <v>1687</v>
      </c>
      <c r="I3467" t="s">
        <v>22</v>
      </c>
      <c r="J3467">
        <v>95628</v>
      </c>
      <c r="K3467">
        <v>4212</v>
      </c>
      <c r="L3467" t="s">
        <v>23</v>
      </c>
      <c r="M3467" t="s">
        <v>9147</v>
      </c>
      <c r="N3467" t="s">
        <v>1687</v>
      </c>
      <c r="O3467" t="s">
        <v>22</v>
      </c>
      <c r="P3467">
        <v>95628</v>
      </c>
      <c r="Q3467">
        <v>4212</v>
      </c>
      <c r="R3467" t="s">
        <v>23</v>
      </c>
      <c r="S3467" s="1" t="s">
        <v>34218</v>
      </c>
    </row>
    <row r="3468" spans="1:19" x14ac:dyDescent="0.25">
      <c r="A3468">
        <v>101040981</v>
      </c>
      <c r="B3468" t="s">
        <v>1425</v>
      </c>
      <c r="C3468" t="s">
        <v>278</v>
      </c>
      <c r="G3468" t="s">
        <v>9148</v>
      </c>
      <c r="H3468" t="s">
        <v>393</v>
      </c>
      <c r="I3468" t="s">
        <v>71</v>
      </c>
      <c r="J3468">
        <v>80239</v>
      </c>
      <c r="K3468">
        <v>5708</v>
      </c>
      <c r="L3468" t="s">
        <v>23</v>
      </c>
      <c r="M3468" t="s">
        <v>9148</v>
      </c>
      <c r="N3468" t="s">
        <v>393</v>
      </c>
      <c r="O3468" t="s">
        <v>71</v>
      </c>
      <c r="P3468">
        <v>80239</v>
      </c>
      <c r="Q3468">
        <v>5708</v>
      </c>
      <c r="R3468" t="s">
        <v>23</v>
      </c>
      <c r="S3468" s="1" t="s">
        <v>34218</v>
      </c>
    </row>
    <row r="3469" spans="1:19" x14ac:dyDescent="0.25">
      <c r="A3469">
        <v>100603738</v>
      </c>
      <c r="B3469" t="s">
        <v>9149</v>
      </c>
      <c r="C3469" t="s">
        <v>9150</v>
      </c>
      <c r="G3469" t="s">
        <v>9151</v>
      </c>
      <c r="H3469" t="s">
        <v>1626</v>
      </c>
      <c r="I3469" t="s">
        <v>702</v>
      </c>
      <c r="J3469">
        <v>89434</v>
      </c>
      <c r="K3469">
        <v>3433</v>
      </c>
      <c r="L3469" t="s">
        <v>23</v>
      </c>
      <c r="M3469" t="s">
        <v>9151</v>
      </c>
      <c r="N3469" t="s">
        <v>1626</v>
      </c>
      <c r="O3469" t="s">
        <v>702</v>
      </c>
      <c r="P3469">
        <v>89434</v>
      </c>
      <c r="Q3469">
        <v>3433</v>
      </c>
      <c r="R3469" t="s">
        <v>23</v>
      </c>
      <c r="S3469" s="1" t="s">
        <v>34218</v>
      </c>
    </row>
    <row r="3470" spans="1:19" x14ac:dyDescent="0.25">
      <c r="A3470">
        <v>100610404</v>
      </c>
      <c r="B3470" t="s">
        <v>9152</v>
      </c>
      <c r="C3470" t="s">
        <v>4828</v>
      </c>
      <c r="G3470" t="s">
        <v>9153</v>
      </c>
      <c r="H3470" t="s">
        <v>573</v>
      </c>
      <c r="I3470" t="s">
        <v>33</v>
      </c>
      <c r="J3470">
        <v>19136</v>
      </c>
      <c r="K3470">
        <v>1703</v>
      </c>
      <c r="L3470" t="s">
        <v>23</v>
      </c>
      <c r="M3470" t="s">
        <v>9153</v>
      </c>
      <c r="N3470" t="s">
        <v>573</v>
      </c>
      <c r="O3470" t="s">
        <v>33</v>
      </c>
      <c r="P3470">
        <v>19136</v>
      </c>
      <c r="Q3470">
        <v>1703</v>
      </c>
      <c r="R3470" t="s">
        <v>23</v>
      </c>
      <c r="S3470" s="1" t="s">
        <v>34218</v>
      </c>
    </row>
    <row r="3471" spans="1:19" x14ac:dyDescent="0.25">
      <c r="A3471">
        <v>100606993</v>
      </c>
      <c r="B3471" t="s">
        <v>9154</v>
      </c>
      <c r="C3471" t="s">
        <v>180</v>
      </c>
      <c r="G3471" t="s">
        <v>9155</v>
      </c>
      <c r="H3471" t="s">
        <v>9156</v>
      </c>
      <c r="I3471" t="s">
        <v>140</v>
      </c>
      <c r="J3471">
        <v>49283</v>
      </c>
      <c r="K3471">
        <v>9728</v>
      </c>
      <c r="L3471" t="s">
        <v>23</v>
      </c>
      <c r="M3471" t="s">
        <v>9155</v>
      </c>
      <c r="N3471" t="s">
        <v>9156</v>
      </c>
      <c r="O3471" t="s">
        <v>140</v>
      </c>
      <c r="P3471">
        <v>49283</v>
      </c>
      <c r="Q3471">
        <v>9728</v>
      </c>
      <c r="R3471" t="s">
        <v>23</v>
      </c>
      <c r="S3471" s="1" t="s">
        <v>34218</v>
      </c>
    </row>
    <row r="3472" spans="1:19" x14ac:dyDescent="0.25">
      <c r="A3472">
        <v>100615444</v>
      </c>
      <c r="B3472" t="s">
        <v>9157</v>
      </c>
      <c r="C3472" t="s">
        <v>1107</v>
      </c>
      <c r="G3472" t="s">
        <v>9158</v>
      </c>
      <c r="H3472" t="s">
        <v>37</v>
      </c>
      <c r="I3472" t="s">
        <v>38</v>
      </c>
      <c r="J3472">
        <v>78722</v>
      </c>
      <c r="K3472">
        <v>1112</v>
      </c>
      <c r="L3472" t="s">
        <v>23</v>
      </c>
      <c r="M3472" t="s">
        <v>9158</v>
      </c>
      <c r="N3472" t="s">
        <v>37</v>
      </c>
      <c r="O3472" t="s">
        <v>38</v>
      </c>
      <c r="P3472">
        <v>78722</v>
      </c>
      <c r="Q3472">
        <v>1112</v>
      </c>
      <c r="R3472" t="s">
        <v>23</v>
      </c>
      <c r="S3472" s="1" t="s">
        <v>34218</v>
      </c>
    </row>
    <row r="3473" spans="1:19" x14ac:dyDescent="0.25">
      <c r="A3473">
        <v>100612460</v>
      </c>
      <c r="B3473" t="s">
        <v>9159</v>
      </c>
      <c r="C3473" t="s">
        <v>399</v>
      </c>
      <c r="G3473" t="s">
        <v>9160</v>
      </c>
      <c r="H3473" t="s">
        <v>9161</v>
      </c>
      <c r="I3473" t="s">
        <v>140</v>
      </c>
      <c r="J3473">
        <v>49457</v>
      </c>
      <c r="K3473">
        <v>9249</v>
      </c>
      <c r="L3473" t="s">
        <v>23</v>
      </c>
      <c r="M3473" t="s">
        <v>9160</v>
      </c>
      <c r="N3473" t="s">
        <v>9161</v>
      </c>
      <c r="O3473" t="s">
        <v>140</v>
      </c>
      <c r="P3473">
        <v>49457</v>
      </c>
      <c r="Q3473">
        <v>9249</v>
      </c>
      <c r="R3473" t="s">
        <v>23</v>
      </c>
      <c r="S3473" s="1" t="s">
        <v>34218</v>
      </c>
    </row>
    <row r="3474" spans="1:19" x14ac:dyDescent="0.25">
      <c r="A3474">
        <v>100612648</v>
      </c>
      <c r="B3474" t="s">
        <v>9162</v>
      </c>
      <c r="C3474" t="s">
        <v>4587</v>
      </c>
      <c r="G3474" t="s">
        <v>9163</v>
      </c>
      <c r="H3474" t="s">
        <v>1787</v>
      </c>
      <c r="I3474" t="s">
        <v>702</v>
      </c>
      <c r="J3474">
        <v>89103</v>
      </c>
      <c r="K3474">
        <v>2430</v>
      </c>
      <c r="L3474" t="s">
        <v>23</v>
      </c>
      <c r="M3474" t="s">
        <v>9163</v>
      </c>
      <c r="N3474" t="s">
        <v>1787</v>
      </c>
      <c r="O3474" t="s">
        <v>702</v>
      </c>
      <c r="P3474">
        <v>89103</v>
      </c>
      <c r="Q3474">
        <v>2430</v>
      </c>
      <c r="R3474" t="s">
        <v>23</v>
      </c>
      <c r="S3474" s="1" t="s">
        <v>34218</v>
      </c>
    </row>
    <row r="3475" spans="1:19" x14ac:dyDescent="0.25">
      <c r="A3475">
        <v>100612225</v>
      </c>
      <c r="B3475" t="s">
        <v>9164</v>
      </c>
      <c r="C3475" t="s">
        <v>894</v>
      </c>
      <c r="G3475" t="s">
        <v>9165</v>
      </c>
      <c r="H3475" t="s">
        <v>1019</v>
      </c>
      <c r="I3475" t="s">
        <v>84</v>
      </c>
      <c r="J3475">
        <v>98034</v>
      </c>
      <c r="K3475">
        <v>1642</v>
      </c>
      <c r="L3475" t="s">
        <v>23</v>
      </c>
      <c r="M3475" t="s">
        <v>9165</v>
      </c>
      <c r="N3475" t="s">
        <v>1019</v>
      </c>
      <c r="O3475" t="s">
        <v>84</v>
      </c>
      <c r="P3475">
        <v>98034</v>
      </c>
      <c r="Q3475">
        <v>1642</v>
      </c>
      <c r="R3475" t="s">
        <v>23</v>
      </c>
      <c r="S3475" s="1" t="s">
        <v>34218</v>
      </c>
    </row>
    <row r="3476" spans="1:19" x14ac:dyDescent="0.25">
      <c r="A3476">
        <v>100615575</v>
      </c>
      <c r="B3476" t="s">
        <v>9166</v>
      </c>
      <c r="C3476" t="s">
        <v>3566</v>
      </c>
      <c r="G3476" t="s">
        <v>9167</v>
      </c>
      <c r="H3476" t="s">
        <v>9168</v>
      </c>
      <c r="I3476" t="s">
        <v>1097</v>
      </c>
      <c r="J3476">
        <v>41017</v>
      </c>
      <c r="K3476">
        <v>1041</v>
      </c>
      <c r="L3476" t="s">
        <v>23</v>
      </c>
      <c r="M3476" t="s">
        <v>9167</v>
      </c>
      <c r="N3476" t="s">
        <v>9168</v>
      </c>
      <c r="O3476" t="s">
        <v>1097</v>
      </c>
      <c r="P3476">
        <v>41017</v>
      </c>
      <c r="Q3476">
        <v>1041</v>
      </c>
      <c r="R3476" t="s">
        <v>23</v>
      </c>
      <c r="S3476" s="1" t="s">
        <v>34218</v>
      </c>
    </row>
    <row r="3477" spans="1:19" x14ac:dyDescent="0.25">
      <c r="A3477">
        <v>100617206</v>
      </c>
      <c r="B3477" t="s">
        <v>9169</v>
      </c>
      <c r="C3477" t="s">
        <v>2781</v>
      </c>
      <c r="D3477" t="s">
        <v>2357</v>
      </c>
      <c r="G3477" t="s">
        <v>9170</v>
      </c>
      <c r="H3477" t="s">
        <v>2069</v>
      </c>
      <c r="I3477" t="s">
        <v>22</v>
      </c>
      <c r="J3477">
        <v>95472</v>
      </c>
      <c r="K3477">
        <v>6449</v>
      </c>
      <c r="L3477" t="s">
        <v>23</v>
      </c>
      <c r="M3477" t="s">
        <v>9170</v>
      </c>
      <c r="N3477" t="s">
        <v>2069</v>
      </c>
      <c r="O3477" t="s">
        <v>22</v>
      </c>
      <c r="P3477">
        <v>95472</v>
      </c>
      <c r="Q3477">
        <v>6449</v>
      </c>
      <c r="R3477" t="s">
        <v>23</v>
      </c>
      <c r="S3477" s="1" t="s">
        <v>34218</v>
      </c>
    </row>
    <row r="3478" spans="1:19" x14ac:dyDescent="0.25">
      <c r="A3478">
        <v>100623750</v>
      </c>
      <c r="B3478" t="s">
        <v>9171</v>
      </c>
      <c r="C3478" t="s">
        <v>1027</v>
      </c>
      <c r="G3478" t="s">
        <v>9172</v>
      </c>
      <c r="H3478" t="s">
        <v>9173</v>
      </c>
      <c r="I3478" t="s">
        <v>52</v>
      </c>
      <c r="J3478">
        <v>32233</v>
      </c>
      <c r="K3478">
        <v>4511</v>
      </c>
      <c r="L3478" t="s">
        <v>23</v>
      </c>
      <c r="M3478" t="s">
        <v>9172</v>
      </c>
      <c r="N3478" t="s">
        <v>9173</v>
      </c>
      <c r="O3478" t="s">
        <v>52</v>
      </c>
      <c r="P3478">
        <v>32233</v>
      </c>
      <c r="Q3478">
        <v>4511</v>
      </c>
      <c r="R3478" t="s">
        <v>23</v>
      </c>
      <c r="S3478" s="1" t="s">
        <v>34218</v>
      </c>
    </row>
    <row r="3479" spans="1:19" x14ac:dyDescent="0.25">
      <c r="A3479">
        <v>100740284</v>
      </c>
      <c r="B3479" t="s">
        <v>1144</v>
      </c>
      <c r="C3479" t="s">
        <v>90</v>
      </c>
      <c r="G3479" t="s">
        <v>9174</v>
      </c>
      <c r="H3479" t="s">
        <v>4622</v>
      </c>
      <c r="I3479" t="s">
        <v>117</v>
      </c>
      <c r="J3479">
        <v>12054</v>
      </c>
      <c r="K3479">
        <v>5427</v>
      </c>
      <c r="L3479" t="s">
        <v>23</v>
      </c>
      <c r="M3479" t="s">
        <v>9174</v>
      </c>
      <c r="N3479" t="s">
        <v>4622</v>
      </c>
      <c r="O3479" t="s">
        <v>117</v>
      </c>
      <c r="P3479">
        <v>12054</v>
      </c>
      <c r="Q3479">
        <v>5427</v>
      </c>
      <c r="R3479" t="s">
        <v>23</v>
      </c>
      <c r="S3479" s="1" t="s">
        <v>34218</v>
      </c>
    </row>
    <row r="3480" spans="1:19" x14ac:dyDescent="0.25">
      <c r="A3480">
        <v>100742496</v>
      </c>
      <c r="B3480" t="s">
        <v>9175</v>
      </c>
      <c r="C3480" t="s">
        <v>2892</v>
      </c>
      <c r="G3480" t="s">
        <v>9176</v>
      </c>
      <c r="H3480" t="s">
        <v>174</v>
      </c>
      <c r="I3480" t="s">
        <v>22</v>
      </c>
      <c r="J3480">
        <v>93105</v>
      </c>
      <c r="K3480">
        <v>2740</v>
      </c>
      <c r="L3480" t="s">
        <v>23</v>
      </c>
      <c r="M3480" t="s">
        <v>9176</v>
      </c>
      <c r="N3480" t="s">
        <v>174</v>
      </c>
      <c r="O3480" t="s">
        <v>22</v>
      </c>
      <c r="P3480">
        <v>93105</v>
      </c>
      <c r="Q3480">
        <v>2740</v>
      </c>
      <c r="R3480" t="s">
        <v>23</v>
      </c>
      <c r="S3480" s="1" t="s">
        <v>34218</v>
      </c>
    </row>
    <row r="3481" spans="1:19" x14ac:dyDescent="0.25">
      <c r="A3481">
        <v>100742629</v>
      </c>
      <c r="B3481" t="s">
        <v>9177</v>
      </c>
      <c r="C3481" t="s">
        <v>252</v>
      </c>
      <c r="G3481" t="s">
        <v>9178</v>
      </c>
      <c r="H3481" t="s">
        <v>134</v>
      </c>
      <c r="I3481" t="s">
        <v>135</v>
      </c>
      <c r="J3481">
        <v>60638</v>
      </c>
      <c r="K3481">
        <v>4515</v>
      </c>
      <c r="L3481" t="s">
        <v>23</v>
      </c>
      <c r="M3481" t="s">
        <v>9178</v>
      </c>
      <c r="N3481" t="s">
        <v>134</v>
      </c>
      <c r="O3481" t="s">
        <v>135</v>
      </c>
      <c r="P3481">
        <v>60638</v>
      </c>
      <c r="Q3481">
        <v>4515</v>
      </c>
      <c r="R3481" t="s">
        <v>23</v>
      </c>
      <c r="S3481" s="1" t="s">
        <v>34218</v>
      </c>
    </row>
    <row r="3482" spans="1:19" x14ac:dyDescent="0.25">
      <c r="A3482">
        <v>100742002</v>
      </c>
      <c r="B3482" t="s">
        <v>9179</v>
      </c>
      <c r="C3482" t="s">
        <v>4188</v>
      </c>
      <c r="G3482" t="s">
        <v>9180</v>
      </c>
      <c r="H3482" t="s">
        <v>9181</v>
      </c>
      <c r="I3482" t="s">
        <v>236</v>
      </c>
      <c r="J3482">
        <v>2747</v>
      </c>
      <c r="K3482">
        <v>2441</v>
      </c>
      <c r="L3482" t="s">
        <v>23</v>
      </c>
      <c r="M3482" t="s">
        <v>9180</v>
      </c>
      <c r="N3482" t="s">
        <v>9181</v>
      </c>
      <c r="O3482" t="s">
        <v>236</v>
      </c>
      <c r="P3482">
        <v>2747</v>
      </c>
      <c r="Q3482">
        <v>2441</v>
      </c>
      <c r="R3482" t="s">
        <v>23</v>
      </c>
      <c r="S3482" s="1" t="s">
        <v>34218</v>
      </c>
    </row>
    <row r="3483" spans="1:19" x14ac:dyDescent="0.25">
      <c r="A3483">
        <v>101480839</v>
      </c>
      <c r="B3483" t="s">
        <v>9182</v>
      </c>
      <c r="C3483" t="s">
        <v>803</v>
      </c>
      <c r="G3483" t="s">
        <v>9183</v>
      </c>
      <c r="H3483" t="s">
        <v>1402</v>
      </c>
      <c r="I3483" t="s">
        <v>38</v>
      </c>
      <c r="J3483">
        <v>77066</v>
      </c>
      <c r="K3483">
        <v>3511</v>
      </c>
      <c r="L3483" t="s">
        <v>23</v>
      </c>
      <c r="M3483" t="s">
        <v>9183</v>
      </c>
      <c r="N3483" t="s">
        <v>1402</v>
      </c>
      <c r="O3483" t="s">
        <v>38</v>
      </c>
      <c r="P3483">
        <v>77066</v>
      </c>
      <c r="Q3483">
        <v>3511</v>
      </c>
      <c r="R3483" t="s">
        <v>23</v>
      </c>
      <c r="S3483" s="1" t="s">
        <v>34218</v>
      </c>
    </row>
    <row r="3484" spans="1:19" x14ac:dyDescent="0.25">
      <c r="A3484">
        <v>101480841</v>
      </c>
      <c r="B3484" t="s">
        <v>9184</v>
      </c>
      <c r="C3484" t="s">
        <v>9185</v>
      </c>
      <c r="G3484" t="s">
        <v>9186</v>
      </c>
      <c r="H3484" t="s">
        <v>6515</v>
      </c>
      <c r="I3484" t="s">
        <v>22</v>
      </c>
      <c r="J3484">
        <v>90266</v>
      </c>
      <c r="K3484">
        <v>5432</v>
      </c>
      <c r="L3484" t="s">
        <v>23</v>
      </c>
      <c r="M3484" t="s">
        <v>9186</v>
      </c>
      <c r="N3484" t="s">
        <v>6515</v>
      </c>
      <c r="O3484" t="s">
        <v>22</v>
      </c>
      <c r="P3484">
        <v>90266</v>
      </c>
      <c r="Q3484">
        <v>5432</v>
      </c>
      <c r="R3484" t="s">
        <v>23</v>
      </c>
      <c r="S3484" s="1" t="s">
        <v>34218</v>
      </c>
    </row>
    <row r="3485" spans="1:19" x14ac:dyDescent="0.25">
      <c r="A3485">
        <v>100834086</v>
      </c>
      <c r="B3485" t="s">
        <v>9187</v>
      </c>
      <c r="C3485" t="s">
        <v>436</v>
      </c>
      <c r="G3485">
        <v>4811</v>
      </c>
      <c r="H3485" t="s">
        <v>9188</v>
      </c>
      <c r="I3485" t="s">
        <v>135</v>
      </c>
      <c r="J3485">
        <v>60706</v>
      </c>
      <c r="L3485" t="s">
        <v>23</v>
      </c>
      <c r="M3485">
        <v>4811</v>
      </c>
      <c r="N3485" t="s">
        <v>9188</v>
      </c>
      <c r="O3485" t="s">
        <v>135</v>
      </c>
      <c r="P3485">
        <v>60706</v>
      </c>
      <c r="R3485" t="s">
        <v>23</v>
      </c>
      <c r="S3485" s="1" t="s">
        <v>34218</v>
      </c>
    </row>
    <row r="3486" spans="1:19" x14ac:dyDescent="0.25">
      <c r="A3486">
        <v>101480850</v>
      </c>
      <c r="B3486" t="s">
        <v>9189</v>
      </c>
      <c r="C3486" t="s">
        <v>4416</v>
      </c>
      <c r="G3486" t="s">
        <v>9190</v>
      </c>
      <c r="H3486" t="s">
        <v>3470</v>
      </c>
      <c r="I3486" t="s">
        <v>187</v>
      </c>
      <c r="J3486">
        <v>55347</v>
      </c>
      <c r="K3486">
        <v>2779</v>
      </c>
      <c r="L3486" t="s">
        <v>23</v>
      </c>
      <c r="M3486" t="s">
        <v>9190</v>
      </c>
      <c r="N3486" t="s">
        <v>3470</v>
      </c>
      <c r="O3486" t="s">
        <v>187</v>
      </c>
      <c r="P3486">
        <v>55347</v>
      </c>
      <c r="Q3486">
        <v>2779</v>
      </c>
      <c r="R3486" t="s">
        <v>23</v>
      </c>
      <c r="S3486" s="1" t="s">
        <v>34218</v>
      </c>
    </row>
    <row r="3487" spans="1:19" x14ac:dyDescent="0.25">
      <c r="A3487">
        <v>101478069</v>
      </c>
      <c r="B3487" t="s">
        <v>2712</v>
      </c>
      <c r="C3487" t="s">
        <v>9191</v>
      </c>
      <c r="G3487" t="s">
        <v>9192</v>
      </c>
      <c r="H3487" t="s">
        <v>9193</v>
      </c>
      <c r="I3487" t="s">
        <v>348</v>
      </c>
      <c r="J3487">
        <v>83811</v>
      </c>
      <c r="K3487">
        <v>59</v>
      </c>
      <c r="L3487" t="s">
        <v>23</v>
      </c>
      <c r="M3487" t="s">
        <v>9192</v>
      </c>
      <c r="N3487" t="s">
        <v>9193</v>
      </c>
      <c r="O3487" t="s">
        <v>348</v>
      </c>
      <c r="P3487">
        <v>83811</v>
      </c>
      <c r="Q3487">
        <v>59</v>
      </c>
      <c r="R3487" t="s">
        <v>23</v>
      </c>
      <c r="S3487" s="1" t="s">
        <v>34218</v>
      </c>
    </row>
    <row r="3488" spans="1:19" x14ac:dyDescent="0.25">
      <c r="A3488">
        <v>101013668</v>
      </c>
      <c r="B3488" t="s">
        <v>9194</v>
      </c>
      <c r="C3488" t="s">
        <v>9195</v>
      </c>
      <c r="G3488" t="s">
        <v>9196</v>
      </c>
      <c r="H3488" t="s">
        <v>9197</v>
      </c>
      <c r="I3488" t="s">
        <v>1387</v>
      </c>
      <c r="J3488">
        <v>67000</v>
      </c>
      <c r="L3488" t="s">
        <v>23</v>
      </c>
      <c r="M3488" t="s">
        <v>9196</v>
      </c>
      <c r="N3488" t="s">
        <v>9197</v>
      </c>
      <c r="O3488" t="s">
        <v>1387</v>
      </c>
      <c r="P3488">
        <v>67000</v>
      </c>
      <c r="R3488" t="s">
        <v>23</v>
      </c>
      <c r="S3488" s="1" t="s">
        <v>34218</v>
      </c>
    </row>
    <row r="3489" spans="1:19" x14ac:dyDescent="0.25">
      <c r="A3489">
        <v>101465196</v>
      </c>
      <c r="B3489" t="s">
        <v>9198</v>
      </c>
      <c r="C3489" t="s">
        <v>9199</v>
      </c>
      <c r="G3489" t="s">
        <v>9200</v>
      </c>
      <c r="H3489" t="s">
        <v>227</v>
      </c>
      <c r="I3489" t="s">
        <v>43</v>
      </c>
      <c r="J3489">
        <v>97202</v>
      </c>
      <c r="K3489">
        <v>5007</v>
      </c>
      <c r="L3489" t="s">
        <v>23</v>
      </c>
      <c r="M3489" t="s">
        <v>9200</v>
      </c>
      <c r="N3489" t="s">
        <v>227</v>
      </c>
      <c r="O3489" t="s">
        <v>43</v>
      </c>
      <c r="P3489">
        <v>97202</v>
      </c>
      <c r="Q3489">
        <v>5007</v>
      </c>
      <c r="R3489" t="s">
        <v>23</v>
      </c>
      <c r="S3489" s="1" t="s">
        <v>34218</v>
      </c>
    </row>
    <row r="3490" spans="1:19" x14ac:dyDescent="0.25">
      <c r="A3490">
        <v>101427202</v>
      </c>
      <c r="B3490" t="s">
        <v>1997</v>
      </c>
      <c r="C3490" t="s">
        <v>575</v>
      </c>
      <c r="G3490" t="s">
        <v>9201</v>
      </c>
      <c r="H3490" t="s">
        <v>1439</v>
      </c>
      <c r="I3490" t="s">
        <v>365</v>
      </c>
      <c r="J3490">
        <v>85748</v>
      </c>
      <c r="K3490">
        <v>6415</v>
      </c>
      <c r="L3490" t="s">
        <v>23</v>
      </c>
      <c r="M3490" t="s">
        <v>9201</v>
      </c>
      <c r="N3490" t="s">
        <v>1439</v>
      </c>
      <c r="O3490" t="s">
        <v>365</v>
      </c>
      <c r="P3490">
        <v>85748</v>
      </c>
      <c r="Q3490">
        <v>6415</v>
      </c>
      <c r="R3490" t="s">
        <v>23</v>
      </c>
      <c r="S3490" s="1" t="s">
        <v>34218</v>
      </c>
    </row>
    <row r="3491" spans="1:19" x14ac:dyDescent="0.25">
      <c r="A3491">
        <v>101238854</v>
      </c>
      <c r="B3491" t="s">
        <v>9202</v>
      </c>
      <c r="C3491" t="s">
        <v>1043</v>
      </c>
      <c r="G3491" t="s">
        <v>9203</v>
      </c>
      <c r="H3491" t="s">
        <v>9204</v>
      </c>
      <c r="I3491" t="s">
        <v>117</v>
      </c>
      <c r="J3491">
        <v>14048</v>
      </c>
      <c r="K3491">
        <v>2417</v>
      </c>
      <c r="L3491" t="s">
        <v>23</v>
      </c>
      <c r="M3491" t="s">
        <v>9203</v>
      </c>
      <c r="N3491" t="s">
        <v>9204</v>
      </c>
      <c r="O3491" t="s">
        <v>117</v>
      </c>
      <c r="P3491">
        <v>14048</v>
      </c>
      <c r="Q3491">
        <v>2417</v>
      </c>
      <c r="R3491" t="s">
        <v>23</v>
      </c>
      <c r="S3491" s="1" t="s">
        <v>34218</v>
      </c>
    </row>
    <row r="3492" spans="1:19" x14ac:dyDescent="0.25">
      <c r="A3492">
        <v>100659778</v>
      </c>
      <c r="B3492" t="s">
        <v>4418</v>
      </c>
      <c r="C3492" t="s">
        <v>535</v>
      </c>
      <c r="G3492" t="s">
        <v>9205</v>
      </c>
      <c r="H3492" t="s">
        <v>3862</v>
      </c>
      <c r="I3492" t="s">
        <v>178</v>
      </c>
      <c r="J3492">
        <v>45069</v>
      </c>
      <c r="K3492">
        <v>3638</v>
      </c>
      <c r="L3492" t="s">
        <v>23</v>
      </c>
      <c r="M3492" t="s">
        <v>9205</v>
      </c>
      <c r="N3492" t="s">
        <v>3862</v>
      </c>
      <c r="O3492" t="s">
        <v>178</v>
      </c>
      <c r="P3492">
        <v>45069</v>
      </c>
      <c r="Q3492">
        <v>3638</v>
      </c>
      <c r="R3492" t="s">
        <v>23</v>
      </c>
      <c r="S3492" s="1" t="s">
        <v>34218</v>
      </c>
    </row>
    <row r="3493" spans="1:19" x14ac:dyDescent="0.25">
      <c r="A3493">
        <v>101220733</v>
      </c>
      <c r="B3493" t="s">
        <v>9206</v>
      </c>
      <c r="C3493" t="s">
        <v>9207</v>
      </c>
      <c r="G3493" t="s">
        <v>9208</v>
      </c>
      <c r="H3493" t="s">
        <v>9209</v>
      </c>
      <c r="I3493" t="s">
        <v>327</v>
      </c>
      <c r="J3493">
        <v>24944</v>
      </c>
      <c r="K3493">
        <v>9014</v>
      </c>
      <c r="L3493" t="s">
        <v>23</v>
      </c>
      <c r="M3493" t="s">
        <v>9208</v>
      </c>
      <c r="N3493" t="s">
        <v>9209</v>
      </c>
      <c r="O3493" t="s">
        <v>327</v>
      </c>
      <c r="P3493">
        <v>24944</v>
      </c>
      <c r="Q3493">
        <v>9014</v>
      </c>
      <c r="R3493" t="s">
        <v>23</v>
      </c>
      <c r="S3493" s="1" t="s">
        <v>34218</v>
      </c>
    </row>
    <row r="3494" spans="1:19" x14ac:dyDescent="0.25">
      <c r="A3494">
        <v>101251077</v>
      </c>
      <c r="B3494" t="s">
        <v>29</v>
      </c>
      <c r="C3494" t="s">
        <v>3670</v>
      </c>
      <c r="G3494" t="s">
        <v>9210</v>
      </c>
      <c r="H3494" t="s">
        <v>9211</v>
      </c>
      <c r="I3494" t="s">
        <v>22</v>
      </c>
      <c r="J3494">
        <v>95713</v>
      </c>
      <c r="L3494" t="s">
        <v>23</v>
      </c>
      <c r="M3494" t="s">
        <v>9210</v>
      </c>
      <c r="N3494" t="s">
        <v>9211</v>
      </c>
      <c r="O3494" t="s">
        <v>22</v>
      </c>
      <c r="P3494">
        <v>95713</v>
      </c>
      <c r="R3494" t="s">
        <v>23</v>
      </c>
      <c r="S3494" s="1" t="s">
        <v>34218</v>
      </c>
    </row>
    <row r="3495" spans="1:19" x14ac:dyDescent="0.25">
      <c r="A3495">
        <v>100773415</v>
      </c>
      <c r="B3495" t="s">
        <v>9212</v>
      </c>
      <c r="C3495" t="s">
        <v>9213</v>
      </c>
      <c r="G3495" t="s">
        <v>9214</v>
      </c>
      <c r="H3495" t="s">
        <v>412</v>
      </c>
      <c r="I3495" t="s">
        <v>117</v>
      </c>
      <c r="J3495">
        <v>11231</v>
      </c>
      <c r="K3495">
        <v>1527</v>
      </c>
      <c r="L3495" t="s">
        <v>23</v>
      </c>
      <c r="M3495" t="s">
        <v>9214</v>
      </c>
      <c r="N3495" t="s">
        <v>412</v>
      </c>
      <c r="O3495" t="s">
        <v>117</v>
      </c>
      <c r="P3495">
        <v>11231</v>
      </c>
      <c r="Q3495">
        <v>1527</v>
      </c>
      <c r="R3495" t="s">
        <v>23</v>
      </c>
      <c r="S3495" s="1" t="s">
        <v>34218</v>
      </c>
    </row>
    <row r="3496" spans="1:19" x14ac:dyDescent="0.25">
      <c r="A3496">
        <v>101476519</v>
      </c>
      <c r="B3496" t="s">
        <v>557</v>
      </c>
      <c r="C3496" t="s">
        <v>9215</v>
      </c>
      <c r="G3496" t="s">
        <v>9216</v>
      </c>
      <c r="H3496" t="s">
        <v>733</v>
      </c>
      <c r="I3496" t="s">
        <v>52</v>
      </c>
      <c r="J3496">
        <v>33701</v>
      </c>
      <c r="K3496">
        <v>3519</v>
      </c>
      <c r="L3496" t="s">
        <v>23</v>
      </c>
      <c r="M3496" t="s">
        <v>9216</v>
      </c>
      <c r="N3496" t="s">
        <v>733</v>
      </c>
      <c r="O3496" t="s">
        <v>52</v>
      </c>
      <c r="P3496">
        <v>33701</v>
      </c>
      <c r="Q3496">
        <v>3519</v>
      </c>
      <c r="R3496" t="s">
        <v>23</v>
      </c>
      <c r="S3496" s="1" t="s">
        <v>34218</v>
      </c>
    </row>
    <row r="3497" spans="1:19" x14ac:dyDescent="0.25">
      <c r="A3497">
        <v>100839894</v>
      </c>
      <c r="B3497" t="s">
        <v>9217</v>
      </c>
      <c r="C3497" t="s">
        <v>535</v>
      </c>
      <c r="G3497" t="s">
        <v>9218</v>
      </c>
      <c r="H3497" t="s">
        <v>4446</v>
      </c>
      <c r="I3497" t="s">
        <v>446</v>
      </c>
      <c r="J3497">
        <v>27278</v>
      </c>
      <c r="K3497">
        <v>9344</v>
      </c>
      <c r="L3497" t="s">
        <v>23</v>
      </c>
      <c r="M3497" t="s">
        <v>9218</v>
      </c>
      <c r="N3497" t="s">
        <v>4446</v>
      </c>
      <c r="O3497" t="s">
        <v>446</v>
      </c>
      <c r="P3497">
        <v>27278</v>
      </c>
      <c r="Q3497">
        <v>9344</v>
      </c>
      <c r="R3497" t="s">
        <v>23</v>
      </c>
      <c r="S3497" s="1" t="s">
        <v>34218</v>
      </c>
    </row>
    <row r="3498" spans="1:19" x14ac:dyDescent="0.25">
      <c r="A3498">
        <v>101423805</v>
      </c>
      <c r="B3498" t="s">
        <v>9219</v>
      </c>
      <c r="C3498" t="s">
        <v>387</v>
      </c>
      <c r="G3498" t="s">
        <v>9220</v>
      </c>
      <c r="H3498" t="s">
        <v>6151</v>
      </c>
      <c r="I3498" t="s">
        <v>33</v>
      </c>
      <c r="J3498">
        <v>17602</v>
      </c>
      <c r="K3498">
        <v>4872</v>
      </c>
      <c r="L3498" t="s">
        <v>23</v>
      </c>
      <c r="M3498" t="s">
        <v>9220</v>
      </c>
      <c r="N3498" t="s">
        <v>6151</v>
      </c>
      <c r="O3498" t="s">
        <v>33</v>
      </c>
      <c r="P3498">
        <v>17602</v>
      </c>
      <c r="Q3498">
        <v>4872</v>
      </c>
      <c r="R3498" t="s">
        <v>23</v>
      </c>
      <c r="S3498" s="1" t="s">
        <v>34218</v>
      </c>
    </row>
    <row r="3499" spans="1:19" x14ac:dyDescent="0.25">
      <c r="A3499">
        <v>101477502</v>
      </c>
      <c r="B3499" t="s">
        <v>9221</v>
      </c>
      <c r="C3499" t="s">
        <v>739</v>
      </c>
      <c r="G3499" t="s">
        <v>9222</v>
      </c>
      <c r="H3499" t="s">
        <v>79</v>
      </c>
      <c r="I3499" t="s">
        <v>22</v>
      </c>
      <c r="J3499">
        <v>90210</v>
      </c>
      <c r="L3499" t="s">
        <v>23</v>
      </c>
      <c r="M3499" t="s">
        <v>9222</v>
      </c>
      <c r="N3499" t="s">
        <v>79</v>
      </c>
      <c r="O3499" t="s">
        <v>22</v>
      </c>
      <c r="P3499">
        <v>90210</v>
      </c>
      <c r="R3499" t="s">
        <v>23</v>
      </c>
      <c r="S3499" s="1" t="s">
        <v>34218</v>
      </c>
    </row>
    <row r="3500" spans="1:19" x14ac:dyDescent="0.25">
      <c r="A3500">
        <v>101480873</v>
      </c>
      <c r="B3500" t="s">
        <v>9223</v>
      </c>
      <c r="C3500" t="s">
        <v>30</v>
      </c>
      <c r="G3500" t="s">
        <v>9224</v>
      </c>
      <c r="H3500" t="s">
        <v>9225</v>
      </c>
      <c r="I3500" t="s">
        <v>914</v>
      </c>
      <c r="J3500">
        <v>37771</v>
      </c>
      <c r="K3500">
        <v>2511</v>
      </c>
      <c r="L3500" t="s">
        <v>23</v>
      </c>
      <c r="M3500" t="s">
        <v>9224</v>
      </c>
      <c r="N3500" t="s">
        <v>9225</v>
      </c>
      <c r="O3500" t="s">
        <v>914</v>
      </c>
      <c r="P3500">
        <v>37771</v>
      </c>
      <c r="Q3500">
        <v>2511</v>
      </c>
      <c r="R3500" t="s">
        <v>23</v>
      </c>
      <c r="S3500" s="1" t="s">
        <v>34218</v>
      </c>
    </row>
    <row r="3501" spans="1:19" x14ac:dyDescent="0.25">
      <c r="A3501">
        <v>101198058</v>
      </c>
      <c r="B3501" t="s">
        <v>1164</v>
      </c>
      <c r="C3501" t="s">
        <v>1374</v>
      </c>
      <c r="G3501" t="s">
        <v>9226</v>
      </c>
      <c r="H3501" t="s">
        <v>471</v>
      </c>
      <c r="I3501" t="s">
        <v>365</v>
      </c>
      <c r="J3501">
        <v>85255</v>
      </c>
      <c r="K3501">
        <v>6503</v>
      </c>
      <c r="L3501" t="s">
        <v>23</v>
      </c>
      <c r="M3501" t="s">
        <v>9226</v>
      </c>
      <c r="N3501" t="s">
        <v>471</v>
      </c>
      <c r="O3501" t="s">
        <v>365</v>
      </c>
      <c r="P3501">
        <v>85255</v>
      </c>
      <c r="Q3501">
        <v>6503</v>
      </c>
      <c r="R3501" t="s">
        <v>23</v>
      </c>
      <c r="S3501" s="1" t="s">
        <v>34218</v>
      </c>
    </row>
    <row r="3502" spans="1:19" x14ac:dyDescent="0.25">
      <c r="A3502">
        <v>101451346</v>
      </c>
      <c r="B3502" t="s">
        <v>9227</v>
      </c>
      <c r="C3502" t="s">
        <v>1050</v>
      </c>
      <c r="G3502" t="s">
        <v>9228</v>
      </c>
      <c r="H3502" t="s">
        <v>9229</v>
      </c>
      <c r="I3502" t="s">
        <v>52</v>
      </c>
      <c r="J3502">
        <v>33913</v>
      </c>
      <c r="L3502" t="s">
        <v>23</v>
      </c>
      <c r="M3502" t="s">
        <v>9228</v>
      </c>
      <c r="N3502" t="s">
        <v>9229</v>
      </c>
      <c r="O3502" t="s">
        <v>52</v>
      </c>
      <c r="P3502">
        <v>33913</v>
      </c>
      <c r="R3502" t="s">
        <v>23</v>
      </c>
      <c r="S3502" s="1" t="s">
        <v>34218</v>
      </c>
    </row>
    <row r="3503" spans="1:19" x14ac:dyDescent="0.25">
      <c r="A3503">
        <v>100984603</v>
      </c>
      <c r="B3503" t="s">
        <v>2890</v>
      </c>
      <c r="C3503" t="s">
        <v>1450</v>
      </c>
      <c r="G3503" t="s">
        <v>9230</v>
      </c>
      <c r="H3503" t="s">
        <v>9231</v>
      </c>
      <c r="I3503" t="s">
        <v>365</v>
      </c>
      <c r="J3503">
        <v>85118</v>
      </c>
      <c r="L3503" t="s">
        <v>23</v>
      </c>
      <c r="M3503" t="s">
        <v>9230</v>
      </c>
      <c r="N3503" t="s">
        <v>9231</v>
      </c>
      <c r="O3503" t="s">
        <v>365</v>
      </c>
      <c r="P3503">
        <v>85118</v>
      </c>
      <c r="R3503" t="s">
        <v>23</v>
      </c>
      <c r="S3503" s="1" t="s">
        <v>34218</v>
      </c>
    </row>
    <row r="3504" spans="1:19" x14ac:dyDescent="0.25">
      <c r="A3504">
        <v>100602077</v>
      </c>
      <c r="B3504" t="s">
        <v>7693</v>
      </c>
      <c r="C3504" t="s">
        <v>4719</v>
      </c>
      <c r="F3504" t="str">
        <f>"4438274318"</f>
        <v>4438274318</v>
      </c>
      <c r="G3504" t="s">
        <v>9232</v>
      </c>
      <c r="H3504" t="s">
        <v>3668</v>
      </c>
      <c r="I3504" t="s">
        <v>148</v>
      </c>
      <c r="J3504">
        <v>21214</v>
      </c>
      <c r="K3504">
        <v>1322</v>
      </c>
      <c r="L3504" t="s">
        <v>23</v>
      </c>
      <c r="M3504" t="s">
        <v>9232</v>
      </c>
      <c r="N3504" t="s">
        <v>3668</v>
      </c>
      <c r="O3504" t="s">
        <v>148</v>
      </c>
      <c r="P3504">
        <v>21214</v>
      </c>
      <c r="Q3504">
        <v>1322</v>
      </c>
      <c r="R3504" t="s">
        <v>23</v>
      </c>
      <c r="S3504" s="1" t="s">
        <v>34218</v>
      </c>
    </row>
    <row r="3505" spans="1:19" x14ac:dyDescent="0.25">
      <c r="A3505">
        <v>100606613</v>
      </c>
      <c r="B3505" t="s">
        <v>9233</v>
      </c>
      <c r="C3505" t="s">
        <v>9234</v>
      </c>
      <c r="G3505" t="s">
        <v>9235</v>
      </c>
      <c r="H3505" t="s">
        <v>9236</v>
      </c>
      <c r="I3505" t="s">
        <v>1387</v>
      </c>
      <c r="J3505">
        <v>35773</v>
      </c>
      <c r="K3505">
        <v>5709</v>
      </c>
      <c r="L3505" t="s">
        <v>23</v>
      </c>
      <c r="M3505" t="s">
        <v>9235</v>
      </c>
      <c r="N3505" t="s">
        <v>9236</v>
      </c>
      <c r="O3505" t="s">
        <v>1387</v>
      </c>
      <c r="P3505">
        <v>35773</v>
      </c>
      <c r="Q3505">
        <v>5709</v>
      </c>
      <c r="R3505" t="s">
        <v>23</v>
      </c>
      <c r="S3505" s="1" t="s">
        <v>34218</v>
      </c>
    </row>
    <row r="3506" spans="1:19" x14ac:dyDescent="0.25">
      <c r="A3506">
        <v>100617459</v>
      </c>
      <c r="B3506" t="s">
        <v>9237</v>
      </c>
      <c r="C3506" t="s">
        <v>90</v>
      </c>
      <c r="G3506" t="s">
        <v>9238</v>
      </c>
      <c r="H3506" t="s">
        <v>3230</v>
      </c>
      <c r="I3506" t="s">
        <v>22</v>
      </c>
      <c r="J3506">
        <v>95959</v>
      </c>
      <c r="K3506">
        <v>2914</v>
      </c>
      <c r="L3506" t="s">
        <v>23</v>
      </c>
      <c r="M3506" t="s">
        <v>9238</v>
      </c>
      <c r="N3506" t="s">
        <v>3230</v>
      </c>
      <c r="O3506" t="s">
        <v>22</v>
      </c>
      <c r="P3506">
        <v>95959</v>
      </c>
      <c r="Q3506">
        <v>2914</v>
      </c>
      <c r="R3506" t="s">
        <v>23</v>
      </c>
      <c r="S3506" s="1" t="s">
        <v>34218</v>
      </c>
    </row>
    <row r="3507" spans="1:19" x14ac:dyDescent="0.25">
      <c r="A3507">
        <v>100610308</v>
      </c>
      <c r="B3507" t="s">
        <v>1297</v>
      </c>
      <c r="C3507" t="s">
        <v>1176</v>
      </c>
      <c r="G3507" t="s">
        <v>9239</v>
      </c>
      <c r="H3507" t="s">
        <v>9240</v>
      </c>
      <c r="I3507" t="s">
        <v>250</v>
      </c>
      <c r="J3507">
        <v>7645</v>
      </c>
      <c r="K3507">
        <v>1114</v>
      </c>
      <c r="L3507" t="s">
        <v>23</v>
      </c>
      <c r="M3507" t="s">
        <v>9239</v>
      </c>
      <c r="N3507" t="s">
        <v>9240</v>
      </c>
      <c r="O3507" t="s">
        <v>250</v>
      </c>
      <c r="P3507">
        <v>7645</v>
      </c>
      <c r="Q3507">
        <v>1114</v>
      </c>
      <c r="R3507" t="s">
        <v>23</v>
      </c>
      <c r="S3507" s="1" t="s">
        <v>34218</v>
      </c>
    </row>
    <row r="3508" spans="1:19" x14ac:dyDescent="0.25">
      <c r="A3508">
        <v>100611972</v>
      </c>
      <c r="B3508" t="s">
        <v>9241</v>
      </c>
      <c r="C3508" t="s">
        <v>1239</v>
      </c>
      <c r="G3508" t="s">
        <v>9242</v>
      </c>
      <c r="H3508" t="s">
        <v>9243</v>
      </c>
      <c r="I3508" t="s">
        <v>446</v>
      </c>
      <c r="J3508">
        <v>28645</v>
      </c>
      <c r="K3508">
        <v>6531</v>
      </c>
      <c r="L3508" t="s">
        <v>23</v>
      </c>
      <c r="M3508" t="s">
        <v>9242</v>
      </c>
      <c r="N3508" t="s">
        <v>9243</v>
      </c>
      <c r="O3508" t="s">
        <v>446</v>
      </c>
      <c r="P3508">
        <v>28645</v>
      </c>
      <c r="Q3508">
        <v>6531</v>
      </c>
      <c r="R3508" t="s">
        <v>23</v>
      </c>
      <c r="S3508" s="1" t="s">
        <v>34218</v>
      </c>
    </row>
    <row r="3509" spans="1:19" x14ac:dyDescent="0.25">
      <c r="A3509">
        <v>101345604</v>
      </c>
      <c r="B3509" t="s">
        <v>9244</v>
      </c>
      <c r="C3509" t="s">
        <v>6375</v>
      </c>
      <c r="G3509" t="s">
        <v>9245</v>
      </c>
      <c r="H3509" t="s">
        <v>9246</v>
      </c>
      <c r="I3509" t="s">
        <v>117</v>
      </c>
      <c r="J3509">
        <v>10583</v>
      </c>
      <c r="K3509">
        <v>1358</v>
      </c>
      <c r="L3509" t="s">
        <v>23</v>
      </c>
      <c r="M3509" t="s">
        <v>9245</v>
      </c>
      <c r="N3509" t="s">
        <v>9246</v>
      </c>
      <c r="O3509" t="s">
        <v>117</v>
      </c>
      <c r="P3509">
        <v>10583</v>
      </c>
      <c r="Q3509">
        <v>1358</v>
      </c>
      <c r="R3509" t="s">
        <v>23</v>
      </c>
      <c r="S3509" s="1" t="s">
        <v>34218</v>
      </c>
    </row>
    <row r="3510" spans="1:19" x14ac:dyDescent="0.25">
      <c r="A3510">
        <v>101448187</v>
      </c>
      <c r="B3510" t="s">
        <v>9247</v>
      </c>
      <c r="C3510" t="s">
        <v>9248</v>
      </c>
      <c r="G3510" t="s">
        <v>9249</v>
      </c>
      <c r="H3510" t="s">
        <v>1207</v>
      </c>
      <c r="I3510" t="s">
        <v>22</v>
      </c>
      <c r="J3510">
        <v>95066</v>
      </c>
      <c r="K3510">
        <v>4030</v>
      </c>
      <c r="L3510" t="s">
        <v>23</v>
      </c>
      <c r="M3510" t="s">
        <v>9249</v>
      </c>
      <c r="N3510" t="s">
        <v>1207</v>
      </c>
      <c r="O3510" t="s">
        <v>22</v>
      </c>
      <c r="P3510">
        <v>95066</v>
      </c>
      <c r="Q3510">
        <v>4030</v>
      </c>
      <c r="R3510" t="s">
        <v>23</v>
      </c>
      <c r="S3510" s="1" t="s">
        <v>34218</v>
      </c>
    </row>
    <row r="3511" spans="1:19" x14ac:dyDescent="0.25">
      <c r="A3511">
        <v>101480843</v>
      </c>
      <c r="B3511" t="s">
        <v>208</v>
      </c>
      <c r="C3511" t="s">
        <v>403</v>
      </c>
      <c r="G3511" t="s">
        <v>9250</v>
      </c>
      <c r="H3511" t="s">
        <v>682</v>
      </c>
      <c r="I3511" t="s">
        <v>43</v>
      </c>
      <c r="J3511">
        <v>97535</v>
      </c>
      <c r="K3511">
        <v>6653</v>
      </c>
      <c r="L3511" t="s">
        <v>23</v>
      </c>
      <c r="M3511" t="s">
        <v>9250</v>
      </c>
      <c r="N3511" t="s">
        <v>682</v>
      </c>
      <c r="O3511" t="s">
        <v>43</v>
      </c>
      <c r="P3511">
        <v>97535</v>
      </c>
      <c r="Q3511">
        <v>6653</v>
      </c>
      <c r="R3511" t="s">
        <v>23</v>
      </c>
      <c r="S3511" s="1" t="s">
        <v>34218</v>
      </c>
    </row>
    <row r="3512" spans="1:19" x14ac:dyDescent="0.25">
      <c r="A3512">
        <v>101310709</v>
      </c>
      <c r="B3512" t="s">
        <v>1034</v>
      </c>
      <c r="C3512" t="s">
        <v>3643</v>
      </c>
      <c r="G3512" t="s">
        <v>9251</v>
      </c>
      <c r="H3512" t="s">
        <v>198</v>
      </c>
      <c r="I3512" t="s">
        <v>22</v>
      </c>
      <c r="J3512">
        <v>92104</v>
      </c>
      <c r="K3512">
        <v>3735</v>
      </c>
      <c r="L3512" t="s">
        <v>23</v>
      </c>
      <c r="M3512" t="s">
        <v>9251</v>
      </c>
      <c r="N3512" t="s">
        <v>198</v>
      </c>
      <c r="O3512" t="s">
        <v>22</v>
      </c>
      <c r="P3512">
        <v>92104</v>
      </c>
      <c r="Q3512">
        <v>3735</v>
      </c>
      <c r="R3512" t="s">
        <v>23</v>
      </c>
      <c r="S3512" s="1" t="s">
        <v>34218</v>
      </c>
    </row>
    <row r="3513" spans="1:19" x14ac:dyDescent="0.25">
      <c r="A3513">
        <v>101455325</v>
      </c>
      <c r="B3513" t="s">
        <v>4136</v>
      </c>
      <c r="C3513" t="s">
        <v>9252</v>
      </c>
      <c r="G3513" t="s">
        <v>9253</v>
      </c>
      <c r="H3513" t="s">
        <v>8526</v>
      </c>
      <c r="I3513" t="s">
        <v>22</v>
      </c>
      <c r="J3513">
        <v>92392</v>
      </c>
      <c r="K3513">
        <v>7988</v>
      </c>
      <c r="L3513" t="s">
        <v>23</v>
      </c>
      <c r="M3513" t="s">
        <v>9253</v>
      </c>
      <c r="N3513" t="s">
        <v>8526</v>
      </c>
      <c r="O3513" t="s">
        <v>22</v>
      </c>
      <c r="P3513">
        <v>92392</v>
      </c>
      <c r="Q3513">
        <v>7988</v>
      </c>
      <c r="R3513" t="s">
        <v>23</v>
      </c>
      <c r="S3513" s="1" t="s">
        <v>34218</v>
      </c>
    </row>
    <row r="3514" spans="1:19" x14ac:dyDescent="0.25">
      <c r="A3514">
        <v>101478689</v>
      </c>
      <c r="B3514" t="s">
        <v>9254</v>
      </c>
      <c r="C3514" t="s">
        <v>644</v>
      </c>
      <c r="G3514" t="s">
        <v>9255</v>
      </c>
      <c r="H3514" t="s">
        <v>1452</v>
      </c>
      <c r="I3514" t="s">
        <v>43</v>
      </c>
      <c r="J3514">
        <v>97401</v>
      </c>
      <c r="K3514">
        <v>2920</v>
      </c>
      <c r="L3514" t="s">
        <v>23</v>
      </c>
      <c r="M3514" t="s">
        <v>9255</v>
      </c>
      <c r="N3514" t="s">
        <v>1452</v>
      </c>
      <c r="O3514" t="s">
        <v>43</v>
      </c>
      <c r="P3514">
        <v>97401</v>
      </c>
      <c r="Q3514">
        <v>2920</v>
      </c>
      <c r="R3514" t="s">
        <v>23</v>
      </c>
      <c r="S3514" s="1" t="s">
        <v>34218</v>
      </c>
    </row>
    <row r="3515" spans="1:19" x14ac:dyDescent="0.25">
      <c r="A3515">
        <v>101450851</v>
      </c>
      <c r="B3515" t="s">
        <v>9256</v>
      </c>
      <c r="C3515" t="s">
        <v>7257</v>
      </c>
      <c r="G3515" t="s">
        <v>9257</v>
      </c>
      <c r="H3515" t="s">
        <v>1579</v>
      </c>
      <c r="I3515" t="s">
        <v>71</v>
      </c>
      <c r="J3515">
        <v>80010</v>
      </c>
      <c r="K3515">
        <v>1218</v>
      </c>
      <c r="L3515" t="s">
        <v>23</v>
      </c>
      <c r="M3515" t="s">
        <v>9257</v>
      </c>
      <c r="N3515" t="s">
        <v>1579</v>
      </c>
      <c r="O3515" t="s">
        <v>71</v>
      </c>
      <c r="P3515">
        <v>80010</v>
      </c>
      <c r="Q3515">
        <v>1218</v>
      </c>
      <c r="R3515" t="s">
        <v>23</v>
      </c>
      <c r="S3515" s="1" t="s">
        <v>34218</v>
      </c>
    </row>
    <row r="3516" spans="1:19" x14ac:dyDescent="0.25">
      <c r="A3516">
        <v>101337486</v>
      </c>
      <c r="B3516" t="s">
        <v>7006</v>
      </c>
      <c r="C3516" t="s">
        <v>9258</v>
      </c>
      <c r="G3516" t="s">
        <v>9259</v>
      </c>
      <c r="H3516" t="s">
        <v>9260</v>
      </c>
      <c r="I3516" t="s">
        <v>236</v>
      </c>
      <c r="J3516">
        <v>76139</v>
      </c>
      <c r="L3516" t="s">
        <v>23</v>
      </c>
      <c r="M3516" t="s">
        <v>9259</v>
      </c>
      <c r="N3516" t="s">
        <v>9260</v>
      </c>
      <c r="O3516" t="s">
        <v>236</v>
      </c>
      <c r="P3516">
        <v>76139</v>
      </c>
      <c r="R3516" t="s">
        <v>23</v>
      </c>
      <c r="S3516" s="1" t="s">
        <v>34218</v>
      </c>
    </row>
    <row r="3517" spans="1:19" x14ac:dyDescent="0.25">
      <c r="A3517">
        <v>101480858</v>
      </c>
      <c r="B3517" t="s">
        <v>9261</v>
      </c>
      <c r="C3517" t="s">
        <v>281</v>
      </c>
      <c r="G3517" t="s">
        <v>9262</v>
      </c>
      <c r="H3517" t="s">
        <v>9263</v>
      </c>
      <c r="I3517" t="s">
        <v>307</v>
      </c>
      <c r="J3517">
        <v>5000</v>
      </c>
      <c r="L3517" t="s">
        <v>23</v>
      </c>
      <c r="M3517" t="s">
        <v>9262</v>
      </c>
      <c r="N3517" t="s">
        <v>9263</v>
      </c>
      <c r="O3517" t="s">
        <v>307</v>
      </c>
      <c r="P3517">
        <v>5000</v>
      </c>
      <c r="R3517" t="s">
        <v>23</v>
      </c>
      <c r="S3517" s="1" t="s">
        <v>34218</v>
      </c>
    </row>
    <row r="3518" spans="1:19" x14ac:dyDescent="0.25">
      <c r="A3518">
        <v>101480862</v>
      </c>
      <c r="B3518" t="s">
        <v>3494</v>
      </c>
      <c r="C3518" t="s">
        <v>2056</v>
      </c>
      <c r="G3518" t="s">
        <v>9264</v>
      </c>
      <c r="H3518" t="s">
        <v>1863</v>
      </c>
      <c r="I3518" t="s">
        <v>126</v>
      </c>
      <c r="J3518">
        <v>64114</v>
      </c>
      <c r="K3518">
        <v>5309</v>
      </c>
      <c r="L3518" t="s">
        <v>23</v>
      </c>
      <c r="M3518" t="s">
        <v>9264</v>
      </c>
      <c r="N3518" t="s">
        <v>1863</v>
      </c>
      <c r="O3518" t="s">
        <v>126</v>
      </c>
      <c r="P3518">
        <v>64114</v>
      </c>
      <c r="Q3518">
        <v>5309</v>
      </c>
      <c r="R3518" t="s">
        <v>23</v>
      </c>
      <c r="S3518" s="1" t="s">
        <v>34218</v>
      </c>
    </row>
    <row r="3519" spans="1:19" x14ac:dyDescent="0.25">
      <c r="A3519">
        <v>101467855</v>
      </c>
      <c r="B3519" t="s">
        <v>9265</v>
      </c>
      <c r="C3519" t="s">
        <v>9266</v>
      </c>
      <c r="G3519" t="s">
        <v>9267</v>
      </c>
      <c r="H3519" t="s">
        <v>1531</v>
      </c>
      <c r="I3519" t="s">
        <v>84</v>
      </c>
      <c r="J3519">
        <v>98105</v>
      </c>
      <c r="K3519">
        <v>4007</v>
      </c>
      <c r="L3519" t="s">
        <v>23</v>
      </c>
      <c r="M3519" t="s">
        <v>9267</v>
      </c>
      <c r="N3519" t="s">
        <v>1531</v>
      </c>
      <c r="O3519" t="s">
        <v>84</v>
      </c>
      <c r="P3519">
        <v>98105</v>
      </c>
      <c r="Q3519">
        <v>4007</v>
      </c>
      <c r="R3519" t="s">
        <v>23</v>
      </c>
      <c r="S3519" s="1" t="s">
        <v>34218</v>
      </c>
    </row>
    <row r="3520" spans="1:19" x14ac:dyDescent="0.25">
      <c r="A3520">
        <v>100974117</v>
      </c>
      <c r="B3520" t="s">
        <v>9268</v>
      </c>
      <c r="C3520" t="s">
        <v>208</v>
      </c>
      <c r="G3520" t="s">
        <v>9269</v>
      </c>
      <c r="H3520" t="s">
        <v>4382</v>
      </c>
      <c r="I3520" t="s">
        <v>639</v>
      </c>
      <c r="J3520">
        <v>88011</v>
      </c>
      <c r="K3520">
        <v>4351</v>
      </c>
      <c r="L3520" t="s">
        <v>23</v>
      </c>
      <c r="M3520" t="s">
        <v>9269</v>
      </c>
      <c r="N3520" t="s">
        <v>4382</v>
      </c>
      <c r="O3520" t="s">
        <v>639</v>
      </c>
      <c r="P3520">
        <v>88011</v>
      </c>
      <c r="Q3520">
        <v>4351</v>
      </c>
      <c r="R3520" t="s">
        <v>23</v>
      </c>
      <c r="S3520" s="1" t="s">
        <v>34218</v>
      </c>
    </row>
    <row r="3521" spans="1:19" x14ac:dyDescent="0.25">
      <c r="A3521">
        <v>100787907</v>
      </c>
      <c r="B3521" t="s">
        <v>1144</v>
      </c>
      <c r="C3521" t="s">
        <v>1463</v>
      </c>
      <c r="G3521" t="s">
        <v>9270</v>
      </c>
      <c r="H3521" t="s">
        <v>9271</v>
      </c>
      <c r="I3521" t="s">
        <v>43</v>
      </c>
      <c r="J3521">
        <v>97062</v>
      </c>
      <c r="K3521">
        <v>7403</v>
      </c>
      <c r="L3521" t="s">
        <v>23</v>
      </c>
      <c r="M3521" t="s">
        <v>9270</v>
      </c>
      <c r="N3521" t="s">
        <v>9271</v>
      </c>
      <c r="O3521" t="s">
        <v>43</v>
      </c>
      <c r="P3521">
        <v>97062</v>
      </c>
      <c r="Q3521">
        <v>7403</v>
      </c>
      <c r="R3521" t="s">
        <v>23</v>
      </c>
      <c r="S3521" s="1" t="s">
        <v>34218</v>
      </c>
    </row>
    <row r="3522" spans="1:19" x14ac:dyDescent="0.25">
      <c r="A3522">
        <v>101473791</v>
      </c>
      <c r="B3522" t="s">
        <v>9272</v>
      </c>
      <c r="C3522" t="s">
        <v>846</v>
      </c>
      <c r="G3522" t="s">
        <v>9273</v>
      </c>
      <c r="H3522" t="s">
        <v>9274</v>
      </c>
      <c r="I3522" t="s">
        <v>71</v>
      </c>
      <c r="J3522">
        <v>81650</v>
      </c>
      <c r="K3522">
        <v>2129</v>
      </c>
      <c r="L3522" t="s">
        <v>23</v>
      </c>
      <c r="M3522" t="s">
        <v>9273</v>
      </c>
      <c r="N3522" t="s">
        <v>9274</v>
      </c>
      <c r="O3522" t="s">
        <v>71</v>
      </c>
      <c r="P3522">
        <v>81650</v>
      </c>
      <c r="Q3522">
        <v>2129</v>
      </c>
      <c r="R3522" t="s">
        <v>23</v>
      </c>
      <c r="S3522" s="1" t="s">
        <v>34218</v>
      </c>
    </row>
    <row r="3523" spans="1:19" x14ac:dyDescent="0.25">
      <c r="A3523">
        <v>101480866</v>
      </c>
      <c r="B3523" t="s">
        <v>7390</v>
      </c>
      <c r="C3523" t="s">
        <v>1327</v>
      </c>
      <c r="G3523" t="s">
        <v>9275</v>
      </c>
      <c r="H3523" t="s">
        <v>869</v>
      </c>
      <c r="I3523" t="s">
        <v>52</v>
      </c>
      <c r="J3523">
        <v>33126</v>
      </c>
      <c r="K3523">
        <v>6070</v>
      </c>
      <c r="L3523" t="s">
        <v>23</v>
      </c>
      <c r="M3523" t="s">
        <v>9275</v>
      </c>
      <c r="N3523" t="s">
        <v>869</v>
      </c>
      <c r="O3523" t="s">
        <v>52</v>
      </c>
      <c r="P3523">
        <v>33126</v>
      </c>
      <c r="Q3523">
        <v>6070</v>
      </c>
      <c r="R3523" t="s">
        <v>23</v>
      </c>
      <c r="S3523" s="1" t="s">
        <v>34218</v>
      </c>
    </row>
    <row r="3524" spans="1:19" x14ac:dyDescent="0.25">
      <c r="A3524">
        <v>101480872</v>
      </c>
      <c r="B3524" t="s">
        <v>9276</v>
      </c>
      <c r="C3524" t="s">
        <v>1374</v>
      </c>
      <c r="G3524" t="s">
        <v>9277</v>
      </c>
      <c r="H3524" t="s">
        <v>357</v>
      </c>
      <c r="I3524" t="s">
        <v>255</v>
      </c>
      <c r="J3524">
        <v>22314</v>
      </c>
      <c r="K3524">
        <v>6248</v>
      </c>
      <c r="L3524" t="s">
        <v>23</v>
      </c>
      <c r="M3524" t="s">
        <v>9277</v>
      </c>
      <c r="N3524" t="s">
        <v>357</v>
      </c>
      <c r="O3524" t="s">
        <v>255</v>
      </c>
      <c r="P3524">
        <v>22314</v>
      </c>
      <c r="Q3524">
        <v>6248</v>
      </c>
      <c r="R3524" t="s">
        <v>23</v>
      </c>
      <c r="S3524" s="1" t="s">
        <v>34218</v>
      </c>
    </row>
    <row r="3525" spans="1:19" x14ac:dyDescent="0.25">
      <c r="A3525">
        <v>101469633</v>
      </c>
      <c r="B3525" t="s">
        <v>9278</v>
      </c>
      <c r="C3525" t="s">
        <v>1327</v>
      </c>
      <c r="G3525">
        <v>2144</v>
      </c>
      <c r="H3525" t="s">
        <v>5179</v>
      </c>
      <c r="I3525" t="s">
        <v>236</v>
      </c>
      <c r="J3525">
        <v>2144</v>
      </c>
      <c r="L3525" t="s">
        <v>23</v>
      </c>
      <c r="M3525">
        <v>2144</v>
      </c>
      <c r="N3525" t="s">
        <v>5179</v>
      </c>
      <c r="O3525" t="s">
        <v>236</v>
      </c>
      <c r="P3525">
        <v>2144</v>
      </c>
      <c r="R3525" t="s">
        <v>23</v>
      </c>
      <c r="S3525" s="1" t="s">
        <v>34218</v>
      </c>
    </row>
    <row r="3526" spans="1:19" x14ac:dyDescent="0.25">
      <c r="A3526">
        <v>101480874</v>
      </c>
      <c r="B3526" t="s">
        <v>9279</v>
      </c>
      <c r="C3526" t="s">
        <v>2802</v>
      </c>
      <c r="G3526" t="s">
        <v>9280</v>
      </c>
      <c r="H3526" t="s">
        <v>5393</v>
      </c>
      <c r="I3526" t="s">
        <v>43</v>
      </c>
      <c r="J3526">
        <v>97086</v>
      </c>
      <c r="K3526">
        <v>7308</v>
      </c>
      <c r="L3526" t="s">
        <v>23</v>
      </c>
      <c r="M3526" t="s">
        <v>9280</v>
      </c>
      <c r="N3526" t="s">
        <v>5393</v>
      </c>
      <c r="O3526" t="s">
        <v>43</v>
      </c>
      <c r="P3526">
        <v>97086</v>
      </c>
      <c r="Q3526">
        <v>7308</v>
      </c>
      <c r="R3526" t="s">
        <v>23</v>
      </c>
      <c r="S3526" s="1" t="s">
        <v>34218</v>
      </c>
    </row>
    <row r="3527" spans="1:19" x14ac:dyDescent="0.25">
      <c r="A3527">
        <v>101477213</v>
      </c>
      <c r="B3527" t="s">
        <v>9281</v>
      </c>
      <c r="C3527" t="s">
        <v>1223</v>
      </c>
      <c r="G3527" t="s">
        <v>9282</v>
      </c>
      <c r="H3527" t="s">
        <v>2178</v>
      </c>
      <c r="I3527" t="s">
        <v>187</v>
      </c>
      <c r="J3527">
        <v>55803</v>
      </c>
      <c r="K3527">
        <v>1451</v>
      </c>
      <c r="L3527" t="s">
        <v>23</v>
      </c>
      <c r="M3527" t="s">
        <v>9282</v>
      </c>
      <c r="N3527" t="s">
        <v>2178</v>
      </c>
      <c r="O3527" t="s">
        <v>187</v>
      </c>
      <c r="P3527">
        <v>55803</v>
      </c>
      <c r="Q3527">
        <v>1451</v>
      </c>
      <c r="R3527" t="s">
        <v>23</v>
      </c>
      <c r="S3527" s="1" t="s">
        <v>34218</v>
      </c>
    </row>
    <row r="3528" spans="1:19" x14ac:dyDescent="0.25">
      <c r="A3528">
        <v>100894251</v>
      </c>
      <c r="B3528" t="s">
        <v>9283</v>
      </c>
      <c r="C3528" t="s">
        <v>6818</v>
      </c>
      <c r="G3528" t="s">
        <v>9284</v>
      </c>
      <c r="H3528" t="s">
        <v>6151</v>
      </c>
      <c r="I3528" t="s">
        <v>236</v>
      </c>
      <c r="J3528">
        <v>1523</v>
      </c>
      <c r="K3528">
        <v>3072</v>
      </c>
      <c r="L3528" t="s">
        <v>23</v>
      </c>
      <c r="M3528" t="s">
        <v>9284</v>
      </c>
      <c r="N3528" t="s">
        <v>6151</v>
      </c>
      <c r="O3528" t="s">
        <v>236</v>
      </c>
      <c r="P3528">
        <v>1523</v>
      </c>
      <c r="Q3528">
        <v>3072</v>
      </c>
      <c r="R3528" t="s">
        <v>23</v>
      </c>
      <c r="S3528" s="1" t="s">
        <v>34218</v>
      </c>
    </row>
    <row r="3529" spans="1:19" x14ac:dyDescent="0.25">
      <c r="A3529">
        <v>100607509</v>
      </c>
      <c r="B3529" t="s">
        <v>9285</v>
      </c>
      <c r="C3529" t="s">
        <v>1467</v>
      </c>
      <c r="G3529" t="s">
        <v>9286</v>
      </c>
      <c r="H3529" t="s">
        <v>92</v>
      </c>
      <c r="I3529" t="s">
        <v>84</v>
      </c>
      <c r="J3529">
        <v>98005</v>
      </c>
      <c r="K3529">
        <v>1605</v>
      </c>
      <c r="L3529" t="s">
        <v>23</v>
      </c>
      <c r="M3529" t="s">
        <v>9286</v>
      </c>
      <c r="N3529" t="s">
        <v>92</v>
      </c>
      <c r="O3529" t="s">
        <v>84</v>
      </c>
      <c r="P3529">
        <v>98005</v>
      </c>
      <c r="Q3529">
        <v>1605</v>
      </c>
      <c r="R3529" t="s">
        <v>23</v>
      </c>
      <c r="S3529" s="1" t="s">
        <v>34218</v>
      </c>
    </row>
    <row r="3530" spans="1:19" x14ac:dyDescent="0.25">
      <c r="A3530">
        <v>100606033</v>
      </c>
      <c r="B3530" t="s">
        <v>9287</v>
      </c>
      <c r="C3530" t="s">
        <v>9288</v>
      </c>
      <c r="G3530" t="s">
        <v>9289</v>
      </c>
      <c r="H3530" t="s">
        <v>2399</v>
      </c>
      <c r="I3530" t="s">
        <v>71</v>
      </c>
      <c r="J3530">
        <v>80526</v>
      </c>
      <c r="K3530">
        <v>2823</v>
      </c>
      <c r="L3530" t="s">
        <v>23</v>
      </c>
      <c r="M3530" t="s">
        <v>9289</v>
      </c>
      <c r="N3530" t="s">
        <v>2399</v>
      </c>
      <c r="O3530" t="s">
        <v>71</v>
      </c>
      <c r="P3530">
        <v>80526</v>
      </c>
      <c r="Q3530">
        <v>2823</v>
      </c>
      <c r="R3530" t="s">
        <v>23</v>
      </c>
      <c r="S3530" s="1" t="s">
        <v>34218</v>
      </c>
    </row>
    <row r="3531" spans="1:19" x14ac:dyDescent="0.25">
      <c r="A3531">
        <v>100611938</v>
      </c>
      <c r="B3531" t="s">
        <v>9290</v>
      </c>
      <c r="C3531" t="s">
        <v>158</v>
      </c>
      <c r="G3531" t="s">
        <v>9291</v>
      </c>
      <c r="H3531" t="s">
        <v>8215</v>
      </c>
      <c r="I3531" t="s">
        <v>1000</v>
      </c>
      <c r="J3531">
        <v>59922</v>
      </c>
      <c r="K3531">
        <v>917</v>
      </c>
      <c r="L3531" t="s">
        <v>23</v>
      </c>
      <c r="M3531" t="s">
        <v>9291</v>
      </c>
      <c r="N3531" t="s">
        <v>8215</v>
      </c>
      <c r="O3531" t="s">
        <v>1000</v>
      </c>
      <c r="P3531">
        <v>59922</v>
      </c>
      <c r="Q3531">
        <v>917</v>
      </c>
      <c r="R3531" t="s">
        <v>23</v>
      </c>
      <c r="S3531" s="1" t="s">
        <v>34218</v>
      </c>
    </row>
    <row r="3532" spans="1:19" x14ac:dyDescent="0.25">
      <c r="A3532">
        <v>100617136</v>
      </c>
      <c r="B3532" t="s">
        <v>9292</v>
      </c>
      <c r="C3532" t="s">
        <v>8613</v>
      </c>
      <c r="G3532" t="s">
        <v>9293</v>
      </c>
      <c r="H3532" t="s">
        <v>6317</v>
      </c>
      <c r="I3532" t="s">
        <v>161</v>
      </c>
      <c r="J3532">
        <v>6801</v>
      </c>
      <c r="K3532">
        <v>2814</v>
      </c>
      <c r="L3532" t="s">
        <v>23</v>
      </c>
      <c r="M3532" t="s">
        <v>9293</v>
      </c>
      <c r="N3532" t="s">
        <v>6317</v>
      </c>
      <c r="O3532" t="s">
        <v>161</v>
      </c>
      <c r="P3532">
        <v>6801</v>
      </c>
      <c r="Q3532">
        <v>2814</v>
      </c>
      <c r="R3532" t="s">
        <v>23</v>
      </c>
      <c r="S3532" s="1" t="s">
        <v>34218</v>
      </c>
    </row>
    <row r="3533" spans="1:19" x14ac:dyDescent="0.25">
      <c r="A3533">
        <v>100613966</v>
      </c>
      <c r="B3533" t="s">
        <v>9294</v>
      </c>
      <c r="C3533" t="s">
        <v>329</v>
      </c>
      <c r="G3533" t="s">
        <v>9295</v>
      </c>
      <c r="H3533" t="s">
        <v>9296</v>
      </c>
      <c r="I3533" t="s">
        <v>307</v>
      </c>
      <c r="J3533">
        <v>5491</v>
      </c>
      <c r="K3533">
        <v>9560</v>
      </c>
      <c r="L3533" t="s">
        <v>23</v>
      </c>
      <c r="M3533" t="s">
        <v>9295</v>
      </c>
      <c r="N3533" t="s">
        <v>9296</v>
      </c>
      <c r="O3533" t="s">
        <v>307</v>
      </c>
      <c r="P3533">
        <v>5491</v>
      </c>
      <c r="Q3533">
        <v>9560</v>
      </c>
      <c r="R3533" t="s">
        <v>23</v>
      </c>
      <c r="S3533" s="1" t="s">
        <v>34218</v>
      </c>
    </row>
    <row r="3534" spans="1:19" x14ac:dyDescent="0.25">
      <c r="A3534">
        <v>100619265</v>
      </c>
      <c r="B3534" t="s">
        <v>870</v>
      </c>
      <c r="C3534" t="s">
        <v>1588</v>
      </c>
      <c r="G3534" t="s">
        <v>9297</v>
      </c>
      <c r="H3534" t="s">
        <v>227</v>
      </c>
      <c r="I3534" t="s">
        <v>43</v>
      </c>
      <c r="J3534">
        <v>97225</v>
      </c>
      <c r="K3534">
        <v>2507</v>
      </c>
      <c r="L3534" t="s">
        <v>23</v>
      </c>
      <c r="M3534" t="s">
        <v>9297</v>
      </c>
      <c r="N3534" t="s">
        <v>227</v>
      </c>
      <c r="O3534" t="s">
        <v>43</v>
      </c>
      <c r="P3534">
        <v>97225</v>
      </c>
      <c r="Q3534">
        <v>2507</v>
      </c>
      <c r="R3534" t="s">
        <v>23</v>
      </c>
      <c r="S3534" s="1" t="s">
        <v>34218</v>
      </c>
    </row>
    <row r="3535" spans="1:19" x14ac:dyDescent="0.25">
      <c r="A3535">
        <v>100624816</v>
      </c>
      <c r="B3535" t="s">
        <v>333</v>
      </c>
      <c r="C3535" t="s">
        <v>2075</v>
      </c>
      <c r="G3535" t="s">
        <v>9298</v>
      </c>
      <c r="H3535" t="s">
        <v>9299</v>
      </c>
      <c r="I3535" t="s">
        <v>250</v>
      </c>
      <c r="J3535">
        <v>8520</v>
      </c>
      <c r="K3535">
        <v>1114</v>
      </c>
      <c r="L3535" t="s">
        <v>23</v>
      </c>
      <c r="M3535" t="s">
        <v>9298</v>
      </c>
      <c r="N3535" t="s">
        <v>9299</v>
      </c>
      <c r="O3535" t="s">
        <v>250</v>
      </c>
      <c r="P3535">
        <v>8520</v>
      </c>
      <c r="Q3535">
        <v>1114</v>
      </c>
      <c r="R3535" t="s">
        <v>23</v>
      </c>
      <c r="S3535" s="1" t="s">
        <v>34218</v>
      </c>
    </row>
    <row r="3536" spans="1:19" x14ac:dyDescent="0.25">
      <c r="A3536">
        <v>100815372</v>
      </c>
      <c r="B3536" t="s">
        <v>9300</v>
      </c>
      <c r="C3536" t="s">
        <v>180</v>
      </c>
      <c r="G3536" t="s">
        <v>9301</v>
      </c>
      <c r="H3536" t="s">
        <v>9011</v>
      </c>
      <c r="I3536" t="s">
        <v>639</v>
      </c>
      <c r="J3536">
        <v>87532</v>
      </c>
      <c r="K3536">
        <v>343</v>
      </c>
      <c r="L3536" t="s">
        <v>23</v>
      </c>
      <c r="M3536" t="s">
        <v>9301</v>
      </c>
      <c r="N3536" t="s">
        <v>9011</v>
      </c>
      <c r="O3536" t="s">
        <v>639</v>
      </c>
      <c r="P3536">
        <v>87532</v>
      </c>
      <c r="Q3536">
        <v>343</v>
      </c>
      <c r="R3536" t="s">
        <v>23</v>
      </c>
      <c r="S3536" s="1" t="s">
        <v>34218</v>
      </c>
    </row>
    <row r="3537" spans="1:19" x14ac:dyDescent="0.25">
      <c r="A3537">
        <v>100814613</v>
      </c>
      <c r="B3537" t="s">
        <v>7620</v>
      </c>
      <c r="C3537" t="s">
        <v>9302</v>
      </c>
      <c r="G3537" t="s">
        <v>9303</v>
      </c>
      <c r="H3537" t="s">
        <v>9304</v>
      </c>
      <c r="I3537" t="s">
        <v>191</v>
      </c>
      <c r="J3537">
        <v>4072</v>
      </c>
      <c r="K3537">
        <v>3514</v>
      </c>
      <c r="L3537" t="s">
        <v>23</v>
      </c>
      <c r="M3537" t="s">
        <v>9303</v>
      </c>
      <c r="N3537" t="s">
        <v>9304</v>
      </c>
      <c r="O3537" t="s">
        <v>191</v>
      </c>
      <c r="P3537">
        <v>4072</v>
      </c>
      <c r="Q3537">
        <v>3514</v>
      </c>
      <c r="R3537" t="s">
        <v>23</v>
      </c>
      <c r="S3537" s="1" t="s">
        <v>34218</v>
      </c>
    </row>
    <row r="3538" spans="1:19" x14ac:dyDescent="0.25">
      <c r="A3538">
        <v>100822800</v>
      </c>
      <c r="B3538" t="s">
        <v>5835</v>
      </c>
      <c r="C3538" t="s">
        <v>9305</v>
      </c>
      <c r="G3538" t="s">
        <v>9306</v>
      </c>
      <c r="H3538" t="s">
        <v>2341</v>
      </c>
      <c r="I3538" t="s">
        <v>100</v>
      </c>
      <c r="J3538">
        <v>53083</v>
      </c>
      <c r="K3538">
        <v>2308</v>
      </c>
      <c r="L3538" t="s">
        <v>23</v>
      </c>
      <c r="M3538" t="s">
        <v>9306</v>
      </c>
      <c r="N3538" t="s">
        <v>2341</v>
      </c>
      <c r="O3538" t="s">
        <v>100</v>
      </c>
      <c r="P3538">
        <v>53083</v>
      </c>
      <c r="Q3538">
        <v>2308</v>
      </c>
      <c r="R3538" t="s">
        <v>23</v>
      </c>
      <c r="S3538" s="1" t="s">
        <v>34218</v>
      </c>
    </row>
    <row r="3539" spans="1:19" x14ac:dyDescent="0.25">
      <c r="A3539">
        <v>100743498</v>
      </c>
      <c r="B3539" t="s">
        <v>9307</v>
      </c>
      <c r="C3539" t="s">
        <v>102</v>
      </c>
      <c r="G3539" t="s">
        <v>9308</v>
      </c>
      <c r="H3539" t="s">
        <v>9309</v>
      </c>
      <c r="I3539" t="s">
        <v>22</v>
      </c>
      <c r="J3539">
        <v>94551</v>
      </c>
      <c r="K3539">
        <v>1745</v>
      </c>
      <c r="L3539" t="s">
        <v>23</v>
      </c>
      <c r="M3539" t="s">
        <v>9308</v>
      </c>
      <c r="N3539" t="s">
        <v>9309</v>
      </c>
      <c r="O3539" t="s">
        <v>22</v>
      </c>
      <c r="P3539">
        <v>94551</v>
      </c>
      <c r="Q3539">
        <v>1745</v>
      </c>
      <c r="R3539" t="s">
        <v>23</v>
      </c>
      <c r="S3539" s="1" t="s">
        <v>34218</v>
      </c>
    </row>
    <row r="3540" spans="1:19" x14ac:dyDescent="0.25">
      <c r="A3540">
        <v>100746382</v>
      </c>
      <c r="B3540" t="s">
        <v>9310</v>
      </c>
      <c r="C3540" t="s">
        <v>1124</v>
      </c>
      <c r="G3540" t="s">
        <v>9311</v>
      </c>
      <c r="H3540" t="s">
        <v>1113</v>
      </c>
      <c r="I3540" t="s">
        <v>365</v>
      </c>
      <c r="J3540">
        <v>86004</v>
      </c>
      <c r="K3540">
        <v>1771</v>
      </c>
      <c r="L3540" t="s">
        <v>23</v>
      </c>
      <c r="M3540" t="s">
        <v>9311</v>
      </c>
      <c r="N3540" t="s">
        <v>1113</v>
      </c>
      <c r="O3540" t="s">
        <v>365</v>
      </c>
      <c r="P3540">
        <v>86004</v>
      </c>
      <c r="Q3540">
        <v>1771</v>
      </c>
      <c r="R3540" t="s">
        <v>23</v>
      </c>
      <c r="S3540" s="1" t="s">
        <v>34218</v>
      </c>
    </row>
    <row r="3541" spans="1:19" x14ac:dyDescent="0.25">
      <c r="A3541">
        <v>100747010</v>
      </c>
      <c r="B3541" t="s">
        <v>9312</v>
      </c>
      <c r="C3541" t="s">
        <v>9313</v>
      </c>
      <c r="G3541" t="s">
        <v>9314</v>
      </c>
      <c r="H3541" t="s">
        <v>125</v>
      </c>
      <c r="I3541" t="s">
        <v>126</v>
      </c>
      <c r="J3541">
        <v>63129</v>
      </c>
      <c r="K3541">
        <v>1684</v>
      </c>
      <c r="L3541" t="s">
        <v>23</v>
      </c>
      <c r="M3541" t="s">
        <v>9314</v>
      </c>
      <c r="N3541" t="s">
        <v>125</v>
      </c>
      <c r="O3541" t="s">
        <v>126</v>
      </c>
      <c r="P3541">
        <v>63129</v>
      </c>
      <c r="Q3541">
        <v>1684</v>
      </c>
      <c r="R3541" t="s">
        <v>23</v>
      </c>
      <c r="S3541" s="1" t="s">
        <v>34218</v>
      </c>
    </row>
    <row r="3542" spans="1:19" x14ac:dyDescent="0.25">
      <c r="A3542">
        <v>100748192</v>
      </c>
      <c r="B3542" t="s">
        <v>1528</v>
      </c>
      <c r="C3542" t="s">
        <v>3954</v>
      </c>
      <c r="G3542" t="s">
        <v>9315</v>
      </c>
      <c r="H3542" t="s">
        <v>9316</v>
      </c>
      <c r="I3542" t="s">
        <v>43</v>
      </c>
      <c r="J3542">
        <v>97346</v>
      </c>
      <c r="K3542">
        <v>9608</v>
      </c>
      <c r="L3542" t="s">
        <v>23</v>
      </c>
      <c r="M3542" t="s">
        <v>9315</v>
      </c>
      <c r="N3542" t="s">
        <v>9316</v>
      </c>
      <c r="O3542" t="s">
        <v>43</v>
      </c>
      <c r="P3542">
        <v>97346</v>
      </c>
      <c r="Q3542">
        <v>9608</v>
      </c>
      <c r="R3542" t="s">
        <v>23</v>
      </c>
      <c r="S3542" s="1" t="s">
        <v>34218</v>
      </c>
    </row>
    <row r="3543" spans="1:19" x14ac:dyDescent="0.25">
      <c r="A3543">
        <v>100751542</v>
      </c>
      <c r="B3543" t="s">
        <v>7491</v>
      </c>
      <c r="C3543" t="s">
        <v>30</v>
      </c>
      <c r="G3543" t="s">
        <v>9317</v>
      </c>
      <c r="H3543" t="s">
        <v>9318</v>
      </c>
      <c r="I3543" t="s">
        <v>117</v>
      </c>
      <c r="J3543">
        <v>11795</v>
      </c>
      <c r="K3543">
        <v>2927</v>
      </c>
      <c r="L3543" t="s">
        <v>23</v>
      </c>
      <c r="M3543" t="s">
        <v>9317</v>
      </c>
      <c r="N3543" t="s">
        <v>9318</v>
      </c>
      <c r="O3543" t="s">
        <v>117</v>
      </c>
      <c r="P3543">
        <v>11795</v>
      </c>
      <c r="Q3543">
        <v>2927</v>
      </c>
      <c r="R3543" t="s">
        <v>23</v>
      </c>
      <c r="S3543" s="1" t="s">
        <v>34218</v>
      </c>
    </row>
    <row r="3544" spans="1:19" x14ac:dyDescent="0.25">
      <c r="A3544">
        <v>100750552</v>
      </c>
      <c r="B3544" t="s">
        <v>9319</v>
      </c>
      <c r="C3544" t="s">
        <v>1422</v>
      </c>
      <c r="G3544" t="s">
        <v>9320</v>
      </c>
      <c r="H3544" t="s">
        <v>1448</v>
      </c>
      <c r="I3544" t="s">
        <v>33</v>
      </c>
      <c r="J3544">
        <v>19096</v>
      </c>
      <c r="K3544">
        <v>1433</v>
      </c>
      <c r="L3544" t="s">
        <v>23</v>
      </c>
      <c r="M3544" t="s">
        <v>9320</v>
      </c>
      <c r="N3544" t="s">
        <v>1448</v>
      </c>
      <c r="O3544" t="s">
        <v>33</v>
      </c>
      <c r="P3544">
        <v>19096</v>
      </c>
      <c r="Q3544">
        <v>1433</v>
      </c>
      <c r="R3544" t="s">
        <v>23</v>
      </c>
      <c r="S3544" s="1" t="s">
        <v>34218</v>
      </c>
    </row>
    <row r="3545" spans="1:19" x14ac:dyDescent="0.25">
      <c r="A3545">
        <v>100752912</v>
      </c>
      <c r="B3545" t="s">
        <v>9321</v>
      </c>
      <c r="C3545" t="s">
        <v>9322</v>
      </c>
      <c r="G3545" t="s">
        <v>9323</v>
      </c>
      <c r="H3545" t="s">
        <v>1105</v>
      </c>
      <c r="I3545" t="s">
        <v>117</v>
      </c>
      <c r="J3545">
        <v>10463</v>
      </c>
      <c r="K3545">
        <v>1784</v>
      </c>
      <c r="L3545" t="s">
        <v>23</v>
      </c>
      <c r="M3545" t="s">
        <v>9323</v>
      </c>
      <c r="N3545" t="s">
        <v>1105</v>
      </c>
      <c r="O3545" t="s">
        <v>117</v>
      </c>
      <c r="P3545">
        <v>10463</v>
      </c>
      <c r="Q3545">
        <v>1784</v>
      </c>
      <c r="R3545" t="s">
        <v>23</v>
      </c>
      <c r="S3545" s="1" t="s">
        <v>34218</v>
      </c>
    </row>
    <row r="3546" spans="1:19" x14ac:dyDescent="0.25">
      <c r="A3546">
        <v>100753100</v>
      </c>
      <c r="B3546" t="s">
        <v>9324</v>
      </c>
      <c r="C3546" t="s">
        <v>1176</v>
      </c>
      <c r="F3546" t="str">
        <f>"5867758475"</f>
        <v>5867758475</v>
      </c>
      <c r="G3546" t="s">
        <v>9325</v>
      </c>
      <c r="H3546" t="s">
        <v>2132</v>
      </c>
      <c r="I3546" t="s">
        <v>140</v>
      </c>
      <c r="J3546">
        <v>48088</v>
      </c>
      <c r="K3546">
        <v>3957</v>
      </c>
      <c r="L3546" t="s">
        <v>23</v>
      </c>
      <c r="M3546" t="s">
        <v>9325</v>
      </c>
      <c r="N3546" t="s">
        <v>2132</v>
      </c>
      <c r="O3546" t="s">
        <v>140</v>
      </c>
      <c r="P3546">
        <v>48088</v>
      </c>
      <c r="Q3546">
        <v>3957</v>
      </c>
      <c r="R3546" t="s">
        <v>23</v>
      </c>
      <c r="S3546" s="1" t="s">
        <v>34218</v>
      </c>
    </row>
    <row r="3547" spans="1:19" x14ac:dyDescent="0.25">
      <c r="A3547">
        <v>100755059</v>
      </c>
      <c r="B3547" t="s">
        <v>2459</v>
      </c>
      <c r="C3547" t="s">
        <v>8322</v>
      </c>
      <c r="G3547" t="s">
        <v>9326</v>
      </c>
      <c r="H3547" t="s">
        <v>2279</v>
      </c>
      <c r="I3547" t="s">
        <v>52</v>
      </c>
      <c r="J3547">
        <v>33613</v>
      </c>
      <c r="K3547">
        <v>1706</v>
      </c>
      <c r="L3547" t="s">
        <v>23</v>
      </c>
      <c r="M3547" t="s">
        <v>9326</v>
      </c>
      <c r="N3547" t="s">
        <v>2279</v>
      </c>
      <c r="O3547" t="s">
        <v>52</v>
      </c>
      <c r="P3547">
        <v>33613</v>
      </c>
      <c r="Q3547">
        <v>1706</v>
      </c>
      <c r="R3547" t="s">
        <v>23</v>
      </c>
      <c r="S3547" s="1" t="s">
        <v>34218</v>
      </c>
    </row>
    <row r="3548" spans="1:19" x14ac:dyDescent="0.25">
      <c r="A3548">
        <v>100747689</v>
      </c>
      <c r="B3548" t="s">
        <v>9327</v>
      </c>
      <c r="C3548" t="s">
        <v>739</v>
      </c>
      <c r="G3548" t="s">
        <v>9328</v>
      </c>
      <c r="H3548" t="s">
        <v>9329</v>
      </c>
      <c r="I3548" t="s">
        <v>43</v>
      </c>
      <c r="J3548">
        <v>97327</v>
      </c>
      <c r="K3548">
        <v>9510</v>
      </c>
      <c r="L3548" t="s">
        <v>23</v>
      </c>
      <c r="M3548" t="s">
        <v>9328</v>
      </c>
      <c r="N3548" t="s">
        <v>9329</v>
      </c>
      <c r="O3548" t="s">
        <v>43</v>
      </c>
      <c r="P3548">
        <v>97327</v>
      </c>
      <c r="Q3548">
        <v>9510</v>
      </c>
      <c r="R3548" t="s">
        <v>23</v>
      </c>
      <c r="S3548" s="1" t="s">
        <v>34218</v>
      </c>
    </row>
    <row r="3549" spans="1:19" x14ac:dyDescent="0.25">
      <c r="A3549">
        <v>101370475</v>
      </c>
      <c r="B3549" t="s">
        <v>9330</v>
      </c>
      <c r="C3549" t="s">
        <v>403</v>
      </c>
      <c r="G3549" t="s">
        <v>9331</v>
      </c>
      <c r="H3549" t="s">
        <v>9332</v>
      </c>
      <c r="I3549" t="s">
        <v>117</v>
      </c>
      <c r="J3549">
        <v>10545</v>
      </c>
      <c r="L3549" t="s">
        <v>23</v>
      </c>
      <c r="M3549" t="s">
        <v>9331</v>
      </c>
      <c r="N3549" t="s">
        <v>9332</v>
      </c>
      <c r="O3549" t="s">
        <v>117</v>
      </c>
      <c r="P3549">
        <v>10545</v>
      </c>
      <c r="R3549" t="s">
        <v>23</v>
      </c>
      <c r="S3549" s="1" t="s">
        <v>34218</v>
      </c>
    </row>
    <row r="3550" spans="1:19" x14ac:dyDescent="0.25">
      <c r="A3550">
        <v>101480842</v>
      </c>
      <c r="B3550" t="s">
        <v>9333</v>
      </c>
      <c r="C3550" t="s">
        <v>266</v>
      </c>
      <c r="G3550" t="s">
        <v>9334</v>
      </c>
      <c r="H3550" t="s">
        <v>125</v>
      </c>
      <c r="I3550" t="s">
        <v>126</v>
      </c>
      <c r="J3550">
        <v>63111</v>
      </c>
      <c r="L3550" t="s">
        <v>23</v>
      </c>
      <c r="M3550" t="s">
        <v>9334</v>
      </c>
      <c r="N3550" t="s">
        <v>125</v>
      </c>
      <c r="O3550" t="s">
        <v>126</v>
      </c>
      <c r="P3550">
        <v>63111</v>
      </c>
      <c r="R3550" t="s">
        <v>23</v>
      </c>
      <c r="S3550" s="1" t="s">
        <v>34218</v>
      </c>
    </row>
    <row r="3551" spans="1:19" x14ac:dyDescent="0.25">
      <c r="A3551">
        <v>101473286</v>
      </c>
      <c r="B3551" t="s">
        <v>9335</v>
      </c>
      <c r="C3551" t="s">
        <v>728</v>
      </c>
      <c r="G3551" t="s">
        <v>9336</v>
      </c>
      <c r="H3551" t="s">
        <v>27</v>
      </c>
      <c r="I3551" t="s">
        <v>28</v>
      </c>
      <c r="J3551">
        <v>30344</v>
      </c>
      <c r="K3551">
        <v>4124</v>
      </c>
      <c r="L3551" t="s">
        <v>23</v>
      </c>
      <c r="M3551" t="s">
        <v>9336</v>
      </c>
      <c r="N3551" t="s">
        <v>27</v>
      </c>
      <c r="O3551" t="s">
        <v>28</v>
      </c>
      <c r="P3551">
        <v>30344</v>
      </c>
      <c r="Q3551">
        <v>4124</v>
      </c>
      <c r="R3551" t="s">
        <v>23</v>
      </c>
      <c r="S3551" s="1" t="s">
        <v>34218</v>
      </c>
    </row>
    <row r="3552" spans="1:19" x14ac:dyDescent="0.25">
      <c r="A3552">
        <v>101479424</v>
      </c>
      <c r="B3552" t="s">
        <v>7325</v>
      </c>
      <c r="C3552" t="s">
        <v>9337</v>
      </c>
      <c r="G3552" t="s">
        <v>9338</v>
      </c>
      <c r="H3552" t="s">
        <v>4606</v>
      </c>
      <c r="I3552" t="s">
        <v>984</v>
      </c>
      <c r="J3552">
        <v>96766</v>
      </c>
      <c r="K3552">
        <v>8132</v>
      </c>
      <c r="L3552" t="s">
        <v>23</v>
      </c>
      <c r="M3552" t="s">
        <v>9338</v>
      </c>
      <c r="N3552" t="s">
        <v>4606</v>
      </c>
      <c r="O3552" t="s">
        <v>984</v>
      </c>
      <c r="P3552">
        <v>96766</v>
      </c>
      <c r="Q3552">
        <v>8132</v>
      </c>
      <c r="R3552" t="s">
        <v>23</v>
      </c>
      <c r="S3552" s="1" t="s">
        <v>34218</v>
      </c>
    </row>
    <row r="3553" spans="1:19" x14ac:dyDescent="0.25">
      <c r="A3553">
        <v>100701486</v>
      </c>
      <c r="B3553" t="s">
        <v>9339</v>
      </c>
      <c r="C3553" t="s">
        <v>9340</v>
      </c>
      <c r="G3553" t="s">
        <v>9341</v>
      </c>
      <c r="H3553" t="s">
        <v>8662</v>
      </c>
      <c r="I3553" t="s">
        <v>153</v>
      </c>
      <c r="J3553">
        <v>70121</v>
      </c>
      <c r="K3553">
        <v>1846</v>
      </c>
      <c r="L3553" t="s">
        <v>23</v>
      </c>
      <c r="M3553" t="s">
        <v>9341</v>
      </c>
      <c r="N3553" t="s">
        <v>8662</v>
      </c>
      <c r="O3553" t="s">
        <v>153</v>
      </c>
      <c r="P3553">
        <v>70121</v>
      </c>
      <c r="Q3553">
        <v>1846</v>
      </c>
      <c r="R3553" t="s">
        <v>23</v>
      </c>
      <c r="S3553" s="1" t="s">
        <v>34218</v>
      </c>
    </row>
    <row r="3554" spans="1:19" x14ac:dyDescent="0.25">
      <c r="A3554">
        <v>101074091</v>
      </c>
      <c r="B3554" t="s">
        <v>9342</v>
      </c>
      <c r="C3554" t="s">
        <v>286</v>
      </c>
      <c r="G3554" t="s">
        <v>9343</v>
      </c>
      <c r="H3554" t="s">
        <v>299</v>
      </c>
      <c r="I3554" t="s">
        <v>22</v>
      </c>
      <c r="J3554">
        <v>90035</v>
      </c>
      <c r="K3554">
        <v>3658</v>
      </c>
      <c r="L3554" t="s">
        <v>23</v>
      </c>
      <c r="M3554" t="s">
        <v>9343</v>
      </c>
      <c r="N3554" t="s">
        <v>299</v>
      </c>
      <c r="O3554" t="s">
        <v>22</v>
      </c>
      <c r="P3554">
        <v>90035</v>
      </c>
      <c r="Q3554">
        <v>3658</v>
      </c>
      <c r="R3554" t="s">
        <v>23</v>
      </c>
      <c r="S3554" s="1" t="s">
        <v>34218</v>
      </c>
    </row>
    <row r="3555" spans="1:19" x14ac:dyDescent="0.25">
      <c r="A3555">
        <v>101477691</v>
      </c>
      <c r="B3555" t="s">
        <v>9344</v>
      </c>
      <c r="C3555" t="s">
        <v>68</v>
      </c>
      <c r="G3555" t="s">
        <v>9345</v>
      </c>
      <c r="H3555" t="s">
        <v>471</v>
      </c>
      <c r="I3555" t="s">
        <v>365</v>
      </c>
      <c r="J3555">
        <v>85258</v>
      </c>
      <c r="K3555">
        <v>6220</v>
      </c>
      <c r="L3555" t="s">
        <v>23</v>
      </c>
      <c r="M3555" t="s">
        <v>9345</v>
      </c>
      <c r="N3555" t="s">
        <v>471</v>
      </c>
      <c r="O3555" t="s">
        <v>365</v>
      </c>
      <c r="P3555">
        <v>85258</v>
      </c>
      <c r="Q3555">
        <v>6220</v>
      </c>
      <c r="R3555" t="s">
        <v>23</v>
      </c>
      <c r="S3555" s="1" t="s">
        <v>34218</v>
      </c>
    </row>
    <row r="3556" spans="1:19" x14ac:dyDescent="0.25">
      <c r="A3556">
        <v>101470654</v>
      </c>
      <c r="B3556" t="s">
        <v>4212</v>
      </c>
      <c r="C3556" t="s">
        <v>1450</v>
      </c>
      <c r="G3556" t="s">
        <v>9346</v>
      </c>
      <c r="H3556" t="s">
        <v>9347</v>
      </c>
      <c r="I3556" t="s">
        <v>1482</v>
      </c>
      <c r="J3556">
        <v>29730</v>
      </c>
      <c r="K3556">
        <v>7983</v>
      </c>
      <c r="L3556" t="s">
        <v>23</v>
      </c>
      <c r="M3556" t="s">
        <v>9346</v>
      </c>
      <c r="N3556" t="s">
        <v>9347</v>
      </c>
      <c r="O3556" t="s">
        <v>1482</v>
      </c>
      <c r="P3556">
        <v>29730</v>
      </c>
      <c r="Q3556">
        <v>7983</v>
      </c>
      <c r="R3556" t="s">
        <v>23</v>
      </c>
      <c r="S3556" s="1" t="s">
        <v>34218</v>
      </c>
    </row>
    <row r="3557" spans="1:19" x14ac:dyDescent="0.25">
      <c r="A3557">
        <v>101480859</v>
      </c>
      <c r="B3557" t="s">
        <v>9348</v>
      </c>
      <c r="C3557" t="s">
        <v>9349</v>
      </c>
      <c r="G3557" t="s">
        <v>9350</v>
      </c>
      <c r="H3557" t="s">
        <v>438</v>
      </c>
      <c r="I3557" t="s">
        <v>71</v>
      </c>
      <c r="J3557">
        <v>80504</v>
      </c>
      <c r="K3557">
        <v>3708</v>
      </c>
      <c r="L3557" t="s">
        <v>23</v>
      </c>
      <c r="M3557" t="s">
        <v>9350</v>
      </c>
      <c r="N3557" t="s">
        <v>438</v>
      </c>
      <c r="O3557" t="s">
        <v>71</v>
      </c>
      <c r="P3557">
        <v>80504</v>
      </c>
      <c r="Q3557">
        <v>3708</v>
      </c>
      <c r="R3557" t="s">
        <v>23</v>
      </c>
      <c r="S3557" s="1" t="s">
        <v>34218</v>
      </c>
    </row>
    <row r="3558" spans="1:19" x14ac:dyDescent="0.25">
      <c r="A3558">
        <v>101413411</v>
      </c>
      <c r="B3558" t="s">
        <v>281</v>
      </c>
      <c r="C3558" t="s">
        <v>1555</v>
      </c>
      <c r="G3558" t="s">
        <v>9351</v>
      </c>
      <c r="H3558" t="s">
        <v>393</v>
      </c>
      <c r="I3558" t="s">
        <v>71</v>
      </c>
      <c r="J3558">
        <v>80210</v>
      </c>
      <c r="K3558">
        <v>2820</v>
      </c>
      <c r="L3558" t="s">
        <v>23</v>
      </c>
      <c r="M3558" t="s">
        <v>9351</v>
      </c>
      <c r="N3558" t="s">
        <v>393</v>
      </c>
      <c r="O3558" t="s">
        <v>71</v>
      </c>
      <c r="P3558">
        <v>80210</v>
      </c>
      <c r="Q3558">
        <v>2820</v>
      </c>
      <c r="R3558" t="s">
        <v>23</v>
      </c>
      <c r="S3558" s="1" t="s">
        <v>34218</v>
      </c>
    </row>
    <row r="3559" spans="1:19" x14ac:dyDescent="0.25">
      <c r="A3559">
        <v>100658940</v>
      </c>
      <c r="B3559" t="s">
        <v>6147</v>
      </c>
      <c r="C3559" t="s">
        <v>9352</v>
      </c>
      <c r="G3559" t="s">
        <v>9353</v>
      </c>
      <c r="H3559" t="s">
        <v>9354</v>
      </c>
      <c r="I3559" t="s">
        <v>71</v>
      </c>
      <c r="J3559">
        <v>81413</v>
      </c>
      <c r="K3559">
        <v>25</v>
      </c>
      <c r="L3559" t="s">
        <v>23</v>
      </c>
      <c r="M3559" t="s">
        <v>9353</v>
      </c>
      <c r="N3559" t="s">
        <v>9354</v>
      </c>
      <c r="O3559" t="s">
        <v>71</v>
      </c>
      <c r="P3559">
        <v>81413</v>
      </c>
      <c r="Q3559">
        <v>25</v>
      </c>
      <c r="R3559" t="s">
        <v>23</v>
      </c>
      <c r="S3559" s="1" t="s">
        <v>34218</v>
      </c>
    </row>
    <row r="3560" spans="1:19" x14ac:dyDescent="0.25">
      <c r="A3560">
        <v>101455069</v>
      </c>
      <c r="B3560" t="s">
        <v>9355</v>
      </c>
      <c r="C3560" t="s">
        <v>1933</v>
      </c>
      <c r="G3560" t="s">
        <v>9356</v>
      </c>
      <c r="H3560" t="s">
        <v>9357</v>
      </c>
      <c r="I3560" t="s">
        <v>1226</v>
      </c>
      <c r="J3560">
        <v>39759</v>
      </c>
      <c r="K3560">
        <v>9557</v>
      </c>
      <c r="L3560" t="s">
        <v>23</v>
      </c>
      <c r="M3560" t="s">
        <v>9356</v>
      </c>
      <c r="N3560" t="s">
        <v>9357</v>
      </c>
      <c r="O3560" t="s">
        <v>1226</v>
      </c>
      <c r="P3560">
        <v>39759</v>
      </c>
      <c r="Q3560">
        <v>9557</v>
      </c>
      <c r="R3560" t="s">
        <v>23</v>
      </c>
      <c r="S3560" s="1" t="s">
        <v>34218</v>
      </c>
    </row>
    <row r="3561" spans="1:19" x14ac:dyDescent="0.25">
      <c r="A3561">
        <v>100766518</v>
      </c>
      <c r="B3561" t="s">
        <v>303</v>
      </c>
      <c r="C3561" t="s">
        <v>382</v>
      </c>
      <c r="G3561" t="s">
        <v>9358</v>
      </c>
      <c r="H3561" t="s">
        <v>913</v>
      </c>
      <c r="I3561" t="s">
        <v>914</v>
      </c>
      <c r="J3561">
        <v>37210</v>
      </c>
      <c r="K3561">
        <v>2723</v>
      </c>
      <c r="L3561" t="s">
        <v>23</v>
      </c>
      <c r="M3561" t="s">
        <v>9358</v>
      </c>
      <c r="N3561" t="s">
        <v>913</v>
      </c>
      <c r="O3561" t="s">
        <v>914</v>
      </c>
      <c r="P3561">
        <v>37210</v>
      </c>
      <c r="Q3561">
        <v>2723</v>
      </c>
      <c r="R3561" t="s">
        <v>23</v>
      </c>
      <c r="S3561" s="1" t="s">
        <v>34218</v>
      </c>
    </row>
    <row r="3562" spans="1:19" x14ac:dyDescent="0.25">
      <c r="A3562">
        <v>101426459</v>
      </c>
      <c r="B3562" t="s">
        <v>9359</v>
      </c>
      <c r="C3562" t="s">
        <v>9360</v>
      </c>
      <c r="G3562" t="s">
        <v>9361</v>
      </c>
      <c r="H3562" t="s">
        <v>9362</v>
      </c>
      <c r="I3562" t="s">
        <v>33</v>
      </c>
      <c r="J3562">
        <v>16648</v>
      </c>
      <c r="K3562">
        <v>2417</v>
      </c>
      <c r="L3562" t="s">
        <v>23</v>
      </c>
      <c r="M3562" t="s">
        <v>9361</v>
      </c>
      <c r="N3562" t="s">
        <v>9362</v>
      </c>
      <c r="O3562" t="s">
        <v>33</v>
      </c>
      <c r="P3562">
        <v>16648</v>
      </c>
      <c r="Q3562">
        <v>2417</v>
      </c>
      <c r="R3562" t="s">
        <v>23</v>
      </c>
      <c r="S3562" s="1" t="s">
        <v>34218</v>
      </c>
    </row>
    <row r="3563" spans="1:19" x14ac:dyDescent="0.25">
      <c r="A3563">
        <v>100881593</v>
      </c>
      <c r="B3563" t="s">
        <v>9363</v>
      </c>
      <c r="C3563" t="s">
        <v>4078</v>
      </c>
      <c r="G3563" t="s">
        <v>9364</v>
      </c>
      <c r="H3563" t="s">
        <v>9365</v>
      </c>
      <c r="I3563" t="s">
        <v>1482</v>
      </c>
      <c r="J3563">
        <v>29170</v>
      </c>
      <c r="L3563" t="s">
        <v>23</v>
      </c>
      <c r="M3563" t="s">
        <v>9364</v>
      </c>
      <c r="N3563" t="s">
        <v>9365</v>
      </c>
      <c r="O3563" t="s">
        <v>1482</v>
      </c>
      <c r="P3563">
        <v>29170</v>
      </c>
      <c r="R3563" t="s">
        <v>23</v>
      </c>
      <c r="S3563" s="1" t="s">
        <v>34218</v>
      </c>
    </row>
    <row r="3564" spans="1:19" x14ac:dyDescent="0.25">
      <c r="A3564">
        <v>101480869</v>
      </c>
      <c r="B3564" t="s">
        <v>9366</v>
      </c>
      <c r="C3564" t="s">
        <v>763</v>
      </c>
      <c r="G3564" t="s">
        <v>9367</v>
      </c>
      <c r="H3564" t="s">
        <v>9368</v>
      </c>
      <c r="I3564" t="s">
        <v>353</v>
      </c>
      <c r="J3564">
        <v>3062</v>
      </c>
      <c r="K3564">
        <v>3576</v>
      </c>
      <c r="L3564" t="s">
        <v>23</v>
      </c>
      <c r="M3564" t="s">
        <v>9367</v>
      </c>
      <c r="N3564" t="s">
        <v>9368</v>
      </c>
      <c r="O3564" t="s">
        <v>353</v>
      </c>
      <c r="P3564">
        <v>3062</v>
      </c>
      <c r="Q3564">
        <v>3576</v>
      </c>
      <c r="R3564" t="s">
        <v>23</v>
      </c>
      <c r="S3564" s="1" t="s">
        <v>34218</v>
      </c>
    </row>
    <row r="3565" spans="1:19" x14ac:dyDescent="0.25">
      <c r="A3565">
        <v>101465334</v>
      </c>
      <c r="B3565" t="s">
        <v>199</v>
      </c>
      <c r="C3565" t="s">
        <v>9369</v>
      </c>
      <c r="G3565" t="s">
        <v>9370</v>
      </c>
      <c r="H3565" t="s">
        <v>169</v>
      </c>
      <c r="I3565" t="s">
        <v>170</v>
      </c>
      <c r="J3565">
        <v>20008</v>
      </c>
      <c r="K3565">
        <v>3476</v>
      </c>
      <c r="L3565" t="s">
        <v>23</v>
      </c>
      <c r="M3565" t="s">
        <v>9370</v>
      </c>
      <c r="N3565" t="s">
        <v>169</v>
      </c>
      <c r="O3565" t="s">
        <v>170</v>
      </c>
      <c r="P3565">
        <v>20008</v>
      </c>
      <c r="Q3565">
        <v>3476</v>
      </c>
      <c r="R3565" t="s">
        <v>23</v>
      </c>
      <c r="S3565" s="1" t="s">
        <v>34218</v>
      </c>
    </row>
    <row r="3566" spans="1:19" x14ac:dyDescent="0.25">
      <c r="A3566">
        <v>101477020</v>
      </c>
      <c r="B3566" t="s">
        <v>5216</v>
      </c>
      <c r="C3566" t="s">
        <v>9371</v>
      </c>
      <c r="G3566" t="s">
        <v>9372</v>
      </c>
      <c r="H3566" t="s">
        <v>3388</v>
      </c>
      <c r="I3566" t="s">
        <v>22</v>
      </c>
      <c r="J3566">
        <v>91739</v>
      </c>
      <c r="K3566">
        <v>9758</v>
      </c>
      <c r="L3566" t="s">
        <v>23</v>
      </c>
      <c r="M3566" t="s">
        <v>9372</v>
      </c>
      <c r="N3566" t="s">
        <v>3388</v>
      </c>
      <c r="O3566" t="s">
        <v>22</v>
      </c>
      <c r="P3566">
        <v>91739</v>
      </c>
      <c r="Q3566">
        <v>9758</v>
      </c>
      <c r="R3566" t="s">
        <v>23</v>
      </c>
      <c r="S3566" s="1" t="s">
        <v>34218</v>
      </c>
    </row>
    <row r="3567" spans="1:19" x14ac:dyDescent="0.25">
      <c r="A3567">
        <v>101015035</v>
      </c>
      <c r="B3567" t="s">
        <v>9373</v>
      </c>
      <c r="C3567" t="s">
        <v>225</v>
      </c>
      <c r="G3567" t="s">
        <v>9374</v>
      </c>
      <c r="H3567" t="s">
        <v>9375</v>
      </c>
      <c r="I3567" t="s">
        <v>52</v>
      </c>
      <c r="J3567">
        <v>32952</v>
      </c>
      <c r="K3567">
        <v>4106</v>
      </c>
      <c r="L3567" t="s">
        <v>23</v>
      </c>
      <c r="M3567" t="s">
        <v>9374</v>
      </c>
      <c r="N3567" t="s">
        <v>9375</v>
      </c>
      <c r="O3567" t="s">
        <v>52</v>
      </c>
      <c r="P3567">
        <v>32952</v>
      </c>
      <c r="Q3567">
        <v>4106</v>
      </c>
      <c r="R3567" t="s">
        <v>23</v>
      </c>
      <c r="S3567" s="1" t="s">
        <v>34218</v>
      </c>
    </row>
    <row r="3568" spans="1:19" x14ac:dyDescent="0.25">
      <c r="A3568">
        <v>101429176</v>
      </c>
      <c r="B3568" t="s">
        <v>9373</v>
      </c>
      <c r="C3568" t="s">
        <v>40</v>
      </c>
      <c r="G3568" t="s">
        <v>9376</v>
      </c>
      <c r="H3568" t="s">
        <v>1250</v>
      </c>
      <c r="I3568" t="s">
        <v>52</v>
      </c>
      <c r="J3568">
        <v>34476</v>
      </c>
      <c r="K3568">
        <v>7038</v>
      </c>
      <c r="L3568" t="s">
        <v>23</v>
      </c>
      <c r="M3568" t="s">
        <v>9376</v>
      </c>
      <c r="N3568" t="s">
        <v>1250</v>
      </c>
      <c r="O3568" t="s">
        <v>52</v>
      </c>
      <c r="P3568">
        <v>34476</v>
      </c>
      <c r="Q3568">
        <v>7038</v>
      </c>
      <c r="R3568" t="s">
        <v>23</v>
      </c>
      <c r="S3568" s="1" t="s">
        <v>34218</v>
      </c>
    </row>
    <row r="3569" spans="1:19" x14ac:dyDescent="0.25">
      <c r="A3569">
        <v>100627340</v>
      </c>
      <c r="B3569" t="s">
        <v>9377</v>
      </c>
      <c r="C3569" t="s">
        <v>9378</v>
      </c>
      <c r="G3569" t="s">
        <v>9379</v>
      </c>
      <c r="H3569" t="s">
        <v>1448</v>
      </c>
      <c r="I3569" t="s">
        <v>33</v>
      </c>
      <c r="J3569">
        <v>19096</v>
      </c>
      <c r="K3569">
        <v>64</v>
      </c>
      <c r="L3569" t="s">
        <v>23</v>
      </c>
      <c r="M3569" t="s">
        <v>9379</v>
      </c>
      <c r="N3569" t="s">
        <v>1448</v>
      </c>
      <c r="O3569" t="s">
        <v>33</v>
      </c>
      <c r="P3569">
        <v>19096</v>
      </c>
      <c r="Q3569">
        <v>64</v>
      </c>
      <c r="R3569" t="s">
        <v>23</v>
      </c>
      <c r="S3569" s="1" t="s">
        <v>34218</v>
      </c>
    </row>
    <row r="3570" spans="1:19" x14ac:dyDescent="0.25">
      <c r="A3570">
        <v>101476485</v>
      </c>
      <c r="B3570" t="s">
        <v>9380</v>
      </c>
      <c r="C3570" t="s">
        <v>1002</v>
      </c>
      <c r="G3570" t="s">
        <v>9381</v>
      </c>
      <c r="H3570" t="s">
        <v>280</v>
      </c>
      <c r="I3570" t="s">
        <v>117</v>
      </c>
      <c r="J3570">
        <v>12561</v>
      </c>
      <c r="K3570">
        <v>3104</v>
      </c>
      <c r="L3570" t="s">
        <v>23</v>
      </c>
      <c r="M3570" t="s">
        <v>9381</v>
      </c>
      <c r="N3570" t="s">
        <v>280</v>
      </c>
      <c r="O3570" t="s">
        <v>117</v>
      </c>
      <c r="P3570">
        <v>12561</v>
      </c>
      <c r="Q3570">
        <v>3104</v>
      </c>
      <c r="R3570" t="s">
        <v>23</v>
      </c>
      <c r="S3570" s="1" t="s">
        <v>34218</v>
      </c>
    </row>
    <row r="3571" spans="1:19" x14ac:dyDescent="0.25">
      <c r="A3571">
        <v>101480853</v>
      </c>
      <c r="B3571" t="s">
        <v>9382</v>
      </c>
      <c r="C3571" t="s">
        <v>9383</v>
      </c>
      <c r="G3571" t="s">
        <v>9384</v>
      </c>
      <c r="H3571" t="s">
        <v>5626</v>
      </c>
      <c r="I3571" t="s">
        <v>100</v>
      </c>
      <c r="J3571">
        <v>54301</v>
      </c>
      <c r="K3571">
        <v>1424</v>
      </c>
      <c r="L3571" t="s">
        <v>23</v>
      </c>
      <c r="M3571" t="s">
        <v>9384</v>
      </c>
      <c r="N3571" t="s">
        <v>5626</v>
      </c>
      <c r="O3571" t="s">
        <v>100</v>
      </c>
      <c r="P3571">
        <v>54301</v>
      </c>
      <c r="Q3571">
        <v>1424</v>
      </c>
      <c r="R3571" t="s">
        <v>23</v>
      </c>
      <c r="S3571" s="1" t="s">
        <v>34218</v>
      </c>
    </row>
    <row r="3572" spans="1:19" x14ac:dyDescent="0.25">
      <c r="A3572">
        <v>101480434</v>
      </c>
      <c r="B3572" t="s">
        <v>9385</v>
      </c>
      <c r="C3572" t="s">
        <v>281</v>
      </c>
      <c r="G3572" t="s">
        <v>9386</v>
      </c>
      <c r="H3572" t="s">
        <v>9387</v>
      </c>
      <c r="I3572" t="s">
        <v>38</v>
      </c>
      <c r="J3572">
        <v>75078</v>
      </c>
      <c r="K3572">
        <v>2989</v>
      </c>
      <c r="L3572" t="s">
        <v>23</v>
      </c>
      <c r="M3572" t="s">
        <v>9386</v>
      </c>
      <c r="N3572" t="s">
        <v>9387</v>
      </c>
      <c r="O3572" t="s">
        <v>38</v>
      </c>
      <c r="P3572">
        <v>75078</v>
      </c>
      <c r="Q3572">
        <v>2989</v>
      </c>
      <c r="R3572" t="s">
        <v>23</v>
      </c>
      <c r="S3572" s="1" t="s">
        <v>34218</v>
      </c>
    </row>
    <row r="3573" spans="1:19" x14ac:dyDescent="0.25">
      <c r="A3573">
        <v>100635880</v>
      </c>
      <c r="B3573" t="s">
        <v>7006</v>
      </c>
      <c r="C3573" t="s">
        <v>3457</v>
      </c>
      <c r="G3573" t="s">
        <v>9388</v>
      </c>
      <c r="H3573" t="s">
        <v>9389</v>
      </c>
      <c r="I3573" t="s">
        <v>126</v>
      </c>
      <c r="J3573">
        <v>65101</v>
      </c>
      <c r="K3573">
        <v>4376</v>
      </c>
      <c r="L3573" t="s">
        <v>23</v>
      </c>
      <c r="M3573" t="s">
        <v>9388</v>
      </c>
      <c r="N3573" t="s">
        <v>9389</v>
      </c>
      <c r="O3573" t="s">
        <v>126</v>
      </c>
      <c r="P3573">
        <v>65101</v>
      </c>
      <c r="Q3573">
        <v>4376</v>
      </c>
      <c r="R3573" t="s">
        <v>23</v>
      </c>
      <c r="S3573" s="1" t="s">
        <v>34218</v>
      </c>
    </row>
    <row r="3574" spans="1:19" x14ac:dyDescent="0.25">
      <c r="A3574">
        <v>101419380</v>
      </c>
      <c r="B3574" t="s">
        <v>9390</v>
      </c>
      <c r="C3574" t="s">
        <v>9391</v>
      </c>
      <c r="G3574" t="s">
        <v>9392</v>
      </c>
      <c r="H3574" t="s">
        <v>1229</v>
      </c>
      <c r="I3574" t="s">
        <v>38</v>
      </c>
      <c r="J3574">
        <v>78203</v>
      </c>
      <c r="K3574">
        <v>2027</v>
      </c>
      <c r="L3574" t="s">
        <v>23</v>
      </c>
      <c r="M3574" t="s">
        <v>9392</v>
      </c>
      <c r="N3574" t="s">
        <v>1229</v>
      </c>
      <c r="O3574" t="s">
        <v>38</v>
      </c>
      <c r="P3574">
        <v>78203</v>
      </c>
      <c r="Q3574">
        <v>2027</v>
      </c>
      <c r="R3574" t="s">
        <v>23</v>
      </c>
      <c r="S3574" s="1" t="s">
        <v>34218</v>
      </c>
    </row>
    <row r="3575" spans="1:19" x14ac:dyDescent="0.25">
      <c r="A3575">
        <v>101423451</v>
      </c>
      <c r="B3575" t="s">
        <v>9393</v>
      </c>
      <c r="C3575" t="s">
        <v>158</v>
      </c>
      <c r="G3575" t="s">
        <v>9394</v>
      </c>
      <c r="H3575" t="s">
        <v>1402</v>
      </c>
      <c r="I3575" t="s">
        <v>38</v>
      </c>
      <c r="J3575">
        <v>77083</v>
      </c>
      <c r="K3575">
        <v>6149</v>
      </c>
      <c r="L3575" t="s">
        <v>23</v>
      </c>
      <c r="M3575" t="s">
        <v>9394</v>
      </c>
      <c r="N3575" t="s">
        <v>1402</v>
      </c>
      <c r="O3575" t="s">
        <v>38</v>
      </c>
      <c r="P3575">
        <v>77083</v>
      </c>
      <c r="Q3575">
        <v>6149</v>
      </c>
      <c r="R3575" t="s">
        <v>23</v>
      </c>
      <c r="S3575" s="1" t="s">
        <v>34218</v>
      </c>
    </row>
    <row r="3576" spans="1:19" x14ac:dyDescent="0.25">
      <c r="A3576">
        <v>101243339</v>
      </c>
      <c r="B3576" t="s">
        <v>9366</v>
      </c>
      <c r="C3576" t="s">
        <v>2264</v>
      </c>
      <c r="G3576" t="s">
        <v>9395</v>
      </c>
      <c r="H3576" t="s">
        <v>3079</v>
      </c>
      <c r="I3576" t="s">
        <v>71</v>
      </c>
      <c r="J3576">
        <v>81101</v>
      </c>
      <c r="K3576">
        <v>4240</v>
      </c>
      <c r="L3576" t="s">
        <v>23</v>
      </c>
      <c r="M3576" t="s">
        <v>9395</v>
      </c>
      <c r="N3576" t="s">
        <v>3079</v>
      </c>
      <c r="O3576" t="s">
        <v>71</v>
      </c>
      <c r="P3576">
        <v>81101</v>
      </c>
      <c r="Q3576">
        <v>4240</v>
      </c>
      <c r="R3576" t="s">
        <v>23</v>
      </c>
      <c r="S3576" s="1" t="s">
        <v>34218</v>
      </c>
    </row>
    <row r="3577" spans="1:19" x14ac:dyDescent="0.25">
      <c r="A3577">
        <v>101191866</v>
      </c>
      <c r="B3577" t="s">
        <v>9396</v>
      </c>
      <c r="C3577" t="s">
        <v>9397</v>
      </c>
      <c r="G3577" t="s">
        <v>9398</v>
      </c>
      <c r="H3577" t="s">
        <v>9399</v>
      </c>
      <c r="I3577" t="s">
        <v>22</v>
      </c>
      <c r="J3577">
        <v>94022</v>
      </c>
      <c r="K3577">
        <v>3410</v>
      </c>
      <c r="L3577" t="s">
        <v>23</v>
      </c>
      <c r="M3577" t="s">
        <v>9398</v>
      </c>
      <c r="N3577" t="s">
        <v>9399</v>
      </c>
      <c r="O3577" t="s">
        <v>22</v>
      </c>
      <c r="P3577">
        <v>94022</v>
      </c>
      <c r="Q3577">
        <v>3410</v>
      </c>
      <c r="R3577" t="s">
        <v>23</v>
      </c>
      <c r="S3577" s="1" t="s">
        <v>34218</v>
      </c>
    </row>
    <row r="3578" spans="1:19" x14ac:dyDescent="0.25">
      <c r="A3578">
        <v>101449442</v>
      </c>
      <c r="B3578" t="s">
        <v>6084</v>
      </c>
      <c r="C3578" t="s">
        <v>585</v>
      </c>
      <c r="G3578" t="s">
        <v>9400</v>
      </c>
      <c r="H3578" t="s">
        <v>9401</v>
      </c>
      <c r="I3578" t="s">
        <v>57</v>
      </c>
      <c r="J3578">
        <v>46036</v>
      </c>
      <c r="K3578">
        <v>1231</v>
      </c>
      <c r="L3578" t="s">
        <v>23</v>
      </c>
      <c r="M3578" t="s">
        <v>9400</v>
      </c>
      <c r="N3578" t="s">
        <v>9401</v>
      </c>
      <c r="O3578" t="s">
        <v>57</v>
      </c>
      <c r="P3578">
        <v>46036</v>
      </c>
      <c r="Q3578">
        <v>1231</v>
      </c>
      <c r="R3578" t="s">
        <v>23</v>
      </c>
      <c r="S3578" s="1" t="s">
        <v>34218</v>
      </c>
    </row>
    <row r="3579" spans="1:19" x14ac:dyDescent="0.25">
      <c r="A3579">
        <v>100760066</v>
      </c>
      <c r="B3579" t="s">
        <v>9402</v>
      </c>
      <c r="C3579" t="s">
        <v>483</v>
      </c>
      <c r="G3579" t="s">
        <v>9403</v>
      </c>
      <c r="H3579" t="s">
        <v>303</v>
      </c>
      <c r="I3579" t="s">
        <v>353</v>
      </c>
      <c r="J3579">
        <v>3846</v>
      </c>
      <c r="K3579">
        <v>2</v>
      </c>
      <c r="L3579" t="s">
        <v>23</v>
      </c>
      <c r="M3579" t="s">
        <v>9403</v>
      </c>
      <c r="N3579" t="s">
        <v>303</v>
      </c>
      <c r="O3579" t="s">
        <v>353</v>
      </c>
      <c r="P3579">
        <v>3846</v>
      </c>
      <c r="Q3579">
        <v>2</v>
      </c>
      <c r="R3579" t="s">
        <v>23</v>
      </c>
      <c r="S3579" s="1" t="s">
        <v>34218</v>
      </c>
    </row>
    <row r="3580" spans="1:19" x14ac:dyDescent="0.25">
      <c r="A3580">
        <v>101034474</v>
      </c>
      <c r="B3580" t="s">
        <v>9404</v>
      </c>
      <c r="C3580" t="s">
        <v>9405</v>
      </c>
      <c r="G3580" t="s">
        <v>9406</v>
      </c>
      <c r="H3580" t="s">
        <v>77</v>
      </c>
      <c r="I3580" t="s">
        <v>236</v>
      </c>
      <c r="J3580">
        <v>1915</v>
      </c>
      <c r="K3580">
        <v>2036</v>
      </c>
      <c r="L3580" t="s">
        <v>23</v>
      </c>
      <c r="M3580" t="s">
        <v>9406</v>
      </c>
      <c r="N3580" t="s">
        <v>77</v>
      </c>
      <c r="O3580" t="s">
        <v>236</v>
      </c>
      <c r="P3580">
        <v>1915</v>
      </c>
      <c r="Q3580">
        <v>2036</v>
      </c>
      <c r="R3580" t="s">
        <v>23</v>
      </c>
      <c r="S3580" s="1" t="s">
        <v>34218</v>
      </c>
    </row>
    <row r="3581" spans="1:19" x14ac:dyDescent="0.25">
      <c r="A3581">
        <v>101480871</v>
      </c>
      <c r="B3581" t="s">
        <v>9407</v>
      </c>
      <c r="C3581" t="s">
        <v>1239</v>
      </c>
      <c r="G3581" t="s">
        <v>9408</v>
      </c>
      <c r="H3581" t="s">
        <v>758</v>
      </c>
      <c r="I3581" t="s">
        <v>148</v>
      </c>
      <c r="J3581">
        <v>20910</v>
      </c>
      <c r="K3581">
        <v>4841</v>
      </c>
      <c r="L3581" t="s">
        <v>23</v>
      </c>
      <c r="M3581" t="s">
        <v>9408</v>
      </c>
      <c r="N3581" t="s">
        <v>758</v>
      </c>
      <c r="O3581" t="s">
        <v>148</v>
      </c>
      <c r="P3581">
        <v>20910</v>
      </c>
      <c r="Q3581">
        <v>4841</v>
      </c>
      <c r="R3581" t="s">
        <v>23</v>
      </c>
      <c r="S3581" s="1" t="s">
        <v>34218</v>
      </c>
    </row>
    <row r="3582" spans="1:19" x14ac:dyDescent="0.25">
      <c r="A3582">
        <v>101454174</v>
      </c>
      <c r="B3582" t="s">
        <v>9409</v>
      </c>
      <c r="C3582" t="s">
        <v>1623</v>
      </c>
      <c r="G3582" t="s">
        <v>9410</v>
      </c>
      <c r="H3582" t="s">
        <v>529</v>
      </c>
      <c r="I3582" t="s">
        <v>178</v>
      </c>
      <c r="J3582">
        <v>45140</v>
      </c>
      <c r="K3582">
        <v>8145</v>
      </c>
      <c r="L3582" t="s">
        <v>23</v>
      </c>
      <c r="M3582" t="s">
        <v>9410</v>
      </c>
      <c r="N3582" t="s">
        <v>529</v>
      </c>
      <c r="O3582" t="s">
        <v>178</v>
      </c>
      <c r="P3582">
        <v>45140</v>
      </c>
      <c r="Q3582">
        <v>8145</v>
      </c>
      <c r="R3582" t="s">
        <v>23</v>
      </c>
      <c r="S3582" s="1" t="s">
        <v>34218</v>
      </c>
    </row>
    <row r="3583" spans="1:19" x14ac:dyDescent="0.25">
      <c r="A3583">
        <v>101480876</v>
      </c>
      <c r="B3583" t="s">
        <v>966</v>
      </c>
      <c r="C3583" t="s">
        <v>571</v>
      </c>
      <c r="G3583" t="s">
        <v>9411</v>
      </c>
      <c r="H3583" t="s">
        <v>9412</v>
      </c>
      <c r="I3583" t="s">
        <v>135</v>
      </c>
      <c r="J3583">
        <v>60441</v>
      </c>
      <c r="K3583">
        <v>3247</v>
      </c>
      <c r="L3583" t="s">
        <v>23</v>
      </c>
      <c r="M3583" t="s">
        <v>9411</v>
      </c>
      <c r="N3583" t="s">
        <v>9412</v>
      </c>
      <c r="O3583" t="s">
        <v>135</v>
      </c>
      <c r="P3583">
        <v>60441</v>
      </c>
      <c r="Q3583">
        <v>3247</v>
      </c>
      <c r="R3583" t="s">
        <v>23</v>
      </c>
      <c r="S3583" s="1" t="s">
        <v>34218</v>
      </c>
    </row>
    <row r="3584" spans="1:19" x14ac:dyDescent="0.25">
      <c r="A3584">
        <v>101480878</v>
      </c>
      <c r="B3584" t="s">
        <v>9413</v>
      </c>
      <c r="C3584" t="s">
        <v>9414</v>
      </c>
      <c r="G3584" t="s">
        <v>9415</v>
      </c>
      <c r="H3584" t="s">
        <v>1654</v>
      </c>
      <c r="I3584" t="s">
        <v>140</v>
      </c>
      <c r="J3584">
        <v>48069</v>
      </c>
      <c r="K3584">
        <v>1205</v>
      </c>
      <c r="L3584" t="s">
        <v>23</v>
      </c>
      <c r="M3584" t="s">
        <v>9415</v>
      </c>
      <c r="N3584" t="s">
        <v>1654</v>
      </c>
      <c r="O3584" t="s">
        <v>140</v>
      </c>
      <c r="P3584">
        <v>48069</v>
      </c>
      <c r="Q3584">
        <v>1205</v>
      </c>
      <c r="R3584" t="s">
        <v>23</v>
      </c>
      <c r="S3584" s="1" t="s">
        <v>34218</v>
      </c>
    </row>
    <row r="3585" spans="1:19" x14ac:dyDescent="0.25">
      <c r="A3585">
        <v>101420138</v>
      </c>
      <c r="B3585" t="s">
        <v>9416</v>
      </c>
      <c r="C3585" t="s">
        <v>498</v>
      </c>
      <c r="G3585" t="s">
        <v>9417</v>
      </c>
      <c r="H3585" t="s">
        <v>2375</v>
      </c>
      <c r="I3585" t="s">
        <v>914</v>
      </c>
      <c r="J3585">
        <v>37115</v>
      </c>
      <c r="L3585" t="s">
        <v>23</v>
      </c>
      <c r="M3585" t="s">
        <v>9417</v>
      </c>
      <c r="N3585" t="s">
        <v>2375</v>
      </c>
      <c r="O3585" t="s">
        <v>914</v>
      </c>
      <c r="P3585">
        <v>37115</v>
      </c>
      <c r="R3585" t="s">
        <v>23</v>
      </c>
      <c r="S3585" s="1" t="s">
        <v>34218</v>
      </c>
    </row>
    <row r="3586" spans="1:19" x14ac:dyDescent="0.25">
      <c r="A3586">
        <v>100596236</v>
      </c>
      <c r="B3586" t="s">
        <v>9418</v>
      </c>
      <c r="C3586" t="s">
        <v>9419</v>
      </c>
      <c r="G3586" t="s">
        <v>9420</v>
      </c>
      <c r="H3586" t="s">
        <v>869</v>
      </c>
      <c r="I3586" t="s">
        <v>52</v>
      </c>
      <c r="J3586">
        <v>33194</v>
      </c>
      <c r="K3586">
        <v>2676</v>
      </c>
      <c r="L3586" t="s">
        <v>23</v>
      </c>
      <c r="M3586" t="s">
        <v>9420</v>
      </c>
      <c r="N3586" t="s">
        <v>869</v>
      </c>
      <c r="O3586" t="s">
        <v>52</v>
      </c>
      <c r="P3586">
        <v>33194</v>
      </c>
      <c r="Q3586">
        <v>2676</v>
      </c>
      <c r="R3586" t="s">
        <v>23</v>
      </c>
      <c r="S3586" s="1" t="s">
        <v>34218</v>
      </c>
    </row>
    <row r="3587" spans="1:19" x14ac:dyDescent="0.25">
      <c r="A3587">
        <v>100606654</v>
      </c>
      <c r="B3587" t="s">
        <v>9421</v>
      </c>
      <c r="C3587" t="s">
        <v>1309</v>
      </c>
      <c r="G3587" t="s">
        <v>9422</v>
      </c>
      <c r="H3587" t="s">
        <v>9423</v>
      </c>
      <c r="I3587" t="s">
        <v>1000</v>
      </c>
      <c r="J3587">
        <v>59937</v>
      </c>
      <c r="K3587">
        <v>8428</v>
      </c>
      <c r="L3587" t="s">
        <v>23</v>
      </c>
      <c r="M3587" t="s">
        <v>9422</v>
      </c>
      <c r="N3587" t="s">
        <v>9423</v>
      </c>
      <c r="O3587" t="s">
        <v>1000</v>
      </c>
      <c r="P3587">
        <v>59937</v>
      </c>
      <c r="Q3587">
        <v>8428</v>
      </c>
      <c r="R3587" t="s">
        <v>23</v>
      </c>
      <c r="S3587" s="1" t="s">
        <v>34218</v>
      </c>
    </row>
    <row r="3588" spans="1:19" x14ac:dyDescent="0.25">
      <c r="A3588">
        <v>100607797</v>
      </c>
      <c r="B3588" t="s">
        <v>9424</v>
      </c>
      <c r="C3588" t="s">
        <v>890</v>
      </c>
      <c r="F3588" t="str">
        <f>"9257887374"</f>
        <v>9257887374</v>
      </c>
      <c r="G3588" t="s">
        <v>9425</v>
      </c>
      <c r="H3588" t="s">
        <v>9426</v>
      </c>
      <c r="I3588" t="s">
        <v>22</v>
      </c>
      <c r="J3588">
        <v>94563</v>
      </c>
      <c r="K3588">
        <v>3412</v>
      </c>
      <c r="L3588" t="s">
        <v>23</v>
      </c>
      <c r="M3588" t="s">
        <v>9425</v>
      </c>
      <c r="N3588" t="s">
        <v>9426</v>
      </c>
      <c r="O3588" t="s">
        <v>22</v>
      </c>
      <c r="P3588">
        <v>94563</v>
      </c>
      <c r="Q3588">
        <v>3412</v>
      </c>
      <c r="R3588" t="s">
        <v>23</v>
      </c>
      <c r="S3588" s="1" t="s">
        <v>34218</v>
      </c>
    </row>
    <row r="3589" spans="1:19" x14ac:dyDescent="0.25">
      <c r="A3589">
        <v>100610194</v>
      </c>
      <c r="B3589" t="s">
        <v>1577</v>
      </c>
      <c r="C3589" t="s">
        <v>1703</v>
      </c>
      <c r="G3589" t="s">
        <v>9427</v>
      </c>
      <c r="H3589" t="s">
        <v>958</v>
      </c>
      <c r="I3589" t="s">
        <v>38</v>
      </c>
      <c r="J3589">
        <v>75071</v>
      </c>
      <c r="K3589">
        <v>3242</v>
      </c>
      <c r="L3589" t="s">
        <v>23</v>
      </c>
      <c r="M3589" t="s">
        <v>9427</v>
      </c>
      <c r="N3589" t="s">
        <v>958</v>
      </c>
      <c r="O3589" t="s">
        <v>38</v>
      </c>
      <c r="P3589">
        <v>75071</v>
      </c>
      <c r="Q3589">
        <v>3242</v>
      </c>
      <c r="R3589" t="s">
        <v>23</v>
      </c>
      <c r="S3589" s="1" t="s">
        <v>34218</v>
      </c>
    </row>
    <row r="3590" spans="1:19" x14ac:dyDescent="0.25">
      <c r="A3590">
        <v>100613395</v>
      </c>
      <c r="B3590" t="s">
        <v>9428</v>
      </c>
      <c r="C3590" t="s">
        <v>1331</v>
      </c>
      <c r="G3590" t="s">
        <v>9429</v>
      </c>
      <c r="H3590" t="s">
        <v>412</v>
      </c>
      <c r="I3590" t="s">
        <v>117</v>
      </c>
      <c r="J3590">
        <v>11231</v>
      </c>
      <c r="K3590">
        <v>4704</v>
      </c>
      <c r="L3590" t="s">
        <v>23</v>
      </c>
      <c r="M3590" t="s">
        <v>9429</v>
      </c>
      <c r="N3590" t="s">
        <v>412</v>
      </c>
      <c r="O3590" t="s">
        <v>117</v>
      </c>
      <c r="P3590">
        <v>11231</v>
      </c>
      <c r="Q3590">
        <v>4704</v>
      </c>
      <c r="R3590" t="s">
        <v>23</v>
      </c>
      <c r="S3590" s="1" t="s">
        <v>34218</v>
      </c>
    </row>
    <row r="3591" spans="1:19" x14ac:dyDescent="0.25">
      <c r="A3591">
        <v>100614819</v>
      </c>
      <c r="B3591" t="s">
        <v>9430</v>
      </c>
      <c r="C3591" t="s">
        <v>9431</v>
      </c>
      <c r="G3591" t="s">
        <v>9432</v>
      </c>
      <c r="H3591" t="s">
        <v>1015</v>
      </c>
      <c r="I3591" t="s">
        <v>140</v>
      </c>
      <c r="J3591">
        <v>49221</v>
      </c>
      <c r="K3591">
        <v>1755</v>
      </c>
      <c r="L3591" t="s">
        <v>23</v>
      </c>
      <c r="M3591" t="s">
        <v>9432</v>
      </c>
      <c r="N3591" t="s">
        <v>1015</v>
      </c>
      <c r="O3591" t="s">
        <v>140</v>
      </c>
      <c r="P3591">
        <v>49221</v>
      </c>
      <c r="Q3591">
        <v>1755</v>
      </c>
      <c r="R3591" t="s">
        <v>23</v>
      </c>
      <c r="S3591" s="1" t="s">
        <v>34218</v>
      </c>
    </row>
    <row r="3592" spans="1:19" x14ac:dyDescent="0.25">
      <c r="A3592">
        <v>100613766</v>
      </c>
      <c r="B3592" t="s">
        <v>8126</v>
      </c>
      <c r="C3592" t="s">
        <v>123</v>
      </c>
      <c r="G3592" t="s">
        <v>9433</v>
      </c>
      <c r="H3592" t="s">
        <v>1402</v>
      </c>
      <c r="I3592" t="s">
        <v>38</v>
      </c>
      <c r="J3592">
        <v>77083</v>
      </c>
      <c r="K3592">
        <v>6113</v>
      </c>
      <c r="L3592" t="s">
        <v>23</v>
      </c>
      <c r="M3592" t="s">
        <v>9433</v>
      </c>
      <c r="N3592" t="s">
        <v>1402</v>
      </c>
      <c r="O3592" t="s">
        <v>38</v>
      </c>
      <c r="P3592">
        <v>77083</v>
      </c>
      <c r="Q3592">
        <v>6113</v>
      </c>
      <c r="R3592" t="s">
        <v>23</v>
      </c>
      <c r="S3592" s="1" t="s">
        <v>34218</v>
      </c>
    </row>
    <row r="3593" spans="1:19" x14ac:dyDescent="0.25">
      <c r="A3593">
        <v>100623757</v>
      </c>
      <c r="B3593" t="s">
        <v>9434</v>
      </c>
      <c r="C3593" t="s">
        <v>1327</v>
      </c>
      <c r="G3593" t="s">
        <v>9435</v>
      </c>
      <c r="H3593" t="s">
        <v>9436</v>
      </c>
      <c r="I3593" t="s">
        <v>914</v>
      </c>
      <c r="J3593">
        <v>37356</v>
      </c>
      <c r="K3593">
        <v>977</v>
      </c>
      <c r="L3593" t="s">
        <v>23</v>
      </c>
      <c r="M3593" t="s">
        <v>9435</v>
      </c>
      <c r="N3593" t="s">
        <v>9436</v>
      </c>
      <c r="O3593" t="s">
        <v>914</v>
      </c>
      <c r="P3593">
        <v>37356</v>
      </c>
      <c r="Q3593">
        <v>977</v>
      </c>
      <c r="R3593" t="s">
        <v>23</v>
      </c>
      <c r="S3593" s="1" t="s">
        <v>34218</v>
      </c>
    </row>
    <row r="3594" spans="1:19" x14ac:dyDescent="0.25">
      <c r="A3594">
        <v>100624812</v>
      </c>
      <c r="B3594" t="s">
        <v>9437</v>
      </c>
      <c r="C3594" t="s">
        <v>4644</v>
      </c>
      <c r="G3594" t="s">
        <v>9438</v>
      </c>
      <c r="H3594" t="s">
        <v>9439</v>
      </c>
      <c r="I3594" t="s">
        <v>100</v>
      </c>
      <c r="J3594">
        <v>53108</v>
      </c>
      <c r="K3594">
        <v>9779</v>
      </c>
      <c r="L3594" t="s">
        <v>23</v>
      </c>
      <c r="M3594" t="s">
        <v>9438</v>
      </c>
      <c r="N3594" t="s">
        <v>9439</v>
      </c>
      <c r="O3594" t="s">
        <v>100</v>
      </c>
      <c r="P3594">
        <v>53108</v>
      </c>
      <c r="Q3594">
        <v>9779</v>
      </c>
      <c r="R3594" t="s">
        <v>23</v>
      </c>
      <c r="S3594" s="1" t="s">
        <v>34218</v>
      </c>
    </row>
    <row r="3595" spans="1:19" x14ac:dyDescent="0.25">
      <c r="A3595">
        <v>100618151</v>
      </c>
      <c r="B3595" t="s">
        <v>9440</v>
      </c>
      <c r="C3595" t="s">
        <v>1327</v>
      </c>
      <c r="G3595" t="s">
        <v>9441</v>
      </c>
      <c r="H3595" t="s">
        <v>202</v>
      </c>
      <c r="I3595" t="s">
        <v>117</v>
      </c>
      <c r="J3595">
        <v>14224</v>
      </c>
      <c r="K3595">
        <v>1829</v>
      </c>
      <c r="L3595" t="s">
        <v>23</v>
      </c>
      <c r="M3595" t="s">
        <v>9441</v>
      </c>
      <c r="N3595" t="s">
        <v>202</v>
      </c>
      <c r="O3595" t="s">
        <v>117</v>
      </c>
      <c r="P3595">
        <v>14224</v>
      </c>
      <c r="Q3595">
        <v>1829</v>
      </c>
      <c r="R3595" t="s">
        <v>23</v>
      </c>
      <c r="S3595" s="1" t="s">
        <v>34218</v>
      </c>
    </row>
    <row r="3596" spans="1:19" x14ac:dyDescent="0.25">
      <c r="A3596">
        <v>100623187</v>
      </c>
      <c r="B3596" t="s">
        <v>9442</v>
      </c>
      <c r="C3596" t="s">
        <v>30</v>
      </c>
      <c r="G3596" t="s">
        <v>9443</v>
      </c>
      <c r="H3596" t="s">
        <v>423</v>
      </c>
      <c r="I3596" t="s">
        <v>71</v>
      </c>
      <c r="J3596">
        <v>80301</v>
      </c>
      <c r="K3596">
        <v>1795</v>
      </c>
      <c r="L3596" t="s">
        <v>23</v>
      </c>
      <c r="M3596" t="s">
        <v>9443</v>
      </c>
      <c r="N3596" t="s">
        <v>423</v>
      </c>
      <c r="O3596" t="s">
        <v>71</v>
      </c>
      <c r="P3596">
        <v>80301</v>
      </c>
      <c r="Q3596">
        <v>1795</v>
      </c>
      <c r="R3596" t="s">
        <v>23</v>
      </c>
      <c r="S3596" s="1" t="s">
        <v>34218</v>
      </c>
    </row>
    <row r="3597" spans="1:19" x14ac:dyDescent="0.25">
      <c r="A3597">
        <v>101226996</v>
      </c>
      <c r="B3597" t="s">
        <v>2238</v>
      </c>
      <c r="C3597" t="s">
        <v>1676</v>
      </c>
      <c r="G3597" t="s">
        <v>9444</v>
      </c>
      <c r="H3597" t="s">
        <v>2046</v>
      </c>
      <c r="I3597" t="s">
        <v>446</v>
      </c>
      <c r="J3597">
        <v>27707</v>
      </c>
      <c r="K3597">
        <v>5137</v>
      </c>
      <c r="L3597" t="s">
        <v>23</v>
      </c>
      <c r="M3597" t="s">
        <v>9444</v>
      </c>
      <c r="N3597" t="s">
        <v>2046</v>
      </c>
      <c r="O3597" t="s">
        <v>446</v>
      </c>
      <c r="P3597">
        <v>27707</v>
      </c>
      <c r="Q3597">
        <v>5137</v>
      </c>
      <c r="R3597" t="s">
        <v>23</v>
      </c>
      <c r="S3597" s="1" t="s">
        <v>34218</v>
      </c>
    </row>
    <row r="3598" spans="1:19" x14ac:dyDescent="0.25">
      <c r="A3598">
        <v>101147733</v>
      </c>
      <c r="B3598" t="s">
        <v>9445</v>
      </c>
      <c r="C3598" t="s">
        <v>641</v>
      </c>
      <c r="G3598" t="s">
        <v>9446</v>
      </c>
      <c r="H3598" t="s">
        <v>4632</v>
      </c>
      <c r="I3598" t="s">
        <v>178</v>
      </c>
      <c r="J3598">
        <v>43202</v>
      </c>
      <c r="K3598">
        <v>1413</v>
      </c>
      <c r="L3598" t="s">
        <v>23</v>
      </c>
      <c r="M3598" t="s">
        <v>9446</v>
      </c>
      <c r="N3598" t="s">
        <v>4632</v>
      </c>
      <c r="O3598" t="s">
        <v>178</v>
      </c>
      <c r="P3598">
        <v>43202</v>
      </c>
      <c r="Q3598">
        <v>1413</v>
      </c>
      <c r="R3598" t="s">
        <v>23</v>
      </c>
      <c r="S3598" s="1" t="s">
        <v>34218</v>
      </c>
    </row>
    <row r="3599" spans="1:19" x14ac:dyDescent="0.25">
      <c r="A3599">
        <v>100942728</v>
      </c>
      <c r="B3599" t="s">
        <v>2176</v>
      </c>
      <c r="C3599" t="s">
        <v>9447</v>
      </c>
      <c r="G3599" t="s">
        <v>9448</v>
      </c>
      <c r="H3599" t="s">
        <v>471</v>
      </c>
      <c r="I3599" t="s">
        <v>365</v>
      </c>
      <c r="J3599">
        <v>85254</v>
      </c>
      <c r="K3599">
        <v>1827</v>
      </c>
      <c r="L3599" t="s">
        <v>23</v>
      </c>
      <c r="M3599" t="s">
        <v>9448</v>
      </c>
      <c r="N3599" t="s">
        <v>471</v>
      </c>
      <c r="O3599" t="s">
        <v>365</v>
      </c>
      <c r="P3599">
        <v>85254</v>
      </c>
      <c r="Q3599">
        <v>1827</v>
      </c>
      <c r="R3599" t="s">
        <v>23</v>
      </c>
      <c r="S3599" s="1" t="s">
        <v>34218</v>
      </c>
    </row>
    <row r="3600" spans="1:19" x14ac:dyDescent="0.25">
      <c r="A3600">
        <v>100607425</v>
      </c>
      <c r="B3600" t="s">
        <v>9449</v>
      </c>
      <c r="C3600" t="s">
        <v>1065</v>
      </c>
      <c r="G3600" t="s">
        <v>9450</v>
      </c>
      <c r="H3600" t="s">
        <v>4514</v>
      </c>
      <c r="I3600" t="s">
        <v>2537</v>
      </c>
      <c r="J3600">
        <v>72701</v>
      </c>
      <c r="K3600">
        <v>2536</v>
      </c>
      <c r="L3600" t="s">
        <v>23</v>
      </c>
      <c r="M3600" t="s">
        <v>9450</v>
      </c>
      <c r="N3600" t="s">
        <v>4514</v>
      </c>
      <c r="O3600" t="s">
        <v>2537</v>
      </c>
      <c r="P3600">
        <v>72701</v>
      </c>
      <c r="Q3600">
        <v>2536</v>
      </c>
      <c r="R3600" t="s">
        <v>23</v>
      </c>
      <c r="S3600" s="1" t="s">
        <v>34218</v>
      </c>
    </row>
    <row r="3601" spans="1:19" x14ac:dyDescent="0.25">
      <c r="A3601">
        <v>100607001</v>
      </c>
      <c r="B3601" t="s">
        <v>9451</v>
      </c>
      <c r="C3601" t="s">
        <v>5009</v>
      </c>
      <c r="G3601" t="s">
        <v>9452</v>
      </c>
      <c r="H3601" t="s">
        <v>9453</v>
      </c>
      <c r="I3601" t="s">
        <v>140</v>
      </c>
      <c r="J3601">
        <v>48461</v>
      </c>
      <c r="K3601">
        <v>8712</v>
      </c>
      <c r="L3601" t="s">
        <v>23</v>
      </c>
      <c r="M3601" t="s">
        <v>9452</v>
      </c>
      <c r="N3601" t="s">
        <v>9453</v>
      </c>
      <c r="O3601" t="s">
        <v>140</v>
      </c>
      <c r="P3601">
        <v>48461</v>
      </c>
      <c r="Q3601">
        <v>8712</v>
      </c>
      <c r="R3601" t="s">
        <v>23</v>
      </c>
      <c r="S3601" s="1" t="s">
        <v>34218</v>
      </c>
    </row>
    <row r="3602" spans="1:19" x14ac:dyDescent="0.25">
      <c r="A3602">
        <v>100608647</v>
      </c>
      <c r="B3602" t="s">
        <v>9454</v>
      </c>
      <c r="C3602" t="s">
        <v>1467</v>
      </c>
      <c r="G3602" t="s">
        <v>9455</v>
      </c>
      <c r="H3602" t="s">
        <v>9456</v>
      </c>
      <c r="I3602" t="s">
        <v>135</v>
      </c>
      <c r="J3602">
        <v>60510</v>
      </c>
      <c r="K3602">
        <v>3305</v>
      </c>
      <c r="L3602" t="s">
        <v>23</v>
      </c>
      <c r="M3602" t="s">
        <v>9455</v>
      </c>
      <c r="N3602" t="s">
        <v>9456</v>
      </c>
      <c r="O3602" t="s">
        <v>135</v>
      </c>
      <c r="P3602">
        <v>60510</v>
      </c>
      <c r="Q3602">
        <v>3305</v>
      </c>
      <c r="R3602" t="s">
        <v>23</v>
      </c>
      <c r="S3602" s="1" t="s">
        <v>34218</v>
      </c>
    </row>
    <row r="3603" spans="1:19" x14ac:dyDescent="0.25">
      <c r="A3603">
        <v>100610434</v>
      </c>
      <c r="B3603" t="s">
        <v>9457</v>
      </c>
      <c r="C3603" t="s">
        <v>6375</v>
      </c>
      <c r="G3603" t="s">
        <v>9458</v>
      </c>
      <c r="H3603" t="s">
        <v>6029</v>
      </c>
      <c r="I3603" t="s">
        <v>117</v>
      </c>
      <c r="J3603">
        <v>11776</v>
      </c>
      <c r="K3603">
        <v>3714</v>
      </c>
      <c r="L3603" t="s">
        <v>23</v>
      </c>
      <c r="M3603" t="s">
        <v>9458</v>
      </c>
      <c r="N3603" t="s">
        <v>6029</v>
      </c>
      <c r="O3603" t="s">
        <v>117</v>
      </c>
      <c r="P3603">
        <v>11776</v>
      </c>
      <c r="Q3603">
        <v>3714</v>
      </c>
      <c r="R3603" t="s">
        <v>23</v>
      </c>
      <c r="S3603" s="1" t="s">
        <v>34218</v>
      </c>
    </row>
    <row r="3604" spans="1:19" x14ac:dyDescent="0.25">
      <c r="A3604">
        <v>100610780</v>
      </c>
      <c r="B3604" t="s">
        <v>9459</v>
      </c>
      <c r="C3604" t="s">
        <v>9460</v>
      </c>
      <c r="G3604" t="s">
        <v>9461</v>
      </c>
      <c r="H3604" t="s">
        <v>1600</v>
      </c>
      <c r="I3604" t="s">
        <v>28</v>
      </c>
      <c r="J3604">
        <v>30062</v>
      </c>
      <c r="K3604">
        <v>6694</v>
      </c>
      <c r="L3604" t="s">
        <v>23</v>
      </c>
      <c r="M3604" t="s">
        <v>9461</v>
      </c>
      <c r="N3604" t="s">
        <v>1600</v>
      </c>
      <c r="O3604" t="s">
        <v>28</v>
      </c>
      <c r="P3604">
        <v>30062</v>
      </c>
      <c r="Q3604">
        <v>6694</v>
      </c>
      <c r="R3604" t="s">
        <v>23</v>
      </c>
      <c r="S3604" s="1" t="s">
        <v>34218</v>
      </c>
    </row>
    <row r="3605" spans="1:19" x14ac:dyDescent="0.25">
      <c r="A3605">
        <v>100623544</v>
      </c>
      <c r="B3605" t="s">
        <v>9462</v>
      </c>
      <c r="C3605" t="s">
        <v>86</v>
      </c>
      <c r="G3605" t="s">
        <v>9463</v>
      </c>
      <c r="H3605" t="s">
        <v>5528</v>
      </c>
      <c r="I3605" t="s">
        <v>250</v>
      </c>
      <c r="J3605">
        <v>7070</v>
      </c>
      <c r="K3605">
        <v>2141</v>
      </c>
      <c r="L3605" t="s">
        <v>23</v>
      </c>
      <c r="M3605" t="s">
        <v>9463</v>
      </c>
      <c r="N3605" t="s">
        <v>5528</v>
      </c>
      <c r="O3605" t="s">
        <v>250</v>
      </c>
      <c r="P3605">
        <v>7070</v>
      </c>
      <c r="Q3605">
        <v>2141</v>
      </c>
      <c r="R3605" t="s">
        <v>23</v>
      </c>
      <c r="S3605" s="1" t="s">
        <v>34218</v>
      </c>
    </row>
    <row r="3606" spans="1:19" x14ac:dyDescent="0.25">
      <c r="A3606">
        <v>100624335</v>
      </c>
      <c r="B3606" t="s">
        <v>9464</v>
      </c>
      <c r="C3606" t="s">
        <v>252</v>
      </c>
      <c r="G3606" t="s">
        <v>9465</v>
      </c>
      <c r="H3606" t="s">
        <v>9466</v>
      </c>
      <c r="I3606" t="s">
        <v>84</v>
      </c>
      <c r="J3606">
        <v>98264</v>
      </c>
      <c r="K3606">
        <v>9823</v>
      </c>
      <c r="L3606" t="s">
        <v>23</v>
      </c>
      <c r="M3606" t="s">
        <v>9465</v>
      </c>
      <c r="N3606" t="s">
        <v>9466</v>
      </c>
      <c r="O3606" t="s">
        <v>84</v>
      </c>
      <c r="P3606">
        <v>98264</v>
      </c>
      <c r="Q3606">
        <v>9823</v>
      </c>
      <c r="R3606" t="s">
        <v>23</v>
      </c>
      <c r="S3606" s="1" t="s">
        <v>34218</v>
      </c>
    </row>
    <row r="3607" spans="1:19" x14ac:dyDescent="0.25">
      <c r="A3607">
        <v>100813177</v>
      </c>
      <c r="B3607" t="s">
        <v>1970</v>
      </c>
      <c r="C3607" t="s">
        <v>252</v>
      </c>
      <c r="G3607" t="s">
        <v>9467</v>
      </c>
      <c r="H3607" t="s">
        <v>9468</v>
      </c>
      <c r="I3607" t="s">
        <v>38</v>
      </c>
      <c r="J3607">
        <v>77551</v>
      </c>
      <c r="K3607">
        <v>5730</v>
      </c>
      <c r="L3607" t="s">
        <v>23</v>
      </c>
      <c r="M3607" t="s">
        <v>9467</v>
      </c>
      <c r="N3607" t="s">
        <v>9468</v>
      </c>
      <c r="O3607" t="s">
        <v>38</v>
      </c>
      <c r="P3607">
        <v>77551</v>
      </c>
      <c r="Q3607">
        <v>5730</v>
      </c>
      <c r="R3607" t="s">
        <v>23</v>
      </c>
      <c r="S3607" s="1" t="s">
        <v>34218</v>
      </c>
    </row>
    <row r="3608" spans="1:19" x14ac:dyDescent="0.25">
      <c r="A3608">
        <v>100816164</v>
      </c>
      <c r="B3608" t="s">
        <v>9469</v>
      </c>
      <c r="C3608" t="s">
        <v>2515</v>
      </c>
      <c r="G3608" t="s">
        <v>9470</v>
      </c>
      <c r="H3608" t="s">
        <v>1415</v>
      </c>
      <c r="I3608" t="s">
        <v>365</v>
      </c>
      <c r="J3608">
        <v>85233</v>
      </c>
      <c r="K3608">
        <v>8417</v>
      </c>
      <c r="L3608" t="s">
        <v>23</v>
      </c>
      <c r="M3608" t="s">
        <v>9470</v>
      </c>
      <c r="N3608" t="s">
        <v>1415</v>
      </c>
      <c r="O3608" t="s">
        <v>365</v>
      </c>
      <c r="P3608">
        <v>85233</v>
      </c>
      <c r="Q3608">
        <v>8417</v>
      </c>
      <c r="R3608" t="s">
        <v>23</v>
      </c>
      <c r="S3608" s="1" t="s">
        <v>34218</v>
      </c>
    </row>
    <row r="3609" spans="1:19" x14ac:dyDescent="0.25">
      <c r="A3609">
        <v>100576707</v>
      </c>
      <c r="B3609" t="s">
        <v>9471</v>
      </c>
      <c r="C3609" t="s">
        <v>479</v>
      </c>
      <c r="G3609" t="s">
        <v>9472</v>
      </c>
      <c r="H3609" t="s">
        <v>2175</v>
      </c>
      <c r="I3609" t="s">
        <v>52</v>
      </c>
      <c r="J3609">
        <v>34224</v>
      </c>
      <c r="K3609">
        <v>9277</v>
      </c>
      <c r="L3609" t="s">
        <v>23</v>
      </c>
      <c r="M3609" t="s">
        <v>9472</v>
      </c>
      <c r="N3609" t="s">
        <v>2175</v>
      </c>
      <c r="O3609" t="s">
        <v>52</v>
      </c>
      <c r="P3609">
        <v>34224</v>
      </c>
      <c r="Q3609">
        <v>9277</v>
      </c>
      <c r="R3609" t="s">
        <v>23</v>
      </c>
      <c r="S3609" s="1" t="s">
        <v>34218</v>
      </c>
    </row>
    <row r="3610" spans="1:19" x14ac:dyDescent="0.25">
      <c r="A3610">
        <v>100576090</v>
      </c>
      <c r="B3610" t="s">
        <v>7626</v>
      </c>
      <c r="C3610" t="s">
        <v>4828</v>
      </c>
      <c r="G3610" t="s">
        <v>9473</v>
      </c>
      <c r="H3610" t="s">
        <v>2375</v>
      </c>
      <c r="I3610" t="s">
        <v>100</v>
      </c>
      <c r="J3610">
        <v>53704</v>
      </c>
      <c r="L3610" t="s">
        <v>23</v>
      </c>
      <c r="M3610" t="s">
        <v>9473</v>
      </c>
      <c r="N3610" t="s">
        <v>2375</v>
      </c>
      <c r="O3610" t="s">
        <v>100</v>
      </c>
      <c r="P3610">
        <v>53704</v>
      </c>
      <c r="R3610" t="s">
        <v>23</v>
      </c>
      <c r="S3610" s="1" t="s">
        <v>34218</v>
      </c>
    </row>
    <row r="3611" spans="1:19" x14ac:dyDescent="0.25">
      <c r="A3611">
        <v>100584395</v>
      </c>
      <c r="B3611" t="s">
        <v>9474</v>
      </c>
      <c r="C3611" t="s">
        <v>2193</v>
      </c>
      <c r="G3611" t="s">
        <v>9475</v>
      </c>
      <c r="H3611" t="s">
        <v>9476</v>
      </c>
      <c r="I3611" t="s">
        <v>250</v>
      </c>
      <c r="J3611">
        <v>7093</v>
      </c>
      <c r="K3611">
        <v>8420</v>
      </c>
      <c r="L3611" t="s">
        <v>23</v>
      </c>
      <c r="M3611" t="s">
        <v>9475</v>
      </c>
      <c r="N3611" t="s">
        <v>9476</v>
      </c>
      <c r="O3611" t="s">
        <v>250</v>
      </c>
      <c r="P3611">
        <v>7093</v>
      </c>
      <c r="Q3611">
        <v>8420</v>
      </c>
      <c r="R3611" t="s">
        <v>23</v>
      </c>
      <c r="S3611" s="1" t="s">
        <v>34218</v>
      </c>
    </row>
    <row r="3612" spans="1:19" x14ac:dyDescent="0.25">
      <c r="A3612">
        <v>100587591</v>
      </c>
      <c r="B3612" t="s">
        <v>9477</v>
      </c>
      <c r="C3612" t="s">
        <v>5836</v>
      </c>
      <c r="G3612" t="s">
        <v>9478</v>
      </c>
      <c r="H3612" t="s">
        <v>1086</v>
      </c>
      <c r="I3612" t="s">
        <v>446</v>
      </c>
      <c r="J3612">
        <v>28277</v>
      </c>
      <c r="K3612">
        <v>9878</v>
      </c>
      <c r="L3612" t="s">
        <v>23</v>
      </c>
      <c r="M3612" t="s">
        <v>9478</v>
      </c>
      <c r="N3612" t="s">
        <v>1086</v>
      </c>
      <c r="O3612" t="s">
        <v>446</v>
      </c>
      <c r="P3612">
        <v>28277</v>
      </c>
      <c r="Q3612">
        <v>9878</v>
      </c>
      <c r="R3612" t="s">
        <v>23</v>
      </c>
      <c r="S3612" s="1" t="s">
        <v>34218</v>
      </c>
    </row>
    <row r="3613" spans="1:19" x14ac:dyDescent="0.25">
      <c r="A3613">
        <v>100587644</v>
      </c>
      <c r="B3613" t="s">
        <v>9479</v>
      </c>
      <c r="C3613" t="s">
        <v>9480</v>
      </c>
      <c r="G3613" t="s">
        <v>9481</v>
      </c>
      <c r="H3613" t="s">
        <v>9482</v>
      </c>
      <c r="I3613" t="s">
        <v>241</v>
      </c>
      <c r="J3613">
        <v>66503</v>
      </c>
      <c r="K3613">
        <v>9796</v>
      </c>
      <c r="L3613" t="s">
        <v>23</v>
      </c>
      <c r="M3613" t="s">
        <v>9481</v>
      </c>
      <c r="N3613" t="s">
        <v>9482</v>
      </c>
      <c r="O3613" t="s">
        <v>241</v>
      </c>
      <c r="P3613">
        <v>66503</v>
      </c>
      <c r="Q3613">
        <v>9796</v>
      </c>
      <c r="R3613" t="s">
        <v>23</v>
      </c>
      <c r="S3613" s="1" t="s">
        <v>34218</v>
      </c>
    </row>
    <row r="3614" spans="1:19" x14ac:dyDescent="0.25">
      <c r="A3614">
        <v>100585679</v>
      </c>
      <c r="B3614" t="s">
        <v>9483</v>
      </c>
      <c r="C3614" t="s">
        <v>554</v>
      </c>
      <c r="G3614" t="s">
        <v>9484</v>
      </c>
      <c r="H3614" t="s">
        <v>9485</v>
      </c>
      <c r="I3614" t="s">
        <v>365</v>
      </c>
      <c r="J3614">
        <v>85375</v>
      </c>
      <c r="K3614">
        <v>2382</v>
      </c>
      <c r="L3614" t="s">
        <v>23</v>
      </c>
      <c r="M3614" t="s">
        <v>9484</v>
      </c>
      <c r="N3614" t="s">
        <v>9485</v>
      </c>
      <c r="O3614" t="s">
        <v>365</v>
      </c>
      <c r="P3614">
        <v>85375</v>
      </c>
      <c r="Q3614">
        <v>2382</v>
      </c>
      <c r="R3614" t="s">
        <v>23</v>
      </c>
      <c r="S3614" s="1" t="s">
        <v>34218</v>
      </c>
    </row>
    <row r="3615" spans="1:19" x14ac:dyDescent="0.25">
      <c r="A3615">
        <v>100587547</v>
      </c>
      <c r="B3615" t="s">
        <v>1210</v>
      </c>
      <c r="C3615" t="s">
        <v>641</v>
      </c>
      <c r="G3615" t="s">
        <v>9486</v>
      </c>
      <c r="H3615" t="s">
        <v>4951</v>
      </c>
      <c r="I3615" t="s">
        <v>140</v>
      </c>
      <c r="J3615">
        <v>48125</v>
      </c>
      <c r="K3615">
        <v>2118</v>
      </c>
      <c r="L3615" t="s">
        <v>23</v>
      </c>
      <c r="M3615" t="s">
        <v>9486</v>
      </c>
      <c r="N3615" t="s">
        <v>4951</v>
      </c>
      <c r="O3615" t="s">
        <v>140</v>
      </c>
      <c r="P3615">
        <v>48125</v>
      </c>
      <c r="Q3615">
        <v>2118</v>
      </c>
      <c r="R3615" t="s">
        <v>23</v>
      </c>
      <c r="S3615" s="1" t="s">
        <v>34218</v>
      </c>
    </row>
    <row r="3616" spans="1:19" x14ac:dyDescent="0.25">
      <c r="A3616">
        <v>100591593</v>
      </c>
      <c r="B3616" t="s">
        <v>9487</v>
      </c>
      <c r="C3616" t="s">
        <v>554</v>
      </c>
      <c r="G3616" t="s">
        <v>9488</v>
      </c>
      <c r="H3616" t="s">
        <v>9489</v>
      </c>
      <c r="I3616" t="s">
        <v>1226</v>
      </c>
      <c r="J3616">
        <v>39426</v>
      </c>
      <c r="K3616">
        <v>8314</v>
      </c>
      <c r="L3616" t="s">
        <v>23</v>
      </c>
      <c r="M3616" t="s">
        <v>9488</v>
      </c>
      <c r="N3616" t="s">
        <v>9489</v>
      </c>
      <c r="O3616" t="s">
        <v>1226</v>
      </c>
      <c r="P3616">
        <v>39426</v>
      </c>
      <c r="Q3616">
        <v>8314</v>
      </c>
      <c r="R3616" t="s">
        <v>23</v>
      </c>
      <c r="S3616" s="1" t="s">
        <v>34218</v>
      </c>
    </row>
    <row r="3617" spans="1:19" x14ac:dyDescent="0.25">
      <c r="A3617">
        <v>100596922</v>
      </c>
      <c r="B3617" t="s">
        <v>9490</v>
      </c>
      <c r="C3617" t="s">
        <v>2857</v>
      </c>
      <c r="G3617" t="s">
        <v>9491</v>
      </c>
      <c r="H3617" t="s">
        <v>653</v>
      </c>
      <c r="I3617" t="s">
        <v>117</v>
      </c>
      <c r="J3617">
        <v>10016</v>
      </c>
      <c r="K3617">
        <v>3801</v>
      </c>
      <c r="L3617" t="s">
        <v>23</v>
      </c>
      <c r="M3617" t="s">
        <v>9491</v>
      </c>
      <c r="N3617" t="s">
        <v>653</v>
      </c>
      <c r="O3617" t="s">
        <v>117</v>
      </c>
      <c r="P3617">
        <v>10016</v>
      </c>
      <c r="Q3617">
        <v>3801</v>
      </c>
      <c r="R3617" t="s">
        <v>23</v>
      </c>
      <c r="S3617" s="1" t="s">
        <v>34218</v>
      </c>
    </row>
    <row r="3618" spans="1:19" x14ac:dyDescent="0.25">
      <c r="A3618">
        <v>100600549</v>
      </c>
      <c r="B3618" t="s">
        <v>9492</v>
      </c>
      <c r="C3618" t="s">
        <v>25</v>
      </c>
      <c r="G3618" t="s">
        <v>9493</v>
      </c>
      <c r="H3618" t="s">
        <v>130</v>
      </c>
      <c r="I3618" t="s">
        <v>22</v>
      </c>
      <c r="J3618">
        <v>94102</v>
      </c>
      <c r="K3618">
        <v>3656</v>
      </c>
      <c r="L3618" t="s">
        <v>23</v>
      </c>
      <c r="M3618" t="s">
        <v>9493</v>
      </c>
      <c r="N3618" t="s">
        <v>130</v>
      </c>
      <c r="O3618" t="s">
        <v>22</v>
      </c>
      <c r="P3618">
        <v>94102</v>
      </c>
      <c r="Q3618">
        <v>3656</v>
      </c>
      <c r="R3618" t="s">
        <v>23</v>
      </c>
      <c r="S3618" s="1" t="s">
        <v>34218</v>
      </c>
    </row>
    <row r="3619" spans="1:19" x14ac:dyDescent="0.25">
      <c r="A3619">
        <v>100602557</v>
      </c>
      <c r="B3619" t="s">
        <v>9494</v>
      </c>
      <c r="C3619" t="s">
        <v>81</v>
      </c>
      <c r="G3619" t="s">
        <v>9495</v>
      </c>
      <c r="H3619" t="s">
        <v>1456</v>
      </c>
      <c r="I3619" t="s">
        <v>84</v>
      </c>
      <c r="J3619">
        <v>98012</v>
      </c>
      <c r="K3619">
        <v>6347</v>
      </c>
      <c r="L3619" t="s">
        <v>23</v>
      </c>
      <c r="M3619" t="s">
        <v>9495</v>
      </c>
      <c r="N3619" t="s">
        <v>1456</v>
      </c>
      <c r="O3619" t="s">
        <v>84</v>
      </c>
      <c r="P3619">
        <v>98012</v>
      </c>
      <c r="Q3619">
        <v>6347</v>
      </c>
      <c r="R3619" t="s">
        <v>23</v>
      </c>
      <c r="S3619" s="1" t="s">
        <v>34218</v>
      </c>
    </row>
    <row r="3620" spans="1:19" x14ac:dyDescent="0.25">
      <c r="A3620">
        <v>100602896</v>
      </c>
      <c r="B3620" t="s">
        <v>9496</v>
      </c>
      <c r="C3620" t="s">
        <v>30</v>
      </c>
      <c r="G3620" t="s">
        <v>9497</v>
      </c>
      <c r="H3620" t="s">
        <v>814</v>
      </c>
      <c r="I3620" t="s">
        <v>161</v>
      </c>
      <c r="J3620">
        <v>6457</v>
      </c>
      <c r="K3620">
        <v>2627</v>
      </c>
      <c r="L3620" t="s">
        <v>23</v>
      </c>
      <c r="M3620" t="s">
        <v>9497</v>
      </c>
      <c r="N3620" t="s">
        <v>814</v>
      </c>
      <c r="O3620" t="s">
        <v>161</v>
      </c>
      <c r="P3620">
        <v>6457</v>
      </c>
      <c r="Q3620">
        <v>2627</v>
      </c>
      <c r="R3620" t="s">
        <v>23</v>
      </c>
      <c r="S3620" s="1" t="s">
        <v>34218</v>
      </c>
    </row>
    <row r="3621" spans="1:19" x14ac:dyDescent="0.25">
      <c r="A3621">
        <v>100788297</v>
      </c>
      <c r="B3621" t="s">
        <v>654</v>
      </c>
      <c r="C3621" t="s">
        <v>7445</v>
      </c>
      <c r="F3621" t="str">
        <f>"3126343400"</f>
        <v>3126343400</v>
      </c>
      <c r="G3621" t="s">
        <v>9498</v>
      </c>
      <c r="H3621" t="s">
        <v>393</v>
      </c>
      <c r="I3621" t="s">
        <v>71</v>
      </c>
      <c r="J3621">
        <v>80207</v>
      </c>
      <c r="K3621">
        <v>3748</v>
      </c>
      <c r="L3621" t="s">
        <v>23</v>
      </c>
      <c r="M3621" t="s">
        <v>9498</v>
      </c>
      <c r="N3621" t="s">
        <v>393</v>
      </c>
      <c r="O3621" t="s">
        <v>71</v>
      </c>
      <c r="P3621">
        <v>80207</v>
      </c>
      <c r="Q3621">
        <v>3748</v>
      </c>
      <c r="R3621" t="s">
        <v>23</v>
      </c>
      <c r="S3621" s="1" t="s">
        <v>34218</v>
      </c>
    </row>
    <row r="3622" spans="1:19" x14ac:dyDescent="0.25">
      <c r="A3622">
        <v>100792707</v>
      </c>
      <c r="B3622" t="s">
        <v>9499</v>
      </c>
      <c r="C3622" t="s">
        <v>644</v>
      </c>
      <c r="G3622" t="s">
        <v>9500</v>
      </c>
      <c r="H3622" t="s">
        <v>9501</v>
      </c>
      <c r="I3622" t="s">
        <v>117</v>
      </c>
      <c r="J3622">
        <v>12065</v>
      </c>
      <c r="K3622">
        <v>7502</v>
      </c>
      <c r="L3622" t="s">
        <v>23</v>
      </c>
      <c r="M3622" t="s">
        <v>9500</v>
      </c>
      <c r="N3622" t="s">
        <v>9501</v>
      </c>
      <c r="O3622" t="s">
        <v>117</v>
      </c>
      <c r="P3622">
        <v>12065</v>
      </c>
      <c r="Q3622">
        <v>7502</v>
      </c>
      <c r="R3622" t="s">
        <v>23</v>
      </c>
      <c r="S3622" s="1" t="s">
        <v>34218</v>
      </c>
    </row>
    <row r="3623" spans="1:19" x14ac:dyDescent="0.25">
      <c r="A3623">
        <v>100796677</v>
      </c>
      <c r="B3623" t="s">
        <v>2689</v>
      </c>
      <c r="C3623" t="s">
        <v>68</v>
      </c>
      <c r="G3623" t="s">
        <v>9502</v>
      </c>
      <c r="H3623" t="s">
        <v>899</v>
      </c>
      <c r="I3623" t="s">
        <v>135</v>
      </c>
      <c r="J3623">
        <v>60491</v>
      </c>
      <c r="K3623">
        <v>9669</v>
      </c>
      <c r="L3623" t="s">
        <v>23</v>
      </c>
      <c r="M3623" t="s">
        <v>9502</v>
      </c>
      <c r="N3623" t="s">
        <v>899</v>
      </c>
      <c r="O3623" t="s">
        <v>135</v>
      </c>
      <c r="P3623">
        <v>60491</v>
      </c>
      <c r="Q3623">
        <v>9669</v>
      </c>
      <c r="R3623" t="s">
        <v>23</v>
      </c>
      <c r="S3623" s="1" t="s">
        <v>34218</v>
      </c>
    </row>
    <row r="3624" spans="1:19" x14ac:dyDescent="0.25">
      <c r="A3624">
        <v>100799848</v>
      </c>
      <c r="B3624" t="s">
        <v>6788</v>
      </c>
      <c r="C3624" t="s">
        <v>1078</v>
      </c>
      <c r="G3624" t="s">
        <v>9503</v>
      </c>
      <c r="H3624" t="s">
        <v>1439</v>
      </c>
      <c r="I3624" t="s">
        <v>365</v>
      </c>
      <c r="J3624">
        <v>85704</v>
      </c>
      <c r="K3624">
        <v>5122</v>
      </c>
      <c r="L3624" t="s">
        <v>23</v>
      </c>
      <c r="M3624" t="s">
        <v>9503</v>
      </c>
      <c r="N3624" t="s">
        <v>1439</v>
      </c>
      <c r="O3624" t="s">
        <v>365</v>
      </c>
      <c r="P3624">
        <v>85704</v>
      </c>
      <c r="Q3624">
        <v>5122</v>
      </c>
      <c r="R3624" t="s">
        <v>23</v>
      </c>
      <c r="S3624" s="1" t="s">
        <v>34218</v>
      </c>
    </row>
    <row r="3625" spans="1:19" x14ac:dyDescent="0.25">
      <c r="A3625">
        <v>100802813</v>
      </c>
      <c r="B3625" t="s">
        <v>9504</v>
      </c>
      <c r="C3625" t="s">
        <v>1117</v>
      </c>
      <c r="G3625" t="s">
        <v>9505</v>
      </c>
      <c r="H3625" t="s">
        <v>9506</v>
      </c>
      <c r="I3625" t="s">
        <v>446</v>
      </c>
      <c r="J3625">
        <v>27949</v>
      </c>
      <c r="K3625">
        <v>4046</v>
      </c>
      <c r="L3625" t="s">
        <v>23</v>
      </c>
      <c r="M3625" t="s">
        <v>9505</v>
      </c>
      <c r="N3625" t="s">
        <v>9506</v>
      </c>
      <c r="O3625" t="s">
        <v>446</v>
      </c>
      <c r="P3625">
        <v>27949</v>
      </c>
      <c r="Q3625">
        <v>4046</v>
      </c>
      <c r="R3625" t="s">
        <v>23</v>
      </c>
      <c r="S3625" s="1" t="s">
        <v>34218</v>
      </c>
    </row>
    <row r="3626" spans="1:19" x14ac:dyDescent="0.25">
      <c r="A3626">
        <v>101322404</v>
      </c>
      <c r="B3626" t="s">
        <v>9507</v>
      </c>
      <c r="C3626" t="s">
        <v>9508</v>
      </c>
      <c r="G3626" t="s">
        <v>9509</v>
      </c>
      <c r="H3626" t="s">
        <v>3385</v>
      </c>
      <c r="I3626" t="s">
        <v>236</v>
      </c>
      <c r="J3626" t="s">
        <v>9510</v>
      </c>
      <c r="K3626">
        <v>4866</v>
      </c>
      <c r="L3626" t="s">
        <v>23</v>
      </c>
      <c r="M3626" t="s">
        <v>9509</v>
      </c>
      <c r="N3626" t="s">
        <v>3385</v>
      </c>
      <c r="O3626" t="s">
        <v>236</v>
      </c>
      <c r="P3626" t="s">
        <v>9510</v>
      </c>
      <c r="Q3626">
        <v>4866</v>
      </c>
      <c r="R3626" t="s">
        <v>23</v>
      </c>
      <c r="S3626" s="1" t="s">
        <v>34218</v>
      </c>
    </row>
    <row r="3627" spans="1:19" x14ac:dyDescent="0.25">
      <c r="A3627">
        <v>101364105</v>
      </c>
      <c r="B3627" t="s">
        <v>9511</v>
      </c>
      <c r="C3627" t="s">
        <v>2961</v>
      </c>
      <c r="G3627" t="s">
        <v>9512</v>
      </c>
      <c r="H3627" t="s">
        <v>9513</v>
      </c>
      <c r="I3627" t="s">
        <v>135</v>
      </c>
      <c r="J3627" t="s">
        <v>9514</v>
      </c>
      <c r="K3627">
        <v>8161</v>
      </c>
      <c r="L3627" t="s">
        <v>23</v>
      </c>
      <c r="M3627" t="s">
        <v>9512</v>
      </c>
      <c r="N3627" t="s">
        <v>9513</v>
      </c>
      <c r="O3627" t="s">
        <v>135</v>
      </c>
      <c r="P3627" t="s">
        <v>9514</v>
      </c>
      <c r="Q3627">
        <v>8161</v>
      </c>
      <c r="R3627" t="s">
        <v>23</v>
      </c>
      <c r="S3627" s="1" t="s">
        <v>34218</v>
      </c>
    </row>
    <row r="3628" spans="1:19" x14ac:dyDescent="0.25">
      <c r="A3628">
        <v>101480840</v>
      </c>
      <c r="B3628" t="s">
        <v>1178</v>
      </c>
      <c r="C3628" t="s">
        <v>664</v>
      </c>
      <c r="G3628" t="s">
        <v>9515</v>
      </c>
      <c r="H3628" t="s">
        <v>7649</v>
      </c>
      <c r="I3628" t="s">
        <v>57</v>
      </c>
      <c r="J3628">
        <v>46227</v>
      </c>
      <c r="K3628">
        <v>6012</v>
      </c>
      <c r="L3628" t="s">
        <v>23</v>
      </c>
      <c r="M3628" t="s">
        <v>9515</v>
      </c>
      <c r="N3628" t="s">
        <v>7649</v>
      </c>
      <c r="O3628" t="s">
        <v>57</v>
      </c>
      <c r="P3628">
        <v>46227</v>
      </c>
      <c r="Q3628">
        <v>6012</v>
      </c>
      <c r="R3628" t="s">
        <v>23</v>
      </c>
      <c r="S3628" s="1" t="s">
        <v>34218</v>
      </c>
    </row>
    <row r="3629" spans="1:19" x14ac:dyDescent="0.25">
      <c r="A3629">
        <v>100679500</v>
      </c>
      <c r="B3629" t="s">
        <v>9516</v>
      </c>
      <c r="C3629" t="s">
        <v>90</v>
      </c>
      <c r="G3629" t="s">
        <v>9517</v>
      </c>
      <c r="H3629" t="s">
        <v>37</v>
      </c>
      <c r="I3629" t="s">
        <v>38</v>
      </c>
      <c r="J3629">
        <v>78748</v>
      </c>
      <c r="K3629">
        <v>4842</v>
      </c>
      <c r="L3629" t="s">
        <v>23</v>
      </c>
      <c r="M3629" t="s">
        <v>9517</v>
      </c>
      <c r="N3629" t="s">
        <v>37</v>
      </c>
      <c r="O3629" t="s">
        <v>38</v>
      </c>
      <c r="P3629">
        <v>78748</v>
      </c>
      <c r="Q3629">
        <v>4842</v>
      </c>
      <c r="R3629" t="s">
        <v>23</v>
      </c>
      <c r="S3629" s="1" t="s">
        <v>34218</v>
      </c>
    </row>
    <row r="3630" spans="1:19" x14ac:dyDescent="0.25">
      <c r="A3630">
        <v>100647286</v>
      </c>
      <c r="B3630" t="s">
        <v>9518</v>
      </c>
      <c r="C3630" t="s">
        <v>929</v>
      </c>
      <c r="G3630" t="s">
        <v>9519</v>
      </c>
      <c r="H3630" t="s">
        <v>653</v>
      </c>
      <c r="I3630" t="s">
        <v>117</v>
      </c>
      <c r="J3630">
        <v>10028</v>
      </c>
      <c r="L3630" t="s">
        <v>23</v>
      </c>
      <c r="M3630" t="s">
        <v>9519</v>
      </c>
      <c r="N3630" t="s">
        <v>653</v>
      </c>
      <c r="O3630" t="s">
        <v>117</v>
      </c>
      <c r="P3630">
        <v>10028</v>
      </c>
      <c r="R3630" t="s">
        <v>23</v>
      </c>
      <c r="S3630" s="1" t="s">
        <v>34218</v>
      </c>
    </row>
    <row r="3631" spans="1:19" x14ac:dyDescent="0.25">
      <c r="A3631">
        <v>101181326</v>
      </c>
      <c r="B3631" t="s">
        <v>5258</v>
      </c>
      <c r="C3631" t="s">
        <v>7569</v>
      </c>
      <c r="G3631" t="s">
        <v>9520</v>
      </c>
      <c r="H3631" t="s">
        <v>650</v>
      </c>
      <c r="I3631" t="s">
        <v>22</v>
      </c>
      <c r="J3631">
        <v>95841</v>
      </c>
      <c r="K3631">
        <v>4702</v>
      </c>
      <c r="L3631" t="s">
        <v>23</v>
      </c>
      <c r="M3631" t="s">
        <v>9520</v>
      </c>
      <c r="N3631" t="s">
        <v>650</v>
      </c>
      <c r="O3631" t="s">
        <v>22</v>
      </c>
      <c r="P3631">
        <v>95841</v>
      </c>
      <c r="Q3631">
        <v>4702</v>
      </c>
      <c r="R3631" t="s">
        <v>23</v>
      </c>
      <c r="S3631" s="1" t="s">
        <v>34218</v>
      </c>
    </row>
    <row r="3632" spans="1:19" x14ac:dyDescent="0.25">
      <c r="A3632">
        <v>101480849</v>
      </c>
      <c r="B3632" t="s">
        <v>9521</v>
      </c>
      <c r="C3632" t="s">
        <v>9522</v>
      </c>
      <c r="G3632" t="s">
        <v>9523</v>
      </c>
      <c r="H3632" t="s">
        <v>380</v>
      </c>
      <c r="I3632" t="s">
        <v>28</v>
      </c>
      <c r="J3632">
        <v>30157</v>
      </c>
      <c r="K3632">
        <v>1151</v>
      </c>
      <c r="L3632" t="s">
        <v>23</v>
      </c>
      <c r="M3632" t="s">
        <v>9523</v>
      </c>
      <c r="N3632" t="s">
        <v>380</v>
      </c>
      <c r="O3632" t="s">
        <v>28</v>
      </c>
      <c r="P3632">
        <v>30157</v>
      </c>
      <c r="Q3632">
        <v>1151</v>
      </c>
      <c r="R3632" t="s">
        <v>23</v>
      </c>
      <c r="S3632" s="1" t="s">
        <v>34218</v>
      </c>
    </row>
    <row r="3633" spans="1:19" x14ac:dyDescent="0.25">
      <c r="A3633">
        <v>101345438</v>
      </c>
      <c r="B3633" t="s">
        <v>6175</v>
      </c>
      <c r="C3633" t="s">
        <v>7693</v>
      </c>
      <c r="G3633" t="s">
        <v>9524</v>
      </c>
      <c r="H3633" t="s">
        <v>3230</v>
      </c>
      <c r="I3633" t="s">
        <v>22</v>
      </c>
      <c r="J3633">
        <v>95959</v>
      </c>
      <c r="K3633">
        <v>8722</v>
      </c>
      <c r="L3633" t="s">
        <v>23</v>
      </c>
      <c r="M3633" t="s">
        <v>9524</v>
      </c>
      <c r="N3633" t="s">
        <v>3230</v>
      </c>
      <c r="O3633" t="s">
        <v>22</v>
      </c>
      <c r="P3633">
        <v>95959</v>
      </c>
      <c r="Q3633">
        <v>8722</v>
      </c>
      <c r="R3633" t="s">
        <v>23</v>
      </c>
      <c r="S3633" s="1" t="s">
        <v>34218</v>
      </c>
    </row>
    <row r="3634" spans="1:19" x14ac:dyDescent="0.25">
      <c r="A3634">
        <v>100812541</v>
      </c>
      <c r="B3634" t="s">
        <v>402</v>
      </c>
      <c r="C3634" t="s">
        <v>4628</v>
      </c>
      <c r="G3634" t="s">
        <v>9525</v>
      </c>
      <c r="H3634" t="s">
        <v>650</v>
      </c>
      <c r="I3634" t="s">
        <v>22</v>
      </c>
      <c r="J3634">
        <v>95827</v>
      </c>
      <c r="K3634">
        <v>1053</v>
      </c>
      <c r="L3634" t="s">
        <v>23</v>
      </c>
      <c r="M3634" t="s">
        <v>9525</v>
      </c>
      <c r="N3634" t="s">
        <v>650</v>
      </c>
      <c r="O3634" t="s">
        <v>22</v>
      </c>
      <c r="P3634">
        <v>95827</v>
      </c>
      <c r="Q3634">
        <v>1053</v>
      </c>
      <c r="R3634" t="s">
        <v>23</v>
      </c>
      <c r="S3634" s="1" t="s">
        <v>34218</v>
      </c>
    </row>
    <row r="3635" spans="1:19" x14ac:dyDescent="0.25">
      <c r="A3635">
        <v>101480860</v>
      </c>
      <c r="B3635" t="s">
        <v>9526</v>
      </c>
      <c r="C3635" t="s">
        <v>1374</v>
      </c>
      <c r="G3635" t="s">
        <v>9527</v>
      </c>
      <c r="H3635" t="s">
        <v>9456</v>
      </c>
      <c r="I3635" t="s">
        <v>135</v>
      </c>
      <c r="J3635">
        <v>60510</v>
      </c>
      <c r="K3635">
        <v>2816</v>
      </c>
      <c r="L3635" t="s">
        <v>23</v>
      </c>
      <c r="M3635" t="s">
        <v>9527</v>
      </c>
      <c r="N3635" t="s">
        <v>9456</v>
      </c>
      <c r="O3635" t="s">
        <v>135</v>
      </c>
      <c r="P3635">
        <v>60510</v>
      </c>
      <c r="Q3635">
        <v>2816</v>
      </c>
      <c r="R3635" t="s">
        <v>23</v>
      </c>
      <c r="S3635" s="1" t="s">
        <v>34218</v>
      </c>
    </row>
    <row r="3636" spans="1:19" x14ac:dyDescent="0.25">
      <c r="A3636">
        <v>101469482</v>
      </c>
      <c r="B3636" t="s">
        <v>9528</v>
      </c>
      <c r="C3636" t="s">
        <v>1859</v>
      </c>
      <c r="G3636" t="s">
        <v>5829</v>
      </c>
      <c r="H3636" t="s">
        <v>9529</v>
      </c>
      <c r="I3636" t="s">
        <v>33</v>
      </c>
      <c r="J3636">
        <v>18081</v>
      </c>
      <c r="K3636">
        <v>157</v>
      </c>
      <c r="L3636" t="s">
        <v>23</v>
      </c>
      <c r="M3636" t="s">
        <v>5829</v>
      </c>
      <c r="N3636" t="s">
        <v>9529</v>
      </c>
      <c r="O3636" t="s">
        <v>33</v>
      </c>
      <c r="P3636">
        <v>18081</v>
      </c>
      <c r="Q3636">
        <v>157</v>
      </c>
      <c r="R3636" t="s">
        <v>23</v>
      </c>
      <c r="S3636" s="1" t="s">
        <v>34218</v>
      </c>
    </row>
    <row r="3637" spans="1:19" x14ac:dyDescent="0.25">
      <c r="A3637">
        <v>100842245</v>
      </c>
      <c r="B3637" t="s">
        <v>9530</v>
      </c>
      <c r="C3637" t="s">
        <v>8052</v>
      </c>
      <c r="G3637" t="s">
        <v>9531</v>
      </c>
      <c r="H3637" t="s">
        <v>1254</v>
      </c>
      <c r="I3637" t="s">
        <v>52</v>
      </c>
      <c r="J3637">
        <v>33467</v>
      </c>
      <c r="L3637" t="s">
        <v>23</v>
      </c>
      <c r="M3637" t="s">
        <v>9531</v>
      </c>
      <c r="N3637" t="s">
        <v>1254</v>
      </c>
      <c r="O3637" t="s">
        <v>52</v>
      </c>
      <c r="P3637">
        <v>33467</v>
      </c>
      <c r="R3637" t="s">
        <v>23</v>
      </c>
      <c r="S3637" s="1" t="s">
        <v>34218</v>
      </c>
    </row>
    <row r="3638" spans="1:19" x14ac:dyDescent="0.25">
      <c r="A3638">
        <v>101480865</v>
      </c>
      <c r="B3638" t="s">
        <v>9532</v>
      </c>
      <c r="C3638" t="s">
        <v>9405</v>
      </c>
      <c r="G3638" t="s">
        <v>9533</v>
      </c>
      <c r="H3638" t="s">
        <v>1881</v>
      </c>
      <c r="I3638" t="s">
        <v>161</v>
      </c>
      <c r="J3638">
        <v>6084</v>
      </c>
      <c r="K3638">
        <v>2162</v>
      </c>
      <c r="L3638" t="s">
        <v>23</v>
      </c>
      <c r="M3638" t="s">
        <v>9533</v>
      </c>
      <c r="N3638" t="s">
        <v>1881</v>
      </c>
      <c r="O3638" t="s">
        <v>161</v>
      </c>
      <c r="P3638">
        <v>6084</v>
      </c>
      <c r="Q3638">
        <v>2162</v>
      </c>
      <c r="R3638" t="s">
        <v>23</v>
      </c>
      <c r="S3638" s="1" t="s">
        <v>34218</v>
      </c>
    </row>
    <row r="3639" spans="1:19" x14ac:dyDescent="0.25">
      <c r="A3639">
        <v>100646549</v>
      </c>
      <c r="B3639" t="s">
        <v>9534</v>
      </c>
      <c r="C3639" t="s">
        <v>1384</v>
      </c>
      <c r="G3639" t="s">
        <v>9535</v>
      </c>
      <c r="H3639" t="s">
        <v>9536</v>
      </c>
      <c r="I3639" t="s">
        <v>187</v>
      </c>
      <c r="J3639">
        <v>56425</v>
      </c>
      <c r="K3639">
        <v>2634</v>
      </c>
      <c r="L3639" t="s">
        <v>23</v>
      </c>
      <c r="M3639" t="s">
        <v>9535</v>
      </c>
      <c r="N3639" t="s">
        <v>9536</v>
      </c>
      <c r="O3639" t="s">
        <v>187</v>
      </c>
      <c r="P3639">
        <v>56425</v>
      </c>
      <c r="Q3639">
        <v>2634</v>
      </c>
      <c r="R3639" t="s">
        <v>23</v>
      </c>
      <c r="S3639" s="1" t="s">
        <v>34218</v>
      </c>
    </row>
    <row r="3640" spans="1:19" x14ac:dyDescent="0.25">
      <c r="A3640">
        <v>100784697</v>
      </c>
      <c r="B3640" t="s">
        <v>9537</v>
      </c>
      <c r="C3640" t="s">
        <v>715</v>
      </c>
      <c r="G3640" t="s">
        <v>9538</v>
      </c>
      <c r="H3640" t="s">
        <v>3613</v>
      </c>
      <c r="I3640" t="s">
        <v>236</v>
      </c>
      <c r="J3640">
        <v>2446</v>
      </c>
      <c r="K3640">
        <v>5843</v>
      </c>
      <c r="L3640" t="s">
        <v>23</v>
      </c>
      <c r="M3640" t="s">
        <v>9538</v>
      </c>
      <c r="N3640" t="s">
        <v>3613</v>
      </c>
      <c r="O3640" t="s">
        <v>236</v>
      </c>
      <c r="P3640">
        <v>2446</v>
      </c>
      <c r="Q3640">
        <v>5843</v>
      </c>
      <c r="R3640" t="s">
        <v>23</v>
      </c>
      <c r="S3640" s="1" t="s">
        <v>34218</v>
      </c>
    </row>
    <row r="3641" spans="1:19" x14ac:dyDescent="0.25">
      <c r="A3641">
        <v>101480870</v>
      </c>
      <c r="B3641" t="s">
        <v>2773</v>
      </c>
      <c r="C3641" t="s">
        <v>155</v>
      </c>
      <c r="G3641" t="s">
        <v>9539</v>
      </c>
      <c r="H3641" t="s">
        <v>6224</v>
      </c>
      <c r="I3641" t="s">
        <v>914</v>
      </c>
      <c r="J3641">
        <v>37923</v>
      </c>
      <c r="K3641">
        <v>5842</v>
      </c>
      <c r="L3641" t="s">
        <v>23</v>
      </c>
      <c r="M3641" t="s">
        <v>9539</v>
      </c>
      <c r="N3641" t="s">
        <v>6224</v>
      </c>
      <c r="O3641" t="s">
        <v>914</v>
      </c>
      <c r="P3641">
        <v>37923</v>
      </c>
      <c r="Q3641">
        <v>5842</v>
      </c>
      <c r="R3641" t="s">
        <v>23</v>
      </c>
      <c r="S3641" s="1" t="s">
        <v>34218</v>
      </c>
    </row>
    <row r="3642" spans="1:19" x14ac:dyDescent="0.25">
      <c r="A3642">
        <v>101451054</v>
      </c>
      <c r="B3642" t="s">
        <v>9540</v>
      </c>
      <c r="C3642" t="s">
        <v>9541</v>
      </c>
      <c r="G3642" t="s">
        <v>9542</v>
      </c>
      <c r="H3642" t="s">
        <v>1229</v>
      </c>
      <c r="I3642" t="s">
        <v>38</v>
      </c>
      <c r="J3642">
        <v>78232</v>
      </c>
      <c r="K3642">
        <v>4950</v>
      </c>
      <c r="L3642" t="s">
        <v>23</v>
      </c>
      <c r="M3642" t="s">
        <v>9542</v>
      </c>
      <c r="N3642" t="s">
        <v>1229</v>
      </c>
      <c r="O3642" t="s">
        <v>38</v>
      </c>
      <c r="P3642">
        <v>78232</v>
      </c>
      <c r="Q3642">
        <v>4950</v>
      </c>
      <c r="R3642" t="s">
        <v>23</v>
      </c>
      <c r="S3642" s="1" t="s">
        <v>34218</v>
      </c>
    </row>
    <row r="3643" spans="1:19" x14ac:dyDescent="0.25">
      <c r="A3643">
        <v>100585022</v>
      </c>
      <c r="B3643" t="s">
        <v>6042</v>
      </c>
      <c r="C3643" t="s">
        <v>180</v>
      </c>
      <c r="G3643" t="s">
        <v>9543</v>
      </c>
      <c r="H3643" t="s">
        <v>9544</v>
      </c>
      <c r="I3643" t="s">
        <v>148</v>
      </c>
      <c r="J3643">
        <v>20815</v>
      </c>
      <c r="K3643">
        <v>4520</v>
      </c>
      <c r="L3643" t="s">
        <v>23</v>
      </c>
      <c r="M3643" t="s">
        <v>9543</v>
      </c>
      <c r="N3643" t="s">
        <v>9544</v>
      </c>
      <c r="O3643" t="s">
        <v>148</v>
      </c>
      <c r="P3643">
        <v>20815</v>
      </c>
      <c r="Q3643">
        <v>4520</v>
      </c>
      <c r="R3643" t="s">
        <v>23</v>
      </c>
      <c r="S3643" s="1" t="s">
        <v>34218</v>
      </c>
    </row>
    <row r="3644" spans="1:19" x14ac:dyDescent="0.25">
      <c r="A3644">
        <v>100672463</v>
      </c>
      <c r="B3644" t="s">
        <v>9545</v>
      </c>
      <c r="C3644" t="s">
        <v>5868</v>
      </c>
      <c r="G3644" t="s">
        <v>9546</v>
      </c>
      <c r="H3644" t="s">
        <v>5756</v>
      </c>
      <c r="I3644" t="s">
        <v>255</v>
      </c>
      <c r="J3644">
        <v>22620</v>
      </c>
      <c r="K3644">
        <v>2825</v>
      </c>
      <c r="L3644" t="s">
        <v>23</v>
      </c>
      <c r="M3644" t="s">
        <v>9546</v>
      </c>
      <c r="N3644" t="s">
        <v>5756</v>
      </c>
      <c r="O3644" t="s">
        <v>255</v>
      </c>
      <c r="P3644">
        <v>22620</v>
      </c>
      <c r="Q3644">
        <v>2825</v>
      </c>
      <c r="R3644" t="s">
        <v>23</v>
      </c>
      <c r="S3644" s="1" t="s">
        <v>34218</v>
      </c>
    </row>
    <row r="3645" spans="1:19" x14ac:dyDescent="0.25">
      <c r="A3645">
        <v>101325181</v>
      </c>
      <c r="B3645" t="s">
        <v>9547</v>
      </c>
      <c r="C3645" t="s">
        <v>123</v>
      </c>
      <c r="G3645" t="s">
        <v>9548</v>
      </c>
      <c r="H3645" t="s">
        <v>9016</v>
      </c>
      <c r="I3645" t="s">
        <v>84</v>
      </c>
      <c r="J3645">
        <v>98027</v>
      </c>
      <c r="K3645">
        <v>4805</v>
      </c>
      <c r="L3645" t="s">
        <v>23</v>
      </c>
      <c r="M3645" t="s">
        <v>9548</v>
      </c>
      <c r="N3645" t="s">
        <v>9016</v>
      </c>
      <c r="O3645" t="s">
        <v>84</v>
      </c>
      <c r="P3645">
        <v>98027</v>
      </c>
      <c r="Q3645">
        <v>4805</v>
      </c>
      <c r="R3645" t="s">
        <v>23</v>
      </c>
      <c r="S3645" s="1" t="s">
        <v>34218</v>
      </c>
    </row>
    <row r="3646" spans="1:19" x14ac:dyDescent="0.25">
      <c r="A3646">
        <v>100559559</v>
      </c>
      <c r="B3646" t="s">
        <v>9549</v>
      </c>
      <c r="C3646" t="s">
        <v>2497</v>
      </c>
      <c r="G3646" t="s">
        <v>9550</v>
      </c>
      <c r="H3646" t="s">
        <v>1531</v>
      </c>
      <c r="I3646" t="s">
        <v>84</v>
      </c>
      <c r="J3646">
        <v>98105</v>
      </c>
      <c r="K3646">
        <v>3582</v>
      </c>
      <c r="L3646" t="s">
        <v>23</v>
      </c>
      <c r="M3646" t="s">
        <v>9550</v>
      </c>
      <c r="N3646" t="s">
        <v>1531</v>
      </c>
      <c r="O3646" t="s">
        <v>84</v>
      </c>
      <c r="P3646">
        <v>98105</v>
      </c>
      <c r="Q3646">
        <v>3582</v>
      </c>
      <c r="R3646" t="s">
        <v>23</v>
      </c>
      <c r="S3646" s="1" t="s">
        <v>34218</v>
      </c>
    </row>
    <row r="3647" spans="1:19" x14ac:dyDescent="0.25">
      <c r="A3647">
        <v>100606302</v>
      </c>
      <c r="B3647" t="s">
        <v>9551</v>
      </c>
      <c r="C3647" t="s">
        <v>102</v>
      </c>
      <c r="G3647" t="s">
        <v>9552</v>
      </c>
      <c r="H3647" t="s">
        <v>445</v>
      </c>
      <c r="I3647" t="s">
        <v>446</v>
      </c>
      <c r="J3647">
        <v>28806</v>
      </c>
      <c r="K3647">
        <v>9243</v>
      </c>
      <c r="L3647" t="s">
        <v>23</v>
      </c>
      <c r="M3647" t="s">
        <v>9552</v>
      </c>
      <c r="N3647" t="s">
        <v>445</v>
      </c>
      <c r="O3647" t="s">
        <v>446</v>
      </c>
      <c r="P3647">
        <v>28806</v>
      </c>
      <c r="Q3647">
        <v>9243</v>
      </c>
      <c r="R3647" t="s">
        <v>23</v>
      </c>
      <c r="S3647" s="1" t="s">
        <v>34218</v>
      </c>
    </row>
    <row r="3648" spans="1:19" x14ac:dyDescent="0.25">
      <c r="A3648">
        <v>100606619</v>
      </c>
      <c r="B3648" t="s">
        <v>9553</v>
      </c>
      <c r="C3648" t="s">
        <v>301</v>
      </c>
      <c r="G3648" t="s">
        <v>9554</v>
      </c>
      <c r="H3648" t="s">
        <v>5998</v>
      </c>
      <c r="I3648" t="s">
        <v>914</v>
      </c>
      <c r="J3648">
        <v>38135</v>
      </c>
      <c r="K3648">
        <v>4208</v>
      </c>
      <c r="L3648" t="s">
        <v>23</v>
      </c>
      <c r="M3648" t="s">
        <v>9554</v>
      </c>
      <c r="N3648" t="s">
        <v>5998</v>
      </c>
      <c r="O3648" t="s">
        <v>914</v>
      </c>
      <c r="P3648">
        <v>38135</v>
      </c>
      <c r="Q3648">
        <v>4208</v>
      </c>
      <c r="R3648" t="s">
        <v>23</v>
      </c>
      <c r="S3648" s="1" t="s">
        <v>34218</v>
      </c>
    </row>
    <row r="3649" spans="1:19" x14ac:dyDescent="0.25">
      <c r="A3649">
        <v>100603777</v>
      </c>
      <c r="B3649" t="s">
        <v>9555</v>
      </c>
      <c r="C3649" t="s">
        <v>1506</v>
      </c>
      <c r="G3649" t="s">
        <v>9556</v>
      </c>
      <c r="H3649" t="s">
        <v>9557</v>
      </c>
      <c r="I3649" t="s">
        <v>38</v>
      </c>
      <c r="J3649">
        <v>75965</v>
      </c>
      <c r="K3649">
        <v>2656</v>
      </c>
      <c r="L3649" t="s">
        <v>23</v>
      </c>
      <c r="M3649" t="s">
        <v>9556</v>
      </c>
      <c r="N3649" t="s">
        <v>9557</v>
      </c>
      <c r="O3649" t="s">
        <v>38</v>
      </c>
      <c r="P3649">
        <v>75965</v>
      </c>
      <c r="Q3649">
        <v>2656</v>
      </c>
      <c r="R3649" t="s">
        <v>23</v>
      </c>
      <c r="S3649" s="1" t="s">
        <v>34218</v>
      </c>
    </row>
    <row r="3650" spans="1:19" x14ac:dyDescent="0.25">
      <c r="A3650">
        <v>100608604</v>
      </c>
      <c r="B3650" t="s">
        <v>9558</v>
      </c>
      <c r="C3650" t="s">
        <v>49</v>
      </c>
      <c r="G3650" t="s">
        <v>9559</v>
      </c>
      <c r="H3650" t="s">
        <v>6317</v>
      </c>
      <c r="I3650" t="s">
        <v>161</v>
      </c>
      <c r="J3650">
        <v>6801</v>
      </c>
      <c r="K3650">
        <v>2334</v>
      </c>
      <c r="L3650" t="s">
        <v>23</v>
      </c>
      <c r="M3650" t="s">
        <v>9559</v>
      </c>
      <c r="N3650" t="s">
        <v>6317</v>
      </c>
      <c r="O3650" t="s">
        <v>161</v>
      </c>
      <c r="P3650">
        <v>6801</v>
      </c>
      <c r="Q3650">
        <v>2334</v>
      </c>
      <c r="R3650" t="s">
        <v>23</v>
      </c>
      <c r="S3650" s="1" t="s">
        <v>34218</v>
      </c>
    </row>
    <row r="3651" spans="1:19" x14ac:dyDescent="0.25">
      <c r="A3651">
        <v>100612345</v>
      </c>
      <c r="B3651" t="s">
        <v>9560</v>
      </c>
      <c r="C3651" t="s">
        <v>313</v>
      </c>
      <c r="G3651" t="s">
        <v>9561</v>
      </c>
      <c r="H3651" t="s">
        <v>1352</v>
      </c>
      <c r="I3651" t="s">
        <v>22</v>
      </c>
      <c r="J3651">
        <v>92011</v>
      </c>
      <c r="K3651">
        <v>3431</v>
      </c>
      <c r="L3651" t="s">
        <v>23</v>
      </c>
      <c r="M3651" t="s">
        <v>9561</v>
      </c>
      <c r="N3651" t="s">
        <v>1352</v>
      </c>
      <c r="O3651" t="s">
        <v>22</v>
      </c>
      <c r="P3651">
        <v>92011</v>
      </c>
      <c r="Q3651">
        <v>3431</v>
      </c>
      <c r="R3651" t="s">
        <v>23</v>
      </c>
      <c r="S3651" s="1" t="s">
        <v>34218</v>
      </c>
    </row>
    <row r="3652" spans="1:19" x14ac:dyDescent="0.25">
      <c r="A3652">
        <v>100609738</v>
      </c>
      <c r="B3652" t="s">
        <v>9562</v>
      </c>
      <c r="C3652" t="s">
        <v>483</v>
      </c>
      <c r="G3652" t="s">
        <v>9563</v>
      </c>
      <c r="H3652" t="s">
        <v>9564</v>
      </c>
      <c r="I3652" t="s">
        <v>117</v>
      </c>
      <c r="J3652">
        <v>12159</v>
      </c>
      <c r="K3652">
        <v>9833</v>
      </c>
      <c r="L3652" t="s">
        <v>23</v>
      </c>
      <c r="M3652" t="s">
        <v>9563</v>
      </c>
      <c r="N3652" t="s">
        <v>9564</v>
      </c>
      <c r="O3652" t="s">
        <v>117</v>
      </c>
      <c r="P3652">
        <v>12159</v>
      </c>
      <c r="Q3652">
        <v>9833</v>
      </c>
      <c r="R3652" t="s">
        <v>23</v>
      </c>
      <c r="S3652" s="1" t="s">
        <v>34218</v>
      </c>
    </row>
    <row r="3653" spans="1:19" x14ac:dyDescent="0.25">
      <c r="A3653">
        <v>100612432</v>
      </c>
      <c r="B3653" t="s">
        <v>1463</v>
      </c>
      <c r="C3653" t="s">
        <v>9565</v>
      </c>
      <c r="G3653" t="s">
        <v>9566</v>
      </c>
      <c r="H3653" t="s">
        <v>9567</v>
      </c>
      <c r="I3653" t="s">
        <v>43</v>
      </c>
      <c r="J3653">
        <v>97394</v>
      </c>
      <c r="K3653">
        <v>2503</v>
      </c>
      <c r="L3653" t="s">
        <v>23</v>
      </c>
      <c r="M3653" t="s">
        <v>9566</v>
      </c>
      <c r="N3653" t="s">
        <v>9567</v>
      </c>
      <c r="O3653" t="s">
        <v>43</v>
      </c>
      <c r="P3653">
        <v>97394</v>
      </c>
      <c r="Q3653">
        <v>2503</v>
      </c>
      <c r="R3653" t="s">
        <v>23</v>
      </c>
      <c r="S3653" s="1" t="s">
        <v>34218</v>
      </c>
    </row>
    <row r="3654" spans="1:19" x14ac:dyDescent="0.25">
      <c r="A3654">
        <v>100609299</v>
      </c>
      <c r="B3654" t="s">
        <v>9568</v>
      </c>
      <c r="C3654" t="s">
        <v>9569</v>
      </c>
      <c r="G3654" t="s">
        <v>9570</v>
      </c>
      <c r="H3654" t="s">
        <v>2943</v>
      </c>
      <c r="I3654" t="s">
        <v>117</v>
      </c>
      <c r="J3654">
        <v>10520</v>
      </c>
      <c r="K3654">
        <v>2630</v>
      </c>
      <c r="L3654" t="s">
        <v>23</v>
      </c>
      <c r="M3654" t="s">
        <v>9570</v>
      </c>
      <c r="N3654" t="s">
        <v>2943</v>
      </c>
      <c r="O3654" t="s">
        <v>117</v>
      </c>
      <c r="P3654">
        <v>10520</v>
      </c>
      <c r="Q3654">
        <v>2630</v>
      </c>
      <c r="R3654" t="s">
        <v>23</v>
      </c>
      <c r="S3654" s="1" t="s">
        <v>34218</v>
      </c>
    </row>
    <row r="3655" spans="1:19" x14ac:dyDescent="0.25">
      <c r="A3655">
        <v>100624788</v>
      </c>
      <c r="B3655" t="s">
        <v>34</v>
      </c>
      <c r="C3655" t="s">
        <v>1398</v>
      </c>
      <c r="G3655" t="s">
        <v>9571</v>
      </c>
      <c r="H3655" t="s">
        <v>9572</v>
      </c>
      <c r="I3655" t="s">
        <v>236</v>
      </c>
      <c r="J3655">
        <v>1370</v>
      </c>
      <c r="K3655">
        <v>1167</v>
      </c>
      <c r="L3655" t="s">
        <v>23</v>
      </c>
      <c r="M3655" t="s">
        <v>9571</v>
      </c>
      <c r="N3655" t="s">
        <v>9572</v>
      </c>
      <c r="O3655" t="s">
        <v>236</v>
      </c>
      <c r="P3655">
        <v>1370</v>
      </c>
      <c r="Q3655">
        <v>1167</v>
      </c>
      <c r="R3655" t="s">
        <v>23</v>
      </c>
      <c r="S3655" s="1" t="s">
        <v>34218</v>
      </c>
    </row>
    <row r="3656" spans="1:19" x14ac:dyDescent="0.25">
      <c r="A3656">
        <v>100627007</v>
      </c>
      <c r="B3656" t="s">
        <v>9573</v>
      </c>
      <c r="C3656" t="s">
        <v>509</v>
      </c>
      <c r="G3656" t="s">
        <v>9574</v>
      </c>
      <c r="H3656" t="s">
        <v>9575</v>
      </c>
      <c r="I3656" t="s">
        <v>84</v>
      </c>
      <c r="J3656">
        <v>99362</v>
      </c>
      <c r="K3656">
        <v>9647</v>
      </c>
      <c r="L3656" t="s">
        <v>23</v>
      </c>
      <c r="M3656" t="s">
        <v>9574</v>
      </c>
      <c r="N3656" t="s">
        <v>9575</v>
      </c>
      <c r="O3656" t="s">
        <v>84</v>
      </c>
      <c r="P3656">
        <v>99362</v>
      </c>
      <c r="Q3656">
        <v>9647</v>
      </c>
      <c r="R3656" t="s">
        <v>23</v>
      </c>
      <c r="S3656" s="1" t="s">
        <v>34218</v>
      </c>
    </row>
    <row r="3657" spans="1:19" x14ac:dyDescent="0.25">
      <c r="A3657">
        <v>100625895</v>
      </c>
      <c r="B3657" t="s">
        <v>9576</v>
      </c>
      <c r="C3657" t="s">
        <v>9577</v>
      </c>
      <c r="F3657" t="str">
        <f>"5555555555"</f>
        <v>5555555555</v>
      </c>
      <c r="G3657" t="s">
        <v>9578</v>
      </c>
      <c r="H3657" t="s">
        <v>638</v>
      </c>
      <c r="I3657" t="s">
        <v>639</v>
      </c>
      <c r="J3657">
        <v>87110</v>
      </c>
      <c r="K3657">
        <v>7104</v>
      </c>
      <c r="L3657" t="s">
        <v>23</v>
      </c>
      <c r="M3657" t="s">
        <v>9578</v>
      </c>
      <c r="N3657" t="s">
        <v>638</v>
      </c>
      <c r="O3657" t="s">
        <v>639</v>
      </c>
      <c r="P3657">
        <v>87110</v>
      </c>
      <c r="Q3657">
        <v>7104</v>
      </c>
      <c r="R3657" t="s">
        <v>23</v>
      </c>
      <c r="S3657" s="1" t="s">
        <v>34218</v>
      </c>
    </row>
    <row r="3658" spans="1:19" x14ac:dyDescent="0.25">
      <c r="A3658">
        <v>100627083</v>
      </c>
      <c r="B3658" t="s">
        <v>3728</v>
      </c>
      <c r="C3658" t="s">
        <v>9579</v>
      </c>
      <c r="G3658" t="s">
        <v>9580</v>
      </c>
      <c r="H3658" t="s">
        <v>4235</v>
      </c>
      <c r="I3658" t="s">
        <v>984</v>
      </c>
      <c r="J3658">
        <v>96825</v>
      </c>
      <c r="K3658">
        <v>2136</v>
      </c>
      <c r="L3658" t="s">
        <v>23</v>
      </c>
      <c r="M3658" t="s">
        <v>9580</v>
      </c>
      <c r="N3658" t="s">
        <v>4235</v>
      </c>
      <c r="O3658" t="s">
        <v>984</v>
      </c>
      <c r="P3658">
        <v>96825</v>
      </c>
      <c r="Q3658">
        <v>2136</v>
      </c>
      <c r="R3658" t="s">
        <v>23</v>
      </c>
      <c r="S3658" s="1" t="s">
        <v>34218</v>
      </c>
    </row>
    <row r="3659" spans="1:19" x14ac:dyDescent="0.25">
      <c r="A3659">
        <v>100626445</v>
      </c>
      <c r="B3659" t="s">
        <v>9581</v>
      </c>
      <c r="C3659" t="s">
        <v>9582</v>
      </c>
      <c r="G3659" t="s">
        <v>9583</v>
      </c>
      <c r="H3659" t="s">
        <v>3698</v>
      </c>
      <c r="I3659" t="s">
        <v>43</v>
      </c>
      <c r="J3659">
        <v>97420</v>
      </c>
      <c r="K3659">
        <v>7525</v>
      </c>
      <c r="L3659" t="s">
        <v>23</v>
      </c>
      <c r="M3659" t="s">
        <v>9583</v>
      </c>
      <c r="N3659" t="s">
        <v>3698</v>
      </c>
      <c r="O3659" t="s">
        <v>43</v>
      </c>
      <c r="P3659">
        <v>97420</v>
      </c>
      <c r="Q3659">
        <v>7525</v>
      </c>
      <c r="R3659" t="s">
        <v>23</v>
      </c>
      <c r="S3659" s="1" t="s">
        <v>34218</v>
      </c>
    </row>
    <row r="3660" spans="1:19" x14ac:dyDescent="0.25">
      <c r="A3660">
        <v>100629830</v>
      </c>
      <c r="B3660" t="s">
        <v>3708</v>
      </c>
      <c r="C3660" t="s">
        <v>644</v>
      </c>
      <c r="G3660" t="s">
        <v>9584</v>
      </c>
      <c r="H3660" t="s">
        <v>423</v>
      </c>
      <c r="I3660" t="s">
        <v>71</v>
      </c>
      <c r="J3660">
        <v>80305</v>
      </c>
      <c r="K3660">
        <v>5719</v>
      </c>
      <c r="L3660" t="s">
        <v>23</v>
      </c>
      <c r="M3660" t="s">
        <v>9584</v>
      </c>
      <c r="N3660" t="s">
        <v>423</v>
      </c>
      <c r="O3660" t="s">
        <v>71</v>
      </c>
      <c r="P3660">
        <v>80305</v>
      </c>
      <c r="Q3660">
        <v>5719</v>
      </c>
      <c r="R3660" t="s">
        <v>23</v>
      </c>
      <c r="S3660" s="1" t="s">
        <v>34218</v>
      </c>
    </row>
    <row r="3661" spans="1:19" x14ac:dyDescent="0.25">
      <c r="A3661">
        <v>100810319</v>
      </c>
      <c r="B3661" t="s">
        <v>9585</v>
      </c>
      <c r="C3661" t="s">
        <v>9586</v>
      </c>
      <c r="G3661" t="s">
        <v>9587</v>
      </c>
      <c r="H3661" t="s">
        <v>9588</v>
      </c>
      <c r="I3661" t="s">
        <v>22</v>
      </c>
      <c r="J3661">
        <v>91381</v>
      </c>
      <c r="K3661">
        <v>1142</v>
      </c>
      <c r="L3661" t="s">
        <v>23</v>
      </c>
      <c r="M3661" t="s">
        <v>9587</v>
      </c>
      <c r="N3661" t="s">
        <v>9588</v>
      </c>
      <c r="O3661" t="s">
        <v>22</v>
      </c>
      <c r="P3661">
        <v>91381</v>
      </c>
      <c r="Q3661">
        <v>1142</v>
      </c>
      <c r="R3661" t="s">
        <v>23</v>
      </c>
      <c r="S3661" s="1" t="s">
        <v>34218</v>
      </c>
    </row>
    <row r="3662" spans="1:19" x14ac:dyDescent="0.25">
      <c r="A3662">
        <v>100819749</v>
      </c>
      <c r="B3662" t="s">
        <v>9589</v>
      </c>
      <c r="C3662" t="s">
        <v>403</v>
      </c>
      <c r="G3662" t="s">
        <v>9590</v>
      </c>
      <c r="H3662" t="s">
        <v>5237</v>
      </c>
      <c r="I3662" t="s">
        <v>178</v>
      </c>
      <c r="J3662">
        <v>44021</v>
      </c>
      <c r="K3662">
        <v>9618</v>
      </c>
      <c r="L3662" t="s">
        <v>23</v>
      </c>
      <c r="M3662" t="s">
        <v>9590</v>
      </c>
      <c r="N3662" t="s">
        <v>5237</v>
      </c>
      <c r="O3662" t="s">
        <v>178</v>
      </c>
      <c r="P3662">
        <v>44021</v>
      </c>
      <c r="Q3662">
        <v>9618</v>
      </c>
      <c r="R3662" t="s">
        <v>23</v>
      </c>
      <c r="S3662" s="1" t="s">
        <v>34218</v>
      </c>
    </row>
    <row r="3663" spans="1:19" x14ac:dyDescent="0.25">
      <c r="A3663">
        <v>100817067</v>
      </c>
      <c r="B3663" t="s">
        <v>1800</v>
      </c>
      <c r="C3663" t="s">
        <v>4427</v>
      </c>
      <c r="G3663" t="s">
        <v>9591</v>
      </c>
      <c r="H3663" t="s">
        <v>227</v>
      </c>
      <c r="I3663" t="s">
        <v>43</v>
      </c>
      <c r="J3663">
        <v>97220</v>
      </c>
      <c r="K3663">
        <v>4918</v>
      </c>
      <c r="L3663" t="s">
        <v>23</v>
      </c>
      <c r="M3663" t="s">
        <v>9591</v>
      </c>
      <c r="N3663" t="s">
        <v>227</v>
      </c>
      <c r="O3663" t="s">
        <v>43</v>
      </c>
      <c r="P3663">
        <v>97220</v>
      </c>
      <c r="Q3663">
        <v>4918</v>
      </c>
      <c r="R3663" t="s">
        <v>23</v>
      </c>
      <c r="S3663" s="1" t="s">
        <v>34218</v>
      </c>
    </row>
    <row r="3664" spans="1:19" x14ac:dyDescent="0.25">
      <c r="A3664">
        <v>100820431</v>
      </c>
      <c r="B3664" t="s">
        <v>9592</v>
      </c>
      <c r="C3664" t="s">
        <v>145</v>
      </c>
      <c r="G3664" t="s">
        <v>9593</v>
      </c>
      <c r="H3664" t="s">
        <v>9594</v>
      </c>
      <c r="I3664" t="s">
        <v>241</v>
      </c>
      <c r="J3664">
        <v>66002</v>
      </c>
      <c r="K3664">
        <v>2724</v>
      </c>
      <c r="L3664" t="s">
        <v>23</v>
      </c>
      <c r="M3664" t="s">
        <v>9593</v>
      </c>
      <c r="N3664" t="s">
        <v>9594</v>
      </c>
      <c r="O3664" t="s">
        <v>241</v>
      </c>
      <c r="P3664">
        <v>66002</v>
      </c>
      <c r="Q3664">
        <v>2724</v>
      </c>
      <c r="R3664" t="s">
        <v>23</v>
      </c>
      <c r="S3664" s="1" t="s">
        <v>34218</v>
      </c>
    </row>
    <row r="3665" spans="1:19" x14ac:dyDescent="0.25">
      <c r="A3665">
        <v>100824038</v>
      </c>
      <c r="B3665" t="s">
        <v>1710</v>
      </c>
      <c r="C3665" t="s">
        <v>9595</v>
      </c>
      <c r="G3665" t="s">
        <v>9596</v>
      </c>
      <c r="H3665" t="s">
        <v>9597</v>
      </c>
      <c r="I3665" t="s">
        <v>117</v>
      </c>
      <c r="J3665">
        <v>13760</v>
      </c>
      <c r="K3665">
        <v>2553</v>
      </c>
      <c r="L3665" t="s">
        <v>23</v>
      </c>
      <c r="M3665" t="s">
        <v>9596</v>
      </c>
      <c r="N3665" t="s">
        <v>9597</v>
      </c>
      <c r="O3665" t="s">
        <v>117</v>
      </c>
      <c r="P3665">
        <v>13760</v>
      </c>
      <c r="Q3665">
        <v>2553</v>
      </c>
      <c r="R3665" t="s">
        <v>23</v>
      </c>
      <c r="S3665" s="1" t="s">
        <v>34218</v>
      </c>
    </row>
    <row r="3666" spans="1:19" x14ac:dyDescent="0.25">
      <c r="A3666">
        <v>101454422</v>
      </c>
      <c r="B3666" t="s">
        <v>9598</v>
      </c>
      <c r="C3666" t="s">
        <v>6200</v>
      </c>
      <c r="G3666" t="s">
        <v>9599</v>
      </c>
      <c r="H3666" t="s">
        <v>1553</v>
      </c>
      <c r="I3666" t="s">
        <v>236</v>
      </c>
      <c r="J3666">
        <v>1002</v>
      </c>
      <c r="K3666">
        <v>4011</v>
      </c>
      <c r="L3666" t="s">
        <v>23</v>
      </c>
      <c r="M3666" t="s">
        <v>9599</v>
      </c>
      <c r="N3666" t="s">
        <v>1553</v>
      </c>
      <c r="O3666" t="s">
        <v>236</v>
      </c>
      <c r="P3666">
        <v>1002</v>
      </c>
      <c r="Q3666">
        <v>4011</v>
      </c>
      <c r="R3666" t="s">
        <v>23</v>
      </c>
      <c r="S3666" s="1" t="s">
        <v>34218</v>
      </c>
    </row>
    <row r="3667" spans="1:19" x14ac:dyDescent="0.25">
      <c r="A3667">
        <v>100518343</v>
      </c>
      <c r="B3667" t="s">
        <v>9600</v>
      </c>
      <c r="C3667" t="s">
        <v>9601</v>
      </c>
      <c r="G3667" t="s">
        <v>9602</v>
      </c>
      <c r="H3667" t="s">
        <v>9603</v>
      </c>
      <c r="I3667" t="s">
        <v>161</v>
      </c>
      <c r="J3667">
        <v>6090</v>
      </c>
      <c r="K3667">
        <v>1605</v>
      </c>
      <c r="L3667" t="s">
        <v>23</v>
      </c>
      <c r="M3667" t="s">
        <v>9602</v>
      </c>
      <c r="N3667" t="s">
        <v>9603</v>
      </c>
      <c r="O3667" t="s">
        <v>161</v>
      </c>
      <c r="P3667">
        <v>6090</v>
      </c>
      <c r="Q3667">
        <v>1605</v>
      </c>
      <c r="R3667" t="s">
        <v>23</v>
      </c>
      <c r="S3667" s="1" t="s">
        <v>34218</v>
      </c>
    </row>
    <row r="3668" spans="1:19" x14ac:dyDescent="0.25">
      <c r="A3668">
        <v>100530533</v>
      </c>
      <c r="B3668" t="s">
        <v>7177</v>
      </c>
      <c r="C3668" t="s">
        <v>7949</v>
      </c>
      <c r="G3668" t="s">
        <v>9604</v>
      </c>
      <c r="H3668" t="s">
        <v>9605</v>
      </c>
      <c r="I3668" t="s">
        <v>22</v>
      </c>
      <c r="J3668">
        <v>90272</v>
      </c>
      <c r="K3668">
        <v>2541</v>
      </c>
      <c r="L3668" t="s">
        <v>23</v>
      </c>
      <c r="M3668" t="s">
        <v>9604</v>
      </c>
      <c r="N3668" t="s">
        <v>9605</v>
      </c>
      <c r="O3668" t="s">
        <v>22</v>
      </c>
      <c r="P3668">
        <v>90272</v>
      </c>
      <c r="Q3668">
        <v>2541</v>
      </c>
      <c r="R3668" t="s">
        <v>23</v>
      </c>
      <c r="S3668" s="1" t="s">
        <v>34218</v>
      </c>
    </row>
    <row r="3669" spans="1:19" x14ac:dyDescent="0.25">
      <c r="A3669">
        <v>100528749</v>
      </c>
      <c r="B3669" t="s">
        <v>9606</v>
      </c>
      <c r="C3669" t="s">
        <v>1327</v>
      </c>
      <c r="G3669" t="s">
        <v>9607</v>
      </c>
      <c r="H3669" t="s">
        <v>481</v>
      </c>
      <c r="I3669" t="s">
        <v>22</v>
      </c>
      <c r="J3669">
        <v>95135</v>
      </c>
      <c r="K3669">
        <v>1424</v>
      </c>
      <c r="L3669" t="s">
        <v>23</v>
      </c>
      <c r="M3669" t="s">
        <v>9607</v>
      </c>
      <c r="N3669" t="s">
        <v>481</v>
      </c>
      <c r="O3669" t="s">
        <v>22</v>
      </c>
      <c r="P3669">
        <v>95135</v>
      </c>
      <c r="Q3669">
        <v>1424</v>
      </c>
      <c r="R3669" t="s">
        <v>23</v>
      </c>
      <c r="S3669" s="1" t="s">
        <v>34218</v>
      </c>
    </row>
    <row r="3670" spans="1:19" x14ac:dyDescent="0.25">
      <c r="A3670">
        <v>100534103</v>
      </c>
      <c r="B3670" t="s">
        <v>2637</v>
      </c>
      <c r="C3670" t="s">
        <v>4587</v>
      </c>
      <c r="G3670" t="s">
        <v>9608</v>
      </c>
      <c r="H3670" t="s">
        <v>6538</v>
      </c>
      <c r="I3670" t="s">
        <v>140</v>
      </c>
      <c r="J3670">
        <v>48203</v>
      </c>
      <c r="K3670">
        <v>3502</v>
      </c>
      <c r="L3670" t="s">
        <v>23</v>
      </c>
      <c r="M3670" t="s">
        <v>9608</v>
      </c>
      <c r="N3670" t="s">
        <v>6538</v>
      </c>
      <c r="O3670" t="s">
        <v>140</v>
      </c>
      <c r="P3670">
        <v>48203</v>
      </c>
      <c r="Q3670">
        <v>3502</v>
      </c>
      <c r="R3670" t="s">
        <v>23</v>
      </c>
      <c r="S3670" s="1" t="s">
        <v>34218</v>
      </c>
    </row>
    <row r="3671" spans="1:19" x14ac:dyDescent="0.25">
      <c r="A3671">
        <v>100800376</v>
      </c>
      <c r="B3671" t="s">
        <v>9609</v>
      </c>
      <c r="C3671" t="s">
        <v>9610</v>
      </c>
      <c r="G3671">
        <v>5489</v>
      </c>
      <c r="H3671" t="s">
        <v>9611</v>
      </c>
      <c r="I3671" t="s">
        <v>307</v>
      </c>
      <c r="J3671">
        <v>5489</v>
      </c>
      <c r="L3671" t="s">
        <v>23</v>
      </c>
      <c r="M3671">
        <v>5489</v>
      </c>
      <c r="N3671" t="s">
        <v>9611</v>
      </c>
      <c r="O3671" t="s">
        <v>307</v>
      </c>
      <c r="P3671">
        <v>5489</v>
      </c>
      <c r="R3671" t="s">
        <v>23</v>
      </c>
      <c r="S3671" s="1" t="s">
        <v>34218</v>
      </c>
    </row>
    <row r="3672" spans="1:19" x14ac:dyDescent="0.25">
      <c r="A3672">
        <v>101450368</v>
      </c>
      <c r="B3672" t="s">
        <v>9612</v>
      </c>
      <c r="C3672" t="s">
        <v>9613</v>
      </c>
      <c r="G3672" t="s">
        <v>9614</v>
      </c>
      <c r="H3672" t="s">
        <v>496</v>
      </c>
      <c r="I3672" t="s">
        <v>22</v>
      </c>
      <c r="J3672">
        <v>94954</v>
      </c>
      <c r="K3672">
        <v>1504</v>
      </c>
      <c r="L3672" t="s">
        <v>23</v>
      </c>
      <c r="M3672" t="s">
        <v>9614</v>
      </c>
      <c r="N3672" t="s">
        <v>496</v>
      </c>
      <c r="O3672" t="s">
        <v>22</v>
      </c>
      <c r="P3672">
        <v>94954</v>
      </c>
      <c r="Q3672">
        <v>1504</v>
      </c>
      <c r="R3672" t="s">
        <v>23</v>
      </c>
      <c r="S3672" s="1" t="s">
        <v>34218</v>
      </c>
    </row>
    <row r="3673" spans="1:19" x14ac:dyDescent="0.25">
      <c r="A3673">
        <v>100532516</v>
      </c>
      <c r="B3673" t="s">
        <v>9615</v>
      </c>
      <c r="C3673" t="s">
        <v>1506</v>
      </c>
      <c r="G3673" t="s">
        <v>9616</v>
      </c>
      <c r="H3673" t="s">
        <v>2375</v>
      </c>
      <c r="I3673" t="s">
        <v>100</v>
      </c>
      <c r="J3673">
        <v>53714</v>
      </c>
      <c r="K3673">
        <v>2934</v>
      </c>
      <c r="L3673" t="s">
        <v>23</v>
      </c>
      <c r="M3673" t="s">
        <v>9616</v>
      </c>
      <c r="N3673" t="s">
        <v>2375</v>
      </c>
      <c r="O3673" t="s">
        <v>100</v>
      </c>
      <c r="P3673">
        <v>53714</v>
      </c>
      <c r="Q3673">
        <v>2934</v>
      </c>
      <c r="R3673" t="s">
        <v>23</v>
      </c>
      <c r="S3673" s="1" t="s">
        <v>34218</v>
      </c>
    </row>
    <row r="3674" spans="1:19" x14ac:dyDescent="0.25">
      <c r="A3674">
        <v>100537624</v>
      </c>
      <c r="B3674" t="s">
        <v>744</v>
      </c>
      <c r="C3674" t="s">
        <v>286</v>
      </c>
      <c r="G3674" t="s">
        <v>9617</v>
      </c>
      <c r="H3674" t="s">
        <v>1431</v>
      </c>
      <c r="I3674" t="s">
        <v>639</v>
      </c>
      <c r="J3674">
        <v>87507</v>
      </c>
      <c r="K3674">
        <v>5334</v>
      </c>
      <c r="L3674" t="s">
        <v>23</v>
      </c>
      <c r="M3674" t="s">
        <v>9617</v>
      </c>
      <c r="N3674" t="s">
        <v>1431</v>
      </c>
      <c r="O3674" t="s">
        <v>639</v>
      </c>
      <c r="P3674">
        <v>87507</v>
      </c>
      <c r="Q3674">
        <v>5334</v>
      </c>
      <c r="R3674" t="s">
        <v>23</v>
      </c>
      <c r="S3674" s="1" t="s">
        <v>34218</v>
      </c>
    </row>
    <row r="3675" spans="1:19" x14ac:dyDescent="0.25">
      <c r="A3675">
        <v>101357358</v>
      </c>
      <c r="B3675" t="s">
        <v>9618</v>
      </c>
      <c r="C3675" t="s">
        <v>2010</v>
      </c>
      <c r="G3675" t="s">
        <v>9619</v>
      </c>
      <c r="H3675" t="s">
        <v>2809</v>
      </c>
      <c r="I3675" t="s">
        <v>135</v>
      </c>
      <c r="J3675">
        <v>60302</v>
      </c>
      <c r="L3675" t="s">
        <v>23</v>
      </c>
      <c r="M3675" t="s">
        <v>9619</v>
      </c>
      <c r="N3675" t="s">
        <v>2809</v>
      </c>
      <c r="O3675" t="s">
        <v>135</v>
      </c>
      <c r="P3675">
        <v>60302</v>
      </c>
      <c r="R3675" t="s">
        <v>23</v>
      </c>
      <c r="S3675" s="1" t="s">
        <v>34218</v>
      </c>
    </row>
    <row r="3676" spans="1:19" x14ac:dyDescent="0.25">
      <c r="A3676">
        <v>100606071</v>
      </c>
      <c r="B3676" t="s">
        <v>9620</v>
      </c>
      <c r="C3676" t="s">
        <v>145</v>
      </c>
      <c r="G3676" t="s">
        <v>9621</v>
      </c>
      <c r="H3676" t="s">
        <v>5190</v>
      </c>
      <c r="I3676" t="s">
        <v>22</v>
      </c>
      <c r="J3676">
        <v>94930</v>
      </c>
      <c r="K3676">
        <v>1726</v>
      </c>
      <c r="L3676" t="s">
        <v>23</v>
      </c>
      <c r="M3676" t="s">
        <v>9621</v>
      </c>
      <c r="N3676" t="s">
        <v>5190</v>
      </c>
      <c r="O3676" t="s">
        <v>22</v>
      </c>
      <c r="P3676">
        <v>94930</v>
      </c>
      <c r="Q3676">
        <v>1726</v>
      </c>
      <c r="R3676" t="s">
        <v>23</v>
      </c>
      <c r="S3676" s="1" t="s">
        <v>34218</v>
      </c>
    </row>
    <row r="3677" spans="1:19" x14ac:dyDescent="0.25">
      <c r="A3677">
        <v>100536735</v>
      </c>
      <c r="B3677" t="s">
        <v>9622</v>
      </c>
      <c r="C3677" t="s">
        <v>9623</v>
      </c>
      <c r="G3677" t="s">
        <v>9624</v>
      </c>
      <c r="H3677" t="s">
        <v>9625</v>
      </c>
      <c r="I3677" t="s">
        <v>1000</v>
      </c>
      <c r="J3677">
        <v>59102</v>
      </c>
      <c r="K3677">
        <v>5328</v>
      </c>
      <c r="L3677" t="s">
        <v>23</v>
      </c>
      <c r="M3677" t="s">
        <v>9624</v>
      </c>
      <c r="N3677" t="s">
        <v>9625</v>
      </c>
      <c r="O3677" t="s">
        <v>1000</v>
      </c>
      <c r="P3677">
        <v>59102</v>
      </c>
      <c r="Q3677">
        <v>5328</v>
      </c>
      <c r="R3677" t="s">
        <v>23</v>
      </c>
      <c r="S3677" s="1" t="s">
        <v>34218</v>
      </c>
    </row>
    <row r="3678" spans="1:19" x14ac:dyDescent="0.25">
      <c r="A3678">
        <v>100961005</v>
      </c>
      <c r="B3678" t="s">
        <v>9626</v>
      </c>
      <c r="C3678" t="s">
        <v>2084</v>
      </c>
      <c r="H3678" t="s">
        <v>9627</v>
      </c>
      <c r="J3678">
        <v>56390</v>
      </c>
      <c r="L3678" t="s">
        <v>9628</v>
      </c>
      <c r="N3678" t="s">
        <v>9627</v>
      </c>
      <c r="P3678">
        <v>56390</v>
      </c>
      <c r="R3678" t="s">
        <v>9628</v>
      </c>
      <c r="S3678" s="1" t="s">
        <v>34218</v>
      </c>
    </row>
    <row r="3679" spans="1:19" x14ac:dyDescent="0.25">
      <c r="A3679">
        <v>100823705</v>
      </c>
      <c r="B3679" t="s">
        <v>3583</v>
      </c>
      <c r="C3679" t="s">
        <v>9629</v>
      </c>
      <c r="G3679" t="s">
        <v>9630</v>
      </c>
      <c r="H3679" t="s">
        <v>4570</v>
      </c>
      <c r="I3679" t="s">
        <v>22</v>
      </c>
      <c r="J3679">
        <v>90291</v>
      </c>
      <c r="K3679">
        <v>5018</v>
      </c>
      <c r="L3679" t="s">
        <v>23</v>
      </c>
      <c r="M3679" t="s">
        <v>9630</v>
      </c>
      <c r="N3679" t="s">
        <v>4570</v>
      </c>
      <c r="O3679" t="s">
        <v>22</v>
      </c>
      <c r="P3679">
        <v>90291</v>
      </c>
      <c r="Q3679">
        <v>5018</v>
      </c>
      <c r="R3679" t="s">
        <v>23</v>
      </c>
      <c r="S3679" s="1" t="s">
        <v>34218</v>
      </c>
    </row>
    <row r="3680" spans="1:19" x14ac:dyDescent="0.25">
      <c r="A3680">
        <v>100891140</v>
      </c>
      <c r="B3680" t="s">
        <v>9631</v>
      </c>
      <c r="C3680" t="s">
        <v>30</v>
      </c>
      <c r="G3680" t="s">
        <v>9632</v>
      </c>
      <c r="H3680" t="s">
        <v>9633</v>
      </c>
      <c r="I3680" t="s">
        <v>191</v>
      </c>
      <c r="J3680" t="s">
        <v>9634</v>
      </c>
      <c r="K3680">
        <v>4804</v>
      </c>
      <c r="L3680" t="s">
        <v>23</v>
      </c>
      <c r="M3680" t="s">
        <v>9632</v>
      </c>
      <c r="N3680" t="s">
        <v>9633</v>
      </c>
      <c r="O3680" t="s">
        <v>191</v>
      </c>
      <c r="P3680" t="s">
        <v>9634</v>
      </c>
      <c r="Q3680">
        <v>4804</v>
      </c>
      <c r="R3680" t="s">
        <v>23</v>
      </c>
      <c r="S3680" s="1" t="s">
        <v>34218</v>
      </c>
    </row>
    <row r="3681" spans="1:19" x14ac:dyDescent="0.25">
      <c r="A3681">
        <v>101418466</v>
      </c>
      <c r="B3681" t="s">
        <v>9635</v>
      </c>
      <c r="C3681" t="s">
        <v>1153</v>
      </c>
      <c r="G3681" t="s">
        <v>9636</v>
      </c>
      <c r="H3681" t="s">
        <v>1897</v>
      </c>
      <c r="I3681" t="s">
        <v>38</v>
      </c>
      <c r="J3681">
        <v>77401</v>
      </c>
      <c r="K3681">
        <v>5228</v>
      </c>
      <c r="L3681" t="s">
        <v>23</v>
      </c>
      <c r="M3681" t="s">
        <v>9636</v>
      </c>
      <c r="N3681" t="s">
        <v>1897</v>
      </c>
      <c r="O3681" t="s">
        <v>38</v>
      </c>
      <c r="P3681">
        <v>77401</v>
      </c>
      <c r="Q3681">
        <v>5228</v>
      </c>
      <c r="R3681" t="s">
        <v>23</v>
      </c>
      <c r="S3681" s="1" t="s">
        <v>34218</v>
      </c>
    </row>
    <row r="3682" spans="1:19" x14ac:dyDescent="0.25">
      <c r="A3682">
        <v>101345163</v>
      </c>
      <c r="B3682" t="s">
        <v>4136</v>
      </c>
      <c r="C3682" t="s">
        <v>1027</v>
      </c>
      <c r="G3682" t="s">
        <v>9637</v>
      </c>
      <c r="H3682" t="s">
        <v>2724</v>
      </c>
      <c r="I3682" t="s">
        <v>22</v>
      </c>
      <c r="J3682">
        <v>95747</v>
      </c>
      <c r="L3682" t="s">
        <v>23</v>
      </c>
      <c r="M3682" t="s">
        <v>9637</v>
      </c>
      <c r="N3682" t="s">
        <v>2724</v>
      </c>
      <c r="O3682" t="s">
        <v>22</v>
      </c>
      <c r="P3682">
        <v>95747</v>
      </c>
      <c r="R3682" t="s">
        <v>23</v>
      </c>
      <c r="S3682" s="1" t="s">
        <v>34218</v>
      </c>
    </row>
    <row r="3683" spans="1:19" x14ac:dyDescent="0.25">
      <c r="A3683">
        <v>101469924</v>
      </c>
      <c r="B3683" t="s">
        <v>9638</v>
      </c>
      <c r="C3683" t="s">
        <v>9639</v>
      </c>
      <c r="H3683" t="s">
        <v>9640</v>
      </c>
      <c r="J3683">
        <v>80799</v>
      </c>
      <c r="L3683" t="s">
        <v>2310</v>
      </c>
      <c r="N3683" t="s">
        <v>9640</v>
      </c>
      <c r="P3683">
        <v>80799</v>
      </c>
      <c r="R3683" t="s">
        <v>2310</v>
      </c>
      <c r="S3683" s="1" t="s">
        <v>34218</v>
      </c>
    </row>
    <row r="3684" spans="1:19" x14ac:dyDescent="0.25">
      <c r="A3684">
        <v>100542710</v>
      </c>
      <c r="B3684" t="s">
        <v>1800</v>
      </c>
      <c r="C3684" t="s">
        <v>410</v>
      </c>
      <c r="G3684" t="s">
        <v>9641</v>
      </c>
      <c r="H3684" t="s">
        <v>9212</v>
      </c>
      <c r="I3684" t="s">
        <v>446</v>
      </c>
      <c r="J3684">
        <v>28105</v>
      </c>
      <c r="K3684">
        <v>7169</v>
      </c>
      <c r="L3684" t="s">
        <v>23</v>
      </c>
      <c r="M3684" t="s">
        <v>9641</v>
      </c>
      <c r="N3684" t="s">
        <v>9212</v>
      </c>
      <c r="O3684" t="s">
        <v>446</v>
      </c>
      <c r="P3684">
        <v>28105</v>
      </c>
      <c r="Q3684">
        <v>7169</v>
      </c>
      <c r="R3684" t="s">
        <v>23</v>
      </c>
      <c r="S3684" s="1" t="s">
        <v>34218</v>
      </c>
    </row>
    <row r="3685" spans="1:19" x14ac:dyDescent="0.25">
      <c r="A3685">
        <v>100614533</v>
      </c>
      <c r="B3685" t="s">
        <v>1326</v>
      </c>
      <c r="C3685" t="s">
        <v>9642</v>
      </c>
      <c r="G3685" t="s">
        <v>9643</v>
      </c>
      <c r="H3685" t="s">
        <v>3109</v>
      </c>
      <c r="I3685" t="s">
        <v>62</v>
      </c>
      <c r="J3685">
        <v>73160</v>
      </c>
      <c r="K3685">
        <v>1502</v>
      </c>
      <c r="L3685" t="s">
        <v>23</v>
      </c>
      <c r="M3685" t="s">
        <v>9643</v>
      </c>
      <c r="N3685" t="s">
        <v>3109</v>
      </c>
      <c r="O3685" t="s">
        <v>62</v>
      </c>
      <c r="P3685">
        <v>73160</v>
      </c>
      <c r="Q3685">
        <v>1502</v>
      </c>
      <c r="R3685" t="s">
        <v>23</v>
      </c>
      <c r="S3685" s="1" t="s">
        <v>34218</v>
      </c>
    </row>
    <row r="3686" spans="1:19" x14ac:dyDescent="0.25">
      <c r="A3686">
        <v>100617485</v>
      </c>
      <c r="B3686" t="s">
        <v>800</v>
      </c>
      <c r="C3686" t="s">
        <v>9644</v>
      </c>
      <c r="G3686" t="s">
        <v>9645</v>
      </c>
      <c r="H3686" t="s">
        <v>169</v>
      </c>
      <c r="I3686" t="s">
        <v>170</v>
      </c>
      <c r="J3686">
        <v>20011</v>
      </c>
      <c r="K3686">
        <v>8220</v>
      </c>
      <c r="L3686" t="s">
        <v>23</v>
      </c>
      <c r="M3686" t="s">
        <v>9645</v>
      </c>
      <c r="N3686" t="s">
        <v>169</v>
      </c>
      <c r="O3686" t="s">
        <v>170</v>
      </c>
      <c r="P3686">
        <v>20011</v>
      </c>
      <c r="Q3686">
        <v>8220</v>
      </c>
      <c r="R3686" t="s">
        <v>23</v>
      </c>
      <c r="S3686" s="1" t="s">
        <v>34218</v>
      </c>
    </row>
    <row r="3687" spans="1:19" x14ac:dyDescent="0.25">
      <c r="A3687">
        <v>100620643</v>
      </c>
      <c r="B3687" t="s">
        <v>9646</v>
      </c>
      <c r="C3687" t="s">
        <v>9647</v>
      </c>
      <c r="G3687" t="s">
        <v>9648</v>
      </c>
      <c r="H3687" t="s">
        <v>227</v>
      </c>
      <c r="I3687" t="s">
        <v>191</v>
      </c>
      <c r="J3687">
        <v>4102</v>
      </c>
      <c r="K3687">
        <v>2832</v>
      </c>
      <c r="L3687" t="s">
        <v>23</v>
      </c>
      <c r="M3687" t="s">
        <v>9648</v>
      </c>
      <c r="N3687" t="s">
        <v>227</v>
      </c>
      <c r="O3687" t="s">
        <v>191</v>
      </c>
      <c r="P3687">
        <v>4102</v>
      </c>
      <c r="Q3687">
        <v>2832</v>
      </c>
      <c r="R3687" t="s">
        <v>23</v>
      </c>
      <c r="S3687" s="1" t="s">
        <v>34218</v>
      </c>
    </row>
    <row r="3688" spans="1:19" x14ac:dyDescent="0.25">
      <c r="A3688">
        <v>100620652</v>
      </c>
      <c r="B3688" t="s">
        <v>7423</v>
      </c>
      <c r="C3688" t="s">
        <v>9649</v>
      </c>
      <c r="G3688" t="s">
        <v>9650</v>
      </c>
      <c r="H3688" t="s">
        <v>9651</v>
      </c>
      <c r="I3688" t="s">
        <v>52</v>
      </c>
      <c r="J3688">
        <v>33139</v>
      </c>
      <c r="K3688">
        <v>6997</v>
      </c>
      <c r="L3688" t="s">
        <v>23</v>
      </c>
      <c r="M3688" t="s">
        <v>9650</v>
      </c>
      <c r="N3688" t="s">
        <v>9651</v>
      </c>
      <c r="O3688" t="s">
        <v>52</v>
      </c>
      <c r="P3688">
        <v>33139</v>
      </c>
      <c r="Q3688">
        <v>6997</v>
      </c>
      <c r="R3688" t="s">
        <v>23</v>
      </c>
      <c r="S3688" s="1" t="s">
        <v>34218</v>
      </c>
    </row>
    <row r="3689" spans="1:19" x14ac:dyDescent="0.25">
      <c r="A3689">
        <v>100615105</v>
      </c>
      <c r="B3689" t="s">
        <v>5467</v>
      </c>
      <c r="C3689" t="s">
        <v>2653</v>
      </c>
      <c r="G3689" t="s">
        <v>9652</v>
      </c>
      <c r="H3689" t="s">
        <v>653</v>
      </c>
      <c r="I3689" t="s">
        <v>117</v>
      </c>
      <c r="J3689">
        <v>10002</v>
      </c>
      <c r="K3689">
        <v>1673</v>
      </c>
      <c r="L3689" t="s">
        <v>23</v>
      </c>
      <c r="M3689" t="s">
        <v>9652</v>
      </c>
      <c r="N3689" t="s">
        <v>653</v>
      </c>
      <c r="O3689" t="s">
        <v>117</v>
      </c>
      <c r="P3689">
        <v>10002</v>
      </c>
      <c r="Q3689">
        <v>1673</v>
      </c>
      <c r="R3689" t="s">
        <v>23</v>
      </c>
      <c r="S3689" s="1" t="s">
        <v>34218</v>
      </c>
    </row>
    <row r="3690" spans="1:19" x14ac:dyDescent="0.25">
      <c r="A3690">
        <v>100621634</v>
      </c>
      <c r="B3690" t="s">
        <v>9653</v>
      </c>
      <c r="C3690" t="s">
        <v>9654</v>
      </c>
      <c r="G3690" t="s">
        <v>9655</v>
      </c>
      <c r="H3690" t="s">
        <v>5786</v>
      </c>
      <c r="I3690" t="s">
        <v>84</v>
      </c>
      <c r="J3690">
        <v>98077</v>
      </c>
      <c r="K3690">
        <v>5637</v>
      </c>
      <c r="L3690" t="s">
        <v>23</v>
      </c>
      <c r="M3690" t="s">
        <v>9655</v>
      </c>
      <c r="N3690" t="s">
        <v>5786</v>
      </c>
      <c r="O3690" t="s">
        <v>84</v>
      </c>
      <c r="P3690">
        <v>98077</v>
      </c>
      <c r="Q3690">
        <v>5637</v>
      </c>
      <c r="R3690" t="s">
        <v>23</v>
      </c>
      <c r="S3690" s="1" t="s">
        <v>34218</v>
      </c>
    </row>
    <row r="3691" spans="1:19" x14ac:dyDescent="0.25">
      <c r="A3691">
        <v>100624173</v>
      </c>
      <c r="B3691" t="s">
        <v>9656</v>
      </c>
      <c r="C3691" t="s">
        <v>1036</v>
      </c>
      <c r="G3691" t="s">
        <v>9657</v>
      </c>
      <c r="H3691" t="s">
        <v>2231</v>
      </c>
      <c r="I3691" t="s">
        <v>22</v>
      </c>
      <c r="J3691">
        <v>91205</v>
      </c>
      <c r="K3691">
        <v>3710</v>
      </c>
      <c r="L3691" t="s">
        <v>23</v>
      </c>
      <c r="M3691" t="s">
        <v>9657</v>
      </c>
      <c r="N3691" t="s">
        <v>2231</v>
      </c>
      <c r="O3691" t="s">
        <v>22</v>
      </c>
      <c r="P3691">
        <v>91205</v>
      </c>
      <c r="Q3691">
        <v>3710</v>
      </c>
      <c r="R3691" t="s">
        <v>23</v>
      </c>
      <c r="S3691" s="1" t="s">
        <v>34218</v>
      </c>
    </row>
    <row r="3692" spans="1:19" x14ac:dyDescent="0.25">
      <c r="A3692">
        <v>100627524</v>
      </c>
      <c r="B3692" t="s">
        <v>9658</v>
      </c>
      <c r="C3692" t="s">
        <v>8231</v>
      </c>
      <c r="G3692" t="s">
        <v>9659</v>
      </c>
      <c r="H3692" t="s">
        <v>931</v>
      </c>
      <c r="I3692" t="s">
        <v>22</v>
      </c>
      <c r="J3692">
        <v>95032</v>
      </c>
      <c r="K3692">
        <v>7352</v>
      </c>
      <c r="L3692" t="s">
        <v>23</v>
      </c>
      <c r="M3692" t="s">
        <v>9659</v>
      </c>
      <c r="N3692" t="s">
        <v>931</v>
      </c>
      <c r="O3692" t="s">
        <v>22</v>
      </c>
      <c r="P3692">
        <v>95032</v>
      </c>
      <c r="Q3692">
        <v>7352</v>
      </c>
      <c r="R3692" t="s">
        <v>23</v>
      </c>
      <c r="S3692" s="1" t="s">
        <v>34218</v>
      </c>
    </row>
    <row r="3693" spans="1:19" x14ac:dyDescent="0.25">
      <c r="A3693">
        <v>100625564</v>
      </c>
      <c r="B3693" t="s">
        <v>916</v>
      </c>
      <c r="C3693" t="s">
        <v>9660</v>
      </c>
      <c r="F3693" t="str">
        <f>"3608253590"</f>
        <v>3608253590</v>
      </c>
      <c r="G3693" t="s">
        <v>9661</v>
      </c>
      <c r="H3693" t="s">
        <v>9662</v>
      </c>
      <c r="I3693" t="s">
        <v>84</v>
      </c>
      <c r="J3693">
        <v>98022</v>
      </c>
      <c r="K3693">
        <v>8437</v>
      </c>
      <c r="L3693" t="s">
        <v>23</v>
      </c>
      <c r="M3693" t="s">
        <v>9661</v>
      </c>
      <c r="N3693" t="s">
        <v>9662</v>
      </c>
      <c r="O3693" t="s">
        <v>84</v>
      </c>
      <c r="P3693">
        <v>98022</v>
      </c>
      <c r="Q3693">
        <v>8437</v>
      </c>
      <c r="R3693" t="s">
        <v>23</v>
      </c>
      <c r="S3693" s="1" t="s">
        <v>34218</v>
      </c>
    </row>
    <row r="3694" spans="1:19" x14ac:dyDescent="0.25">
      <c r="A3694">
        <v>100813947</v>
      </c>
      <c r="B3694" t="s">
        <v>9663</v>
      </c>
      <c r="C3694" t="s">
        <v>803</v>
      </c>
      <c r="G3694" t="s">
        <v>9664</v>
      </c>
      <c r="H3694" t="s">
        <v>653</v>
      </c>
      <c r="I3694" t="s">
        <v>117</v>
      </c>
      <c r="J3694">
        <v>10027</v>
      </c>
      <c r="K3694">
        <v>6710</v>
      </c>
      <c r="L3694" t="s">
        <v>23</v>
      </c>
      <c r="M3694" t="s">
        <v>9664</v>
      </c>
      <c r="N3694" t="s">
        <v>653</v>
      </c>
      <c r="O3694" t="s">
        <v>117</v>
      </c>
      <c r="P3694">
        <v>10027</v>
      </c>
      <c r="Q3694">
        <v>6710</v>
      </c>
      <c r="R3694" t="s">
        <v>23</v>
      </c>
      <c r="S3694" s="1" t="s">
        <v>34218</v>
      </c>
    </row>
    <row r="3695" spans="1:19" x14ac:dyDescent="0.25">
      <c r="A3695">
        <v>100820997</v>
      </c>
      <c r="B3695" t="s">
        <v>9665</v>
      </c>
      <c r="C3695" t="s">
        <v>1306</v>
      </c>
      <c r="G3695" t="s">
        <v>9666</v>
      </c>
      <c r="H3695" t="s">
        <v>9667</v>
      </c>
      <c r="I3695" t="s">
        <v>126</v>
      </c>
      <c r="J3695">
        <v>65020</v>
      </c>
      <c r="K3695">
        <v>2060</v>
      </c>
      <c r="L3695" t="s">
        <v>23</v>
      </c>
      <c r="M3695" t="s">
        <v>9666</v>
      </c>
      <c r="N3695" t="s">
        <v>9667</v>
      </c>
      <c r="O3695" t="s">
        <v>126</v>
      </c>
      <c r="P3695">
        <v>65020</v>
      </c>
      <c r="Q3695">
        <v>2060</v>
      </c>
      <c r="R3695" t="s">
        <v>23</v>
      </c>
      <c r="S3695" s="1" t="s">
        <v>34218</v>
      </c>
    </row>
    <row r="3696" spans="1:19" x14ac:dyDescent="0.25">
      <c r="A3696">
        <v>100823750</v>
      </c>
      <c r="B3696" t="s">
        <v>1622</v>
      </c>
      <c r="C3696" t="s">
        <v>403</v>
      </c>
      <c r="G3696" t="s">
        <v>9668</v>
      </c>
      <c r="H3696" t="s">
        <v>66</v>
      </c>
      <c r="I3696" t="s">
        <v>22</v>
      </c>
      <c r="J3696">
        <v>94702</v>
      </c>
      <c r="K3696">
        <v>1438</v>
      </c>
      <c r="L3696" t="s">
        <v>23</v>
      </c>
      <c r="M3696" t="s">
        <v>9668</v>
      </c>
      <c r="N3696" t="s">
        <v>66</v>
      </c>
      <c r="O3696" t="s">
        <v>22</v>
      </c>
      <c r="P3696">
        <v>94702</v>
      </c>
      <c r="Q3696">
        <v>1438</v>
      </c>
      <c r="R3696" t="s">
        <v>23</v>
      </c>
      <c r="S3696" s="1" t="s">
        <v>34218</v>
      </c>
    </row>
    <row r="3697" spans="1:19" x14ac:dyDescent="0.25">
      <c r="A3697">
        <v>101480981</v>
      </c>
      <c r="B3697" t="s">
        <v>2219</v>
      </c>
      <c r="C3697" t="s">
        <v>8241</v>
      </c>
      <c r="G3697" t="s">
        <v>9669</v>
      </c>
      <c r="H3697" t="s">
        <v>8603</v>
      </c>
      <c r="I3697" t="s">
        <v>22</v>
      </c>
      <c r="J3697">
        <v>93024</v>
      </c>
      <c r="K3697">
        <v>11</v>
      </c>
      <c r="L3697" t="s">
        <v>23</v>
      </c>
      <c r="M3697" t="s">
        <v>9669</v>
      </c>
      <c r="N3697" t="s">
        <v>8603</v>
      </c>
      <c r="O3697" t="s">
        <v>22</v>
      </c>
      <c r="P3697">
        <v>93024</v>
      </c>
      <c r="Q3697">
        <v>11</v>
      </c>
      <c r="R3697" t="s">
        <v>23</v>
      </c>
      <c r="S3697" s="1" t="s">
        <v>34218</v>
      </c>
    </row>
    <row r="3698" spans="1:19" x14ac:dyDescent="0.25">
      <c r="A3698">
        <v>100431188</v>
      </c>
      <c r="B3698" t="s">
        <v>9670</v>
      </c>
      <c r="C3698" t="s">
        <v>6629</v>
      </c>
      <c r="G3698" t="s">
        <v>9671</v>
      </c>
      <c r="H3698" t="s">
        <v>9672</v>
      </c>
      <c r="I3698" t="s">
        <v>22</v>
      </c>
      <c r="J3698">
        <v>94951</v>
      </c>
      <c r="L3698" t="s">
        <v>23</v>
      </c>
      <c r="M3698" t="s">
        <v>9671</v>
      </c>
      <c r="N3698" t="s">
        <v>9672</v>
      </c>
      <c r="O3698" t="s">
        <v>22</v>
      </c>
      <c r="P3698">
        <v>94951</v>
      </c>
      <c r="R3698" t="s">
        <v>23</v>
      </c>
      <c r="S3698" s="1" t="s">
        <v>34218</v>
      </c>
    </row>
    <row r="3699" spans="1:19" x14ac:dyDescent="0.25">
      <c r="A3699">
        <v>100655900</v>
      </c>
      <c r="B3699" t="s">
        <v>6111</v>
      </c>
      <c r="C3699" t="s">
        <v>3878</v>
      </c>
      <c r="G3699" t="s">
        <v>9673</v>
      </c>
      <c r="H3699" t="s">
        <v>7232</v>
      </c>
      <c r="I3699" t="s">
        <v>71</v>
      </c>
      <c r="J3699">
        <v>80439</v>
      </c>
      <c r="K3699">
        <v>5625</v>
      </c>
      <c r="L3699" t="s">
        <v>23</v>
      </c>
      <c r="M3699" t="s">
        <v>9673</v>
      </c>
      <c r="N3699" t="s">
        <v>7232</v>
      </c>
      <c r="O3699" t="s">
        <v>71</v>
      </c>
      <c r="P3699">
        <v>80439</v>
      </c>
      <c r="Q3699">
        <v>5625</v>
      </c>
      <c r="R3699" t="s">
        <v>23</v>
      </c>
      <c r="S3699" s="1" t="s">
        <v>34218</v>
      </c>
    </row>
    <row r="3700" spans="1:19" x14ac:dyDescent="0.25">
      <c r="A3700">
        <v>100657748</v>
      </c>
      <c r="B3700" t="s">
        <v>9674</v>
      </c>
      <c r="C3700" t="s">
        <v>9675</v>
      </c>
      <c r="G3700" t="s">
        <v>9676</v>
      </c>
      <c r="H3700" t="s">
        <v>4382</v>
      </c>
      <c r="I3700" t="s">
        <v>639</v>
      </c>
      <c r="J3700">
        <v>88011</v>
      </c>
      <c r="K3700">
        <v>6993</v>
      </c>
      <c r="L3700" t="s">
        <v>23</v>
      </c>
      <c r="M3700" t="s">
        <v>9676</v>
      </c>
      <c r="N3700" t="s">
        <v>4382</v>
      </c>
      <c r="O3700" t="s">
        <v>639</v>
      </c>
      <c r="P3700">
        <v>88011</v>
      </c>
      <c r="Q3700">
        <v>6993</v>
      </c>
      <c r="R3700" t="s">
        <v>23</v>
      </c>
      <c r="S3700" s="1" t="s">
        <v>34218</v>
      </c>
    </row>
    <row r="3701" spans="1:19" x14ac:dyDescent="0.25">
      <c r="A3701">
        <v>100653265</v>
      </c>
      <c r="B3701" t="s">
        <v>9677</v>
      </c>
      <c r="C3701" t="s">
        <v>305</v>
      </c>
      <c r="G3701" t="s">
        <v>9678</v>
      </c>
      <c r="H3701" t="s">
        <v>2701</v>
      </c>
      <c r="I3701" t="s">
        <v>914</v>
      </c>
      <c r="J3701">
        <v>37069</v>
      </c>
      <c r="K3701">
        <v>1904</v>
      </c>
      <c r="L3701" t="s">
        <v>23</v>
      </c>
      <c r="M3701" t="s">
        <v>9678</v>
      </c>
      <c r="N3701" t="s">
        <v>2701</v>
      </c>
      <c r="O3701" t="s">
        <v>914</v>
      </c>
      <c r="P3701">
        <v>37069</v>
      </c>
      <c r="Q3701">
        <v>1904</v>
      </c>
      <c r="R3701" t="s">
        <v>23</v>
      </c>
      <c r="S3701" s="1" t="s">
        <v>34218</v>
      </c>
    </row>
    <row r="3702" spans="1:19" x14ac:dyDescent="0.25">
      <c r="A3702">
        <v>100663517</v>
      </c>
      <c r="B3702" t="s">
        <v>9679</v>
      </c>
      <c r="C3702" t="s">
        <v>9680</v>
      </c>
      <c r="G3702" t="s">
        <v>9681</v>
      </c>
      <c r="H3702" t="s">
        <v>9682</v>
      </c>
      <c r="I3702" t="s">
        <v>153</v>
      </c>
      <c r="J3702">
        <v>70526</v>
      </c>
      <c r="K3702">
        <v>880</v>
      </c>
      <c r="L3702" t="s">
        <v>23</v>
      </c>
      <c r="M3702" t="s">
        <v>9681</v>
      </c>
      <c r="N3702" t="s">
        <v>9682</v>
      </c>
      <c r="O3702" t="s">
        <v>153</v>
      </c>
      <c r="P3702">
        <v>70526</v>
      </c>
      <c r="Q3702">
        <v>880</v>
      </c>
      <c r="R3702" t="s">
        <v>23</v>
      </c>
      <c r="S3702" s="1" t="s">
        <v>34218</v>
      </c>
    </row>
    <row r="3703" spans="1:19" x14ac:dyDescent="0.25">
      <c r="A3703">
        <v>100657522</v>
      </c>
      <c r="B3703" t="s">
        <v>3843</v>
      </c>
      <c r="C3703" t="s">
        <v>3590</v>
      </c>
      <c r="G3703" t="s">
        <v>9683</v>
      </c>
      <c r="H3703" t="s">
        <v>653</v>
      </c>
      <c r="I3703" t="s">
        <v>117</v>
      </c>
      <c r="J3703">
        <v>10025</v>
      </c>
      <c r="K3703">
        <v>4242</v>
      </c>
      <c r="L3703" t="s">
        <v>23</v>
      </c>
      <c r="M3703" t="s">
        <v>9683</v>
      </c>
      <c r="N3703" t="s">
        <v>653</v>
      </c>
      <c r="O3703" t="s">
        <v>117</v>
      </c>
      <c r="P3703">
        <v>10025</v>
      </c>
      <c r="Q3703">
        <v>4242</v>
      </c>
      <c r="R3703" t="s">
        <v>23</v>
      </c>
      <c r="S3703" s="1" t="s">
        <v>34218</v>
      </c>
    </row>
    <row r="3704" spans="1:19" x14ac:dyDescent="0.25">
      <c r="A3704">
        <v>100661135</v>
      </c>
      <c r="B3704" t="s">
        <v>9684</v>
      </c>
      <c r="C3704" t="s">
        <v>403</v>
      </c>
      <c r="G3704" t="s">
        <v>9685</v>
      </c>
      <c r="H3704" t="s">
        <v>4326</v>
      </c>
      <c r="I3704" t="s">
        <v>71</v>
      </c>
      <c r="J3704">
        <v>80232</v>
      </c>
      <c r="K3704">
        <v>6938</v>
      </c>
      <c r="L3704" t="s">
        <v>23</v>
      </c>
      <c r="M3704" t="s">
        <v>9685</v>
      </c>
      <c r="N3704" t="s">
        <v>4326</v>
      </c>
      <c r="O3704" t="s">
        <v>71</v>
      </c>
      <c r="P3704">
        <v>80232</v>
      </c>
      <c r="Q3704">
        <v>6938</v>
      </c>
      <c r="R3704" t="s">
        <v>23</v>
      </c>
      <c r="S3704" s="1" t="s">
        <v>34218</v>
      </c>
    </row>
    <row r="3705" spans="1:19" x14ac:dyDescent="0.25">
      <c r="A3705">
        <v>100661435</v>
      </c>
      <c r="B3705" t="s">
        <v>9686</v>
      </c>
      <c r="C3705" t="s">
        <v>9687</v>
      </c>
      <c r="G3705" t="s">
        <v>9688</v>
      </c>
      <c r="H3705" t="s">
        <v>9689</v>
      </c>
      <c r="I3705" t="s">
        <v>84</v>
      </c>
      <c r="J3705">
        <v>98249</v>
      </c>
      <c r="K3705">
        <v>778</v>
      </c>
      <c r="L3705" t="s">
        <v>23</v>
      </c>
      <c r="M3705" t="s">
        <v>9688</v>
      </c>
      <c r="N3705" t="s">
        <v>9689</v>
      </c>
      <c r="O3705" t="s">
        <v>84</v>
      </c>
      <c r="P3705">
        <v>98249</v>
      </c>
      <c r="Q3705">
        <v>778</v>
      </c>
      <c r="R3705" t="s">
        <v>23</v>
      </c>
      <c r="S3705" s="1" t="s">
        <v>34218</v>
      </c>
    </row>
    <row r="3706" spans="1:19" x14ac:dyDescent="0.25">
      <c r="A3706">
        <v>100660369</v>
      </c>
      <c r="B3706" t="s">
        <v>1164</v>
      </c>
      <c r="C3706" t="s">
        <v>119</v>
      </c>
      <c r="F3706" t="str">
        <f>"8055810875"</f>
        <v>8055810875</v>
      </c>
      <c r="G3706" t="s">
        <v>9690</v>
      </c>
      <c r="H3706" t="s">
        <v>454</v>
      </c>
      <c r="I3706" t="s">
        <v>22</v>
      </c>
      <c r="J3706">
        <v>93065</v>
      </c>
      <c r="K3706">
        <v>983</v>
      </c>
      <c r="L3706" t="s">
        <v>23</v>
      </c>
      <c r="M3706" t="s">
        <v>9690</v>
      </c>
      <c r="N3706" t="s">
        <v>454</v>
      </c>
      <c r="O3706" t="s">
        <v>22</v>
      </c>
      <c r="P3706">
        <v>93065</v>
      </c>
      <c r="Q3706">
        <v>983</v>
      </c>
      <c r="R3706" t="s">
        <v>23</v>
      </c>
      <c r="S3706" s="1" t="s">
        <v>34218</v>
      </c>
    </row>
    <row r="3707" spans="1:19" x14ac:dyDescent="0.25">
      <c r="A3707">
        <v>100679492</v>
      </c>
      <c r="B3707" t="s">
        <v>9691</v>
      </c>
      <c r="C3707" t="s">
        <v>1223</v>
      </c>
      <c r="G3707" t="s">
        <v>9692</v>
      </c>
      <c r="H3707" t="s">
        <v>9693</v>
      </c>
      <c r="I3707" t="s">
        <v>33</v>
      </c>
      <c r="J3707">
        <v>19462</v>
      </c>
      <c r="K3707">
        <v>2622</v>
      </c>
      <c r="L3707" t="s">
        <v>23</v>
      </c>
      <c r="M3707" t="s">
        <v>9692</v>
      </c>
      <c r="N3707" t="s">
        <v>9693</v>
      </c>
      <c r="O3707" t="s">
        <v>33</v>
      </c>
      <c r="P3707">
        <v>19462</v>
      </c>
      <c r="Q3707">
        <v>2622</v>
      </c>
      <c r="R3707" t="s">
        <v>23</v>
      </c>
      <c r="S3707" s="1" t="s">
        <v>34218</v>
      </c>
    </row>
    <row r="3708" spans="1:19" x14ac:dyDescent="0.25">
      <c r="A3708">
        <v>100679493</v>
      </c>
      <c r="B3708" t="s">
        <v>5893</v>
      </c>
      <c r="C3708" t="s">
        <v>9694</v>
      </c>
      <c r="G3708" t="s">
        <v>9695</v>
      </c>
      <c r="H3708" t="s">
        <v>9696</v>
      </c>
      <c r="I3708" t="s">
        <v>28</v>
      </c>
      <c r="J3708">
        <v>31210</v>
      </c>
      <c r="K3708">
        <v>3243</v>
      </c>
      <c r="L3708" t="s">
        <v>23</v>
      </c>
      <c r="M3708" t="s">
        <v>9695</v>
      </c>
      <c r="N3708" t="s">
        <v>9696</v>
      </c>
      <c r="O3708" t="s">
        <v>28</v>
      </c>
      <c r="P3708">
        <v>31210</v>
      </c>
      <c r="Q3708">
        <v>3243</v>
      </c>
      <c r="R3708" t="s">
        <v>23</v>
      </c>
      <c r="S3708" s="1" t="s">
        <v>34218</v>
      </c>
    </row>
    <row r="3709" spans="1:19" x14ac:dyDescent="0.25">
      <c r="A3709">
        <v>100679543</v>
      </c>
      <c r="B3709" t="s">
        <v>9697</v>
      </c>
      <c r="C3709" t="s">
        <v>123</v>
      </c>
      <c r="G3709" t="s">
        <v>9698</v>
      </c>
      <c r="H3709" t="s">
        <v>9699</v>
      </c>
      <c r="I3709" t="s">
        <v>38</v>
      </c>
      <c r="J3709">
        <v>75150</v>
      </c>
      <c r="K3709">
        <v>4554</v>
      </c>
      <c r="L3709" t="s">
        <v>23</v>
      </c>
      <c r="M3709" t="s">
        <v>9698</v>
      </c>
      <c r="N3709" t="s">
        <v>9699</v>
      </c>
      <c r="O3709" t="s">
        <v>38</v>
      </c>
      <c r="P3709">
        <v>75150</v>
      </c>
      <c r="Q3709">
        <v>4554</v>
      </c>
      <c r="R3709" t="s">
        <v>23</v>
      </c>
      <c r="S3709" s="1" t="s">
        <v>34218</v>
      </c>
    </row>
    <row r="3710" spans="1:19" x14ac:dyDescent="0.25">
      <c r="A3710">
        <v>100678608</v>
      </c>
      <c r="B3710" t="s">
        <v>9700</v>
      </c>
      <c r="C3710" t="s">
        <v>132</v>
      </c>
      <c r="G3710" t="s">
        <v>9701</v>
      </c>
      <c r="H3710" t="s">
        <v>9702</v>
      </c>
      <c r="I3710" t="s">
        <v>117</v>
      </c>
      <c r="J3710">
        <v>11703</v>
      </c>
      <c r="K3710">
        <v>3909</v>
      </c>
      <c r="L3710" t="s">
        <v>23</v>
      </c>
      <c r="M3710" t="s">
        <v>9701</v>
      </c>
      <c r="N3710" t="s">
        <v>9702</v>
      </c>
      <c r="O3710" t="s">
        <v>117</v>
      </c>
      <c r="P3710">
        <v>11703</v>
      </c>
      <c r="Q3710">
        <v>3909</v>
      </c>
      <c r="R3710" t="s">
        <v>23</v>
      </c>
      <c r="S3710" s="1" t="s">
        <v>34218</v>
      </c>
    </row>
    <row r="3711" spans="1:19" x14ac:dyDescent="0.25">
      <c r="A3711">
        <v>100680682</v>
      </c>
      <c r="B3711" t="s">
        <v>8153</v>
      </c>
      <c r="C3711" t="s">
        <v>180</v>
      </c>
      <c r="G3711" t="s">
        <v>9703</v>
      </c>
      <c r="H3711" t="s">
        <v>4570</v>
      </c>
      <c r="I3711" t="s">
        <v>52</v>
      </c>
      <c r="J3711">
        <v>34285</v>
      </c>
      <c r="K3711">
        <v>6435</v>
      </c>
      <c r="L3711" t="s">
        <v>23</v>
      </c>
      <c r="M3711" t="s">
        <v>9703</v>
      </c>
      <c r="N3711" t="s">
        <v>4570</v>
      </c>
      <c r="O3711" t="s">
        <v>52</v>
      </c>
      <c r="P3711">
        <v>34285</v>
      </c>
      <c r="Q3711">
        <v>6435</v>
      </c>
      <c r="R3711" t="s">
        <v>23</v>
      </c>
      <c r="S3711" s="1" t="s">
        <v>34218</v>
      </c>
    </row>
    <row r="3712" spans="1:19" x14ac:dyDescent="0.25">
      <c r="A3712">
        <v>100865965</v>
      </c>
      <c r="B3712" t="s">
        <v>2637</v>
      </c>
      <c r="C3712" t="s">
        <v>2653</v>
      </c>
      <c r="G3712" t="s">
        <v>9704</v>
      </c>
      <c r="H3712" t="s">
        <v>9705</v>
      </c>
      <c r="I3712" t="s">
        <v>135</v>
      </c>
      <c r="J3712">
        <v>60448</v>
      </c>
      <c r="K3712">
        <v>1502</v>
      </c>
      <c r="L3712" t="s">
        <v>23</v>
      </c>
      <c r="M3712" t="s">
        <v>9704</v>
      </c>
      <c r="N3712" t="s">
        <v>9705</v>
      </c>
      <c r="O3712" t="s">
        <v>135</v>
      </c>
      <c r="P3712">
        <v>60448</v>
      </c>
      <c r="Q3712">
        <v>1502</v>
      </c>
      <c r="R3712" t="s">
        <v>23</v>
      </c>
      <c r="S3712" s="1" t="s">
        <v>34218</v>
      </c>
    </row>
    <row r="3713" spans="1:19" x14ac:dyDescent="0.25">
      <c r="A3713">
        <v>100866076</v>
      </c>
      <c r="B3713" t="s">
        <v>9706</v>
      </c>
      <c r="C3713" t="s">
        <v>77</v>
      </c>
      <c r="G3713" t="s">
        <v>9707</v>
      </c>
      <c r="H3713" t="s">
        <v>9708</v>
      </c>
      <c r="I3713" t="s">
        <v>178</v>
      </c>
      <c r="J3713">
        <v>45776</v>
      </c>
      <c r="K3713">
        <v>9635</v>
      </c>
      <c r="L3713" t="s">
        <v>23</v>
      </c>
      <c r="M3713" t="s">
        <v>9707</v>
      </c>
      <c r="N3713" t="s">
        <v>9708</v>
      </c>
      <c r="O3713" t="s">
        <v>178</v>
      </c>
      <c r="P3713">
        <v>45776</v>
      </c>
      <c r="Q3713">
        <v>9635</v>
      </c>
      <c r="R3713" t="s">
        <v>23</v>
      </c>
      <c r="S3713" s="1" t="s">
        <v>34218</v>
      </c>
    </row>
    <row r="3714" spans="1:19" x14ac:dyDescent="0.25">
      <c r="A3714">
        <v>100862045</v>
      </c>
      <c r="B3714" t="s">
        <v>9709</v>
      </c>
      <c r="C3714" t="s">
        <v>225</v>
      </c>
      <c r="G3714" t="s">
        <v>9710</v>
      </c>
      <c r="H3714" t="s">
        <v>9711</v>
      </c>
      <c r="I3714" t="s">
        <v>250</v>
      </c>
      <c r="J3714">
        <v>7458</v>
      </c>
      <c r="K3714">
        <v>2816</v>
      </c>
      <c r="L3714" t="s">
        <v>23</v>
      </c>
      <c r="M3714" t="s">
        <v>9710</v>
      </c>
      <c r="N3714" t="s">
        <v>9711</v>
      </c>
      <c r="O3714" t="s">
        <v>250</v>
      </c>
      <c r="P3714">
        <v>7458</v>
      </c>
      <c r="Q3714">
        <v>2816</v>
      </c>
      <c r="R3714" t="s">
        <v>23</v>
      </c>
      <c r="S3714" s="1" t="s">
        <v>34218</v>
      </c>
    </row>
    <row r="3715" spans="1:19" x14ac:dyDescent="0.25">
      <c r="A3715">
        <v>100531408</v>
      </c>
      <c r="B3715" t="s">
        <v>9712</v>
      </c>
      <c r="C3715" t="s">
        <v>9713</v>
      </c>
      <c r="G3715" t="s">
        <v>9714</v>
      </c>
      <c r="H3715" t="s">
        <v>9715</v>
      </c>
      <c r="I3715" t="s">
        <v>161</v>
      </c>
      <c r="J3715">
        <v>6078</v>
      </c>
      <c r="K3715">
        <v>2238</v>
      </c>
      <c r="L3715" t="s">
        <v>23</v>
      </c>
      <c r="M3715" t="s">
        <v>9714</v>
      </c>
      <c r="N3715" t="s">
        <v>9715</v>
      </c>
      <c r="O3715" t="s">
        <v>161</v>
      </c>
      <c r="P3715">
        <v>6078</v>
      </c>
      <c r="Q3715">
        <v>2238</v>
      </c>
      <c r="R3715" t="s">
        <v>23</v>
      </c>
      <c r="S3715" s="1" t="s">
        <v>34218</v>
      </c>
    </row>
    <row r="3716" spans="1:19" x14ac:dyDescent="0.25">
      <c r="A3716">
        <v>100535177</v>
      </c>
      <c r="B3716" t="s">
        <v>465</v>
      </c>
      <c r="C3716" t="s">
        <v>329</v>
      </c>
      <c r="F3716" t="str">
        <f>"3033324951"</f>
        <v>3033324951</v>
      </c>
      <c r="G3716" t="s">
        <v>9716</v>
      </c>
      <c r="H3716" t="s">
        <v>1579</v>
      </c>
      <c r="I3716" t="s">
        <v>71</v>
      </c>
      <c r="J3716">
        <v>80017</v>
      </c>
      <c r="K3716">
        <v>4398</v>
      </c>
      <c r="L3716" t="s">
        <v>23</v>
      </c>
      <c r="M3716" t="s">
        <v>9716</v>
      </c>
      <c r="N3716" t="s">
        <v>1579</v>
      </c>
      <c r="O3716" t="s">
        <v>71</v>
      </c>
      <c r="P3716">
        <v>80017</v>
      </c>
      <c r="Q3716">
        <v>4398</v>
      </c>
      <c r="R3716" t="s">
        <v>23</v>
      </c>
      <c r="S3716" s="1" t="s">
        <v>34218</v>
      </c>
    </row>
    <row r="3717" spans="1:19" x14ac:dyDescent="0.25">
      <c r="A3717">
        <v>100536128</v>
      </c>
      <c r="B3717" t="s">
        <v>9717</v>
      </c>
      <c r="C3717" t="s">
        <v>362</v>
      </c>
      <c r="G3717" t="s">
        <v>9718</v>
      </c>
      <c r="H3717" t="s">
        <v>9719</v>
      </c>
      <c r="I3717" t="s">
        <v>178</v>
      </c>
      <c r="J3717">
        <v>44139</v>
      </c>
      <c r="K3717">
        <v>1942</v>
      </c>
      <c r="L3717" t="s">
        <v>23</v>
      </c>
      <c r="M3717" t="s">
        <v>9718</v>
      </c>
      <c r="N3717" t="s">
        <v>9719</v>
      </c>
      <c r="O3717" t="s">
        <v>178</v>
      </c>
      <c r="P3717">
        <v>44139</v>
      </c>
      <c r="Q3717">
        <v>1942</v>
      </c>
      <c r="R3717" t="s">
        <v>23</v>
      </c>
      <c r="S3717" s="1" t="s">
        <v>34218</v>
      </c>
    </row>
    <row r="3718" spans="1:19" x14ac:dyDescent="0.25">
      <c r="A3718">
        <v>100537508</v>
      </c>
      <c r="B3718" t="s">
        <v>9720</v>
      </c>
      <c r="C3718" t="s">
        <v>4140</v>
      </c>
      <c r="F3718" t="str">
        <f>"5186643168"</f>
        <v>5186643168</v>
      </c>
      <c r="G3718" t="s">
        <v>9721</v>
      </c>
      <c r="H3718" t="s">
        <v>9722</v>
      </c>
      <c r="I3718" t="s">
        <v>117</v>
      </c>
      <c r="J3718">
        <v>12118</v>
      </c>
      <c r="K3718">
        <v>3319</v>
      </c>
      <c r="L3718" t="s">
        <v>23</v>
      </c>
      <c r="M3718" t="s">
        <v>9721</v>
      </c>
      <c r="N3718" t="s">
        <v>9722</v>
      </c>
      <c r="O3718" t="s">
        <v>117</v>
      </c>
      <c r="P3718">
        <v>12118</v>
      </c>
      <c r="Q3718">
        <v>3319</v>
      </c>
      <c r="R3718" t="s">
        <v>23</v>
      </c>
      <c r="S3718" s="1" t="s">
        <v>34218</v>
      </c>
    </row>
    <row r="3719" spans="1:19" x14ac:dyDescent="0.25">
      <c r="A3719">
        <v>100537561</v>
      </c>
      <c r="B3719" t="s">
        <v>9723</v>
      </c>
      <c r="C3719" t="s">
        <v>90</v>
      </c>
      <c r="G3719" t="s">
        <v>9724</v>
      </c>
      <c r="H3719" t="s">
        <v>3250</v>
      </c>
      <c r="I3719" t="s">
        <v>33</v>
      </c>
      <c r="J3719">
        <v>19365</v>
      </c>
      <c r="K3719">
        <v>1034</v>
      </c>
      <c r="L3719" t="s">
        <v>23</v>
      </c>
      <c r="M3719" t="s">
        <v>9724</v>
      </c>
      <c r="N3719" t="s">
        <v>3250</v>
      </c>
      <c r="O3719" t="s">
        <v>33</v>
      </c>
      <c r="P3719">
        <v>19365</v>
      </c>
      <c r="Q3719">
        <v>1034</v>
      </c>
      <c r="R3719" t="s">
        <v>23</v>
      </c>
      <c r="S3719" s="1" t="s">
        <v>34218</v>
      </c>
    </row>
    <row r="3720" spans="1:19" x14ac:dyDescent="0.25">
      <c r="A3720">
        <v>100542305</v>
      </c>
      <c r="B3720" t="s">
        <v>9725</v>
      </c>
      <c r="C3720" t="s">
        <v>158</v>
      </c>
      <c r="G3720" t="s">
        <v>9726</v>
      </c>
      <c r="H3720" t="s">
        <v>9727</v>
      </c>
      <c r="I3720" t="s">
        <v>236</v>
      </c>
      <c r="J3720">
        <v>2703</v>
      </c>
      <c r="K3720">
        <v>2827</v>
      </c>
      <c r="L3720" t="s">
        <v>23</v>
      </c>
      <c r="M3720" t="s">
        <v>9726</v>
      </c>
      <c r="N3720" t="s">
        <v>9727</v>
      </c>
      <c r="O3720" t="s">
        <v>236</v>
      </c>
      <c r="P3720">
        <v>2703</v>
      </c>
      <c r="Q3720">
        <v>2827</v>
      </c>
      <c r="R3720" t="s">
        <v>23</v>
      </c>
      <c r="S3720" s="1" t="s">
        <v>34218</v>
      </c>
    </row>
    <row r="3721" spans="1:19" x14ac:dyDescent="0.25">
      <c r="A3721">
        <v>101475767</v>
      </c>
      <c r="B3721" t="s">
        <v>3970</v>
      </c>
      <c r="C3721" t="s">
        <v>1573</v>
      </c>
      <c r="G3721" t="s">
        <v>9728</v>
      </c>
      <c r="H3721" t="s">
        <v>9729</v>
      </c>
      <c r="I3721" t="s">
        <v>33</v>
      </c>
      <c r="J3721">
        <v>18964</v>
      </c>
      <c r="K3721">
        <v>1562</v>
      </c>
      <c r="L3721" t="s">
        <v>23</v>
      </c>
      <c r="M3721" t="s">
        <v>9728</v>
      </c>
      <c r="N3721" t="s">
        <v>9729</v>
      </c>
      <c r="O3721" t="s">
        <v>33</v>
      </c>
      <c r="P3721">
        <v>18964</v>
      </c>
      <c r="Q3721">
        <v>1562</v>
      </c>
      <c r="R3721" t="s">
        <v>23</v>
      </c>
      <c r="S3721" s="1" t="s">
        <v>34218</v>
      </c>
    </row>
    <row r="3722" spans="1:19" x14ac:dyDescent="0.25">
      <c r="A3722">
        <v>100515483</v>
      </c>
      <c r="B3722" t="s">
        <v>9730</v>
      </c>
      <c r="C3722" t="s">
        <v>155</v>
      </c>
      <c r="G3722" t="s">
        <v>9731</v>
      </c>
      <c r="H3722" t="s">
        <v>2396</v>
      </c>
      <c r="I3722" t="s">
        <v>52</v>
      </c>
      <c r="J3722">
        <v>32905</v>
      </c>
      <c r="K3722">
        <v>2916</v>
      </c>
      <c r="L3722" t="s">
        <v>23</v>
      </c>
      <c r="M3722" t="s">
        <v>9731</v>
      </c>
      <c r="N3722" t="s">
        <v>2396</v>
      </c>
      <c r="O3722" t="s">
        <v>52</v>
      </c>
      <c r="P3722">
        <v>32905</v>
      </c>
      <c r="Q3722">
        <v>2916</v>
      </c>
      <c r="R3722" t="s">
        <v>23</v>
      </c>
      <c r="S3722" s="1" t="s">
        <v>34218</v>
      </c>
    </row>
    <row r="3723" spans="1:19" x14ac:dyDescent="0.25">
      <c r="A3723">
        <v>100730795</v>
      </c>
      <c r="B3723" t="s">
        <v>9732</v>
      </c>
      <c r="C3723" t="s">
        <v>535</v>
      </c>
      <c r="F3723" t="str">
        <f>"5037574186"</f>
        <v>5037574186</v>
      </c>
      <c r="G3723" t="s">
        <v>9733</v>
      </c>
      <c r="H3723" t="s">
        <v>227</v>
      </c>
      <c r="I3723" t="s">
        <v>43</v>
      </c>
      <c r="J3723">
        <v>97212</v>
      </c>
      <c r="K3723">
        <v>2356</v>
      </c>
      <c r="L3723" t="s">
        <v>23</v>
      </c>
      <c r="M3723" t="s">
        <v>9733</v>
      </c>
      <c r="N3723" t="s">
        <v>227</v>
      </c>
      <c r="O3723" t="s">
        <v>43</v>
      </c>
      <c r="P3723">
        <v>97212</v>
      </c>
      <c r="Q3723">
        <v>2356</v>
      </c>
      <c r="R3723" t="s">
        <v>23</v>
      </c>
      <c r="S3723" s="1" t="s">
        <v>34218</v>
      </c>
    </row>
    <row r="3724" spans="1:19" x14ac:dyDescent="0.25">
      <c r="A3724">
        <v>100722830</v>
      </c>
      <c r="B3724" t="s">
        <v>7610</v>
      </c>
      <c r="C3724" t="s">
        <v>6024</v>
      </c>
      <c r="H3724" t="s">
        <v>9734</v>
      </c>
      <c r="J3724">
        <v>94577</v>
      </c>
      <c r="L3724" t="s">
        <v>2310</v>
      </c>
      <c r="N3724" t="s">
        <v>9734</v>
      </c>
      <c r="P3724">
        <v>94577</v>
      </c>
      <c r="R3724" t="s">
        <v>2310</v>
      </c>
      <c r="S3724" s="1" t="s">
        <v>34218</v>
      </c>
    </row>
    <row r="3725" spans="1:19" x14ac:dyDescent="0.25">
      <c r="A3725">
        <v>100872579</v>
      </c>
      <c r="B3725" t="s">
        <v>9735</v>
      </c>
      <c r="C3725" t="s">
        <v>1598</v>
      </c>
      <c r="H3725" t="s">
        <v>9736</v>
      </c>
      <c r="J3725">
        <v>7016</v>
      </c>
      <c r="L3725" t="s">
        <v>22</v>
      </c>
      <c r="N3725" t="s">
        <v>9736</v>
      </c>
      <c r="P3725">
        <v>7016</v>
      </c>
      <c r="R3725" t="s">
        <v>22</v>
      </c>
      <c r="S3725" s="1" t="s">
        <v>34218</v>
      </c>
    </row>
    <row r="3726" spans="1:19" x14ac:dyDescent="0.25">
      <c r="A3726">
        <v>101475287</v>
      </c>
      <c r="B3726" t="s">
        <v>2300</v>
      </c>
      <c r="C3726" t="s">
        <v>6375</v>
      </c>
      <c r="G3726" t="s">
        <v>9737</v>
      </c>
      <c r="H3726" t="s">
        <v>9738</v>
      </c>
      <c r="I3726" t="s">
        <v>1482</v>
      </c>
      <c r="J3726">
        <v>29671</v>
      </c>
      <c r="L3726" t="s">
        <v>23</v>
      </c>
      <c r="M3726" t="s">
        <v>9737</v>
      </c>
      <c r="N3726" t="s">
        <v>9738</v>
      </c>
      <c r="O3726" t="s">
        <v>1482</v>
      </c>
      <c r="P3726">
        <v>29671</v>
      </c>
      <c r="R3726" t="s">
        <v>23</v>
      </c>
      <c r="S3726" s="1" t="s">
        <v>34218</v>
      </c>
    </row>
    <row r="3727" spans="1:19" x14ac:dyDescent="0.25">
      <c r="A3727">
        <v>101290300</v>
      </c>
      <c r="B3727" t="s">
        <v>144</v>
      </c>
      <c r="C3727" t="s">
        <v>9739</v>
      </c>
      <c r="G3727" t="s">
        <v>9740</v>
      </c>
      <c r="H3727" t="s">
        <v>139</v>
      </c>
      <c r="I3727" t="s">
        <v>140</v>
      </c>
      <c r="J3727">
        <v>48187</v>
      </c>
      <c r="K3727">
        <v>3890</v>
      </c>
      <c r="L3727" t="s">
        <v>23</v>
      </c>
      <c r="M3727" t="s">
        <v>9740</v>
      </c>
      <c r="N3727" t="s">
        <v>139</v>
      </c>
      <c r="O3727" t="s">
        <v>140</v>
      </c>
      <c r="P3727">
        <v>48187</v>
      </c>
      <c r="Q3727">
        <v>3890</v>
      </c>
      <c r="R3727" t="s">
        <v>23</v>
      </c>
      <c r="S3727" s="1" t="s">
        <v>34218</v>
      </c>
    </row>
    <row r="3728" spans="1:19" x14ac:dyDescent="0.25">
      <c r="A3728">
        <v>100542637</v>
      </c>
      <c r="B3728" t="s">
        <v>9741</v>
      </c>
      <c r="C3728" t="s">
        <v>5274</v>
      </c>
      <c r="F3728" t="str">
        <f>"5037030963"</f>
        <v>5037030963</v>
      </c>
      <c r="G3728" t="s">
        <v>9742</v>
      </c>
      <c r="H3728" t="s">
        <v>227</v>
      </c>
      <c r="I3728" t="s">
        <v>43</v>
      </c>
      <c r="J3728">
        <v>97224</v>
      </c>
      <c r="K3728">
        <v>5438</v>
      </c>
      <c r="L3728" t="s">
        <v>23</v>
      </c>
      <c r="M3728" t="s">
        <v>9742</v>
      </c>
      <c r="N3728" t="s">
        <v>227</v>
      </c>
      <c r="O3728" t="s">
        <v>43</v>
      </c>
      <c r="P3728">
        <v>97224</v>
      </c>
      <c r="Q3728">
        <v>5438</v>
      </c>
      <c r="R3728" t="s">
        <v>23</v>
      </c>
      <c r="S3728" s="1" t="s">
        <v>34218</v>
      </c>
    </row>
    <row r="3729" spans="1:19" x14ac:dyDescent="0.25">
      <c r="A3729">
        <v>101261509</v>
      </c>
      <c r="B3729" t="s">
        <v>7463</v>
      </c>
      <c r="C3729" t="s">
        <v>7195</v>
      </c>
      <c r="H3729" t="s">
        <v>9743</v>
      </c>
      <c r="I3729" t="s">
        <v>2310</v>
      </c>
      <c r="J3729">
        <v>89522</v>
      </c>
      <c r="L3729" t="s">
        <v>2310</v>
      </c>
      <c r="N3729" t="s">
        <v>9743</v>
      </c>
      <c r="O3729" t="s">
        <v>2310</v>
      </c>
      <c r="P3729">
        <v>89522</v>
      </c>
      <c r="R3729" t="s">
        <v>2310</v>
      </c>
      <c r="S3729" s="1" t="s">
        <v>34218</v>
      </c>
    </row>
    <row r="3730" spans="1:19" x14ac:dyDescent="0.25">
      <c r="A3730">
        <v>100548188</v>
      </c>
      <c r="B3730" t="s">
        <v>9744</v>
      </c>
      <c r="C3730" t="s">
        <v>1208</v>
      </c>
      <c r="G3730" t="s">
        <v>9745</v>
      </c>
      <c r="H3730" t="s">
        <v>357</v>
      </c>
      <c r="I3730" t="s">
        <v>255</v>
      </c>
      <c r="J3730">
        <v>22308</v>
      </c>
      <c r="K3730">
        <v>1343</v>
      </c>
      <c r="L3730" t="s">
        <v>23</v>
      </c>
      <c r="M3730" t="s">
        <v>9745</v>
      </c>
      <c r="N3730" t="s">
        <v>357</v>
      </c>
      <c r="O3730" t="s">
        <v>255</v>
      </c>
      <c r="P3730">
        <v>22308</v>
      </c>
      <c r="Q3730">
        <v>1343</v>
      </c>
      <c r="R3730" t="s">
        <v>23</v>
      </c>
      <c r="S3730" s="1" t="s">
        <v>34218</v>
      </c>
    </row>
    <row r="3731" spans="1:19" x14ac:dyDescent="0.25">
      <c r="A3731">
        <v>100542167</v>
      </c>
      <c r="B3731" t="s">
        <v>9746</v>
      </c>
      <c r="C3731" t="s">
        <v>123</v>
      </c>
      <c r="G3731" t="s">
        <v>9747</v>
      </c>
      <c r="H3731" t="s">
        <v>2724</v>
      </c>
      <c r="I3731" t="s">
        <v>187</v>
      </c>
      <c r="J3731">
        <v>55113</v>
      </c>
      <c r="K3731">
        <v>2414</v>
      </c>
      <c r="L3731" t="s">
        <v>23</v>
      </c>
      <c r="M3731" t="s">
        <v>9747</v>
      </c>
      <c r="N3731" t="s">
        <v>2724</v>
      </c>
      <c r="O3731" t="s">
        <v>187</v>
      </c>
      <c r="P3731">
        <v>55113</v>
      </c>
      <c r="Q3731">
        <v>2414</v>
      </c>
      <c r="R3731" t="s">
        <v>23</v>
      </c>
      <c r="S3731" s="1" t="s">
        <v>34218</v>
      </c>
    </row>
    <row r="3732" spans="1:19" x14ac:dyDescent="0.25">
      <c r="A3732">
        <v>100737025</v>
      </c>
      <c r="B3732" t="s">
        <v>9748</v>
      </c>
      <c r="C3732" t="s">
        <v>1773</v>
      </c>
      <c r="G3732" t="s">
        <v>9749</v>
      </c>
      <c r="H3732" t="s">
        <v>2974</v>
      </c>
      <c r="I3732" t="s">
        <v>135</v>
      </c>
      <c r="J3732">
        <v>60187</v>
      </c>
      <c r="K3732">
        <v>2972</v>
      </c>
      <c r="L3732" t="s">
        <v>23</v>
      </c>
      <c r="M3732" t="s">
        <v>9749</v>
      </c>
      <c r="N3732" t="s">
        <v>2974</v>
      </c>
      <c r="O3732" t="s">
        <v>135</v>
      </c>
      <c r="P3732">
        <v>60187</v>
      </c>
      <c r="Q3732">
        <v>2972</v>
      </c>
      <c r="R3732" t="s">
        <v>23</v>
      </c>
      <c r="S3732" s="1" t="s">
        <v>34218</v>
      </c>
    </row>
    <row r="3733" spans="1:19" x14ac:dyDescent="0.25">
      <c r="A3733">
        <v>100736362</v>
      </c>
      <c r="B3733" t="s">
        <v>3708</v>
      </c>
      <c r="C3733" t="s">
        <v>2159</v>
      </c>
      <c r="G3733" t="s">
        <v>9750</v>
      </c>
      <c r="H3733" t="s">
        <v>9751</v>
      </c>
      <c r="I3733" t="s">
        <v>9752</v>
      </c>
      <c r="J3733">
        <v>927</v>
      </c>
      <c r="K3733">
        <v>5221</v>
      </c>
      <c r="L3733" t="s">
        <v>23</v>
      </c>
      <c r="M3733" t="s">
        <v>9750</v>
      </c>
      <c r="N3733" t="s">
        <v>9751</v>
      </c>
      <c r="O3733" t="s">
        <v>9752</v>
      </c>
      <c r="P3733">
        <v>927</v>
      </c>
      <c r="Q3733">
        <v>5221</v>
      </c>
      <c r="R3733" t="s">
        <v>23</v>
      </c>
      <c r="S3733" s="1" t="s">
        <v>34218</v>
      </c>
    </row>
    <row r="3734" spans="1:19" x14ac:dyDescent="0.25">
      <c r="A3734">
        <v>100742523</v>
      </c>
      <c r="B3734" t="s">
        <v>9753</v>
      </c>
      <c r="C3734" t="s">
        <v>1179</v>
      </c>
      <c r="G3734" t="s">
        <v>9754</v>
      </c>
      <c r="H3734" t="s">
        <v>169</v>
      </c>
      <c r="I3734" t="s">
        <v>170</v>
      </c>
      <c r="J3734">
        <v>20009</v>
      </c>
      <c r="K3734">
        <v>1830</v>
      </c>
      <c r="L3734" t="s">
        <v>23</v>
      </c>
      <c r="M3734" t="s">
        <v>9754</v>
      </c>
      <c r="N3734" t="s">
        <v>169</v>
      </c>
      <c r="O3734" t="s">
        <v>170</v>
      </c>
      <c r="P3734">
        <v>20009</v>
      </c>
      <c r="Q3734">
        <v>1830</v>
      </c>
      <c r="R3734" t="s">
        <v>23</v>
      </c>
      <c r="S3734" s="1" t="s">
        <v>34218</v>
      </c>
    </row>
    <row r="3735" spans="1:19" x14ac:dyDescent="0.25">
      <c r="A3735">
        <v>100744631</v>
      </c>
      <c r="B3735" t="s">
        <v>9755</v>
      </c>
      <c r="C3735" t="s">
        <v>4719</v>
      </c>
      <c r="G3735" t="s">
        <v>9756</v>
      </c>
      <c r="H3735" t="s">
        <v>9757</v>
      </c>
      <c r="I3735" t="s">
        <v>38</v>
      </c>
      <c r="J3735">
        <v>76092</v>
      </c>
      <c r="K3735">
        <v>8862</v>
      </c>
      <c r="L3735" t="s">
        <v>23</v>
      </c>
      <c r="M3735" t="s">
        <v>9756</v>
      </c>
      <c r="N3735" t="s">
        <v>9757</v>
      </c>
      <c r="O3735" t="s">
        <v>38</v>
      </c>
      <c r="P3735">
        <v>76092</v>
      </c>
      <c r="Q3735">
        <v>8862</v>
      </c>
      <c r="R3735" t="s">
        <v>23</v>
      </c>
      <c r="S3735" s="1" t="s">
        <v>34218</v>
      </c>
    </row>
    <row r="3736" spans="1:19" x14ac:dyDescent="0.25">
      <c r="A3736">
        <v>100749136</v>
      </c>
      <c r="B3736" t="s">
        <v>9758</v>
      </c>
      <c r="C3736" t="s">
        <v>2127</v>
      </c>
      <c r="G3736" t="s">
        <v>9759</v>
      </c>
      <c r="H3736" t="s">
        <v>2023</v>
      </c>
      <c r="I3736" t="s">
        <v>43</v>
      </c>
      <c r="J3736">
        <v>97004</v>
      </c>
      <c r="K3736">
        <v>8694</v>
      </c>
      <c r="L3736" t="s">
        <v>23</v>
      </c>
      <c r="M3736" t="s">
        <v>9759</v>
      </c>
      <c r="N3736" t="s">
        <v>2023</v>
      </c>
      <c r="O3736" t="s">
        <v>43</v>
      </c>
      <c r="P3736">
        <v>97004</v>
      </c>
      <c r="Q3736">
        <v>8694</v>
      </c>
      <c r="R3736" t="s">
        <v>23</v>
      </c>
      <c r="S3736" s="1" t="s">
        <v>34218</v>
      </c>
    </row>
    <row r="3737" spans="1:19" x14ac:dyDescent="0.25">
      <c r="A3737">
        <v>100749686</v>
      </c>
      <c r="B3737" t="s">
        <v>9760</v>
      </c>
      <c r="C3737" t="s">
        <v>3254</v>
      </c>
      <c r="G3737" t="s">
        <v>9761</v>
      </c>
      <c r="H3737" t="s">
        <v>9762</v>
      </c>
      <c r="I3737" t="s">
        <v>22</v>
      </c>
      <c r="J3737">
        <v>92823</v>
      </c>
      <c r="K3737">
        <v>6328</v>
      </c>
      <c r="L3737" t="s">
        <v>23</v>
      </c>
      <c r="M3737" t="s">
        <v>9761</v>
      </c>
      <c r="N3737" t="s">
        <v>9762</v>
      </c>
      <c r="O3737" t="s">
        <v>22</v>
      </c>
      <c r="P3737">
        <v>92823</v>
      </c>
      <c r="Q3737">
        <v>6328</v>
      </c>
      <c r="R3737" t="s">
        <v>23</v>
      </c>
      <c r="S3737" s="1" t="s">
        <v>34218</v>
      </c>
    </row>
    <row r="3738" spans="1:19" x14ac:dyDescent="0.25">
      <c r="A3738">
        <v>100755041</v>
      </c>
      <c r="B3738" t="s">
        <v>1662</v>
      </c>
      <c r="C3738" t="s">
        <v>9763</v>
      </c>
      <c r="G3738" t="s">
        <v>9764</v>
      </c>
      <c r="H3738" t="s">
        <v>2250</v>
      </c>
      <c r="I3738" t="s">
        <v>148</v>
      </c>
      <c r="J3738">
        <v>21401</v>
      </c>
      <c r="K3738">
        <v>6654</v>
      </c>
      <c r="L3738" t="s">
        <v>23</v>
      </c>
      <c r="M3738" t="s">
        <v>9764</v>
      </c>
      <c r="N3738" t="s">
        <v>2250</v>
      </c>
      <c r="O3738" t="s">
        <v>148</v>
      </c>
      <c r="P3738">
        <v>21401</v>
      </c>
      <c r="Q3738">
        <v>6654</v>
      </c>
      <c r="R3738" t="s">
        <v>23</v>
      </c>
      <c r="S3738" s="1" t="s">
        <v>34218</v>
      </c>
    </row>
    <row r="3739" spans="1:19" x14ac:dyDescent="0.25">
      <c r="A3739">
        <v>100747622</v>
      </c>
      <c r="B3739" t="s">
        <v>6555</v>
      </c>
      <c r="C3739" t="s">
        <v>9765</v>
      </c>
      <c r="G3739" t="s">
        <v>9766</v>
      </c>
      <c r="H3739" t="s">
        <v>5887</v>
      </c>
      <c r="I3739" t="s">
        <v>702</v>
      </c>
      <c r="J3739">
        <v>89450</v>
      </c>
      <c r="K3739">
        <v>3969</v>
      </c>
      <c r="L3739" t="s">
        <v>23</v>
      </c>
      <c r="M3739" t="s">
        <v>9766</v>
      </c>
      <c r="N3739" t="s">
        <v>5887</v>
      </c>
      <c r="O3739" t="s">
        <v>702</v>
      </c>
      <c r="P3739">
        <v>89450</v>
      </c>
      <c r="Q3739">
        <v>3969</v>
      </c>
      <c r="R3739" t="s">
        <v>23</v>
      </c>
      <c r="S3739" s="1" t="s">
        <v>34218</v>
      </c>
    </row>
    <row r="3740" spans="1:19" x14ac:dyDescent="0.25">
      <c r="A3740">
        <v>100753996</v>
      </c>
      <c r="B3740" t="s">
        <v>9767</v>
      </c>
      <c r="C3740" t="s">
        <v>3583</v>
      </c>
      <c r="G3740" t="s">
        <v>9768</v>
      </c>
      <c r="H3740" t="s">
        <v>9769</v>
      </c>
      <c r="I3740" t="s">
        <v>38</v>
      </c>
      <c r="J3740">
        <v>77396</v>
      </c>
      <c r="K3740">
        <v>4511</v>
      </c>
      <c r="L3740" t="s">
        <v>23</v>
      </c>
      <c r="M3740" t="s">
        <v>9768</v>
      </c>
      <c r="N3740" t="s">
        <v>9769</v>
      </c>
      <c r="O3740" t="s">
        <v>38</v>
      </c>
      <c r="P3740">
        <v>77396</v>
      </c>
      <c r="Q3740">
        <v>4511</v>
      </c>
      <c r="R3740" t="s">
        <v>23</v>
      </c>
      <c r="S3740" s="1" t="s">
        <v>34218</v>
      </c>
    </row>
    <row r="3741" spans="1:19" x14ac:dyDescent="0.25">
      <c r="A3741">
        <v>100754869</v>
      </c>
      <c r="B3741" t="s">
        <v>7006</v>
      </c>
      <c r="C3741" t="s">
        <v>2127</v>
      </c>
      <c r="G3741" t="s">
        <v>9770</v>
      </c>
      <c r="H3741" t="s">
        <v>9771</v>
      </c>
      <c r="I3741" t="s">
        <v>117</v>
      </c>
      <c r="J3741">
        <v>14150</v>
      </c>
      <c r="K3741">
        <v>1436</v>
      </c>
      <c r="L3741" t="s">
        <v>23</v>
      </c>
      <c r="M3741" t="s">
        <v>9770</v>
      </c>
      <c r="N3741" t="s">
        <v>9771</v>
      </c>
      <c r="O3741" t="s">
        <v>117</v>
      </c>
      <c r="P3741">
        <v>14150</v>
      </c>
      <c r="Q3741">
        <v>1436</v>
      </c>
      <c r="R3741" t="s">
        <v>23</v>
      </c>
      <c r="S3741" s="1" t="s">
        <v>34218</v>
      </c>
    </row>
    <row r="3742" spans="1:19" x14ac:dyDescent="0.25">
      <c r="A3742">
        <v>100564016</v>
      </c>
      <c r="B3742" t="s">
        <v>9772</v>
      </c>
      <c r="C3742" t="s">
        <v>1487</v>
      </c>
      <c r="G3742" t="s">
        <v>9773</v>
      </c>
      <c r="H3742" t="s">
        <v>134</v>
      </c>
      <c r="I3742" t="s">
        <v>135</v>
      </c>
      <c r="J3742">
        <v>60633</v>
      </c>
      <c r="L3742" t="s">
        <v>23</v>
      </c>
      <c r="M3742" t="s">
        <v>9773</v>
      </c>
      <c r="N3742" t="s">
        <v>134</v>
      </c>
      <c r="O3742" t="s">
        <v>135</v>
      </c>
      <c r="P3742">
        <v>60633</v>
      </c>
      <c r="R3742" t="s">
        <v>23</v>
      </c>
      <c r="S3742" s="1" t="s">
        <v>34218</v>
      </c>
    </row>
    <row r="3743" spans="1:19" x14ac:dyDescent="0.25">
      <c r="A3743">
        <v>101011846</v>
      </c>
      <c r="B3743" t="s">
        <v>5560</v>
      </c>
      <c r="C3743" t="s">
        <v>3566</v>
      </c>
      <c r="G3743" t="s">
        <v>9774</v>
      </c>
      <c r="H3743" t="s">
        <v>2375</v>
      </c>
      <c r="I3743" t="s">
        <v>100</v>
      </c>
      <c r="J3743">
        <v>53703</v>
      </c>
      <c r="L3743" t="s">
        <v>23</v>
      </c>
      <c r="M3743" t="s">
        <v>9774</v>
      </c>
      <c r="N3743" t="s">
        <v>2375</v>
      </c>
      <c r="O3743" t="s">
        <v>100</v>
      </c>
      <c r="P3743">
        <v>53703</v>
      </c>
      <c r="R3743" t="s">
        <v>23</v>
      </c>
      <c r="S3743" s="1" t="s">
        <v>34218</v>
      </c>
    </row>
    <row r="3744" spans="1:19" x14ac:dyDescent="0.25">
      <c r="A3744">
        <v>100556475</v>
      </c>
      <c r="B3744" t="s">
        <v>9775</v>
      </c>
      <c r="C3744" t="s">
        <v>579</v>
      </c>
      <c r="G3744" t="s">
        <v>9776</v>
      </c>
      <c r="H3744" t="s">
        <v>9777</v>
      </c>
      <c r="I3744" t="s">
        <v>22</v>
      </c>
      <c r="J3744">
        <v>90292</v>
      </c>
      <c r="K3744">
        <v>5743</v>
      </c>
      <c r="L3744" t="s">
        <v>23</v>
      </c>
      <c r="M3744" t="s">
        <v>9776</v>
      </c>
      <c r="N3744" t="s">
        <v>9777</v>
      </c>
      <c r="O3744" t="s">
        <v>22</v>
      </c>
      <c r="P3744">
        <v>90292</v>
      </c>
      <c r="Q3744">
        <v>5743</v>
      </c>
      <c r="R3744" t="s">
        <v>23</v>
      </c>
      <c r="S3744" s="1" t="s">
        <v>34218</v>
      </c>
    </row>
    <row r="3745" spans="1:19" x14ac:dyDescent="0.25">
      <c r="A3745">
        <v>100816115</v>
      </c>
      <c r="B3745" t="s">
        <v>1274</v>
      </c>
      <c r="C3745" t="s">
        <v>123</v>
      </c>
      <c r="G3745" t="s">
        <v>5607</v>
      </c>
      <c r="H3745" t="s">
        <v>9778</v>
      </c>
      <c r="I3745" t="s">
        <v>22</v>
      </c>
      <c r="J3745">
        <v>95560</v>
      </c>
      <c r="K3745">
        <v>185</v>
      </c>
      <c r="L3745" t="s">
        <v>23</v>
      </c>
      <c r="M3745" t="s">
        <v>5607</v>
      </c>
      <c r="N3745" t="s">
        <v>9778</v>
      </c>
      <c r="O3745" t="s">
        <v>22</v>
      </c>
      <c r="P3745">
        <v>95560</v>
      </c>
      <c r="Q3745">
        <v>185</v>
      </c>
      <c r="R3745" t="s">
        <v>23</v>
      </c>
      <c r="S3745" s="1" t="s">
        <v>34218</v>
      </c>
    </row>
    <row r="3746" spans="1:19" x14ac:dyDescent="0.25">
      <c r="A3746">
        <v>100821184</v>
      </c>
      <c r="B3746" t="s">
        <v>9779</v>
      </c>
      <c r="C3746" t="s">
        <v>535</v>
      </c>
      <c r="G3746" t="s">
        <v>9780</v>
      </c>
      <c r="H3746" t="s">
        <v>5685</v>
      </c>
      <c r="I3746" t="s">
        <v>52</v>
      </c>
      <c r="J3746">
        <v>33556</v>
      </c>
      <c r="K3746">
        <v>3658</v>
      </c>
      <c r="L3746" t="s">
        <v>23</v>
      </c>
      <c r="M3746" t="s">
        <v>9780</v>
      </c>
      <c r="N3746" t="s">
        <v>5685</v>
      </c>
      <c r="O3746" t="s">
        <v>52</v>
      </c>
      <c r="P3746">
        <v>33556</v>
      </c>
      <c r="Q3746">
        <v>3658</v>
      </c>
      <c r="R3746" t="s">
        <v>23</v>
      </c>
      <c r="S3746" s="1" t="s">
        <v>34218</v>
      </c>
    </row>
    <row r="3747" spans="1:19" x14ac:dyDescent="0.25">
      <c r="A3747">
        <v>100823440</v>
      </c>
      <c r="B3747" t="s">
        <v>328</v>
      </c>
      <c r="C3747" t="s">
        <v>9781</v>
      </c>
      <c r="F3747" t="str">
        <f>"8155455789"</f>
        <v>8155455789</v>
      </c>
      <c r="G3747" t="s">
        <v>9782</v>
      </c>
      <c r="H3747" t="s">
        <v>9705</v>
      </c>
      <c r="I3747" t="s">
        <v>135</v>
      </c>
      <c r="J3747">
        <v>60448</v>
      </c>
      <c r="K3747">
        <v>1368</v>
      </c>
      <c r="L3747" t="s">
        <v>23</v>
      </c>
      <c r="M3747" t="s">
        <v>9782</v>
      </c>
      <c r="N3747" t="s">
        <v>9705</v>
      </c>
      <c r="O3747" t="s">
        <v>135</v>
      </c>
      <c r="P3747">
        <v>60448</v>
      </c>
      <c r="Q3747">
        <v>1368</v>
      </c>
      <c r="R3747" t="s">
        <v>23</v>
      </c>
      <c r="S3747" s="1" t="s">
        <v>34218</v>
      </c>
    </row>
    <row r="3748" spans="1:19" x14ac:dyDescent="0.25">
      <c r="A3748">
        <v>100828222</v>
      </c>
      <c r="B3748" t="s">
        <v>9783</v>
      </c>
      <c r="C3748" t="s">
        <v>9784</v>
      </c>
      <c r="G3748" t="s">
        <v>9785</v>
      </c>
      <c r="H3748" t="s">
        <v>389</v>
      </c>
      <c r="I3748" t="s">
        <v>100</v>
      </c>
      <c r="J3748">
        <v>53208</v>
      </c>
      <c r="K3748">
        <v>3421</v>
      </c>
      <c r="L3748" t="s">
        <v>23</v>
      </c>
      <c r="M3748" t="s">
        <v>9785</v>
      </c>
      <c r="N3748" t="s">
        <v>389</v>
      </c>
      <c r="O3748" t="s">
        <v>100</v>
      </c>
      <c r="P3748">
        <v>53208</v>
      </c>
      <c r="Q3748">
        <v>3421</v>
      </c>
      <c r="R3748" t="s">
        <v>23</v>
      </c>
      <c r="S3748" s="1" t="s">
        <v>34218</v>
      </c>
    </row>
    <row r="3749" spans="1:19" x14ac:dyDescent="0.25">
      <c r="A3749">
        <v>100828473</v>
      </c>
      <c r="B3749" t="s">
        <v>9786</v>
      </c>
      <c r="C3749" t="s">
        <v>1015</v>
      </c>
      <c r="G3749" t="s">
        <v>9787</v>
      </c>
      <c r="H3749" t="s">
        <v>9788</v>
      </c>
      <c r="I3749" t="s">
        <v>84</v>
      </c>
      <c r="J3749">
        <v>98604</v>
      </c>
      <c r="K3749">
        <v>2104</v>
      </c>
      <c r="L3749" t="s">
        <v>23</v>
      </c>
      <c r="M3749" t="s">
        <v>9787</v>
      </c>
      <c r="N3749" t="s">
        <v>9788</v>
      </c>
      <c r="O3749" t="s">
        <v>84</v>
      </c>
      <c r="P3749">
        <v>98604</v>
      </c>
      <c r="Q3749">
        <v>2104</v>
      </c>
      <c r="R3749" t="s">
        <v>23</v>
      </c>
      <c r="S3749" s="1" t="s">
        <v>34218</v>
      </c>
    </row>
    <row r="3750" spans="1:19" x14ac:dyDescent="0.25">
      <c r="A3750">
        <v>100833072</v>
      </c>
      <c r="B3750" t="s">
        <v>1710</v>
      </c>
      <c r="C3750" t="s">
        <v>613</v>
      </c>
      <c r="G3750" t="s">
        <v>9789</v>
      </c>
      <c r="H3750" t="s">
        <v>9790</v>
      </c>
      <c r="I3750" t="s">
        <v>52</v>
      </c>
      <c r="J3750">
        <v>32091</v>
      </c>
      <c r="K3750">
        <v>7472</v>
      </c>
      <c r="L3750" t="s">
        <v>23</v>
      </c>
      <c r="M3750" t="s">
        <v>9789</v>
      </c>
      <c r="N3750" t="s">
        <v>9790</v>
      </c>
      <c r="O3750" t="s">
        <v>52</v>
      </c>
      <c r="P3750">
        <v>32091</v>
      </c>
      <c r="Q3750">
        <v>7472</v>
      </c>
      <c r="R3750" t="s">
        <v>23</v>
      </c>
      <c r="S3750" s="1" t="s">
        <v>34218</v>
      </c>
    </row>
    <row r="3751" spans="1:19" x14ac:dyDescent="0.25">
      <c r="A3751">
        <v>100834591</v>
      </c>
      <c r="B3751" t="s">
        <v>9791</v>
      </c>
      <c r="C3751" t="s">
        <v>1602</v>
      </c>
      <c r="G3751" t="s">
        <v>9792</v>
      </c>
      <c r="H3751" t="s">
        <v>445</v>
      </c>
      <c r="I3751" t="s">
        <v>446</v>
      </c>
      <c r="J3751">
        <v>28806</v>
      </c>
      <c r="K3751">
        <v>3057</v>
      </c>
      <c r="L3751" t="s">
        <v>23</v>
      </c>
      <c r="M3751" t="s">
        <v>9792</v>
      </c>
      <c r="N3751" t="s">
        <v>445</v>
      </c>
      <c r="O3751" t="s">
        <v>446</v>
      </c>
      <c r="P3751">
        <v>28806</v>
      </c>
      <c r="Q3751">
        <v>3057</v>
      </c>
      <c r="R3751" t="s">
        <v>23</v>
      </c>
      <c r="S3751" s="1" t="s">
        <v>34218</v>
      </c>
    </row>
    <row r="3752" spans="1:19" x14ac:dyDescent="0.25">
      <c r="A3752">
        <v>101066617</v>
      </c>
      <c r="B3752" t="s">
        <v>9793</v>
      </c>
      <c r="C3752" t="s">
        <v>9794</v>
      </c>
      <c r="G3752" t="s">
        <v>9795</v>
      </c>
      <c r="H3752" t="s">
        <v>9796</v>
      </c>
      <c r="I3752" t="s">
        <v>203</v>
      </c>
      <c r="J3752">
        <v>82009</v>
      </c>
      <c r="K3752">
        <v>4216</v>
      </c>
      <c r="L3752" t="s">
        <v>23</v>
      </c>
      <c r="M3752" t="s">
        <v>9795</v>
      </c>
      <c r="N3752" t="s">
        <v>9796</v>
      </c>
      <c r="O3752" t="s">
        <v>203</v>
      </c>
      <c r="P3752">
        <v>82009</v>
      </c>
      <c r="Q3752">
        <v>4216</v>
      </c>
      <c r="R3752" t="s">
        <v>23</v>
      </c>
      <c r="S3752" s="1" t="s">
        <v>34218</v>
      </c>
    </row>
    <row r="3753" spans="1:19" x14ac:dyDescent="0.25">
      <c r="A3753">
        <v>101423810</v>
      </c>
      <c r="B3753" t="s">
        <v>9797</v>
      </c>
      <c r="C3753" t="s">
        <v>850</v>
      </c>
      <c r="G3753" t="s">
        <v>9798</v>
      </c>
      <c r="H3753" t="s">
        <v>7162</v>
      </c>
      <c r="I3753" t="s">
        <v>38</v>
      </c>
      <c r="J3753">
        <v>77450</v>
      </c>
      <c r="K3753">
        <v>8047</v>
      </c>
      <c r="L3753" t="s">
        <v>23</v>
      </c>
      <c r="M3753" t="s">
        <v>9798</v>
      </c>
      <c r="N3753" t="s">
        <v>7162</v>
      </c>
      <c r="O3753" t="s">
        <v>38</v>
      </c>
      <c r="P3753">
        <v>77450</v>
      </c>
      <c r="Q3753">
        <v>8047</v>
      </c>
      <c r="R3753" t="s">
        <v>23</v>
      </c>
      <c r="S3753" s="1" t="s">
        <v>34218</v>
      </c>
    </row>
    <row r="3754" spans="1:19" x14ac:dyDescent="0.25">
      <c r="A3754">
        <v>100525196</v>
      </c>
      <c r="B3754" t="s">
        <v>3464</v>
      </c>
      <c r="C3754" t="s">
        <v>9799</v>
      </c>
      <c r="G3754" t="s">
        <v>9800</v>
      </c>
      <c r="H3754" t="s">
        <v>412</v>
      </c>
      <c r="I3754" t="s">
        <v>117</v>
      </c>
      <c r="J3754">
        <v>11236</v>
      </c>
      <c r="K3754">
        <v>3310</v>
      </c>
      <c r="L3754" t="s">
        <v>23</v>
      </c>
      <c r="M3754" t="s">
        <v>9800</v>
      </c>
      <c r="N3754" t="s">
        <v>412</v>
      </c>
      <c r="O3754" t="s">
        <v>117</v>
      </c>
      <c r="P3754">
        <v>11236</v>
      </c>
      <c r="Q3754">
        <v>3310</v>
      </c>
      <c r="R3754" t="s">
        <v>23</v>
      </c>
      <c r="S3754" s="1" t="s">
        <v>34218</v>
      </c>
    </row>
    <row r="3755" spans="1:19" x14ac:dyDescent="0.25">
      <c r="A3755">
        <v>100531342</v>
      </c>
      <c r="B3755" t="s">
        <v>9801</v>
      </c>
      <c r="C3755" t="s">
        <v>1117</v>
      </c>
      <c r="G3755" t="s">
        <v>9802</v>
      </c>
      <c r="H3755" t="s">
        <v>9803</v>
      </c>
      <c r="I3755" t="s">
        <v>100</v>
      </c>
      <c r="J3755">
        <v>54601</v>
      </c>
      <c r="K3755">
        <v>4077</v>
      </c>
      <c r="L3755" t="s">
        <v>23</v>
      </c>
      <c r="M3755" t="s">
        <v>9802</v>
      </c>
      <c r="N3755" t="s">
        <v>9803</v>
      </c>
      <c r="O3755" t="s">
        <v>100</v>
      </c>
      <c r="P3755">
        <v>54601</v>
      </c>
      <c r="Q3755">
        <v>4077</v>
      </c>
      <c r="R3755" t="s">
        <v>23</v>
      </c>
      <c r="S3755" s="1" t="s">
        <v>34218</v>
      </c>
    </row>
    <row r="3756" spans="1:19" x14ac:dyDescent="0.25">
      <c r="A3756">
        <v>100530129</v>
      </c>
      <c r="B3756" t="s">
        <v>9804</v>
      </c>
      <c r="C3756" t="s">
        <v>403</v>
      </c>
      <c r="G3756" t="s">
        <v>9805</v>
      </c>
      <c r="H3756" t="s">
        <v>9806</v>
      </c>
      <c r="I3756" t="s">
        <v>446</v>
      </c>
      <c r="J3756">
        <v>27051</v>
      </c>
      <c r="K3756">
        <v>9500</v>
      </c>
      <c r="L3756" t="s">
        <v>23</v>
      </c>
      <c r="M3756" t="s">
        <v>9805</v>
      </c>
      <c r="N3756" t="s">
        <v>9806</v>
      </c>
      <c r="O3756" t="s">
        <v>446</v>
      </c>
      <c r="P3756">
        <v>27051</v>
      </c>
      <c r="Q3756">
        <v>9500</v>
      </c>
      <c r="R3756" t="s">
        <v>23</v>
      </c>
      <c r="S3756" s="1" t="s">
        <v>34218</v>
      </c>
    </row>
    <row r="3757" spans="1:19" x14ac:dyDescent="0.25">
      <c r="A3757">
        <v>100741944</v>
      </c>
      <c r="B3757" t="s">
        <v>9807</v>
      </c>
      <c r="C3757" t="s">
        <v>440</v>
      </c>
      <c r="G3757" t="s">
        <v>9808</v>
      </c>
      <c r="H3757" t="s">
        <v>3470</v>
      </c>
      <c r="I3757" t="s">
        <v>187</v>
      </c>
      <c r="J3757">
        <v>55347</v>
      </c>
      <c r="L3757" t="s">
        <v>23</v>
      </c>
      <c r="M3757" t="s">
        <v>9808</v>
      </c>
      <c r="N3757" t="s">
        <v>3470</v>
      </c>
      <c r="O3757" t="s">
        <v>187</v>
      </c>
      <c r="P3757">
        <v>55347</v>
      </c>
      <c r="R3757" t="s">
        <v>23</v>
      </c>
      <c r="S3757" s="1" t="s">
        <v>34218</v>
      </c>
    </row>
    <row r="3758" spans="1:19" x14ac:dyDescent="0.25">
      <c r="A3758">
        <v>100537562</v>
      </c>
      <c r="B3758" t="s">
        <v>9809</v>
      </c>
      <c r="C3758" t="s">
        <v>225</v>
      </c>
      <c r="F3758" t="str">
        <f>"9209545431"</f>
        <v>9209545431</v>
      </c>
      <c r="G3758" t="s">
        <v>9810</v>
      </c>
      <c r="H3758" t="s">
        <v>2020</v>
      </c>
      <c r="I3758" t="s">
        <v>100</v>
      </c>
      <c r="J3758">
        <v>54911</v>
      </c>
      <c r="K3758">
        <v>4850</v>
      </c>
      <c r="L3758" t="s">
        <v>23</v>
      </c>
      <c r="M3758" t="s">
        <v>9810</v>
      </c>
      <c r="N3758" t="s">
        <v>2020</v>
      </c>
      <c r="O3758" t="s">
        <v>100</v>
      </c>
      <c r="P3758">
        <v>54911</v>
      </c>
      <c r="Q3758">
        <v>4850</v>
      </c>
      <c r="R3758" t="s">
        <v>23</v>
      </c>
      <c r="S3758" s="1" t="s">
        <v>34218</v>
      </c>
    </row>
    <row r="3759" spans="1:19" x14ac:dyDescent="0.25">
      <c r="A3759">
        <v>101288585</v>
      </c>
      <c r="B3759" t="s">
        <v>9811</v>
      </c>
      <c r="C3759" t="s">
        <v>9812</v>
      </c>
      <c r="F3759" t="str">
        <f>"3236333840"</f>
        <v>3236333840</v>
      </c>
      <c r="G3759" t="s">
        <v>9813</v>
      </c>
      <c r="H3759" t="s">
        <v>299</v>
      </c>
      <c r="I3759" t="s">
        <v>22</v>
      </c>
      <c r="J3759">
        <v>90039</v>
      </c>
      <c r="L3759" t="s">
        <v>23</v>
      </c>
      <c r="M3759" t="s">
        <v>9813</v>
      </c>
      <c r="N3759" t="s">
        <v>299</v>
      </c>
      <c r="O3759" t="s">
        <v>22</v>
      </c>
      <c r="P3759">
        <v>90039</v>
      </c>
      <c r="R3759" t="s">
        <v>23</v>
      </c>
      <c r="S3759" s="1" t="s">
        <v>34218</v>
      </c>
    </row>
    <row r="3760" spans="1:19" x14ac:dyDescent="0.25">
      <c r="A3760">
        <v>101286289</v>
      </c>
      <c r="B3760" t="s">
        <v>9814</v>
      </c>
      <c r="C3760" t="s">
        <v>3254</v>
      </c>
      <c r="G3760" t="s">
        <v>9815</v>
      </c>
      <c r="H3760" t="s">
        <v>818</v>
      </c>
      <c r="I3760" t="s">
        <v>43</v>
      </c>
      <c r="J3760">
        <v>97008</v>
      </c>
      <c r="K3760">
        <v>7127</v>
      </c>
      <c r="L3760" t="s">
        <v>23</v>
      </c>
      <c r="M3760" t="s">
        <v>9815</v>
      </c>
      <c r="N3760" t="s">
        <v>818</v>
      </c>
      <c r="O3760" t="s">
        <v>43</v>
      </c>
      <c r="P3760">
        <v>97008</v>
      </c>
      <c r="Q3760">
        <v>7127</v>
      </c>
      <c r="R3760" t="s">
        <v>23</v>
      </c>
      <c r="S3760" s="1" t="s">
        <v>34218</v>
      </c>
    </row>
    <row r="3761" spans="1:19" x14ac:dyDescent="0.25">
      <c r="A3761">
        <v>101481941</v>
      </c>
      <c r="B3761" t="s">
        <v>216</v>
      </c>
      <c r="C3761" t="s">
        <v>4502</v>
      </c>
      <c r="G3761" t="s">
        <v>9816</v>
      </c>
      <c r="H3761" t="s">
        <v>2514</v>
      </c>
      <c r="I3761" t="s">
        <v>236</v>
      </c>
      <c r="J3761">
        <v>2124</v>
      </c>
      <c r="K3761">
        <v>2614</v>
      </c>
      <c r="L3761" t="s">
        <v>23</v>
      </c>
      <c r="M3761" t="s">
        <v>9816</v>
      </c>
      <c r="N3761" t="s">
        <v>2514</v>
      </c>
      <c r="O3761" t="s">
        <v>236</v>
      </c>
      <c r="P3761">
        <v>2124</v>
      </c>
      <c r="Q3761">
        <v>2614</v>
      </c>
      <c r="R3761" t="s">
        <v>23</v>
      </c>
      <c r="S3761" s="1" t="s">
        <v>34218</v>
      </c>
    </row>
    <row r="3762" spans="1:19" x14ac:dyDescent="0.25">
      <c r="A3762">
        <v>101412202</v>
      </c>
      <c r="B3762" t="s">
        <v>9817</v>
      </c>
      <c r="C3762" t="s">
        <v>585</v>
      </c>
      <c r="G3762" t="s">
        <v>9818</v>
      </c>
      <c r="H3762" t="s">
        <v>130</v>
      </c>
      <c r="I3762" t="s">
        <v>22</v>
      </c>
      <c r="J3762">
        <v>94102</v>
      </c>
      <c r="K3762">
        <v>1102</v>
      </c>
      <c r="L3762" t="s">
        <v>23</v>
      </c>
      <c r="M3762" t="s">
        <v>9818</v>
      </c>
      <c r="N3762" t="s">
        <v>130</v>
      </c>
      <c r="O3762" t="s">
        <v>22</v>
      </c>
      <c r="P3762">
        <v>94102</v>
      </c>
      <c r="Q3762">
        <v>1102</v>
      </c>
      <c r="R3762" t="s">
        <v>23</v>
      </c>
      <c r="S3762" s="1" t="s">
        <v>34218</v>
      </c>
    </row>
    <row r="3763" spans="1:19" x14ac:dyDescent="0.25">
      <c r="A3763">
        <v>101259372</v>
      </c>
      <c r="B3763" t="s">
        <v>9819</v>
      </c>
      <c r="C3763" t="s">
        <v>9820</v>
      </c>
      <c r="H3763" t="s">
        <v>9821</v>
      </c>
      <c r="I3763" t="s">
        <v>2566</v>
      </c>
      <c r="J3763">
        <v>33200</v>
      </c>
      <c r="L3763" t="s">
        <v>9628</v>
      </c>
      <c r="N3763" t="s">
        <v>9821</v>
      </c>
      <c r="O3763" t="s">
        <v>2566</v>
      </c>
      <c r="P3763">
        <v>33200</v>
      </c>
      <c r="R3763" t="s">
        <v>9628</v>
      </c>
      <c r="S3763" s="1" t="s">
        <v>34218</v>
      </c>
    </row>
    <row r="3764" spans="1:19" x14ac:dyDescent="0.25">
      <c r="A3764">
        <v>101258714</v>
      </c>
      <c r="B3764" t="s">
        <v>9822</v>
      </c>
      <c r="C3764" t="s">
        <v>9823</v>
      </c>
      <c r="H3764" t="s">
        <v>9824</v>
      </c>
      <c r="J3764">
        <v>3121</v>
      </c>
      <c r="L3764" t="s">
        <v>9825</v>
      </c>
      <c r="N3764" t="s">
        <v>9824</v>
      </c>
      <c r="P3764">
        <v>3121</v>
      </c>
      <c r="R3764" t="s">
        <v>9825</v>
      </c>
      <c r="S3764" s="1" t="s">
        <v>34218</v>
      </c>
    </row>
    <row r="3765" spans="1:19" x14ac:dyDescent="0.25">
      <c r="A3765">
        <v>101427010</v>
      </c>
      <c r="B3765" t="s">
        <v>9826</v>
      </c>
      <c r="C3765" t="s">
        <v>1933</v>
      </c>
      <c r="G3765" t="s">
        <v>2752</v>
      </c>
      <c r="H3765" t="s">
        <v>9827</v>
      </c>
      <c r="I3765" t="s">
        <v>639</v>
      </c>
      <c r="J3765">
        <v>87539</v>
      </c>
      <c r="K3765">
        <v>672</v>
      </c>
      <c r="L3765" t="s">
        <v>23</v>
      </c>
      <c r="M3765" t="s">
        <v>2752</v>
      </c>
      <c r="N3765" t="s">
        <v>9827</v>
      </c>
      <c r="O3765" t="s">
        <v>639</v>
      </c>
      <c r="P3765">
        <v>87539</v>
      </c>
      <c r="Q3765">
        <v>672</v>
      </c>
      <c r="R3765" t="s">
        <v>23</v>
      </c>
      <c r="S3765" s="1" t="s">
        <v>34218</v>
      </c>
    </row>
    <row r="3766" spans="1:19" x14ac:dyDescent="0.25">
      <c r="A3766">
        <v>100854203</v>
      </c>
      <c r="B3766" t="s">
        <v>9828</v>
      </c>
      <c r="C3766" t="s">
        <v>9829</v>
      </c>
      <c r="H3766" t="s">
        <v>130</v>
      </c>
      <c r="J3766">
        <v>94114</v>
      </c>
      <c r="L3766" t="s">
        <v>9830</v>
      </c>
      <c r="N3766" t="s">
        <v>130</v>
      </c>
      <c r="P3766">
        <v>94114</v>
      </c>
      <c r="R3766" t="s">
        <v>9830</v>
      </c>
      <c r="S3766" s="1" t="s">
        <v>34218</v>
      </c>
    </row>
    <row r="3767" spans="1:19" x14ac:dyDescent="0.25">
      <c r="A3767">
        <v>100540876</v>
      </c>
      <c r="B3767" t="s">
        <v>9831</v>
      </c>
      <c r="C3767" t="s">
        <v>9832</v>
      </c>
      <c r="G3767" t="s">
        <v>9833</v>
      </c>
      <c r="H3767" t="s">
        <v>143</v>
      </c>
      <c r="I3767" t="s">
        <v>135</v>
      </c>
      <c r="J3767">
        <v>62650</v>
      </c>
      <c r="K3767">
        <v>6561</v>
      </c>
      <c r="L3767" t="s">
        <v>23</v>
      </c>
      <c r="M3767" t="s">
        <v>9833</v>
      </c>
      <c r="N3767" t="s">
        <v>143</v>
      </c>
      <c r="O3767" t="s">
        <v>135</v>
      </c>
      <c r="P3767">
        <v>62650</v>
      </c>
      <c r="Q3767">
        <v>6561</v>
      </c>
      <c r="R3767" t="s">
        <v>23</v>
      </c>
      <c r="S3767" s="1" t="s">
        <v>34218</v>
      </c>
    </row>
    <row r="3768" spans="1:19" x14ac:dyDescent="0.25">
      <c r="A3768">
        <v>100542924</v>
      </c>
      <c r="B3768" t="s">
        <v>9834</v>
      </c>
      <c r="C3768" t="s">
        <v>2653</v>
      </c>
      <c r="G3768" t="s">
        <v>9835</v>
      </c>
      <c r="H3768" t="s">
        <v>2069</v>
      </c>
      <c r="I3768" t="s">
        <v>22</v>
      </c>
      <c r="J3768">
        <v>95473</v>
      </c>
      <c r="K3768">
        <v>703</v>
      </c>
      <c r="L3768" t="s">
        <v>23</v>
      </c>
      <c r="M3768" t="s">
        <v>9835</v>
      </c>
      <c r="N3768" t="s">
        <v>2069</v>
      </c>
      <c r="O3768" t="s">
        <v>22</v>
      </c>
      <c r="P3768">
        <v>95473</v>
      </c>
      <c r="Q3768">
        <v>703</v>
      </c>
      <c r="R3768" t="s">
        <v>23</v>
      </c>
      <c r="S3768" s="1" t="s">
        <v>34218</v>
      </c>
    </row>
    <row r="3769" spans="1:19" x14ac:dyDescent="0.25">
      <c r="A3769">
        <v>100540900</v>
      </c>
      <c r="B3769" t="s">
        <v>9836</v>
      </c>
      <c r="C3769" t="s">
        <v>9837</v>
      </c>
      <c r="G3769" t="s">
        <v>9838</v>
      </c>
      <c r="H3769" t="s">
        <v>4162</v>
      </c>
      <c r="I3769" t="s">
        <v>43</v>
      </c>
      <c r="J3769">
        <v>97124</v>
      </c>
      <c r="K3769">
        <v>2473</v>
      </c>
      <c r="L3769" t="s">
        <v>23</v>
      </c>
      <c r="M3769" t="s">
        <v>9838</v>
      </c>
      <c r="N3769" t="s">
        <v>4162</v>
      </c>
      <c r="O3769" t="s">
        <v>43</v>
      </c>
      <c r="P3769">
        <v>97124</v>
      </c>
      <c r="Q3769">
        <v>2473</v>
      </c>
      <c r="R3769" t="s">
        <v>23</v>
      </c>
      <c r="S3769" s="1" t="s">
        <v>34218</v>
      </c>
    </row>
    <row r="3770" spans="1:19" x14ac:dyDescent="0.25">
      <c r="A3770">
        <v>100546645</v>
      </c>
      <c r="B3770" t="s">
        <v>826</v>
      </c>
      <c r="C3770" t="s">
        <v>3482</v>
      </c>
      <c r="G3770" t="s">
        <v>9839</v>
      </c>
      <c r="H3770" t="s">
        <v>9840</v>
      </c>
      <c r="I3770" t="s">
        <v>43</v>
      </c>
      <c r="J3770">
        <v>97103</v>
      </c>
      <c r="K3770">
        <v>8466</v>
      </c>
      <c r="L3770" t="s">
        <v>23</v>
      </c>
      <c r="M3770" t="s">
        <v>9839</v>
      </c>
      <c r="N3770" t="s">
        <v>9840</v>
      </c>
      <c r="O3770" t="s">
        <v>43</v>
      </c>
      <c r="P3770">
        <v>97103</v>
      </c>
      <c r="Q3770">
        <v>8466</v>
      </c>
      <c r="R3770" t="s">
        <v>23</v>
      </c>
      <c r="S3770" s="1" t="s">
        <v>34218</v>
      </c>
    </row>
    <row r="3771" spans="1:19" x14ac:dyDescent="0.25">
      <c r="A3771">
        <v>100546107</v>
      </c>
      <c r="B3771" t="s">
        <v>9841</v>
      </c>
      <c r="C3771" t="s">
        <v>102</v>
      </c>
      <c r="G3771" t="s">
        <v>9842</v>
      </c>
      <c r="H3771" t="s">
        <v>9843</v>
      </c>
      <c r="I3771" t="s">
        <v>236</v>
      </c>
      <c r="J3771">
        <v>1960</v>
      </c>
      <c r="K3771">
        <v>1397</v>
      </c>
      <c r="L3771" t="s">
        <v>23</v>
      </c>
      <c r="M3771" t="s">
        <v>9842</v>
      </c>
      <c r="N3771" t="s">
        <v>9843</v>
      </c>
      <c r="O3771" t="s">
        <v>236</v>
      </c>
      <c r="P3771">
        <v>1960</v>
      </c>
      <c r="Q3771">
        <v>1397</v>
      </c>
      <c r="R3771" t="s">
        <v>23</v>
      </c>
      <c r="S3771" s="1" t="s">
        <v>34218</v>
      </c>
    </row>
    <row r="3772" spans="1:19" x14ac:dyDescent="0.25">
      <c r="A3772">
        <v>100740191</v>
      </c>
      <c r="B3772" t="s">
        <v>9844</v>
      </c>
      <c r="C3772" t="s">
        <v>1212</v>
      </c>
      <c r="G3772" t="s">
        <v>9845</v>
      </c>
      <c r="H3772" t="s">
        <v>9846</v>
      </c>
      <c r="I3772" t="s">
        <v>33</v>
      </c>
      <c r="J3772">
        <v>19003</v>
      </c>
      <c r="K3772">
        <v>3003</v>
      </c>
      <c r="L3772" t="s">
        <v>23</v>
      </c>
      <c r="M3772" t="s">
        <v>9845</v>
      </c>
      <c r="N3772" t="s">
        <v>9846</v>
      </c>
      <c r="O3772" t="s">
        <v>33</v>
      </c>
      <c r="P3772">
        <v>19003</v>
      </c>
      <c r="Q3772">
        <v>3003</v>
      </c>
      <c r="R3772" t="s">
        <v>23</v>
      </c>
      <c r="S3772" s="1" t="s">
        <v>34218</v>
      </c>
    </row>
    <row r="3773" spans="1:19" x14ac:dyDescent="0.25">
      <c r="A3773">
        <v>100741953</v>
      </c>
      <c r="B3773" t="s">
        <v>9847</v>
      </c>
      <c r="C3773" t="s">
        <v>699</v>
      </c>
      <c r="G3773" t="s">
        <v>9848</v>
      </c>
      <c r="H3773" t="s">
        <v>3571</v>
      </c>
      <c r="I3773" t="s">
        <v>187</v>
      </c>
      <c r="J3773">
        <v>55082</v>
      </c>
      <c r="K3773">
        <v>9651</v>
      </c>
      <c r="L3773" t="s">
        <v>23</v>
      </c>
      <c r="M3773" t="s">
        <v>9848</v>
      </c>
      <c r="N3773" t="s">
        <v>3571</v>
      </c>
      <c r="O3773" t="s">
        <v>187</v>
      </c>
      <c r="P3773">
        <v>55082</v>
      </c>
      <c r="Q3773">
        <v>9651</v>
      </c>
      <c r="R3773" t="s">
        <v>23</v>
      </c>
      <c r="S3773" s="1" t="s">
        <v>34218</v>
      </c>
    </row>
    <row r="3774" spans="1:19" x14ac:dyDescent="0.25">
      <c r="A3774">
        <v>100746928</v>
      </c>
      <c r="B3774" t="s">
        <v>9849</v>
      </c>
      <c r="C3774" t="s">
        <v>1043</v>
      </c>
      <c r="G3774" t="s">
        <v>9850</v>
      </c>
      <c r="H3774" t="s">
        <v>9851</v>
      </c>
      <c r="I3774" t="s">
        <v>52</v>
      </c>
      <c r="J3774">
        <v>34759</v>
      </c>
      <c r="K3774">
        <v>3441</v>
      </c>
      <c r="L3774" t="s">
        <v>23</v>
      </c>
      <c r="M3774" t="s">
        <v>9850</v>
      </c>
      <c r="N3774" t="s">
        <v>9851</v>
      </c>
      <c r="O3774" t="s">
        <v>52</v>
      </c>
      <c r="P3774">
        <v>34759</v>
      </c>
      <c r="Q3774">
        <v>3441</v>
      </c>
      <c r="R3774" t="s">
        <v>23</v>
      </c>
      <c r="S3774" s="1" t="s">
        <v>34218</v>
      </c>
    </row>
    <row r="3775" spans="1:19" x14ac:dyDescent="0.25">
      <c r="A3775">
        <v>101272179</v>
      </c>
      <c r="B3775" t="s">
        <v>3609</v>
      </c>
      <c r="C3775" t="s">
        <v>7542</v>
      </c>
      <c r="G3775" t="s">
        <v>9852</v>
      </c>
      <c r="H3775" t="s">
        <v>1448</v>
      </c>
      <c r="I3775" t="s">
        <v>33</v>
      </c>
      <c r="J3775">
        <v>19096</v>
      </c>
      <c r="K3775">
        <v>3726</v>
      </c>
      <c r="L3775" t="s">
        <v>23</v>
      </c>
      <c r="M3775" t="s">
        <v>9852</v>
      </c>
      <c r="N3775" t="s">
        <v>1448</v>
      </c>
      <c r="O3775" t="s">
        <v>33</v>
      </c>
      <c r="P3775">
        <v>19096</v>
      </c>
      <c r="Q3775">
        <v>3726</v>
      </c>
      <c r="R3775" t="s">
        <v>23</v>
      </c>
      <c r="S3775" s="1" t="s">
        <v>34218</v>
      </c>
    </row>
    <row r="3776" spans="1:19" x14ac:dyDescent="0.25">
      <c r="A3776">
        <v>101453198</v>
      </c>
      <c r="B3776" t="s">
        <v>3109</v>
      </c>
      <c r="C3776" t="s">
        <v>102</v>
      </c>
      <c r="G3776" t="s">
        <v>9853</v>
      </c>
      <c r="H3776" t="s">
        <v>9854</v>
      </c>
      <c r="I3776" t="s">
        <v>236</v>
      </c>
      <c r="J3776">
        <v>1568</v>
      </c>
      <c r="K3776">
        <v>1338</v>
      </c>
      <c r="L3776" t="s">
        <v>23</v>
      </c>
      <c r="M3776" t="s">
        <v>9853</v>
      </c>
      <c r="N3776" t="s">
        <v>9854</v>
      </c>
      <c r="O3776" t="s">
        <v>236</v>
      </c>
      <c r="P3776">
        <v>1568</v>
      </c>
      <c r="Q3776">
        <v>1338</v>
      </c>
      <c r="R3776" t="s">
        <v>23</v>
      </c>
      <c r="S3776" s="1" t="s">
        <v>34218</v>
      </c>
    </row>
    <row r="3777" spans="1:19" x14ac:dyDescent="0.25">
      <c r="A3777">
        <v>100530171</v>
      </c>
      <c r="B3777" t="s">
        <v>497</v>
      </c>
      <c r="C3777" t="s">
        <v>1036</v>
      </c>
      <c r="G3777" t="s">
        <v>9855</v>
      </c>
      <c r="H3777" t="s">
        <v>1254</v>
      </c>
      <c r="I3777" t="s">
        <v>52</v>
      </c>
      <c r="J3777">
        <v>33460</v>
      </c>
      <c r="K3777">
        <v>5734</v>
      </c>
      <c r="L3777" t="s">
        <v>23</v>
      </c>
      <c r="M3777" t="s">
        <v>9855</v>
      </c>
      <c r="N3777" t="s">
        <v>1254</v>
      </c>
      <c r="O3777" t="s">
        <v>52</v>
      </c>
      <c r="P3777">
        <v>33460</v>
      </c>
      <c r="Q3777">
        <v>5734</v>
      </c>
      <c r="R3777" t="s">
        <v>23</v>
      </c>
      <c r="S3777" s="1" t="s">
        <v>34218</v>
      </c>
    </row>
    <row r="3778" spans="1:19" x14ac:dyDescent="0.25">
      <c r="A3778">
        <v>100533229</v>
      </c>
      <c r="B3778" t="s">
        <v>1545</v>
      </c>
      <c r="C3778" t="s">
        <v>9856</v>
      </c>
      <c r="G3778" t="s">
        <v>9857</v>
      </c>
      <c r="H3778" t="s">
        <v>1885</v>
      </c>
      <c r="I3778" t="s">
        <v>22</v>
      </c>
      <c r="J3778">
        <v>90278</v>
      </c>
      <c r="K3778">
        <v>2832</v>
      </c>
      <c r="L3778" t="s">
        <v>23</v>
      </c>
      <c r="M3778" t="s">
        <v>9857</v>
      </c>
      <c r="N3778" t="s">
        <v>1885</v>
      </c>
      <c r="O3778" t="s">
        <v>22</v>
      </c>
      <c r="P3778">
        <v>90278</v>
      </c>
      <c r="Q3778">
        <v>2832</v>
      </c>
      <c r="R3778" t="s">
        <v>23</v>
      </c>
      <c r="S3778" s="1" t="s">
        <v>34218</v>
      </c>
    </row>
    <row r="3779" spans="1:19" x14ac:dyDescent="0.25">
      <c r="A3779">
        <v>100549210</v>
      </c>
      <c r="B3779" t="s">
        <v>9858</v>
      </c>
      <c r="C3779" t="s">
        <v>350</v>
      </c>
      <c r="G3779" t="s">
        <v>9859</v>
      </c>
      <c r="H3779" t="s">
        <v>1780</v>
      </c>
      <c r="I3779" t="s">
        <v>22</v>
      </c>
      <c r="J3779">
        <v>92024</v>
      </c>
      <c r="K3779">
        <v>2518</v>
      </c>
      <c r="L3779" t="s">
        <v>23</v>
      </c>
      <c r="M3779" t="s">
        <v>9859</v>
      </c>
      <c r="N3779" t="s">
        <v>1780</v>
      </c>
      <c r="O3779" t="s">
        <v>22</v>
      </c>
      <c r="P3779">
        <v>92024</v>
      </c>
      <c r="Q3779">
        <v>2518</v>
      </c>
      <c r="R3779" t="s">
        <v>23</v>
      </c>
      <c r="S3779" s="1" t="s">
        <v>34218</v>
      </c>
    </row>
    <row r="3780" spans="1:19" x14ac:dyDescent="0.25">
      <c r="A3780">
        <v>100538965</v>
      </c>
      <c r="B3780" t="s">
        <v>4298</v>
      </c>
      <c r="C3780" t="s">
        <v>9860</v>
      </c>
      <c r="G3780" t="s">
        <v>9861</v>
      </c>
      <c r="H3780" t="s">
        <v>3373</v>
      </c>
      <c r="I3780" t="s">
        <v>178</v>
      </c>
      <c r="J3780">
        <v>44111</v>
      </c>
      <c r="K3780">
        <v>1040</v>
      </c>
      <c r="L3780" t="s">
        <v>23</v>
      </c>
      <c r="M3780" t="s">
        <v>9861</v>
      </c>
      <c r="N3780" t="s">
        <v>3373</v>
      </c>
      <c r="O3780" t="s">
        <v>178</v>
      </c>
      <c r="P3780">
        <v>44111</v>
      </c>
      <c r="Q3780">
        <v>1040</v>
      </c>
      <c r="R3780" t="s">
        <v>23</v>
      </c>
      <c r="S3780" s="1" t="s">
        <v>34218</v>
      </c>
    </row>
    <row r="3781" spans="1:19" x14ac:dyDescent="0.25">
      <c r="A3781">
        <v>100537574</v>
      </c>
      <c r="B3781" t="s">
        <v>9862</v>
      </c>
      <c r="C3781" t="s">
        <v>209</v>
      </c>
      <c r="G3781" t="s">
        <v>9863</v>
      </c>
      <c r="H3781" t="s">
        <v>134</v>
      </c>
      <c r="I3781" t="s">
        <v>135</v>
      </c>
      <c r="J3781">
        <v>60619</v>
      </c>
      <c r="K3781">
        <v>4819</v>
      </c>
      <c r="L3781" t="s">
        <v>23</v>
      </c>
      <c r="M3781" t="s">
        <v>9863</v>
      </c>
      <c r="N3781" t="s">
        <v>134</v>
      </c>
      <c r="O3781" t="s">
        <v>135</v>
      </c>
      <c r="P3781">
        <v>60619</v>
      </c>
      <c r="Q3781">
        <v>4819</v>
      </c>
      <c r="R3781" t="s">
        <v>23</v>
      </c>
      <c r="S3781" s="1" t="s">
        <v>34218</v>
      </c>
    </row>
    <row r="3782" spans="1:19" x14ac:dyDescent="0.25">
      <c r="A3782">
        <v>100537602</v>
      </c>
      <c r="B3782" t="s">
        <v>7475</v>
      </c>
      <c r="C3782" t="s">
        <v>575</v>
      </c>
      <c r="G3782" t="s">
        <v>9864</v>
      </c>
      <c r="H3782" t="s">
        <v>3510</v>
      </c>
      <c r="I3782" t="s">
        <v>38</v>
      </c>
      <c r="J3782">
        <v>75043</v>
      </c>
      <c r="K3782">
        <v>6345</v>
      </c>
      <c r="L3782" t="s">
        <v>23</v>
      </c>
      <c r="M3782" t="s">
        <v>9864</v>
      </c>
      <c r="N3782" t="s">
        <v>3510</v>
      </c>
      <c r="O3782" t="s">
        <v>38</v>
      </c>
      <c r="P3782">
        <v>75043</v>
      </c>
      <c r="Q3782">
        <v>6345</v>
      </c>
      <c r="R3782" t="s">
        <v>23</v>
      </c>
      <c r="S3782" s="1" t="s">
        <v>34218</v>
      </c>
    </row>
    <row r="3783" spans="1:19" x14ac:dyDescent="0.25">
      <c r="A3783">
        <v>100611087</v>
      </c>
      <c r="B3783" t="s">
        <v>9865</v>
      </c>
      <c r="C3783" t="s">
        <v>9866</v>
      </c>
      <c r="G3783">
        <v>1505</v>
      </c>
      <c r="H3783" t="s">
        <v>9867</v>
      </c>
      <c r="I3783" t="s">
        <v>38</v>
      </c>
      <c r="J3783">
        <v>75098</v>
      </c>
      <c r="L3783" t="s">
        <v>23</v>
      </c>
      <c r="M3783">
        <v>1505</v>
      </c>
      <c r="N3783" t="s">
        <v>9867</v>
      </c>
      <c r="O3783" t="s">
        <v>38</v>
      </c>
      <c r="P3783">
        <v>75098</v>
      </c>
      <c r="R3783" t="s">
        <v>23</v>
      </c>
      <c r="S3783" s="1" t="s">
        <v>34218</v>
      </c>
    </row>
    <row r="3784" spans="1:19" x14ac:dyDescent="0.25">
      <c r="A3784">
        <v>101129646</v>
      </c>
      <c r="B3784" t="s">
        <v>9868</v>
      </c>
      <c r="C3784" t="s">
        <v>699</v>
      </c>
      <c r="G3784" t="s">
        <v>9869</v>
      </c>
      <c r="H3784" t="s">
        <v>4223</v>
      </c>
      <c r="I3784" t="s">
        <v>565</v>
      </c>
      <c r="J3784">
        <v>52001</v>
      </c>
      <c r="K3784">
        <v>1130</v>
      </c>
      <c r="L3784" t="s">
        <v>23</v>
      </c>
      <c r="M3784" t="s">
        <v>9869</v>
      </c>
      <c r="N3784" t="s">
        <v>4223</v>
      </c>
      <c r="O3784" t="s">
        <v>565</v>
      </c>
      <c r="P3784">
        <v>52001</v>
      </c>
      <c r="Q3784">
        <v>1130</v>
      </c>
      <c r="R3784" t="s">
        <v>23</v>
      </c>
      <c r="S3784" s="1" t="s">
        <v>34218</v>
      </c>
    </row>
    <row r="3785" spans="1:19" x14ac:dyDescent="0.25">
      <c r="A3785">
        <v>101249714</v>
      </c>
      <c r="B3785" t="s">
        <v>9870</v>
      </c>
      <c r="C3785" t="s">
        <v>4624</v>
      </c>
      <c r="H3785" t="s">
        <v>9871</v>
      </c>
      <c r="J3785">
        <v>8930</v>
      </c>
      <c r="L3785" t="s">
        <v>9872</v>
      </c>
      <c r="N3785" t="s">
        <v>9871</v>
      </c>
      <c r="P3785">
        <v>8930</v>
      </c>
      <c r="R3785" t="s">
        <v>9872</v>
      </c>
      <c r="S3785" s="1" t="s">
        <v>34218</v>
      </c>
    </row>
    <row r="3786" spans="1:19" x14ac:dyDescent="0.25">
      <c r="A3786">
        <v>101367017</v>
      </c>
      <c r="B3786" t="s">
        <v>9873</v>
      </c>
      <c r="C3786" t="s">
        <v>1873</v>
      </c>
      <c r="G3786" t="s">
        <v>9874</v>
      </c>
      <c r="H3786" t="s">
        <v>9875</v>
      </c>
      <c r="I3786" t="s">
        <v>33</v>
      </c>
      <c r="J3786">
        <v>19403</v>
      </c>
      <c r="K3786">
        <v>2621</v>
      </c>
      <c r="L3786" t="s">
        <v>23</v>
      </c>
      <c r="M3786" t="s">
        <v>9874</v>
      </c>
      <c r="N3786" t="s">
        <v>9875</v>
      </c>
      <c r="O3786" t="s">
        <v>33</v>
      </c>
      <c r="P3786">
        <v>19403</v>
      </c>
      <c r="Q3786">
        <v>2621</v>
      </c>
      <c r="R3786" t="s">
        <v>23</v>
      </c>
      <c r="S3786" s="1" t="s">
        <v>34218</v>
      </c>
    </row>
    <row r="3787" spans="1:19" x14ac:dyDescent="0.25">
      <c r="A3787">
        <v>101280735</v>
      </c>
      <c r="B3787" t="s">
        <v>9876</v>
      </c>
      <c r="C3787" t="s">
        <v>571</v>
      </c>
      <c r="G3787" t="s">
        <v>9877</v>
      </c>
      <c r="H3787" t="s">
        <v>7595</v>
      </c>
      <c r="I3787" t="s">
        <v>52</v>
      </c>
      <c r="J3787" t="s">
        <v>9878</v>
      </c>
      <c r="K3787">
        <v>4048</v>
      </c>
      <c r="L3787" t="s">
        <v>23</v>
      </c>
      <c r="M3787" t="s">
        <v>9877</v>
      </c>
      <c r="N3787" t="s">
        <v>7595</v>
      </c>
      <c r="O3787" t="s">
        <v>52</v>
      </c>
      <c r="P3787" t="s">
        <v>9878</v>
      </c>
      <c r="Q3787">
        <v>4048</v>
      </c>
      <c r="R3787" t="s">
        <v>23</v>
      </c>
      <c r="S3787" s="1" t="s">
        <v>34218</v>
      </c>
    </row>
    <row r="3788" spans="1:19" x14ac:dyDescent="0.25">
      <c r="A3788">
        <v>101412188</v>
      </c>
      <c r="B3788" t="s">
        <v>9879</v>
      </c>
      <c r="C3788" t="s">
        <v>9880</v>
      </c>
      <c r="F3788" t="str">
        <f>"3603876743"</f>
        <v>3603876743</v>
      </c>
      <c r="H3788" t="s">
        <v>1765</v>
      </c>
      <c r="I3788" t="s">
        <v>84</v>
      </c>
      <c r="J3788">
        <v>98282</v>
      </c>
      <c r="L3788" t="s">
        <v>23</v>
      </c>
      <c r="N3788" t="s">
        <v>1765</v>
      </c>
      <c r="O3788" t="s">
        <v>84</v>
      </c>
      <c r="P3788">
        <v>98282</v>
      </c>
      <c r="R3788" t="s">
        <v>23</v>
      </c>
      <c r="S3788" s="1" t="s">
        <v>34218</v>
      </c>
    </row>
    <row r="3789" spans="1:19" x14ac:dyDescent="0.25">
      <c r="A3789">
        <v>100543647</v>
      </c>
      <c r="B3789" t="s">
        <v>5270</v>
      </c>
      <c r="C3789" t="s">
        <v>5879</v>
      </c>
      <c r="G3789" t="s">
        <v>9881</v>
      </c>
      <c r="H3789" t="s">
        <v>3575</v>
      </c>
      <c r="I3789" t="s">
        <v>22</v>
      </c>
      <c r="J3789">
        <v>92082</v>
      </c>
      <c r="K3789">
        <v>2013</v>
      </c>
      <c r="L3789" t="s">
        <v>23</v>
      </c>
      <c r="M3789" t="s">
        <v>9881</v>
      </c>
      <c r="N3789" t="s">
        <v>3575</v>
      </c>
      <c r="O3789" t="s">
        <v>22</v>
      </c>
      <c r="P3789">
        <v>92082</v>
      </c>
      <c r="Q3789">
        <v>2013</v>
      </c>
      <c r="R3789" t="s">
        <v>23</v>
      </c>
      <c r="S3789" s="1" t="s">
        <v>34218</v>
      </c>
    </row>
    <row r="3790" spans="1:19" x14ac:dyDescent="0.25">
      <c r="A3790">
        <v>100540809</v>
      </c>
      <c r="B3790" t="s">
        <v>9882</v>
      </c>
      <c r="C3790" t="s">
        <v>1873</v>
      </c>
      <c r="G3790" t="s">
        <v>9883</v>
      </c>
      <c r="H3790" t="s">
        <v>9884</v>
      </c>
      <c r="I3790" t="s">
        <v>43</v>
      </c>
      <c r="J3790">
        <v>97828</v>
      </c>
      <c r="K3790">
        <v>3060</v>
      </c>
      <c r="L3790" t="s">
        <v>23</v>
      </c>
      <c r="M3790" t="s">
        <v>9883</v>
      </c>
      <c r="N3790" t="s">
        <v>9884</v>
      </c>
      <c r="O3790" t="s">
        <v>43</v>
      </c>
      <c r="P3790">
        <v>97828</v>
      </c>
      <c r="Q3790">
        <v>3060</v>
      </c>
      <c r="R3790" t="s">
        <v>23</v>
      </c>
      <c r="S3790" s="1" t="s">
        <v>34218</v>
      </c>
    </row>
    <row r="3791" spans="1:19" x14ac:dyDescent="0.25">
      <c r="A3791">
        <v>100540993</v>
      </c>
      <c r="B3791" t="s">
        <v>3109</v>
      </c>
      <c r="C3791" t="s">
        <v>483</v>
      </c>
      <c r="G3791" t="s">
        <v>9885</v>
      </c>
      <c r="H3791" t="s">
        <v>9886</v>
      </c>
      <c r="I3791" t="s">
        <v>140</v>
      </c>
      <c r="J3791">
        <v>48420</v>
      </c>
      <c r="K3791">
        <v>7713</v>
      </c>
      <c r="L3791" t="s">
        <v>23</v>
      </c>
      <c r="M3791" t="s">
        <v>9885</v>
      </c>
      <c r="N3791" t="s">
        <v>9886</v>
      </c>
      <c r="O3791" t="s">
        <v>140</v>
      </c>
      <c r="P3791">
        <v>48420</v>
      </c>
      <c r="Q3791">
        <v>7713</v>
      </c>
      <c r="R3791" t="s">
        <v>23</v>
      </c>
      <c r="S3791" s="1" t="s">
        <v>34218</v>
      </c>
    </row>
    <row r="3792" spans="1:19" x14ac:dyDescent="0.25">
      <c r="A3792">
        <v>100548187</v>
      </c>
      <c r="B3792" t="s">
        <v>3676</v>
      </c>
      <c r="C3792" t="s">
        <v>7949</v>
      </c>
      <c r="G3792" t="s">
        <v>9887</v>
      </c>
      <c r="H3792" t="s">
        <v>8488</v>
      </c>
      <c r="I3792" t="s">
        <v>236</v>
      </c>
      <c r="J3792">
        <v>1301</v>
      </c>
      <c r="K3792">
        <v>1613</v>
      </c>
      <c r="L3792" t="s">
        <v>23</v>
      </c>
      <c r="M3792" t="s">
        <v>9887</v>
      </c>
      <c r="N3792" t="s">
        <v>8488</v>
      </c>
      <c r="O3792" t="s">
        <v>236</v>
      </c>
      <c r="P3792">
        <v>1301</v>
      </c>
      <c r="Q3792">
        <v>1613</v>
      </c>
      <c r="R3792" t="s">
        <v>23</v>
      </c>
      <c r="S3792" s="1" t="s">
        <v>34218</v>
      </c>
    </row>
    <row r="3793" spans="1:19" x14ac:dyDescent="0.25">
      <c r="A3793">
        <v>100549350</v>
      </c>
      <c r="B3793" t="s">
        <v>1970</v>
      </c>
      <c r="C3793" t="s">
        <v>403</v>
      </c>
      <c r="G3793" t="s">
        <v>9888</v>
      </c>
      <c r="H3793" t="s">
        <v>1254</v>
      </c>
      <c r="I3793" t="s">
        <v>52</v>
      </c>
      <c r="J3793">
        <v>33461</v>
      </c>
      <c r="K3793">
        <v>6020</v>
      </c>
      <c r="L3793" t="s">
        <v>23</v>
      </c>
      <c r="M3793" t="s">
        <v>9888</v>
      </c>
      <c r="N3793" t="s">
        <v>1254</v>
      </c>
      <c r="O3793" t="s">
        <v>52</v>
      </c>
      <c r="P3793">
        <v>33461</v>
      </c>
      <c r="Q3793">
        <v>6020</v>
      </c>
      <c r="R3793" t="s">
        <v>23</v>
      </c>
      <c r="S3793" s="1" t="s">
        <v>34218</v>
      </c>
    </row>
    <row r="3794" spans="1:19" x14ac:dyDescent="0.25">
      <c r="A3794">
        <v>100547627</v>
      </c>
      <c r="B3794" t="s">
        <v>9889</v>
      </c>
      <c r="C3794" t="s">
        <v>644</v>
      </c>
      <c r="G3794" t="s">
        <v>9890</v>
      </c>
      <c r="H3794" t="s">
        <v>9891</v>
      </c>
      <c r="I3794" t="s">
        <v>255</v>
      </c>
      <c r="J3794">
        <v>22101</v>
      </c>
      <c r="K3794">
        <v>6004</v>
      </c>
      <c r="L3794" t="s">
        <v>23</v>
      </c>
      <c r="M3794" t="s">
        <v>9890</v>
      </c>
      <c r="N3794" t="s">
        <v>9891</v>
      </c>
      <c r="O3794" t="s">
        <v>255</v>
      </c>
      <c r="P3794">
        <v>22101</v>
      </c>
      <c r="Q3794">
        <v>6004</v>
      </c>
      <c r="R3794" t="s">
        <v>23</v>
      </c>
      <c r="S3794" s="1" t="s">
        <v>34218</v>
      </c>
    </row>
    <row r="3795" spans="1:19" x14ac:dyDescent="0.25">
      <c r="A3795">
        <v>100550191</v>
      </c>
      <c r="B3795" t="s">
        <v>9892</v>
      </c>
      <c r="C3795" t="s">
        <v>2687</v>
      </c>
      <c r="G3795" t="s">
        <v>9893</v>
      </c>
      <c r="H3795" t="s">
        <v>2552</v>
      </c>
      <c r="I3795" t="s">
        <v>52</v>
      </c>
      <c r="J3795">
        <v>34711</v>
      </c>
      <c r="K3795">
        <v>7194</v>
      </c>
      <c r="L3795" t="s">
        <v>23</v>
      </c>
      <c r="M3795" t="s">
        <v>9893</v>
      </c>
      <c r="N3795" t="s">
        <v>2552</v>
      </c>
      <c r="O3795" t="s">
        <v>52</v>
      </c>
      <c r="P3795">
        <v>34711</v>
      </c>
      <c r="Q3795">
        <v>7194</v>
      </c>
      <c r="R3795" t="s">
        <v>23</v>
      </c>
      <c r="S3795" s="1" t="s">
        <v>34218</v>
      </c>
    </row>
    <row r="3796" spans="1:19" x14ac:dyDescent="0.25">
      <c r="A3796">
        <v>100734778</v>
      </c>
      <c r="B3796" t="s">
        <v>9894</v>
      </c>
      <c r="C3796" t="s">
        <v>613</v>
      </c>
      <c r="G3796" t="s">
        <v>9895</v>
      </c>
      <c r="H3796" t="s">
        <v>1597</v>
      </c>
      <c r="I3796" t="s">
        <v>71</v>
      </c>
      <c r="J3796">
        <v>80033</v>
      </c>
      <c r="K3796">
        <v>2735</v>
      </c>
      <c r="L3796" t="s">
        <v>23</v>
      </c>
      <c r="M3796" t="s">
        <v>9895</v>
      </c>
      <c r="N3796" t="s">
        <v>1597</v>
      </c>
      <c r="O3796" t="s">
        <v>71</v>
      </c>
      <c r="P3796">
        <v>80033</v>
      </c>
      <c r="Q3796">
        <v>2735</v>
      </c>
      <c r="R3796" t="s">
        <v>23</v>
      </c>
      <c r="S3796" s="1" t="s">
        <v>34218</v>
      </c>
    </row>
    <row r="3797" spans="1:19" x14ac:dyDescent="0.25">
      <c r="A3797">
        <v>100740149</v>
      </c>
      <c r="B3797" t="s">
        <v>9896</v>
      </c>
      <c r="C3797" t="s">
        <v>286</v>
      </c>
      <c r="F3797" t="str">
        <f>"3606501015"</f>
        <v>3606501015</v>
      </c>
      <c r="G3797" t="s">
        <v>9897</v>
      </c>
      <c r="H3797" t="s">
        <v>591</v>
      </c>
      <c r="I3797" t="s">
        <v>84</v>
      </c>
      <c r="J3797">
        <v>98229</v>
      </c>
      <c r="K3797">
        <v>5335</v>
      </c>
      <c r="L3797" t="s">
        <v>23</v>
      </c>
      <c r="M3797" t="s">
        <v>9897</v>
      </c>
      <c r="N3797" t="s">
        <v>591</v>
      </c>
      <c r="O3797" t="s">
        <v>84</v>
      </c>
      <c r="P3797">
        <v>98229</v>
      </c>
      <c r="Q3797">
        <v>5335</v>
      </c>
      <c r="R3797" t="s">
        <v>23</v>
      </c>
      <c r="S3797" s="1" t="s">
        <v>34218</v>
      </c>
    </row>
    <row r="3798" spans="1:19" x14ac:dyDescent="0.25">
      <c r="A3798">
        <v>100742448</v>
      </c>
      <c r="B3798" t="s">
        <v>37</v>
      </c>
      <c r="C3798" t="s">
        <v>1153</v>
      </c>
      <c r="G3798" t="s">
        <v>9898</v>
      </c>
      <c r="H3798" t="s">
        <v>2540</v>
      </c>
      <c r="I3798" t="s">
        <v>161</v>
      </c>
      <c r="J3798">
        <v>6853</v>
      </c>
      <c r="K3798">
        <v>2001</v>
      </c>
      <c r="L3798" t="s">
        <v>23</v>
      </c>
      <c r="M3798" t="s">
        <v>9898</v>
      </c>
      <c r="N3798" t="s">
        <v>2540</v>
      </c>
      <c r="O3798" t="s">
        <v>161</v>
      </c>
      <c r="P3798">
        <v>6853</v>
      </c>
      <c r="Q3798">
        <v>2001</v>
      </c>
      <c r="R3798" t="s">
        <v>23</v>
      </c>
      <c r="S3798" s="1" t="s">
        <v>34218</v>
      </c>
    </row>
    <row r="3799" spans="1:19" x14ac:dyDescent="0.25">
      <c r="A3799">
        <v>100749153</v>
      </c>
      <c r="B3799" t="s">
        <v>9899</v>
      </c>
      <c r="C3799" t="s">
        <v>1588</v>
      </c>
      <c r="G3799" t="s">
        <v>9900</v>
      </c>
      <c r="H3799" t="s">
        <v>9901</v>
      </c>
      <c r="I3799" t="s">
        <v>57</v>
      </c>
      <c r="J3799">
        <v>46112</v>
      </c>
      <c r="K3799">
        <v>9655</v>
      </c>
      <c r="L3799" t="s">
        <v>23</v>
      </c>
      <c r="M3799" t="s">
        <v>9900</v>
      </c>
      <c r="N3799" t="s">
        <v>9901</v>
      </c>
      <c r="O3799" t="s">
        <v>57</v>
      </c>
      <c r="P3799">
        <v>46112</v>
      </c>
      <c r="Q3799">
        <v>9655</v>
      </c>
      <c r="R3799" t="s">
        <v>23</v>
      </c>
      <c r="S3799" s="1" t="s">
        <v>34218</v>
      </c>
    </row>
    <row r="3800" spans="1:19" x14ac:dyDescent="0.25">
      <c r="A3800">
        <v>101480844</v>
      </c>
      <c r="B3800" t="s">
        <v>9902</v>
      </c>
      <c r="C3800" t="s">
        <v>9903</v>
      </c>
      <c r="G3800" t="s">
        <v>9904</v>
      </c>
      <c r="H3800" t="s">
        <v>9905</v>
      </c>
      <c r="I3800" t="s">
        <v>22</v>
      </c>
      <c r="J3800">
        <v>96034</v>
      </c>
      <c r="K3800">
        <v>42</v>
      </c>
      <c r="L3800" t="s">
        <v>23</v>
      </c>
      <c r="M3800" t="s">
        <v>9904</v>
      </c>
      <c r="N3800" t="s">
        <v>9905</v>
      </c>
      <c r="O3800" t="s">
        <v>22</v>
      </c>
      <c r="P3800">
        <v>96034</v>
      </c>
      <c r="Q3800">
        <v>42</v>
      </c>
      <c r="R3800" t="s">
        <v>23</v>
      </c>
      <c r="S3800" s="1" t="s">
        <v>34218</v>
      </c>
    </row>
    <row r="3801" spans="1:19" x14ac:dyDescent="0.25">
      <c r="A3801">
        <v>101425112</v>
      </c>
      <c r="B3801" t="s">
        <v>9906</v>
      </c>
      <c r="C3801" t="s">
        <v>274</v>
      </c>
      <c r="G3801" t="s">
        <v>9907</v>
      </c>
      <c r="H3801" t="s">
        <v>2125</v>
      </c>
      <c r="I3801" t="s">
        <v>100</v>
      </c>
      <c r="J3801">
        <v>53562</v>
      </c>
      <c r="K3801">
        <v>2830</v>
      </c>
      <c r="L3801" t="s">
        <v>23</v>
      </c>
      <c r="M3801" t="s">
        <v>9907</v>
      </c>
      <c r="N3801" t="s">
        <v>2125</v>
      </c>
      <c r="O3801" t="s">
        <v>100</v>
      </c>
      <c r="P3801">
        <v>53562</v>
      </c>
      <c r="Q3801">
        <v>2830</v>
      </c>
      <c r="R3801" t="s">
        <v>23</v>
      </c>
      <c r="S3801" s="1" t="s">
        <v>34218</v>
      </c>
    </row>
    <row r="3802" spans="1:19" x14ac:dyDescent="0.25">
      <c r="A3802">
        <v>101467552</v>
      </c>
      <c r="B3802" t="s">
        <v>9908</v>
      </c>
      <c r="C3802" t="s">
        <v>4502</v>
      </c>
      <c r="G3802" t="s">
        <v>9909</v>
      </c>
      <c r="H3802" t="s">
        <v>227</v>
      </c>
      <c r="I3802" t="s">
        <v>43</v>
      </c>
      <c r="J3802">
        <v>97202</v>
      </c>
      <c r="K3802">
        <v>1740</v>
      </c>
      <c r="L3802" t="s">
        <v>23</v>
      </c>
      <c r="M3802" t="s">
        <v>9909</v>
      </c>
      <c r="N3802" t="s">
        <v>227</v>
      </c>
      <c r="O3802" t="s">
        <v>43</v>
      </c>
      <c r="P3802">
        <v>97202</v>
      </c>
      <c r="Q3802">
        <v>1740</v>
      </c>
      <c r="R3802" t="s">
        <v>23</v>
      </c>
      <c r="S3802" s="1" t="s">
        <v>34218</v>
      </c>
    </row>
    <row r="3803" spans="1:19" x14ac:dyDescent="0.25">
      <c r="A3803">
        <v>101223549</v>
      </c>
      <c r="B3803" t="s">
        <v>763</v>
      </c>
      <c r="C3803" t="s">
        <v>2411</v>
      </c>
      <c r="G3803" t="s">
        <v>9910</v>
      </c>
      <c r="H3803" t="s">
        <v>9911</v>
      </c>
      <c r="I3803" t="s">
        <v>100</v>
      </c>
      <c r="J3803">
        <v>54452</v>
      </c>
      <c r="L3803" t="s">
        <v>23</v>
      </c>
      <c r="M3803" t="s">
        <v>9910</v>
      </c>
      <c r="N3803" t="s">
        <v>9911</v>
      </c>
      <c r="O3803" t="s">
        <v>100</v>
      </c>
      <c r="P3803">
        <v>54452</v>
      </c>
      <c r="R3803" t="s">
        <v>23</v>
      </c>
      <c r="S3803" s="1" t="s">
        <v>34218</v>
      </c>
    </row>
    <row r="3804" spans="1:19" x14ac:dyDescent="0.25">
      <c r="A3804">
        <v>101476016</v>
      </c>
      <c r="B3804" t="s">
        <v>9912</v>
      </c>
      <c r="C3804" t="s">
        <v>5599</v>
      </c>
      <c r="G3804" t="s">
        <v>9913</v>
      </c>
      <c r="H3804" t="s">
        <v>2035</v>
      </c>
      <c r="I3804" t="s">
        <v>117</v>
      </c>
      <c r="J3804">
        <v>12901</v>
      </c>
      <c r="K3804">
        <v>1508</v>
      </c>
      <c r="L3804" t="s">
        <v>23</v>
      </c>
      <c r="M3804" t="s">
        <v>9913</v>
      </c>
      <c r="N3804" t="s">
        <v>2035</v>
      </c>
      <c r="O3804" t="s">
        <v>117</v>
      </c>
      <c r="P3804">
        <v>12901</v>
      </c>
      <c r="Q3804">
        <v>1508</v>
      </c>
      <c r="R3804" t="s">
        <v>23</v>
      </c>
      <c r="S3804" s="1" t="s">
        <v>34218</v>
      </c>
    </row>
    <row r="3805" spans="1:19" x14ac:dyDescent="0.25">
      <c r="A3805">
        <v>100630974</v>
      </c>
      <c r="B3805" t="s">
        <v>9914</v>
      </c>
      <c r="C3805" t="s">
        <v>25</v>
      </c>
      <c r="G3805" t="s">
        <v>9915</v>
      </c>
      <c r="H3805" t="s">
        <v>9916</v>
      </c>
      <c r="I3805" t="s">
        <v>57</v>
      </c>
      <c r="J3805">
        <v>46725</v>
      </c>
      <c r="K3805">
        <v>8648</v>
      </c>
      <c r="L3805" t="s">
        <v>23</v>
      </c>
      <c r="M3805" t="s">
        <v>9915</v>
      </c>
      <c r="N3805" t="s">
        <v>9916</v>
      </c>
      <c r="O3805" t="s">
        <v>57</v>
      </c>
      <c r="P3805">
        <v>46725</v>
      </c>
      <c r="Q3805">
        <v>8648</v>
      </c>
      <c r="R3805" t="s">
        <v>23</v>
      </c>
      <c r="S3805" s="1" t="s">
        <v>34218</v>
      </c>
    </row>
    <row r="3806" spans="1:19" x14ac:dyDescent="0.25">
      <c r="A3806">
        <v>100815683</v>
      </c>
      <c r="B3806" t="s">
        <v>9917</v>
      </c>
      <c r="C3806" t="s">
        <v>1542</v>
      </c>
      <c r="G3806" t="s">
        <v>9918</v>
      </c>
      <c r="H3806" t="s">
        <v>299</v>
      </c>
      <c r="I3806" t="s">
        <v>22</v>
      </c>
      <c r="J3806">
        <v>90057</v>
      </c>
      <c r="K3806">
        <v>1826</v>
      </c>
      <c r="L3806" t="s">
        <v>23</v>
      </c>
      <c r="M3806" t="s">
        <v>9918</v>
      </c>
      <c r="N3806" t="s">
        <v>299</v>
      </c>
      <c r="O3806" t="s">
        <v>22</v>
      </c>
      <c r="P3806">
        <v>90057</v>
      </c>
      <c r="Q3806">
        <v>1826</v>
      </c>
      <c r="R3806" t="s">
        <v>23</v>
      </c>
      <c r="S3806" s="1" t="s">
        <v>34218</v>
      </c>
    </row>
    <row r="3807" spans="1:19" x14ac:dyDescent="0.25">
      <c r="A3807">
        <v>100813879</v>
      </c>
      <c r="B3807" t="s">
        <v>1581</v>
      </c>
      <c r="C3807" t="s">
        <v>1470</v>
      </c>
      <c r="G3807" t="s">
        <v>9919</v>
      </c>
      <c r="H3807" t="s">
        <v>3211</v>
      </c>
      <c r="I3807" t="s">
        <v>914</v>
      </c>
      <c r="J3807">
        <v>37813</v>
      </c>
      <c r="K3807">
        <v>1656</v>
      </c>
      <c r="L3807" t="s">
        <v>23</v>
      </c>
      <c r="M3807" t="s">
        <v>9919</v>
      </c>
      <c r="N3807" t="s">
        <v>3211</v>
      </c>
      <c r="O3807" t="s">
        <v>914</v>
      </c>
      <c r="P3807">
        <v>37813</v>
      </c>
      <c r="Q3807">
        <v>1656</v>
      </c>
      <c r="R3807" t="s">
        <v>23</v>
      </c>
      <c r="S3807" s="1" t="s">
        <v>34218</v>
      </c>
    </row>
    <row r="3808" spans="1:19" x14ac:dyDescent="0.25">
      <c r="A3808">
        <v>100810385</v>
      </c>
      <c r="B3808" t="s">
        <v>9920</v>
      </c>
      <c r="C3808" t="s">
        <v>9921</v>
      </c>
      <c r="G3808" t="s">
        <v>9922</v>
      </c>
      <c r="H3808" t="s">
        <v>130</v>
      </c>
      <c r="I3808" t="s">
        <v>22</v>
      </c>
      <c r="J3808">
        <v>94121</v>
      </c>
      <c r="K3808">
        <v>2507</v>
      </c>
      <c r="L3808" t="s">
        <v>23</v>
      </c>
      <c r="M3808" t="s">
        <v>9922</v>
      </c>
      <c r="N3808" t="s">
        <v>130</v>
      </c>
      <c r="O3808" t="s">
        <v>22</v>
      </c>
      <c r="P3808">
        <v>94121</v>
      </c>
      <c r="Q3808">
        <v>2507</v>
      </c>
      <c r="R3808" t="s">
        <v>23</v>
      </c>
      <c r="S3808" s="1" t="s">
        <v>34218</v>
      </c>
    </row>
    <row r="3809" spans="1:19" x14ac:dyDescent="0.25">
      <c r="A3809">
        <v>100815352</v>
      </c>
      <c r="B3809" t="s">
        <v>9923</v>
      </c>
      <c r="C3809" t="s">
        <v>699</v>
      </c>
      <c r="F3809" t="str">
        <f>"3037460971"</f>
        <v>3037460971</v>
      </c>
      <c r="G3809" t="s">
        <v>9924</v>
      </c>
      <c r="H3809" t="s">
        <v>4199</v>
      </c>
      <c r="I3809" t="s">
        <v>71</v>
      </c>
      <c r="J3809">
        <v>80026</v>
      </c>
      <c r="K3809">
        <v>9322</v>
      </c>
      <c r="L3809" t="s">
        <v>23</v>
      </c>
      <c r="M3809" t="s">
        <v>9924</v>
      </c>
      <c r="N3809" t="s">
        <v>4199</v>
      </c>
      <c r="O3809" t="s">
        <v>71</v>
      </c>
      <c r="P3809">
        <v>80026</v>
      </c>
      <c r="Q3809">
        <v>9322</v>
      </c>
      <c r="R3809" t="s">
        <v>23</v>
      </c>
      <c r="S3809" s="1" t="s">
        <v>34218</v>
      </c>
    </row>
    <row r="3810" spans="1:19" x14ac:dyDescent="0.25">
      <c r="A3810">
        <v>100819830</v>
      </c>
      <c r="B3810" t="s">
        <v>9925</v>
      </c>
      <c r="C3810" t="s">
        <v>102</v>
      </c>
      <c r="G3810" t="s">
        <v>9926</v>
      </c>
      <c r="H3810" t="s">
        <v>1439</v>
      </c>
      <c r="I3810" t="s">
        <v>365</v>
      </c>
      <c r="J3810">
        <v>85704</v>
      </c>
      <c r="K3810">
        <v>1269</v>
      </c>
      <c r="L3810" t="s">
        <v>23</v>
      </c>
      <c r="M3810" t="s">
        <v>9926</v>
      </c>
      <c r="N3810" t="s">
        <v>1439</v>
      </c>
      <c r="O3810" t="s">
        <v>365</v>
      </c>
      <c r="P3810">
        <v>85704</v>
      </c>
      <c r="Q3810">
        <v>1269</v>
      </c>
      <c r="R3810" t="s">
        <v>23</v>
      </c>
      <c r="S3810" s="1" t="s">
        <v>34218</v>
      </c>
    </row>
    <row r="3811" spans="1:19" x14ac:dyDescent="0.25">
      <c r="A3811">
        <v>100823678</v>
      </c>
      <c r="B3811" t="s">
        <v>9927</v>
      </c>
      <c r="C3811" t="s">
        <v>1374</v>
      </c>
      <c r="G3811" t="s">
        <v>9928</v>
      </c>
      <c r="H3811" t="s">
        <v>1863</v>
      </c>
      <c r="I3811" t="s">
        <v>126</v>
      </c>
      <c r="J3811">
        <v>64114</v>
      </c>
      <c r="K3811">
        <v>1656</v>
      </c>
      <c r="L3811" t="s">
        <v>23</v>
      </c>
      <c r="M3811" t="s">
        <v>9928</v>
      </c>
      <c r="N3811" t="s">
        <v>1863</v>
      </c>
      <c r="O3811" t="s">
        <v>126</v>
      </c>
      <c r="P3811">
        <v>64114</v>
      </c>
      <c r="Q3811">
        <v>1656</v>
      </c>
      <c r="R3811" t="s">
        <v>23</v>
      </c>
      <c r="S3811" s="1" t="s">
        <v>34218</v>
      </c>
    </row>
    <row r="3812" spans="1:19" x14ac:dyDescent="0.25">
      <c r="A3812">
        <v>100821016</v>
      </c>
      <c r="B3812" t="s">
        <v>1171</v>
      </c>
      <c r="C3812" t="s">
        <v>1616</v>
      </c>
      <c r="G3812" t="s">
        <v>9929</v>
      </c>
      <c r="H3812" t="s">
        <v>1671</v>
      </c>
      <c r="I3812" t="s">
        <v>446</v>
      </c>
      <c r="J3812">
        <v>28701</v>
      </c>
      <c r="K3812">
        <v>9704</v>
      </c>
      <c r="L3812" t="s">
        <v>23</v>
      </c>
      <c r="M3812" t="s">
        <v>9929</v>
      </c>
      <c r="N3812" t="s">
        <v>1671</v>
      </c>
      <c r="O3812" t="s">
        <v>446</v>
      </c>
      <c r="P3812">
        <v>28701</v>
      </c>
      <c r="Q3812">
        <v>9704</v>
      </c>
      <c r="R3812" t="s">
        <v>23</v>
      </c>
      <c r="S3812" s="1" t="s">
        <v>34218</v>
      </c>
    </row>
    <row r="3813" spans="1:19" x14ac:dyDescent="0.25">
      <c r="A3813">
        <v>100816136</v>
      </c>
      <c r="B3813" t="s">
        <v>9930</v>
      </c>
      <c r="C3813" t="s">
        <v>4245</v>
      </c>
      <c r="G3813" t="s">
        <v>9931</v>
      </c>
      <c r="H3813" t="s">
        <v>2077</v>
      </c>
      <c r="I3813" t="s">
        <v>187</v>
      </c>
      <c r="J3813">
        <v>55057</v>
      </c>
      <c r="K3813">
        <v>1548</v>
      </c>
      <c r="L3813" t="s">
        <v>23</v>
      </c>
      <c r="M3813" t="s">
        <v>9931</v>
      </c>
      <c r="N3813" t="s">
        <v>2077</v>
      </c>
      <c r="O3813" t="s">
        <v>187</v>
      </c>
      <c r="P3813">
        <v>55057</v>
      </c>
      <c r="Q3813">
        <v>1548</v>
      </c>
      <c r="R3813" t="s">
        <v>23</v>
      </c>
      <c r="S3813" s="1" t="s">
        <v>34218</v>
      </c>
    </row>
    <row r="3814" spans="1:19" x14ac:dyDescent="0.25">
      <c r="A3814">
        <v>100822259</v>
      </c>
      <c r="B3814" t="s">
        <v>9932</v>
      </c>
      <c r="C3814" t="s">
        <v>2453</v>
      </c>
      <c r="F3814" t="str">
        <f>"6109272783"</f>
        <v>6109272783</v>
      </c>
      <c r="G3814" t="s">
        <v>9933</v>
      </c>
      <c r="H3814" t="s">
        <v>8968</v>
      </c>
      <c r="I3814" t="s">
        <v>33</v>
      </c>
      <c r="J3814">
        <v>19608</v>
      </c>
      <c r="K3814">
        <v>1361</v>
      </c>
      <c r="L3814" t="s">
        <v>23</v>
      </c>
      <c r="M3814" t="s">
        <v>9933</v>
      </c>
      <c r="N3814" t="s">
        <v>8968</v>
      </c>
      <c r="O3814" t="s">
        <v>33</v>
      </c>
      <c r="P3814">
        <v>19608</v>
      </c>
      <c r="Q3814">
        <v>1361</v>
      </c>
      <c r="R3814" t="s">
        <v>23</v>
      </c>
      <c r="S3814" s="1" t="s">
        <v>34218</v>
      </c>
    </row>
    <row r="3815" spans="1:19" x14ac:dyDescent="0.25">
      <c r="A3815">
        <v>100523452</v>
      </c>
      <c r="B3815" t="s">
        <v>9934</v>
      </c>
      <c r="C3815" t="s">
        <v>45</v>
      </c>
      <c r="G3815" t="s">
        <v>9935</v>
      </c>
      <c r="H3815" t="s">
        <v>913</v>
      </c>
      <c r="I3815" t="s">
        <v>914</v>
      </c>
      <c r="J3815">
        <v>37210</v>
      </c>
      <c r="K3815">
        <v>4214</v>
      </c>
      <c r="L3815" t="s">
        <v>23</v>
      </c>
      <c r="M3815" t="s">
        <v>9935</v>
      </c>
      <c r="N3815" t="s">
        <v>913</v>
      </c>
      <c r="O3815" t="s">
        <v>914</v>
      </c>
      <c r="P3815">
        <v>37210</v>
      </c>
      <c r="Q3815">
        <v>4214</v>
      </c>
      <c r="R3815" t="s">
        <v>23</v>
      </c>
      <c r="S3815" s="1" t="s">
        <v>34218</v>
      </c>
    </row>
    <row r="3816" spans="1:19" x14ac:dyDescent="0.25">
      <c r="A3816">
        <v>100522474</v>
      </c>
      <c r="B3816" t="s">
        <v>9936</v>
      </c>
      <c r="C3816" t="s">
        <v>575</v>
      </c>
      <c r="G3816" t="s">
        <v>9937</v>
      </c>
      <c r="H3816" t="s">
        <v>682</v>
      </c>
      <c r="I3816" t="s">
        <v>365</v>
      </c>
      <c r="J3816">
        <v>85085</v>
      </c>
      <c r="K3816">
        <v>3773</v>
      </c>
      <c r="L3816" t="s">
        <v>23</v>
      </c>
      <c r="M3816" t="s">
        <v>9937</v>
      </c>
      <c r="N3816" t="s">
        <v>682</v>
      </c>
      <c r="O3816" t="s">
        <v>365</v>
      </c>
      <c r="P3816">
        <v>85085</v>
      </c>
      <c r="Q3816">
        <v>3773</v>
      </c>
      <c r="R3816" t="s">
        <v>23</v>
      </c>
      <c r="S3816" s="1" t="s">
        <v>34218</v>
      </c>
    </row>
    <row r="3817" spans="1:19" x14ac:dyDescent="0.25">
      <c r="A3817">
        <v>100520571</v>
      </c>
      <c r="B3817" t="s">
        <v>9938</v>
      </c>
      <c r="C3817" t="s">
        <v>4188</v>
      </c>
      <c r="F3817" t="str">
        <f>"7346756391"</f>
        <v>7346756391</v>
      </c>
      <c r="G3817" t="s">
        <v>9939</v>
      </c>
      <c r="H3817" t="s">
        <v>1667</v>
      </c>
      <c r="I3817" t="s">
        <v>140</v>
      </c>
      <c r="J3817">
        <v>48183</v>
      </c>
      <c r="K3817">
        <v>2830</v>
      </c>
      <c r="L3817" t="s">
        <v>23</v>
      </c>
      <c r="M3817" t="s">
        <v>9939</v>
      </c>
      <c r="N3817" t="s">
        <v>1667</v>
      </c>
      <c r="O3817" t="s">
        <v>140</v>
      </c>
      <c r="P3817">
        <v>48183</v>
      </c>
      <c r="Q3817">
        <v>2830</v>
      </c>
      <c r="R3817" t="s">
        <v>23</v>
      </c>
      <c r="S3817" s="1" t="s">
        <v>34218</v>
      </c>
    </row>
    <row r="3818" spans="1:19" x14ac:dyDescent="0.25">
      <c r="A3818">
        <v>100707933</v>
      </c>
      <c r="B3818" t="s">
        <v>9682</v>
      </c>
      <c r="C3818" t="s">
        <v>2802</v>
      </c>
      <c r="G3818" t="s">
        <v>9940</v>
      </c>
      <c r="H3818" t="s">
        <v>1096</v>
      </c>
      <c r="I3818" t="s">
        <v>71</v>
      </c>
      <c r="J3818">
        <v>80027</v>
      </c>
      <c r="K3818">
        <v>1141</v>
      </c>
      <c r="L3818" t="s">
        <v>23</v>
      </c>
      <c r="M3818" t="s">
        <v>9940</v>
      </c>
      <c r="N3818" t="s">
        <v>1096</v>
      </c>
      <c r="O3818" t="s">
        <v>71</v>
      </c>
      <c r="P3818">
        <v>80027</v>
      </c>
      <c r="Q3818">
        <v>1141</v>
      </c>
      <c r="R3818" t="s">
        <v>23</v>
      </c>
      <c r="S3818" s="1" t="s">
        <v>34218</v>
      </c>
    </row>
    <row r="3819" spans="1:19" x14ac:dyDescent="0.25">
      <c r="A3819">
        <v>100715659</v>
      </c>
      <c r="B3819" t="s">
        <v>9941</v>
      </c>
      <c r="C3819" t="s">
        <v>1306</v>
      </c>
      <c r="G3819" t="s">
        <v>9942</v>
      </c>
      <c r="H3819" t="s">
        <v>4069</v>
      </c>
      <c r="I3819" t="s">
        <v>71</v>
      </c>
      <c r="J3819">
        <v>80120</v>
      </c>
      <c r="K3819">
        <v>1328</v>
      </c>
      <c r="L3819" t="s">
        <v>23</v>
      </c>
      <c r="M3819" t="s">
        <v>9942</v>
      </c>
      <c r="N3819" t="s">
        <v>4069</v>
      </c>
      <c r="O3819" t="s">
        <v>71</v>
      </c>
      <c r="P3819">
        <v>80120</v>
      </c>
      <c r="Q3819">
        <v>1328</v>
      </c>
      <c r="R3819" t="s">
        <v>23</v>
      </c>
      <c r="S3819" s="1" t="s">
        <v>34218</v>
      </c>
    </row>
    <row r="3820" spans="1:19" x14ac:dyDescent="0.25">
      <c r="A3820">
        <v>100715171</v>
      </c>
      <c r="B3820" t="s">
        <v>9943</v>
      </c>
      <c r="C3820" t="s">
        <v>19</v>
      </c>
      <c r="F3820" t="str">
        <f>"6192533045"</f>
        <v>6192533045</v>
      </c>
      <c r="G3820" t="s">
        <v>9944</v>
      </c>
      <c r="H3820" t="s">
        <v>198</v>
      </c>
      <c r="I3820" t="s">
        <v>22</v>
      </c>
      <c r="J3820">
        <v>92128</v>
      </c>
      <c r="K3820">
        <v>2356</v>
      </c>
      <c r="L3820" t="s">
        <v>23</v>
      </c>
      <c r="M3820" t="s">
        <v>9944</v>
      </c>
      <c r="N3820" t="s">
        <v>198</v>
      </c>
      <c r="O3820" t="s">
        <v>22</v>
      </c>
      <c r="P3820">
        <v>92128</v>
      </c>
      <c r="Q3820">
        <v>2356</v>
      </c>
      <c r="R3820" t="s">
        <v>23</v>
      </c>
      <c r="S3820" s="1" t="s">
        <v>34218</v>
      </c>
    </row>
    <row r="3821" spans="1:19" x14ac:dyDescent="0.25">
      <c r="A3821">
        <v>100719153</v>
      </c>
      <c r="B3821" t="s">
        <v>9945</v>
      </c>
      <c r="C3821" t="s">
        <v>1602</v>
      </c>
      <c r="G3821" t="s">
        <v>9946</v>
      </c>
      <c r="H3821" t="s">
        <v>9947</v>
      </c>
      <c r="I3821" t="s">
        <v>117</v>
      </c>
      <c r="J3821">
        <v>14219</v>
      </c>
      <c r="K3821">
        <v>2841</v>
      </c>
      <c r="L3821" t="s">
        <v>23</v>
      </c>
      <c r="M3821" t="s">
        <v>9946</v>
      </c>
      <c r="N3821" t="s">
        <v>9947</v>
      </c>
      <c r="O3821" t="s">
        <v>117</v>
      </c>
      <c r="P3821">
        <v>14219</v>
      </c>
      <c r="Q3821">
        <v>2841</v>
      </c>
      <c r="R3821" t="s">
        <v>23</v>
      </c>
      <c r="S3821" s="1" t="s">
        <v>34218</v>
      </c>
    </row>
    <row r="3822" spans="1:19" x14ac:dyDescent="0.25">
      <c r="A3822">
        <v>100721800</v>
      </c>
      <c r="B3822" t="s">
        <v>9948</v>
      </c>
      <c r="C3822" t="s">
        <v>1818</v>
      </c>
      <c r="G3822" t="s">
        <v>9949</v>
      </c>
      <c r="H3822" t="s">
        <v>4932</v>
      </c>
      <c r="I3822" t="s">
        <v>327</v>
      </c>
      <c r="J3822">
        <v>25302</v>
      </c>
      <c r="K3822">
        <v>2703</v>
      </c>
      <c r="L3822" t="s">
        <v>23</v>
      </c>
      <c r="M3822" t="s">
        <v>9949</v>
      </c>
      <c r="N3822" t="s">
        <v>4932</v>
      </c>
      <c r="O3822" t="s">
        <v>327</v>
      </c>
      <c r="P3822">
        <v>25302</v>
      </c>
      <c r="Q3822">
        <v>2703</v>
      </c>
      <c r="R3822" t="s">
        <v>23</v>
      </c>
      <c r="S3822" s="1" t="s">
        <v>34218</v>
      </c>
    </row>
    <row r="3823" spans="1:19" x14ac:dyDescent="0.25">
      <c r="A3823">
        <v>100722803</v>
      </c>
      <c r="B3823" t="s">
        <v>9950</v>
      </c>
      <c r="C3823" t="s">
        <v>6055</v>
      </c>
      <c r="G3823" t="s">
        <v>9951</v>
      </c>
      <c r="H3823" t="s">
        <v>3698</v>
      </c>
      <c r="I3823" t="s">
        <v>43</v>
      </c>
      <c r="J3823">
        <v>97420</v>
      </c>
      <c r="K3823">
        <v>150</v>
      </c>
      <c r="L3823" t="s">
        <v>23</v>
      </c>
      <c r="M3823" t="s">
        <v>9951</v>
      </c>
      <c r="N3823" t="s">
        <v>3698</v>
      </c>
      <c r="O3823" t="s">
        <v>43</v>
      </c>
      <c r="P3823">
        <v>97420</v>
      </c>
      <c r="Q3823">
        <v>150</v>
      </c>
      <c r="R3823" t="s">
        <v>23</v>
      </c>
      <c r="S3823" s="1" t="s">
        <v>34218</v>
      </c>
    </row>
    <row r="3824" spans="1:19" x14ac:dyDescent="0.25">
      <c r="A3824">
        <v>100725510</v>
      </c>
      <c r="B3824" t="s">
        <v>9952</v>
      </c>
      <c r="C3824" t="s">
        <v>1588</v>
      </c>
      <c r="G3824" t="s">
        <v>9953</v>
      </c>
      <c r="H3824" t="s">
        <v>9954</v>
      </c>
      <c r="I3824" t="s">
        <v>984</v>
      </c>
      <c r="J3824">
        <v>96782</v>
      </c>
      <c r="K3824">
        <v>2079</v>
      </c>
      <c r="L3824" t="s">
        <v>23</v>
      </c>
      <c r="M3824" t="s">
        <v>9953</v>
      </c>
      <c r="N3824" t="s">
        <v>9954</v>
      </c>
      <c r="O3824" t="s">
        <v>984</v>
      </c>
      <c r="P3824">
        <v>96782</v>
      </c>
      <c r="Q3824">
        <v>2079</v>
      </c>
      <c r="R3824" t="s">
        <v>23</v>
      </c>
      <c r="S3824" s="1" t="s">
        <v>34218</v>
      </c>
    </row>
    <row r="3825" spans="1:19" x14ac:dyDescent="0.25">
      <c r="A3825">
        <v>100726530</v>
      </c>
      <c r="B3825" t="s">
        <v>9955</v>
      </c>
      <c r="C3825" t="s">
        <v>102</v>
      </c>
      <c r="G3825" t="s">
        <v>9956</v>
      </c>
      <c r="H3825" t="s">
        <v>6104</v>
      </c>
      <c r="I3825" t="s">
        <v>236</v>
      </c>
      <c r="J3825">
        <v>2461</v>
      </c>
      <c r="K3825">
        <v>1200</v>
      </c>
      <c r="L3825" t="s">
        <v>23</v>
      </c>
      <c r="M3825" t="s">
        <v>9956</v>
      </c>
      <c r="N3825" t="s">
        <v>6104</v>
      </c>
      <c r="O3825" t="s">
        <v>236</v>
      </c>
      <c r="P3825">
        <v>2461</v>
      </c>
      <c r="Q3825">
        <v>1200</v>
      </c>
      <c r="R3825" t="s">
        <v>23</v>
      </c>
      <c r="S3825" s="1" t="s">
        <v>34218</v>
      </c>
    </row>
    <row r="3826" spans="1:19" x14ac:dyDescent="0.25">
      <c r="A3826">
        <v>100568963</v>
      </c>
      <c r="B3826" t="s">
        <v>9957</v>
      </c>
      <c r="C3826" t="s">
        <v>9958</v>
      </c>
      <c r="F3826" t="str">
        <f>"3102742963"</f>
        <v>3102742963</v>
      </c>
      <c r="G3826" t="s">
        <v>9959</v>
      </c>
      <c r="H3826" t="s">
        <v>8665</v>
      </c>
      <c r="I3826" t="s">
        <v>22</v>
      </c>
      <c r="J3826">
        <v>90069</v>
      </c>
      <c r="K3826">
        <v>5525</v>
      </c>
      <c r="L3826" t="s">
        <v>23</v>
      </c>
      <c r="M3826" t="s">
        <v>9959</v>
      </c>
      <c r="N3826" t="s">
        <v>8665</v>
      </c>
      <c r="O3826" t="s">
        <v>22</v>
      </c>
      <c r="P3826">
        <v>90069</v>
      </c>
      <c r="Q3826">
        <v>5525</v>
      </c>
      <c r="R3826" t="s">
        <v>23</v>
      </c>
      <c r="S3826" s="1" t="s">
        <v>34218</v>
      </c>
    </row>
    <row r="3827" spans="1:19" x14ac:dyDescent="0.25">
      <c r="A3827">
        <v>101263096</v>
      </c>
      <c r="B3827" t="s">
        <v>9960</v>
      </c>
      <c r="C3827" t="s">
        <v>9961</v>
      </c>
      <c r="F3827" t="str">
        <f>"4065943963"</f>
        <v>4065943963</v>
      </c>
      <c r="G3827" t="s">
        <v>9962</v>
      </c>
      <c r="H3827" t="s">
        <v>9963</v>
      </c>
      <c r="I3827" t="s">
        <v>1000</v>
      </c>
      <c r="J3827">
        <v>59602</v>
      </c>
      <c r="K3827">
        <v>8770</v>
      </c>
      <c r="L3827" t="s">
        <v>23</v>
      </c>
      <c r="M3827" t="s">
        <v>9962</v>
      </c>
      <c r="N3827" t="s">
        <v>9963</v>
      </c>
      <c r="O3827" t="s">
        <v>1000</v>
      </c>
      <c r="P3827">
        <v>59602</v>
      </c>
      <c r="Q3827">
        <v>8770</v>
      </c>
      <c r="R3827" t="s">
        <v>23</v>
      </c>
      <c r="S3827" s="1" t="s">
        <v>34218</v>
      </c>
    </row>
    <row r="3828" spans="1:19" x14ac:dyDescent="0.25">
      <c r="A3828">
        <v>101257432</v>
      </c>
      <c r="B3828" t="s">
        <v>9964</v>
      </c>
      <c r="C3828" t="s">
        <v>2127</v>
      </c>
      <c r="F3828" t="str">
        <f>"5032384301"</f>
        <v>5032384301</v>
      </c>
      <c r="G3828" t="s">
        <v>9965</v>
      </c>
      <c r="H3828" t="s">
        <v>227</v>
      </c>
      <c r="I3828" t="s">
        <v>43</v>
      </c>
      <c r="J3828">
        <v>97206</v>
      </c>
      <c r="K3828">
        <v>5442</v>
      </c>
      <c r="L3828" t="s">
        <v>23</v>
      </c>
      <c r="M3828" t="s">
        <v>9965</v>
      </c>
      <c r="N3828" t="s">
        <v>227</v>
      </c>
      <c r="O3828" t="s">
        <v>43</v>
      </c>
      <c r="P3828">
        <v>97206</v>
      </c>
      <c r="Q3828">
        <v>5442</v>
      </c>
      <c r="R3828" t="s">
        <v>23</v>
      </c>
      <c r="S3828" s="1" t="s">
        <v>34218</v>
      </c>
    </row>
    <row r="3829" spans="1:19" x14ac:dyDescent="0.25">
      <c r="A3829">
        <v>101267837</v>
      </c>
      <c r="B3829" t="s">
        <v>86</v>
      </c>
      <c r="C3829" t="s">
        <v>9966</v>
      </c>
      <c r="F3829" t="str">
        <f>"7344982653"</f>
        <v>7344982653</v>
      </c>
      <c r="G3829" t="s">
        <v>9967</v>
      </c>
      <c r="H3829" t="s">
        <v>9968</v>
      </c>
      <c r="I3829" t="s">
        <v>140</v>
      </c>
      <c r="J3829">
        <v>49285</v>
      </c>
      <c r="K3829">
        <v>9205</v>
      </c>
      <c r="L3829" t="s">
        <v>23</v>
      </c>
      <c r="M3829" t="s">
        <v>9967</v>
      </c>
      <c r="N3829" t="s">
        <v>9968</v>
      </c>
      <c r="O3829" t="s">
        <v>140</v>
      </c>
      <c r="P3829">
        <v>49285</v>
      </c>
      <c r="Q3829">
        <v>9205</v>
      </c>
      <c r="R3829" t="s">
        <v>23</v>
      </c>
      <c r="S3829" s="1" t="s">
        <v>34218</v>
      </c>
    </row>
    <row r="3830" spans="1:19" x14ac:dyDescent="0.25">
      <c r="A3830">
        <v>100949142</v>
      </c>
      <c r="B3830" t="s">
        <v>9969</v>
      </c>
      <c r="C3830" t="s">
        <v>842</v>
      </c>
      <c r="F3830" t="str">
        <f>"8168332790"</f>
        <v>8168332790</v>
      </c>
      <c r="G3830" t="s">
        <v>9970</v>
      </c>
      <c r="H3830" t="s">
        <v>2378</v>
      </c>
      <c r="I3830" t="s">
        <v>126</v>
      </c>
      <c r="J3830">
        <v>64053</v>
      </c>
      <c r="K3830">
        <v>1751</v>
      </c>
      <c r="L3830" t="s">
        <v>23</v>
      </c>
      <c r="M3830" t="s">
        <v>9970</v>
      </c>
      <c r="N3830" t="s">
        <v>2378</v>
      </c>
      <c r="O3830" t="s">
        <v>126</v>
      </c>
      <c r="P3830">
        <v>64053</v>
      </c>
      <c r="Q3830">
        <v>1751</v>
      </c>
      <c r="R3830" t="s">
        <v>23</v>
      </c>
      <c r="S3830" s="1" t="s">
        <v>34218</v>
      </c>
    </row>
    <row r="3831" spans="1:19" x14ac:dyDescent="0.25">
      <c r="A3831">
        <v>101102793</v>
      </c>
      <c r="B3831" t="s">
        <v>3138</v>
      </c>
      <c r="C3831" t="s">
        <v>30</v>
      </c>
      <c r="F3831" t="str">
        <f>"4135626424"</f>
        <v>4135626424</v>
      </c>
      <c r="G3831" t="s">
        <v>9971</v>
      </c>
      <c r="H3831" t="s">
        <v>1951</v>
      </c>
      <c r="I3831" t="s">
        <v>236</v>
      </c>
      <c r="J3831">
        <v>1085</v>
      </c>
      <c r="K3831">
        <v>4591</v>
      </c>
      <c r="L3831" t="s">
        <v>23</v>
      </c>
      <c r="M3831" t="s">
        <v>9971</v>
      </c>
      <c r="N3831" t="s">
        <v>1951</v>
      </c>
      <c r="O3831" t="s">
        <v>236</v>
      </c>
      <c r="P3831">
        <v>1085</v>
      </c>
      <c r="Q3831">
        <v>4591</v>
      </c>
      <c r="R3831" t="s">
        <v>23</v>
      </c>
      <c r="S3831" s="1" t="s">
        <v>34218</v>
      </c>
    </row>
    <row r="3832" spans="1:19" x14ac:dyDescent="0.25">
      <c r="A3832">
        <v>101379392</v>
      </c>
      <c r="B3832" t="s">
        <v>9972</v>
      </c>
      <c r="C3832" t="s">
        <v>2802</v>
      </c>
      <c r="F3832" t="str">
        <f>"8604741815"</f>
        <v>8604741815</v>
      </c>
      <c r="G3832" t="s">
        <v>9973</v>
      </c>
      <c r="H3832" t="s">
        <v>3346</v>
      </c>
      <c r="I3832" t="s">
        <v>161</v>
      </c>
      <c r="J3832">
        <v>6066</v>
      </c>
      <c r="K3832">
        <v>3518</v>
      </c>
      <c r="L3832" t="s">
        <v>23</v>
      </c>
      <c r="M3832" t="s">
        <v>9973</v>
      </c>
      <c r="N3832" t="s">
        <v>3346</v>
      </c>
      <c r="O3832" t="s">
        <v>161</v>
      </c>
      <c r="P3832">
        <v>6066</v>
      </c>
      <c r="Q3832">
        <v>3518</v>
      </c>
      <c r="R3832" t="s">
        <v>23</v>
      </c>
      <c r="S3832" s="1" t="s">
        <v>34218</v>
      </c>
    </row>
    <row r="3833" spans="1:19" x14ac:dyDescent="0.25">
      <c r="A3833">
        <v>100984242</v>
      </c>
      <c r="B3833" t="s">
        <v>9974</v>
      </c>
      <c r="C3833" t="s">
        <v>9975</v>
      </c>
      <c r="F3833" t="str">
        <f>"7816465882"</f>
        <v>7816465882</v>
      </c>
      <c r="G3833" t="s">
        <v>9976</v>
      </c>
      <c r="H3833" t="s">
        <v>1748</v>
      </c>
      <c r="I3833" t="s">
        <v>236</v>
      </c>
      <c r="J3833">
        <v>2476</v>
      </c>
      <c r="K3833">
        <v>8005</v>
      </c>
      <c r="L3833" t="s">
        <v>23</v>
      </c>
      <c r="M3833" t="s">
        <v>9976</v>
      </c>
      <c r="N3833" t="s">
        <v>1748</v>
      </c>
      <c r="O3833" t="s">
        <v>236</v>
      </c>
      <c r="P3833">
        <v>2476</v>
      </c>
      <c r="Q3833">
        <v>8005</v>
      </c>
      <c r="R3833" t="s">
        <v>23</v>
      </c>
      <c r="S3833" s="1" t="s">
        <v>34218</v>
      </c>
    </row>
    <row r="3834" spans="1:19" x14ac:dyDescent="0.25">
      <c r="A3834">
        <v>100987545</v>
      </c>
      <c r="B3834" t="s">
        <v>9977</v>
      </c>
      <c r="C3834" t="s">
        <v>7195</v>
      </c>
      <c r="F3834" t="str">
        <f>"2197697492"</f>
        <v>2197697492</v>
      </c>
      <c r="G3834" t="s">
        <v>9978</v>
      </c>
      <c r="H3834" t="s">
        <v>9979</v>
      </c>
      <c r="I3834" t="s">
        <v>57</v>
      </c>
      <c r="J3834">
        <v>46410</v>
      </c>
      <c r="K3834">
        <v>5117</v>
      </c>
      <c r="L3834" t="s">
        <v>23</v>
      </c>
      <c r="M3834" t="s">
        <v>9978</v>
      </c>
      <c r="N3834" t="s">
        <v>9979</v>
      </c>
      <c r="O3834" t="s">
        <v>57</v>
      </c>
      <c r="P3834">
        <v>46410</v>
      </c>
      <c r="Q3834">
        <v>5117</v>
      </c>
      <c r="R3834" t="s">
        <v>23</v>
      </c>
      <c r="S3834" s="1" t="s">
        <v>34218</v>
      </c>
    </row>
    <row r="3835" spans="1:19" x14ac:dyDescent="0.25">
      <c r="A3835">
        <v>100988248</v>
      </c>
      <c r="B3835" t="s">
        <v>9980</v>
      </c>
      <c r="C3835" t="s">
        <v>137</v>
      </c>
      <c r="F3835" t="str">
        <f>"2103176390"</f>
        <v>2103176390</v>
      </c>
      <c r="G3835" t="s">
        <v>9981</v>
      </c>
      <c r="H3835" t="s">
        <v>1229</v>
      </c>
      <c r="I3835" t="s">
        <v>38</v>
      </c>
      <c r="J3835">
        <v>78245</v>
      </c>
      <c r="K3835">
        <v>3015</v>
      </c>
      <c r="L3835" t="s">
        <v>23</v>
      </c>
      <c r="M3835" t="s">
        <v>9981</v>
      </c>
      <c r="N3835" t="s">
        <v>1229</v>
      </c>
      <c r="O3835" t="s">
        <v>38</v>
      </c>
      <c r="P3835">
        <v>78245</v>
      </c>
      <c r="Q3835">
        <v>3015</v>
      </c>
      <c r="R3835" t="s">
        <v>23</v>
      </c>
      <c r="S3835" s="1" t="s">
        <v>34218</v>
      </c>
    </row>
    <row r="3836" spans="1:19" x14ac:dyDescent="0.25">
      <c r="A3836">
        <v>101174951</v>
      </c>
      <c r="B3836" t="s">
        <v>1355</v>
      </c>
      <c r="C3836" t="s">
        <v>907</v>
      </c>
      <c r="F3836" t="str">
        <f>"6192850740"</f>
        <v>6192850740</v>
      </c>
      <c r="G3836" t="s">
        <v>9982</v>
      </c>
      <c r="H3836" t="s">
        <v>198</v>
      </c>
      <c r="I3836" t="s">
        <v>22</v>
      </c>
      <c r="J3836">
        <v>92104</v>
      </c>
      <c r="K3836">
        <v>5725</v>
      </c>
      <c r="L3836" t="s">
        <v>23</v>
      </c>
      <c r="M3836" t="s">
        <v>9982</v>
      </c>
      <c r="N3836" t="s">
        <v>198</v>
      </c>
      <c r="O3836" t="s">
        <v>22</v>
      </c>
      <c r="P3836">
        <v>92104</v>
      </c>
      <c r="Q3836">
        <v>5725</v>
      </c>
      <c r="R3836" t="s">
        <v>23</v>
      </c>
      <c r="S3836" s="1" t="s">
        <v>34218</v>
      </c>
    </row>
    <row r="3837" spans="1:19" x14ac:dyDescent="0.25">
      <c r="A3837">
        <v>100961019</v>
      </c>
      <c r="B3837" t="s">
        <v>9983</v>
      </c>
      <c r="C3837" t="s">
        <v>132</v>
      </c>
      <c r="F3837" t="str">
        <f>"6468724747"</f>
        <v>6468724747</v>
      </c>
      <c r="G3837" t="s">
        <v>9984</v>
      </c>
      <c r="H3837" t="s">
        <v>653</v>
      </c>
      <c r="I3837" t="s">
        <v>117</v>
      </c>
      <c r="J3837">
        <v>10023</v>
      </c>
      <c r="K3837">
        <v>6635</v>
      </c>
      <c r="L3837" t="s">
        <v>23</v>
      </c>
      <c r="M3837" t="s">
        <v>9984</v>
      </c>
      <c r="N3837" t="s">
        <v>653</v>
      </c>
      <c r="O3837" t="s">
        <v>117</v>
      </c>
      <c r="P3837">
        <v>10023</v>
      </c>
      <c r="Q3837">
        <v>6635</v>
      </c>
      <c r="R3837" t="s">
        <v>23</v>
      </c>
      <c r="S3837" s="1" t="s">
        <v>34218</v>
      </c>
    </row>
    <row r="3838" spans="1:19" x14ac:dyDescent="0.25">
      <c r="A3838">
        <v>101163945</v>
      </c>
      <c r="B3838" t="s">
        <v>9985</v>
      </c>
      <c r="C3838" t="s">
        <v>4133</v>
      </c>
      <c r="F3838" t="str">
        <f>"2063038103"</f>
        <v>2063038103</v>
      </c>
      <c r="G3838" t="s">
        <v>9986</v>
      </c>
      <c r="H3838" t="s">
        <v>3169</v>
      </c>
      <c r="I3838" t="s">
        <v>84</v>
      </c>
      <c r="J3838">
        <v>98405</v>
      </c>
      <c r="K3838">
        <v>1152</v>
      </c>
      <c r="L3838" t="s">
        <v>23</v>
      </c>
      <c r="M3838" t="s">
        <v>9986</v>
      </c>
      <c r="N3838" t="s">
        <v>3169</v>
      </c>
      <c r="O3838" t="s">
        <v>84</v>
      </c>
      <c r="P3838">
        <v>98405</v>
      </c>
      <c r="Q3838">
        <v>1152</v>
      </c>
      <c r="R3838" t="s">
        <v>23</v>
      </c>
      <c r="S3838" s="1" t="s">
        <v>34218</v>
      </c>
    </row>
    <row r="3839" spans="1:19" x14ac:dyDescent="0.25">
      <c r="A3839">
        <v>101045254</v>
      </c>
      <c r="B3839" t="s">
        <v>6481</v>
      </c>
      <c r="C3839" t="s">
        <v>9987</v>
      </c>
      <c r="F3839" t="str">
        <f>"2068425133"</f>
        <v>2068425133</v>
      </c>
      <c r="G3839" t="s">
        <v>9988</v>
      </c>
      <c r="H3839" t="s">
        <v>7505</v>
      </c>
      <c r="I3839" t="s">
        <v>84</v>
      </c>
      <c r="J3839" t="s">
        <v>9989</v>
      </c>
      <c r="K3839">
        <v>4900</v>
      </c>
      <c r="L3839" t="s">
        <v>23</v>
      </c>
      <c r="M3839" t="s">
        <v>9988</v>
      </c>
      <c r="N3839" t="s">
        <v>7505</v>
      </c>
      <c r="O3839" t="s">
        <v>84</v>
      </c>
      <c r="P3839" t="s">
        <v>9989</v>
      </c>
      <c r="Q3839">
        <v>4900</v>
      </c>
      <c r="R3839" t="s">
        <v>23</v>
      </c>
      <c r="S3839" s="1" t="s">
        <v>34218</v>
      </c>
    </row>
    <row r="3840" spans="1:19" x14ac:dyDescent="0.25">
      <c r="A3840">
        <v>101411636</v>
      </c>
      <c r="B3840" t="s">
        <v>9990</v>
      </c>
      <c r="C3840" t="s">
        <v>9991</v>
      </c>
      <c r="F3840" t="str">
        <f>"7048295620"</f>
        <v>7048295620</v>
      </c>
      <c r="G3840" t="s">
        <v>9992</v>
      </c>
      <c r="H3840" t="s">
        <v>5037</v>
      </c>
      <c r="I3840" t="s">
        <v>446</v>
      </c>
      <c r="J3840">
        <v>28012</v>
      </c>
      <c r="K3840">
        <v>2898</v>
      </c>
      <c r="L3840" t="s">
        <v>23</v>
      </c>
      <c r="M3840" t="s">
        <v>9992</v>
      </c>
      <c r="N3840" t="s">
        <v>5037</v>
      </c>
      <c r="O3840" t="s">
        <v>446</v>
      </c>
      <c r="P3840">
        <v>28012</v>
      </c>
      <c r="Q3840">
        <v>2898</v>
      </c>
      <c r="R3840" t="s">
        <v>23</v>
      </c>
      <c r="S3840" s="1" t="s">
        <v>34218</v>
      </c>
    </row>
    <row r="3841" spans="1:19" x14ac:dyDescent="0.25">
      <c r="A3841">
        <v>101334996</v>
      </c>
      <c r="B3841" t="s">
        <v>9993</v>
      </c>
      <c r="C3841" t="s">
        <v>9994</v>
      </c>
      <c r="F3841" t="str">
        <f>"3016339588"</f>
        <v>3016339588</v>
      </c>
      <c r="G3841" t="s">
        <v>9995</v>
      </c>
      <c r="H3841" t="s">
        <v>560</v>
      </c>
      <c r="I3841" t="s">
        <v>148</v>
      </c>
      <c r="J3841">
        <v>20850</v>
      </c>
      <c r="K3841">
        <v>1942</v>
      </c>
      <c r="L3841" t="s">
        <v>23</v>
      </c>
      <c r="M3841" t="s">
        <v>9995</v>
      </c>
      <c r="N3841" t="s">
        <v>560</v>
      </c>
      <c r="O3841" t="s">
        <v>148</v>
      </c>
      <c r="P3841">
        <v>20850</v>
      </c>
      <c r="Q3841">
        <v>1942</v>
      </c>
      <c r="R3841" t="s">
        <v>23</v>
      </c>
      <c r="S3841" s="1" t="s">
        <v>34218</v>
      </c>
    </row>
    <row r="3842" spans="1:19" x14ac:dyDescent="0.25">
      <c r="A3842">
        <v>101291951</v>
      </c>
      <c r="B3842" t="s">
        <v>9996</v>
      </c>
      <c r="C3842" t="s">
        <v>114</v>
      </c>
      <c r="F3842" t="str">
        <f>"7067892973"</f>
        <v>7067892973</v>
      </c>
      <c r="G3842" t="s">
        <v>9997</v>
      </c>
      <c r="H3842" t="s">
        <v>9998</v>
      </c>
      <c r="I3842" t="s">
        <v>28</v>
      </c>
      <c r="J3842">
        <v>30633</v>
      </c>
      <c r="K3842">
        <v>3524</v>
      </c>
      <c r="L3842" t="s">
        <v>23</v>
      </c>
      <c r="M3842" t="s">
        <v>9997</v>
      </c>
      <c r="N3842" t="s">
        <v>9998</v>
      </c>
      <c r="O3842" t="s">
        <v>28</v>
      </c>
      <c r="P3842">
        <v>30633</v>
      </c>
      <c r="Q3842">
        <v>3524</v>
      </c>
      <c r="R3842" t="s">
        <v>23</v>
      </c>
      <c r="S3842" s="1" t="s">
        <v>34218</v>
      </c>
    </row>
    <row r="3843" spans="1:19" x14ac:dyDescent="0.25">
      <c r="A3843">
        <v>100623562</v>
      </c>
      <c r="B3843" t="s">
        <v>9999</v>
      </c>
      <c r="C3843" t="s">
        <v>180</v>
      </c>
      <c r="F3843" t="str">
        <f>"5417880910"</f>
        <v>5417880910</v>
      </c>
      <c r="G3843" t="s">
        <v>10000</v>
      </c>
      <c r="H3843" t="s">
        <v>10001</v>
      </c>
      <c r="I3843" t="s">
        <v>43</v>
      </c>
      <c r="J3843">
        <v>97754</v>
      </c>
      <c r="K3843">
        <v>7698</v>
      </c>
      <c r="L3843" t="s">
        <v>23</v>
      </c>
      <c r="M3843" t="s">
        <v>10000</v>
      </c>
      <c r="N3843" t="s">
        <v>10001</v>
      </c>
      <c r="O3843" t="s">
        <v>43</v>
      </c>
      <c r="P3843">
        <v>97754</v>
      </c>
      <c r="Q3843">
        <v>7698</v>
      </c>
      <c r="R3843" t="s">
        <v>23</v>
      </c>
      <c r="S3843" s="1" t="s">
        <v>34218</v>
      </c>
    </row>
    <row r="3844" spans="1:19" x14ac:dyDescent="0.25">
      <c r="A3844">
        <v>100994592</v>
      </c>
      <c r="B3844" t="s">
        <v>10002</v>
      </c>
      <c r="C3844" t="s">
        <v>3951</v>
      </c>
      <c r="F3844" t="str">
        <f>"6302575917"</f>
        <v>6302575917</v>
      </c>
      <c r="G3844" t="s">
        <v>10003</v>
      </c>
      <c r="H3844" t="s">
        <v>10004</v>
      </c>
      <c r="I3844" t="s">
        <v>135</v>
      </c>
      <c r="J3844">
        <v>60439</v>
      </c>
      <c r="K3844">
        <v>6419</v>
      </c>
      <c r="L3844" t="s">
        <v>23</v>
      </c>
      <c r="M3844" t="s">
        <v>10003</v>
      </c>
      <c r="N3844" t="s">
        <v>10004</v>
      </c>
      <c r="O3844" t="s">
        <v>135</v>
      </c>
      <c r="P3844">
        <v>60439</v>
      </c>
      <c r="Q3844">
        <v>6419</v>
      </c>
      <c r="R3844" t="s">
        <v>23</v>
      </c>
      <c r="S3844" s="1" t="s">
        <v>34218</v>
      </c>
    </row>
    <row r="3845" spans="1:19" x14ac:dyDescent="0.25">
      <c r="A3845">
        <v>100993989</v>
      </c>
      <c r="B3845" t="s">
        <v>3457</v>
      </c>
      <c r="C3845" t="s">
        <v>30</v>
      </c>
      <c r="F3845" t="str">
        <f>"7185392884"</f>
        <v>7185392884</v>
      </c>
      <c r="G3845" t="s">
        <v>10005</v>
      </c>
      <c r="H3845" t="s">
        <v>7628</v>
      </c>
      <c r="I3845" t="s">
        <v>117</v>
      </c>
      <c r="J3845">
        <v>11357</v>
      </c>
      <c r="K3845">
        <v>3601</v>
      </c>
      <c r="L3845" t="s">
        <v>23</v>
      </c>
      <c r="M3845" t="s">
        <v>10005</v>
      </c>
      <c r="N3845" t="s">
        <v>7628</v>
      </c>
      <c r="O3845" t="s">
        <v>117</v>
      </c>
      <c r="P3845">
        <v>11357</v>
      </c>
      <c r="Q3845">
        <v>3601</v>
      </c>
      <c r="R3845" t="s">
        <v>23</v>
      </c>
      <c r="S3845" s="1" t="s">
        <v>34218</v>
      </c>
    </row>
    <row r="3846" spans="1:19" x14ac:dyDescent="0.25">
      <c r="A3846">
        <v>100549668</v>
      </c>
      <c r="B3846" t="s">
        <v>10006</v>
      </c>
      <c r="C3846" t="s">
        <v>2642</v>
      </c>
      <c r="F3846" t="str">
        <f>"7078699533"</f>
        <v>7078699533</v>
      </c>
      <c r="G3846" t="s">
        <v>10007</v>
      </c>
      <c r="H3846" t="s">
        <v>10008</v>
      </c>
      <c r="I3846" t="s">
        <v>22</v>
      </c>
      <c r="J3846">
        <v>95446</v>
      </c>
      <c r="L3846" t="s">
        <v>23</v>
      </c>
      <c r="M3846" t="s">
        <v>10007</v>
      </c>
      <c r="N3846" t="s">
        <v>10008</v>
      </c>
      <c r="O3846" t="s">
        <v>22</v>
      </c>
      <c r="P3846">
        <v>95446</v>
      </c>
      <c r="R3846" t="s">
        <v>23</v>
      </c>
      <c r="S3846" s="1" t="s">
        <v>34218</v>
      </c>
    </row>
    <row r="3847" spans="1:19" x14ac:dyDescent="0.25">
      <c r="A3847">
        <v>101289356</v>
      </c>
      <c r="B3847" t="s">
        <v>2087</v>
      </c>
      <c r="C3847" t="s">
        <v>155</v>
      </c>
      <c r="F3847" t="str">
        <f>"7738781766"</f>
        <v>7738781766</v>
      </c>
      <c r="G3847" t="s">
        <v>10009</v>
      </c>
      <c r="H3847" t="s">
        <v>134</v>
      </c>
      <c r="I3847" t="s">
        <v>135</v>
      </c>
      <c r="J3847">
        <v>60640</v>
      </c>
      <c r="K3847">
        <v>3226</v>
      </c>
      <c r="L3847" t="s">
        <v>23</v>
      </c>
      <c r="M3847" t="s">
        <v>10009</v>
      </c>
      <c r="N3847" t="s">
        <v>134</v>
      </c>
      <c r="O3847" t="s">
        <v>135</v>
      </c>
      <c r="P3847">
        <v>60640</v>
      </c>
      <c r="Q3847">
        <v>3226</v>
      </c>
      <c r="R3847" t="s">
        <v>23</v>
      </c>
      <c r="S3847" s="1" t="s">
        <v>34218</v>
      </c>
    </row>
    <row r="3848" spans="1:19" x14ac:dyDescent="0.25">
      <c r="A3848">
        <v>101396903</v>
      </c>
      <c r="B3848" t="s">
        <v>10010</v>
      </c>
      <c r="C3848" t="s">
        <v>8208</v>
      </c>
      <c r="F3848" t="str">
        <f>"3174609399"</f>
        <v>3174609399</v>
      </c>
      <c r="G3848" t="s">
        <v>10011</v>
      </c>
      <c r="H3848" t="s">
        <v>9901</v>
      </c>
      <c r="I3848" t="s">
        <v>57</v>
      </c>
      <c r="J3848">
        <v>46112</v>
      </c>
      <c r="L3848" t="s">
        <v>23</v>
      </c>
      <c r="M3848" t="s">
        <v>10011</v>
      </c>
      <c r="N3848" t="s">
        <v>9901</v>
      </c>
      <c r="O3848" t="s">
        <v>57</v>
      </c>
      <c r="P3848">
        <v>46112</v>
      </c>
      <c r="R3848" t="s">
        <v>23</v>
      </c>
      <c r="S3848" s="1" t="s">
        <v>34218</v>
      </c>
    </row>
    <row r="3849" spans="1:19" x14ac:dyDescent="0.25">
      <c r="A3849">
        <v>101242560</v>
      </c>
      <c r="B3849" t="s">
        <v>10012</v>
      </c>
      <c r="C3849" t="s">
        <v>119</v>
      </c>
      <c r="F3849" t="str">
        <f>"5017712780"</f>
        <v>5017712780</v>
      </c>
      <c r="G3849" t="s">
        <v>10013</v>
      </c>
      <c r="H3849" t="s">
        <v>7078</v>
      </c>
      <c r="I3849" t="s">
        <v>2537</v>
      </c>
      <c r="J3849">
        <v>72118</v>
      </c>
      <c r="K3849">
        <v>3917</v>
      </c>
      <c r="L3849" t="s">
        <v>23</v>
      </c>
      <c r="M3849" t="s">
        <v>10013</v>
      </c>
      <c r="N3849" t="s">
        <v>7078</v>
      </c>
      <c r="O3849" t="s">
        <v>2537</v>
      </c>
      <c r="P3849">
        <v>72118</v>
      </c>
      <c r="Q3849">
        <v>3917</v>
      </c>
      <c r="R3849" t="s">
        <v>23</v>
      </c>
      <c r="S3849" s="1" t="s">
        <v>34218</v>
      </c>
    </row>
    <row r="3850" spans="1:19" x14ac:dyDescent="0.25">
      <c r="A3850">
        <v>100607089</v>
      </c>
      <c r="B3850" t="s">
        <v>7290</v>
      </c>
      <c r="C3850" t="s">
        <v>1533</v>
      </c>
      <c r="F3850" t="str">
        <f>"8066233191"</f>
        <v>8066233191</v>
      </c>
      <c r="G3850" t="s">
        <v>10014</v>
      </c>
      <c r="H3850" t="s">
        <v>10015</v>
      </c>
      <c r="I3850" t="s">
        <v>255</v>
      </c>
      <c r="J3850" t="s">
        <v>10016</v>
      </c>
      <c r="K3850">
        <v>8441</v>
      </c>
      <c r="L3850" t="s">
        <v>23</v>
      </c>
      <c r="M3850" t="s">
        <v>10014</v>
      </c>
      <c r="N3850" t="s">
        <v>10015</v>
      </c>
      <c r="O3850" t="s">
        <v>255</v>
      </c>
      <c r="P3850" t="s">
        <v>10016</v>
      </c>
      <c r="Q3850">
        <v>8441</v>
      </c>
      <c r="R3850" t="s">
        <v>23</v>
      </c>
      <c r="S3850" s="1" t="s">
        <v>34218</v>
      </c>
    </row>
    <row r="3851" spans="1:19" x14ac:dyDescent="0.25">
      <c r="A3851">
        <v>100858032</v>
      </c>
      <c r="B3851" t="s">
        <v>3517</v>
      </c>
      <c r="C3851" t="s">
        <v>1398</v>
      </c>
      <c r="F3851" t="str">
        <f>"5555555555"</f>
        <v>5555555555</v>
      </c>
      <c r="G3851" t="s">
        <v>10017</v>
      </c>
      <c r="H3851" t="s">
        <v>761</v>
      </c>
      <c r="I3851" t="s">
        <v>22</v>
      </c>
      <c r="J3851">
        <v>94519</v>
      </c>
      <c r="K3851">
        <v>1353</v>
      </c>
      <c r="L3851" t="s">
        <v>23</v>
      </c>
      <c r="M3851" t="s">
        <v>10017</v>
      </c>
      <c r="N3851" t="s">
        <v>761</v>
      </c>
      <c r="O3851" t="s">
        <v>22</v>
      </c>
      <c r="P3851">
        <v>94519</v>
      </c>
      <c r="Q3851">
        <v>1353</v>
      </c>
      <c r="R3851" t="s">
        <v>23</v>
      </c>
      <c r="S3851" s="1" t="s">
        <v>34218</v>
      </c>
    </row>
    <row r="3852" spans="1:19" x14ac:dyDescent="0.25">
      <c r="A3852">
        <v>100897988</v>
      </c>
      <c r="B3852" t="s">
        <v>6897</v>
      </c>
      <c r="C3852" t="s">
        <v>10018</v>
      </c>
      <c r="F3852" t="str">
        <f>"4805551212"</f>
        <v>4805551212</v>
      </c>
      <c r="G3852" t="s">
        <v>10019</v>
      </c>
      <c r="H3852" t="s">
        <v>438</v>
      </c>
      <c r="I3852" t="s">
        <v>71</v>
      </c>
      <c r="J3852">
        <v>80503</v>
      </c>
      <c r="L3852" t="s">
        <v>23</v>
      </c>
      <c r="M3852" t="s">
        <v>10019</v>
      </c>
      <c r="N3852" t="s">
        <v>438</v>
      </c>
      <c r="O3852" t="s">
        <v>71</v>
      </c>
      <c r="P3852">
        <v>80503</v>
      </c>
      <c r="R3852" t="s">
        <v>23</v>
      </c>
      <c r="S3852" s="1" t="s">
        <v>34218</v>
      </c>
    </row>
    <row r="3853" spans="1:19" x14ac:dyDescent="0.25">
      <c r="A3853">
        <v>100786922</v>
      </c>
      <c r="B3853" t="s">
        <v>141</v>
      </c>
      <c r="C3853" t="s">
        <v>10020</v>
      </c>
      <c r="F3853" t="str">
        <f>"7723210262"</f>
        <v>7723210262</v>
      </c>
      <c r="G3853" t="s">
        <v>10021</v>
      </c>
      <c r="H3853" t="s">
        <v>5908</v>
      </c>
      <c r="I3853" t="s">
        <v>52</v>
      </c>
      <c r="J3853" t="s">
        <v>10022</v>
      </c>
      <c r="K3853">
        <v>3237</v>
      </c>
      <c r="L3853" t="s">
        <v>23</v>
      </c>
      <c r="M3853" t="s">
        <v>10021</v>
      </c>
      <c r="N3853" t="s">
        <v>5908</v>
      </c>
      <c r="O3853" t="s">
        <v>52</v>
      </c>
      <c r="P3853" t="s">
        <v>10022</v>
      </c>
      <c r="Q3853">
        <v>3237</v>
      </c>
      <c r="R3853" t="s">
        <v>23</v>
      </c>
      <c r="S3853" s="1" t="s">
        <v>34218</v>
      </c>
    </row>
    <row r="3854" spans="1:19" x14ac:dyDescent="0.25">
      <c r="A3854">
        <v>100606218</v>
      </c>
      <c r="B3854" t="s">
        <v>10023</v>
      </c>
      <c r="C3854" t="s">
        <v>571</v>
      </c>
      <c r="F3854" t="str">
        <f>"7757623560"</f>
        <v>7757623560</v>
      </c>
      <c r="G3854" t="s">
        <v>10024</v>
      </c>
      <c r="H3854" t="s">
        <v>1857</v>
      </c>
      <c r="I3854" t="s">
        <v>702</v>
      </c>
      <c r="J3854">
        <v>89509</v>
      </c>
      <c r="K3854">
        <v>1839</v>
      </c>
      <c r="L3854" t="s">
        <v>23</v>
      </c>
      <c r="M3854" t="s">
        <v>10024</v>
      </c>
      <c r="N3854" t="s">
        <v>1857</v>
      </c>
      <c r="O3854" t="s">
        <v>702</v>
      </c>
      <c r="P3854">
        <v>89509</v>
      </c>
      <c r="Q3854">
        <v>1839</v>
      </c>
      <c r="R3854" t="s">
        <v>23</v>
      </c>
      <c r="S3854" s="1" t="s">
        <v>34218</v>
      </c>
    </row>
    <row r="3855" spans="1:19" x14ac:dyDescent="0.25">
      <c r="A3855">
        <v>100679578</v>
      </c>
      <c r="B3855" t="s">
        <v>10025</v>
      </c>
      <c r="C3855" t="s">
        <v>1588</v>
      </c>
      <c r="F3855" t="str">
        <f>"6024514588"</f>
        <v>6024514588</v>
      </c>
      <c r="G3855" t="s">
        <v>10026</v>
      </c>
      <c r="H3855" t="s">
        <v>682</v>
      </c>
      <c r="I3855" t="s">
        <v>365</v>
      </c>
      <c r="J3855" t="s">
        <v>10027</v>
      </c>
      <c r="K3855">
        <v>4607</v>
      </c>
      <c r="L3855" t="s">
        <v>23</v>
      </c>
      <c r="M3855" t="s">
        <v>10026</v>
      </c>
      <c r="N3855" t="s">
        <v>682</v>
      </c>
      <c r="O3855" t="s">
        <v>365</v>
      </c>
      <c r="P3855" t="s">
        <v>10027</v>
      </c>
      <c r="Q3855">
        <v>4607</v>
      </c>
      <c r="R3855" t="s">
        <v>23</v>
      </c>
      <c r="S3855" s="1" t="s">
        <v>34218</v>
      </c>
    </row>
    <row r="3856" spans="1:19" x14ac:dyDescent="0.25">
      <c r="A3856">
        <v>101248042</v>
      </c>
      <c r="B3856" t="s">
        <v>10028</v>
      </c>
      <c r="C3856" t="s">
        <v>10029</v>
      </c>
      <c r="F3856" t="str">
        <f>"7078227790"</f>
        <v>7078227790</v>
      </c>
      <c r="G3856" t="s">
        <v>10030</v>
      </c>
      <c r="H3856" t="s">
        <v>10031</v>
      </c>
      <c r="I3856" t="s">
        <v>22</v>
      </c>
      <c r="J3856" t="s">
        <v>10032</v>
      </c>
      <c r="K3856">
        <v>5207</v>
      </c>
      <c r="L3856" t="s">
        <v>23</v>
      </c>
      <c r="M3856" t="s">
        <v>10030</v>
      </c>
      <c r="N3856" t="s">
        <v>10031</v>
      </c>
      <c r="O3856" t="s">
        <v>22</v>
      </c>
      <c r="P3856" t="s">
        <v>10032</v>
      </c>
      <c r="Q3856">
        <v>5207</v>
      </c>
      <c r="R3856" t="s">
        <v>23</v>
      </c>
      <c r="S3856" s="1" t="s">
        <v>34218</v>
      </c>
    </row>
    <row r="3857" spans="1:19" x14ac:dyDescent="0.25">
      <c r="A3857">
        <v>100544937</v>
      </c>
      <c r="B3857" t="s">
        <v>7769</v>
      </c>
      <c r="C3857" t="s">
        <v>10033</v>
      </c>
      <c r="F3857" t="str">
        <f>"3026550625"</f>
        <v>3026550625</v>
      </c>
      <c r="G3857" t="s">
        <v>10034</v>
      </c>
      <c r="H3857" t="s">
        <v>10035</v>
      </c>
      <c r="I3857" t="s">
        <v>33</v>
      </c>
      <c r="J3857">
        <v>19348</v>
      </c>
      <c r="K3857">
        <v>2322</v>
      </c>
      <c r="L3857" t="s">
        <v>23</v>
      </c>
      <c r="M3857" t="s">
        <v>10034</v>
      </c>
      <c r="N3857" t="s">
        <v>10035</v>
      </c>
      <c r="O3857" t="s">
        <v>33</v>
      </c>
      <c r="P3857">
        <v>19348</v>
      </c>
      <c r="Q3857">
        <v>2322</v>
      </c>
      <c r="R3857" t="s">
        <v>23</v>
      </c>
      <c r="S3857" s="1" t="s">
        <v>34218</v>
      </c>
    </row>
    <row r="3858" spans="1:19" x14ac:dyDescent="0.25">
      <c r="A3858">
        <v>101232605</v>
      </c>
      <c r="B3858" t="s">
        <v>3442</v>
      </c>
      <c r="C3858" t="s">
        <v>1422</v>
      </c>
      <c r="F3858" t="str">
        <f>"9035273649"</f>
        <v>9035273649</v>
      </c>
      <c r="G3858" t="s">
        <v>10036</v>
      </c>
      <c r="H3858" t="s">
        <v>10037</v>
      </c>
      <c r="I3858" t="s">
        <v>38</v>
      </c>
      <c r="J3858">
        <v>75135</v>
      </c>
      <c r="K3858">
        <v>8249</v>
      </c>
      <c r="L3858" t="s">
        <v>23</v>
      </c>
      <c r="M3858" t="s">
        <v>10036</v>
      </c>
      <c r="N3858" t="s">
        <v>10037</v>
      </c>
      <c r="O3858" t="s">
        <v>38</v>
      </c>
      <c r="P3858">
        <v>75135</v>
      </c>
      <c r="Q3858">
        <v>8249</v>
      </c>
      <c r="R3858" t="s">
        <v>23</v>
      </c>
      <c r="S3858" s="1" t="s">
        <v>34218</v>
      </c>
    </row>
    <row r="3859" spans="1:19" x14ac:dyDescent="0.25">
      <c r="A3859">
        <v>101205077</v>
      </c>
      <c r="B3859" t="s">
        <v>10038</v>
      </c>
      <c r="C3859" t="s">
        <v>10039</v>
      </c>
      <c r="F3859" t="str">
        <f>"5033192055"</f>
        <v>5033192055</v>
      </c>
      <c r="G3859" t="s">
        <v>10040</v>
      </c>
      <c r="H3859" t="s">
        <v>227</v>
      </c>
      <c r="I3859" t="s">
        <v>43</v>
      </c>
      <c r="J3859">
        <v>97202</v>
      </c>
      <c r="K3859">
        <v>3456</v>
      </c>
      <c r="L3859" t="s">
        <v>23</v>
      </c>
      <c r="M3859" t="s">
        <v>10040</v>
      </c>
      <c r="N3859" t="s">
        <v>227</v>
      </c>
      <c r="O3859" t="s">
        <v>43</v>
      </c>
      <c r="P3859">
        <v>97202</v>
      </c>
      <c r="Q3859">
        <v>3456</v>
      </c>
      <c r="R3859" t="s">
        <v>23</v>
      </c>
      <c r="S3859" s="1" t="s">
        <v>34218</v>
      </c>
    </row>
    <row r="3860" spans="1:19" x14ac:dyDescent="0.25">
      <c r="A3860">
        <v>101057524</v>
      </c>
      <c r="B3860" t="s">
        <v>10041</v>
      </c>
      <c r="C3860" t="s">
        <v>40</v>
      </c>
      <c r="F3860" t="str">
        <f>"5018688969"</f>
        <v>5018688969</v>
      </c>
      <c r="G3860" t="s">
        <v>10042</v>
      </c>
      <c r="H3860" t="s">
        <v>10043</v>
      </c>
      <c r="I3860" t="s">
        <v>2537</v>
      </c>
      <c r="J3860">
        <v>72223</v>
      </c>
      <c r="K3860">
        <v>4297</v>
      </c>
      <c r="L3860" t="s">
        <v>23</v>
      </c>
      <c r="M3860" t="s">
        <v>10042</v>
      </c>
      <c r="N3860" t="s">
        <v>10043</v>
      </c>
      <c r="O3860" t="s">
        <v>2537</v>
      </c>
      <c r="P3860">
        <v>72223</v>
      </c>
      <c r="Q3860">
        <v>4297</v>
      </c>
      <c r="R3860" t="s">
        <v>23</v>
      </c>
      <c r="S3860" s="1" t="s">
        <v>34218</v>
      </c>
    </row>
    <row r="3861" spans="1:19" x14ac:dyDescent="0.25">
      <c r="A3861">
        <v>101289359</v>
      </c>
      <c r="B3861" t="s">
        <v>2176</v>
      </c>
      <c r="C3861" t="s">
        <v>1623</v>
      </c>
      <c r="F3861" t="str">
        <f>"8057601152"</f>
        <v>8057601152</v>
      </c>
      <c r="G3861" t="s">
        <v>10044</v>
      </c>
      <c r="H3861" t="s">
        <v>3214</v>
      </c>
      <c r="I3861" t="s">
        <v>22</v>
      </c>
      <c r="J3861">
        <v>91360</v>
      </c>
      <c r="K3861">
        <v>1522</v>
      </c>
      <c r="L3861" t="s">
        <v>23</v>
      </c>
      <c r="M3861" t="s">
        <v>10044</v>
      </c>
      <c r="N3861" t="s">
        <v>3214</v>
      </c>
      <c r="O3861" t="s">
        <v>22</v>
      </c>
      <c r="P3861">
        <v>91360</v>
      </c>
      <c r="Q3861">
        <v>1522</v>
      </c>
      <c r="R3861" t="s">
        <v>23</v>
      </c>
      <c r="S3861" s="1" t="s">
        <v>34218</v>
      </c>
    </row>
    <row r="3862" spans="1:19" x14ac:dyDescent="0.25">
      <c r="A3862">
        <v>101296049</v>
      </c>
      <c r="B3862" t="s">
        <v>1164</v>
      </c>
      <c r="C3862" t="s">
        <v>10045</v>
      </c>
      <c r="F3862" t="str">
        <f>"9513679821"</f>
        <v>9513679821</v>
      </c>
      <c r="G3862" t="s">
        <v>10046</v>
      </c>
      <c r="H3862" t="s">
        <v>461</v>
      </c>
      <c r="I3862" t="s">
        <v>22</v>
      </c>
      <c r="J3862">
        <v>92506</v>
      </c>
      <c r="K3862">
        <v>6200</v>
      </c>
      <c r="L3862" t="s">
        <v>23</v>
      </c>
      <c r="M3862" t="s">
        <v>10046</v>
      </c>
      <c r="N3862" t="s">
        <v>461</v>
      </c>
      <c r="O3862" t="s">
        <v>22</v>
      </c>
      <c r="P3862">
        <v>92506</v>
      </c>
      <c r="Q3862">
        <v>6200</v>
      </c>
      <c r="R3862" t="s">
        <v>23</v>
      </c>
      <c r="S3862" s="1" t="s">
        <v>34218</v>
      </c>
    </row>
    <row r="3863" spans="1:19" x14ac:dyDescent="0.25">
      <c r="A3863">
        <v>101290715</v>
      </c>
      <c r="B3863" t="s">
        <v>10047</v>
      </c>
      <c r="C3863" t="s">
        <v>290</v>
      </c>
      <c r="F3863" t="str">
        <f>"5087371719"</f>
        <v>5087371719</v>
      </c>
      <c r="G3863" t="s">
        <v>10048</v>
      </c>
      <c r="H3863" t="s">
        <v>10049</v>
      </c>
      <c r="I3863" t="s">
        <v>236</v>
      </c>
      <c r="J3863">
        <v>2702</v>
      </c>
      <c r="K3863">
        <v>1917</v>
      </c>
      <c r="L3863" t="s">
        <v>23</v>
      </c>
      <c r="M3863" t="s">
        <v>10048</v>
      </c>
      <c r="N3863" t="s">
        <v>10049</v>
      </c>
      <c r="O3863" t="s">
        <v>236</v>
      </c>
      <c r="P3863">
        <v>2702</v>
      </c>
      <c r="Q3863">
        <v>1917</v>
      </c>
      <c r="R3863" t="s">
        <v>23</v>
      </c>
      <c r="S3863" s="1" t="s">
        <v>34218</v>
      </c>
    </row>
    <row r="3864" spans="1:19" x14ac:dyDescent="0.25">
      <c r="A3864">
        <v>101289793</v>
      </c>
      <c r="B3864" t="s">
        <v>3956</v>
      </c>
      <c r="C3864" t="s">
        <v>452</v>
      </c>
      <c r="F3864" t="str">
        <f>"6192236821"</f>
        <v>6192236821</v>
      </c>
      <c r="G3864" t="s">
        <v>10050</v>
      </c>
      <c r="H3864" t="s">
        <v>198</v>
      </c>
      <c r="I3864" t="s">
        <v>22</v>
      </c>
      <c r="J3864">
        <v>92107</v>
      </c>
      <c r="K3864">
        <v>3712</v>
      </c>
      <c r="L3864" t="s">
        <v>23</v>
      </c>
      <c r="M3864" t="s">
        <v>10050</v>
      </c>
      <c r="N3864" t="s">
        <v>198</v>
      </c>
      <c r="O3864" t="s">
        <v>22</v>
      </c>
      <c r="P3864">
        <v>92107</v>
      </c>
      <c r="Q3864">
        <v>3712</v>
      </c>
      <c r="R3864" t="s">
        <v>23</v>
      </c>
      <c r="S3864" s="1" t="s">
        <v>34218</v>
      </c>
    </row>
    <row r="3865" spans="1:19" x14ac:dyDescent="0.25">
      <c r="A3865">
        <v>101180041</v>
      </c>
      <c r="B3865" t="s">
        <v>10051</v>
      </c>
      <c r="C3865" t="s">
        <v>6279</v>
      </c>
      <c r="F3865" t="str">
        <f>"6022185057"</f>
        <v>6022185057</v>
      </c>
      <c r="G3865" t="s">
        <v>10052</v>
      </c>
      <c r="H3865" t="s">
        <v>682</v>
      </c>
      <c r="I3865" t="s">
        <v>365</v>
      </c>
      <c r="J3865">
        <v>85027</v>
      </c>
      <c r="K3865">
        <v>4445</v>
      </c>
      <c r="L3865" t="s">
        <v>23</v>
      </c>
      <c r="M3865" t="s">
        <v>10052</v>
      </c>
      <c r="N3865" t="s">
        <v>682</v>
      </c>
      <c r="O3865" t="s">
        <v>365</v>
      </c>
      <c r="P3865">
        <v>85027</v>
      </c>
      <c r="Q3865">
        <v>4445</v>
      </c>
      <c r="R3865" t="s">
        <v>23</v>
      </c>
      <c r="S3865" s="1" t="s">
        <v>34218</v>
      </c>
    </row>
    <row r="3866" spans="1:19" x14ac:dyDescent="0.25">
      <c r="A3866">
        <v>100804296</v>
      </c>
      <c r="B3866" t="s">
        <v>654</v>
      </c>
      <c r="C3866" t="s">
        <v>1384</v>
      </c>
      <c r="F3866" t="str">
        <f>"3608285255"</f>
        <v>3608285255</v>
      </c>
      <c r="G3866" t="s">
        <v>10053</v>
      </c>
      <c r="H3866" t="s">
        <v>5070</v>
      </c>
      <c r="I3866" t="s">
        <v>84</v>
      </c>
      <c r="J3866">
        <v>98683</v>
      </c>
      <c r="L3866" t="s">
        <v>23</v>
      </c>
      <c r="M3866" t="s">
        <v>10053</v>
      </c>
      <c r="N3866" t="s">
        <v>5070</v>
      </c>
      <c r="O3866" t="s">
        <v>84</v>
      </c>
      <c r="P3866">
        <v>98683</v>
      </c>
      <c r="R3866" t="s">
        <v>23</v>
      </c>
      <c r="S3866" s="1" t="s">
        <v>34218</v>
      </c>
    </row>
    <row r="3867" spans="1:19" x14ac:dyDescent="0.25">
      <c r="A3867">
        <v>101122058</v>
      </c>
      <c r="B3867" t="s">
        <v>10054</v>
      </c>
      <c r="C3867" t="s">
        <v>10055</v>
      </c>
      <c r="F3867" t="str">
        <f>"5555555555"</f>
        <v>5555555555</v>
      </c>
      <c r="G3867" t="s">
        <v>10056</v>
      </c>
      <c r="H3867" t="s">
        <v>4069</v>
      </c>
      <c r="I3867" t="s">
        <v>71</v>
      </c>
      <c r="J3867">
        <v>80123</v>
      </c>
      <c r="K3867">
        <v>3101</v>
      </c>
      <c r="L3867" t="s">
        <v>23</v>
      </c>
      <c r="M3867" t="s">
        <v>10056</v>
      </c>
      <c r="N3867" t="s">
        <v>4069</v>
      </c>
      <c r="O3867" t="s">
        <v>71</v>
      </c>
      <c r="P3867">
        <v>80123</v>
      </c>
      <c r="Q3867">
        <v>3101</v>
      </c>
      <c r="R3867" t="s">
        <v>23</v>
      </c>
      <c r="S3867" s="1" t="s">
        <v>34218</v>
      </c>
    </row>
    <row r="3868" spans="1:19" x14ac:dyDescent="0.25">
      <c r="A3868">
        <v>101369068</v>
      </c>
      <c r="B3868" t="s">
        <v>812</v>
      </c>
      <c r="C3868" t="s">
        <v>1327</v>
      </c>
      <c r="F3868" t="str">
        <f>"2672272361"</f>
        <v>2672272361</v>
      </c>
      <c r="G3868" t="s">
        <v>10057</v>
      </c>
      <c r="H3868" t="s">
        <v>10058</v>
      </c>
      <c r="I3868" t="s">
        <v>33</v>
      </c>
      <c r="J3868">
        <v>18951</v>
      </c>
      <c r="K3868">
        <v>1051</v>
      </c>
      <c r="L3868" t="s">
        <v>23</v>
      </c>
      <c r="M3868" t="s">
        <v>10057</v>
      </c>
      <c r="N3868" t="s">
        <v>10058</v>
      </c>
      <c r="O3868" t="s">
        <v>33</v>
      </c>
      <c r="P3868">
        <v>18951</v>
      </c>
      <c r="Q3868">
        <v>1051</v>
      </c>
      <c r="R3868" t="s">
        <v>23</v>
      </c>
      <c r="S3868" s="1" t="s">
        <v>34218</v>
      </c>
    </row>
    <row r="3869" spans="1:19" x14ac:dyDescent="0.25">
      <c r="A3869">
        <v>100579175</v>
      </c>
      <c r="B3869" t="s">
        <v>8557</v>
      </c>
      <c r="C3869" t="s">
        <v>916</v>
      </c>
      <c r="F3869" t="str">
        <f>"2078321305"</f>
        <v>2078321305</v>
      </c>
      <c r="G3869" t="s">
        <v>10059</v>
      </c>
      <c r="H3869" t="s">
        <v>10060</v>
      </c>
      <c r="I3869" t="s">
        <v>191</v>
      </c>
      <c r="J3869">
        <v>4558</v>
      </c>
      <c r="K3869">
        <v>4001</v>
      </c>
      <c r="L3869" t="s">
        <v>23</v>
      </c>
      <c r="M3869" t="s">
        <v>10059</v>
      </c>
      <c r="N3869" t="s">
        <v>10060</v>
      </c>
      <c r="O3869" t="s">
        <v>191</v>
      </c>
      <c r="P3869">
        <v>4558</v>
      </c>
      <c r="Q3869">
        <v>4001</v>
      </c>
      <c r="R3869" t="s">
        <v>23</v>
      </c>
      <c r="S3869" s="1" t="s">
        <v>34218</v>
      </c>
    </row>
    <row r="3870" spans="1:19" x14ac:dyDescent="0.25">
      <c r="A3870">
        <v>101131694</v>
      </c>
      <c r="B3870" t="s">
        <v>10061</v>
      </c>
      <c r="C3870" t="s">
        <v>810</v>
      </c>
      <c r="F3870" t="str">
        <f>"8026582875"</f>
        <v>8026582875</v>
      </c>
      <c r="G3870" t="s">
        <v>10062</v>
      </c>
      <c r="H3870" t="s">
        <v>2798</v>
      </c>
      <c r="I3870" t="s">
        <v>307</v>
      </c>
      <c r="J3870">
        <v>5408</v>
      </c>
      <c r="K3870">
        <v>1019</v>
      </c>
      <c r="L3870" t="s">
        <v>23</v>
      </c>
      <c r="M3870" t="s">
        <v>10062</v>
      </c>
      <c r="N3870" t="s">
        <v>2798</v>
      </c>
      <c r="O3870" t="s">
        <v>307</v>
      </c>
      <c r="P3870">
        <v>5408</v>
      </c>
      <c r="Q3870">
        <v>1019</v>
      </c>
      <c r="R3870" t="s">
        <v>23</v>
      </c>
      <c r="S3870" s="1" t="s">
        <v>34218</v>
      </c>
    </row>
    <row r="3871" spans="1:19" x14ac:dyDescent="0.25">
      <c r="A3871">
        <v>101394939</v>
      </c>
      <c r="B3871" t="s">
        <v>10063</v>
      </c>
      <c r="C3871" t="s">
        <v>1409</v>
      </c>
      <c r="F3871" t="str">
        <f>"5166947716"</f>
        <v>5166947716</v>
      </c>
      <c r="G3871" t="s">
        <v>10064</v>
      </c>
      <c r="H3871" t="s">
        <v>10065</v>
      </c>
      <c r="I3871" t="s">
        <v>117</v>
      </c>
      <c r="J3871">
        <v>11804</v>
      </c>
      <c r="K3871">
        <v>1615</v>
      </c>
      <c r="L3871" t="s">
        <v>23</v>
      </c>
      <c r="M3871" t="s">
        <v>10064</v>
      </c>
      <c r="N3871" t="s">
        <v>10065</v>
      </c>
      <c r="O3871" t="s">
        <v>117</v>
      </c>
      <c r="P3871">
        <v>11804</v>
      </c>
      <c r="Q3871">
        <v>1615</v>
      </c>
      <c r="R3871" t="s">
        <v>23</v>
      </c>
      <c r="S3871" s="1" t="s">
        <v>34218</v>
      </c>
    </row>
    <row r="3872" spans="1:19" x14ac:dyDescent="0.25">
      <c r="A3872">
        <v>101086371</v>
      </c>
      <c r="B3872" t="s">
        <v>928</v>
      </c>
      <c r="C3872" t="s">
        <v>10066</v>
      </c>
      <c r="F3872" t="str">
        <f>"6319298725"</f>
        <v>6319298725</v>
      </c>
      <c r="G3872" t="s">
        <v>10067</v>
      </c>
      <c r="H3872" t="s">
        <v>10068</v>
      </c>
      <c r="I3872" t="s">
        <v>117</v>
      </c>
      <c r="J3872">
        <v>11792</v>
      </c>
      <c r="K3872">
        <v>1401</v>
      </c>
      <c r="L3872" t="s">
        <v>23</v>
      </c>
      <c r="M3872" t="s">
        <v>10067</v>
      </c>
      <c r="N3872" t="s">
        <v>10068</v>
      </c>
      <c r="O3872" t="s">
        <v>117</v>
      </c>
      <c r="P3872">
        <v>11792</v>
      </c>
      <c r="Q3872">
        <v>1401</v>
      </c>
      <c r="R3872" t="s">
        <v>23</v>
      </c>
      <c r="S3872" s="1" t="s">
        <v>34218</v>
      </c>
    </row>
    <row r="3873" spans="1:19" x14ac:dyDescent="0.25">
      <c r="A3873">
        <v>101310453</v>
      </c>
      <c r="B3873" t="s">
        <v>10069</v>
      </c>
      <c r="C3873" t="s">
        <v>5507</v>
      </c>
      <c r="F3873" t="str">
        <f>"3033222726"</f>
        <v>3033222726</v>
      </c>
      <c r="G3873" t="s">
        <v>10070</v>
      </c>
      <c r="H3873" t="s">
        <v>393</v>
      </c>
      <c r="I3873" t="s">
        <v>71</v>
      </c>
      <c r="J3873">
        <v>80220</v>
      </c>
      <c r="K3873">
        <v>4513</v>
      </c>
      <c r="L3873" t="s">
        <v>23</v>
      </c>
      <c r="M3873" t="s">
        <v>10070</v>
      </c>
      <c r="N3873" t="s">
        <v>393</v>
      </c>
      <c r="O3873" t="s">
        <v>71</v>
      </c>
      <c r="P3873">
        <v>80220</v>
      </c>
      <c r="Q3873">
        <v>4513</v>
      </c>
      <c r="R3873" t="s">
        <v>23</v>
      </c>
      <c r="S3873" s="1" t="s">
        <v>34218</v>
      </c>
    </row>
    <row r="3874" spans="1:19" x14ac:dyDescent="0.25">
      <c r="A3874">
        <v>101310649</v>
      </c>
      <c r="B3874" t="s">
        <v>10071</v>
      </c>
      <c r="C3874" t="s">
        <v>1350</v>
      </c>
      <c r="F3874" t="str">
        <f>"3126768400"</f>
        <v>3126768400</v>
      </c>
      <c r="G3874" t="s">
        <v>10072</v>
      </c>
      <c r="H3874" t="s">
        <v>1979</v>
      </c>
      <c r="I3874" t="s">
        <v>135</v>
      </c>
      <c r="J3874">
        <v>60067</v>
      </c>
      <c r="K3874">
        <v>4473</v>
      </c>
      <c r="L3874" t="s">
        <v>23</v>
      </c>
      <c r="M3874" t="s">
        <v>10072</v>
      </c>
      <c r="N3874" t="s">
        <v>1979</v>
      </c>
      <c r="O3874" t="s">
        <v>135</v>
      </c>
      <c r="P3874">
        <v>60067</v>
      </c>
      <c r="Q3874">
        <v>4473</v>
      </c>
      <c r="R3874" t="s">
        <v>23</v>
      </c>
      <c r="S3874" s="1" t="s">
        <v>34218</v>
      </c>
    </row>
    <row r="3875" spans="1:19" x14ac:dyDescent="0.25">
      <c r="A3875">
        <v>101218995</v>
      </c>
      <c r="B3875" t="s">
        <v>8398</v>
      </c>
      <c r="C3875" t="s">
        <v>4416</v>
      </c>
      <c r="F3875" t="str">
        <f>"6124329196"</f>
        <v>6124329196</v>
      </c>
      <c r="G3875" t="s">
        <v>10073</v>
      </c>
      <c r="H3875" t="s">
        <v>569</v>
      </c>
      <c r="I3875" t="s">
        <v>187</v>
      </c>
      <c r="J3875">
        <v>55417</v>
      </c>
      <c r="K3875">
        <v>1523</v>
      </c>
      <c r="L3875" t="s">
        <v>23</v>
      </c>
      <c r="M3875" t="s">
        <v>10073</v>
      </c>
      <c r="N3875" t="s">
        <v>569</v>
      </c>
      <c r="O3875" t="s">
        <v>187</v>
      </c>
      <c r="P3875">
        <v>55417</v>
      </c>
      <c r="Q3875">
        <v>1523</v>
      </c>
      <c r="R3875" t="s">
        <v>23</v>
      </c>
      <c r="S3875" s="1" t="s">
        <v>34218</v>
      </c>
    </row>
    <row r="3876" spans="1:19" x14ac:dyDescent="0.25">
      <c r="A3876">
        <v>101267079</v>
      </c>
      <c r="B3876" t="s">
        <v>10074</v>
      </c>
      <c r="C3876" t="s">
        <v>810</v>
      </c>
      <c r="F3876" t="str">
        <f>"8456343468"</f>
        <v>8456343468</v>
      </c>
      <c r="G3876" t="s">
        <v>10075</v>
      </c>
      <c r="H3876" t="s">
        <v>10076</v>
      </c>
      <c r="I3876" t="s">
        <v>117</v>
      </c>
      <c r="J3876">
        <v>10994</v>
      </c>
      <c r="K3876">
        <v>1020</v>
      </c>
      <c r="L3876" t="s">
        <v>23</v>
      </c>
      <c r="M3876" t="s">
        <v>10075</v>
      </c>
      <c r="N3876" t="s">
        <v>10076</v>
      </c>
      <c r="O3876" t="s">
        <v>117</v>
      </c>
      <c r="P3876">
        <v>10994</v>
      </c>
      <c r="Q3876">
        <v>1020</v>
      </c>
      <c r="R3876" t="s">
        <v>23</v>
      </c>
      <c r="S3876" s="1" t="s">
        <v>34218</v>
      </c>
    </row>
    <row r="3877" spans="1:19" x14ac:dyDescent="0.25">
      <c r="A3877">
        <v>100523190</v>
      </c>
      <c r="B3877" t="s">
        <v>10077</v>
      </c>
      <c r="C3877" t="s">
        <v>102</v>
      </c>
      <c r="F3877" t="str">
        <f>"6164066129"</f>
        <v>6164066129</v>
      </c>
      <c r="G3877" t="s">
        <v>10078</v>
      </c>
      <c r="H3877" t="s">
        <v>10079</v>
      </c>
      <c r="I3877" t="s">
        <v>57</v>
      </c>
      <c r="J3877">
        <v>46360</v>
      </c>
      <c r="K3877">
        <v>7520</v>
      </c>
      <c r="L3877" t="s">
        <v>23</v>
      </c>
      <c r="M3877" t="s">
        <v>10078</v>
      </c>
      <c r="N3877" t="s">
        <v>10079</v>
      </c>
      <c r="O3877" t="s">
        <v>57</v>
      </c>
      <c r="P3877">
        <v>46360</v>
      </c>
      <c r="Q3877">
        <v>7520</v>
      </c>
      <c r="R3877" t="s">
        <v>23</v>
      </c>
      <c r="S3877" s="1" t="s">
        <v>34218</v>
      </c>
    </row>
    <row r="3878" spans="1:19" x14ac:dyDescent="0.25">
      <c r="A3878">
        <v>101447736</v>
      </c>
      <c r="B3878" t="s">
        <v>44</v>
      </c>
      <c r="C3878" t="s">
        <v>1408</v>
      </c>
      <c r="F3878" t="str">
        <f>"5418405700"</f>
        <v>5418405700</v>
      </c>
      <c r="G3878" t="s">
        <v>10080</v>
      </c>
      <c r="H3878" t="s">
        <v>143</v>
      </c>
      <c r="I3878" t="s">
        <v>43</v>
      </c>
      <c r="J3878">
        <v>97530</v>
      </c>
      <c r="K3878">
        <v>9308</v>
      </c>
      <c r="L3878" t="s">
        <v>23</v>
      </c>
      <c r="M3878" t="s">
        <v>10080</v>
      </c>
      <c r="N3878" t="s">
        <v>143</v>
      </c>
      <c r="O3878" t="s">
        <v>43</v>
      </c>
      <c r="P3878">
        <v>97530</v>
      </c>
      <c r="Q3878">
        <v>9308</v>
      </c>
      <c r="R3878" t="s">
        <v>23</v>
      </c>
      <c r="S3878" s="1" t="s">
        <v>34218</v>
      </c>
    </row>
    <row r="3879" spans="1:19" x14ac:dyDescent="0.25">
      <c r="A3879">
        <v>100533312</v>
      </c>
      <c r="B3879" t="s">
        <v>10081</v>
      </c>
      <c r="C3879" t="s">
        <v>1120</v>
      </c>
      <c r="F3879" t="str">
        <f>"2489357222"</f>
        <v>2489357222</v>
      </c>
      <c r="G3879" t="s">
        <v>10082</v>
      </c>
      <c r="H3879" t="s">
        <v>2769</v>
      </c>
      <c r="I3879" t="s">
        <v>52</v>
      </c>
      <c r="J3879">
        <v>34114</v>
      </c>
      <c r="K3879">
        <v>8697</v>
      </c>
      <c r="L3879" t="s">
        <v>23</v>
      </c>
      <c r="M3879" t="s">
        <v>10082</v>
      </c>
      <c r="N3879" t="s">
        <v>2769</v>
      </c>
      <c r="O3879" t="s">
        <v>52</v>
      </c>
      <c r="P3879">
        <v>34114</v>
      </c>
      <c r="Q3879">
        <v>8697</v>
      </c>
      <c r="R3879" t="s">
        <v>23</v>
      </c>
      <c r="S3879" s="1" t="s">
        <v>34218</v>
      </c>
    </row>
    <row r="3880" spans="1:19" x14ac:dyDescent="0.25">
      <c r="A3880">
        <v>101163695</v>
      </c>
      <c r="B3880" t="s">
        <v>10083</v>
      </c>
      <c r="C3880" t="s">
        <v>2365</v>
      </c>
      <c r="F3880" t="str">
        <f>"7606365402"</f>
        <v>7606365402</v>
      </c>
      <c r="G3880" t="s">
        <v>10084</v>
      </c>
      <c r="H3880" t="s">
        <v>10085</v>
      </c>
      <c r="I3880" t="s">
        <v>22</v>
      </c>
      <c r="J3880" t="s">
        <v>10086</v>
      </c>
      <c r="K3880">
        <v>9334</v>
      </c>
      <c r="L3880" t="s">
        <v>23</v>
      </c>
      <c r="M3880" t="s">
        <v>10084</v>
      </c>
      <c r="N3880" t="s">
        <v>10085</v>
      </c>
      <c r="O3880" t="s">
        <v>22</v>
      </c>
      <c r="P3880" t="s">
        <v>10086</v>
      </c>
      <c r="Q3880">
        <v>9334</v>
      </c>
      <c r="R3880" t="s">
        <v>23</v>
      </c>
      <c r="S3880" s="1" t="s">
        <v>34218</v>
      </c>
    </row>
    <row r="3881" spans="1:19" x14ac:dyDescent="0.25">
      <c r="A3881">
        <v>101223972</v>
      </c>
      <c r="B3881" t="s">
        <v>10087</v>
      </c>
      <c r="C3881" t="s">
        <v>846</v>
      </c>
      <c r="F3881" t="str">
        <f>"4083954587"</f>
        <v>4083954587</v>
      </c>
      <c r="G3881" t="s">
        <v>10088</v>
      </c>
      <c r="H3881" t="s">
        <v>10089</v>
      </c>
      <c r="I3881" t="s">
        <v>984</v>
      </c>
      <c r="J3881" t="s">
        <v>10090</v>
      </c>
      <c r="K3881">
        <v>9749</v>
      </c>
      <c r="L3881" t="s">
        <v>23</v>
      </c>
      <c r="M3881" t="s">
        <v>10088</v>
      </c>
      <c r="N3881" t="s">
        <v>10089</v>
      </c>
      <c r="O3881" t="s">
        <v>984</v>
      </c>
      <c r="P3881" t="s">
        <v>10090</v>
      </c>
      <c r="Q3881">
        <v>9749</v>
      </c>
      <c r="R3881" t="s">
        <v>23</v>
      </c>
      <c r="S3881" s="1" t="s">
        <v>34218</v>
      </c>
    </row>
    <row r="3882" spans="1:19" x14ac:dyDescent="0.25">
      <c r="A3882">
        <v>100892213</v>
      </c>
      <c r="B3882" t="s">
        <v>10091</v>
      </c>
      <c r="C3882" t="s">
        <v>1153</v>
      </c>
      <c r="F3882" t="str">
        <f>"4254500497"</f>
        <v>4254500497</v>
      </c>
      <c r="G3882" t="s">
        <v>10092</v>
      </c>
      <c r="H3882" t="s">
        <v>10093</v>
      </c>
      <c r="I3882" t="s">
        <v>84</v>
      </c>
      <c r="J3882" t="s">
        <v>10094</v>
      </c>
      <c r="K3882">
        <v>3408</v>
      </c>
      <c r="L3882" t="s">
        <v>23</v>
      </c>
      <c r="M3882" t="s">
        <v>10092</v>
      </c>
      <c r="N3882" t="s">
        <v>10093</v>
      </c>
      <c r="O3882" t="s">
        <v>84</v>
      </c>
      <c r="P3882" t="s">
        <v>10094</v>
      </c>
      <c r="Q3882">
        <v>3408</v>
      </c>
      <c r="R3882" t="s">
        <v>23</v>
      </c>
      <c r="S3882" s="1" t="s">
        <v>34218</v>
      </c>
    </row>
    <row r="3883" spans="1:19" x14ac:dyDescent="0.25">
      <c r="A3883">
        <v>100587524</v>
      </c>
      <c r="B3883" t="s">
        <v>10095</v>
      </c>
      <c r="C3883" t="s">
        <v>2127</v>
      </c>
      <c r="F3883" t="str">
        <f>"8644199335"</f>
        <v>8644199335</v>
      </c>
      <c r="G3883" t="s">
        <v>10096</v>
      </c>
      <c r="H3883" t="s">
        <v>10097</v>
      </c>
      <c r="I3883" t="s">
        <v>1482</v>
      </c>
      <c r="J3883">
        <v>29640</v>
      </c>
      <c r="L3883" t="s">
        <v>23</v>
      </c>
      <c r="M3883" t="s">
        <v>10096</v>
      </c>
      <c r="N3883" t="s">
        <v>10097</v>
      </c>
      <c r="O3883" t="s">
        <v>1482</v>
      </c>
      <c r="P3883">
        <v>29640</v>
      </c>
      <c r="R3883" t="s">
        <v>23</v>
      </c>
      <c r="S3883" s="1" t="s">
        <v>34218</v>
      </c>
    </row>
    <row r="3884" spans="1:19" x14ac:dyDescent="0.25">
      <c r="A3884">
        <v>100594810</v>
      </c>
      <c r="B3884" t="s">
        <v>2132</v>
      </c>
      <c r="C3884" t="s">
        <v>1036</v>
      </c>
      <c r="F3884" t="str">
        <f>"2485885490"</f>
        <v>2485885490</v>
      </c>
      <c r="G3884" t="s">
        <v>10098</v>
      </c>
      <c r="H3884" t="s">
        <v>10099</v>
      </c>
      <c r="I3884" t="s">
        <v>140</v>
      </c>
      <c r="J3884">
        <v>48071</v>
      </c>
      <c r="L3884" t="s">
        <v>23</v>
      </c>
      <c r="M3884" t="s">
        <v>10098</v>
      </c>
      <c r="N3884" t="s">
        <v>10099</v>
      </c>
      <c r="O3884" t="s">
        <v>140</v>
      </c>
      <c r="P3884">
        <v>48071</v>
      </c>
      <c r="R3884" t="s">
        <v>23</v>
      </c>
      <c r="S3884" s="1" t="s">
        <v>34218</v>
      </c>
    </row>
    <row r="3885" spans="1:19" x14ac:dyDescent="0.25">
      <c r="A3885">
        <v>101014971</v>
      </c>
      <c r="B3885" t="s">
        <v>744</v>
      </c>
      <c r="C3885" t="s">
        <v>1484</v>
      </c>
      <c r="F3885" t="str">
        <f>"6166885254"</f>
        <v>6166885254</v>
      </c>
      <c r="G3885" t="s">
        <v>10100</v>
      </c>
      <c r="H3885" t="s">
        <v>10101</v>
      </c>
      <c r="I3885" t="s">
        <v>52</v>
      </c>
      <c r="J3885">
        <v>33993</v>
      </c>
      <c r="L3885" t="s">
        <v>23</v>
      </c>
      <c r="M3885" t="s">
        <v>10100</v>
      </c>
      <c r="N3885" t="s">
        <v>10101</v>
      </c>
      <c r="O3885" t="s">
        <v>52</v>
      </c>
      <c r="P3885">
        <v>33993</v>
      </c>
      <c r="R3885" t="s">
        <v>23</v>
      </c>
      <c r="S3885" s="1" t="s">
        <v>34218</v>
      </c>
    </row>
    <row r="3886" spans="1:19" x14ac:dyDescent="0.25">
      <c r="A3886">
        <v>101274663</v>
      </c>
      <c r="B3886" t="s">
        <v>10102</v>
      </c>
      <c r="C3886" t="s">
        <v>281</v>
      </c>
      <c r="F3886" t="str">
        <f>"2038850352"</f>
        <v>2038850352</v>
      </c>
      <c r="G3886" t="s">
        <v>10103</v>
      </c>
      <c r="H3886" t="s">
        <v>1707</v>
      </c>
      <c r="I3886" t="s">
        <v>161</v>
      </c>
      <c r="J3886">
        <v>6810</v>
      </c>
      <c r="K3886">
        <v>7913</v>
      </c>
      <c r="L3886" t="s">
        <v>23</v>
      </c>
      <c r="M3886" t="s">
        <v>10103</v>
      </c>
      <c r="N3886" t="s">
        <v>1707</v>
      </c>
      <c r="O3886" t="s">
        <v>161</v>
      </c>
      <c r="P3886">
        <v>6810</v>
      </c>
      <c r="Q3886">
        <v>7913</v>
      </c>
      <c r="R3886" t="s">
        <v>23</v>
      </c>
      <c r="S3886" s="1" t="s">
        <v>34218</v>
      </c>
    </row>
    <row r="3887" spans="1:19" x14ac:dyDescent="0.25">
      <c r="A3887">
        <v>101258419</v>
      </c>
      <c r="B3887" t="s">
        <v>10104</v>
      </c>
      <c r="C3887" t="s">
        <v>1327</v>
      </c>
      <c r="F3887" t="str">
        <f>"8084266863"</f>
        <v>8084266863</v>
      </c>
      <c r="G3887" t="s">
        <v>10105</v>
      </c>
      <c r="H3887" t="s">
        <v>2743</v>
      </c>
      <c r="I3887" t="s">
        <v>984</v>
      </c>
      <c r="J3887">
        <v>96761</v>
      </c>
      <c r="K3887">
        <v>9187</v>
      </c>
      <c r="L3887" t="s">
        <v>23</v>
      </c>
      <c r="M3887" t="s">
        <v>10105</v>
      </c>
      <c r="N3887" t="s">
        <v>2743</v>
      </c>
      <c r="O3887" t="s">
        <v>984</v>
      </c>
      <c r="P3887">
        <v>96761</v>
      </c>
      <c r="Q3887">
        <v>9187</v>
      </c>
      <c r="R3887" t="s">
        <v>23</v>
      </c>
      <c r="S3887" s="1" t="s">
        <v>34218</v>
      </c>
    </row>
    <row r="3888" spans="1:19" x14ac:dyDescent="0.25">
      <c r="A3888">
        <v>101258622</v>
      </c>
      <c r="B3888" t="s">
        <v>9629</v>
      </c>
      <c r="C3888" t="s">
        <v>25</v>
      </c>
      <c r="F3888" t="str">
        <f>"8028828113"</f>
        <v>8028828113</v>
      </c>
      <c r="G3888" t="s">
        <v>10106</v>
      </c>
      <c r="H3888" t="s">
        <v>10107</v>
      </c>
      <c r="I3888" t="s">
        <v>307</v>
      </c>
      <c r="J3888">
        <v>5677</v>
      </c>
      <c r="K3888">
        <v>7109</v>
      </c>
      <c r="L3888" t="s">
        <v>23</v>
      </c>
      <c r="M3888" t="s">
        <v>10106</v>
      </c>
      <c r="N3888" t="s">
        <v>10107</v>
      </c>
      <c r="O3888" t="s">
        <v>307</v>
      </c>
      <c r="P3888">
        <v>5677</v>
      </c>
      <c r="Q3888">
        <v>7109</v>
      </c>
      <c r="R3888" t="s">
        <v>23</v>
      </c>
      <c r="S3888" s="1" t="s">
        <v>34218</v>
      </c>
    </row>
    <row r="3889" spans="1:19" x14ac:dyDescent="0.25">
      <c r="A3889">
        <v>101250476</v>
      </c>
      <c r="B3889" t="s">
        <v>10108</v>
      </c>
      <c r="C3889" t="s">
        <v>10109</v>
      </c>
      <c r="F3889" t="str">
        <f>"3103051091"</f>
        <v>3103051091</v>
      </c>
      <c r="G3889" t="s">
        <v>10110</v>
      </c>
      <c r="H3889" t="s">
        <v>10111</v>
      </c>
      <c r="I3889" t="s">
        <v>22</v>
      </c>
      <c r="J3889">
        <v>90293</v>
      </c>
      <c r="K3889">
        <v>7303</v>
      </c>
      <c r="L3889" t="s">
        <v>23</v>
      </c>
      <c r="M3889" t="s">
        <v>10110</v>
      </c>
      <c r="N3889" t="s">
        <v>10111</v>
      </c>
      <c r="O3889" t="s">
        <v>22</v>
      </c>
      <c r="P3889">
        <v>90293</v>
      </c>
      <c r="Q3889">
        <v>7303</v>
      </c>
      <c r="R3889" t="s">
        <v>23</v>
      </c>
      <c r="S3889" s="1" t="s">
        <v>34218</v>
      </c>
    </row>
    <row r="3890" spans="1:19" x14ac:dyDescent="0.25">
      <c r="A3890">
        <v>101267827</v>
      </c>
      <c r="B3890" t="s">
        <v>6658</v>
      </c>
      <c r="C3890" t="s">
        <v>3110</v>
      </c>
      <c r="F3890" t="str">
        <f>"6036545751"</f>
        <v>6036545751</v>
      </c>
      <c r="G3890" t="s">
        <v>10112</v>
      </c>
      <c r="H3890" t="s">
        <v>10113</v>
      </c>
      <c r="I3890" t="s">
        <v>353</v>
      </c>
      <c r="J3890">
        <v>3086</v>
      </c>
      <c r="K3890">
        <v>5913</v>
      </c>
      <c r="L3890" t="s">
        <v>23</v>
      </c>
      <c r="M3890" t="s">
        <v>10112</v>
      </c>
      <c r="N3890" t="s">
        <v>10113</v>
      </c>
      <c r="O3890" t="s">
        <v>353</v>
      </c>
      <c r="P3890">
        <v>3086</v>
      </c>
      <c r="Q3890">
        <v>5913</v>
      </c>
      <c r="R3890" t="s">
        <v>23</v>
      </c>
      <c r="S3890" s="1" t="s">
        <v>34218</v>
      </c>
    </row>
    <row r="3891" spans="1:19" x14ac:dyDescent="0.25">
      <c r="A3891">
        <v>100984327</v>
      </c>
      <c r="B3891" t="s">
        <v>10114</v>
      </c>
      <c r="C3891" t="s">
        <v>321</v>
      </c>
      <c r="F3891" t="str">
        <f>"2077808063"</f>
        <v>2077808063</v>
      </c>
      <c r="G3891" t="s">
        <v>10115</v>
      </c>
      <c r="H3891" t="s">
        <v>227</v>
      </c>
      <c r="I3891" t="s">
        <v>191</v>
      </c>
      <c r="J3891">
        <v>4106</v>
      </c>
      <c r="K3891">
        <v>3724</v>
      </c>
      <c r="L3891" t="s">
        <v>23</v>
      </c>
      <c r="M3891" t="s">
        <v>10115</v>
      </c>
      <c r="N3891" t="s">
        <v>227</v>
      </c>
      <c r="O3891" t="s">
        <v>191</v>
      </c>
      <c r="P3891">
        <v>4106</v>
      </c>
      <c r="Q3891">
        <v>3724</v>
      </c>
      <c r="R3891" t="s">
        <v>23</v>
      </c>
      <c r="S3891" s="1" t="s">
        <v>34218</v>
      </c>
    </row>
    <row r="3892" spans="1:19" x14ac:dyDescent="0.25">
      <c r="A3892">
        <v>101182556</v>
      </c>
      <c r="B3892" t="s">
        <v>10116</v>
      </c>
      <c r="C3892" t="s">
        <v>4188</v>
      </c>
      <c r="F3892" t="str">
        <f>"7195618628"</f>
        <v>7195618628</v>
      </c>
      <c r="G3892" t="s">
        <v>10117</v>
      </c>
      <c r="H3892" t="s">
        <v>1337</v>
      </c>
      <c r="I3892" t="s">
        <v>71</v>
      </c>
      <c r="J3892" t="s">
        <v>10118</v>
      </c>
      <c r="K3892">
        <v>2882</v>
      </c>
      <c r="L3892" t="s">
        <v>23</v>
      </c>
      <c r="M3892" t="s">
        <v>10117</v>
      </c>
      <c r="N3892" t="s">
        <v>1337</v>
      </c>
      <c r="O3892" t="s">
        <v>71</v>
      </c>
      <c r="P3892" t="s">
        <v>10118</v>
      </c>
      <c r="Q3892">
        <v>2882</v>
      </c>
      <c r="R3892" t="s">
        <v>23</v>
      </c>
      <c r="S3892" s="1" t="s">
        <v>34218</v>
      </c>
    </row>
    <row r="3893" spans="1:19" x14ac:dyDescent="0.25">
      <c r="A3893">
        <v>101131846</v>
      </c>
      <c r="B3893" t="s">
        <v>10119</v>
      </c>
      <c r="C3893" t="s">
        <v>4318</v>
      </c>
      <c r="F3893" t="str">
        <f>"9209185266"</f>
        <v>9209185266</v>
      </c>
      <c r="G3893" t="s">
        <v>10120</v>
      </c>
      <c r="H3893" t="s">
        <v>5046</v>
      </c>
      <c r="I3893" t="s">
        <v>100</v>
      </c>
      <c r="J3893" t="s">
        <v>10121</v>
      </c>
      <c r="K3893">
        <v>2007</v>
      </c>
      <c r="L3893" t="s">
        <v>23</v>
      </c>
      <c r="M3893" t="s">
        <v>10120</v>
      </c>
      <c r="N3893" t="s">
        <v>5046</v>
      </c>
      <c r="O3893" t="s">
        <v>100</v>
      </c>
      <c r="P3893" t="s">
        <v>10121</v>
      </c>
      <c r="Q3893">
        <v>2007</v>
      </c>
      <c r="R3893" t="s">
        <v>23</v>
      </c>
      <c r="S3893" s="1" t="s">
        <v>34218</v>
      </c>
    </row>
    <row r="3894" spans="1:19" x14ac:dyDescent="0.25">
      <c r="A3894">
        <v>100631573</v>
      </c>
      <c r="B3894" t="s">
        <v>1554</v>
      </c>
      <c r="C3894" t="s">
        <v>30</v>
      </c>
      <c r="F3894" t="str">
        <f>"4079076448"</f>
        <v>4079076448</v>
      </c>
      <c r="G3894" t="s">
        <v>10122</v>
      </c>
      <c r="H3894" t="s">
        <v>7355</v>
      </c>
      <c r="I3894" t="s">
        <v>52</v>
      </c>
      <c r="J3894" t="s">
        <v>10123</v>
      </c>
      <c r="K3894">
        <v>4820</v>
      </c>
      <c r="L3894" t="s">
        <v>23</v>
      </c>
      <c r="M3894" t="s">
        <v>10122</v>
      </c>
      <c r="N3894" t="s">
        <v>7355</v>
      </c>
      <c r="O3894" t="s">
        <v>52</v>
      </c>
      <c r="P3894" t="s">
        <v>10123</v>
      </c>
      <c r="Q3894">
        <v>4820</v>
      </c>
      <c r="R3894" t="s">
        <v>23</v>
      </c>
      <c r="S3894" s="1" t="s">
        <v>34218</v>
      </c>
    </row>
    <row r="3895" spans="1:19" x14ac:dyDescent="0.25">
      <c r="A3895">
        <v>100608005</v>
      </c>
      <c r="B3895" t="s">
        <v>10124</v>
      </c>
      <c r="C3895" t="s">
        <v>247</v>
      </c>
      <c r="F3895" t="str">
        <f>"6196307843"</f>
        <v>6196307843</v>
      </c>
      <c r="G3895" t="s">
        <v>10125</v>
      </c>
      <c r="H3895" t="s">
        <v>198</v>
      </c>
      <c r="I3895" t="s">
        <v>22</v>
      </c>
      <c r="J3895" t="s">
        <v>10126</v>
      </c>
      <c r="K3895">
        <v>2562</v>
      </c>
      <c r="L3895" t="s">
        <v>23</v>
      </c>
      <c r="M3895" t="s">
        <v>10125</v>
      </c>
      <c r="N3895" t="s">
        <v>198</v>
      </c>
      <c r="O3895" t="s">
        <v>22</v>
      </c>
      <c r="P3895" t="s">
        <v>10126</v>
      </c>
      <c r="Q3895">
        <v>2562</v>
      </c>
      <c r="R3895" t="s">
        <v>23</v>
      </c>
      <c r="S3895" s="1" t="s">
        <v>34218</v>
      </c>
    </row>
    <row r="3896" spans="1:19" x14ac:dyDescent="0.25">
      <c r="A3896">
        <v>101188807</v>
      </c>
      <c r="B3896" t="s">
        <v>6084</v>
      </c>
      <c r="C3896" t="s">
        <v>10127</v>
      </c>
      <c r="F3896" t="str">
        <f>"5174237690"</f>
        <v>5174237690</v>
      </c>
      <c r="G3896" t="s">
        <v>10128</v>
      </c>
      <c r="H3896" t="s">
        <v>10129</v>
      </c>
      <c r="I3896" t="s">
        <v>140</v>
      </c>
      <c r="J3896" t="s">
        <v>10130</v>
      </c>
      <c r="K3896">
        <v>9511</v>
      </c>
      <c r="L3896" t="s">
        <v>23</v>
      </c>
      <c r="M3896" t="s">
        <v>10128</v>
      </c>
      <c r="N3896" t="s">
        <v>10129</v>
      </c>
      <c r="O3896" t="s">
        <v>140</v>
      </c>
      <c r="P3896" t="s">
        <v>10130</v>
      </c>
      <c r="Q3896">
        <v>9511</v>
      </c>
      <c r="R3896" t="s">
        <v>23</v>
      </c>
      <c r="S3896" s="1" t="s">
        <v>34218</v>
      </c>
    </row>
    <row r="3897" spans="1:19" x14ac:dyDescent="0.25">
      <c r="A3897">
        <v>101309784</v>
      </c>
      <c r="B3897" t="s">
        <v>10131</v>
      </c>
      <c r="C3897" t="s">
        <v>10132</v>
      </c>
      <c r="F3897" t="str">
        <f>"8012691042"</f>
        <v>8012691042</v>
      </c>
      <c r="G3897" t="s">
        <v>10133</v>
      </c>
      <c r="H3897" t="s">
        <v>331</v>
      </c>
      <c r="I3897" t="s">
        <v>332</v>
      </c>
      <c r="J3897">
        <v>84121</v>
      </c>
      <c r="K3897">
        <v>1015</v>
      </c>
      <c r="L3897" t="s">
        <v>23</v>
      </c>
      <c r="M3897" t="s">
        <v>10133</v>
      </c>
      <c r="N3897" t="s">
        <v>331</v>
      </c>
      <c r="O3897" t="s">
        <v>332</v>
      </c>
      <c r="P3897">
        <v>84121</v>
      </c>
      <c r="Q3897">
        <v>1015</v>
      </c>
      <c r="R3897" t="s">
        <v>23</v>
      </c>
      <c r="S3897" s="1" t="s">
        <v>34218</v>
      </c>
    </row>
    <row r="3898" spans="1:19" x14ac:dyDescent="0.25">
      <c r="A3898">
        <v>100954633</v>
      </c>
      <c r="B3898" t="s">
        <v>10134</v>
      </c>
      <c r="C3898" t="s">
        <v>10135</v>
      </c>
      <c r="F3898" t="str">
        <f>"4156217514"</f>
        <v>4156217514</v>
      </c>
      <c r="G3898" t="s">
        <v>10136</v>
      </c>
      <c r="H3898" t="s">
        <v>130</v>
      </c>
      <c r="I3898" t="s">
        <v>22</v>
      </c>
      <c r="J3898">
        <v>94117</v>
      </c>
      <c r="L3898" t="s">
        <v>23</v>
      </c>
      <c r="M3898" t="s">
        <v>10136</v>
      </c>
      <c r="N3898" t="s">
        <v>130</v>
      </c>
      <c r="O3898" t="s">
        <v>22</v>
      </c>
      <c r="P3898">
        <v>94117</v>
      </c>
      <c r="R3898" t="s">
        <v>23</v>
      </c>
      <c r="S3898" s="1" t="s">
        <v>34218</v>
      </c>
    </row>
    <row r="3899" spans="1:19" x14ac:dyDescent="0.25">
      <c r="A3899">
        <v>101347965</v>
      </c>
      <c r="B3899" t="s">
        <v>5364</v>
      </c>
      <c r="C3899" t="s">
        <v>2767</v>
      </c>
      <c r="F3899" t="str">
        <f>"6198511454"</f>
        <v>6198511454</v>
      </c>
      <c r="G3899" t="s">
        <v>10137</v>
      </c>
      <c r="H3899" t="s">
        <v>198</v>
      </c>
      <c r="I3899" t="s">
        <v>22</v>
      </c>
      <c r="J3899">
        <v>92116</v>
      </c>
      <c r="K3899">
        <v>1612</v>
      </c>
      <c r="L3899" t="s">
        <v>23</v>
      </c>
      <c r="M3899" t="s">
        <v>10137</v>
      </c>
      <c r="N3899" t="s">
        <v>198</v>
      </c>
      <c r="O3899" t="s">
        <v>22</v>
      </c>
      <c r="P3899">
        <v>92116</v>
      </c>
      <c r="Q3899">
        <v>1612</v>
      </c>
      <c r="R3899" t="s">
        <v>23</v>
      </c>
      <c r="S3899" s="1" t="s">
        <v>34218</v>
      </c>
    </row>
    <row r="3900" spans="1:19" x14ac:dyDescent="0.25">
      <c r="A3900">
        <v>100548320</v>
      </c>
      <c r="B3900" t="s">
        <v>10138</v>
      </c>
      <c r="C3900" t="s">
        <v>3993</v>
      </c>
      <c r="F3900" t="str">
        <f>"3193388674"</f>
        <v>3193388674</v>
      </c>
      <c r="G3900" t="s">
        <v>10139</v>
      </c>
      <c r="H3900" t="s">
        <v>709</v>
      </c>
      <c r="I3900" t="s">
        <v>565</v>
      </c>
      <c r="J3900">
        <v>52240</v>
      </c>
      <c r="K3900">
        <v>4640</v>
      </c>
      <c r="L3900" t="s">
        <v>23</v>
      </c>
      <c r="M3900" t="s">
        <v>10139</v>
      </c>
      <c r="N3900" t="s">
        <v>709</v>
      </c>
      <c r="O3900" t="s">
        <v>565</v>
      </c>
      <c r="P3900">
        <v>52240</v>
      </c>
      <c r="Q3900">
        <v>4640</v>
      </c>
      <c r="R3900" t="s">
        <v>23</v>
      </c>
      <c r="S3900" s="1" t="s">
        <v>34218</v>
      </c>
    </row>
    <row r="3901" spans="1:19" x14ac:dyDescent="0.25">
      <c r="A3901">
        <v>100967064</v>
      </c>
      <c r="B3901" t="s">
        <v>800</v>
      </c>
      <c r="C3901" t="s">
        <v>10140</v>
      </c>
      <c r="F3901" t="str">
        <f>"9095930766"</f>
        <v>9095930766</v>
      </c>
      <c r="G3901" t="s">
        <v>10141</v>
      </c>
      <c r="H3901" t="s">
        <v>8583</v>
      </c>
      <c r="I3901" t="s">
        <v>22</v>
      </c>
      <c r="J3901" t="s">
        <v>10142</v>
      </c>
      <c r="K3901">
        <v>1830</v>
      </c>
      <c r="L3901" t="s">
        <v>23</v>
      </c>
      <c r="M3901" t="s">
        <v>10141</v>
      </c>
      <c r="N3901" t="s">
        <v>8583</v>
      </c>
      <c r="O3901" t="s">
        <v>22</v>
      </c>
      <c r="P3901" t="s">
        <v>10142</v>
      </c>
      <c r="Q3901">
        <v>1830</v>
      </c>
      <c r="R3901" t="s">
        <v>23</v>
      </c>
      <c r="S3901" s="1" t="s">
        <v>34218</v>
      </c>
    </row>
    <row r="3902" spans="1:19" x14ac:dyDescent="0.25">
      <c r="A3902">
        <v>101174978</v>
      </c>
      <c r="B3902" t="s">
        <v>3956</v>
      </c>
      <c r="C3902" t="s">
        <v>282</v>
      </c>
      <c r="F3902" t="str">
        <f>"4154197321"</f>
        <v>4154197321</v>
      </c>
      <c r="G3902" t="s">
        <v>10143</v>
      </c>
      <c r="H3902" t="s">
        <v>1538</v>
      </c>
      <c r="I3902" t="s">
        <v>22</v>
      </c>
      <c r="J3902">
        <v>91423</v>
      </c>
      <c r="L3902" t="s">
        <v>23</v>
      </c>
      <c r="M3902" t="s">
        <v>10143</v>
      </c>
      <c r="N3902" t="s">
        <v>1538</v>
      </c>
      <c r="O3902" t="s">
        <v>22</v>
      </c>
      <c r="P3902">
        <v>91423</v>
      </c>
      <c r="R3902" t="s">
        <v>23</v>
      </c>
      <c r="S3902" s="1" t="s">
        <v>34218</v>
      </c>
    </row>
    <row r="3903" spans="1:19" x14ac:dyDescent="0.25">
      <c r="A3903">
        <v>100626173</v>
      </c>
      <c r="B3903" t="s">
        <v>3828</v>
      </c>
      <c r="C3903" t="s">
        <v>10144</v>
      </c>
      <c r="F3903" t="str">
        <f>"4353364795"</f>
        <v>4353364795</v>
      </c>
      <c r="G3903" t="s">
        <v>10145</v>
      </c>
      <c r="H3903" t="s">
        <v>10146</v>
      </c>
      <c r="I3903" t="s">
        <v>332</v>
      </c>
      <c r="J3903">
        <v>84017</v>
      </c>
      <c r="K3903">
        <v>5506</v>
      </c>
      <c r="L3903" t="s">
        <v>23</v>
      </c>
      <c r="M3903" t="s">
        <v>10145</v>
      </c>
      <c r="N3903" t="s">
        <v>10146</v>
      </c>
      <c r="O3903" t="s">
        <v>332</v>
      </c>
      <c r="P3903">
        <v>84017</v>
      </c>
      <c r="Q3903">
        <v>5506</v>
      </c>
      <c r="R3903" t="s">
        <v>23</v>
      </c>
      <c r="S3903" s="1" t="s">
        <v>34218</v>
      </c>
    </row>
    <row r="3904" spans="1:19" x14ac:dyDescent="0.25">
      <c r="A3904">
        <v>101290696</v>
      </c>
      <c r="B3904" t="s">
        <v>9042</v>
      </c>
      <c r="C3904" t="s">
        <v>6689</v>
      </c>
      <c r="F3904" t="str">
        <f>"7145093239"</f>
        <v>7145093239</v>
      </c>
      <c r="G3904" t="s">
        <v>10147</v>
      </c>
      <c r="H3904" t="s">
        <v>3847</v>
      </c>
      <c r="I3904" t="s">
        <v>22</v>
      </c>
      <c r="J3904">
        <v>92649</v>
      </c>
      <c r="K3904">
        <v>4073</v>
      </c>
      <c r="L3904" t="s">
        <v>23</v>
      </c>
      <c r="M3904" t="s">
        <v>10147</v>
      </c>
      <c r="N3904" t="s">
        <v>3847</v>
      </c>
      <c r="O3904" t="s">
        <v>22</v>
      </c>
      <c r="P3904">
        <v>92649</v>
      </c>
      <c r="Q3904">
        <v>4073</v>
      </c>
      <c r="R3904" t="s">
        <v>23</v>
      </c>
      <c r="S3904" s="1" t="s">
        <v>34218</v>
      </c>
    </row>
    <row r="3905" spans="1:19" x14ac:dyDescent="0.25">
      <c r="A3905">
        <v>100929084</v>
      </c>
      <c r="B3905" t="s">
        <v>10148</v>
      </c>
      <c r="C3905" t="s">
        <v>30</v>
      </c>
      <c r="F3905" t="str">
        <f>"6083343515"</f>
        <v>6083343515</v>
      </c>
      <c r="G3905" t="s">
        <v>10149</v>
      </c>
      <c r="H3905" t="s">
        <v>10150</v>
      </c>
      <c r="I3905" t="s">
        <v>100</v>
      </c>
      <c r="J3905">
        <v>53572</v>
      </c>
      <c r="L3905" t="s">
        <v>23</v>
      </c>
      <c r="M3905" t="s">
        <v>10149</v>
      </c>
      <c r="N3905" t="s">
        <v>10150</v>
      </c>
      <c r="O3905" t="s">
        <v>100</v>
      </c>
      <c r="P3905">
        <v>53572</v>
      </c>
      <c r="R3905" t="s">
        <v>23</v>
      </c>
      <c r="S3905" s="1" t="s">
        <v>34218</v>
      </c>
    </row>
    <row r="3906" spans="1:19" x14ac:dyDescent="0.25">
      <c r="A3906">
        <v>101085328</v>
      </c>
      <c r="B3906" t="s">
        <v>10151</v>
      </c>
      <c r="C3906" t="s">
        <v>9601</v>
      </c>
      <c r="F3906" t="str">
        <f>"8313331919"</f>
        <v>8313331919</v>
      </c>
      <c r="G3906" t="s">
        <v>10152</v>
      </c>
      <c r="H3906" t="s">
        <v>1283</v>
      </c>
      <c r="I3906" t="s">
        <v>22</v>
      </c>
      <c r="J3906">
        <v>93921</v>
      </c>
      <c r="K3906">
        <v>3251</v>
      </c>
      <c r="L3906" t="s">
        <v>23</v>
      </c>
      <c r="M3906" t="s">
        <v>10152</v>
      </c>
      <c r="N3906" t="s">
        <v>1283</v>
      </c>
      <c r="O3906" t="s">
        <v>22</v>
      </c>
      <c r="P3906">
        <v>93921</v>
      </c>
      <c r="Q3906">
        <v>3251</v>
      </c>
      <c r="R3906" t="s">
        <v>23</v>
      </c>
      <c r="S3906" s="1" t="s">
        <v>34218</v>
      </c>
    </row>
    <row r="3907" spans="1:19" x14ac:dyDescent="0.25">
      <c r="A3907">
        <v>101102639</v>
      </c>
      <c r="B3907" t="s">
        <v>10153</v>
      </c>
      <c r="C3907" t="s">
        <v>2033</v>
      </c>
      <c r="F3907" t="str">
        <f>"3526934429"</f>
        <v>3526934429</v>
      </c>
      <c r="G3907" t="s">
        <v>10154</v>
      </c>
      <c r="H3907" t="s">
        <v>1250</v>
      </c>
      <c r="I3907" t="s">
        <v>52</v>
      </c>
      <c r="J3907">
        <v>34473</v>
      </c>
      <c r="K3907">
        <v>4045</v>
      </c>
      <c r="L3907" t="s">
        <v>23</v>
      </c>
      <c r="M3907" t="s">
        <v>10154</v>
      </c>
      <c r="N3907" t="s">
        <v>1250</v>
      </c>
      <c r="O3907" t="s">
        <v>52</v>
      </c>
      <c r="P3907">
        <v>34473</v>
      </c>
      <c r="Q3907">
        <v>4045</v>
      </c>
      <c r="R3907" t="s">
        <v>23</v>
      </c>
      <c r="S3907" s="1" t="s">
        <v>34218</v>
      </c>
    </row>
    <row r="3908" spans="1:19" x14ac:dyDescent="0.25">
      <c r="A3908">
        <v>100889086</v>
      </c>
      <c r="B3908" t="s">
        <v>10155</v>
      </c>
      <c r="C3908" t="s">
        <v>1623</v>
      </c>
      <c r="F3908" t="str">
        <f>"6414246553"</f>
        <v>6414246553</v>
      </c>
      <c r="G3908" t="s">
        <v>10156</v>
      </c>
      <c r="H3908" t="s">
        <v>10157</v>
      </c>
      <c r="I3908" t="s">
        <v>565</v>
      </c>
      <c r="J3908">
        <v>50659</v>
      </c>
      <c r="K3908">
        <v>1404</v>
      </c>
      <c r="L3908" t="s">
        <v>23</v>
      </c>
      <c r="M3908" t="s">
        <v>10156</v>
      </c>
      <c r="N3908" t="s">
        <v>10157</v>
      </c>
      <c r="O3908" t="s">
        <v>565</v>
      </c>
      <c r="P3908">
        <v>50659</v>
      </c>
      <c r="Q3908">
        <v>1404</v>
      </c>
      <c r="R3908" t="s">
        <v>23</v>
      </c>
      <c r="S3908" s="1" t="s">
        <v>34218</v>
      </c>
    </row>
    <row r="3909" spans="1:19" x14ac:dyDescent="0.25">
      <c r="A3909">
        <v>101366543</v>
      </c>
      <c r="B3909" t="s">
        <v>10158</v>
      </c>
      <c r="C3909" t="s">
        <v>1398</v>
      </c>
      <c r="F3909" t="str">
        <f>"3602647374"</f>
        <v>3602647374</v>
      </c>
      <c r="G3909" t="s">
        <v>10159</v>
      </c>
      <c r="H3909" t="s">
        <v>10160</v>
      </c>
      <c r="I3909" t="s">
        <v>84</v>
      </c>
      <c r="J3909">
        <v>98589</v>
      </c>
      <c r="K3909">
        <v>8201</v>
      </c>
      <c r="L3909" t="s">
        <v>23</v>
      </c>
      <c r="M3909" t="s">
        <v>10159</v>
      </c>
      <c r="N3909" t="s">
        <v>10160</v>
      </c>
      <c r="O3909" t="s">
        <v>84</v>
      </c>
      <c r="P3909">
        <v>98589</v>
      </c>
      <c r="Q3909">
        <v>8201</v>
      </c>
      <c r="R3909" t="s">
        <v>23</v>
      </c>
      <c r="S3909" s="1" t="s">
        <v>34218</v>
      </c>
    </row>
    <row r="3910" spans="1:19" x14ac:dyDescent="0.25">
      <c r="A3910">
        <v>101302417</v>
      </c>
      <c r="B3910" t="s">
        <v>10161</v>
      </c>
      <c r="C3910" t="s">
        <v>10162</v>
      </c>
      <c r="F3910" t="str">
        <f>"8185581424"</f>
        <v>8185581424</v>
      </c>
      <c r="G3910" t="s">
        <v>10163</v>
      </c>
      <c r="H3910" t="s">
        <v>1674</v>
      </c>
      <c r="I3910" t="s">
        <v>22</v>
      </c>
      <c r="J3910" t="s">
        <v>10164</v>
      </c>
      <c r="K3910">
        <v>3939</v>
      </c>
      <c r="L3910" t="s">
        <v>23</v>
      </c>
      <c r="M3910" t="s">
        <v>10163</v>
      </c>
      <c r="N3910" t="s">
        <v>1674</v>
      </c>
      <c r="O3910" t="s">
        <v>22</v>
      </c>
      <c r="P3910" t="s">
        <v>10164</v>
      </c>
      <c r="Q3910">
        <v>3939</v>
      </c>
      <c r="R3910" t="s">
        <v>23</v>
      </c>
      <c r="S3910" s="1" t="s">
        <v>34218</v>
      </c>
    </row>
    <row r="3911" spans="1:19" x14ac:dyDescent="0.25">
      <c r="A3911">
        <v>100983774</v>
      </c>
      <c r="B3911" t="s">
        <v>1581</v>
      </c>
      <c r="C3911" t="s">
        <v>513</v>
      </c>
      <c r="F3911" t="str">
        <f>"7046040096"</f>
        <v>7046040096</v>
      </c>
      <c r="G3911" t="s">
        <v>10165</v>
      </c>
      <c r="H3911" t="s">
        <v>1086</v>
      </c>
      <c r="I3911" t="s">
        <v>446</v>
      </c>
      <c r="J3911" t="s">
        <v>10166</v>
      </c>
      <c r="K3911">
        <v>4554</v>
      </c>
      <c r="L3911" t="s">
        <v>23</v>
      </c>
      <c r="M3911" t="s">
        <v>10165</v>
      </c>
      <c r="N3911" t="s">
        <v>1086</v>
      </c>
      <c r="O3911" t="s">
        <v>446</v>
      </c>
      <c r="P3911" t="s">
        <v>10166</v>
      </c>
      <c r="Q3911">
        <v>4554</v>
      </c>
      <c r="R3911" t="s">
        <v>23</v>
      </c>
      <c r="S3911" s="1" t="s">
        <v>34218</v>
      </c>
    </row>
    <row r="3912" spans="1:19" x14ac:dyDescent="0.25">
      <c r="A3912">
        <v>100850335</v>
      </c>
      <c r="B3912" t="s">
        <v>10167</v>
      </c>
      <c r="C3912" t="s">
        <v>233</v>
      </c>
      <c r="F3912" t="str">
        <f>"8054730000"</f>
        <v>8054730000</v>
      </c>
      <c r="G3912" t="s">
        <v>10168</v>
      </c>
      <c r="H3912" t="s">
        <v>10169</v>
      </c>
      <c r="I3912" t="s">
        <v>22</v>
      </c>
      <c r="J3912" t="s">
        <v>10170</v>
      </c>
      <c r="K3912">
        <v>8903</v>
      </c>
      <c r="L3912" t="s">
        <v>23</v>
      </c>
      <c r="M3912" t="s">
        <v>10168</v>
      </c>
      <c r="N3912" t="s">
        <v>10169</v>
      </c>
      <c r="O3912" t="s">
        <v>22</v>
      </c>
      <c r="P3912" t="s">
        <v>10170</v>
      </c>
      <c r="Q3912">
        <v>8903</v>
      </c>
      <c r="R3912" t="s">
        <v>23</v>
      </c>
      <c r="S3912" s="1" t="s">
        <v>34218</v>
      </c>
    </row>
    <row r="3913" spans="1:19" x14ac:dyDescent="0.25">
      <c r="A3913">
        <v>101386664</v>
      </c>
      <c r="B3913" t="s">
        <v>7509</v>
      </c>
      <c r="C3913" t="s">
        <v>1069</v>
      </c>
      <c r="F3913" t="str">
        <f>"9209072315"</f>
        <v>9209072315</v>
      </c>
      <c r="G3913" t="s">
        <v>10171</v>
      </c>
      <c r="H3913" t="s">
        <v>792</v>
      </c>
      <c r="I3913" t="s">
        <v>100</v>
      </c>
      <c r="J3913">
        <v>54937</v>
      </c>
      <c r="K3913">
        <v>8158</v>
      </c>
      <c r="L3913" t="s">
        <v>23</v>
      </c>
      <c r="M3913" t="s">
        <v>10171</v>
      </c>
      <c r="N3913" t="s">
        <v>792</v>
      </c>
      <c r="O3913" t="s">
        <v>100</v>
      </c>
      <c r="P3913">
        <v>54937</v>
      </c>
      <c r="Q3913">
        <v>8158</v>
      </c>
      <c r="R3913" t="s">
        <v>23</v>
      </c>
      <c r="S3913" s="1" t="s">
        <v>34218</v>
      </c>
    </row>
    <row r="3914" spans="1:19" x14ac:dyDescent="0.25">
      <c r="A3914">
        <v>100616770</v>
      </c>
      <c r="B3914" t="s">
        <v>10172</v>
      </c>
      <c r="C3914" t="s">
        <v>1714</v>
      </c>
      <c r="F3914" t="str">
        <f>"4082502176"</f>
        <v>4082502176</v>
      </c>
      <c r="G3914" t="s">
        <v>10173</v>
      </c>
      <c r="H3914" t="s">
        <v>10174</v>
      </c>
      <c r="I3914" t="s">
        <v>22</v>
      </c>
      <c r="J3914">
        <v>93543</v>
      </c>
      <c r="K3914">
        <v>3533</v>
      </c>
      <c r="L3914" t="s">
        <v>23</v>
      </c>
      <c r="M3914" t="s">
        <v>10173</v>
      </c>
      <c r="N3914" t="s">
        <v>10174</v>
      </c>
      <c r="O3914" t="s">
        <v>22</v>
      </c>
      <c r="P3914">
        <v>93543</v>
      </c>
      <c r="Q3914">
        <v>3533</v>
      </c>
      <c r="R3914" t="s">
        <v>23</v>
      </c>
      <c r="S3914" s="1" t="s">
        <v>34218</v>
      </c>
    </row>
    <row r="3915" spans="1:19" x14ac:dyDescent="0.25">
      <c r="A3915">
        <v>101001412</v>
      </c>
      <c r="B3915" t="s">
        <v>6121</v>
      </c>
      <c r="C3915" t="s">
        <v>1616</v>
      </c>
      <c r="F3915" t="str">
        <f>"3104552860"</f>
        <v>3104552860</v>
      </c>
      <c r="G3915" t="s">
        <v>10175</v>
      </c>
      <c r="H3915" t="s">
        <v>713</v>
      </c>
      <c r="I3915" t="s">
        <v>22</v>
      </c>
      <c r="J3915" t="s">
        <v>10176</v>
      </c>
      <c r="K3915">
        <v>4027</v>
      </c>
      <c r="L3915" t="s">
        <v>23</v>
      </c>
      <c r="M3915" t="s">
        <v>10175</v>
      </c>
      <c r="N3915" t="s">
        <v>713</v>
      </c>
      <c r="O3915" t="s">
        <v>22</v>
      </c>
      <c r="P3915" t="s">
        <v>10176</v>
      </c>
      <c r="Q3915">
        <v>4027</v>
      </c>
      <c r="R3915" t="s">
        <v>23</v>
      </c>
      <c r="S3915" s="1" t="s">
        <v>34218</v>
      </c>
    </row>
    <row r="3916" spans="1:19" x14ac:dyDescent="0.25">
      <c r="A3916">
        <v>101262670</v>
      </c>
      <c r="B3916" t="s">
        <v>806</v>
      </c>
      <c r="C3916" t="s">
        <v>1309</v>
      </c>
      <c r="F3916" t="str">
        <f>"8028887373"</f>
        <v>8028887373</v>
      </c>
      <c r="G3916" t="s">
        <v>10177</v>
      </c>
      <c r="H3916" t="s">
        <v>10178</v>
      </c>
      <c r="I3916" t="s">
        <v>307</v>
      </c>
      <c r="J3916">
        <v>5661</v>
      </c>
      <c r="L3916" t="s">
        <v>23</v>
      </c>
      <c r="M3916" t="s">
        <v>10177</v>
      </c>
      <c r="N3916" t="s">
        <v>10178</v>
      </c>
      <c r="O3916" t="s">
        <v>307</v>
      </c>
      <c r="P3916">
        <v>5661</v>
      </c>
      <c r="R3916" t="s">
        <v>23</v>
      </c>
      <c r="S3916" s="1" t="s">
        <v>34218</v>
      </c>
    </row>
    <row r="3917" spans="1:19" x14ac:dyDescent="0.25">
      <c r="A3917">
        <v>100631454</v>
      </c>
      <c r="B3917" t="s">
        <v>728</v>
      </c>
      <c r="C3917" t="s">
        <v>123</v>
      </c>
      <c r="F3917" t="str">
        <f>"8589529707"</f>
        <v>8589529707</v>
      </c>
      <c r="G3917">
        <v>1607</v>
      </c>
      <c r="H3917" t="s">
        <v>198</v>
      </c>
      <c r="I3917" t="s">
        <v>22</v>
      </c>
      <c r="J3917">
        <v>92101</v>
      </c>
      <c r="L3917" t="s">
        <v>23</v>
      </c>
      <c r="M3917">
        <v>1607</v>
      </c>
      <c r="N3917" t="s">
        <v>198</v>
      </c>
      <c r="O3917" t="s">
        <v>22</v>
      </c>
      <c r="P3917">
        <v>92101</v>
      </c>
      <c r="R3917" t="s">
        <v>23</v>
      </c>
      <c r="S3917" s="1" t="s">
        <v>34218</v>
      </c>
    </row>
    <row r="3918" spans="1:19" x14ac:dyDescent="0.25">
      <c r="A3918">
        <v>101021233</v>
      </c>
      <c r="B3918" t="s">
        <v>6257</v>
      </c>
      <c r="C3918" t="s">
        <v>1327</v>
      </c>
      <c r="F3918" t="str">
        <f>"4232663198"</f>
        <v>4232663198</v>
      </c>
      <c r="G3918" t="s">
        <v>10179</v>
      </c>
      <c r="H3918" t="s">
        <v>5838</v>
      </c>
      <c r="I3918" t="s">
        <v>914</v>
      </c>
      <c r="J3918">
        <v>37405</v>
      </c>
      <c r="K3918">
        <v>1523</v>
      </c>
      <c r="L3918" t="s">
        <v>23</v>
      </c>
      <c r="M3918" t="s">
        <v>10179</v>
      </c>
      <c r="N3918" t="s">
        <v>5838</v>
      </c>
      <c r="O3918" t="s">
        <v>914</v>
      </c>
      <c r="P3918">
        <v>37405</v>
      </c>
      <c r="Q3918">
        <v>1523</v>
      </c>
      <c r="R3918" t="s">
        <v>23</v>
      </c>
      <c r="S3918" s="1" t="s">
        <v>34218</v>
      </c>
    </row>
    <row r="3919" spans="1:19" x14ac:dyDescent="0.25">
      <c r="A3919">
        <v>101424331</v>
      </c>
      <c r="B3919" t="s">
        <v>10180</v>
      </c>
      <c r="C3919" t="s">
        <v>274</v>
      </c>
      <c r="F3919" t="str">
        <f>"5412927436"</f>
        <v>5412927436</v>
      </c>
      <c r="G3919" t="s">
        <v>10181</v>
      </c>
      <c r="H3919" t="s">
        <v>818</v>
      </c>
      <c r="I3919" t="s">
        <v>43</v>
      </c>
      <c r="J3919">
        <v>97003</v>
      </c>
      <c r="K3919">
        <v>4303</v>
      </c>
      <c r="L3919" t="s">
        <v>23</v>
      </c>
      <c r="M3919" t="s">
        <v>10181</v>
      </c>
      <c r="N3919" t="s">
        <v>818</v>
      </c>
      <c r="O3919" t="s">
        <v>43</v>
      </c>
      <c r="P3919">
        <v>97003</v>
      </c>
      <c r="Q3919">
        <v>4303</v>
      </c>
      <c r="R3919" t="s">
        <v>23</v>
      </c>
      <c r="S3919" s="1" t="s">
        <v>34218</v>
      </c>
    </row>
    <row r="3920" spans="1:19" x14ac:dyDescent="0.25">
      <c r="A3920">
        <v>101320942</v>
      </c>
      <c r="B3920" t="s">
        <v>10182</v>
      </c>
      <c r="C3920" t="s">
        <v>119</v>
      </c>
      <c r="F3920" t="str">
        <f>"9784901069"</f>
        <v>9784901069</v>
      </c>
      <c r="G3920" t="s">
        <v>10183</v>
      </c>
      <c r="H3920" t="s">
        <v>10184</v>
      </c>
      <c r="I3920" t="s">
        <v>236</v>
      </c>
      <c r="J3920" t="s">
        <v>10185</v>
      </c>
      <c r="K3920">
        <v>2610</v>
      </c>
      <c r="L3920" t="s">
        <v>23</v>
      </c>
      <c r="M3920" t="s">
        <v>10183</v>
      </c>
      <c r="N3920" t="s">
        <v>10184</v>
      </c>
      <c r="O3920" t="s">
        <v>236</v>
      </c>
      <c r="P3920" t="s">
        <v>10185</v>
      </c>
      <c r="Q3920">
        <v>2610</v>
      </c>
      <c r="R3920" t="s">
        <v>23</v>
      </c>
      <c r="S3920" s="1" t="s">
        <v>34218</v>
      </c>
    </row>
    <row r="3921" spans="1:19" x14ac:dyDescent="0.25">
      <c r="A3921">
        <v>101233066</v>
      </c>
      <c r="B3921" t="s">
        <v>3609</v>
      </c>
      <c r="C3921" t="s">
        <v>10186</v>
      </c>
      <c r="F3921" t="str">
        <f>"5555555555"</f>
        <v>5555555555</v>
      </c>
      <c r="G3921" t="s">
        <v>10187</v>
      </c>
      <c r="H3921" t="s">
        <v>10188</v>
      </c>
      <c r="I3921" t="s">
        <v>365</v>
      </c>
      <c r="J3921">
        <v>85635</v>
      </c>
      <c r="K3921">
        <v>2701</v>
      </c>
      <c r="L3921" t="s">
        <v>23</v>
      </c>
      <c r="M3921" t="s">
        <v>10187</v>
      </c>
      <c r="N3921" t="s">
        <v>10188</v>
      </c>
      <c r="O3921" t="s">
        <v>365</v>
      </c>
      <c r="P3921">
        <v>85635</v>
      </c>
      <c r="Q3921">
        <v>2701</v>
      </c>
      <c r="R3921" t="s">
        <v>23</v>
      </c>
      <c r="S3921" s="1" t="s">
        <v>34218</v>
      </c>
    </row>
    <row r="3922" spans="1:19" x14ac:dyDescent="0.25">
      <c r="A3922">
        <v>100582324</v>
      </c>
      <c r="B3922" t="s">
        <v>5549</v>
      </c>
      <c r="C3922" t="s">
        <v>997</v>
      </c>
      <c r="F3922" t="str">
        <f>"7078249999"</f>
        <v>7078249999</v>
      </c>
      <c r="G3922" t="s">
        <v>10189</v>
      </c>
      <c r="H3922" t="s">
        <v>2069</v>
      </c>
      <c r="I3922" t="s">
        <v>22</v>
      </c>
      <c r="J3922">
        <v>95472</v>
      </c>
      <c r="K3922">
        <v>2902</v>
      </c>
      <c r="L3922" t="s">
        <v>23</v>
      </c>
      <c r="M3922" t="s">
        <v>10189</v>
      </c>
      <c r="N3922" t="s">
        <v>2069</v>
      </c>
      <c r="O3922" t="s">
        <v>22</v>
      </c>
      <c r="P3922">
        <v>95472</v>
      </c>
      <c r="Q3922">
        <v>2902</v>
      </c>
      <c r="R3922" t="s">
        <v>23</v>
      </c>
      <c r="S3922" s="1" t="s">
        <v>34218</v>
      </c>
    </row>
    <row r="3923" spans="1:19" x14ac:dyDescent="0.25">
      <c r="A3923">
        <v>100858130</v>
      </c>
      <c r="B3923" t="s">
        <v>10190</v>
      </c>
      <c r="C3923" t="s">
        <v>2687</v>
      </c>
      <c r="F3923" t="str">
        <f>"7737373458"</f>
        <v>7737373458</v>
      </c>
      <c r="G3923" t="s">
        <v>10191</v>
      </c>
      <c r="H3923" t="s">
        <v>5179</v>
      </c>
      <c r="I3923" t="s">
        <v>236</v>
      </c>
      <c r="J3923">
        <v>2143</v>
      </c>
      <c r="K3923">
        <v>1515</v>
      </c>
      <c r="L3923" t="s">
        <v>23</v>
      </c>
      <c r="M3923" t="s">
        <v>10191</v>
      </c>
      <c r="N3923" t="s">
        <v>5179</v>
      </c>
      <c r="O3923" t="s">
        <v>236</v>
      </c>
      <c r="P3923">
        <v>2143</v>
      </c>
      <c r="Q3923">
        <v>1515</v>
      </c>
      <c r="R3923" t="s">
        <v>23</v>
      </c>
      <c r="S3923" s="1" t="s">
        <v>34218</v>
      </c>
    </row>
    <row r="3924" spans="1:19" x14ac:dyDescent="0.25">
      <c r="A3924">
        <v>101022288</v>
      </c>
      <c r="B3924" t="s">
        <v>9396</v>
      </c>
      <c r="C3924" t="s">
        <v>110</v>
      </c>
      <c r="F3924" t="str">
        <f>"2395616636"</f>
        <v>2395616636</v>
      </c>
      <c r="G3924" t="s">
        <v>10192</v>
      </c>
      <c r="H3924" t="s">
        <v>2103</v>
      </c>
      <c r="I3924" t="s">
        <v>161</v>
      </c>
      <c r="J3924">
        <v>6820</v>
      </c>
      <c r="L3924" t="s">
        <v>23</v>
      </c>
      <c r="M3924" t="s">
        <v>10192</v>
      </c>
      <c r="N3924" t="s">
        <v>2103</v>
      </c>
      <c r="O3924" t="s">
        <v>161</v>
      </c>
      <c r="P3924">
        <v>6820</v>
      </c>
      <c r="R3924" t="s">
        <v>23</v>
      </c>
      <c r="S3924" s="1" t="s">
        <v>34218</v>
      </c>
    </row>
    <row r="3925" spans="1:19" x14ac:dyDescent="0.25">
      <c r="A3925">
        <v>101366840</v>
      </c>
      <c r="B3925" t="s">
        <v>4440</v>
      </c>
      <c r="C3925" t="s">
        <v>10193</v>
      </c>
      <c r="F3925" t="str">
        <f>"9098252069"</f>
        <v>9098252069</v>
      </c>
      <c r="G3925" t="s">
        <v>10194</v>
      </c>
      <c r="H3925" t="s">
        <v>615</v>
      </c>
      <c r="I3925" t="s">
        <v>22</v>
      </c>
      <c r="J3925" t="s">
        <v>10195</v>
      </c>
      <c r="K3925">
        <v>4111</v>
      </c>
      <c r="L3925" t="s">
        <v>23</v>
      </c>
      <c r="M3925" t="s">
        <v>10194</v>
      </c>
      <c r="N3925" t="s">
        <v>615</v>
      </c>
      <c r="O3925" t="s">
        <v>22</v>
      </c>
      <c r="P3925" t="s">
        <v>10195</v>
      </c>
      <c r="Q3925">
        <v>4111</v>
      </c>
      <c r="R3925" t="s">
        <v>23</v>
      </c>
      <c r="S3925" s="1" t="s">
        <v>34218</v>
      </c>
    </row>
    <row r="3926" spans="1:19" x14ac:dyDescent="0.25">
      <c r="A3926">
        <v>100638103</v>
      </c>
      <c r="B3926" t="s">
        <v>10196</v>
      </c>
      <c r="C3926" t="s">
        <v>3951</v>
      </c>
      <c r="F3926" t="str">
        <f>"8478465611"</f>
        <v>8478465611</v>
      </c>
      <c r="G3926" t="s">
        <v>10197</v>
      </c>
      <c r="H3926" t="s">
        <v>134</v>
      </c>
      <c r="I3926" t="s">
        <v>135</v>
      </c>
      <c r="J3926" t="s">
        <v>10198</v>
      </c>
      <c r="K3926">
        <v>6277</v>
      </c>
      <c r="L3926" t="s">
        <v>23</v>
      </c>
      <c r="M3926" t="s">
        <v>10197</v>
      </c>
      <c r="N3926" t="s">
        <v>134</v>
      </c>
      <c r="O3926" t="s">
        <v>135</v>
      </c>
      <c r="P3926" t="s">
        <v>10198</v>
      </c>
      <c r="Q3926">
        <v>6277</v>
      </c>
      <c r="R3926" t="s">
        <v>23</v>
      </c>
      <c r="S3926" s="1" t="s">
        <v>34218</v>
      </c>
    </row>
    <row r="3927" spans="1:19" x14ac:dyDescent="0.25">
      <c r="A3927">
        <v>100981796</v>
      </c>
      <c r="B3927" t="s">
        <v>10199</v>
      </c>
      <c r="C3927" t="s">
        <v>1450</v>
      </c>
      <c r="F3927" t="str">
        <f>"5304013215"</f>
        <v>5304013215</v>
      </c>
      <c r="G3927" t="s">
        <v>10200</v>
      </c>
      <c r="H3927" t="s">
        <v>2250</v>
      </c>
      <c r="I3927" t="s">
        <v>148</v>
      </c>
      <c r="J3927">
        <v>21403</v>
      </c>
      <c r="K3927">
        <v>4954</v>
      </c>
      <c r="L3927" t="s">
        <v>23</v>
      </c>
      <c r="M3927" t="s">
        <v>10200</v>
      </c>
      <c r="N3927" t="s">
        <v>2250</v>
      </c>
      <c r="O3927" t="s">
        <v>148</v>
      </c>
      <c r="P3927">
        <v>21403</v>
      </c>
      <c r="Q3927">
        <v>4954</v>
      </c>
      <c r="R3927" t="s">
        <v>23</v>
      </c>
      <c r="S3927" s="1" t="s">
        <v>34218</v>
      </c>
    </row>
    <row r="3928" spans="1:19" x14ac:dyDescent="0.25">
      <c r="A3928">
        <v>100881380</v>
      </c>
      <c r="B3928" t="s">
        <v>10201</v>
      </c>
      <c r="C3928" t="s">
        <v>1533</v>
      </c>
      <c r="F3928" t="str">
        <f>"2564385636"</f>
        <v>2564385636</v>
      </c>
      <c r="G3928" t="s">
        <v>10202</v>
      </c>
      <c r="H3928" t="s">
        <v>10203</v>
      </c>
      <c r="I3928" t="s">
        <v>1387</v>
      </c>
      <c r="J3928">
        <v>35904</v>
      </c>
      <c r="K3928">
        <v>3962</v>
      </c>
      <c r="L3928" t="s">
        <v>23</v>
      </c>
      <c r="M3928" t="s">
        <v>10202</v>
      </c>
      <c r="N3928" t="s">
        <v>10203</v>
      </c>
      <c r="O3928" t="s">
        <v>1387</v>
      </c>
      <c r="P3928">
        <v>35904</v>
      </c>
      <c r="Q3928">
        <v>3962</v>
      </c>
      <c r="R3928" t="s">
        <v>23</v>
      </c>
      <c r="S3928" s="1" t="s">
        <v>34218</v>
      </c>
    </row>
    <row r="3929" spans="1:19" x14ac:dyDescent="0.25">
      <c r="A3929">
        <v>101206746</v>
      </c>
      <c r="B3929" t="s">
        <v>5505</v>
      </c>
      <c r="C3929" t="s">
        <v>3113</v>
      </c>
      <c r="F3929" t="str">
        <f>"4159432916"</f>
        <v>4159432916</v>
      </c>
      <c r="G3929" t="s">
        <v>10204</v>
      </c>
      <c r="H3929" t="s">
        <v>130</v>
      </c>
      <c r="I3929" t="s">
        <v>22</v>
      </c>
      <c r="J3929">
        <v>94121</v>
      </c>
      <c r="K3929">
        <v>1941</v>
      </c>
      <c r="L3929" t="s">
        <v>23</v>
      </c>
      <c r="M3929" t="s">
        <v>10204</v>
      </c>
      <c r="N3929" t="s">
        <v>130</v>
      </c>
      <c r="O3929" t="s">
        <v>22</v>
      </c>
      <c r="P3929">
        <v>94121</v>
      </c>
      <c r="Q3929">
        <v>1941</v>
      </c>
      <c r="R3929" t="s">
        <v>23</v>
      </c>
      <c r="S3929" s="1" t="s">
        <v>34218</v>
      </c>
    </row>
    <row r="3930" spans="1:19" x14ac:dyDescent="0.25">
      <c r="A3930">
        <v>101304816</v>
      </c>
      <c r="B3930" t="s">
        <v>10205</v>
      </c>
      <c r="C3930" t="s">
        <v>30</v>
      </c>
      <c r="F3930" t="str">
        <f>"2013913456"</f>
        <v>2013913456</v>
      </c>
      <c r="G3930" t="s">
        <v>10206</v>
      </c>
      <c r="H3930" t="s">
        <v>5908</v>
      </c>
      <c r="I3930" t="s">
        <v>52</v>
      </c>
      <c r="J3930">
        <v>32966</v>
      </c>
      <c r="K3930">
        <v>6499</v>
      </c>
      <c r="L3930" t="s">
        <v>23</v>
      </c>
      <c r="M3930" t="s">
        <v>10206</v>
      </c>
      <c r="N3930" t="s">
        <v>5908</v>
      </c>
      <c r="O3930" t="s">
        <v>52</v>
      </c>
      <c r="P3930">
        <v>32966</v>
      </c>
      <c r="Q3930">
        <v>6499</v>
      </c>
      <c r="R3930" t="s">
        <v>23</v>
      </c>
      <c r="S3930" s="1" t="s">
        <v>34218</v>
      </c>
    </row>
    <row r="3931" spans="1:19" x14ac:dyDescent="0.25">
      <c r="A3931">
        <v>100804295</v>
      </c>
      <c r="B3931" t="s">
        <v>10207</v>
      </c>
      <c r="C3931" t="s">
        <v>664</v>
      </c>
      <c r="F3931" t="str">
        <f>"9016824030"</f>
        <v>9016824030</v>
      </c>
      <c r="G3931" t="s">
        <v>10208</v>
      </c>
      <c r="H3931" t="s">
        <v>6664</v>
      </c>
      <c r="I3931" t="s">
        <v>914</v>
      </c>
      <c r="J3931">
        <v>38138</v>
      </c>
      <c r="K3931">
        <v>4628</v>
      </c>
      <c r="L3931" t="s">
        <v>23</v>
      </c>
      <c r="M3931" t="s">
        <v>10208</v>
      </c>
      <c r="N3931" t="s">
        <v>6664</v>
      </c>
      <c r="O3931" t="s">
        <v>914</v>
      </c>
      <c r="P3931">
        <v>38138</v>
      </c>
      <c r="Q3931">
        <v>4628</v>
      </c>
      <c r="R3931" t="s">
        <v>23</v>
      </c>
      <c r="S3931" s="1" t="s">
        <v>34218</v>
      </c>
    </row>
    <row r="3932" spans="1:19" x14ac:dyDescent="0.25">
      <c r="A3932">
        <v>101301054</v>
      </c>
      <c r="B3932" t="s">
        <v>10209</v>
      </c>
      <c r="C3932" t="s">
        <v>575</v>
      </c>
      <c r="F3932" t="str">
        <f>"6084234659"</f>
        <v>6084234659</v>
      </c>
      <c r="G3932" t="s">
        <v>10210</v>
      </c>
      <c r="H3932" t="s">
        <v>3385</v>
      </c>
      <c r="I3932" t="s">
        <v>100</v>
      </c>
      <c r="J3932">
        <v>53523</v>
      </c>
      <c r="L3932" t="s">
        <v>23</v>
      </c>
      <c r="M3932" t="s">
        <v>10210</v>
      </c>
      <c r="N3932" t="s">
        <v>3385</v>
      </c>
      <c r="O3932" t="s">
        <v>100</v>
      </c>
      <c r="P3932">
        <v>53523</v>
      </c>
      <c r="R3932" t="s">
        <v>23</v>
      </c>
      <c r="S3932" s="1" t="s">
        <v>34218</v>
      </c>
    </row>
    <row r="3933" spans="1:19" x14ac:dyDescent="0.25">
      <c r="A3933">
        <v>100658001</v>
      </c>
      <c r="B3933" t="s">
        <v>10211</v>
      </c>
      <c r="C3933" t="s">
        <v>123</v>
      </c>
      <c r="F3933" t="str">
        <f>"6034563539"</f>
        <v>6034563539</v>
      </c>
      <c r="G3933" t="s">
        <v>10212</v>
      </c>
      <c r="H3933" t="s">
        <v>10213</v>
      </c>
      <c r="I3933" t="s">
        <v>353</v>
      </c>
      <c r="J3933">
        <v>3278</v>
      </c>
      <c r="L3933" t="s">
        <v>23</v>
      </c>
      <c r="M3933" t="s">
        <v>10212</v>
      </c>
      <c r="N3933" t="s">
        <v>10213</v>
      </c>
      <c r="O3933" t="s">
        <v>353</v>
      </c>
      <c r="P3933">
        <v>3278</v>
      </c>
      <c r="R3933" t="s">
        <v>23</v>
      </c>
      <c r="S3933" s="1" t="s">
        <v>34218</v>
      </c>
    </row>
    <row r="3934" spans="1:19" x14ac:dyDescent="0.25">
      <c r="A3934">
        <v>101220745</v>
      </c>
      <c r="B3934" t="s">
        <v>10214</v>
      </c>
      <c r="C3934" t="s">
        <v>1422</v>
      </c>
      <c r="F3934" t="str">
        <f>"6025792288"</f>
        <v>6025792288</v>
      </c>
      <c r="G3934" t="s">
        <v>10215</v>
      </c>
      <c r="H3934" t="s">
        <v>10216</v>
      </c>
      <c r="I3934" t="s">
        <v>22</v>
      </c>
      <c r="J3934">
        <v>92225</v>
      </c>
      <c r="K3934">
        <v>1715</v>
      </c>
      <c r="L3934" t="s">
        <v>23</v>
      </c>
      <c r="M3934" t="s">
        <v>10215</v>
      </c>
      <c r="N3934" t="s">
        <v>10216</v>
      </c>
      <c r="O3934" t="s">
        <v>22</v>
      </c>
      <c r="P3934">
        <v>92225</v>
      </c>
      <c r="Q3934">
        <v>1715</v>
      </c>
      <c r="R3934" t="s">
        <v>23</v>
      </c>
      <c r="S3934" s="1" t="s">
        <v>34218</v>
      </c>
    </row>
    <row r="3935" spans="1:19" x14ac:dyDescent="0.25">
      <c r="A3935">
        <v>100879122</v>
      </c>
      <c r="B3935" t="s">
        <v>10217</v>
      </c>
      <c r="C3935" t="s">
        <v>10218</v>
      </c>
      <c r="F3935" t="str">
        <f>"6362849896"</f>
        <v>6362849896</v>
      </c>
      <c r="G3935" t="s">
        <v>10219</v>
      </c>
      <c r="H3935" t="s">
        <v>10220</v>
      </c>
      <c r="I3935" t="s">
        <v>126</v>
      </c>
      <c r="J3935" t="s">
        <v>10221</v>
      </c>
      <c r="K3935">
        <v>7822</v>
      </c>
      <c r="L3935" t="s">
        <v>23</v>
      </c>
      <c r="M3935" t="s">
        <v>10219</v>
      </c>
      <c r="N3935" t="s">
        <v>10220</v>
      </c>
      <c r="O3935" t="s">
        <v>126</v>
      </c>
      <c r="P3935" t="s">
        <v>10221</v>
      </c>
      <c r="Q3935">
        <v>7822</v>
      </c>
      <c r="R3935" t="s">
        <v>23</v>
      </c>
      <c r="S3935" s="1" t="s">
        <v>34218</v>
      </c>
    </row>
    <row r="3936" spans="1:19" x14ac:dyDescent="0.25">
      <c r="A3936">
        <v>100770795</v>
      </c>
      <c r="B3936" t="s">
        <v>1297</v>
      </c>
      <c r="C3936" t="s">
        <v>2762</v>
      </c>
      <c r="F3936" t="str">
        <f>"2066321293"</f>
        <v>2066321293</v>
      </c>
      <c r="G3936" t="s">
        <v>10222</v>
      </c>
      <c r="H3936" t="s">
        <v>1531</v>
      </c>
      <c r="I3936" t="s">
        <v>84</v>
      </c>
      <c r="J3936" t="s">
        <v>10223</v>
      </c>
      <c r="K3936">
        <v>6984</v>
      </c>
      <c r="L3936" t="s">
        <v>23</v>
      </c>
      <c r="M3936" t="s">
        <v>10222</v>
      </c>
      <c r="N3936" t="s">
        <v>1531</v>
      </c>
      <c r="O3936" t="s">
        <v>84</v>
      </c>
      <c r="P3936" t="s">
        <v>10223</v>
      </c>
      <c r="Q3936">
        <v>6984</v>
      </c>
      <c r="R3936" t="s">
        <v>23</v>
      </c>
      <c r="S3936" s="1" t="s">
        <v>34218</v>
      </c>
    </row>
    <row r="3937" spans="1:19" x14ac:dyDescent="0.25">
      <c r="A3937">
        <v>100716129</v>
      </c>
      <c r="B3937" t="s">
        <v>6060</v>
      </c>
      <c r="C3937" t="s">
        <v>4427</v>
      </c>
      <c r="F3937" t="str">
        <f>"6469197634"</f>
        <v>6469197634</v>
      </c>
      <c r="G3937" t="s">
        <v>10224</v>
      </c>
      <c r="H3937" t="s">
        <v>653</v>
      </c>
      <c r="I3937" t="s">
        <v>117</v>
      </c>
      <c r="J3937" t="s">
        <v>10225</v>
      </c>
      <c r="K3937">
        <v>8556</v>
      </c>
      <c r="L3937" t="s">
        <v>23</v>
      </c>
      <c r="M3937" t="s">
        <v>10224</v>
      </c>
      <c r="N3937" t="s">
        <v>653</v>
      </c>
      <c r="O3937" t="s">
        <v>117</v>
      </c>
      <c r="P3937" t="s">
        <v>10225</v>
      </c>
      <c r="Q3937">
        <v>8556</v>
      </c>
      <c r="R3937" t="s">
        <v>23</v>
      </c>
      <c r="S3937" s="1" t="s">
        <v>34218</v>
      </c>
    </row>
    <row r="3938" spans="1:19" x14ac:dyDescent="0.25">
      <c r="A3938">
        <v>101117725</v>
      </c>
      <c r="B3938" t="s">
        <v>276</v>
      </c>
      <c r="C3938" t="s">
        <v>575</v>
      </c>
      <c r="F3938" t="str">
        <f>"6142886431"</f>
        <v>6142886431</v>
      </c>
      <c r="G3938" t="s">
        <v>10226</v>
      </c>
      <c r="H3938" t="s">
        <v>10227</v>
      </c>
      <c r="I3938" t="s">
        <v>140</v>
      </c>
      <c r="J3938">
        <v>49445</v>
      </c>
      <c r="K3938">
        <v>8632</v>
      </c>
      <c r="L3938" t="s">
        <v>23</v>
      </c>
      <c r="M3938" t="s">
        <v>10226</v>
      </c>
      <c r="N3938" t="s">
        <v>10227</v>
      </c>
      <c r="O3938" t="s">
        <v>140</v>
      </c>
      <c r="P3938">
        <v>49445</v>
      </c>
      <c r="Q3938">
        <v>8632</v>
      </c>
      <c r="R3938" t="s">
        <v>23</v>
      </c>
      <c r="S3938" s="1" t="s">
        <v>34218</v>
      </c>
    </row>
    <row r="3939" spans="1:19" x14ac:dyDescent="0.25">
      <c r="A3939">
        <v>101356826</v>
      </c>
      <c r="B3939" t="s">
        <v>10228</v>
      </c>
      <c r="C3939" t="s">
        <v>1218</v>
      </c>
      <c r="F3939" t="str">
        <f>"5033678547"</f>
        <v>5033678547</v>
      </c>
      <c r="G3939" t="s">
        <v>10229</v>
      </c>
      <c r="H3939" t="s">
        <v>227</v>
      </c>
      <c r="I3939" t="s">
        <v>43</v>
      </c>
      <c r="J3939">
        <v>97217</v>
      </c>
      <c r="L3939" t="s">
        <v>23</v>
      </c>
      <c r="M3939" t="s">
        <v>10229</v>
      </c>
      <c r="N3939" t="s">
        <v>227</v>
      </c>
      <c r="O3939" t="s">
        <v>43</v>
      </c>
      <c r="P3939">
        <v>97217</v>
      </c>
      <c r="R3939" t="s">
        <v>23</v>
      </c>
      <c r="S3939" s="1" t="s">
        <v>34218</v>
      </c>
    </row>
    <row r="3940" spans="1:19" x14ac:dyDescent="0.25">
      <c r="A3940">
        <v>100723014</v>
      </c>
      <c r="B3940" t="s">
        <v>10230</v>
      </c>
      <c r="C3940" t="s">
        <v>1581</v>
      </c>
      <c r="F3940" t="str">
        <f>"7166851031"</f>
        <v>7166851031</v>
      </c>
      <c r="G3940" t="s">
        <v>10231</v>
      </c>
      <c r="H3940" t="s">
        <v>4730</v>
      </c>
      <c r="I3940" t="s">
        <v>117</v>
      </c>
      <c r="J3940">
        <v>14227</v>
      </c>
      <c r="L3940" t="s">
        <v>23</v>
      </c>
      <c r="M3940" t="s">
        <v>10231</v>
      </c>
      <c r="N3940" t="s">
        <v>4730</v>
      </c>
      <c r="O3940" t="s">
        <v>117</v>
      </c>
      <c r="P3940">
        <v>14227</v>
      </c>
      <c r="R3940" t="s">
        <v>23</v>
      </c>
      <c r="S3940" s="1" t="s">
        <v>34218</v>
      </c>
    </row>
    <row r="3941" spans="1:19" x14ac:dyDescent="0.25">
      <c r="A3941">
        <v>101379387</v>
      </c>
      <c r="B3941" t="s">
        <v>10232</v>
      </c>
      <c r="C3941" t="s">
        <v>846</v>
      </c>
      <c r="F3941" t="str">
        <f>"8438199524"</f>
        <v>8438199524</v>
      </c>
      <c r="G3941" t="s">
        <v>10233</v>
      </c>
      <c r="H3941" t="s">
        <v>1276</v>
      </c>
      <c r="I3941" t="s">
        <v>446</v>
      </c>
      <c r="J3941">
        <v>27514</v>
      </c>
      <c r="K3941">
        <v>5835</v>
      </c>
      <c r="L3941" t="s">
        <v>23</v>
      </c>
      <c r="M3941" t="s">
        <v>10233</v>
      </c>
      <c r="N3941" t="s">
        <v>1276</v>
      </c>
      <c r="O3941" t="s">
        <v>446</v>
      </c>
      <c r="P3941">
        <v>27514</v>
      </c>
      <c r="Q3941">
        <v>5835</v>
      </c>
      <c r="R3941" t="s">
        <v>23</v>
      </c>
      <c r="S3941" s="1" t="s">
        <v>34218</v>
      </c>
    </row>
    <row r="3942" spans="1:19" x14ac:dyDescent="0.25">
      <c r="A3942">
        <v>100848498</v>
      </c>
      <c r="B3942" t="s">
        <v>10234</v>
      </c>
      <c r="C3942" t="s">
        <v>7569</v>
      </c>
      <c r="F3942" t="str">
        <f>"9783401917"</f>
        <v>9783401917</v>
      </c>
      <c r="G3942" t="s">
        <v>10235</v>
      </c>
      <c r="H3942" t="s">
        <v>1479</v>
      </c>
      <c r="I3942" t="s">
        <v>52</v>
      </c>
      <c r="J3942">
        <v>34997</v>
      </c>
      <c r="K3942">
        <v>7111</v>
      </c>
      <c r="L3942" t="s">
        <v>23</v>
      </c>
      <c r="M3942" t="s">
        <v>10235</v>
      </c>
      <c r="N3942" t="s">
        <v>1479</v>
      </c>
      <c r="O3942" t="s">
        <v>52</v>
      </c>
      <c r="P3942">
        <v>34997</v>
      </c>
      <c r="Q3942">
        <v>7111</v>
      </c>
      <c r="R3942" t="s">
        <v>23</v>
      </c>
      <c r="S3942" s="1" t="s">
        <v>34218</v>
      </c>
    </row>
    <row r="3943" spans="1:19" x14ac:dyDescent="0.25">
      <c r="A3943">
        <v>100582665</v>
      </c>
      <c r="B3943" t="s">
        <v>1210</v>
      </c>
      <c r="C3943" t="s">
        <v>216</v>
      </c>
      <c r="F3943" t="str">
        <f>"2396891882"</f>
        <v>2396891882</v>
      </c>
      <c r="G3943" t="s">
        <v>10236</v>
      </c>
      <c r="H3943" t="s">
        <v>9229</v>
      </c>
      <c r="I3943" t="s">
        <v>52</v>
      </c>
      <c r="J3943" t="s">
        <v>10237</v>
      </c>
      <c r="K3943">
        <v>2431</v>
      </c>
      <c r="L3943" t="s">
        <v>23</v>
      </c>
      <c r="M3943" t="s">
        <v>10236</v>
      </c>
      <c r="N3943" t="s">
        <v>9229</v>
      </c>
      <c r="O3943" t="s">
        <v>52</v>
      </c>
      <c r="P3943" t="s">
        <v>10237</v>
      </c>
      <c r="Q3943">
        <v>2431</v>
      </c>
      <c r="R3943" t="s">
        <v>23</v>
      </c>
      <c r="S3943" s="1" t="s">
        <v>34218</v>
      </c>
    </row>
    <row r="3944" spans="1:19" x14ac:dyDescent="0.25">
      <c r="A3944">
        <v>101299195</v>
      </c>
      <c r="B3944" t="s">
        <v>10238</v>
      </c>
      <c r="C3944" t="s">
        <v>137</v>
      </c>
      <c r="F3944" t="str">
        <f>"3863382637"</f>
        <v>3863382637</v>
      </c>
      <c r="G3944" t="s">
        <v>10239</v>
      </c>
      <c r="H3944" t="s">
        <v>10240</v>
      </c>
      <c r="I3944" t="s">
        <v>52</v>
      </c>
      <c r="J3944" t="s">
        <v>10241</v>
      </c>
      <c r="K3944">
        <v>3477</v>
      </c>
      <c r="L3944" t="s">
        <v>23</v>
      </c>
      <c r="M3944" t="s">
        <v>10239</v>
      </c>
      <c r="N3944" t="s">
        <v>10240</v>
      </c>
      <c r="O3944" t="s">
        <v>52</v>
      </c>
      <c r="P3944" t="s">
        <v>10241</v>
      </c>
      <c r="Q3944">
        <v>3477</v>
      </c>
      <c r="R3944" t="s">
        <v>23</v>
      </c>
      <c r="S3944" s="1" t="s">
        <v>34218</v>
      </c>
    </row>
    <row r="3945" spans="1:19" x14ac:dyDescent="0.25">
      <c r="A3945">
        <v>100540901</v>
      </c>
      <c r="B3945" t="s">
        <v>10242</v>
      </c>
      <c r="C3945" t="s">
        <v>10243</v>
      </c>
      <c r="F3945" t="str">
        <f>"6264274268"</f>
        <v>6264274268</v>
      </c>
      <c r="G3945" t="s">
        <v>10244</v>
      </c>
      <c r="H3945" t="s">
        <v>10245</v>
      </c>
      <c r="I3945" t="s">
        <v>22</v>
      </c>
      <c r="J3945">
        <v>91012</v>
      </c>
      <c r="K3945">
        <v>7058</v>
      </c>
      <c r="L3945" t="s">
        <v>23</v>
      </c>
      <c r="M3945" t="s">
        <v>10244</v>
      </c>
      <c r="N3945" t="s">
        <v>10245</v>
      </c>
      <c r="O3945" t="s">
        <v>22</v>
      </c>
      <c r="P3945">
        <v>91012</v>
      </c>
      <c r="Q3945">
        <v>7058</v>
      </c>
      <c r="R3945" t="s">
        <v>23</v>
      </c>
      <c r="S3945" s="1" t="s">
        <v>34218</v>
      </c>
    </row>
    <row r="3946" spans="1:19" x14ac:dyDescent="0.25">
      <c r="A3946">
        <v>101228948</v>
      </c>
      <c r="B3946" t="s">
        <v>5038</v>
      </c>
      <c r="C3946" t="s">
        <v>1306</v>
      </c>
      <c r="F3946" t="str">
        <f>"9712460014"</f>
        <v>9712460014</v>
      </c>
      <c r="G3946" t="s">
        <v>10246</v>
      </c>
      <c r="H3946" t="s">
        <v>5070</v>
      </c>
      <c r="I3946" t="s">
        <v>84</v>
      </c>
      <c r="J3946">
        <v>98682</v>
      </c>
      <c r="K3946">
        <v>1582</v>
      </c>
      <c r="L3946" t="s">
        <v>23</v>
      </c>
      <c r="M3946" t="s">
        <v>10246</v>
      </c>
      <c r="N3946" t="s">
        <v>5070</v>
      </c>
      <c r="O3946" t="s">
        <v>84</v>
      </c>
      <c r="P3946">
        <v>98682</v>
      </c>
      <c r="Q3946">
        <v>1582</v>
      </c>
      <c r="R3946" t="s">
        <v>23</v>
      </c>
      <c r="S3946" s="1" t="s">
        <v>34218</v>
      </c>
    </row>
    <row r="3947" spans="1:19" x14ac:dyDescent="0.25">
      <c r="A3947">
        <v>100975766</v>
      </c>
      <c r="B3947" t="s">
        <v>10247</v>
      </c>
      <c r="C3947" t="s">
        <v>1309</v>
      </c>
      <c r="F3947" t="str">
        <f>"6174923821"</f>
        <v>6174923821</v>
      </c>
      <c r="G3947" t="s">
        <v>10248</v>
      </c>
      <c r="H3947" t="s">
        <v>3385</v>
      </c>
      <c r="I3947" t="s">
        <v>236</v>
      </c>
      <c r="J3947">
        <v>2139</v>
      </c>
      <c r="K3947">
        <v>3506</v>
      </c>
      <c r="L3947" t="s">
        <v>23</v>
      </c>
      <c r="M3947" t="s">
        <v>10248</v>
      </c>
      <c r="N3947" t="s">
        <v>3385</v>
      </c>
      <c r="O3947" t="s">
        <v>236</v>
      </c>
      <c r="P3947">
        <v>2139</v>
      </c>
      <c r="Q3947">
        <v>3506</v>
      </c>
      <c r="R3947" t="s">
        <v>23</v>
      </c>
      <c r="S3947" s="1" t="s">
        <v>34218</v>
      </c>
    </row>
    <row r="3948" spans="1:19" x14ac:dyDescent="0.25">
      <c r="A3948">
        <v>101109249</v>
      </c>
      <c r="B3948" t="s">
        <v>10249</v>
      </c>
      <c r="C3948" t="s">
        <v>10250</v>
      </c>
      <c r="F3948" t="str">
        <f>"7065430366"</f>
        <v>7065430366</v>
      </c>
      <c r="G3948" t="s">
        <v>10251</v>
      </c>
      <c r="H3948" t="s">
        <v>2769</v>
      </c>
      <c r="I3948" t="s">
        <v>191</v>
      </c>
      <c r="J3948">
        <v>4055</v>
      </c>
      <c r="K3948">
        <v>218</v>
      </c>
      <c r="L3948" t="s">
        <v>23</v>
      </c>
      <c r="M3948" t="s">
        <v>10251</v>
      </c>
      <c r="N3948" t="s">
        <v>2769</v>
      </c>
      <c r="O3948" t="s">
        <v>191</v>
      </c>
      <c r="P3948">
        <v>4055</v>
      </c>
      <c r="Q3948">
        <v>218</v>
      </c>
      <c r="R3948" t="s">
        <v>23</v>
      </c>
      <c r="S3948" s="1" t="s">
        <v>34218</v>
      </c>
    </row>
    <row r="3949" spans="1:19" x14ac:dyDescent="0.25">
      <c r="A3949">
        <v>100715539</v>
      </c>
      <c r="B3949" t="s">
        <v>10252</v>
      </c>
      <c r="C3949" t="s">
        <v>1374</v>
      </c>
      <c r="F3949" t="str">
        <f>"4155551212"</f>
        <v>4155551212</v>
      </c>
      <c r="G3949" t="s">
        <v>10253</v>
      </c>
      <c r="H3949" t="s">
        <v>3198</v>
      </c>
      <c r="I3949" t="s">
        <v>22</v>
      </c>
      <c r="J3949">
        <v>94523</v>
      </c>
      <c r="K3949">
        <v>1370</v>
      </c>
      <c r="L3949" t="s">
        <v>23</v>
      </c>
      <c r="M3949" t="s">
        <v>10253</v>
      </c>
      <c r="N3949" t="s">
        <v>3198</v>
      </c>
      <c r="O3949" t="s">
        <v>22</v>
      </c>
      <c r="P3949">
        <v>94523</v>
      </c>
      <c r="Q3949">
        <v>1370</v>
      </c>
      <c r="R3949" t="s">
        <v>23</v>
      </c>
      <c r="S3949" s="1" t="s">
        <v>34218</v>
      </c>
    </row>
    <row r="3950" spans="1:19" x14ac:dyDescent="0.25">
      <c r="A3950">
        <v>101407414</v>
      </c>
      <c r="B3950" t="s">
        <v>10254</v>
      </c>
      <c r="C3950" t="s">
        <v>403</v>
      </c>
      <c r="F3950" t="str">
        <f>"4159904144"</f>
        <v>4159904144</v>
      </c>
      <c r="G3950" t="s">
        <v>10255</v>
      </c>
      <c r="H3950" t="s">
        <v>650</v>
      </c>
      <c r="I3950" t="s">
        <v>22</v>
      </c>
      <c r="J3950">
        <v>95816</v>
      </c>
      <c r="K3950">
        <v>6004</v>
      </c>
      <c r="L3950" t="s">
        <v>23</v>
      </c>
      <c r="M3950" t="s">
        <v>10255</v>
      </c>
      <c r="N3950" t="s">
        <v>650</v>
      </c>
      <c r="O3950" t="s">
        <v>22</v>
      </c>
      <c r="P3950">
        <v>95816</v>
      </c>
      <c r="Q3950">
        <v>6004</v>
      </c>
      <c r="R3950" t="s">
        <v>23</v>
      </c>
      <c r="S3950" s="1" t="s">
        <v>34218</v>
      </c>
    </row>
    <row r="3951" spans="1:19" x14ac:dyDescent="0.25">
      <c r="A3951">
        <v>101253280</v>
      </c>
      <c r="B3951" t="s">
        <v>10256</v>
      </c>
      <c r="C3951" t="s">
        <v>3357</v>
      </c>
      <c r="F3951" t="str">
        <f>"3476844345"</f>
        <v>3476844345</v>
      </c>
      <c r="G3951" t="s">
        <v>10257</v>
      </c>
      <c r="H3951" t="s">
        <v>6192</v>
      </c>
      <c r="I3951" t="s">
        <v>117</v>
      </c>
      <c r="J3951">
        <v>11355</v>
      </c>
      <c r="K3951">
        <v>4008</v>
      </c>
      <c r="L3951" t="s">
        <v>23</v>
      </c>
      <c r="M3951" t="s">
        <v>10257</v>
      </c>
      <c r="N3951" t="s">
        <v>6192</v>
      </c>
      <c r="O3951" t="s">
        <v>117</v>
      </c>
      <c r="P3951">
        <v>11355</v>
      </c>
      <c r="Q3951">
        <v>4008</v>
      </c>
      <c r="R3951" t="s">
        <v>23</v>
      </c>
      <c r="S3951" s="1" t="s">
        <v>34218</v>
      </c>
    </row>
    <row r="3952" spans="1:19" x14ac:dyDescent="0.25">
      <c r="A3952">
        <v>101408413</v>
      </c>
      <c r="B3952" t="s">
        <v>10258</v>
      </c>
      <c r="C3952" t="s">
        <v>2343</v>
      </c>
      <c r="F3952" t="str">
        <f>"4256521063"</f>
        <v>4256521063</v>
      </c>
      <c r="G3952" t="s">
        <v>10259</v>
      </c>
      <c r="H3952" t="s">
        <v>3270</v>
      </c>
      <c r="I3952" t="s">
        <v>348</v>
      </c>
      <c r="J3952" t="s">
        <v>10260</v>
      </c>
      <c r="K3952">
        <v>4997</v>
      </c>
      <c r="L3952" t="s">
        <v>23</v>
      </c>
      <c r="M3952" t="s">
        <v>10259</v>
      </c>
      <c r="N3952" t="s">
        <v>3270</v>
      </c>
      <c r="O3952" t="s">
        <v>348</v>
      </c>
      <c r="P3952" t="s">
        <v>10260</v>
      </c>
      <c r="Q3952">
        <v>4997</v>
      </c>
      <c r="R3952" t="s">
        <v>23</v>
      </c>
      <c r="S3952" s="1" t="s">
        <v>34218</v>
      </c>
    </row>
    <row r="3953" spans="1:19" x14ac:dyDescent="0.25">
      <c r="A3953">
        <v>101309680</v>
      </c>
      <c r="B3953" t="s">
        <v>2656</v>
      </c>
      <c r="C3953" t="s">
        <v>286</v>
      </c>
      <c r="F3953" t="str">
        <f>"9145886862"</f>
        <v>9145886862</v>
      </c>
      <c r="G3953" t="s">
        <v>10261</v>
      </c>
      <c r="H3953" t="s">
        <v>653</v>
      </c>
      <c r="I3953" t="s">
        <v>117</v>
      </c>
      <c r="J3953">
        <v>10025</v>
      </c>
      <c r="K3953">
        <v>6711</v>
      </c>
      <c r="L3953" t="s">
        <v>23</v>
      </c>
      <c r="M3953" t="s">
        <v>10261</v>
      </c>
      <c r="N3953" t="s">
        <v>653</v>
      </c>
      <c r="O3953" t="s">
        <v>117</v>
      </c>
      <c r="P3953">
        <v>10025</v>
      </c>
      <c r="Q3953">
        <v>6711</v>
      </c>
      <c r="R3953" t="s">
        <v>23</v>
      </c>
      <c r="S3953" s="1" t="s">
        <v>34218</v>
      </c>
    </row>
    <row r="3954" spans="1:19" x14ac:dyDescent="0.25">
      <c r="A3954">
        <v>101291486</v>
      </c>
      <c r="B3954" t="s">
        <v>10262</v>
      </c>
      <c r="C3954" t="s">
        <v>10263</v>
      </c>
      <c r="F3954" t="str">
        <f>"5417584267"</f>
        <v>5417584267</v>
      </c>
      <c r="G3954" t="s">
        <v>10264</v>
      </c>
      <c r="H3954" t="s">
        <v>3498</v>
      </c>
      <c r="I3954" t="s">
        <v>43</v>
      </c>
      <c r="J3954">
        <v>97330</v>
      </c>
      <c r="K3954">
        <v>2650</v>
      </c>
      <c r="L3954" t="s">
        <v>23</v>
      </c>
      <c r="M3954" t="s">
        <v>10264</v>
      </c>
      <c r="N3954" t="s">
        <v>3498</v>
      </c>
      <c r="O3954" t="s">
        <v>43</v>
      </c>
      <c r="P3954">
        <v>97330</v>
      </c>
      <c r="Q3954">
        <v>2650</v>
      </c>
      <c r="R3954" t="s">
        <v>23</v>
      </c>
      <c r="S3954" s="1" t="s">
        <v>34218</v>
      </c>
    </row>
    <row r="3955" spans="1:19" x14ac:dyDescent="0.25">
      <c r="A3955">
        <v>101084576</v>
      </c>
      <c r="B3955" t="s">
        <v>10265</v>
      </c>
      <c r="C3955" t="s">
        <v>2497</v>
      </c>
      <c r="F3955" t="str">
        <f>"2053822424"</f>
        <v>2053822424</v>
      </c>
      <c r="G3955" t="s">
        <v>10266</v>
      </c>
      <c r="H3955" t="s">
        <v>10267</v>
      </c>
      <c r="I3955" t="s">
        <v>1387</v>
      </c>
      <c r="J3955" t="s">
        <v>10268</v>
      </c>
      <c r="K3955">
        <v>2347</v>
      </c>
      <c r="L3955" t="s">
        <v>23</v>
      </c>
      <c r="M3955" t="s">
        <v>10266</v>
      </c>
      <c r="N3955" t="s">
        <v>10267</v>
      </c>
      <c r="O3955" t="s">
        <v>1387</v>
      </c>
      <c r="P3955" t="s">
        <v>10268</v>
      </c>
      <c r="Q3955">
        <v>2347</v>
      </c>
      <c r="R3955" t="s">
        <v>23</v>
      </c>
      <c r="S3955" s="1" t="s">
        <v>34218</v>
      </c>
    </row>
    <row r="3956" spans="1:19" x14ac:dyDescent="0.25">
      <c r="A3956">
        <v>100764435</v>
      </c>
      <c r="B3956" t="s">
        <v>10269</v>
      </c>
      <c r="C3956" t="s">
        <v>286</v>
      </c>
      <c r="F3956" t="str">
        <f>"8157546452"</f>
        <v>8157546452</v>
      </c>
      <c r="G3956" t="s">
        <v>10270</v>
      </c>
      <c r="H3956" t="s">
        <v>10271</v>
      </c>
      <c r="I3956" t="s">
        <v>135</v>
      </c>
      <c r="J3956">
        <v>60115</v>
      </c>
      <c r="K3956">
        <v>3165</v>
      </c>
      <c r="L3956" t="s">
        <v>23</v>
      </c>
      <c r="M3956" t="s">
        <v>10270</v>
      </c>
      <c r="N3956" t="s">
        <v>10271</v>
      </c>
      <c r="O3956" t="s">
        <v>135</v>
      </c>
      <c r="P3956">
        <v>60115</v>
      </c>
      <c r="Q3956">
        <v>3165</v>
      </c>
      <c r="R3956" t="s">
        <v>23</v>
      </c>
      <c r="S3956" s="1" t="s">
        <v>34218</v>
      </c>
    </row>
    <row r="3957" spans="1:19" x14ac:dyDescent="0.25">
      <c r="A3957">
        <v>101247182</v>
      </c>
      <c r="B3957" t="s">
        <v>9854</v>
      </c>
      <c r="C3957" t="s">
        <v>1239</v>
      </c>
      <c r="F3957" t="str">
        <f>"2405050416"</f>
        <v>2405050416</v>
      </c>
      <c r="G3957" t="s">
        <v>10272</v>
      </c>
      <c r="H3957" t="s">
        <v>10273</v>
      </c>
      <c r="I3957" t="s">
        <v>148</v>
      </c>
      <c r="J3957">
        <v>20854</v>
      </c>
      <c r="K3957">
        <v>3762</v>
      </c>
      <c r="L3957" t="s">
        <v>23</v>
      </c>
      <c r="M3957" t="s">
        <v>10272</v>
      </c>
      <c r="N3957" t="s">
        <v>10273</v>
      </c>
      <c r="O3957" t="s">
        <v>148</v>
      </c>
      <c r="P3957">
        <v>20854</v>
      </c>
      <c r="Q3957">
        <v>3762</v>
      </c>
      <c r="R3957" t="s">
        <v>23</v>
      </c>
      <c r="S3957" s="1" t="s">
        <v>34218</v>
      </c>
    </row>
    <row r="3958" spans="1:19" x14ac:dyDescent="0.25">
      <c r="A3958">
        <v>101315409</v>
      </c>
      <c r="B3958" t="s">
        <v>10274</v>
      </c>
      <c r="C3958" t="s">
        <v>25</v>
      </c>
      <c r="F3958" t="str">
        <f>"5045756417"</f>
        <v>5045756417</v>
      </c>
      <c r="G3958" t="s">
        <v>10275</v>
      </c>
      <c r="H3958" t="s">
        <v>10276</v>
      </c>
      <c r="I3958" t="s">
        <v>84</v>
      </c>
      <c r="J3958">
        <v>98407</v>
      </c>
      <c r="K3958">
        <v>3119</v>
      </c>
      <c r="L3958" t="s">
        <v>23</v>
      </c>
      <c r="M3958" t="s">
        <v>10275</v>
      </c>
      <c r="N3958" t="s">
        <v>10276</v>
      </c>
      <c r="O3958" t="s">
        <v>84</v>
      </c>
      <c r="P3958">
        <v>98407</v>
      </c>
      <c r="Q3958">
        <v>3119</v>
      </c>
      <c r="R3958" t="s">
        <v>23</v>
      </c>
      <c r="S3958" s="1" t="s">
        <v>34218</v>
      </c>
    </row>
    <row r="3959" spans="1:19" x14ac:dyDescent="0.25">
      <c r="A3959">
        <v>100673809</v>
      </c>
      <c r="B3959" t="s">
        <v>10277</v>
      </c>
      <c r="C3959" t="s">
        <v>3254</v>
      </c>
      <c r="F3959" t="str">
        <f>"5419136159"</f>
        <v>5419136159</v>
      </c>
      <c r="G3959" t="s">
        <v>10278</v>
      </c>
      <c r="H3959" t="s">
        <v>1452</v>
      </c>
      <c r="I3959" t="s">
        <v>43</v>
      </c>
      <c r="J3959">
        <v>97402</v>
      </c>
      <c r="K3959">
        <v>6152</v>
      </c>
      <c r="L3959" t="s">
        <v>23</v>
      </c>
      <c r="M3959" t="s">
        <v>10278</v>
      </c>
      <c r="N3959" t="s">
        <v>1452</v>
      </c>
      <c r="O3959" t="s">
        <v>43</v>
      </c>
      <c r="P3959">
        <v>97402</v>
      </c>
      <c r="Q3959">
        <v>6152</v>
      </c>
      <c r="R3959" t="s">
        <v>23</v>
      </c>
      <c r="S3959" s="1" t="s">
        <v>34218</v>
      </c>
    </row>
    <row r="3960" spans="1:19" x14ac:dyDescent="0.25">
      <c r="A3960">
        <v>100757374</v>
      </c>
      <c r="B3960" t="s">
        <v>10279</v>
      </c>
      <c r="C3960" t="s">
        <v>10280</v>
      </c>
      <c r="F3960" t="str">
        <f>"3603121325"</f>
        <v>3603121325</v>
      </c>
      <c r="G3960" t="s">
        <v>10281</v>
      </c>
      <c r="H3960" t="s">
        <v>591</v>
      </c>
      <c r="I3960" t="s">
        <v>84</v>
      </c>
      <c r="J3960">
        <v>98225</v>
      </c>
      <c r="K3960">
        <v>7154</v>
      </c>
      <c r="L3960" t="s">
        <v>23</v>
      </c>
      <c r="M3960" t="s">
        <v>10281</v>
      </c>
      <c r="N3960" t="s">
        <v>591</v>
      </c>
      <c r="O3960" t="s">
        <v>84</v>
      </c>
      <c r="P3960">
        <v>98225</v>
      </c>
      <c r="Q3960">
        <v>7154</v>
      </c>
      <c r="R3960" t="s">
        <v>23</v>
      </c>
      <c r="S3960" s="1" t="s">
        <v>34218</v>
      </c>
    </row>
    <row r="3961" spans="1:19" x14ac:dyDescent="0.25">
      <c r="A3961">
        <v>101336145</v>
      </c>
      <c r="B3961" t="s">
        <v>3096</v>
      </c>
      <c r="C3961" t="s">
        <v>865</v>
      </c>
      <c r="F3961" t="str">
        <f>"5758492793"</f>
        <v>5758492793</v>
      </c>
      <c r="G3961" t="s">
        <v>10282</v>
      </c>
      <c r="H3961" t="s">
        <v>8037</v>
      </c>
      <c r="I3961" t="s">
        <v>639</v>
      </c>
      <c r="J3961">
        <v>88318</v>
      </c>
      <c r="L3961" t="s">
        <v>23</v>
      </c>
      <c r="M3961" t="s">
        <v>10282</v>
      </c>
      <c r="N3961" t="s">
        <v>8037</v>
      </c>
      <c r="O3961" t="s">
        <v>639</v>
      </c>
      <c r="P3961">
        <v>88318</v>
      </c>
      <c r="R3961" t="s">
        <v>23</v>
      </c>
      <c r="S3961" s="1" t="s">
        <v>34218</v>
      </c>
    </row>
    <row r="3962" spans="1:19" x14ac:dyDescent="0.25">
      <c r="A3962">
        <v>100889965</v>
      </c>
      <c r="B3962" t="s">
        <v>10283</v>
      </c>
      <c r="C3962" t="s">
        <v>5599</v>
      </c>
      <c r="F3962" t="str">
        <f>"9082276415"</f>
        <v>9082276415</v>
      </c>
      <c r="G3962" t="s">
        <v>10284</v>
      </c>
      <c r="H3962" t="s">
        <v>10285</v>
      </c>
      <c r="I3962" t="s">
        <v>1482</v>
      </c>
      <c r="J3962" t="s">
        <v>10286</v>
      </c>
      <c r="K3962">
        <v>5556</v>
      </c>
      <c r="L3962" t="s">
        <v>23</v>
      </c>
      <c r="M3962" t="s">
        <v>10284</v>
      </c>
      <c r="N3962" t="s">
        <v>10285</v>
      </c>
      <c r="O3962" t="s">
        <v>1482</v>
      </c>
      <c r="P3962" t="s">
        <v>10286</v>
      </c>
      <c r="Q3962">
        <v>5556</v>
      </c>
      <c r="R3962" t="s">
        <v>23</v>
      </c>
      <c r="S3962" s="1" t="s">
        <v>34218</v>
      </c>
    </row>
    <row r="3963" spans="1:19" x14ac:dyDescent="0.25">
      <c r="A3963">
        <v>100586796</v>
      </c>
      <c r="B3963" t="s">
        <v>10287</v>
      </c>
      <c r="C3963" t="s">
        <v>1218</v>
      </c>
      <c r="F3963" t="str">
        <f>"6027956616"</f>
        <v>6027956616</v>
      </c>
      <c r="G3963" t="s">
        <v>10288</v>
      </c>
      <c r="H3963" t="s">
        <v>682</v>
      </c>
      <c r="I3963" t="s">
        <v>365</v>
      </c>
      <c r="J3963">
        <v>85018</v>
      </c>
      <c r="K3963">
        <v>4260</v>
      </c>
      <c r="L3963" t="s">
        <v>23</v>
      </c>
      <c r="M3963" t="s">
        <v>10288</v>
      </c>
      <c r="N3963" t="s">
        <v>682</v>
      </c>
      <c r="O3963" t="s">
        <v>365</v>
      </c>
      <c r="P3963">
        <v>85018</v>
      </c>
      <c r="Q3963">
        <v>4260</v>
      </c>
      <c r="R3963" t="s">
        <v>23</v>
      </c>
      <c r="S3963" s="1" t="s">
        <v>34218</v>
      </c>
    </row>
    <row r="3964" spans="1:19" x14ac:dyDescent="0.25">
      <c r="A3964">
        <v>100794961</v>
      </c>
      <c r="B3964" t="s">
        <v>10289</v>
      </c>
      <c r="C3964" t="s">
        <v>1327</v>
      </c>
      <c r="F3964" t="str">
        <f>"3105551212"</f>
        <v>3105551212</v>
      </c>
      <c r="H3964" t="s">
        <v>4570</v>
      </c>
      <c r="I3964" t="s">
        <v>22</v>
      </c>
      <c r="J3964">
        <v>90290</v>
      </c>
      <c r="L3964" t="s">
        <v>23</v>
      </c>
      <c r="N3964" t="s">
        <v>4570</v>
      </c>
      <c r="O3964" t="s">
        <v>22</v>
      </c>
      <c r="P3964">
        <v>90290</v>
      </c>
      <c r="R3964" t="s">
        <v>23</v>
      </c>
      <c r="S3964" s="1" t="s">
        <v>34218</v>
      </c>
    </row>
    <row r="3965" spans="1:19" x14ac:dyDescent="0.25">
      <c r="A3965">
        <v>100653632</v>
      </c>
      <c r="B3965" t="s">
        <v>10290</v>
      </c>
      <c r="C3965" t="s">
        <v>483</v>
      </c>
      <c r="F3965" t="str">
        <f>"3215017423"</f>
        <v>3215017423</v>
      </c>
      <c r="G3965" t="s">
        <v>10291</v>
      </c>
      <c r="H3965" t="s">
        <v>10292</v>
      </c>
      <c r="I3965" t="s">
        <v>52</v>
      </c>
      <c r="J3965">
        <v>33403</v>
      </c>
      <c r="K3965">
        <v>2733</v>
      </c>
      <c r="L3965" t="s">
        <v>23</v>
      </c>
      <c r="M3965" t="s">
        <v>10291</v>
      </c>
      <c r="N3965" t="s">
        <v>10292</v>
      </c>
      <c r="O3965" t="s">
        <v>52</v>
      </c>
      <c r="P3965">
        <v>33403</v>
      </c>
      <c r="Q3965">
        <v>2733</v>
      </c>
      <c r="R3965" t="s">
        <v>23</v>
      </c>
      <c r="S3965" s="1" t="s">
        <v>34218</v>
      </c>
    </row>
    <row r="3966" spans="1:19" x14ac:dyDescent="0.25">
      <c r="A3966">
        <v>100570211</v>
      </c>
      <c r="B3966" t="s">
        <v>10293</v>
      </c>
      <c r="C3966" t="s">
        <v>10294</v>
      </c>
      <c r="F3966" t="str">
        <f>"9543918855"</f>
        <v>9543918855</v>
      </c>
      <c r="G3966" t="s">
        <v>10295</v>
      </c>
      <c r="H3966" t="s">
        <v>134</v>
      </c>
      <c r="I3966" t="s">
        <v>135</v>
      </c>
      <c r="J3966">
        <v>60601</v>
      </c>
      <c r="K3966">
        <v>4117</v>
      </c>
      <c r="L3966" t="s">
        <v>23</v>
      </c>
      <c r="M3966" t="s">
        <v>10295</v>
      </c>
      <c r="N3966" t="s">
        <v>134</v>
      </c>
      <c r="O3966" t="s">
        <v>135</v>
      </c>
      <c r="P3966">
        <v>60601</v>
      </c>
      <c r="Q3966">
        <v>4117</v>
      </c>
      <c r="R3966" t="s">
        <v>23</v>
      </c>
      <c r="S3966" s="1" t="s">
        <v>34218</v>
      </c>
    </row>
    <row r="3967" spans="1:19" x14ac:dyDescent="0.25">
      <c r="A3967">
        <v>100898973</v>
      </c>
      <c r="B3967" t="s">
        <v>10296</v>
      </c>
      <c r="C3967" t="s">
        <v>554</v>
      </c>
      <c r="F3967" t="str">
        <f>"8473941535"</f>
        <v>8473941535</v>
      </c>
      <c r="G3967" t="s">
        <v>10297</v>
      </c>
      <c r="H3967" t="s">
        <v>10298</v>
      </c>
      <c r="I3967" t="s">
        <v>135</v>
      </c>
      <c r="J3967">
        <v>60008</v>
      </c>
      <c r="K3967">
        <v>1740</v>
      </c>
      <c r="L3967" t="s">
        <v>23</v>
      </c>
      <c r="M3967" t="s">
        <v>10297</v>
      </c>
      <c r="N3967" t="s">
        <v>10298</v>
      </c>
      <c r="O3967" t="s">
        <v>135</v>
      </c>
      <c r="P3967">
        <v>60008</v>
      </c>
      <c r="Q3967">
        <v>1740</v>
      </c>
      <c r="R3967" t="s">
        <v>23</v>
      </c>
      <c r="S3967" s="1" t="s">
        <v>34218</v>
      </c>
    </row>
    <row r="3968" spans="1:19" x14ac:dyDescent="0.25">
      <c r="A3968">
        <v>101060119</v>
      </c>
      <c r="B3968" t="s">
        <v>10299</v>
      </c>
      <c r="C3968" t="s">
        <v>10300</v>
      </c>
      <c r="F3968" t="str">
        <f>"3072243202"</f>
        <v>3072243202</v>
      </c>
      <c r="G3968" t="s">
        <v>10301</v>
      </c>
      <c r="H3968" t="s">
        <v>3737</v>
      </c>
      <c r="I3968" t="s">
        <v>203</v>
      </c>
      <c r="J3968">
        <v>82609</v>
      </c>
      <c r="K3968">
        <v>2873</v>
      </c>
      <c r="L3968" t="s">
        <v>23</v>
      </c>
      <c r="M3968" t="s">
        <v>10301</v>
      </c>
      <c r="N3968" t="s">
        <v>3737</v>
      </c>
      <c r="O3968" t="s">
        <v>203</v>
      </c>
      <c r="P3968">
        <v>82609</v>
      </c>
      <c r="Q3968">
        <v>2873</v>
      </c>
      <c r="R3968" t="s">
        <v>23</v>
      </c>
      <c r="S3968" s="1" t="s">
        <v>34218</v>
      </c>
    </row>
    <row r="3969" spans="1:19" x14ac:dyDescent="0.25">
      <c r="A3969">
        <v>101161180</v>
      </c>
      <c r="B3969" t="s">
        <v>10302</v>
      </c>
      <c r="C3969" t="s">
        <v>119</v>
      </c>
      <c r="F3969" t="str">
        <f>"2127871566"</f>
        <v>2127871566</v>
      </c>
      <c r="G3969" t="s">
        <v>10303</v>
      </c>
      <c r="H3969" t="s">
        <v>653</v>
      </c>
      <c r="I3969" t="s">
        <v>117</v>
      </c>
      <c r="J3969" t="s">
        <v>10304</v>
      </c>
      <c r="K3969">
        <v>4406</v>
      </c>
      <c r="L3969" t="s">
        <v>23</v>
      </c>
      <c r="M3969" t="s">
        <v>10303</v>
      </c>
      <c r="N3969" t="s">
        <v>653</v>
      </c>
      <c r="O3969" t="s">
        <v>117</v>
      </c>
      <c r="P3969" t="s">
        <v>10304</v>
      </c>
      <c r="Q3969">
        <v>4406</v>
      </c>
      <c r="R3969" t="s">
        <v>23</v>
      </c>
      <c r="S3969" s="1" t="s">
        <v>34218</v>
      </c>
    </row>
    <row r="3970" spans="1:19" x14ac:dyDescent="0.25">
      <c r="A3970">
        <v>101309014</v>
      </c>
      <c r="B3970" t="s">
        <v>10305</v>
      </c>
      <c r="C3970" t="s">
        <v>10306</v>
      </c>
      <c r="F3970" t="str">
        <f>"5165050447"</f>
        <v>5165050447</v>
      </c>
      <c r="G3970" t="s">
        <v>10307</v>
      </c>
      <c r="H3970" t="s">
        <v>10308</v>
      </c>
      <c r="I3970" t="s">
        <v>117</v>
      </c>
      <c r="J3970" t="s">
        <v>10309</v>
      </c>
      <c r="K3970">
        <v>2431</v>
      </c>
      <c r="L3970" t="s">
        <v>23</v>
      </c>
      <c r="M3970" t="s">
        <v>10307</v>
      </c>
      <c r="N3970" t="s">
        <v>10308</v>
      </c>
      <c r="O3970" t="s">
        <v>117</v>
      </c>
      <c r="P3970" t="s">
        <v>10309</v>
      </c>
      <c r="Q3970">
        <v>2431</v>
      </c>
      <c r="R3970" t="s">
        <v>23</v>
      </c>
      <c r="S3970" s="1" t="s">
        <v>34218</v>
      </c>
    </row>
    <row r="3971" spans="1:19" x14ac:dyDescent="0.25">
      <c r="A3971">
        <v>101296127</v>
      </c>
      <c r="B3971" t="s">
        <v>10310</v>
      </c>
      <c r="C3971" t="s">
        <v>10311</v>
      </c>
      <c r="F3971" t="str">
        <f>"4802820301"</f>
        <v>4802820301</v>
      </c>
      <c r="G3971" t="s">
        <v>10312</v>
      </c>
      <c r="H3971" t="s">
        <v>10313</v>
      </c>
      <c r="I3971" t="s">
        <v>365</v>
      </c>
      <c r="J3971" t="s">
        <v>10314</v>
      </c>
      <c r="K3971">
        <v>2934</v>
      </c>
      <c r="L3971" t="s">
        <v>23</v>
      </c>
      <c r="M3971" t="s">
        <v>10312</v>
      </c>
      <c r="N3971" t="s">
        <v>10313</v>
      </c>
      <c r="O3971" t="s">
        <v>365</v>
      </c>
      <c r="P3971" t="s">
        <v>10314</v>
      </c>
      <c r="Q3971">
        <v>2934</v>
      </c>
      <c r="R3971" t="s">
        <v>23</v>
      </c>
      <c r="S3971" s="1" t="s">
        <v>34218</v>
      </c>
    </row>
    <row r="3972" spans="1:19" x14ac:dyDescent="0.25">
      <c r="A3972">
        <v>101248358</v>
      </c>
      <c r="B3972" t="s">
        <v>10315</v>
      </c>
      <c r="C3972" t="s">
        <v>522</v>
      </c>
      <c r="F3972" t="str">
        <f>"7323722397"</f>
        <v>7323722397</v>
      </c>
      <c r="G3972" t="s">
        <v>10316</v>
      </c>
      <c r="H3972" t="s">
        <v>10317</v>
      </c>
      <c r="I3972" t="s">
        <v>43</v>
      </c>
      <c r="J3972">
        <v>7862</v>
      </c>
      <c r="L3972" t="s">
        <v>23</v>
      </c>
      <c r="M3972" t="s">
        <v>10316</v>
      </c>
      <c r="N3972" t="s">
        <v>10317</v>
      </c>
      <c r="O3972" t="s">
        <v>43</v>
      </c>
      <c r="P3972">
        <v>7862</v>
      </c>
      <c r="R3972" t="s">
        <v>23</v>
      </c>
      <c r="S3972" s="1" t="s">
        <v>34218</v>
      </c>
    </row>
    <row r="3973" spans="1:19" x14ac:dyDescent="0.25">
      <c r="A3973">
        <v>100555597</v>
      </c>
      <c r="B3973" t="s">
        <v>10318</v>
      </c>
      <c r="C3973" t="s">
        <v>123</v>
      </c>
      <c r="F3973" t="str">
        <f>"4256293236"</f>
        <v>4256293236</v>
      </c>
      <c r="G3973" t="s">
        <v>10319</v>
      </c>
      <c r="H3973" t="s">
        <v>4186</v>
      </c>
      <c r="I3973" t="s">
        <v>84</v>
      </c>
      <c r="J3973">
        <v>98053</v>
      </c>
      <c r="K3973">
        <v>6290</v>
      </c>
      <c r="L3973" t="s">
        <v>23</v>
      </c>
      <c r="M3973" t="s">
        <v>10319</v>
      </c>
      <c r="N3973" t="s">
        <v>4186</v>
      </c>
      <c r="O3973" t="s">
        <v>84</v>
      </c>
      <c r="P3973">
        <v>98053</v>
      </c>
      <c r="Q3973">
        <v>6290</v>
      </c>
      <c r="R3973" t="s">
        <v>23</v>
      </c>
      <c r="S3973" s="1" t="s">
        <v>34218</v>
      </c>
    </row>
    <row r="3974" spans="1:19" x14ac:dyDescent="0.25">
      <c r="A3974">
        <v>100783715</v>
      </c>
      <c r="B3974" t="s">
        <v>9646</v>
      </c>
      <c r="C3974" t="s">
        <v>3171</v>
      </c>
      <c r="F3974" t="str">
        <f>"5072898405"</f>
        <v>5072898405</v>
      </c>
      <c r="H3974" t="s">
        <v>688</v>
      </c>
      <c r="I3974" t="s">
        <v>187</v>
      </c>
      <c r="J3974">
        <v>55903</v>
      </c>
      <c r="L3974" t="s">
        <v>23</v>
      </c>
      <c r="N3974" t="s">
        <v>688</v>
      </c>
      <c r="O3974" t="s">
        <v>187</v>
      </c>
      <c r="P3974">
        <v>55903</v>
      </c>
      <c r="R3974" t="s">
        <v>23</v>
      </c>
      <c r="S3974" s="1" t="s">
        <v>34218</v>
      </c>
    </row>
    <row r="3975" spans="1:19" x14ac:dyDescent="0.25">
      <c r="A3975">
        <v>100722782</v>
      </c>
      <c r="B3975" t="s">
        <v>10320</v>
      </c>
      <c r="C3975" t="s">
        <v>1212</v>
      </c>
      <c r="F3975" t="str">
        <f>"5039017354"</f>
        <v>5039017354</v>
      </c>
      <c r="G3975" t="s">
        <v>10321</v>
      </c>
      <c r="H3975" t="s">
        <v>227</v>
      </c>
      <c r="I3975" t="s">
        <v>43</v>
      </c>
      <c r="J3975">
        <v>97223</v>
      </c>
      <c r="K3975">
        <v>8981</v>
      </c>
      <c r="L3975" t="s">
        <v>23</v>
      </c>
      <c r="M3975" t="s">
        <v>10321</v>
      </c>
      <c r="N3975" t="s">
        <v>227</v>
      </c>
      <c r="O3975" t="s">
        <v>43</v>
      </c>
      <c r="P3975">
        <v>97223</v>
      </c>
      <c r="Q3975">
        <v>8981</v>
      </c>
      <c r="R3975" t="s">
        <v>23</v>
      </c>
      <c r="S3975" s="1" t="s">
        <v>34218</v>
      </c>
    </row>
    <row r="3976" spans="1:19" x14ac:dyDescent="0.25">
      <c r="A3976">
        <v>100957461</v>
      </c>
      <c r="B3976" t="s">
        <v>10322</v>
      </c>
      <c r="C3976" t="s">
        <v>5347</v>
      </c>
      <c r="F3976" t="str">
        <f>"2032161499"</f>
        <v>2032161499</v>
      </c>
      <c r="G3976" t="s">
        <v>10323</v>
      </c>
      <c r="H3976" t="s">
        <v>88</v>
      </c>
      <c r="I3976" t="s">
        <v>22</v>
      </c>
      <c r="J3976">
        <v>94609</v>
      </c>
      <c r="K3976">
        <v>2130</v>
      </c>
      <c r="L3976" t="s">
        <v>23</v>
      </c>
      <c r="M3976" t="s">
        <v>10323</v>
      </c>
      <c r="N3976" t="s">
        <v>88</v>
      </c>
      <c r="O3976" t="s">
        <v>22</v>
      </c>
      <c r="P3976">
        <v>94609</v>
      </c>
      <c r="Q3976">
        <v>2130</v>
      </c>
      <c r="R3976" t="s">
        <v>23</v>
      </c>
      <c r="S3976" s="1" t="s">
        <v>34218</v>
      </c>
    </row>
    <row r="3977" spans="1:19" x14ac:dyDescent="0.25">
      <c r="A3977">
        <v>101054162</v>
      </c>
      <c r="B3977" t="s">
        <v>10324</v>
      </c>
      <c r="C3977" t="s">
        <v>6840</v>
      </c>
      <c r="F3977" t="str">
        <f>"7165669588"</f>
        <v>7165669588</v>
      </c>
      <c r="G3977" t="s">
        <v>10325</v>
      </c>
      <c r="H3977" t="s">
        <v>202</v>
      </c>
      <c r="I3977" t="s">
        <v>117</v>
      </c>
      <c r="J3977">
        <v>14216</v>
      </c>
      <c r="K3977">
        <v>2355</v>
      </c>
      <c r="L3977" t="s">
        <v>23</v>
      </c>
      <c r="M3977" t="s">
        <v>10325</v>
      </c>
      <c r="N3977" t="s">
        <v>202</v>
      </c>
      <c r="O3977" t="s">
        <v>117</v>
      </c>
      <c r="P3977">
        <v>14216</v>
      </c>
      <c r="Q3977">
        <v>2355</v>
      </c>
      <c r="R3977" t="s">
        <v>23</v>
      </c>
      <c r="S3977" s="1" t="s">
        <v>34218</v>
      </c>
    </row>
    <row r="3978" spans="1:19" x14ac:dyDescent="0.25">
      <c r="A3978">
        <v>100886338</v>
      </c>
      <c r="B3978" t="s">
        <v>10326</v>
      </c>
      <c r="C3978" t="s">
        <v>1208</v>
      </c>
      <c r="F3978" t="str">
        <f>"8473340575"</f>
        <v>8473340575</v>
      </c>
      <c r="G3978" t="s">
        <v>10327</v>
      </c>
      <c r="H3978" t="s">
        <v>10328</v>
      </c>
      <c r="I3978" t="s">
        <v>100</v>
      </c>
      <c r="J3978">
        <v>53104</v>
      </c>
      <c r="K3978">
        <v>9413</v>
      </c>
      <c r="L3978" t="s">
        <v>23</v>
      </c>
      <c r="M3978" t="s">
        <v>10327</v>
      </c>
      <c r="N3978" t="s">
        <v>10328</v>
      </c>
      <c r="O3978" t="s">
        <v>100</v>
      </c>
      <c r="P3978">
        <v>53104</v>
      </c>
      <c r="Q3978">
        <v>9413</v>
      </c>
      <c r="R3978" t="s">
        <v>23</v>
      </c>
      <c r="S3978" s="1" t="s">
        <v>34218</v>
      </c>
    </row>
    <row r="3979" spans="1:19" x14ac:dyDescent="0.25">
      <c r="A3979">
        <v>101361533</v>
      </c>
      <c r="B3979" t="s">
        <v>744</v>
      </c>
      <c r="C3979" t="s">
        <v>68</v>
      </c>
      <c r="F3979" t="str">
        <f>"5102617050"</f>
        <v>5102617050</v>
      </c>
      <c r="G3979" t="s">
        <v>10329</v>
      </c>
      <c r="H3979" t="s">
        <v>88</v>
      </c>
      <c r="I3979" t="s">
        <v>22</v>
      </c>
      <c r="J3979" t="s">
        <v>10330</v>
      </c>
      <c r="K3979">
        <v>1320</v>
      </c>
      <c r="L3979" t="s">
        <v>23</v>
      </c>
      <c r="M3979" t="s">
        <v>10329</v>
      </c>
      <c r="N3979" t="s">
        <v>88</v>
      </c>
      <c r="O3979" t="s">
        <v>22</v>
      </c>
      <c r="P3979" t="s">
        <v>10330</v>
      </c>
      <c r="Q3979">
        <v>1320</v>
      </c>
      <c r="R3979" t="s">
        <v>23</v>
      </c>
      <c r="S3979" s="1" t="s">
        <v>34218</v>
      </c>
    </row>
    <row r="3980" spans="1:19" x14ac:dyDescent="0.25">
      <c r="A3980">
        <v>101404926</v>
      </c>
      <c r="B3980" t="s">
        <v>10331</v>
      </c>
      <c r="C3980" t="s">
        <v>699</v>
      </c>
      <c r="F3980" t="str">
        <f>"2128643807"</f>
        <v>2128643807</v>
      </c>
      <c r="G3980" t="s">
        <v>10332</v>
      </c>
      <c r="H3980" t="s">
        <v>653</v>
      </c>
      <c r="I3980" t="s">
        <v>117</v>
      </c>
      <c r="J3980" t="s">
        <v>10333</v>
      </c>
      <c r="K3980">
        <v>8428</v>
      </c>
      <c r="L3980" t="s">
        <v>23</v>
      </c>
      <c r="M3980" t="s">
        <v>10332</v>
      </c>
      <c r="N3980" t="s">
        <v>653</v>
      </c>
      <c r="O3980" t="s">
        <v>117</v>
      </c>
      <c r="P3980" t="s">
        <v>10333</v>
      </c>
      <c r="Q3980">
        <v>8428</v>
      </c>
      <c r="R3980" t="s">
        <v>23</v>
      </c>
      <c r="S3980" s="1" t="s">
        <v>34218</v>
      </c>
    </row>
    <row r="3981" spans="1:19" x14ac:dyDescent="0.25">
      <c r="A3981">
        <v>101169808</v>
      </c>
      <c r="B3981" t="s">
        <v>1827</v>
      </c>
      <c r="C3981" t="s">
        <v>10334</v>
      </c>
      <c r="F3981" t="str">
        <f>"5414820678"</f>
        <v>5414820678</v>
      </c>
      <c r="G3981" t="s">
        <v>10335</v>
      </c>
      <c r="H3981" t="s">
        <v>177</v>
      </c>
      <c r="I3981" t="s">
        <v>43</v>
      </c>
      <c r="J3981">
        <v>97520</v>
      </c>
      <c r="K3981">
        <v>3532</v>
      </c>
      <c r="L3981" t="s">
        <v>23</v>
      </c>
      <c r="M3981" t="s">
        <v>10335</v>
      </c>
      <c r="N3981" t="s">
        <v>177</v>
      </c>
      <c r="O3981" t="s">
        <v>43</v>
      </c>
      <c r="P3981">
        <v>97520</v>
      </c>
      <c r="Q3981">
        <v>3532</v>
      </c>
      <c r="R3981" t="s">
        <v>23</v>
      </c>
      <c r="S3981" s="1" t="s">
        <v>34218</v>
      </c>
    </row>
    <row r="3982" spans="1:19" x14ac:dyDescent="0.25">
      <c r="A3982">
        <v>101323683</v>
      </c>
      <c r="B3982" t="s">
        <v>10336</v>
      </c>
      <c r="C3982" t="s">
        <v>3511</v>
      </c>
      <c r="F3982" t="str">
        <f>"2394641829"</f>
        <v>2394641829</v>
      </c>
      <c r="G3982" t="s">
        <v>10337</v>
      </c>
      <c r="H3982" t="s">
        <v>10338</v>
      </c>
      <c r="I3982" t="s">
        <v>38</v>
      </c>
      <c r="J3982">
        <v>78552</v>
      </c>
      <c r="K3982">
        <v>8937</v>
      </c>
      <c r="L3982" t="s">
        <v>23</v>
      </c>
      <c r="M3982" t="s">
        <v>10337</v>
      </c>
      <c r="N3982" t="s">
        <v>10338</v>
      </c>
      <c r="O3982" t="s">
        <v>38</v>
      </c>
      <c r="P3982">
        <v>78552</v>
      </c>
      <c r="Q3982">
        <v>8937</v>
      </c>
      <c r="R3982" t="s">
        <v>23</v>
      </c>
      <c r="S3982" s="1" t="s">
        <v>34218</v>
      </c>
    </row>
    <row r="3983" spans="1:19" x14ac:dyDescent="0.25">
      <c r="A3983">
        <v>100612378</v>
      </c>
      <c r="B3983" t="s">
        <v>10339</v>
      </c>
      <c r="C3983" t="s">
        <v>1327</v>
      </c>
      <c r="F3983" t="str">
        <f>"3056651050"</f>
        <v>3056651050</v>
      </c>
      <c r="G3983" t="s">
        <v>10340</v>
      </c>
      <c r="H3983" t="s">
        <v>10341</v>
      </c>
      <c r="I3983" t="s">
        <v>52</v>
      </c>
      <c r="J3983">
        <v>33143</v>
      </c>
      <c r="K3983">
        <v>8145</v>
      </c>
      <c r="L3983" t="s">
        <v>23</v>
      </c>
      <c r="M3983" t="s">
        <v>10340</v>
      </c>
      <c r="N3983" t="s">
        <v>10341</v>
      </c>
      <c r="O3983" t="s">
        <v>52</v>
      </c>
      <c r="P3983">
        <v>33143</v>
      </c>
      <c r="Q3983">
        <v>8145</v>
      </c>
      <c r="R3983" t="s">
        <v>23</v>
      </c>
      <c r="S3983" s="1" t="s">
        <v>34218</v>
      </c>
    </row>
    <row r="3984" spans="1:19" x14ac:dyDescent="0.25">
      <c r="A3984">
        <v>101065228</v>
      </c>
      <c r="B3984" t="s">
        <v>10342</v>
      </c>
      <c r="C3984" t="s">
        <v>90</v>
      </c>
      <c r="F3984" t="str">
        <f>"2484952665"</f>
        <v>2484952665</v>
      </c>
      <c r="G3984" t="s">
        <v>10343</v>
      </c>
      <c r="H3984" t="s">
        <v>1705</v>
      </c>
      <c r="I3984" t="s">
        <v>140</v>
      </c>
      <c r="J3984">
        <v>48067</v>
      </c>
      <c r="K3984">
        <v>3349</v>
      </c>
      <c r="L3984" t="s">
        <v>23</v>
      </c>
      <c r="M3984" t="s">
        <v>10343</v>
      </c>
      <c r="N3984" t="s">
        <v>1705</v>
      </c>
      <c r="O3984" t="s">
        <v>140</v>
      </c>
      <c r="P3984">
        <v>48067</v>
      </c>
      <c r="Q3984">
        <v>3349</v>
      </c>
      <c r="R3984" t="s">
        <v>23</v>
      </c>
      <c r="S3984" s="1" t="s">
        <v>34218</v>
      </c>
    </row>
    <row r="3985" spans="1:19" x14ac:dyDescent="0.25">
      <c r="A3985">
        <v>100797836</v>
      </c>
      <c r="B3985" t="s">
        <v>10344</v>
      </c>
      <c r="C3985" t="s">
        <v>180</v>
      </c>
      <c r="F3985" t="str">
        <f>"5016669666"</f>
        <v>5016669666</v>
      </c>
      <c r="G3985" t="s">
        <v>10345</v>
      </c>
      <c r="H3985" t="s">
        <v>10043</v>
      </c>
      <c r="I3985" t="s">
        <v>2537</v>
      </c>
      <c r="J3985" t="s">
        <v>10346</v>
      </c>
      <c r="K3985">
        <v>1516</v>
      </c>
      <c r="L3985" t="s">
        <v>23</v>
      </c>
      <c r="M3985" t="s">
        <v>10345</v>
      </c>
      <c r="N3985" t="s">
        <v>10043</v>
      </c>
      <c r="O3985" t="s">
        <v>2537</v>
      </c>
      <c r="P3985" t="s">
        <v>10346</v>
      </c>
      <c r="Q3985">
        <v>1516</v>
      </c>
      <c r="R3985" t="s">
        <v>23</v>
      </c>
      <c r="S3985" s="1" t="s">
        <v>34218</v>
      </c>
    </row>
    <row r="3986" spans="1:19" x14ac:dyDescent="0.25">
      <c r="A3986">
        <v>100980119</v>
      </c>
      <c r="B3986" t="s">
        <v>2457</v>
      </c>
      <c r="C3986" t="s">
        <v>728</v>
      </c>
      <c r="F3986" t="str">
        <f>"2063283189"</f>
        <v>2063283189</v>
      </c>
      <c r="G3986" t="s">
        <v>10347</v>
      </c>
      <c r="H3986" t="s">
        <v>1531</v>
      </c>
      <c r="I3986" t="s">
        <v>84</v>
      </c>
      <c r="J3986" t="s">
        <v>10348</v>
      </c>
      <c r="K3986">
        <v>4682</v>
      </c>
      <c r="L3986" t="s">
        <v>23</v>
      </c>
      <c r="M3986" t="s">
        <v>10347</v>
      </c>
      <c r="N3986" t="s">
        <v>1531</v>
      </c>
      <c r="O3986" t="s">
        <v>84</v>
      </c>
      <c r="P3986" t="s">
        <v>10348</v>
      </c>
      <c r="Q3986">
        <v>4682</v>
      </c>
      <c r="R3986" t="s">
        <v>23</v>
      </c>
      <c r="S3986" s="1" t="s">
        <v>34218</v>
      </c>
    </row>
    <row r="3987" spans="1:19" x14ac:dyDescent="0.25">
      <c r="A3987">
        <v>101297960</v>
      </c>
      <c r="B3987" t="s">
        <v>10349</v>
      </c>
      <c r="C3987" t="s">
        <v>5528</v>
      </c>
      <c r="F3987" t="str">
        <f>"6467070334"</f>
        <v>6467070334</v>
      </c>
      <c r="G3987" t="s">
        <v>10350</v>
      </c>
      <c r="H3987" t="s">
        <v>10351</v>
      </c>
      <c r="I3987" t="s">
        <v>117</v>
      </c>
      <c r="J3987" t="s">
        <v>10352</v>
      </c>
      <c r="K3987">
        <v>1063</v>
      </c>
      <c r="L3987" t="s">
        <v>23</v>
      </c>
      <c r="M3987" t="s">
        <v>10350</v>
      </c>
      <c r="N3987" t="s">
        <v>10351</v>
      </c>
      <c r="O3987" t="s">
        <v>117</v>
      </c>
      <c r="P3987" t="s">
        <v>10352</v>
      </c>
      <c r="Q3987">
        <v>1063</v>
      </c>
      <c r="R3987" t="s">
        <v>23</v>
      </c>
      <c r="S3987" s="1" t="s">
        <v>34218</v>
      </c>
    </row>
    <row r="3988" spans="1:19" x14ac:dyDescent="0.25">
      <c r="A3988">
        <v>101248420</v>
      </c>
      <c r="B3988" t="s">
        <v>5180</v>
      </c>
      <c r="C3988" t="s">
        <v>102</v>
      </c>
      <c r="F3988" t="str">
        <f>"5555555555"</f>
        <v>5555555555</v>
      </c>
      <c r="G3988" t="s">
        <v>10353</v>
      </c>
      <c r="H3988" t="s">
        <v>808</v>
      </c>
      <c r="I3988" t="s">
        <v>639</v>
      </c>
      <c r="J3988" t="s">
        <v>10354</v>
      </c>
      <c r="K3988">
        <v>9546</v>
      </c>
      <c r="L3988" t="s">
        <v>23</v>
      </c>
      <c r="M3988" t="s">
        <v>10353</v>
      </c>
      <c r="N3988" t="s">
        <v>808</v>
      </c>
      <c r="O3988" t="s">
        <v>639</v>
      </c>
      <c r="P3988" t="s">
        <v>10354</v>
      </c>
      <c r="Q3988">
        <v>9546</v>
      </c>
      <c r="R3988" t="s">
        <v>23</v>
      </c>
      <c r="S3988" s="1" t="s">
        <v>34218</v>
      </c>
    </row>
    <row r="3989" spans="1:19" x14ac:dyDescent="0.25">
      <c r="A3989">
        <v>100528584</v>
      </c>
      <c r="B3989" t="s">
        <v>1335</v>
      </c>
      <c r="C3989" t="s">
        <v>10355</v>
      </c>
      <c r="F3989" t="str">
        <f>"5706835419"</f>
        <v>5706835419</v>
      </c>
      <c r="G3989" t="s">
        <v>10356</v>
      </c>
      <c r="H3989" t="s">
        <v>10357</v>
      </c>
      <c r="I3989" t="s">
        <v>33</v>
      </c>
      <c r="J3989" t="s">
        <v>10358</v>
      </c>
      <c r="K3989">
        <v>7242</v>
      </c>
      <c r="L3989" t="s">
        <v>23</v>
      </c>
      <c r="M3989" t="s">
        <v>10356</v>
      </c>
      <c r="N3989" t="s">
        <v>10357</v>
      </c>
      <c r="O3989" t="s">
        <v>33</v>
      </c>
      <c r="P3989" t="s">
        <v>10358</v>
      </c>
      <c r="Q3989">
        <v>7242</v>
      </c>
      <c r="R3989" t="s">
        <v>23</v>
      </c>
      <c r="S3989" s="1" t="s">
        <v>34218</v>
      </c>
    </row>
    <row r="3990" spans="1:19" x14ac:dyDescent="0.25">
      <c r="A3990">
        <v>101123163</v>
      </c>
      <c r="B3990" t="s">
        <v>3592</v>
      </c>
      <c r="C3990" t="s">
        <v>1962</v>
      </c>
      <c r="F3990" t="str">
        <f>"6502198313"</f>
        <v>6502198313</v>
      </c>
      <c r="G3990" t="s">
        <v>10359</v>
      </c>
      <c r="H3990" t="s">
        <v>1084</v>
      </c>
      <c r="I3990" t="s">
        <v>22</v>
      </c>
      <c r="J3990">
        <v>94044</v>
      </c>
      <c r="L3990" t="s">
        <v>23</v>
      </c>
      <c r="M3990" t="s">
        <v>10359</v>
      </c>
      <c r="N3990" t="s">
        <v>1084</v>
      </c>
      <c r="O3990" t="s">
        <v>22</v>
      </c>
      <c r="P3990">
        <v>94044</v>
      </c>
      <c r="R3990" t="s">
        <v>23</v>
      </c>
      <c r="S3990" s="1" t="s">
        <v>34218</v>
      </c>
    </row>
    <row r="3991" spans="1:19" x14ac:dyDescent="0.25">
      <c r="A3991">
        <v>100934100</v>
      </c>
      <c r="B3991" t="s">
        <v>10360</v>
      </c>
      <c r="C3991" t="s">
        <v>1350</v>
      </c>
      <c r="F3991" t="str">
        <f>"6514393651"</f>
        <v>6514393651</v>
      </c>
      <c r="G3991" t="s">
        <v>10361</v>
      </c>
      <c r="H3991" t="s">
        <v>3571</v>
      </c>
      <c r="I3991" t="s">
        <v>187</v>
      </c>
      <c r="J3991">
        <v>55082</v>
      </c>
      <c r="L3991" t="s">
        <v>23</v>
      </c>
      <c r="M3991" t="s">
        <v>10361</v>
      </c>
      <c r="N3991" t="s">
        <v>3571</v>
      </c>
      <c r="O3991" t="s">
        <v>187</v>
      </c>
      <c r="P3991">
        <v>55082</v>
      </c>
      <c r="R3991" t="s">
        <v>23</v>
      </c>
      <c r="S3991" s="1" t="s">
        <v>34218</v>
      </c>
    </row>
    <row r="3992" spans="1:19" x14ac:dyDescent="0.25">
      <c r="A3992">
        <v>100997178</v>
      </c>
      <c r="B3992" t="s">
        <v>10362</v>
      </c>
      <c r="C3992" t="s">
        <v>225</v>
      </c>
      <c r="F3992" t="str">
        <f>"7145551212"</f>
        <v>7145551212</v>
      </c>
      <c r="G3992" t="s">
        <v>10363</v>
      </c>
      <c r="H3992" t="s">
        <v>8220</v>
      </c>
      <c r="I3992" t="s">
        <v>22</v>
      </c>
      <c r="J3992" t="s">
        <v>10364</v>
      </c>
      <c r="K3992">
        <v>4778</v>
      </c>
      <c r="L3992" t="s">
        <v>23</v>
      </c>
      <c r="M3992" t="s">
        <v>10363</v>
      </c>
      <c r="N3992" t="s">
        <v>8220</v>
      </c>
      <c r="O3992" t="s">
        <v>22</v>
      </c>
      <c r="P3992" t="s">
        <v>10364</v>
      </c>
      <c r="Q3992">
        <v>4778</v>
      </c>
      <c r="R3992" t="s">
        <v>23</v>
      </c>
      <c r="S3992" s="1" t="s">
        <v>34218</v>
      </c>
    </row>
    <row r="3993" spans="1:19" x14ac:dyDescent="0.25">
      <c r="A3993">
        <v>100921298</v>
      </c>
      <c r="B3993" t="s">
        <v>10365</v>
      </c>
      <c r="C3993" t="s">
        <v>718</v>
      </c>
      <c r="F3993" t="str">
        <f>"4342395355"</f>
        <v>4342395355</v>
      </c>
      <c r="H3993" t="s">
        <v>10366</v>
      </c>
      <c r="I3993" t="s">
        <v>255</v>
      </c>
      <c r="J3993">
        <v>24551</v>
      </c>
      <c r="L3993" t="s">
        <v>23</v>
      </c>
      <c r="N3993" t="s">
        <v>10366</v>
      </c>
      <c r="O3993" t="s">
        <v>255</v>
      </c>
      <c r="P3993">
        <v>24551</v>
      </c>
      <c r="R3993" t="s">
        <v>23</v>
      </c>
      <c r="S3993" s="1" t="s">
        <v>34218</v>
      </c>
    </row>
    <row r="3994" spans="1:19" x14ac:dyDescent="0.25">
      <c r="A3994">
        <v>100559570</v>
      </c>
      <c r="B3994" t="s">
        <v>10367</v>
      </c>
      <c r="C3994" t="s">
        <v>483</v>
      </c>
      <c r="F3994" t="str">
        <f>"6516907832"</f>
        <v>6516907832</v>
      </c>
      <c r="G3994" t="s">
        <v>10368</v>
      </c>
      <c r="H3994" t="s">
        <v>569</v>
      </c>
      <c r="I3994" t="s">
        <v>187</v>
      </c>
      <c r="J3994" t="s">
        <v>10369</v>
      </c>
      <c r="K3994">
        <v>2123</v>
      </c>
      <c r="L3994" t="s">
        <v>23</v>
      </c>
      <c r="M3994" t="s">
        <v>10368</v>
      </c>
      <c r="N3994" t="s">
        <v>569</v>
      </c>
      <c r="O3994" t="s">
        <v>187</v>
      </c>
      <c r="P3994" t="s">
        <v>10369</v>
      </c>
      <c r="Q3994">
        <v>2123</v>
      </c>
      <c r="R3994" t="s">
        <v>23</v>
      </c>
      <c r="S3994" s="1" t="s">
        <v>34218</v>
      </c>
    </row>
    <row r="3995" spans="1:19" x14ac:dyDescent="0.25">
      <c r="A3995">
        <v>100863672</v>
      </c>
      <c r="B3995" t="s">
        <v>8318</v>
      </c>
      <c r="C3995" t="s">
        <v>10029</v>
      </c>
      <c r="F3995" t="str">
        <f>"5102357800"</f>
        <v>5102357800</v>
      </c>
      <c r="G3995" t="s">
        <v>10370</v>
      </c>
      <c r="H3995" t="s">
        <v>10371</v>
      </c>
      <c r="I3995" t="s">
        <v>22</v>
      </c>
      <c r="J3995">
        <v>94510</v>
      </c>
      <c r="K3995">
        <v>1434</v>
      </c>
      <c r="L3995" t="s">
        <v>23</v>
      </c>
      <c r="M3995" t="s">
        <v>10370</v>
      </c>
      <c r="N3995" t="s">
        <v>10371</v>
      </c>
      <c r="O3995" t="s">
        <v>22</v>
      </c>
      <c r="P3995">
        <v>94510</v>
      </c>
      <c r="Q3995">
        <v>1434</v>
      </c>
      <c r="R3995" t="s">
        <v>23</v>
      </c>
      <c r="S3995" s="1" t="s">
        <v>34218</v>
      </c>
    </row>
    <row r="3996" spans="1:19" x14ac:dyDescent="0.25">
      <c r="A3996">
        <v>100530563</v>
      </c>
      <c r="B3996" t="s">
        <v>10372</v>
      </c>
      <c r="C3996" t="s">
        <v>2151</v>
      </c>
      <c r="F3996" t="str">
        <f>"3132052064"</f>
        <v>3132052064</v>
      </c>
      <c r="G3996" t="s">
        <v>10373</v>
      </c>
      <c r="H3996" t="s">
        <v>10374</v>
      </c>
      <c r="I3996" t="s">
        <v>140</v>
      </c>
      <c r="J3996">
        <v>48170</v>
      </c>
      <c r="K3996">
        <v>5904</v>
      </c>
      <c r="L3996" t="s">
        <v>23</v>
      </c>
      <c r="M3996" t="s">
        <v>10373</v>
      </c>
      <c r="N3996" t="s">
        <v>10374</v>
      </c>
      <c r="O3996" t="s">
        <v>140</v>
      </c>
      <c r="P3996">
        <v>48170</v>
      </c>
      <c r="Q3996">
        <v>5904</v>
      </c>
      <c r="R3996" t="s">
        <v>23</v>
      </c>
      <c r="S3996" s="1" t="s">
        <v>34218</v>
      </c>
    </row>
    <row r="3997" spans="1:19" x14ac:dyDescent="0.25">
      <c r="A3997">
        <v>101309084</v>
      </c>
      <c r="B3997" t="s">
        <v>10375</v>
      </c>
      <c r="C3997" t="s">
        <v>301</v>
      </c>
      <c r="F3997" t="str">
        <f>"3107029290"</f>
        <v>3107029290</v>
      </c>
      <c r="G3997" t="s">
        <v>10376</v>
      </c>
      <c r="H3997" t="s">
        <v>6415</v>
      </c>
      <c r="I3997" t="s">
        <v>22</v>
      </c>
      <c r="J3997">
        <v>90260</v>
      </c>
      <c r="L3997" t="s">
        <v>23</v>
      </c>
      <c r="M3997" t="s">
        <v>10376</v>
      </c>
      <c r="N3997" t="s">
        <v>6415</v>
      </c>
      <c r="O3997" t="s">
        <v>22</v>
      </c>
      <c r="P3997">
        <v>90260</v>
      </c>
      <c r="R3997" t="s">
        <v>23</v>
      </c>
      <c r="S3997" s="1" t="s">
        <v>34218</v>
      </c>
    </row>
    <row r="3998" spans="1:19" x14ac:dyDescent="0.25">
      <c r="A3998">
        <v>101230337</v>
      </c>
      <c r="B3998" t="s">
        <v>10377</v>
      </c>
      <c r="C3998" t="s">
        <v>1422</v>
      </c>
      <c r="F3998" t="str">
        <f>"5617010666"</f>
        <v>5617010666</v>
      </c>
      <c r="G3998" t="s">
        <v>10378</v>
      </c>
      <c r="H3998" t="s">
        <v>10292</v>
      </c>
      <c r="I3998" t="s">
        <v>52</v>
      </c>
      <c r="J3998">
        <v>33403</v>
      </c>
      <c r="K3998">
        <v>2429</v>
      </c>
      <c r="L3998" t="s">
        <v>23</v>
      </c>
      <c r="M3998" t="s">
        <v>10378</v>
      </c>
      <c r="N3998" t="s">
        <v>10292</v>
      </c>
      <c r="O3998" t="s">
        <v>52</v>
      </c>
      <c r="P3998">
        <v>33403</v>
      </c>
      <c r="Q3998">
        <v>2429</v>
      </c>
      <c r="R3998" t="s">
        <v>23</v>
      </c>
      <c r="S3998" s="1" t="s">
        <v>34218</v>
      </c>
    </row>
    <row r="3999" spans="1:19" x14ac:dyDescent="0.25">
      <c r="A3999">
        <v>101141217</v>
      </c>
      <c r="B3999" t="s">
        <v>10379</v>
      </c>
      <c r="C3999" t="s">
        <v>6818</v>
      </c>
      <c r="F3999" t="str">
        <f>"5184448222"</f>
        <v>5184448222</v>
      </c>
      <c r="G3999" t="s">
        <v>10380</v>
      </c>
      <c r="H3999" t="s">
        <v>10381</v>
      </c>
      <c r="I3999" t="s">
        <v>117</v>
      </c>
      <c r="J3999">
        <v>12042</v>
      </c>
      <c r="L3999" t="s">
        <v>23</v>
      </c>
      <c r="M3999" t="s">
        <v>10380</v>
      </c>
      <c r="N3999" t="s">
        <v>10381</v>
      </c>
      <c r="O3999" t="s">
        <v>117</v>
      </c>
      <c r="P3999">
        <v>12042</v>
      </c>
      <c r="R3999" t="s">
        <v>23</v>
      </c>
      <c r="S3999" s="1" t="s">
        <v>34218</v>
      </c>
    </row>
    <row r="4000" spans="1:19" x14ac:dyDescent="0.25">
      <c r="A4000">
        <v>101292794</v>
      </c>
      <c r="B4000" t="s">
        <v>763</v>
      </c>
      <c r="C4000" t="s">
        <v>770</v>
      </c>
      <c r="F4000" t="str">
        <f>"4232723428"</f>
        <v>4232723428</v>
      </c>
      <c r="G4000" t="s">
        <v>10382</v>
      </c>
      <c r="H4000" t="s">
        <v>10383</v>
      </c>
      <c r="I4000" t="s">
        <v>914</v>
      </c>
      <c r="J4000">
        <v>37857</v>
      </c>
      <c r="L4000" t="s">
        <v>23</v>
      </c>
      <c r="M4000" t="s">
        <v>10382</v>
      </c>
      <c r="N4000" t="s">
        <v>10383</v>
      </c>
      <c r="O4000" t="s">
        <v>914</v>
      </c>
      <c r="P4000">
        <v>37857</v>
      </c>
      <c r="R4000" t="s">
        <v>23</v>
      </c>
      <c r="S4000" s="1" t="s">
        <v>34218</v>
      </c>
    </row>
    <row r="4001" spans="1:19" x14ac:dyDescent="0.25">
      <c r="A4001">
        <v>100875575</v>
      </c>
      <c r="B4001" t="s">
        <v>2637</v>
      </c>
      <c r="C4001" t="s">
        <v>1778</v>
      </c>
      <c r="F4001" t="str">
        <f>"5049574255"</f>
        <v>5049574255</v>
      </c>
      <c r="G4001" t="s">
        <v>10384</v>
      </c>
      <c r="H4001" t="s">
        <v>840</v>
      </c>
      <c r="I4001" t="s">
        <v>153</v>
      </c>
      <c r="J4001">
        <v>70117</v>
      </c>
      <c r="L4001" t="s">
        <v>23</v>
      </c>
      <c r="M4001" t="s">
        <v>10384</v>
      </c>
      <c r="N4001" t="s">
        <v>840</v>
      </c>
      <c r="O4001" t="s">
        <v>153</v>
      </c>
      <c r="P4001">
        <v>70117</v>
      </c>
      <c r="R4001" t="s">
        <v>23</v>
      </c>
      <c r="S4001" s="1" t="s">
        <v>34218</v>
      </c>
    </row>
    <row r="4002" spans="1:19" x14ac:dyDescent="0.25">
      <c r="A4002">
        <v>100531416</v>
      </c>
      <c r="B4002" t="s">
        <v>10385</v>
      </c>
      <c r="C4002" t="s">
        <v>3609</v>
      </c>
      <c r="F4002" t="str">
        <f>"2138042888"</f>
        <v>2138042888</v>
      </c>
      <c r="G4002" t="s">
        <v>10386</v>
      </c>
      <c r="H4002" t="s">
        <v>10387</v>
      </c>
      <c r="I4002" t="s">
        <v>22</v>
      </c>
      <c r="J4002">
        <v>53168</v>
      </c>
      <c r="L4002" t="s">
        <v>23</v>
      </c>
      <c r="M4002" t="s">
        <v>10386</v>
      </c>
      <c r="N4002" t="s">
        <v>10387</v>
      </c>
      <c r="O4002" t="s">
        <v>22</v>
      </c>
      <c r="P4002">
        <v>53168</v>
      </c>
      <c r="R4002" t="s">
        <v>23</v>
      </c>
      <c r="S4002" s="1" t="s">
        <v>34218</v>
      </c>
    </row>
    <row r="4003" spans="1:19" x14ac:dyDescent="0.25">
      <c r="A4003">
        <v>101330911</v>
      </c>
      <c r="B4003" t="s">
        <v>10388</v>
      </c>
      <c r="C4003" t="s">
        <v>10389</v>
      </c>
      <c r="F4003" t="str">
        <f>"5022419814"</f>
        <v>5022419814</v>
      </c>
      <c r="G4003" t="s">
        <v>10390</v>
      </c>
      <c r="H4003" t="s">
        <v>10391</v>
      </c>
      <c r="I4003" t="s">
        <v>1097</v>
      </c>
      <c r="J4003" t="s">
        <v>10392</v>
      </c>
      <c r="K4003">
        <v>9087</v>
      </c>
      <c r="L4003" t="s">
        <v>23</v>
      </c>
      <c r="M4003" t="s">
        <v>10390</v>
      </c>
      <c r="N4003" t="s">
        <v>10391</v>
      </c>
      <c r="O4003" t="s">
        <v>1097</v>
      </c>
      <c r="P4003" t="s">
        <v>10392</v>
      </c>
      <c r="Q4003">
        <v>9087</v>
      </c>
      <c r="R4003" t="s">
        <v>23</v>
      </c>
      <c r="S4003" s="1" t="s">
        <v>34218</v>
      </c>
    </row>
    <row r="4004" spans="1:19" x14ac:dyDescent="0.25">
      <c r="A4004">
        <v>101317385</v>
      </c>
      <c r="B4004" t="s">
        <v>10393</v>
      </c>
      <c r="C4004" t="s">
        <v>1714</v>
      </c>
      <c r="F4004" t="str">
        <f>"9165086340"</f>
        <v>9165086340</v>
      </c>
      <c r="G4004" t="s">
        <v>10394</v>
      </c>
      <c r="H4004" t="s">
        <v>7490</v>
      </c>
      <c r="I4004" t="s">
        <v>22</v>
      </c>
      <c r="J4004">
        <v>95691</v>
      </c>
      <c r="K4004">
        <v>3231</v>
      </c>
      <c r="L4004" t="s">
        <v>23</v>
      </c>
      <c r="M4004" t="s">
        <v>10394</v>
      </c>
      <c r="N4004" t="s">
        <v>7490</v>
      </c>
      <c r="O4004" t="s">
        <v>22</v>
      </c>
      <c r="P4004">
        <v>95691</v>
      </c>
      <c r="Q4004">
        <v>3231</v>
      </c>
      <c r="R4004" t="s">
        <v>23</v>
      </c>
      <c r="S4004" s="1" t="s">
        <v>34218</v>
      </c>
    </row>
    <row r="4005" spans="1:19" x14ac:dyDescent="0.25">
      <c r="A4005">
        <v>101140507</v>
      </c>
      <c r="B4005" t="s">
        <v>10395</v>
      </c>
      <c r="C4005" t="s">
        <v>2357</v>
      </c>
      <c r="F4005" t="str">
        <f>"5555555555"</f>
        <v>5555555555</v>
      </c>
      <c r="G4005" t="s">
        <v>10396</v>
      </c>
      <c r="H4005" t="s">
        <v>10397</v>
      </c>
      <c r="I4005" t="s">
        <v>250</v>
      </c>
      <c r="J4005" t="s">
        <v>10398</v>
      </c>
      <c r="K4005">
        <v>1423</v>
      </c>
      <c r="L4005" t="s">
        <v>23</v>
      </c>
      <c r="M4005" t="s">
        <v>10396</v>
      </c>
      <c r="N4005" t="s">
        <v>10397</v>
      </c>
      <c r="O4005" t="s">
        <v>250</v>
      </c>
      <c r="P4005" t="s">
        <v>10398</v>
      </c>
      <c r="Q4005">
        <v>1423</v>
      </c>
      <c r="R4005" t="s">
        <v>23</v>
      </c>
      <c r="S4005" s="1" t="s">
        <v>34218</v>
      </c>
    </row>
    <row r="4006" spans="1:19" x14ac:dyDescent="0.25">
      <c r="A4006">
        <v>101443776</v>
      </c>
      <c r="B4006" t="s">
        <v>216</v>
      </c>
      <c r="C4006" t="s">
        <v>200</v>
      </c>
      <c r="D4006" t="s">
        <v>3590</v>
      </c>
      <c r="F4006" t="str">
        <f>"5106120342"</f>
        <v>5106120342</v>
      </c>
      <c r="G4006" t="s">
        <v>10399</v>
      </c>
      <c r="H4006" t="s">
        <v>169</v>
      </c>
      <c r="I4006" t="s">
        <v>170</v>
      </c>
      <c r="J4006">
        <v>20003</v>
      </c>
      <c r="K4006">
        <v>2529</v>
      </c>
      <c r="L4006" t="s">
        <v>23</v>
      </c>
      <c r="M4006" t="s">
        <v>10399</v>
      </c>
      <c r="N4006" t="s">
        <v>169</v>
      </c>
      <c r="O4006" t="s">
        <v>170</v>
      </c>
      <c r="P4006">
        <v>20003</v>
      </c>
      <c r="Q4006">
        <v>2529</v>
      </c>
      <c r="R4006" t="s">
        <v>23</v>
      </c>
      <c r="S4006" s="1" t="s">
        <v>34218</v>
      </c>
    </row>
    <row r="4007" spans="1:19" x14ac:dyDescent="0.25">
      <c r="A4007">
        <v>101223244</v>
      </c>
      <c r="B4007" t="s">
        <v>10400</v>
      </c>
      <c r="C4007" t="s">
        <v>2463</v>
      </c>
      <c r="F4007" t="str">
        <f>"5057205455"</f>
        <v>5057205455</v>
      </c>
      <c r="G4007" t="s">
        <v>10401</v>
      </c>
      <c r="H4007" t="s">
        <v>2313</v>
      </c>
      <c r="I4007" t="s">
        <v>639</v>
      </c>
      <c r="J4007">
        <v>87124</v>
      </c>
      <c r="K4007">
        <v>3858</v>
      </c>
      <c r="L4007" t="s">
        <v>23</v>
      </c>
      <c r="M4007" t="s">
        <v>10401</v>
      </c>
      <c r="N4007" t="s">
        <v>2313</v>
      </c>
      <c r="O4007" t="s">
        <v>639</v>
      </c>
      <c r="P4007">
        <v>87124</v>
      </c>
      <c r="Q4007">
        <v>3858</v>
      </c>
      <c r="R4007" t="s">
        <v>23</v>
      </c>
      <c r="S4007" s="1" t="s">
        <v>34218</v>
      </c>
    </row>
    <row r="4008" spans="1:19" x14ac:dyDescent="0.25">
      <c r="A4008">
        <v>101437534</v>
      </c>
      <c r="B4008" t="s">
        <v>3606</v>
      </c>
      <c r="C4008" t="s">
        <v>90</v>
      </c>
      <c r="F4008" t="str">
        <f>"5415551212"</f>
        <v>5415551212</v>
      </c>
      <c r="G4008" t="s">
        <v>10402</v>
      </c>
      <c r="H4008" t="s">
        <v>2762</v>
      </c>
      <c r="I4008" t="s">
        <v>43</v>
      </c>
      <c r="J4008">
        <v>97439</v>
      </c>
      <c r="L4008" t="s">
        <v>23</v>
      </c>
      <c r="M4008" t="s">
        <v>10402</v>
      </c>
      <c r="N4008" t="s">
        <v>2762</v>
      </c>
      <c r="O4008" t="s">
        <v>43</v>
      </c>
      <c r="P4008">
        <v>97439</v>
      </c>
      <c r="R4008" t="s">
        <v>23</v>
      </c>
      <c r="S4008" s="1" t="s">
        <v>34218</v>
      </c>
    </row>
    <row r="4009" spans="1:19" x14ac:dyDescent="0.25">
      <c r="A4009">
        <v>101265022</v>
      </c>
      <c r="B4009" t="s">
        <v>2080</v>
      </c>
      <c r="C4009" t="s">
        <v>1218</v>
      </c>
      <c r="F4009" t="str">
        <f>"9017266165"</f>
        <v>9017266165</v>
      </c>
      <c r="G4009" t="s">
        <v>10403</v>
      </c>
      <c r="H4009" t="s">
        <v>5998</v>
      </c>
      <c r="I4009" t="s">
        <v>914</v>
      </c>
      <c r="J4009" t="s">
        <v>10404</v>
      </c>
      <c r="K4009">
        <v>2531</v>
      </c>
      <c r="L4009" t="s">
        <v>23</v>
      </c>
      <c r="M4009" t="s">
        <v>10403</v>
      </c>
      <c r="N4009" t="s">
        <v>5998</v>
      </c>
      <c r="O4009" t="s">
        <v>914</v>
      </c>
      <c r="P4009" t="s">
        <v>10404</v>
      </c>
      <c r="Q4009">
        <v>2531</v>
      </c>
      <c r="R4009" t="s">
        <v>23</v>
      </c>
      <c r="S4009" s="1" t="s">
        <v>34218</v>
      </c>
    </row>
    <row r="4010" spans="1:19" x14ac:dyDescent="0.25">
      <c r="A4010">
        <v>100931553</v>
      </c>
      <c r="B4010" t="s">
        <v>10405</v>
      </c>
      <c r="C4010" t="s">
        <v>10406</v>
      </c>
      <c r="F4010" t="str">
        <f>"2545274694"</f>
        <v>2545274694</v>
      </c>
      <c r="G4010" t="s">
        <v>10407</v>
      </c>
      <c r="H4010" t="s">
        <v>6710</v>
      </c>
      <c r="I4010" t="s">
        <v>38</v>
      </c>
      <c r="J4010">
        <v>76511</v>
      </c>
      <c r="L4010" t="s">
        <v>23</v>
      </c>
      <c r="M4010" t="s">
        <v>10407</v>
      </c>
      <c r="N4010" t="s">
        <v>6710</v>
      </c>
      <c r="O4010" t="s">
        <v>38</v>
      </c>
      <c r="P4010">
        <v>76511</v>
      </c>
      <c r="R4010" t="s">
        <v>23</v>
      </c>
      <c r="S4010" s="1" t="s">
        <v>34218</v>
      </c>
    </row>
    <row r="4011" spans="1:19" x14ac:dyDescent="0.25">
      <c r="A4011">
        <v>100532122</v>
      </c>
      <c r="B4011" t="s">
        <v>10408</v>
      </c>
      <c r="C4011" t="s">
        <v>1450</v>
      </c>
      <c r="F4011" t="str">
        <f>"5555555555"</f>
        <v>5555555555</v>
      </c>
      <c r="G4011" t="s">
        <v>10409</v>
      </c>
      <c r="H4011" t="s">
        <v>10410</v>
      </c>
      <c r="I4011" t="s">
        <v>22</v>
      </c>
      <c r="J4011" t="s">
        <v>10411</v>
      </c>
      <c r="K4011">
        <v>1407</v>
      </c>
      <c r="L4011" t="s">
        <v>23</v>
      </c>
      <c r="M4011" t="s">
        <v>10409</v>
      </c>
      <c r="N4011" t="s">
        <v>10410</v>
      </c>
      <c r="O4011" t="s">
        <v>22</v>
      </c>
      <c r="P4011" t="s">
        <v>10411</v>
      </c>
      <c r="Q4011">
        <v>1407</v>
      </c>
      <c r="R4011" t="s">
        <v>23</v>
      </c>
      <c r="S4011" s="1" t="s">
        <v>34218</v>
      </c>
    </row>
    <row r="4012" spans="1:19" x14ac:dyDescent="0.25">
      <c r="A4012">
        <v>101102888</v>
      </c>
      <c r="B4012" t="s">
        <v>3696</v>
      </c>
      <c r="C4012" t="s">
        <v>3460</v>
      </c>
      <c r="F4012" t="str">
        <f>"2133997344"</f>
        <v>2133997344</v>
      </c>
      <c r="G4012" t="s">
        <v>10412</v>
      </c>
      <c r="H4012" t="s">
        <v>3847</v>
      </c>
      <c r="I4012" t="s">
        <v>22</v>
      </c>
      <c r="J4012" t="s">
        <v>10413</v>
      </c>
      <c r="K4012">
        <v>2861</v>
      </c>
      <c r="L4012" t="s">
        <v>23</v>
      </c>
      <c r="M4012" t="s">
        <v>10412</v>
      </c>
      <c r="N4012" t="s">
        <v>3847</v>
      </c>
      <c r="O4012" t="s">
        <v>22</v>
      </c>
      <c r="P4012" t="s">
        <v>10413</v>
      </c>
      <c r="Q4012">
        <v>2861</v>
      </c>
      <c r="R4012" t="s">
        <v>23</v>
      </c>
      <c r="S4012" s="1" t="s">
        <v>34218</v>
      </c>
    </row>
    <row r="4013" spans="1:19" x14ac:dyDescent="0.25">
      <c r="A4013">
        <v>101429407</v>
      </c>
      <c r="B4013" t="s">
        <v>10414</v>
      </c>
      <c r="C4013" t="s">
        <v>8877</v>
      </c>
      <c r="F4013" t="str">
        <f>"4106129470"</f>
        <v>4106129470</v>
      </c>
      <c r="G4013" t="s">
        <v>10415</v>
      </c>
      <c r="H4013" t="s">
        <v>10416</v>
      </c>
      <c r="I4013" t="s">
        <v>148</v>
      </c>
      <c r="J4013" t="s">
        <v>10417</v>
      </c>
      <c r="K4013">
        <v>1950</v>
      </c>
      <c r="L4013" t="s">
        <v>23</v>
      </c>
      <c r="M4013" t="s">
        <v>10415</v>
      </c>
      <c r="N4013" t="s">
        <v>10416</v>
      </c>
      <c r="O4013" t="s">
        <v>148</v>
      </c>
      <c r="P4013" t="s">
        <v>10417</v>
      </c>
      <c r="Q4013">
        <v>1950</v>
      </c>
      <c r="R4013" t="s">
        <v>23</v>
      </c>
      <c r="S4013" s="1" t="s">
        <v>34218</v>
      </c>
    </row>
    <row r="4014" spans="1:19" x14ac:dyDescent="0.25">
      <c r="A4014">
        <v>100800995</v>
      </c>
      <c r="B4014" t="s">
        <v>10418</v>
      </c>
      <c r="C4014" t="s">
        <v>472</v>
      </c>
      <c r="F4014" t="str">
        <f>"6507995897"</f>
        <v>6507995897</v>
      </c>
      <c r="G4014" t="s">
        <v>10419</v>
      </c>
      <c r="H4014" t="s">
        <v>1325</v>
      </c>
      <c r="I4014" t="s">
        <v>22</v>
      </c>
      <c r="J4014" t="s">
        <v>10420</v>
      </c>
      <c r="K4014">
        <v>2844</v>
      </c>
      <c r="L4014" t="s">
        <v>23</v>
      </c>
      <c r="M4014" t="s">
        <v>10419</v>
      </c>
      <c r="N4014" t="s">
        <v>1325</v>
      </c>
      <c r="O4014" t="s">
        <v>22</v>
      </c>
      <c r="P4014" t="s">
        <v>10420</v>
      </c>
      <c r="Q4014">
        <v>2844</v>
      </c>
      <c r="R4014" t="s">
        <v>23</v>
      </c>
      <c r="S4014" s="1" t="s">
        <v>34218</v>
      </c>
    </row>
    <row r="4015" spans="1:19" x14ac:dyDescent="0.25">
      <c r="A4015">
        <v>100823706</v>
      </c>
      <c r="B4015" t="s">
        <v>10421</v>
      </c>
      <c r="C4015" t="s">
        <v>10422</v>
      </c>
      <c r="F4015" t="str">
        <f>"7738653772"</f>
        <v>7738653772</v>
      </c>
      <c r="G4015" t="s">
        <v>10423</v>
      </c>
      <c r="H4015" t="s">
        <v>227</v>
      </c>
      <c r="I4015" t="s">
        <v>191</v>
      </c>
      <c r="J4015">
        <v>4102</v>
      </c>
      <c r="K4015">
        <v>3762</v>
      </c>
      <c r="L4015" t="s">
        <v>23</v>
      </c>
      <c r="M4015" t="s">
        <v>10423</v>
      </c>
      <c r="N4015" t="s">
        <v>227</v>
      </c>
      <c r="O4015" t="s">
        <v>191</v>
      </c>
      <c r="P4015">
        <v>4102</v>
      </c>
      <c r="Q4015">
        <v>3762</v>
      </c>
      <c r="R4015" t="s">
        <v>23</v>
      </c>
      <c r="S4015" s="1" t="s">
        <v>34218</v>
      </c>
    </row>
    <row r="4016" spans="1:19" x14ac:dyDescent="0.25">
      <c r="A4016">
        <v>101254582</v>
      </c>
      <c r="B4016" t="s">
        <v>1622</v>
      </c>
      <c r="C4016" t="s">
        <v>10424</v>
      </c>
      <c r="F4016" t="str">
        <f>"4153781837"</f>
        <v>4153781837</v>
      </c>
      <c r="G4016">
        <v>83</v>
      </c>
      <c r="H4016" t="s">
        <v>130</v>
      </c>
      <c r="I4016" t="s">
        <v>22</v>
      </c>
      <c r="J4016">
        <v>94109</v>
      </c>
      <c r="L4016" t="s">
        <v>23</v>
      </c>
      <c r="M4016">
        <v>83</v>
      </c>
      <c r="N4016" t="s">
        <v>130</v>
      </c>
      <c r="O4016" t="s">
        <v>22</v>
      </c>
      <c r="P4016">
        <v>94109</v>
      </c>
      <c r="R4016" t="s">
        <v>23</v>
      </c>
      <c r="S4016" s="1" t="s">
        <v>34218</v>
      </c>
    </row>
    <row r="4017" spans="1:19" x14ac:dyDescent="0.25">
      <c r="A4017">
        <v>101075890</v>
      </c>
      <c r="B4017" t="s">
        <v>10425</v>
      </c>
      <c r="C4017" t="s">
        <v>25</v>
      </c>
      <c r="F4017" t="str">
        <f>"7275123558"</f>
        <v>7275123558</v>
      </c>
      <c r="G4017" t="s">
        <v>10426</v>
      </c>
      <c r="H4017" t="s">
        <v>9008</v>
      </c>
      <c r="I4017" t="s">
        <v>52</v>
      </c>
      <c r="J4017">
        <v>34608</v>
      </c>
      <c r="K4017">
        <v>2542</v>
      </c>
      <c r="L4017" t="s">
        <v>23</v>
      </c>
      <c r="M4017" t="s">
        <v>10426</v>
      </c>
      <c r="N4017" t="s">
        <v>9008</v>
      </c>
      <c r="O4017" t="s">
        <v>52</v>
      </c>
      <c r="P4017">
        <v>34608</v>
      </c>
      <c r="Q4017">
        <v>2542</v>
      </c>
      <c r="R4017" t="s">
        <v>23</v>
      </c>
      <c r="S4017" s="1" t="s">
        <v>34218</v>
      </c>
    </row>
    <row r="4018" spans="1:19" x14ac:dyDescent="0.25">
      <c r="A4018">
        <v>100638043</v>
      </c>
      <c r="B4018" t="s">
        <v>2111</v>
      </c>
      <c r="C4018" t="s">
        <v>286</v>
      </c>
      <c r="F4018" t="str">
        <f>"3035007891"</f>
        <v>3035007891</v>
      </c>
      <c r="G4018" t="s">
        <v>10427</v>
      </c>
      <c r="H4018" t="s">
        <v>3344</v>
      </c>
      <c r="I4018" t="s">
        <v>71</v>
      </c>
      <c r="J4018">
        <v>81428</v>
      </c>
      <c r="L4018" t="s">
        <v>23</v>
      </c>
      <c r="M4018" t="s">
        <v>10427</v>
      </c>
      <c r="N4018" t="s">
        <v>3344</v>
      </c>
      <c r="O4018" t="s">
        <v>71</v>
      </c>
      <c r="P4018">
        <v>81428</v>
      </c>
      <c r="R4018" t="s">
        <v>23</v>
      </c>
      <c r="S4018" s="1" t="s">
        <v>34218</v>
      </c>
    </row>
    <row r="4019" spans="1:19" x14ac:dyDescent="0.25">
      <c r="A4019">
        <v>101225817</v>
      </c>
      <c r="B4019" t="s">
        <v>10428</v>
      </c>
      <c r="C4019" t="s">
        <v>10429</v>
      </c>
      <c r="F4019" t="str">
        <f>"3057992381"</f>
        <v>3057992381</v>
      </c>
      <c r="G4019" t="s">
        <v>10430</v>
      </c>
      <c r="H4019" t="s">
        <v>2769</v>
      </c>
      <c r="I4019" t="s">
        <v>52</v>
      </c>
      <c r="J4019">
        <v>34120</v>
      </c>
      <c r="K4019">
        <v>1817</v>
      </c>
      <c r="L4019" t="s">
        <v>23</v>
      </c>
      <c r="M4019" t="s">
        <v>10430</v>
      </c>
      <c r="N4019" t="s">
        <v>2769</v>
      </c>
      <c r="O4019" t="s">
        <v>52</v>
      </c>
      <c r="P4019">
        <v>34120</v>
      </c>
      <c r="Q4019">
        <v>1817</v>
      </c>
      <c r="R4019" t="s">
        <v>23</v>
      </c>
      <c r="S4019" s="1" t="s">
        <v>34218</v>
      </c>
    </row>
    <row r="4020" spans="1:19" x14ac:dyDescent="0.25">
      <c r="A4020">
        <v>100883270</v>
      </c>
      <c r="B4020" t="s">
        <v>10431</v>
      </c>
      <c r="C4020" t="s">
        <v>10432</v>
      </c>
      <c r="F4020" t="str">
        <f>"6172167095"</f>
        <v>6172167095</v>
      </c>
      <c r="G4020" t="s">
        <v>10433</v>
      </c>
      <c r="H4020" t="s">
        <v>3768</v>
      </c>
      <c r="I4020" t="s">
        <v>22</v>
      </c>
      <c r="J4020">
        <v>94043</v>
      </c>
      <c r="L4020" t="s">
        <v>23</v>
      </c>
      <c r="M4020" t="s">
        <v>10433</v>
      </c>
      <c r="N4020" t="s">
        <v>3768</v>
      </c>
      <c r="O4020" t="s">
        <v>22</v>
      </c>
      <c r="P4020">
        <v>94043</v>
      </c>
      <c r="R4020" t="s">
        <v>23</v>
      </c>
      <c r="S4020" s="1" t="s">
        <v>34218</v>
      </c>
    </row>
    <row r="4021" spans="1:19" x14ac:dyDescent="0.25">
      <c r="A4021">
        <v>100862194</v>
      </c>
      <c r="B4021" t="s">
        <v>10434</v>
      </c>
      <c r="C4021" t="s">
        <v>522</v>
      </c>
      <c r="F4021" t="str">
        <f>"8185911163"</f>
        <v>8185911163</v>
      </c>
      <c r="G4021" t="s">
        <v>10435</v>
      </c>
      <c r="H4021" t="s">
        <v>8137</v>
      </c>
      <c r="I4021" t="s">
        <v>236</v>
      </c>
      <c r="J4021">
        <v>1075</v>
      </c>
      <c r="K4021">
        <v>3300</v>
      </c>
      <c r="L4021" t="s">
        <v>23</v>
      </c>
      <c r="M4021" t="s">
        <v>10435</v>
      </c>
      <c r="N4021" t="s">
        <v>8137</v>
      </c>
      <c r="O4021" t="s">
        <v>236</v>
      </c>
      <c r="P4021">
        <v>1075</v>
      </c>
      <c r="Q4021">
        <v>3300</v>
      </c>
      <c r="R4021" t="s">
        <v>23</v>
      </c>
      <c r="S4021" s="1" t="s">
        <v>34218</v>
      </c>
    </row>
    <row r="4022" spans="1:19" x14ac:dyDescent="0.25">
      <c r="A4022">
        <v>101256085</v>
      </c>
      <c r="B4022" t="s">
        <v>486</v>
      </c>
      <c r="C4022" t="s">
        <v>1120</v>
      </c>
      <c r="F4022" t="str">
        <f>"9517790003"</f>
        <v>9517790003</v>
      </c>
      <c r="G4022" t="s">
        <v>10436</v>
      </c>
      <c r="H4022" t="s">
        <v>461</v>
      </c>
      <c r="I4022" t="s">
        <v>22</v>
      </c>
      <c r="J4022">
        <v>92501</v>
      </c>
      <c r="K4022">
        <v>3941</v>
      </c>
      <c r="L4022" t="s">
        <v>23</v>
      </c>
      <c r="M4022" t="s">
        <v>10436</v>
      </c>
      <c r="N4022" t="s">
        <v>461</v>
      </c>
      <c r="O4022" t="s">
        <v>22</v>
      </c>
      <c r="P4022">
        <v>92501</v>
      </c>
      <c r="Q4022">
        <v>3941</v>
      </c>
      <c r="R4022" t="s">
        <v>23</v>
      </c>
      <c r="S4022" s="1" t="s">
        <v>34218</v>
      </c>
    </row>
    <row r="4023" spans="1:19" x14ac:dyDescent="0.25">
      <c r="A4023">
        <v>100739144</v>
      </c>
      <c r="B4023" t="s">
        <v>1241</v>
      </c>
      <c r="C4023" t="s">
        <v>1444</v>
      </c>
      <c r="F4023" t="str">
        <f>"7272594599"</f>
        <v>7272594599</v>
      </c>
      <c r="G4023" t="s">
        <v>10437</v>
      </c>
      <c r="H4023" t="s">
        <v>733</v>
      </c>
      <c r="I4023" t="s">
        <v>52</v>
      </c>
      <c r="J4023">
        <v>33705</v>
      </c>
      <c r="K4023">
        <v>3275</v>
      </c>
      <c r="L4023" t="s">
        <v>23</v>
      </c>
      <c r="M4023" t="s">
        <v>10437</v>
      </c>
      <c r="N4023" t="s">
        <v>733</v>
      </c>
      <c r="O4023" t="s">
        <v>52</v>
      </c>
      <c r="P4023">
        <v>33705</v>
      </c>
      <c r="Q4023">
        <v>3275</v>
      </c>
      <c r="R4023" t="s">
        <v>23</v>
      </c>
      <c r="S4023" s="1" t="s">
        <v>34218</v>
      </c>
    </row>
    <row r="4024" spans="1:19" x14ac:dyDescent="0.25">
      <c r="A4024">
        <v>101131716</v>
      </c>
      <c r="B4024" t="s">
        <v>10438</v>
      </c>
      <c r="C4024" t="s">
        <v>1124</v>
      </c>
      <c r="F4024" t="str">
        <f>"3523504350"</f>
        <v>3523504350</v>
      </c>
      <c r="G4024" t="s">
        <v>10439</v>
      </c>
      <c r="H4024" t="s">
        <v>4239</v>
      </c>
      <c r="I4024" t="s">
        <v>52</v>
      </c>
      <c r="J4024" t="s">
        <v>10440</v>
      </c>
      <c r="K4024">
        <v>8353</v>
      </c>
      <c r="L4024" t="s">
        <v>23</v>
      </c>
      <c r="M4024" t="s">
        <v>10439</v>
      </c>
      <c r="N4024" t="s">
        <v>4239</v>
      </c>
      <c r="O4024" t="s">
        <v>52</v>
      </c>
      <c r="P4024" t="s">
        <v>10440</v>
      </c>
      <c r="Q4024">
        <v>8353</v>
      </c>
      <c r="R4024" t="s">
        <v>23</v>
      </c>
      <c r="S4024" s="1" t="s">
        <v>34218</v>
      </c>
    </row>
    <row r="4025" spans="1:19" x14ac:dyDescent="0.25">
      <c r="A4025">
        <v>101279243</v>
      </c>
      <c r="B4025" t="s">
        <v>1164</v>
      </c>
      <c r="C4025" t="s">
        <v>2771</v>
      </c>
      <c r="F4025" t="str">
        <f>"3018955345"</f>
        <v>3018955345</v>
      </c>
      <c r="G4025" t="s">
        <v>10441</v>
      </c>
      <c r="H4025" t="s">
        <v>10442</v>
      </c>
      <c r="I4025" t="s">
        <v>148</v>
      </c>
      <c r="J4025">
        <v>21536</v>
      </c>
      <c r="K4025">
        <v>2305</v>
      </c>
      <c r="L4025" t="s">
        <v>23</v>
      </c>
      <c r="M4025" t="s">
        <v>10441</v>
      </c>
      <c r="N4025" t="s">
        <v>10442</v>
      </c>
      <c r="O4025" t="s">
        <v>148</v>
      </c>
      <c r="P4025">
        <v>21536</v>
      </c>
      <c r="Q4025">
        <v>2305</v>
      </c>
      <c r="R4025" t="s">
        <v>23</v>
      </c>
      <c r="S4025" s="1" t="s">
        <v>34218</v>
      </c>
    </row>
    <row r="4026" spans="1:19" x14ac:dyDescent="0.25">
      <c r="A4026">
        <v>101296434</v>
      </c>
      <c r="B4026" t="s">
        <v>10443</v>
      </c>
      <c r="C4026" t="s">
        <v>6214</v>
      </c>
      <c r="F4026" t="str">
        <f>"8183468412"</f>
        <v>8183468412</v>
      </c>
      <c r="G4026" t="s">
        <v>10444</v>
      </c>
      <c r="H4026" t="s">
        <v>10445</v>
      </c>
      <c r="I4026" t="s">
        <v>22</v>
      </c>
      <c r="J4026">
        <v>91307</v>
      </c>
      <c r="K4026">
        <v>1829</v>
      </c>
      <c r="L4026" t="s">
        <v>23</v>
      </c>
      <c r="M4026" t="s">
        <v>10444</v>
      </c>
      <c r="N4026" t="s">
        <v>10445</v>
      </c>
      <c r="O4026" t="s">
        <v>22</v>
      </c>
      <c r="P4026">
        <v>91307</v>
      </c>
      <c r="Q4026">
        <v>1829</v>
      </c>
      <c r="R4026" t="s">
        <v>23</v>
      </c>
      <c r="S4026" s="1" t="s">
        <v>34218</v>
      </c>
    </row>
    <row r="4027" spans="1:19" x14ac:dyDescent="0.25">
      <c r="A4027">
        <v>100999101</v>
      </c>
      <c r="B4027" t="s">
        <v>10446</v>
      </c>
      <c r="C4027" t="s">
        <v>575</v>
      </c>
      <c r="F4027" t="str">
        <f>"7076525412"</f>
        <v>7076525412</v>
      </c>
      <c r="G4027" t="s">
        <v>10447</v>
      </c>
      <c r="H4027" t="s">
        <v>1766</v>
      </c>
      <c r="I4027" t="s">
        <v>22</v>
      </c>
      <c r="J4027">
        <v>94591</v>
      </c>
      <c r="K4027">
        <v>7915</v>
      </c>
      <c r="L4027" t="s">
        <v>23</v>
      </c>
      <c r="M4027" t="s">
        <v>10447</v>
      </c>
      <c r="N4027" t="s">
        <v>1766</v>
      </c>
      <c r="O4027" t="s">
        <v>22</v>
      </c>
      <c r="P4027">
        <v>94591</v>
      </c>
      <c r="Q4027">
        <v>7915</v>
      </c>
      <c r="R4027" t="s">
        <v>23</v>
      </c>
      <c r="S4027" s="1" t="s">
        <v>34218</v>
      </c>
    </row>
    <row r="4028" spans="1:19" x14ac:dyDescent="0.25">
      <c r="A4028">
        <v>100995854</v>
      </c>
      <c r="B4028" t="s">
        <v>10448</v>
      </c>
      <c r="C4028" t="s">
        <v>90</v>
      </c>
      <c r="F4028" t="str">
        <f>"4808337542"</f>
        <v>4808337542</v>
      </c>
      <c r="G4028" t="s">
        <v>10449</v>
      </c>
      <c r="H4028" t="s">
        <v>625</v>
      </c>
      <c r="I4028" t="s">
        <v>365</v>
      </c>
      <c r="J4028">
        <v>85213</v>
      </c>
      <c r="K4028">
        <v>2302</v>
      </c>
      <c r="L4028" t="s">
        <v>23</v>
      </c>
      <c r="M4028" t="s">
        <v>10449</v>
      </c>
      <c r="N4028" t="s">
        <v>625</v>
      </c>
      <c r="O4028" t="s">
        <v>365</v>
      </c>
      <c r="P4028">
        <v>85213</v>
      </c>
      <c r="Q4028">
        <v>2302</v>
      </c>
      <c r="R4028" t="s">
        <v>23</v>
      </c>
      <c r="S4028" s="1" t="s">
        <v>34218</v>
      </c>
    </row>
    <row r="4029" spans="1:19" x14ac:dyDescent="0.25">
      <c r="A4029">
        <v>101000190</v>
      </c>
      <c r="B4029" t="s">
        <v>10450</v>
      </c>
      <c r="C4029" t="s">
        <v>3442</v>
      </c>
      <c r="F4029" t="str">
        <f>"2025212334"</f>
        <v>2025212334</v>
      </c>
      <c r="G4029" t="s">
        <v>10451</v>
      </c>
      <c r="H4029" t="s">
        <v>560</v>
      </c>
      <c r="I4029" t="s">
        <v>148</v>
      </c>
      <c r="J4029">
        <v>20850</v>
      </c>
      <c r="K4029">
        <v>5884</v>
      </c>
      <c r="L4029" t="s">
        <v>23</v>
      </c>
      <c r="M4029" t="s">
        <v>10451</v>
      </c>
      <c r="N4029" t="s">
        <v>560</v>
      </c>
      <c r="O4029" t="s">
        <v>148</v>
      </c>
      <c r="P4029">
        <v>20850</v>
      </c>
      <c r="Q4029">
        <v>5884</v>
      </c>
      <c r="R4029" t="s">
        <v>23</v>
      </c>
      <c r="S4029" s="1" t="s">
        <v>34218</v>
      </c>
    </row>
    <row r="4030" spans="1:19" x14ac:dyDescent="0.25">
      <c r="A4030">
        <v>101000574</v>
      </c>
      <c r="B4030" t="s">
        <v>10452</v>
      </c>
      <c r="C4030" t="s">
        <v>4273</v>
      </c>
      <c r="F4030" t="str">
        <f>"7083619191"</f>
        <v>7083619191</v>
      </c>
      <c r="G4030" t="s">
        <v>10453</v>
      </c>
      <c r="H4030" t="s">
        <v>7787</v>
      </c>
      <c r="I4030" t="s">
        <v>135</v>
      </c>
      <c r="J4030">
        <v>60482</v>
      </c>
      <c r="K4030">
        <v>1016</v>
      </c>
      <c r="L4030" t="s">
        <v>23</v>
      </c>
      <c r="M4030" t="s">
        <v>10453</v>
      </c>
      <c r="N4030" t="s">
        <v>7787</v>
      </c>
      <c r="O4030" t="s">
        <v>135</v>
      </c>
      <c r="P4030">
        <v>60482</v>
      </c>
      <c r="Q4030">
        <v>1016</v>
      </c>
      <c r="R4030" t="s">
        <v>23</v>
      </c>
      <c r="S4030" s="1" t="s">
        <v>34218</v>
      </c>
    </row>
    <row r="4031" spans="1:19" x14ac:dyDescent="0.25">
      <c r="A4031">
        <v>101007386</v>
      </c>
      <c r="B4031" t="s">
        <v>10454</v>
      </c>
      <c r="C4031" t="s">
        <v>1992</v>
      </c>
      <c r="F4031" t="str">
        <f>"2135553434"</f>
        <v>2135553434</v>
      </c>
      <c r="G4031" t="s">
        <v>10455</v>
      </c>
      <c r="H4031" t="s">
        <v>299</v>
      </c>
      <c r="I4031" t="s">
        <v>22</v>
      </c>
      <c r="J4031">
        <v>90048</v>
      </c>
      <c r="K4031">
        <v>5106</v>
      </c>
      <c r="L4031" t="s">
        <v>23</v>
      </c>
      <c r="M4031" t="s">
        <v>10455</v>
      </c>
      <c r="N4031" t="s">
        <v>299</v>
      </c>
      <c r="O4031" t="s">
        <v>22</v>
      </c>
      <c r="P4031">
        <v>90048</v>
      </c>
      <c r="Q4031">
        <v>5106</v>
      </c>
      <c r="R4031" t="s">
        <v>23</v>
      </c>
      <c r="S4031" s="1" t="s">
        <v>34218</v>
      </c>
    </row>
    <row r="4032" spans="1:19" x14ac:dyDescent="0.25">
      <c r="A4032">
        <v>101217866</v>
      </c>
      <c r="B4032" t="s">
        <v>10456</v>
      </c>
      <c r="C4032" t="s">
        <v>1422</v>
      </c>
      <c r="F4032" t="str">
        <f>"7816448032"</f>
        <v>7816448032</v>
      </c>
      <c r="G4032" t="s">
        <v>10457</v>
      </c>
      <c r="H4032" t="s">
        <v>1748</v>
      </c>
      <c r="I4032" t="s">
        <v>236</v>
      </c>
      <c r="J4032">
        <v>2474</v>
      </c>
      <c r="K4032">
        <v>8263</v>
      </c>
      <c r="L4032" t="s">
        <v>23</v>
      </c>
      <c r="M4032" t="s">
        <v>10457</v>
      </c>
      <c r="N4032" t="s">
        <v>1748</v>
      </c>
      <c r="O4032" t="s">
        <v>236</v>
      </c>
      <c r="P4032">
        <v>2474</v>
      </c>
      <c r="Q4032">
        <v>8263</v>
      </c>
      <c r="R4032" t="s">
        <v>23</v>
      </c>
      <c r="S4032" s="1" t="s">
        <v>34218</v>
      </c>
    </row>
    <row r="4033" spans="1:19" x14ac:dyDescent="0.25">
      <c r="A4033">
        <v>101241289</v>
      </c>
      <c r="B4033" t="s">
        <v>10458</v>
      </c>
      <c r="C4033" t="s">
        <v>846</v>
      </c>
      <c r="F4033" t="str">
        <f>"2122225837"</f>
        <v>2122225837</v>
      </c>
      <c r="G4033" t="s">
        <v>10459</v>
      </c>
      <c r="H4033" t="s">
        <v>653</v>
      </c>
      <c r="I4033" t="s">
        <v>117</v>
      </c>
      <c r="J4033">
        <v>10025</v>
      </c>
      <c r="K4033">
        <v>3530</v>
      </c>
      <c r="L4033" t="s">
        <v>23</v>
      </c>
      <c r="M4033" t="s">
        <v>10459</v>
      </c>
      <c r="N4033" t="s">
        <v>653</v>
      </c>
      <c r="O4033" t="s">
        <v>117</v>
      </c>
      <c r="P4033">
        <v>10025</v>
      </c>
      <c r="Q4033">
        <v>3530</v>
      </c>
      <c r="R4033" t="s">
        <v>23</v>
      </c>
      <c r="S4033" s="1" t="s">
        <v>34218</v>
      </c>
    </row>
    <row r="4034" spans="1:19" x14ac:dyDescent="0.25">
      <c r="A4034">
        <v>101361093</v>
      </c>
      <c r="B4034" t="s">
        <v>7471</v>
      </c>
      <c r="C4034" t="s">
        <v>1124</v>
      </c>
      <c r="F4034" t="str">
        <f>"5047025961"</f>
        <v>5047025961</v>
      </c>
      <c r="G4034" t="s">
        <v>10460</v>
      </c>
      <c r="H4034" t="s">
        <v>840</v>
      </c>
      <c r="I4034" t="s">
        <v>153</v>
      </c>
      <c r="J4034">
        <v>70115</v>
      </c>
      <c r="K4034">
        <v>6259</v>
      </c>
      <c r="L4034" t="s">
        <v>23</v>
      </c>
      <c r="M4034" t="s">
        <v>10460</v>
      </c>
      <c r="N4034" t="s">
        <v>840</v>
      </c>
      <c r="O4034" t="s">
        <v>153</v>
      </c>
      <c r="P4034">
        <v>70115</v>
      </c>
      <c r="Q4034">
        <v>6259</v>
      </c>
      <c r="R4034" t="s">
        <v>23</v>
      </c>
      <c r="S4034" s="1" t="s">
        <v>34218</v>
      </c>
    </row>
    <row r="4035" spans="1:19" x14ac:dyDescent="0.25">
      <c r="A4035">
        <v>101350265</v>
      </c>
      <c r="B4035" t="s">
        <v>2509</v>
      </c>
      <c r="C4035" t="s">
        <v>2741</v>
      </c>
      <c r="F4035" t="str">
        <f>"5033810245"</f>
        <v>5033810245</v>
      </c>
      <c r="G4035" t="s">
        <v>10461</v>
      </c>
      <c r="H4035" t="s">
        <v>227</v>
      </c>
      <c r="I4035" t="s">
        <v>43</v>
      </c>
      <c r="J4035">
        <v>97221</v>
      </c>
      <c r="K4035">
        <v>3321</v>
      </c>
      <c r="L4035" t="s">
        <v>23</v>
      </c>
      <c r="M4035" t="s">
        <v>10461</v>
      </c>
      <c r="N4035" t="s">
        <v>227</v>
      </c>
      <c r="O4035" t="s">
        <v>43</v>
      </c>
      <c r="P4035">
        <v>97221</v>
      </c>
      <c r="Q4035">
        <v>3321</v>
      </c>
      <c r="R4035" t="s">
        <v>23</v>
      </c>
      <c r="S4035" s="1" t="s">
        <v>34218</v>
      </c>
    </row>
    <row r="4036" spans="1:19" x14ac:dyDescent="0.25">
      <c r="A4036">
        <v>101311102</v>
      </c>
      <c r="B4036" t="s">
        <v>10462</v>
      </c>
      <c r="C4036" t="s">
        <v>1824</v>
      </c>
      <c r="F4036" t="str">
        <f>"4154974882"</f>
        <v>4154974882</v>
      </c>
      <c r="G4036" t="s">
        <v>10463</v>
      </c>
      <c r="H4036" t="s">
        <v>10464</v>
      </c>
      <c r="I4036" t="s">
        <v>348</v>
      </c>
      <c r="J4036">
        <v>83814</v>
      </c>
      <c r="K4036">
        <v>4429</v>
      </c>
      <c r="L4036" t="s">
        <v>23</v>
      </c>
      <c r="M4036" t="s">
        <v>10463</v>
      </c>
      <c r="N4036" t="s">
        <v>10464</v>
      </c>
      <c r="O4036" t="s">
        <v>348</v>
      </c>
      <c r="P4036">
        <v>83814</v>
      </c>
      <c r="Q4036">
        <v>4429</v>
      </c>
      <c r="R4036" t="s">
        <v>23</v>
      </c>
      <c r="S4036" s="1" t="s">
        <v>34218</v>
      </c>
    </row>
    <row r="4037" spans="1:19" x14ac:dyDescent="0.25">
      <c r="A4037">
        <v>101300989</v>
      </c>
      <c r="B4037" t="s">
        <v>7888</v>
      </c>
      <c r="C4037" t="s">
        <v>119</v>
      </c>
      <c r="F4037" t="str">
        <f>"2065288133"</f>
        <v>2065288133</v>
      </c>
      <c r="G4037" t="s">
        <v>10465</v>
      </c>
      <c r="H4037" t="s">
        <v>1531</v>
      </c>
      <c r="I4037" t="s">
        <v>84</v>
      </c>
      <c r="J4037">
        <v>98115</v>
      </c>
      <c r="K4037">
        <v>7543</v>
      </c>
      <c r="L4037" t="s">
        <v>23</v>
      </c>
      <c r="M4037" t="s">
        <v>10465</v>
      </c>
      <c r="N4037" t="s">
        <v>1531</v>
      </c>
      <c r="O4037" t="s">
        <v>84</v>
      </c>
      <c r="P4037">
        <v>98115</v>
      </c>
      <c r="Q4037">
        <v>7543</v>
      </c>
      <c r="R4037" t="s">
        <v>23</v>
      </c>
      <c r="S4037" s="1" t="s">
        <v>34218</v>
      </c>
    </row>
    <row r="4038" spans="1:19" x14ac:dyDescent="0.25">
      <c r="A4038">
        <v>100893021</v>
      </c>
      <c r="B4038" t="s">
        <v>10466</v>
      </c>
      <c r="C4038" t="s">
        <v>10467</v>
      </c>
      <c r="F4038" t="str">
        <f>"9543098786"</f>
        <v>9543098786</v>
      </c>
      <c r="G4038" t="s">
        <v>10468</v>
      </c>
      <c r="H4038" t="s">
        <v>1045</v>
      </c>
      <c r="I4038" t="s">
        <v>52</v>
      </c>
      <c r="J4038">
        <v>33325</v>
      </c>
      <c r="K4038">
        <v>1262</v>
      </c>
      <c r="L4038" t="s">
        <v>23</v>
      </c>
      <c r="M4038" t="s">
        <v>10468</v>
      </c>
      <c r="N4038" t="s">
        <v>1045</v>
      </c>
      <c r="O4038" t="s">
        <v>52</v>
      </c>
      <c r="P4038">
        <v>33325</v>
      </c>
      <c r="Q4038">
        <v>1262</v>
      </c>
      <c r="R4038" t="s">
        <v>23</v>
      </c>
      <c r="S4038" s="1" t="s">
        <v>34218</v>
      </c>
    </row>
    <row r="4039" spans="1:19" x14ac:dyDescent="0.25">
      <c r="A4039">
        <v>100671148</v>
      </c>
      <c r="B4039" t="s">
        <v>10469</v>
      </c>
      <c r="C4039" t="s">
        <v>274</v>
      </c>
      <c r="F4039" t="str">
        <f>"5039880119"</f>
        <v>5039880119</v>
      </c>
      <c r="G4039" t="s">
        <v>10470</v>
      </c>
      <c r="H4039" t="s">
        <v>227</v>
      </c>
      <c r="I4039" t="s">
        <v>43</v>
      </c>
      <c r="J4039">
        <v>97218</v>
      </c>
      <c r="L4039" t="s">
        <v>23</v>
      </c>
      <c r="M4039" t="s">
        <v>10470</v>
      </c>
      <c r="N4039" t="s">
        <v>227</v>
      </c>
      <c r="O4039" t="s">
        <v>43</v>
      </c>
      <c r="P4039">
        <v>97218</v>
      </c>
      <c r="R4039" t="s">
        <v>23</v>
      </c>
      <c r="S4039" s="1" t="s">
        <v>34218</v>
      </c>
    </row>
    <row r="4040" spans="1:19" x14ac:dyDescent="0.25">
      <c r="A4040">
        <v>101131729</v>
      </c>
      <c r="B4040" t="s">
        <v>10471</v>
      </c>
      <c r="C4040" t="s">
        <v>4299</v>
      </c>
      <c r="F4040" t="str">
        <f>"5157831106"</f>
        <v>5157831106</v>
      </c>
      <c r="G4040" t="s">
        <v>10472</v>
      </c>
      <c r="H4040" t="s">
        <v>6879</v>
      </c>
      <c r="I4040" t="s">
        <v>565</v>
      </c>
      <c r="J4040">
        <v>50310</v>
      </c>
      <c r="K4040">
        <v>6240</v>
      </c>
      <c r="L4040" t="s">
        <v>23</v>
      </c>
      <c r="M4040" t="s">
        <v>10472</v>
      </c>
      <c r="N4040" t="s">
        <v>6879</v>
      </c>
      <c r="O4040" t="s">
        <v>565</v>
      </c>
      <c r="P4040">
        <v>50310</v>
      </c>
      <c r="Q4040">
        <v>6240</v>
      </c>
      <c r="R4040" t="s">
        <v>23</v>
      </c>
      <c r="S4040" s="1" t="s">
        <v>34218</v>
      </c>
    </row>
    <row r="4041" spans="1:19" x14ac:dyDescent="0.25">
      <c r="A4041">
        <v>101388542</v>
      </c>
      <c r="B4041" t="s">
        <v>4699</v>
      </c>
      <c r="C4041" t="s">
        <v>956</v>
      </c>
      <c r="F4041" t="str">
        <f>"3039192872"</f>
        <v>3039192872</v>
      </c>
      <c r="G4041" t="s">
        <v>10473</v>
      </c>
      <c r="H4041" t="s">
        <v>393</v>
      </c>
      <c r="I4041" t="s">
        <v>71</v>
      </c>
      <c r="J4041">
        <v>80211</v>
      </c>
      <c r="K4041">
        <v>1439</v>
      </c>
      <c r="L4041" t="s">
        <v>23</v>
      </c>
      <c r="M4041" t="s">
        <v>10473</v>
      </c>
      <c r="N4041" t="s">
        <v>393</v>
      </c>
      <c r="O4041" t="s">
        <v>71</v>
      </c>
      <c r="P4041">
        <v>80211</v>
      </c>
      <c r="Q4041">
        <v>1439</v>
      </c>
      <c r="R4041" t="s">
        <v>23</v>
      </c>
      <c r="S4041" s="1" t="s">
        <v>34218</v>
      </c>
    </row>
    <row r="4042" spans="1:19" x14ac:dyDescent="0.25">
      <c r="A4042">
        <v>100875602</v>
      </c>
      <c r="B4042" t="s">
        <v>3187</v>
      </c>
      <c r="C4042" t="s">
        <v>30</v>
      </c>
      <c r="F4042" t="str">
        <f>"8582454258"</f>
        <v>8582454258</v>
      </c>
      <c r="G4042" t="s">
        <v>10474</v>
      </c>
      <c r="H4042" t="s">
        <v>198</v>
      </c>
      <c r="I4042" t="s">
        <v>22</v>
      </c>
      <c r="J4042">
        <v>92109</v>
      </c>
      <c r="K4042">
        <v>5322</v>
      </c>
      <c r="L4042" t="s">
        <v>23</v>
      </c>
      <c r="M4042" t="s">
        <v>10474</v>
      </c>
      <c r="N4042" t="s">
        <v>198</v>
      </c>
      <c r="O4042" t="s">
        <v>22</v>
      </c>
      <c r="P4042">
        <v>92109</v>
      </c>
      <c r="Q4042">
        <v>5322</v>
      </c>
      <c r="R4042" t="s">
        <v>23</v>
      </c>
      <c r="S4042" s="1" t="s">
        <v>34218</v>
      </c>
    </row>
    <row r="4043" spans="1:19" x14ac:dyDescent="0.25">
      <c r="A4043">
        <v>101220340</v>
      </c>
      <c r="B4043" t="s">
        <v>2253</v>
      </c>
      <c r="C4043" t="s">
        <v>1933</v>
      </c>
      <c r="F4043" t="str">
        <f>"5083140478"</f>
        <v>5083140478</v>
      </c>
      <c r="G4043" t="s">
        <v>10475</v>
      </c>
      <c r="H4043" t="s">
        <v>177</v>
      </c>
      <c r="I4043" t="s">
        <v>236</v>
      </c>
      <c r="J4043">
        <v>1721</v>
      </c>
      <c r="K4043">
        <v>2158</v>
      </c>
      <c r="L4043" t="s">
        <v>23</v>
      </c>
      <c r="M4043" t="s">
        <v>10475</v>
      </c>
      <c r="N4043" t="s">
        <v>177</v>
      </c>
      <c r="O4043" t="s">
        <v>236</v>
      </c>
      <c r="P4043">
        <v>1721</v>
      </c>
      <c r="Q4043">
        <v>2158</v>
      </c>
      <c r="R4043" t="s">
        <v>23</v>
      </c>
      <c r="S4043" s="1" t="s">
        <v>34218</v>
      </c>
    </row>
    <row r="4044" spans="1:19" x14ac:dyDescent="0.25">
      <c r="A4044">
        <v>101230984</v>
      </c>
      <c r="B4044" t="s">
        <v>3110</v>
      </c>
      <c r="C4044" t="s">
        <v>3442</v>
      </c>
      <c r="F4044" t="str">
        <f>"6503268253"</f>
        <v>6503268253</v>
      </c>
      <c r="G4044" t="s">
        <v>10476</v>
      </c>
      <c r="H4044" t="s">
        <v>1325</v>
      </c>
      <c r="I4044" t="s">
        <v>22</v>
      </c>
      <c r="J4044">
        <v>94303</v>
      </c>
      <c r="K4044">
        <v>3924</v>
      </c>
      <c r="L4044" t="s">
        <v>23</v>
      </c>
      <c r="M4044" t="s">
        <v>10476</v>
      </c>
      <c r="N4044" t="s">
        <v>1325</v>
      </c>
      <c r="O4044" t="s">
        <v>22</v>
      </c>
      <c r="P4044">
        <v>94303</v>
      </c>
      <c r="Q4044">
        <v>3924</v>
      </c>
      <c r="R4044" t="s">
        <v>23</v>
      </c>
      <c r="S4044" s="1" t="s">
        <v>34218</v>
      </c>
    </row>
    <row r="4045" spans="1:19" x14ac:dyDescent="0.25">
      <c r="A4045">
        <v>101209148</v>
      </c>
      <c r="B4045" t="s">
        <v>654</v>
      </c>
      <c r="C4045" t="s">
        <v>1298</v>
      </c>
      <c r="F4045" t="str">
        <f>"9254710260"</f>
        <v>9254710260</v>
      </c>
      <c r="G4045" t="s">
        <v>10477</v>
      </c>
      <c r="H4045" t="s">
        <v>3198</v>
      </c>
      <c r="I4045" t="s">
        <v>22</v>
      </c>
      <c r="J4045">
        <v>94523</v>
      </c>
      <c r="K4045">
        <v>4246</v>
      </c>
      <c r="L4045" t="s">
        <v>23</v>
      </c>
      <c r="M4045" t="s">
        <v>10477</v>
      </c>
      <c r="N4045" t="s">
        <v>3198</v>
      </c>
      <c r="O4045" t="s">
        <v>22</v>
      </c>
      <c r="P4045">
        <v>94523</v>
      </c>
      <c r="Q4045">
        <v>4246</v>
      </c>
      <c r="R4045" t="s">
        <v>23</v>
      </c>
      <c r="S4045" s="1" t="s">
        <v>34218</v>
      </c>
    </row>
    <row r="4046" spans="1:19" x14ac:dyDescent="0.25">
      <c r="A4046">
        <v>101123116</v>
      </c>
      <c r="B4046" t="s">
        <v>2509</v>
      </c>
      <c r="C4046" t="s">
        <v>10478</v>
      </c>
      <c r="F4046" t="str">
        <f>"2818567161"</f>
        <v>2818567161</v>
      </c>
      <c r="H4046" t="s">
        <v>7162</v>
      </c>
      <c r="I4046" t="s">
        <v>38</v>
      </c>
      <c r="J4046">
        <v>77439</v>
      </c>
      <c r="L4046" t="s">
        <v>23</v>
      </c>
      <c r="N4046" t="s">
        <v>7162</v>
      </c>
      <c r="O4046" t="s">
        <v>38</v>
      </c>
      <c r="P4046">
        <v>77439</v>
      </c>
      <c r="R4046" t="s">
        <v>23</v>
      </c>
      <c r="S4046" s="1" t="s">
        <v>34218</v>
      </c>
    </row>
    <row r="4047" spans="1:19" x14ac:dyDescent="0.25">
      <c r="A4047">
        <v>100819775</v>
      </c>
      <c r="B4047" t="s">
        <v>1743</v>
      </c>
      <c r="C4047" t="s">
        <v>10479</v>
      </c>
      <c r="F4047" t="str">
        <f>"6173530495"</f>
        <v>6173530495</v>
      </c>
      <c r="G4047" t="s">
        <v>10480</v>
      </c>
      <c r="H4047" t="s">
        <v>10481</v>
      </c>
      <c r="I4047" t="s">
        <v>33</v>
      </c>
      <c r="J4047">
        <v>18947</v>
      </c>
      <c r="K4047">
        <v>1510</v>
      </c>
      <c r="L4047" t="s">
        <v>23</v>
      </c>
      <c r="M4047" t="s">
        <v>10480</v>
      </c>
      <c r="N4047" t="s">
        <v>10481</v>
      </c>
      <c r="O4047" t="s">
        <v>33</v>
      </c>
      <c r="P4047">
        <v>18947</v>
      </c>
      <c r="Q4047">
        <v>1510</v>
      </c>
      <c r="R4047" t="s">
        <v>23</v>
      </c>
      <c r="S4047" s="1" t="s">
        <v>34218</v>
      </c>
    </row>
    <row r="4048" spans="1:19" x14ac:dyDescent="0.25">
      <c r="A4048">
        <v>101116992</v>
      </c>
      <c r="B4048" t="s">
        <v>10482</v>
      </c>
      <c r="C4048" t="s">
        <v>1110</v>
      </c>
      <c r="F4048" t="str">
        <f>"7735255970"</f>
        <v>7735255970</v>
      </c>
      <c r="G4048" t="s">
        <v>10483</v>
      </c>
      <c r="H4048" t="s">
        <v>10484</v>
      </c>
      <c r="I4048" t="s">
        <v>52</v>
      </c>
      <c r="J4048">
        <v>32130</v>
      </c>
      <c r="K4048">
        <v>3273</v>
      </c>
      <c r="L4048" t="s">
        <v>23</v>
      </c>
      <c r="M4048" t="s">
        <v>10483</v>
      </c>
      <c r="N4048" t="s">
        <v>10484</v>
      </c>
      <c r="O4048" t="s">
        <v>52</v>
      </c>
      <c r="P4048">
        <v>32130</v>
      </c>
      <c r="Q4048">
        <v>3273</v>
      </c>
      <c r="R4048" t="s">
        <v>23</v>
      </c>
      <c r="S4048" s="1" t="s">
        <v>34218</v>
      </c>
    </row>
    <row r="4049" spans="1:19" x14ac:dyDescent="0.25">
      <c r="A4049">
        <v>100957464</v>
      </c>
      <c r="B4049" t="s">
        <v>10485</v>
      </c>
      <c r="C4049" t="s">
        <v>1223</v>
      </c>
      <c r="F4049" t="str">
        <f>"5853678404"</f>
        <v>5853678404</v>
      </c>
      <c r="G4049" t="s">
        <v>10486</v>
      </c>
      <c r="H4049" t="s">
        <v>10487</v>
      </c>
      <c r="I4049" t="s">
        <v>565</v>
      </c>
      <c r="J4049" t="s">
        <v>10488</v>
      </c>
      <c r="K4049">
        <v>3715</v>
      </c>
      <c r="L4049" t="s">
        <v>23</v>
      </c>
      <c r="M4049" t="s">
        <v>10486</v>
      </c>
      <c r="N4049" t="s">
        <v>10487</v>
      </c>
      <c r="O4049" t="s">
        <v>565</v>
      </c>
      <c r="P4049" t="s">
        <v>10488</v>
      </c>
      <c r="Q4049">
        <v>3715</v>
      </c>
      <c r="R4049" t="s">
        <v>23</v>
      </c>
      <c r="S4049" s="1" t="s">
        <v>34218</v>
      </c>
    </row>
    <row r="4050" spans="1:19" x14ac:dyDescent="0.25">
      <c r="A4050">
        <v>100627757</v>
      </c>
      <c r="B4050" t="s">
        <v>1650</v>
      </c>
      <c r="C4050" t="s">
        <v>1594</v>
      </c>
      <c r="F4050" t="str">
        <f>"6194108181"</f>
        <v>6194108181</v>
      </c>
      <c r="G4050" t="s">
        <v>10489</v>
      </c>
      <c r="H4050" t="s">
        <v>595</v>
      </c>
      <c r="I4050" t="s">
        <v>22</v>
      </c>
      <c r="J4050" t="s">
        <v>10490</v>
      </c>
      <c r="K4050">
        <v>1829</v>
      </c>
      <c r="L4050" t="s">
        <v>23</v>
      </c>
      <c r="M4050" t="s">
        <v>10489</v>
      </c>
      <c r="N4050" t="s">
        <v>595</v>
      </c>
      <c r="O4050" t="s">
        <v>22</v>
      </c>
      <c r="P4050" t="s">
        <v>10490</v>
      </c>
      <c r="Q4050">
        <v>1829</v>
      </c>
      <c r="R4050" t="s">
        <v>23</v>
      </c>
      <c r="S4050" s="1" t="s">
        <v>34218</v>
      </c>
    </row>
    <row r="4051" spans="1:19" x14ac:dyDescent="0.25">
      <c r="A4051">
        <v>100564725</v>
      </c>
      <c r="B4051" t="s">
        <v>10491</v>
      </c>
      <c r="C4051" t="s">
        <v>10492</v>
      </c>
      <c r="F4051" t="str">
        <f>"4089053053"</f>
        <v>4089053053</v>
      </c>
      <c r="G4051" t="s">
        <v>10493</v>
      </c>
      <c r="H4051" t="s">
        <v>481</v>
      </c>
      <c r="I4051" t="s">
        <v>22</v>
      </c>
      <c r="J4051">
        <v>95192</v>
      </c>
      <c r="K4051">
        <v>1000</v>
      </c>
      <c r="L4051" t="s">
        <v>23</v>
      </c>
      <c r="M4051" t="s">
        <v>10493</v>
      </c>
      <c r="N4051" t="s">
        <v>481</v>
      </c>
      <c r="O4051" t="s">
        <v>22</v>
      </c>
      <c r="P4051">
        <v>95192</v>
      </c>
      <c r="Q4051">
        <v>1000</v>
      </c>
      <c r="R4051" t="s">
        <v>23</v>
      </c>
      <c r="S4051" s="1" t="s">
        <v>34218</v>
      </c>
    </row>
    <row r="4052" spans="1:19" x14ac:dyDescent="0.25">
      <c r="A4052">
        <v>100605261</v>
      </c>
      <c r="B4052" t="s">
        <v>10494</v>
      </c>
      <c r="C4052" t="s">
        <v>10495</v>
      </c>
      <c r="F4052" t="str">
        <f>"8479248325"</f>
        <v>8479248325</v>
      </c>
      <c r="G4052" t="s">
        <v>10496</v>
      </c>
      <c r="H4052" t="s">
        <v>924</v>
      </c>
      <c r="I4052" t="s">
        <v>135</v>
      </c>
      <c r="J4052">
        <v>60025</v>
      </c>
      <c r="K4052">
        <v>1629</v>
      </c>
      <c r="L4052" t="s">
        <v>23</v>
      </c>
      <c r="M4052" t="s">
        <v>10496</v>
      </c>
      <c r="N4052" t="s">
        <v>924</v>
      </c>
      <c r="O4052" t="s">
        <v>135</v>
      </c>
      <c r="P4052">
        <v>60025</v>
      </c>
      <c r="Q4052">
        <v>1629</v>
      </c>
      <c r="R4052" t="s">
        <v>23</v>
      </c>
      <c r="S4052" s="1" t="s">
        <v>34218</v>
      </c>
    </row>
    <row r="4053" spans="1:19" x14ac:dyDescent="0.25">
      <c r="A4053">
        <v>100900334</v>
      </c>
      <c r="B4053" t="s">
        <v>10497</v>
      </c>
      <c r="C4053" t="s">
        <v>403</v>
      </c>
      <c r="F4053" t="str">
        <f>"3103994660"</f>
        <v>3103994660</v>
      </c>
      <c r="G4053" t="s">
        <v>10498</v>
      </c>
      <c r="H4053" t="s">
        <v>726</v>
      </c>
      <c r="I4053" t="s">
        <v>22</v>
      </c>
      <c r="J4053" t="s">
        <v>10499</v>
      </c>
      <c r="K4053">
        <v>4130</v>
      </c>
      <c r="L4053" t="s">
        <v>23</v>
      </c>
      <c r="M4053" t="s">
        <v>10498</v>
      </c>
      <c r="N4053" t="s">
        <v>726</v>
      </c>
      <c r="O4053" t="s">
        <v>22</v>
      </c>
      <c r="P4053" t="s">
        <v>10499</v>
      </c>
      <c r="Q4053">
        <v>4130</v>
      </c>
      <c r="R4053" t="s">
        <v>23</v>
      </c>
      <c r="S4053" s="1" t="s">
        <v>34218</v>
      </c>
    </row>
    <row r="4054" spans="1:19" x14ac:dyDescent="0.25">
      <c r="A4054">
        <v>101130994</v>
      </c>
      <c r="B4054" t="s">
        <v>10500</v>
      </c>
      <c r="C4054" t="s">
        <v>838</v>
      </c>
      <c r="F4054" t="str">
        <f>"7739894179"</f>
        <v>7739894179</v>
      </c>
      <c r="G4054" t="s">
        <v>10501</v>
      </c>
      <c r="H4054" t="s">
        <v>134</v>
      </c>
      <c r="I4054" t="s">
        <v>135</v>
      </c>
      <c r="J4054">
        <v>60660</v>
      </c>
      <c r="K4054">
        <v>3305</v>
      </c>
      <c r="L4054" t="s">
        <v>23</v>
      </c>
      <c r="M4054" t="s">
        <v>10501</v>
      </c>
      <c r="N4054" t="s">
        <v>134</v>
      </c>
      <c r="O4054" t="s">
        <v>135</v>
      </c>
      <c r="P4054">
        <v>60660</v>
      </c>
      <c r="Q4054">
        <v>3305</v>
      </c>
      <c r="R4054" t="s">
        <v>23</v>
      </c>
      <c r="S4054" s="1" t="s">
        <v>34218</v>
      </c>
    </row>
    <row r="4055" spans="1:19" x14ac:dyDescent="0.25">
      <c r="A4055">
        <v>101211940</v>
      </c>
      <c r="B4055" t="s">
        <v>3545</v>
      </c>
      <c r="C4055" t="s">
        <v>2287</v>
      </c>
      <c r="F4055" t="str">
        <f>"5105499094"</f>
        <v>5105499094</v>
      </c>
      <c r="G4055" t="s">
        <v>10502</v>
      </c>
      <c r="H4055" t="s">
        <v>66</v>
      </c>
      <c r="I4055" t="s">
        <v>22</v>
      </c>
      <c r="J4055">
        <v>94703</v>
      </c>
      <c r="L4055" t="s">
        <v>23</v>
      </c>
      <c r="M4055" t="s">
        <v>10502</v>
      </c>
      <c r="N4055" t="s">
        <v>66</v>
      </c>
      <c r="O4055" t="s">
        <v>22</v>
      </c>
      <c r="P4055">
        <v>94703</v>
      </c>
      <c r="R4055" t="s">
        <v>23</v>
      </c>
      <c r="S4055" s="1" t="s">
        <v>34218</v>
      </c>
    </row>
    <row r="4056" spans="1:19" x14ac:dyDescent="0.25">
      <c r="A4056">
        <v>100928802</v>
      </c>
      <c r="B4056" t="s">
        <v>10503</v>
      </c>
      <c r="C4056" t="s">
        <v>54</v>
      </c>
      <c r="F4056" t="str">
        <f>"7078952231"</f>
        <v>7078952231</v>
      </c>
      <c r="G4056" t="s">
        <v>10504</v>
      </c>
      <c r="H4056" t="s">
        <v>10505</v>
      </c>
      <c r="I4056" t="s">
        <v>22</v>
      </c>
      <c r="J4056">
        <v>95466</v>
      </c>
      <c r="K4056">
        <v>9595</v>
      </c>
      <c r="L4056" t="s">
        <v>23</v>
      </c>
      <c r="M4056" t="s">
        <v>10504</v>
      </c>
      <c r="N4056" t="s">
        <v>10505</v>
      </c>
      <c r="O4056" t="s">
        <v>22</v>
      </c>
      <c r="P4056">
        <v>95466</v>
      </c>
      <c r="Q4056">
        <v>9595</v>
      </c>
      <c r="R4056" t="s">
        <v>23</v>
      </c>
      <c r="S4056" s="1" t="s">
        <v>34218</v>
      </c>
    </row>
    <row r="4057" spans="1:19" x14ac:dyDescent="0.25">
      <c r="A4057">
        <v>101297207</v>
      </c>
      <c r="B4057" t="s">
        <v>10506</v>
      </c>
      <c r="C4057" t="s">
        <v>2557</v>
      </c>
      <c r="F4057" t="str">
        <f>"8472843848"</f>
        <v>8472843848</v>
      </c>
      <c r="G4057" t="s">
        <v>10507</v>
      </c>
      <c r="H4057" t="s">
        <v>134</v>
      </c>
      <c r="I4057" t="s">
        <v>135</v>
      </c>
      <c r="J4057">
        <v>60640</v>
      </c>
      <c r="K4057">
        <v>2408</v>
      </c>
      <c r="L4057" t="s">
        <v>23</v>
      </c>
      <c r="M4057" t="s">
        <v>10507</v>
      </c>
      <c r="N4057" t="s">
        <v>134</v>
      </c>
      <c r="O4057" t="s">
        <v>135</v>
      </c>
      <c r="P4057">
        <v>60640</v>
      </c>
      <c r="Q4057">
        <v>2408</v>
      </c>
      <c r="R4057" t="s">
        <v>23</v>
      </c>
      <c r="S4057" s="1" t="s">
        <v>34218</v>
      </c>
    </row>
    <row r="4058" spans="1:19" x14ac:dyDescent="0.25">
      <c r="A4058">
        <v>101340882</v>
      </c>
      <c r="B4058" t="s">
        <v>10508</v>
      </c>
      <c r="C4058" t="s">
        <v>1714</v>
      </c>
      <c r="F4058" t="str">
        <f>"9254877981"</f>
        <v>9254877981</v>
      </c>
      <c r="G4058" t="s">
        <v>10509</v>
      </c>
      <c r="H4058" t="s">
        <v>169</v>
      </c>
      <c r="I4058" t="s">
        <v>170</v>
      </c>
      <c r="J4058">
        <v>20037</v>
      </c>
      <c r="K4058">
        <v>1510</v>
      </c>
      <c r="L4058" t="s">
        <v>23</v>
      </c>
      <c r="M4058" t="s">
        <v>10509</v>
      </c>
      <c r="N4058" t="s">
        <v>169</v>
      </c>
      <c r="O4058" t="s">
        <v>170</v>
      </c>
      <c r="P4058">
        <v>20037</v>
      </c>
      <c r="Q4058">
        <v>1510</v>
      </c>
      <c r="R4058" t="s">
        <v>23</v>
      </c>
      <c r="S4058" s="1" t="s">
        <v>34218</v>
      </c>
    </row>
    <row r="4059" spans="1:19" x14ac:dyDescent="0.25">
      <c r="A4059">
        <v>101334555</v>
      </c>
      <c r="B4059" t="s">
        <v>10510</v>
      </c>
      <c r="C4059" t="s">
        <v>10511</v>
      </c>
      <c r="F4059" t="str">
        <f>"3015551234"</f>
        <v>3015551234</v>
      </c>
      <c r="G4059" t="s">
        <v>10512</v>
      </c>
      <c r="H4059" t="s">
        <v>560</v>
      </c>
      <c r="I4059" t="s">
        <v>148</v>
      </c>
      <c r="J4059">
        <v>20852</v>
      </c>
      <c r="K4059">
        <v>3364</v>
      </c>
      <c r="L4059" t="s">
        <v>23</v>
      </c>
      <c r="M4059" t="s">
        <v>10512</v>
      </c>
      <c r="N4059" t="s">
        <v>560</v>
      </c>
      <c r="O4059" t="s">
        <v>148</v>
      </c>
      <c r="P4059">
        <v>20852</v>
      </c>
      <c r="Q4059">
        <v>3364</v>
      </c>
      <c r="R4059" t="s">
        <v>23</v>
      </c>
      <c r="S4059" s="1" t="s">
        <v>34218</v>
      </c>
    </row>
    <row r="4060" spans="1:19" x14ac:dyDescent="0.25">
      <c r="A4060">
        <v>101242504</v>
      </c>
      <c r="B4060" t="s">
        <v>10513</v>
      </c>
      <c r="C4060" t="s">
        <v>1153</v>
      </c>
      <c r="F4060" t="str">
        <f>"7032179158"</f>
        <v>7032179158</v>
      </c>
      <c r="G4060" t="s">
        <v>10514</v>
      </c>
      <c r="H4060" t="s">
        <v>9212</v>
      </c>
      <c r="I4060" t="s">
        <v>446</v>
      </c>
      <c r="J4060">
        <v>28105</v>
      </c>
      <c r="K4060">
        <v>4631</v>
      </c>
      <c r="L4060" t="s">
        <v>23</v>
      </c>
      <c r="M4060" t="s">
        <v>10514</v>
      </c>
      <c r="N4060" t="s">
        <v>9212</v>
      </c>
      <c r="O4060" t="s">
        <v>446</v>
      </c>
      <c r="P4060">
        <v>28105</v>
      </c>
      <c r="Q4060">
        <v>4631</v>
      </c>
      <c r="R4060" t="s">
        <v>23</v>
      </c>
      <c r="S4060" s="1" t="s">
        <v>34218</v>
      </c>
    </row>
    <row r="4061" spans="1:19" x14ac:dyDescent="0.25">
      <c r="A4061">
        <v>101408438</v>
      </c>
      <c r="B4061" t="s">
        <v>29</v>
      </c>
      <c r="C4061" t="s">
        <v>410</v>
      </c>
      <c r="F4061" t="str">
        <f>"9702108354"</f>
        <v>9702108354</v>
      </c>
      <c r="G4061">
        <v>81507</v>
      </c>
      <c r="H4061" t="s">
        <v>4764</v>
      </c>
      <c r="I4061" t="s">
        <v>71</v>
      </c>
      <c r="J4061">
        <v>81507</v>
      </c>
      <c r="L4061" t="s">
        <v>23</v>
      </c>
      <c r="M4061">
        <v>81507</v>
      </c>
      <c r="N4061" t="s">
        <v>4764</v>
      </c>
      <c r="O4061" t="s">
        <v>71</v>
      </c>
      <c r="P4061">
        <v>81507</v>
      </c>
      <c r="R4061" t="s">
        <v>23</v>
      </c>
      <c r="S4061" s="1" t="s">
        <v>34218</v>
      </c>
    </row>
    <row r="4062" spans="1:19" x14ac:dyDescent="0.25">
      <c r="A4062">
        <v>101065085</v>
      </c>
      <c r="B4062" t="s">
        <v>10515</v>
      </c>
      <c r="C4062" t="s">
        <v>4184</v>
      </c>
      <c r="F4062" t="str">
        <f>"5042890247"</f>
        <v>5042890247</v>
      </c>
      <c r="G4062" t="s">
        <v>10516</v>
      </c>
      <c r="H4062" t="s">
        <v>6727</v>
      </c>
      <c r="I4062" t="s">
        <v>52</v>
      </c>
      <c r="J4062" t="s">
        <v>10517</v>
      </c>
      <c r="K4062">
        <v>2254</v>
      </c>
      <c r="L4062" t="s">
        <v>23</v>
      </c>
      <c r="M4062" t="s">
        <v>10516</v>
      </c>
      <c r="N4062" t="s">
        <v>6727</v>
      </c>
      <c r="O4062" t="s">
        <v>52</v>
      </c>
      <c r="P4062" t="s">
        <v>10517</v>
      </c>
      <c r="Q4062">
        <v>2254</v>
      </c>
      <c r="R4062" t="s">
        <v>23</v>
      </c>
      <c r="S4062" s="1" t="s">
        <v>34218</v>
      </c>
    </row>
    <row r="4063" spans="1:19" x14ac:dyDescent="0.25">
      <c r="A4063">
        <v>101116385</v>
      </c>
      <c r="B4063" t="s">
        <v>10518</v>
      </c>
      <c r="C4063" t="s">
        <v>2466</v>
      </c>
      <c r="F4063" t="str">
        <f>"7708402175"</f>
        <v>7708402175</v>
      </c>
      <c r="G4063" t="s">
        <v>10519</v>
      </c>
      <c r="H4063" t="s">
        <v>10520</v>
      </c>
      <c r="I4063" t="s">
        <v>28</v>
      </c>
      <c r="J4063" t="s">
        <v>10521</v>
      </c>
      <c r="K4063">
        <v>1613</v>
      </c>
      <c r="L4063" t="s">
        <v>23</v>
      </c>
      <c r="M4063" t="s">
        <v>10519</v>
      </c>
      <c r="N4063" t="s">
        <v>10520</v>
      </c>
      <c r="O4063" t="s">
        <v>28</v>
      </c>
      <c r="P4063" t="s">
        <v>10521</v>
      </c>
      <c r="Q4063">
        <v>1613</v>
      </c>
      <c r="R4063" t="s">
        <v>23</v>
      </c>
      <c r="S4063" s="1" t="s">
        <v>34218</v>
      </c>
    </row>
    <row r="4064" spans="1:19" x14ac:dyDescent="0.25">
      <c r="A4064">
        <v>100543228</v>
      </c>
      <c r="B4064" t="s">
        <v>10522</v>
      </c>
      <c r="C4064" t="s">
        <v>3878</v>
      </c>
      <c r="F4064" t="str">
        <f>"7632191916"</f>
        <v>7632191916</v>
      </c>
      <c r="G4064" t="s">
        <v>10523</v>
      </c>
      <c r="H4064" t="s">
        <v>1405</v>
      </c>
      <c r="I4064" t="s">
        <v>187</v>
      </c>
      <c r="J4064">
        <v>55127</v>
      </c>
      <c r="K4064">
        <v>2331</v>
      </c>
      <c r="L4064" t="s">
        <v>23</v>
      </c>
      <c r="M4064" t="s">
        <v>10523</v>
      </c>
      <c r="N4064" t="s">
        <v>1405</v>
      </c>
      <c r="O4064" t="s">
        <v>187</v>
      </c>
      <c r="P4064">
        <v>55127</v>
      </c>
      <c r="Q4064">
        <v>2331</v>
      </c>
      <c r="R4064" t="s">
        <v>23</v>
      </c>
      <c r="S4064" s="1" t="s">
        <v>34218</v>
      </c>
    </row>
    <row r="4065" spans="1:19" x14ac:dyDescent="0.25">
      <c r="A4065">
        <v>101163406</v>
      </c>
      <c r="B4065" t="s">
        <v>3676</v>
      </c>
      <c r="C4065" t="s">
        <v>1161</v>
      </c>
      <c r="F4065" t="str">
        <f>"4155476570"</f>
        <v>4155476570</v>
      </c>
      <c r="G4065" t="s">
        <v>10524</v>
      </c>
      <c r="H4065" t="s">
        <v>130</v>
      </c>
      <c r="I4065" t="s">
        <v>22</v>
      </c>
      <c r="J4065" t="s">
        <v>10525</v>
      </c>
      <c r="K4065">
        <v>3918</v>
      </c>
      <c r="L4065" t="s">
        <v>23</v>
      </c>
      <c r="M4065" t="s">
        <v>10524</v>
      </c>
      <c r="N4065" t="s">
        <v>130</v>
      </c>
      <c r="O4065" t="s">
        <v>22</v>
      </c>
      <c r="P4065" t="s">
        <v>10525</v>
      </c>
      <c r="Q4065">
        <v>3918</v>
      </c>
      <c r="R4065" t="s">
        <v>23</v>
      </c>
      <c r="S4065" s="1" t="s">
        <v>34218</v>
      </c>
    </row>
    <row r="4066" spans="1:19" x14ac:dyDescent="0.25">
      <c r="A4066">
        <v>101331940</v>
      </c>
      <c r="B4066" t="s">
        <v>7093</v>
      </c>
      <c r="C4066" t="s">
        <v>2762</v>
      </c>
      <c r="F4066" t="str">
        <f>"8034759712"</f>
        <v>8034759712</v>
      </c>
      <c r="G4066" t="s">
        <v>10526</v>
      </c>
      <c r="H4066" t="s">
        <v>10527</v>
      </c>
      <c r="I4066" t="s">
        <v>1482</v>
      </c>
      <c r="J4066">
        <v>29067</v>
      </c>
      <c r="L4066" t="s">
        <v>23</v>
      </c>
      <c r="M4066" t="s">
        <v>10526</v>
      </c>
      <c r="N4066" t="s">
        <v>10527</v>
      </c>
      <c r="O4066" t="s">
        <v>1482</v>
      </c>
      <c r="P4066">
        <v>29067</v>
      </c>
      <c r="R4066" t="s">
        <v>23</v>
      </c>
      <c r="S4066" s="1" t="s">
        <v>34218</v>
      </c>
    </row>
    <row r="4067" spans="1:19" x14ac:dyDescent="0.25">
      <c r="A4067">
        <v>100582596</v>
      </c>
      <c r="B4067" t="s">
        <v>3881</v>
      </c>
      <c r="C4067" t="s">
        <v>547</v>
      </c>
      <c r="F4067" t="str">
        <f>"4159242506"</f>
        <v>4159242506</v>
      </c>
      <c r="G4067" t="s">
        <v>10528</v>
      </c>
      <c r="H4067" t="s">
        <v>5125</v>
      </c>
      <c r="I4067" t="s">
        <v>22</v>
      </c>
      <c r="J4067" t="s">
        <v>10529</v>
      </c>
      <c r="K4067">
        <v>1264</v>
      </c>
      <c r="L4067" t="s">
        <v>23</v>
      </c>
      <c r="M4067" t="s">
        <v>10528</v>
      </c>
      <c r="N4067" t="s">
        <v>5125</v>
      </c>
      <c r="O4067" t="s">
        <v>22</v>
      </c>
      <c r="P4067" t="s">
        <v>10529</v>
      </c>
      <c r="Q4067">
        <v>1264</v>
      </c>
      <c r="R4067" t="s">
        <v>23</v>
      </c>
      <c r="S4067" s="1" t="s">
        <v>34218</v>
      </c>
    </row>
    <row r="4068" spans="1:19" x14ac:dyDescent="0.25">
      <c r="A4068">
        <v>100833302</v>
      </c>
      <c r="B4068" t="s">
        <v>10530</v>
      </c>
      <c r="C4068" t="s">
        <v>403</v>
      </c>
      <c r="F4068" t="str">
        <f>"3034992847"</f>
        <v>3034992847</v>
      </c>
      <c r="G4068" t="s">
        <v>10531</v>
      </c>
      <c r="H4068" t="s">
        <v>423</v>
      </c>
      <c r="I4068" t="s">
        <v>71</v>
      </c>
      <c r="J4068">
        <v>80303</v>
      </c>
      <c r="K4068">
        <v>4251</v>
      </c>
      <c r="L4068" t="s">
        <v>23</v>
      </c>
      <c r="M4068" t="s">
        <v>10531</v>
      </c>
      <c r="N4068" t="s">
        <v>423</v>
      </c>
      <c r="O4068" t="s">
        <v>71</v>
      </c>
      <c r="P4068">
        <v>80303</v>
      </c>
      <c r="Q4068">
        <v>4251</v>
      </c>
      <c r="R4068" t="s">
        <v>23</v>
      </c>
      <c r="S4068" s="1" t="s">
        <v>34218</v>
      </c>
    </row>
    <row r="4069" spans="1:19" x14ac:dyDescent="0.25">
      <c r="A4069">
        <v>100898935</v>
      </c>
      <c r="B4069" t="s">
        <v>654</v>
      </c>
      <c r="C4069" t="s">
        <v>391</v>
      </c>
      <c r="F4069" t="str">
        <f>"2255550109"</f>
        <v>2255550109</v>
      </c>
      <c r="H4069" t="s">
        <v>869</v>
      </c>
      <c r="I4069" t="s">
        <v>52</v>
      </c>
      <c r="J4069">
        <v>33155</v>
      </c>
      <c r="L4069" t="s">
        <v>23</v>
      </c>
      <c r="N4069" t="s">
        <v>869</v>
      </c>
      <c r="O4069" t="s">
        <v>52</v>
      </c>
      <c r="P4069">
        <v>33155</v>
      </c>
      <c r="R4069" t="s">
        <v>23</v>
      </c>
      <c r="S4069" s="1" t="s">
        <v>34218</v>
      </c>
    </row>
    <row r="4070" spans="1:19" x14ac:dyDescent="0.25">
      <c r="A4070">
        <v>100598129</v>
      </c>
      <c r="B4070" t="s">
        <v>10532</v>
      </c>
      <c r="C4070" t="s">
        <v>699</v>
      </c>
      <c r="F4070" t="str">
        <f>"5857283503"</f>
        <v>5857283503</v>
      </c>
      <c r="G4070" t="s">
        <v>10533</v>
      </c>
      <c r="H4070" t="s">
        <v>5615</v>
      </c>
      <c r="I4070" t="s">
        <v>117</v>
      </c>
      <c r="J4070" t="s">
        <v>10534</v>
      </c>
      <c r="K4070">
        <v>9419</v>
      </c>
      <c r="L4070" t="s">
        <v>23</v>
      </c>
      <c r="M4070" t="s">
        <v>10533</v>
      </c>
      <c r="N4070" t="s">
        <v>5615</v>
      </c>
      <c r="O4070" t="s">
        <v>117</v>
      </c>
      <c r="P4070" t="s">
        <v>10534</v>
      </c>
      <c r="Q4070">
        <v>9419</v>
      </c>
      <c r="R4070" t="s">
        <v>23</v>
      </c>
      <c r="S4070" s="1" t="s">
        <v>34218</v>
      </c>
    </row>
    <row r="4071" spans="1:19" x14ac:dyDescent="0.25">
      <c r="A4071">
        <v>100693292</v>
      </c>
      <c r="B4071" t="s">
        <v>10535</v>
      </c>
      <c r="C4071" t="s">
        <v>247</v>
      </c>
      <c r="F4071" t="str">
        <f>"8029851014"</f>
        <v>8029851014</v>
      </c>
      <c r="G4071" t="s">
        <v>10536</v>
      </c>
      <c r="H4071" t="s">
        <v>10537</v>
      </c>
      <c r="I4071" t="s">
        <v>307</v>
      </c>
      <c r="J4071">
        <v>5482</v>
      </c>
      <c r="K4071">
        <v>6303</v>
      </c>
      <c r="L4071" t="s">
        <v>23</v>
      </c>
      <c r="M4071" t="s">
        <v>10536</v>
      </c>
      <c r="N4071" t="s">
        <v>10537</v>
      </c>
      <c r="O4071" t="s">
        <v>307</v>
      </c>
      <c r="P4071">
        <v>5482</v>
      </c>
      <c r="Q4071">
        <v>6303</v>
      </c>
      <c r="R4071" t="s">
        <v>23</v>
      </c>
      <c r="S4071" s="1" t="s">
        <v>34218</v>
      </c>
    </row>
    <row r="4072" spans="1:19" x14ac:dyDescent="0.25">
      <c r="A4072">
        <v>100812153</v>
      </c>
      <c r="B4072" t="s">
        <v>10538</v>
      </c>
      <c r="C4072" t="s">
        <v>1873</v>
      </c>
      <c r="F4072" t="str">
        <f>"9145551212"</f>
        <v>9145551212</v>
      </c>
      <c r="G4072" t="s">
        <v>10539</v>
      </c>
      <c r="H4072" t="s">
        <v>2866</v>
      </c>
      <c r="I4072" t="s">
        <v>117</v>
      </c>
      <c r="J4072">
        <v>10598</v>
      </c>
      <c r="K4072">
        <v>3229</v>
      </c>
      <c r="L4072" t="s">
        <v>23</v>
      </c>
      <c r="M4072" t="s">
        <v>10539</v>
      </c>
      <c r="N4072" t="s">
        <v>2866</v>
      </c>
      <c r="O4072" t="s">
        <v>117</v>
      </c>
      <c r="P4072">
        <v>10598</v>
      </c>
      <c r="Q4072">
        <v>3229</v>
      </c>
      <c r="R4072" t="s">
        <v>23</v>
      </c>
      <c r="S4072" s="1" t="s">
        <v>34218</v>
      </c>
    </row>
    <row r="4073" spans="1:19" x14ac:dyDescent="0.25">
      <c r="A4073">
        <v>100784903</v>
      </c>
      <c r="B4073" t="s">
        <v>10540</v>
      </c>
      <c r="C4073" t="s">
        <v>535</v>
      </c>
      <c r="F4073" t="str">
        <f>"2564351521"</f>
        <v>2564351521</v>
      </c>
      <c r="G4073">
        <v>36265</v>
      </c>
      <c r="H4073" t="s">
        <v>143</v>
      </c>
      <c r="I4073" t="s">
        <v>1387</v>
      </c>
      <c r="J4073">
        <v>36265</v>
      </c>
      <c r="L4073" t="s">
        <v>23</v>
      </c>
      <c r="M4073">
        <v>36265</v>
      </c>
      <c r="N4073" t="s">
        <v>143</v>
      </c>
      <c r="O4073" t="s">
        <v>1387</v>
      </c>
      <c r="P4073">
        <v>36265</v>
      </c>
      <c r="R4073" t="s">
        <v>23</v>
      </c>
      <c r="S4073" s="1" t="s">
        <v>34218</v>
      </c>
    </row>
    <row r="4074" spans="1:19" x14ac:dyDescent="0.25">
      <c r="A4074">
        <v>101065051</v>
      </c>
      <c r="B4074" t="s">
        <v>10541</v>
      </c>
      <c r="C4074" t="s">
        <v>3622</v>
      </c>
      <c r="F4074" t="str">
        <f>"4698770979"</f>
        <v>4698770979</v>
      </c>
      <c r="G4074" t="s">
        <v>10542</v>
      </c>
      <c r="H4074" t="s">
        <v>8291</v>
      </c>
      <c r="I4074" t="s">
        <v>2537</v>
      </c>
      <c r="J4074">
        <v>72714</v>
      </c>
      <c r="K4074">
        <v>4110</v>
      </c>
      <c r="L4074" t="s">
        <v>23</v>
      </c>
      <c r="M4074" t="s">
        <v>10542</v>
      </c>
      <c r="N4074" t="s">
        <v>8291</v>
      </c>
      <c r="O4074" t="s">
        <v>2537</v>
      </c>
      <c r="P4074">
        <v>72714</v>
      </c>
      <c r="Q4074">
        <v>4110</v>
      </c>
      <c r="R4074" t="s">
        <v>23</v>
      </c>
      <c r="S4074" s="1" t="s">
        <v>34218</v>
      </c>
    </row>
    <row r="4075" spans="1:19" x14ac:dyDescent="0.25">
      <c r="A4075">
        <v>101334065</v>
      </c>
      <c r="B4075" t="s">
        <v>10543</v>
      </c>
      <c r="C4075" t="s">
        <v>30</v>
      </c>
      <c r="F4075" t="str">
        <f>"4078865424"</f>
        <v>4078865424</v>
      </c>
      <c r="G4075" t="s">
        <v>10544</v>
      </c>
      <c r="H4075" t="s">
        <v>2345</v>
      </c>
      <c r="I4075" t="s">
        <v>52</v>
      </c>
      <c r="J4075" t="s">
        <v>10545</v>
      </c>
      <c r="K4075">
        <v>2615</v>
      </c>
      <c r="L4075" t="s">
        <v>23</v>
      </c>
      <c r="M4075" t="s">
        <v>10544</v>
      </c>
      <c r="N4075" t="s">
        <v>2345</v>
      </c>
      <c r="O4075" t="s">
        <v>52</v>
      </c>
      <c r="P4075" t="s">
        <v>10545</v>
      </c>
      <c r="Q4075">
        <v>2615</v>
      </c>
      <c r="R4075" t="s">
        <v>23</v>
      </c>
      <c r="S4075" s="1" t="s">
        <v>34218</v>
      </c>
    </row>
    <row r="4076" spans="1:19" x14ac:dyDescent="0.25">
      <c r="A4076">
        <v>100917225</v>
      </c>
      <c r="B4076" t="s">
        <v>10546</v>
      </c>
      <c r="C4076" t="s">
        <v>1295</v>
      </c>
      <c r="F4076" t="str">
        <f>"3039261199"</f>
        <v>3039261199</v>
      </c>
      <c r="G4076" t="s">
        <v>10547</v>
      </c>
      <c r="H4076" t="s">
        <v>1096</v>
      </c>
      <c r="I4076" t="s">
        <v>71</v>
      </c>
      <c r="J4076">
        <v>80027</v>
      </c>
      <c r="K4076">
        <v>2149</v>
      </c>
      <c r="L4076" t="s">
        <v>23</v>
      </c>
      <c r="M4076" t="s">
        <v>10547</v>
      </c>
      <c r="N4076" t="s">
        <v>1096</v>
      </c>
      <c r="O4076" t="s">
        <v>71</v>
      </c>
      <c r="P4076">
        <v>80027</v>
      </c>
      <c r="Q4076">
        <v>2149</v>
      </c>
      <c r="R4076" t="s">
        <v>23</v>
      </c>
      <c r="S4076" s="1" t="s">
        <v>34218</v>
      </c>
    </row>
    <row r="4077" spans="1:19" x14ac:dyDescent="0.25">
      <c r="A4077">
        <v>101091188</v>
      </c>
      <c r="B4077" t="s">
        <v>10548</v>
      </c>
      <c r="C4077" t="s">
        <v>2159</v>
      </c>
      <c r="F4077" t="str">
        <f>"5866777239"</f>
        <v>5866777239</v>
      </c>
      <c r="H4077" t="s">
        <v>169</v>
      </c>
      <c r="I4077" t="s">
        <v>140</v>
      </c>
      <c r="J4077">
        <v>48095</v>
      </c>
      <c r="L4077" t="s">
        <v>23</v>
      </c>
      <c r="N4077" t="s">
        <v>169</v>
      </c>
      <c r="O4077" t="s">
        <v>140</v>
      </c>
      <c r="P4077">
        <v>48095</v>
      </c>
      <c r="R4077" t="s">
        <v>23</v>
      </c>
      <c r="S4077" s="1" t="s">
        <v>34218</v>
      </c>
    </row>
    <row r="4078" spans="1:19" x14ac:dyDescent="0.25">
      <c r="A4078">
        <v>101031576</v>
      </c>
      <c r="B4078" t="s">
        <v>10549</v>
      </c>
      <c r="C4078" t="s">
        <v>2892</v>
      </c>
      <c r="F4078" t="str">
        <f>"9495567986"</f>
        <v>9495567986</v>
      </c>
      <c r="G4078" t="s">
        <v>10550</v>
      </c>
      <c r="H4078" t="s">
        <v>2029</v>
      </c>
      <c r="I4078" t="s">
        <v>22</v>
      </c>
      <c r="J4078">
        <v>92625</v>
      </c>
      <c r="K4078">
        <v>1434</v>
      </c>
      <c r="L4078" t="s">
        <v>23</v>
      </c>
      <c r="M4078" t="s">
        <v>10550</v>
      </c>
      <c r="N4078" t="s">
        <v>2029</v>
      </c>
      <c r="O4078" t="s">
        <v>22</v>
      </c>
      <c r="P4078">
        <v>92625</v>
      </c>
      <c r="Q4078">
        <v>1434</v>
      </c>
      <c r="R4078" t="s">
        <v>23</v>
      </c>
      <c r="S4078" s="1" t="s">
        <v>34218</v>
      </c>
    </row>
    <row r="4079" spans="1:19" x14ac:dyDescent="0.25">
      <c r="A4079">
        <v>101472330</v>
      </c>
      <c r="B4079" t="s">
        <v>3705</v>
      </c>
      <c r="C4079" t="s">
        <v>10551</v>
      </c>
      <c r="F4079" t="str">
        <f>"3014425840"</f>
        <v>3014425840</v>
      </c>
      <c r="G4079" t="s">
        <v>10552</v>
      </c>
      <c r="H4079" t="s">
        <v>2056</v>
      </c>
      <c r="I4079" t="s">
        <v>148</v>
      </c>
      <c r="J4079">
        <v>20707</v>
      </c>
      <c r="L4079" t="s">
        <v>23</v>
      </c>
      <c r="M4079" t="s">
        <v>10552</v>
      </c>
      <c r="N4079" t="s">
        <v>2056</v>
      </c>
      <c r="O4079" t="s">
        <v>148</v>
      </c>
      <c r="P4079">
        <v>20707</v>
      </c>
      <c r="R4079" t="s">
        <v>23</v>
      </c>
      <c r="S4079" s="1" t="s">
        <v>34218</v>
      </c>
    </row>
    <row r="4080" spans="1:19" x14ac:dyDescent="0.25">
      <c r="A4080">
        <v>101215850</v>
      </c>
      <c r="B4080" t="s">
        <v>1415</v>
      </c>
      <c r="C4080" t="s">
        <v>1906</v>
      </c>
      <c r="F4080" t="str">
        <f>"7709267615"</f>
        <v>7709267615</v>
      </c>
      <c r="G4080" t="s">
        <v>10553</v>
      </c>
      <c r="H4080" t="s">
        <v>5700</v>
      </c>
      <c r="I4080" t="s">
        <v>28</v>
      </c>
      <c r="J4080">
        <v>30188</v>
      </c>
      <c r="L4080" t="s">
        <v>23</v>
      </c>
      <c r="M4080" t="s">
        <v>10553</v>
      </c>
      <c r="N4080" t="s">
        <v>5700</v>
      </c>
      <c r="O4080" t="s">
        <v>28</v>
      </c>
      <c r="P4080">
        <v>30188</v>
      </c>
      <c r="R4080" t="s">
        <v>23</v>
      </c>
      <c r="S4080" s="1" t="s">
        <v>34218</v>
      </c>
    </row>
    <row r="4081" spans="1:19" x14ac:dyDescent="0.25">
      <c r="A4081">
        <v>101086214</v>
      </c>
      <c r="B4081" t="s">
        <v>10554</v>
      </c>
      <c r="C4081" t="s">
        <v>2343</v>
      </c>
      <c r="F4081" t="str">
        <f>"7815551212"</f>
        <v>7815551212</v>
      </c>
      <c r="G4081" t="s">
        <v>10555</v>
      </c>
      <c r="H4081" t="s">
        <v>5745</v>
      </c>
      <c r="I4081" t="s">
        <v>236</v>
      </c>
      <c r="J4081">
        <v>2453</v>
      </c>
      <c r="K4081">
        <v>8336</v>
      </c>
      <c r="L4081" t="s">
        <v>23</v>
      </c>
      <c r="M4081" t="s">
        <v>10555</v>
      </c>
      <c r="N4081" t="s">
        <v>5745</v>
      </c>
      <c r="O4081" t="s">
        <v>236</v>
      </c>
      <c r="P4081">
        <v>2453</v>
      </c>
      <c r="Q4081">
        <v>8336</v>
      </c>
      <c r="R4081" t="s">
        <v>23</v>
      </c>
      <c r="S4081" s="1" t="s">
        <v>34218</v>
      </c>
    </row>
    <row r="4082" spans="1:19" x14ac:dyDescent="0.25">
      <c r="A4082">
        <v>100791390</v>
      </c>
      <c r="B4082" t="s">
        <v>10556</v>
      </c>
      <c r="C4082" t="s">
        <v>2127</v>
      </c>
      <c r="F4082" t="str">
        <f>"8027748476"</f>
        <v>8027748476</v>
      </c>
      <c r="G4082" t="s">
        <v>10557</v>
      </c>
      <c r="H4082" t="s">
        <v>8870</v>
      </c>
      <c r="I4082" t="s">
        <v>307</v>
      </c>
      <c r="J4082">
        <v>5701</v>
      </c>
      <c r="K4082">
        <v>6859</v>
      </c>
      <c r="L4082" t="s">
        <v>23</v>
      </c>
      <c r="M4082" t="s">
        <v>10557</v>
      </c>
      <c r="N4082" t="s">
        <v>8870</v>
      </c>
      <c r="O4082" t="s">
        <v>307</v>
      </c>
      <c r="P4082">
        <v>5701</v>
      </c>
      <c r="Q4082">
        <v>6859</v>
      </c>
      <c r="R4082" t="s">
        <v>23</v>
      </c>
      <c r="S4082" s="1" t="s">
        <v>34218</v>
      </c>
    </row>
    <row r="4083" spans="1:19" x14ac:dyDescent="0.25">
      <c r="A4083">
        <v>101306683</v>
      </c>
      <c r="B4083" t="s">
        <v>10558</v>
      </c>
      <c r="C4083" t="s">
        <v>543</v>
      </c>
      <c r="F4083" t="str">
        <f>"3607547044"</f>
        <v>3607547044</v>
      </c>
      <c r="G4083" t="s">
        <v>10559</v>
      </c>
      <c r="H4083" t="s">
        <v>10560</v>
      </c>
      <c r="I4083" t="s">
        <v>84</v>
      </c>
      <c r="J4083" t="s">
        <v>10561</v>
      </c>
      <c r="K4083">
        <v>6965</v>
      </c>
      <c r="L4083" t="s">
        <v>23</v>
      </c>
      <c r="M4083" t="s">
        <v>10559</v>
      </c>
      <c r="N4083" t="s">
        <v>10560</v>
      </c>
      <c r="O4083" t="s">
        <v>84</v>
      </c>
      <c r="P4083" t="s">
        <v>10561</v>
      </c>
      <c r="Q4083">
        <v>6965</v>
      </c>
      <c r="R4083" t="s">
        <v>23</v>
      </c>
      <c r="S4083" s="1" t="s">
        <v>34218</v>
      </c>
    </row>
    <row r="4084" spans="1:19" x14ac:dyDescent="0.25">
      <c r="A4084">
        <v>101237401</v>
      </c>
      <c r="B4084" t="s">
        <v>10562</v>
      </c>
      <c r="C4084" t="s">
        <v>575</v>
      </c>
      <c r="F4084" t="str">
        <f>"9807294501"</f>
        <v>9807294501</v>
      </c>
      <c r="G4084" t="s">
        <v>10563</v>
      </c>
      <c r="H4084" t="s">
        <v>1086</v>
      </c>
      <c r="I4084" t="s">
        <v>446</v>
      </c>
      <c r="J4084">
        <v>28227</v>
      </c>
      <c r="K4084">
        <v>4030</v>
      </c>
      <c r="L4084" t="s">
        <v>23</v>
      </c>
      <c r="M4084" t="s">
        <v>10563</v>
      </c>
      <c r="N4084" t="s">
        <v>1086</v>
      </c>
      <c r="O4084" t="s">
        <v>446</v>
      </c>
      <c r="P4084">
        <v>28227</v>
      </c>
      <c r="Q4084">
        <v>4030</v>
      </c>
      <c r="R4084" t="s">
        <v>23</v>
      </c>
      <c r="S4084" s="1" t="s">
        <v>34218</v>
      </c>
    </row>
    <row r="4085" spans="1:19" x14ac:dyDescent="0.25">
      <c r="A4085">
        <v>101380610</v>
      </c>
      <c r="B4085" t="s">
        <v>10564</v>
      </c>
      <c r="C4085" t="s">
        <v>1306</v>
      </c>
      <c r="F4085" t="str">
        <f>"4073511635"</f>
        <v>4073511635</v>
      </c>
      <c r="G4085" t="s">
        <v>10565</v>
      </c>
      <c r="H4085" t="s">
        <v>1412</v>
      </c>
      <c r="I4085" t="s">
        <v>52</v>
      </c>
      <c r="J4085">
        <v>32819</v>
      </c>
      <c r="L4085" t="s">
        <v>23</v>
      </c>
      <c r="M4085" t="s">
        <v>10565</v>
      </c>
      <c r="N4085" t="s">
        <v>1412</v>
      </c>
      <c r="O4085" t="s">
        <v>52</v>
      </c>
      <c r="P4085">
        <v>32819</v>
      </c>
      <c r="R4085" t="s">
        <v>23</v>
      </c>
      <c r="S4085" s="1" t="s">
        <v>34218</v>
      </c>
    </row>
    <row r="4086" spans="1:19" x14ac:dyDescent="0.25">
      <c r="A4086">
        <v>101297632</v>
      </c>
      <c r="B4086" t="s">
        <v>10566</v>
      </c>
      <c r="C4086" t="s">
        <v>1124</v>
      </c>
      <c r="F4086" t="str">
        <f>"4158830683"</f>
        <v>4158830683</v>
      </c>
      <c r="G4086" t="s">
        <v>10567</v>
      </c>
      <c r="H4086" t="s">
        <v>631</v>
      </c>
      <c r="I4086" t="s">
        <v>22</v>
      </c>
      <c r="J4086">
        <v>94949</v>
      </c>
      <c r="L4086" t="s">
        <v>23</v>
      </c>
      <c r="M4086" t="s">
        <v>10567</v>
      </c>
      <c r="N4086" t="s">
        <v>631</v>
      </c>
      <c r="O4086" t="s">
        <v>22</v>
      </c>
      <c r="P4086">
        <v>94949</v>
      </c>
      <c r="R4086" t="s">
        <v>23</v>
      </c>
      <c r="S4086" s="1" t="s">
        <v>34218</v>
      </c>
    </row>
    <row r="4087" spans="1:19" x14ac:dyDescent="0.25">
      <c r="A4087">
        <v>101291921</v>
      </c>
      <c r="B4087" t="s">
        <v>10568</v>
      </c>
      <c r="C4087" t="s">
        <v>10569</v>
      </c>
      <c r="F4087" t="str">
        <f>"4149628515"</f>
        <v>4149628515</v>
      </c>
      <c r="H4087" t="s">
        <v>389</v>
      </c>
      <c r="I4087" t="s">
        <v>100</v>
      </c>
      <c r="J4087">
        <v>52311</v>
      </c>
      <c r="L4087" t="s">
        <v>23</v>
      </c>
      <c r="N4087" t="s">
        <v>389</v>
      </c>
      <c r="O4087" t="s">
        <v>100</v>
      </c>
      <c r="P4087">
        <v>52311</v>
      </c>
      <c r="R4087" t="s">
        <v>23</v>
      </c>
      <c r="S4087" s="1" t="s">
        <v>34218</v>
      </c>
    </row>
    <row r="4088" spans="1:19" x14ac:dyDescent="0.25">
      <c r="A4088">
        <v>101146819</v>
      </c>
      <c r="B4088" t="s">
        <v>823</v>
      </c>
      <c r="C4088" t="s">
        <v>1529</v>
      </c>
      <c r="F4088" t="str">
        <f>"5044008404"</f>
        <v>5044008404</v>
      </c>
      <c r="G4088" t="s">
        <v>10570</v>
      </c>
      <c r="H4088" t="s">
        <v>840</v>
      </c>
      <c r="I4088" t="s">
        <v>153</v>
      </c>
      <c r="J4088">
        <v>70115</v>
      </c>
      <c r="K4088">
        <v>1930</v>
      </c>
      <c r="L4088" t="s">
        <v>23</v>
      </c>
      <c r="M4088" t="s">
        <v>10570</v>
      </c>
      <c r="N4088" t="s">
        <v>840</v>
      </c>
      <c r="O4088" t="s">
        <v>153</v>
      </c>
      <c r="P4088">
        <v>70115</v>
      </c>
      <c r="Q4088">
        <v>1930</v>
      </c>
      <c r="R4088" t="s">
        <v>23</v>
      </c>
      <c r="S4088" s="1" t="s">
        <v>34218</v>
      </c>
    </row>
    <row r="4089" spans="1:19" x14ac:dyDescent="0.25">
      <c r="A4089">
        <v>101046118</v>
      </c>
      <c r="B4089" t="s">
        <v>10571</v>
      </c>
      <c r="C4089" t="s">
        <v>382</v>
      </c>
      <c r="D4089" t="s">
        <v>383</v>
      </c>
      <c r="F4089" t="str">
        <f>"5857470151"</f>
        <v>5857470151</v>
      </c>
      <c r="G4089" t="s">
        <v>10572</v>
      </c>
      <c r="H4089" t="s">
        <v>227</v>
      </c>
      <c r="I4089" t="s">
        <v>43</v>
      </c>
      <c r="J4089">
        <v>97214</v>
      </c>
      <c r="K4089">
        <v>4352</v>
      </c>
      <c r="L4089" t="s">
        <v>23</v>
      </c>
      <c r="M4089" t="s">
        <v>10572</v>
      </c>
      <c r="N4089" t="s">
        <v>227</v>
      </c>
      <c r="O4089" t="s">
        <v>43</v>
      </c>
      <c r="P4089">
        <v>97214</v>
      </c>
      <c r="Q4089">
        <v>4352</v>
      </c>
      <c r="R4089" t="s">
        <v>23</v>
      </c>
      <c r="S4089" s="1" t="s">
        <v>34218</v>
      </c>
    </row>
    <row r="4090" spans="1:19" x14ac:dyDescent="0.25">
      <c r="A4090">
        <v>100841648</v>
      </c>
      <c r="B4090" t="s">
        <v>1581</v>
      </c>
      <c r="C4090" t="s">
        <v>575</v>
      </c>
      <c r="F4090" t="str">
        <f>"5412860251"</f>
        <v>5412860251</v>
      </c>
      <c r="G4090" t="s">
        <v>10573</v>
      </c>
      <c r="H4090" t="s">
        <v>3498</v>
      </c>
      <c r="I4090" t="s">
        <v>43</v>
      </c>
      <c r="J4090">
        <v>97330</v>
      </c>
      <c r="K4090">
        <v>9465</v>
      </c>
      <c r="L4090" t="s">
        <v>23</v>
      </c>
      <c r="M4090" t="s">
        <v>10573</v>
      </c>
      <c r="N4090" t="s">
        <v>3498</v>
      </c>
      <c r="O4090" t="s">
        <v>43</v>
      </c>
      <c r="P4090">
        <v>97330</v>
      </c>
      <c r="Q4090">
        <v>9465</v>
      </c>
      <c r="R4090" t="s">
        <v>23</v>
      </c>
      <c r="S4090" s="1" t="s">
        <v>34218</v>
      </c>
    </row>
    <row r="4091" spans="1:19" x14ac:dyDescent="0.25">
      <c r="A4091">
        <v>100847438</v>
      </c>
      <c r="B4091" t="s">
        <v>1164</v>
      </c>
      <c r="C4091" t="s">
        <v>3314</v>
      </c>
      <c r="F4091" t="str">
        <f>"4073076192"</f>
        <v>4073076192</v>
      </c>
      <c r="G4091" t="s">
        <v>10574</v>
      </c>
      <c r="H4091" t="s">
        <v>1412</v>
      </c>
      <c r="I4091" t="s">
        <v>52</v>
      </c>
      <c r="J4091">
        <v>32825</v>
      </c>
      <c r="K4091">
        <v>7805</v>
      </c>
      <c r="L4091" t="s">
        <v>23</v>
      </c>
      <c r="M4091" t="s">
        <v>10574</v>
      </c>
      <c r="N4091" t="s">
        <v>1412</v>
      </c>
      <c r="O4091" t="s">
        <v>52</v>
      </c>
      <c r="P4091">
        <v>32825</v>
      </c>
      <c r="Q4091">
        <v>7805</v>
      </c>
      <c r="R4091" t="s">
        <v>23</v>
      </c>
      <c r="S4091" s="1" t="s">
        <v>34218</v>
      </c>
    </row>
    <row r="4092" spans="1:19" x14ac:dyDescent="0.25">
      <c r="A4092">
        <v>101251182</v>
      </c>
      <c r="B4092" t="s">
        <v>10575</v>
      </c>
      <c r="C4092" t="s">
        <v>554</v>
      </c>
      <c r="F4092" t="str">
        <f>"2126880560"</f>
        <v>2126880560</v>
      </c>
      <c r="G4092" t="s">
        <v>10576</v>
      </c>
      <c r="H4092" t="s">
        <v>653</v>
      </c>
      <c r="I4092" t="s">
        <v>117</v>
      </c>
      <c r="J4092">
        <v>10044</v>
      </c>
      <c r="K4092">
        <v>115</v>
      </c>
      <c r="L4092" t="s">
        <v>23</v>
      </c>
      <c r="M4092" t="s">
        <v>10576</v>
      </c>
      <c r="N4092" t="s">
        <v>653</v>
      </c>
      <c r="O4092" t="s">
        <v>117</v>
      </c>
      <c r="P4092">
        <v>10044</v>
      </c>
      <c r="Q4092">
        <v>115</v>
      </c>
      <c r="R4092" t="s">
        <v>23</v>
      </c>
      <c r="S4092" s="1" t="s">
        <v>34218</v>
      </c>
    </row>
    <row r="4093" spans="1:19" x14ac:dyDescent="0.25">
      <c r="A4093">
        <v>101272271</v>
      </c>
      <c r="B4093" t="s">
        <v>4848</v>
      </c>
      <c r="C4093" t="s">
        <v>4136</v>
      </c>
      <c r="F4093" t="str">
        <f>"9546981031"</f>
        <v>9546981031</v>
      </c>
      <c r="G4093" t="s">
        <v>10577</v>
      </c>
      <c r="H4093" t="s">
        <v>10578</v>
      </c>
      <c r="I4093" t="s">
        <v>52</v>
      </c>
      <c r="J4093">
        <v>33441</v>
      </c>
      <c r="K4093">
        <v>6988</v>
      </c>
      <c r="L4093" t="s">
        <v>23</v>
      </c>
      <c r="M4093" t="s">
        <v>10577</v>
      </c>
      <c r="N4093" t="s">
        <v>10578</v>
      </c>
      <c r="O4093" t="s">
        <v>52</v>
      </c>
      <c r="P4093">
        <v>33441</v>
      </c>
      <c r="Q4093">
        <v>6988</v>
      </c>
      <c r="R4093" t="s">
        <v>23</v>
      </c>
      <c r="S4093" s="1" t="s">
        <v>34218</v>
      </c>
    </row>
    <row r="4094" spans="1:19" x14ac:dyDescent="0.25">
      <c r="A4094">
        <v>100837370</v>
      </c>
      <c r="B4094" t="s">
        <v>10579</v>
      </c>
      <c r="C4094" t="s">
        <v>4966</v>
      </c>
      <c r="F4094" t="str">
        <f>"6082718943"</f>
        <v>6082718943</v>
      </c>
      <c r="G4094" t="s">
        <v>10580</v>
      </c>
      <c r="H4094" t="s">
        <v>2375</v>
      </c>
      <c r="I4094" t="s">
        <v>100</v>
      </c>
      <c r="J4094" t="s">
        <v>10581</v>
      </c>
      <c r="K4094">
        <v>3253</v>
      </c>
      <c r="L4094" t="s">
        <v>23</v>
      </c>
      <c r="M4094" t="s">
        <v>10580</v>
      </c>
      <c r="N4094" t="s">
        <v>2375</v>
      </c>
      <c r="O4094" t="s">
        <v>100</v>
      </c>
      <c r="P4094" t="s">
        <v>10581</v>
      </c>
      <c r="Q4094">
        <v>3253</v>
      </c>
      <c r="R4094" t="s">
        <v>23</v>
      </c>
      <c r="S4094" s="1" t="s">
        <v>34218</v>
      </c>
    </row>
    <row r="4095" spans="1:19" x14ac:dyDescent="0.25">
      <c r="A4095">
        <v>101057365</v>
      </c>
      <c r="B4095" t="s">
        <v>3513</v>
      </c>
      <c r="C4095" t="s">
        <v>9150</v>
      </c>
      <c r="F4095" t="str">
        <f>"5419168001"</f>
        <v>5419168001</v>
      </c>
      <c r="G4095" t="s">
        <v>10582</v>
      </c>
      <c r="H4095" t="s">
        <v>458</v>
      </c>
      <c r="I4095" t="s">
        <v>43</v>
      </c>
      <c r="J4095" t="s">
        <v>10583</v>
      </c>
      <c r="K4095">
        <v>9134</v>
      </c>
      <c r="L4095" t="s">
        <v>23</v>
      </c>
      <c r="M4095" t="s">
        <v>10582</v>
      </c>
      <c r="N4095" t="s">
        <v>458</v>
      </c>
      <c r="O4095" t="s">
        <v>43</v>
      </c>
      <c r="P4095" t="s">
        <v>10583</v>
      </c>
      <c r="Q4095">
        <v>9134</v>
      </c>
      <c r="R4095" t="s">
        <v>23</v>
      </c>
      <c r="S4095" s="1" t="s">
        <v>34218</v>
      </c>
    </row>
    <row r="4096" spans="1:19" x14ac:dyDescent="0.25">
      <c r="A4096">
        <v>101309586</v>
      </c>
      <c r="B4096" t="s">
        <v>889</v>
      </c>
      <c r="C4096" t="s">
        <v>10584</v>
      </c>
      <c r="F4096" t="str">
        <f>"7182842218"</f>
        <v>7182842218</v>
      </c>
      <c r="G4096" t="s">
        <v>10585</v>
      </c>
      <c r="H4096" t="s">
        <v>412</v>
      </c>
      <c r="I4096" t="s">
        <v>117</v>
      </c>
      <c r="J4096" t="s">
        <v>10586</v>
      </c>
      <c r="K4096">
        <v>4902</v>
      </c>
      <c r="L4096" t="s">
        <v>23</v>
      </c>
      <c r="M4096" t="s">
        <v>10585</v>
      </c>
      <c r="N4096" t="s">
        <v>412</v>
      </c>
      <c r="O4096" t="s">
        <v>117</v>
      </c>
      <c r="P4096" t="s">
        <v>10586</v>
      </c>
      <c r="Q4096">
        <v>4902</v>
      </c>
      <c r="R4096" t="s">
        <v>23</v>
      </c>
      <c r="S4096" s="1" t="s">
        <v>34218</v>
      </c>
    </row>
    <row r="4097" spans="1:19" x14ac:dyDescent="0.25">
      <c r="A4097">
        <v>101001870</v>
      </c>
      <c r="B4097" t="s">
        <v>10587</v>
      </c>
      <c r="C4097" t="s">
        <v>9050</v>
      </c>
      <c r="F4097" t="str">
        <f>"3604207871"</f>
        <v>3604207871</v>
      </c>
      <c r="G4097" t="s">
        <v>10588</v>
      </c>
      <c r="H4097" t="s">
        <v>2798</v>
      </c>
      <c r="I4097" t="s">
        <v>84</v>
      </c>
      <c r="J4097" t="s">
        <v>10589</v>
      </c>
      <c r="K4097">
        <v>9670</v>
      </c>
      <c r="L4097" t="s">
        <v>23</v>
      </c>
      <c r="M4097" t="s">
        <v>10588</v>
      </c>
      <c r="N4097" t="s">
        <v>2798</v>
      </c>
      <c r="O4097" t="s">
        <v>84</v>
      </c>
      <c r="P4097" t="s">
        <v>10589</v>
      </c>
      <c r="Q4097">
        <v>9670</v>
      </c>
      <c r="R4097" t="s">
        <v>23</v>
      </c>
      <c r="S4097" s="1" t="s">
        <v>34218</v>
      </c>
    </row>
    <row r="4098" spans="1:19" x14ac:dyDescent="0.25">
      <c r="A4098">
        <v>101054418</v>
      </c>
      <c r="B4098" t="s">
        <v>10590</v>
      </c>
      <c r="C4098" t="s">
        <v>1306</v>
      </c>
      <c r="F4098" t="str">
        <f>"5855357989"</f>
        <v>5855357989</v>
      </c>
      <c r="G4098" t="s">
        <v>10591</v>
      </c>
      <c r="H4098" t="s">
        <v>10592</v>
      </c>
      <c r="I4098" t="s">
        <v>117</v>
      </c>
      <c r="J4098" t="s">
        <v>10593</v>
      </c>
      <c r="K4098">
        <v>9725</v>
      </c>
      <c r="L4098" t="s">
        <v>23</v>
      </c>
      <c r="M4098" t="s">
        <v>10591</v>
      </c>
      <c r="N4098" t="s">
        <v>10592</v>
      </c>
      <c r="O4098" t="s">
        <v>117</v>
      </c>
      <c r="P4098" t="s">
        <v>10593</v>
      </c>
      <c r="Q4098">
        <v>9725</v>
      </c>
      <c r="R4098" t="s">
        <v>23</v>
      </c>
      <c r="S4098" s="1" t="s">
        <v>34218</v>
      </c>
    </row>
    <row r="4099" spans="1:19" x14ac:dyDescent="0.25">
      <c r="A4099">
        <v>101199667</v>
      </c>
      <c r="B4099" t="s">
        <v>1685</v>
      </c>
      <c r="C4099" t="s">
        <v>582</v>
      </c>
      <c r="F4099" t="str">
        <f>"7163262072"</f>
        <v>7163262072</v>
      </c>
      <c r="G4099" t="s">
        <v>10594</v>
      </c>
      <c r="H4099" t="s">
        <v>1951</v>
      </c>
      <c r="I4099" t="s">
        <v>117</v>
      </c>
      <c r="J4099">
        <v>14787</v>
      </c>
      <c r="L4099" t="s">
        <v>23</v>
      </c>
      <c r="M4099" t="s">
        <v>10594</v>
      </c>
      <c r="N4099" t="s">
        <v>1951</v>
      </c>
      <c r="O4099" t="s">
        <v>117</v>
      </c>
      <c r="P4099">
        <v>14787</v>
      </c>
      <c r="R4099" t="s">
        <v>23</v>
      </c>
      <c r="S4099" s="1" t="s">
        <v>34218</v>
      </c>
    </row>
    <row r="4100" spans="1:19" x14ac:dyDescent="0.25">
      <c r="A4100">
        <v>101309607</v>
      </c>
      <c r="B4100" t="s">
        <v>10595</v>
      </c>
      <c r="C4100" t="s">
        <v>10596</v>
      </c>
      <c r="F4100" t="str">
        <f>"7208912247"</f>
        <v>7208912247</v>
      </c>
      <c r="G4100" t="s">
        <v>10597</v>
      </c>
      <c r="H4100" t="s">
        <v>4921</v>
      </c>
      <c r="I4100" t="s">
        <v>365</v>
      </c>
      <c r="J4100">
        <v>85602</v>
      </c>
      <c r="K4100">
        <v>7529</v>
      </c>
      <c r="L4100" t="s">
        <v>23</v>
      </c>
      <c r="M4100" t="s">
        <v>10597</v>
      </c>
      <c r="N4100" t="s">
        <v>4921</v>
      </c>
      <c r="O4100" t="s">
        <v>365</v>
      </c>
      <c r="P4100">
        <v>85602</v>
      </c>
      <c r="Q4100">
        <v>7529</v>
      </c>
      <c r="R4100" t="s">
        <v>23</v>
      </c>
      <c r="S4100" s="1" t="s">
        <v>34218</v>
      </c>
    </row>
    <row r="4101" spans="1:19" x14ac:dyDescent="0.25">
      <c r="A4101">
        <v>100913227</v>
      </c>
      <c r="B4101" t="s">
        <v>10598</v>
      </c>
      <c r="C4101" t="s">
        <v>10599</v>
      </c>
      <c r="F4101" t="str">
        <f>"5304700701"</f>
        <v>5304700701</v>
      </c>
      <c r="G4101" t="s">
        <v>10600</v>
      </c>
      <c r="H4101" t="s">
        <v>3230</v>
      </c>
      <c r="I4101" t="s">
        <v>22</v>
      </c>
      <c r="J4101">
        <v>95959</v>
      </c>
      <c r="K4101">
        <v>9068</v>
      </c>
      <c r="L4101" t="s">
        <v>23</v>
      </c>
      <c r="M4101" t="s">
        <v>10600</v>
      </c>
      <c r="N4101" t="s">
        <v>3230</v>
      </c>
      <c r="O4101" t="s">
        <v>22</v>
      </c>
      <c r="P4101">
        <v>95959</v>
      </c>
      <c r="Q4101">
        <v>9068</v>
      </c>
      <c r="R4101" t="s">
        <v>23</v>
      </c>
      <c r="S4101" s="1" t="s">
        <v>34218</v>
      </c>
    </row>
    <row r="4102" spans="1:19" x14ac:dyDescent="0.25">
      <c r="A4102">
        <v>101063377</v>
      </c>
      <c r="B4102" t="s">
        <v>6058</v>
      </c>
      <c r="C4102" t="s">
        <v>10601</v>
      </c>
      <c r="F4102" t="str">
        <f>"9163931028"</f>
        <v>9163931028</v>
      </c>
      <c r="G4102" t="s">
        <v>10602</v>
      </c>
      <c r="H4102" t="s">
        <v>650</v>
      </c>
      <c r="I4102" t="s">
        <v>22</v>
      </c>
      <c r="J4102">
        <v>95831</v>
      </c>
      <c r="K4102">
        <v>1392</v>
      </c>
      <c r="L4102" t="s">
        <v>23</v>
      </c>
      <c r="M4102" t="s">
        <v>10602</v>
      </c>
      <c r="N4102" t="s">
        <v>650</v>
      </c>
      <c r="O4102" t="s">
        <v>22</v>
      </c>
      <c r="P4102">
        <v>95831</v>
      </c>
      <c r="Q4102">
        <v>1392</v>
      </c>
      <c r="R4102" t="s">
        <v>23</v>
      </c>
      <c r="S4102" s="1" t="s">
        <v>34218</v>
      </c>
    </row>
    <row r="4103" spans="1:19" x14ac:dyDescent="0.25">
      <c r="A4103">
        <v>101205675</v>
      </c>
      <c r="B4103" t="s">
        <v>10603</v>
      </c>
      <c r="C4103" t="s">
        <v>119</v>
      </c>
      <c r="F4103" t="str">
        <f>"5594541193"</f>
        <v>5594541193</v>
      </c>
      <c r="G4103" t="s">
        <v>10604</v>
      </c>
      <c r="H4103" t="s">
        <v>1787</v>
      </c>
      <c r="I4103" t="s">
        <v>702</v>
      </c>
      <c r="J4103">
        <v>89128</v>
      </c>
      <c r="L4103" t="s">
        <v>23</v>
      </c>
      <c r="M4103" t="s">
        <v>10604</v>
      </c>
      <c r="N4103" t="s">
        <v>1787</v>
      </c>
      <c r="O4103" t="s">
        <v>702</v>
      </c>
      <c r="P4103">
        <v>89128</v>
      </c>
      <c r="R4103" t="s">
        <v>23</v>
      </c>
      <c r="S4103" s="1" t="s">
        <v>34218</v>
      </c>
    </row>
    <row r="4104" spans="1:19" x14ac:dyDescent="0.25">
      <c r="A4104">
        <v>101221491</v>
      </c>
      <c r="B4104" t="s">
        <v>4139</v>
      </c>
      <c r="C4104" t="s">
        <v>1239</v>
      </c>
      <c r="F4104" t="str">
        <f>"2099860864"</f>
        <v>2099860864</v>
      </c>
      <c r="G4104" t="s">
        <v>10605</v>
      </c>
      <c r="H4104" t="s">
        <v>1768</v>
      </c>
      <c r="I4104" t="s">
        <v>22</v>
      </c>
      <c r="J4104">
        <v>95203</v>
      </c>
      <c r="K4104">
        <v>2209</v>
      </c>
      <c r="L4104" t="s">
        <v>23</v>
      </c>
      <c r="M4104" t="s">
        <v>10605</v>
      </c>
      <c r="N4104" t="s">
        <v>1768</v>
      </c>
      <c r="O4104" t="s">
        <v>22</v>
      </c>
      <c r="P4104">
        <v>95203</v>
      </c>
      <c r="Q4104">
        <v>2209</v>
      </c>
      <c r="R4104" t="s">
        <v>23</v>
      </c>
      <c r="S4104" s="1" t="s">
        <v>34218</v>
      </c>
    </row>
    <row r="4105" spans="1:19" x14ac:dyDescent="0.25">
      <c r="A4105">
        <v>101175528</v>
      </c>
      <c r="B4105" t="s">
        <v>10606</v>
      </c>
      <c r="C4105" t="s">
        <v>10607</v>
      </c>
      <c r="F4105" t="str">
        <f>"2108289147"</f>
        <v>2108289147</v>
      </c>
      <c r="G4105" t="s">
        <v>10608</v>
      </c>
      <c r="H4105" t="s">
        <v>438</v>
      </c>
      <c r="I4105" t="s">
        <v>71</v>
      </c>
      <c r="J4105">
        <v>80501</v>
      </c>
      <c r="K4105">
        <v>2408</v>
      </c>
      <c r="L4105" t="s">
        <v>23</v>
      </c>
      <c r="M4105" t="s">
        <v>10608</v>
      </c>
      <c r="N4105" t="s">
        <v>438</v>
      </c>
      <c r="O4105" t="s">
        <v>71</v>
      </c>
      <c r="P4105">
        <v>80501</v>
      </c>
      <c r="Q4105">
        <v>2408</v>
      </c>
      <c r="R4105" t="s">
        <v>23</v>
      </c>
      <c r="S4105" s="1" t="s">
        <v>34218</v>
      </c>
    </row>
    <row r="4106" spans="1:19" x14ac:dyDescent="0.25">
      <c r="A4106">
        <v>100711435</v>
      </c>
      <c r="B4106" t="s">
        <v>10609</v>
      </c>
      <c r="C4106" t="s">
        <v>10610</v>
      </c>
      <c r="F4106" t="str">
        <f>"5168227228"</f>
        <v>5168227228</v>
      </c>
      <c r="G4106" t="s">
        <v>10611</v>
      </c>
      <c r="H4106" t="s">
        <v>3147</v>
      </c>
      <c r="I4106" t="s">
        <v>117</v>
      </c>
      <c r="J4106">
        <v>11747</v>
      </c>
      <c r="K4106">
        <v>4277</v>
      </c>
      <c r="L4106" t="s">
        <v>23</v>
      </c>
      <c r="M4106" t="s">
        <v>10611</v>
      </c>
      <c r="N4106" t="s">
        <v>3147</v>
      </c>
      <c r="O4106" t="s">
        <v>117</v>
      </c>
      <c r="P4106">
        <v>11747</v>
      </c>
      <c r="Q4106">
        <v>4277</v>
      </c>
      <c r="R4106" t="s">
        <v>23</v>
      </c>
      <c r="S4106" s="1" t="s">
        <v>34218</v>
      </c>
    </row>
    <row r="4107" spans="1:19" x14ac:dyDescent="0.25">
      <c r="A4107">
        <v>101424286</v>
      </c>
      <c r="B4107" t="s">
        <v>3956</v>
      </c>
      <c r="C4107" t="s">
        <v>1616</v>
      </c>
      <c r="F4107" t="str">
        <f>"5093864874"</f>
        <v>5093864874</v>
      </c>
      <c r="G4107" t="s">
        <v>10612</v>
      </c>
      <c r="H4107" t="s">
        <v>10613</v>
      </c>
      <c r="I4107" t="s">
        <v>43</v>
      </c>
      <c r="J4107" t="s">
        <v>10614</v>
      </c>
      <c r="K4107">
        <v>1137</v>
      </c>
      <c r="L4107" t="s">
        <v>23</v>
      </c>
      <c r="M4107" t="s">
        <v>10612</v>
      </c>
      <c r="N4107" t="s">
        <v>10613</v>
      </c>
      <c r="O4107" t="s">
        <v>43</v>
      </c>
      <c r="P4107" t="s">
        <v>10614</v>
      </c>
      <c r="Q4107">
        <v>1137</v>
      </c>
      <c r="R4107" t="s">
        <v>23</v>
      </c>
      <c r="S4107" s="1" t="s">
        <v>34218</v>
      </c>
    </row>
    <row r="4108" spans="1:19" x14ac:dyDescent="0.25">
      <c r="A4108">
        <v>101446464</v>
      </c>
      <c r="B4108" t="s">
        <v>10615</v>
      </c>
      <c r="C4108" t="s">
        <v>600</v>
      </c>
      <c r="F4108" t="str">
        <f>"2174194544"</f>
        <v>2174194544</v>
      </c>
      <c r="G4108" t="s">
        <v>10616</v>
      </c>
      <c r="H4108" t="s">
        <v>6039</v>
      </c>
      <c r="I4108" t="s">
        <v>148</v>
      </c>
      <c r="J4108">
        <v>20770</v>
      </c>
      <c r="K4108">
        <v>7737</v>
      </c>
      <c r="L4108" t="s">
        <v>23</v>
      </c>
      <c r="M4108" t="s">
        <v>10616</v>
      </c>
      <c r="N4108" t="s">
        <v>6039</v>
      </c>
      <c r="O4108" t="s">
        <v>148</v>
      </c>
      <c r="P4108">
        <v>20770</v>
      </c>
      <c r="Q4108">
        <v>7737</v>
      </c>
      <c r="R4108" t="s">
        <v>23</v>
      </c>
      <c r="S4108" s="1" t="s">
        <v>34218</v>
      </c>
    </row>
    <row r="4109" spans="1:19" x14ac:dyDescent="0.25">
      <c r="A4109">
        <v>100837879</v>
      </c>
      <c r="B4109" t="s">
        <v>10617</v>
      </c>
      <c r="C4109" t="s">
        <v>1179</v>
      </c>
      <c r="F4109" t="str">
        <f>"8307431120"</f>
        <v>8307431120</v>
      </c>
      <c r="G4109" t="s">
        <v>10618</v>
      </c>
      <c r="H4109" t="s">
        <v>10619</v>
      </c>
      <c r="I4109" t="s">
        <v>84</v>
      </c>
      <c r="J4109">
        <v>98133</v>
      </c>
      <c r="K4109">
        <v>6214</v>
      </c>
      <c r="L4109" t="s">
        <v>23</v>
      </c>
      <c r="M4109" t="s">
        <v>10618</v>
      </c>
      <c r="N4109" t="s">
        <v>10619</v>
      </c>
      <c r="O4109" t="s">
        <v>84</v>
      </c>
      <c r="P4109">
        <v>98133</v>
      </c>
      <c r="Q4109">
        <v>6214</v>
      </c>
      <c r="R4109" t="s">
        <v>23</v>
      </c>
      <c r="S4109" s="1" t="s">
        <v>34218</v>
      </c>
    </row>
    <row r="4110" spans="1:19" x14ac:dyDescent="0.25">
      <c r="A4110">
        <v>100872568</v>
      </c>
      <c r="B4110" t="s">
        <v>10620</v>
      </c>
      <c r="C4110" t="s">
        <v>8396</v>
      </c>
      <c r="F4110" t="str">
        <f>"2488947302"</f>
        <v>2488947302</v>
      </c>
      <c r="G4110" t="s">
        <v>10621</v>
      </c>
      <c r="H4110" t="s">
        <v>10622</v>
      </c>
      <c r="I4110" t="s">
        <v>1482</v>
      </c>
      <c r="J4110">
        <v>29492</v>
      </c>
      <c r="K4110">
        <v>6323</v>
      </c>
      <c r="L4110" t="s">
        <v>23</v>
      </c>
      <c r="M4110" t="s">
        <v>10621</v>
      </c>
      <c r="N4110" t="s">
        <v>10622</v>
      </c>
      <c r="O4110" t="s">
        <v>1482</v>
      </c>
      <c r="P4110">
        <v>29492</v>
      </c>
      <c r="Q4110">
        <v>6323</v>
      </c>
      <c r="R4110" t="s">
        <v>23</v>
      </c>
      <c r="S4110" s="1" t="s">
        <v>34218</v>
      </c>
    </row>
    <row r="4111" spans="1:19" x14ac:dyDescent="0.25">
      <c r="A4111">
        <v>100587869</v>
      </c>
      <c r="B4111" t="s">
        <v>199</v>
      </c>
      <c r="C4111" t="s">
        <v>2786</v>
      </c>
      <c r="F4111" t="str">
        <f>"5624209828"</f>
        <v>5624209828</v>
      </c>
      <c r="G4111" t="s">
        <v>10623</v>
      </c>
      <c r="H4111" t="s">
        <v>4326</v>
      </c>
      <c r="I4111" t="s">
        <v>22</v>
      </c>
      <c r="J4111">
        <v>90713</v>
      </c>
      <c r="L4111" t="s">
        <v>23</v>
      </c>
      <c r="M4111" t="s">
        <v>10623</v>
      </c>
      <c r="N4111" t="s">
        <v>4326</v>
      </c>
      <c r="O4111" t="s">
        <v>22</v>
      </c>
      <c r="P4111">
        <v>90713</v>
      </c>
      <c r="R4111" t="s">
        <v>23</v>
      </c>
      <c r="S4111" s="1" t="s">
        <v>34218</v>
      </c>
    </row>
    <row r="4112" spans="1:19" x14ac:dyDescent="0.25">
      <c r="A4112">
        <v>100669798</v>
      </c>
      <c r="B4112" t="s">
        <v>10624</v>
      </c>
      <c r="C4112" t="s">
        <v>262</v>
      </c>
      <c r="F4112" t="str">
        <f>"3036694352"</f>
        <v>3036694352</v>
      </c>
      <c r="G4112" t="s">
        <v>10625</v>
      </c>
      <c r="H4112" t="s">
        <v>10626</v>
      </c>
      <c r="I4112" t="s">
        <v>71</v>
      </c>
      <c r="J4112">
        <v>80104</v>
      </c>
      <c r="K4112">
        <v>7404</v>
      </c>
      <c r="L4112" t="s">
        <v>23</v>
      </c>
      <c r="M4112" t="s">
        <v>10625</v>
      </c>
      <c r="N4112" t="s">
        <v>10626</v>
      </c>
      <c r="O4112" t="s">
        <v>71</v>
      </c>
      <c r="P4112">
        <v>80104</v>
      </c>
      <c r="Q4112">
        <v>7404</v>
      </c>
      <c r="R4112" t="s">
        <v>23</v>
      </c>
      <c r="S4112" s="1" t="s">
        <v>34218</v>
      </c>
    </row>
    <row r="4113" spans="1:19" x14ac:dyDescent="0.25">
      <c r="A4113">
        <v>101351498</v>
      </c>
      <c r="B4113" t="s">
        <v>10627</v>
      </c>
      <c r="C4113" t="s">
        <v>3254</v>
      </c>
      <c r="F4113" t="str">
        <f>"9713271309"</f>
        <v>9713271309</v>
      </c>
      <c r="G4113" t="s">
        <v>10628</v>
      </c>
      <c r="H4113" t="s">
        <v>1372</v>
      </c>
      <c r="I4113" t="s">
        <v>43</v>
      </c>
      <c r="J4113">
        <v>97113</v>
      </c>
      <c r="K4113">
        <v>8004</v>
      </c>
      <c r="L4113" t="s">
        <v>23</v>
      </c>
      <c r="M4113" t="s">
        <v>10628</v>
      </c>
      <c r="N4113" t="s">
        <v>1372</v>
      </c>
      <c r="O4113" t="s">
        <v>43</v>
      </c>
      <c r="P4113">
        <v>97113</v>
      </c>
      <c r="Q4113">
        <v>8004</v>
      </c>
      <c r="R4113" t="s">
        <v>23</v>
      </c>
      <c r="S4113" s="1" t="s">
        <v>34218</v>
      </c>
    </row>
    <row r="4114" spans="1:19" x14ac:dyDescent="0.25">
      <c r="A4114">
        <v>100983564</v>
      </c>
      <c r="B4114" t="s">
        <v>10629</v>
      </c>
      <c r="C4114" t="s">
        <v>294</v>
      </c>
      <c r="F4114" t="str">
        <f>"5414881518"</f>
        <v>5414881518</v>
      </c>
      <c r="G4114" t="s">
        <v>10630</v>
      </c>
      <c r="H4114" t="s">
        <v>177</v>
      </c>
      <c r="I4114" t="s">
        <v>43</v>
      </c>
      <c r="J4114">
        <v>97520</v>
      </c>
      <c r="K4114">
        <v>3686</v>
      </c>
      <c r="L4114" t="s">
        <v>23</v>
      </c>
      <c r="M4114" t="s">
        <v>10630</v>
      </c>
      <c r="N4114" t="s">
        <v>177</v>
      </c>
      <c r="O4114" t="s">
        <v>43</v>
      </c>
      <c r="P4114">
        <v>97520</v>
      </c>
      <c r="Q4114">
        <v>3686</v>
      </c>
      <c r="R4114" t="s">
        <v>23</v>
      </c>
      <c r="S4114" s="1" t="s">
        <v>34218</v>
      </c>
    </row>
    <row r="4115" spans="1:19" x14ac:dyDescent="0.25">
      <c r="A4115">
        <v>101404910</v>
      </c>
      <c r="B4115" t="s">
        <v>8126</v>
      </c>
      <c r="C4115" t="s">
        <v>8403</v>
      </c>
      <c r="F4115" t="str">
        <f>"2813800160"</f>
        <v>2813800160</v>
      </c>
      <c r="G4115" t="s">
        <v>10631</v>
      </c>
      <c r="H4115" t="s">
        <v>789</v>
      </c>
      <c r="I4115" t="s">
        <v>38</v>
      </c>
      <c r="J4115" t="s">
        <v>10632</v>
      </c>
      <c r="K4115">
        <v>1910</v>
      </c>
      <c r="L4115" t="s">
        <v>23</v>
      </c>
      <c r="M4115" t="s">
        <v>10631</v>
      </c>
      <c r="N4115" t="s">
        <v>789</v>
      </c>
      <c r="O4115" t="s">
        <v>38</v>
      </c>
      <c r="P4115" t="s">
        <v>10632</v>
      </c>
      <c r="Q4115">
        <v>1910</v>
      </c>
      <c r="R4115" t="s">
        <v>23</v>
      </c>
      <c r="S4115" s="1" t="s">
        <v>34218</v>
      </c>
    </row>
    <row r="4116" spans="1:19" x14ac:dyDescent="0.25">
      <c r="A4116">
        <v>101431283</v>
      </c>
      <c r="B4116" t="s">
        <v>6938</v>
      </c>
      <c r="C4116" t="s">
        <v>10633</v>
      </c>
      <c r="F4116" t="str">
        <f>"5417540405"</f>
        <v>5417540405</v>
      </c>
      <c r="G4116" t="s">
        <v>10634</v>
      </c>
      <c r="H4116" t="s">
        <v>3498</v>
      </c>
      <c r="I4116" t="s">
        <v>43</v>
      </c>
      <c r="J4116" t="s">
        <v>10635</v>
      </c>
      <c r="K4116">
        <v>2824</v>
      </c>
      <c r="L4116" t="s">
        <v>23</v>
      </c>
      <c r="M4116" t="s">
        <v>10634</v>
      </c>
      <c r="N4116" t="s">
        <v>3498</v>
      </c>
      <c r="O4116" t="s">
        <v>43</v>
      </c>
      <c r="P4116" t="s">
        <v>10635</v>
      </c>
      <c r="Q4116">
        <v>2824</v>
      </c>
      <c r="R4116" t="s">
        <v>23</v>
      </c>
      <c r="S4116" s="1" t="s">
        <v>34218</v>
      </c>
    </row>
    <row r="4117" spans="1:19" x14ac:dyDescent="0.25">
      <c r="A4117">
        <v>101400454</v>
      </c>
      <c r="B4117" t="s">
        <v>10636</v>
      </c>
      <c r="C4117" t="s">
        <v>10637</v>
      </c>
      <c r="F4117" t="str">
        <f>"3017756906"</f>
        <v>3017756906</v>
      </c>
      <c r="G4117" t="s">
        <v>10638</v>
      </c>
      <c r="H4117" t="s">
        <v>10639</v>
      </c>
      <c r="I4117" t="s">
        <v>148</v>
      </c>
      <c r="J4117" t="s">
        <v>10640</v>
      </c>
      <c r="K4117">
        <v>3968</v>
      </c>
      <c r="L4117" t="s">
        <v>23</v>
      </c>
      <c r="M4117" t="s">
        <v>10638</v>
      </c>
      <c r="N4117" t="s">
        <v>10639</v>
      </c>
      <c r="O4117" t="s">
        <v>148</v>
      </c>
      <c r="P4117" t="s">
        <v>10640</v>
      </c>
      <c r="Q4117">
        <v>3968</v>
      </c>
      <c r="R4117" t="s">
        <v>23</v>
      </c>
      <c r="S4117" s="1" t="s">
        <v>34218</v>
      </c>
    </row>
    <row r="4118" spans="1:19" x14ac:dyDescent="0.25">
      <c r="A4118">
        <v>101170852</v>
      </c>
      <c r="B4118" t="s">
        <v>10641</v>
      </c>
      <c r="C4118" t="s">
        <v>1153</v>
      </c>
      <c r="F4118" t="str">
        <f>"8128379335"</f>
        <v>8128379335</v>
      </c>
      <c r="G4118" t="s">
        <v>10642</v>
      </c>
      <c r="H4118" t="s">
        <v>913</v>
      </c>
      <c r="I4118" t="s">
        <v>57</v>
      </c>
      <c r="J4118">
        <v>47448</v>
      </c>
      <c r="K4118">
        <v>9785</v>
      </c>
      <c r="L4118" t="s">
        <v>23</v>
      </c>
      <c r="M4118" t="s">
        <v>10642</v>
      </c>
      <c r="N4118" t="s">
        <v>913</v>
      </c>
      <c r="O4118" t="s">
        <v>57</v>
      </c>
      <c r="P4118">
        <v>47448</v>
      </c>
      <c r="Q4118">
        <v>9785</v>
      </c>
      <c r="R4118" t="s">
        <v>23</v>
      </c>
      <c r="S4118" s="1" t="s">
        <v>34218</v>
      </c>
    </row>
    <row r="4119" spans="1:19" x14ac:dyDescent="0.25">
      <c r="A4119">
        <v>101316369</v>
      </c>
      <c r="B4119" t="s">
        <v>10643</v>
      </c>
      <c r="C4119" t="s">
        <v>1384</v>
      </c>
      <c r="F4119" t="str">
        <f>"7603614026"</f>
        <v>7603614026</v>
      </c>
      <c r="G4119" t="s">
        <v>10644</v>
      </c>
      <c r="H4119" t="s">
        <v>10645</v>
      </c>
      <c r="I4119" t="s">
        <v>22</v>
      </c>
      <c r="J4119">
        <v>92277</v>
      </c>
      <c r="K4119">
        <v>533</v>
      </c>
      <c r="L4119" t="s">
        <v>23</v>
      </c>
      <c r="M4119" t="s">
        <v>10644</v>
      </c>
      <c r="N4119" t="s">
        <v>10645</v>
      </c>
      <c r="O4119" t="s">
        <v>22</v>
      </c>
      <c r="P4119">
        <v>92277</v>
      </c>
      <c r="Q4119">
        <v>533</v>
      </c>
      <c r="R4119" t="s">
        <v>23</v>
      </c>
      <c r="S4119" s="1" t="s">
        <v>34218</v>
      </c>
    </row>
    <row r="4120" spans="1:19" x14ac:dyDescent="0.25">
      <c r="A4120">
        <v>101294534</v>
      </c>
      <c r="B4120" t="s">
        <v>10646</v>
      </c>
      <c r="C4120" t="s">
        <v>1050</v>
      </c>
      <c r="F4120" t="str">
        <f>"7737641689"</f>
        <v>7737641689</v>
      </c>
      <c r="G4120" t="s">
        <v>10647</v>
      </c>
      <c r="H4120" t="s">
        <v>134</v>
      </c>
      <c r="I4120" t="s">
        <v>135</v>
      </c>
      <c r="J4120">
        <v>60645</v>
      </c>
      <c r="L4120" t="s">
        <v>23</v>
      </c>
      <c r="M4120" t="s">
        <v>10647</v>
      </c>
      <c r="N4120" t="s">
        <v>134</v>
      </c>
      <c r="O4120" t="s">
        <v>135</v>
      </c>
      <c r="P4120">
        <v>60645</v>
      </c>
      <c r="R4120" t="s">
        <v>23</v>
      </c>
      <c r="S4120" s="1" t="s">
        <v>34218</v>
      </c>
    </row>
    <row r="4121" spans="1:19" x14ac:dyDescent="0.25">
      <c r="A4121">
        <v>100761639</v>
      </c>
      <c r="B4121" t="s">
        <v>10648</v>
      </c>
      <c r="C4121" t="s">
        <v>1295</v>
      </c>
      <c r="F4121" t="str">
        <f>"9168495291"</f>
        <v>9168495291</v>
      </c>
      <c r="G4121" t="s">
        <v>10649</v>
      </c>
      <c r="H4121" t="s">
        <v>4044</v>
      </c>
      <c r="I4121" t="s">
        <v>100</v>
      </c>
      <c r="J4121">
        <v>54968</v>
      </c>
      <c r="K4121">
        <v>9335</v>
      </c>
      <c r="L4121" t="s">
        <v>23</v>
      </c>
      <c r="M4121" t="s">
        <v>10649</v>
      </c>
      <c r="N4121" t="s">
        <v>4044</v>
      </c>
      <c r="O4121" t="s">
        <v>100</v>
      </c>
      <c r="P4121">
        <v>54968</v>
      </c>
      <c r="Q4121">
        <v>9335</v>
      </c>
      <c r="R4121" t="s">
        <v>23</v>
      </c>
      <c r="S4121" s="1" t="s">
        <v>34218</v>
      </c>
    </row>
    <row r="4122" spans="1:19" x14ac:dyDescent="0.25">
      <c r="A4122">
        <v>101303541</v>
      </c>
      <c r="B4122" t="s">
        <v>10650</v>
      </c>
      <c r="C4122" t="s">
        <v>167</v>
      </c>
      <c r="F4122" t="str">
        <f>"8057583507"</f>
        <v>8057583507</v>
      </c>
      <c r="G4122" t="s">
        <v>10651</v>
      </c>
      <c r="H4122" t="s">
        <v>8603</v>
      </c>
      <c r="I4122" t="s">
        <v>22</v>
      </c>
      <c r="J4122">
        <v>93023</v>
      </c>
      <c r="K4122">
        <v>3126</v>
      </c>
      <c r="L4122" t="s">
        <v>23</v>
      </c>
      <c r="M4122" t="s">
        <v>10651</v>
      </c>
      <c r="N4122" t="s">
        <v>8603</v>
      </c>
      <c r="O4122" t="s">
        <v>22</v>
      </c>
      <c r="P4122">
        <v>93023</v>
      </c>
      <c r="Q4122">
        <v>3126</v>
      </c>
      <c r="R4122" t="s">
        <v>23</v>
      </c>
      <c r="S4122" s="1" t="s">
        <v>34218</v>
      </c>
    </row>
    <row r="4123" spans="1:19" x14ac:dyDescent="0.25">
      <c r="A4123">
        <v>100734438</v>
      </c>
      <c r="B4123" t="s">
        <v>6658</v>
      </c>
      <c r="C4123" t="s">
        <v>208</v>
      </c>
      <c r="F4123" t="str">
        <f>"8478644299"</f>
        <v>8478644299</v>
      </c>
      <c r="G4123" t="s">
        <v>10652</v>
      </c>
      <c r="H4123" t="s">
        <v>10653</v>
      </c>
      <c r="I4123" t="s">
        <v>135</v>
      </c>
      <c r="J4123">
        <v>60091</v>
      </c>
      <c r="L4123" t="s">
        <v>23</v>
      </c>
      <c r="M4123" t="s">
        <v>10652</v>
      </c>
      <c r="N4123" t="s">
        <v>10653</v>
      </c>
      <c r="O4123" t="s">
        <v>135</v>
      </c>
      <c r="P4123">
        <v>60091</v>
      </c>
      <c r="R4123" t="s">
        <v>23</v>
      </c>
      <c r="S4123" s="1" t="s">
        <v>34218</v>
      </c>
    </row>
    <row r="4124" spans="1:19" x14ac:dyDescent="0.25">
      <c r="A4124">
        <v>100630215</v>
      </c>
      <c r="B4124" t="s">
        <v>10654</v>
      </c>
      <c r="C4124" t="s">
        <v>77</v>
      </c>
      <c r="F4124" t="str">
        <f>"3035341323"</f>
        <v>3035341323</v>
      </c>
      <c r="G4124" t="s">
        <v>10655</v>
      </c>
      <c r="H4124" t="s">
        <v>393</v>
      </c>
      <c r="I4124" t="s">
        <v>71</v>
      </c>
      <c r="J4124">
        <v>80204</v>
      </c>
      <c r="K4124">
        <v>5224</v>
      </c>
      <c r="L4124" t="s">
        <v>23</v>
      </c>
      <c r="M4124" t="s">
        <v>10655</v>
      </c>
      <c r="N4124" t="s">
        <v>393</v>
      </c>
      <c r="O4124" t="s">
        <v>71</v>
      </c>
      <c r="P4124">
        <v>80204</v>
      </c>
      <c r="Q4124">
        <v>5224</v>
      </c>
      <c r="R4124" t="s">
        <v>23</v>
      </c>
      <c r="S4124" s="1" t="s">
        <v>34218</v>
      </c>
    </row>
    <row r="4125" spans="1:19" x14ac:dyDescent="0.25">
      <c r="A4125">
        <v>100761951</v>
      </c>
      <c r="B4125" t="s">
        <v>10656</v>
      </c>
      <c r="C4125" t="s">
        <v>123</v>
      </c>
      <c r="F4125" t="str">
        <f>"6027912835"</f>
        <v>6027912835</v>
      </c>
      <c r="G4125" t="s">
        <v>10657</v>
      </c>
      <c r="H4125" t="s">
        <v>682</v>
      </c>
      <c r="I4125" t="s">
        <v>365</v>
      </c>
      <c r="J4125">
        <v>85044</v>
      </c>
      <c r="K4125">
        <v>9138</v>
      </c>
      <c r="L4125" t="s">
        <v>23</v>
      </c>
      <c r="M4125" t="s">
        <v>10657</v>
      </c>
      <c r="N4125" t="s">
        <v>682</v>
      </c>
      <c r="O4125" t="s">
        <v>365</v>
      </c>
      <c r="P4125">
        <v>85044</v>
      </c>
      <c r="Q4125">
        <v>9138</v>
      </c>
      <c r="R4125" t="s">
        <v>23</v>
      </c>
      <c r="S4125" s="1" t="s">
        <v>34218</v>
      </c>
    </row>
    <row r="4126" spans="1:19" x14ac:dyDescent="0.25">
      <c r="A4126">
        <v>100806142</v>
      </c>
      <c r="B4126" t="s">
        <v>10658</v>
      </c>
      <c r="C4126" t="s">
        <v>1107</v>
      </c>
      <c r="F4126" t="str">
        <f>"7168304330"</f>
        <v>7168304330</v>
      </c>
      <c r="G4126" t="s">
        <v>10659</v>
      </c>
      <c r="H4126" t="s">
        <v>3373</v>
      </c>
      <c r="I4126" t="s">
        <v>178</v>
      </c>
      <c r="J4126">
        <v>44121</v>
      </c>
      <c r="K4126">
        <v>2943</v>
      </c>
      <c r="L4126" t="s">
        <v>23</v>
      </c>
      <c r="M4126" t="s">
        <v>10659</v>
      </c>
      <c r="N4126" t="s">
        <v>3373</v>
      </c>
      <c r="O4126" t="s">
        <v>178</v>
      </c>
      <c r="P4126">
        <v>44121</v>
      </c>
      <c r="Q4126">
        <v>2943</v>
      </c>
      <c r="R4126" t="s">
        <v>23</v>
      </c>
      <c r="S4126" s="1" t="s">
        <v>34218</v>
      </c>
    </row>
    <row r="4127" spans="1:19" x14ac:dyDescent="0.25">
      <c r="A4127">
        <v>100582343</v>
      </c>
      <c r="B4127" t="s">
        <v>10081</v>
      </c>
      <c r="C4127" t="s">
        <v>217</v>
      </c>
      <c r="F4127" t="str">
        <f>"4254178995"</f>
        <v>4254178995</v>
      </c>
      <c r="G4127" t="s">
        <v>10660</v>
      </c>
      <c r="H4127" t="s">
        <v>855</v>
      </c>
      <c r="I4127" t="s">
        <v>84</v>
      </c>
      <c r="J4127" t="s">
        <v>10661</v>
      </c>
      <c r="K4127">
        <v>9269</v>
      </c>
      <c r="L4127" t="s">
        <v>23</v>
      </c>
      <c r="M4127" t="s">
        <v>10660</v>
      </c>
      <c r="N4127" t="s">
        <v>855</v>
      </c>
      <c r="O4127" t="s">
        <v>84</v>
      </c>
      <c r="P4127" t="s">
        <v>10661</v>
      </c>
      <c r="Q4127">
        <v>9269</v>
      </c>
      <c r="R4127" t="s">
        <v>23</v>
      </c>
      <c r="S4127" s="1" t="s">
        <v>34218</v>
      </c>
    </row>
    <row r="4128" spans="1:19" x14ac:dyDescent="0.25">
      <c r="A4128">
        <v>101226949</v>
      </c>
      <c r="B4128" t="s">
        <v>1807</v>
      </c>
      <c r="C4128" t="s">
        <v>7358</v>
      </c>
      <c r="F4128" t="str">
        <f>"4125846202"</f>
        <v>4125846202</v>
      </c>
      <c r="G4128" t="s">
        <v>10662</v>
      </c>
      <c r="H4128" t="s">
        <v>3363</v>
      </c>
      <c r="I4128" t="s">
        <v>33</v>
      </c>
      <c r="J4128" t="s">
        <v>10663</v>
      </c>
      <c r="K4128">
        <v>2112</v>
      </c>
      <c r="L4128" t="s">
        <v>23</v>
      </c>
      <c r="M4128" t="s">
        <v>10662</v>
      </c>
      <c r="N4128" t="s">
        <v>3363</v>
      </c>
      <c r="O4128" t="s">
        <v>33</v>
      </c>
      <c r="P4128" t="s">
        <v>10663</v>
      </c>
      <c r="Q4128">
        <v>2112</v>
      </c>
      <c r="R4128" t="s">
        <v>23</v>
      </c>
      <c r="S4128" s="1" t="s">
        <v>34218</v>
      </c>
    </row>
    <row r="4129" spans="1:19" x14ac:dyDescent="0.25">
      <c r="A4129">
        <v>100838848</v>
      </c>
      <c r="B4129" t="s">
        <v>10664</v>
      </c>
      <c r="C4129" t="s">
        <v>10665</v>
      </c>
      <c r="F4129" t="str">
        <f>"7029121640"</f>
        <v>7029121640</v>
      </c>
      <c r="G4129" t="s">
        <v>10666</v>
      </c>
      <c r="H4129" t="s">
        <v>1787</v>
      </c>
      <c r="I4129" t="s">
        <v>702</v>
      </c>
      <c r="J4129" t="s">
        <v>10667</v>
      </c>
      <c r="K4129">
        <v>4427</v>
      </c>
      <c r="L4129" t="s">
        <v>23</v>
      </c>
      <c r="M4129" t="s">
        <v>10666</v>
      </c>
      <c r="N4129" t="s">
        <v>1787</v>
      </c>
      <c r="O4129" t="s">
        <v>702</v>
      </c>
      <c r="P4129" t="s">
        <v>10667</v>
      </c>
      <c r="Q4129">
        <v>4427</v>
      </c>
      <c r="R4129" t="s">
        <v>23</v>
      </c>
      <c r="S4129" s="1" t="s">
        <v>34218</v>
      </c>
    </row>
    <row r="4130" spans="1:19" x14ac:dyDescent="0.25">
      <c r="A4130">
        <v>101025844</v>
      </c>
      <c r="B4130" t="s">
        <v>1057</v>
      </c>
      <c r="C4130" t="s">
        <v>1212</v>
      </c>
      <c r="F4130" t="str">
        <f>"5617753999"</f>
        <v>5617753999</v>
      </c>
      <c r="G4130" t="s">
        <v>10668</v>
      </c>
      <c r="H4130" t="s">
        <v>10669</v>
      </c>
      <c r="I4130" t="s">
        <v>52</v>
      </c>
      <c r="J4130">
        <v>33418</v>
      </c>
      <c r="K4130">
        <v>7107</v>
      </c>
      <c r="L4130" t="s">
        <v>23</v>
      </c>
      <c r="M4130" t="s">
        <v>10668</v>
      </c>
      <c r="N4130" t="s">
        <v>10669</v>
      </c>
      <c r="O4130" t="s">
        <v>52</v>
      </c>
      <c r="P4130">
        <v>33418</v>
      </c>
      <c r="Q4130">
        <v>7107</v>
      </c>
      <c r="R4130" t="s">
        <v>23</v>
      </c>
      <c r="S4130" s="1" t="s">
        <v>34218</v>
      </c>
    </row>
    <row r="4131" spans="1:19" x14ac:dyDescent="0.25">
      <c r="A4131">
        <v>100527743</v>
      </c>
      <c r="B4131" t="s">
        <v>10670</v>
      </c>
      <c r="C4131" t="s">
        <v>155</v>
      </c>
      <c r="F4131" t="str">
        <f>"7084748013"</f>
        <v>7084748013</v>
      </c>
      <c r="G4131" t="s">
        <v>10671</v>
      </c>
      <c r="H4131" t="s">
        <v>822</v>
      </c>
      <c r="I4131" t="s">
        <v>135</v>
      </c>
      <c r="J4131">
        <v>60438</v>
      </c>
      <c r="K4131">
        <v>3627</v>
      </c>
      <c r="L4131" t="s">
        <v>23</v>
      </c>
      <c r="M4131" t="s">
        <v>10671</v>
      </c>
      <c r="N4131" t="s">
        <v>822</v>
      </c>
      <c r="O4131" t="s">
        <v>135</v>
      </c>
      <c r="P4131">
        <v>60438</v>
      </c>
      <c r="Q4131">
        <v>3627</v>
      </c>
      <c r="R4131" t="s">
        <v>23</v>
      </c>
      <c r="S4131" s="1" t="s">
        <v>34218</v>
      </c>
    </row>
    <row r="4132" spans="1:19" x14ac:dyDescent="0.25">
      <c r="A4132">
        <v>101469635</v>
      </c>
      <c r="B4132" t="s">
        <v>10672</v>
      </c>
      <c r="C4132" t="s">
        <v>90</v>
      </c>
      <c r="F4132" t="str">
        <f>"4102087934"</f>
        <v>4102087934</v>
      </c>
      <c r="G4132" t="s">
        <v>10673</v>
      </c>
      <c r="H4132" t="s">
        <v>7215</v>
      </c>
      <c r="I4132" t="s">
        <v>148</v>
      </c>
      <c r="J4132">
        <v>21811</v>
      </c>
      <c r="K4132">
        <v>3348</v>
      </c>
      <c r="L4132" t="s">
        <v>23</v>
      </c>
      <c r="M4132" t="s">
        <v>10673</v>
      </c>
      <c r="N4132" t="s">
        <v>7215</v>
      </c>
      <c r="O4132" t="s">
        <v>148</v>
      </c>
      <c r="P4132">
        <v>21811</v>
      </c>
      <c r="Q4132">
        <v>3348</v>
      </c>
      <c r="R4132" t="s">
        <v>23</v>
      </c>
      <c r="S4132" s="1" t="s">
        <v>34218</v>
      </c>
    </row>
    <row r="4133" spans="1:19" x14ac:dyDescent="0.25">
      <c r="A4133">
        <v>101278280</v>
      </c>
      <c r="B4133" t="s">
        <v>10674</v>
      </c>
      <c r="C4133" t="s">
        <v>119</v>
      </c>
      <c r="F4133" t="str">
        <f>"8015210139"</f>
        <v>8015210139</v>
      </c>
      <c r="G4133" t="s">
        <v>10675</v>
      </c>
      <c r="H4133" t="s">
        <v>331</v>
      </c>
      <c r="I4133" t="s">
        <v>332</v>
      </c>
      <c r="J4133" t="s">
        <v>10676</v>
      </c>
      <c r="K4133">
        <v>4112</v>
      </c>
      <c r="L4133" t="s">
        <v>23</v>
      </c>
      <c r="M4133" t="s">
        <v>10675</v>
      </c>
      <c r="N4133" t="s">
        <v>331</v>
      </c>
      <c r="O4133" t="s">
        <v>332</v>
      </c>
      <c r="P4133" t="s">
        <v>10676</v>
      </c>
      <c r="Q4133">
        <v>4112</v>
      </c>
      <c r="R4133" t="s">
        <v>23</v>
      </c>
      <c r="S4133" s="1" t="s">
        <v>34218</v>
      </c>
    </row>
    <row r="4134" spans="1:19" x14ac:dyDescent="0.25">
      <c r="A4134">
        <v>101360835</v>
      </c>
      <c r="B4134" t="s">
        <v>10677</v>
      </c>
      <c r="C4134" t="s">
        <v>10678</v>
      </c>
      <c r="F4134" t="str">
        <f>"9782813524"</f>
        <v>9782813524</v>
      </c>
      <c r="G4134" t="s">
        <v>10679</v>
      </c>
      <c r="H4134" t="s">
        <v>10680</v>
      </c>
      <c r="I4134" t="s">
        <v>236</v>
      </c>
      <c r="J4134">
        <v>1930</v>
      </c>
      <c r="K4134">
        <v>5918</v>
      </c>
      <c r="L4134" t="s">
        <v>23</v>
      </c>
      <c r="M4134" t="s">
        <v>10679</v>
      </c>
      <c r="N4134" t="s">
        <v>10680</v>
      </c>
      <c r="O4134" t="s">
        <v>236</v>
      </c>
      <c r="P4134">
        <v>1930</v>
      </c>
      <c r="Q4134">
        <v>5918</v>
      </c>
      <c r="R4134" t="s">
        <v>23</v>
      </c>
      <c r="S4134" s="1" t="s">
        <v>34218</v>
      </c>
    </row>
    <row r="4135" spans="1:19" x14ac:dyDescent="0.25">
      <c r="A4135">
        <v>100855527</v>
      </c>
      <c r="B4135" t="s">
        <v>3466</v>
      </c>
      <c r="C4135" t="s">
        <v>10681</v>
      </c>
      <c r="F4135" t="str">
        <f>"4153808617"</f>
        <v>4153808617</v>
      </c>
      <c r="G4135" t="s">
        <v>10682</v>
      </c>
      <c r="H4135" t="s">
        <v>10683</v>
      </c>
      <c r="I4135" t="s">
        <v>22</v>
      </c>
      <c r="J4135" t="s">
        <v>10684</v>
      </c>
      <c r="K4135">
        <v>9754</v>
      </c>
      <c r="L4135" t="s">
        <v>23</v>
      </c>
      <c r="M4135" t="s">
        <v>10682</v>
      </c>
      <c r="N4135" t="s">
        <v>10683</v>
      </c>
      <c r="O4135" t="s">
        <v>22</v>
      </c>
      <c r="P4135" t="s">
        <v>10684</v>
      </c>
      <c r="Q4135">
        <v>9754</v>
      </c>
      <c r="R4135" t="s">
        <v>23</v>
      </c>
      <c r="S4135" s="1" t="s">
        <v>34218</v>
      </c>
    </row>
    <row r="4136" spans="1:19" x14ac:dyDescent="0.25">
      <c r="A4136">
        <v>101092151</v>
      </c>
      <c r="B4136" t="s">
        <v>1595</v>
      </c>
      <c r="C4136" t="s">
        <v>3361</v>
      </c>
      <c r="F4136" t="str">
        <f>"9317075212"</f>
        <v>9317075212</v>
      </c>
      <c r="G4136" t="s">
        <v>10685</v>
      </c>
      <c r="H4136" t="s">
        <v>10686</v>
      </c>
      <c r="I4136" t="s">
        <v>914</v>
      </c>
      <c r="J4136">
        <v>38555</v>
      </c>
      <c r="L4136" t="s">
        <v>23</v>
      </c>
      <c r="M4136" t="s">
        <v>10685</v>
      </c>
      <c r="N4136" t="s">
        <v>10686</v>
      </c>
      <c r="O4136" t="s">
        <v>914</v>
      </c>
      <c r="P4136">
        <v>38555</v>
      </c>
      <c r="R4136" t="s">
        <v>23</v>
      </c>
      <c r="S4136" s="1" t="s">
        <v>34218</v>
      </c>
    </row>
    <row r="4137" spans="1:19" x14ac:dyDescent="0.25">
      <c r="A4137">
        <v>101317353</v>
      </c>
      <c r="B4137" t="s">
        <v>10687</v>
      </c>
      <c r="C4137" t="s">
        <v>10688</v>
      </c>
      <c r="F4137" t="str">
        <f>"3473889388"</f>
        <v>3473889388</v>
      </c>
      <c r="G4137" t="s">
        <v>10689</v>
      </c>
      <c r="H4137" t="s">
        <v>412</v>
      </c>
      <c r="I4137" t="s">
        <v>117</v>
      </c>
      <c r="J4137">
        <v>11218</v>
      </c>
      <c r="K4137">
        <v>2600</v>
      </c>
      <c r="L4137" t="s">
        <v>23</v>
      </c>
      <c r="M4137" t="s">
        <v>10689</v>
      </c>
      <c r="N4137" t="s">
        <v>412</v>
      </c>
      <c r="O4137" t="s">
        <v>117</v>
      </c>
      <c r="P4137">
        <v>11218</v>
      </c>
      <c r="Q4137">
        <v>2600</v>
      </c>
      <c r="R4137" t="s">
        <v>23</v>
      </c>
      <c r="S4137" s="1" t="s">
        <v>34218</v>
      </c>
    </row>
    <row r="4138" spans="1:19" x14ac:dyDescent="0.25">
      <c r="A4138">
        <v>101193896</v>
      </c>
      <c r="B4138" t="s">
        <v>10690</v>
      </c>
      <c r="C4138" t="s">
        <v>2776</v>
      </c>
      <c r="F4138" t="str">
        <f>"3232545815"</f>
        <v>3232545815</v>
      </c>
      <c r="G4138" t="s">
        <v>10691</v>
      </c>
      <c r="H4138" t="s">
        <v>1988</v>
      </c>
      <c r="I4138" t="s">
        <v>984</v>
      </c>
      <c r="J4138">
        <v>96740</v>
      </c>
      <c r="L4138" t="s">
        <v>23</v>
      </c>
      <c r="M4138" t="s">
        <v>10691</v>
      </c>
      <c r="N4138" t="s">
        <v>1988</v>
      </c>
      <c r="O4138" t="s">
        <v>984</v>
      </c>
      <c r="P4138">
        <v>96740</v>
      </c>
      <c r="R4138" t="s">
        <v>23</v>
      </c>
      <c r="S4138" s="1" t="s">
        <v>34218</v>
      </c>
    </row>
    <row r="4139" spans="1:19" x14ac:dyDescent="0.25">
      <c r="A4139">
        <v>101356330</v>
      </c>
      <c r="B4139" t="s">
        <v>10692</v>
      </c>
      <c r="C4139" t="s">
        <v>123</v>
      </c>
      <c r="F4139" t="str">
        <f>"2709636643"</f>
        <v>2709636643</v>
      </c>
      <c r="G4139" t="s">
        <v>10693</v>
      </c>
      <c r="H4139" t="s">
        <v>4044</v>
      </c>
      <c r="I4139" t="s">
        <v>1097</v>
      </c>
      <c r="J4139" t="s">
        <v>10694</v>
      </c>
      <c r="K4139">
        <v>2115</v>
      </c>
      <c r="L4139" t="s">
        <v>23</v>
      </c>
      <c r="M4139" t="s">
        <v>10693</v>
      </c>
      <c r="N4139" t="s">
        <v>4044</v>
      </c>
      <c r="O4139" t="s">
        <v>1097</v>
      </c>
      <c r="P4139" t="s">
        <v>10694</v>
      </c>
      <c r="Q4139">
        <v>2115</v>
      </c>
      <c r="R4139" t="s">
        <v>23</v>
      </c>
      <c r="S4139" s="1" t="s">
        <v>34218</v>
      </c>
    </row>
    <row r="4140" spans="1:19" x14ac:dyDescent="0.25">
      <c r="A4140">
        <v>100564724</v>
      </c>
      <c r="B4140" t="s">
        <v>10695</v>
      </c>
      <c r="C4140" t="s">
        <v>3304</v>
      </c>
      <c r="F4140" t="str">
        <f>"2125357777"</f>
        <v>2125357777</v>
      </c>
      <c r="G4140" t="s">
        <v>10696</v>
      </c>
      <c r="H4140" t="s">
        <v>653</v>
      </c>
      <c r="I4140" t="s">
        <v>117</v>
      </c>
      <c r="J4140" t="s">
        <v>10697</v>
      </c>
      <c r="K4140">
        <v>20</v>
      </c>
      <c r="L4140" t="s">
        <v>23</v>
      </c>
      <c r="M4140" t="s">
        <v>10696</v>
      </c>
      <c r="N4140" t="s">
        <v>653</v>
      </c>
      <c r="O4140" t="s">
        <v>117</v>
      </c>
      <c r="P4140" t="s">
        <v>10697</v>
      </c>
      <c r="Q4140">
        <v>20</v>
      </c>
      <c r="R4140" t="s">
        <v>23</v>
      </c>
      <c r="S4140" s="1" t="s">
        <v>34218</v>
      </c>
    </row>
    <row r="4141" spans="1:19" x14ac:dyDescent="0.25">
      <c r="A4141">
        <v>100711815</v>
      </c>
      <c r="B4141" t="s">
        <v>303</v>
      </c>
      <c r="C4141" t="s">
        <v>10698</v>
      </c>
      <c r="F4141" t="str">
        <f>"5054000062"</f>
        <v>5054000062</v>
      </c>
      <c r="G4141" t="s">
        <v>10699</v>
      </c>
      <c r="H4141" t="s">
        <v>638</v>
      </c>
      <c r="I4141" t="s">
        <v>639</v>
      </c>
      <c r="J4141" t="s">
        <v>10700</v>
      </c>
      <c r="K4141">
        <v>6417</v>
      </c>
      <c r="L4141" t="s">
        <v>23</v>
      </c>
      <c r="M4141" t="s">
        <v>10699</v>
      </c>
      <c r="N4141" t="s">
        <v>638</v>
      </c>
      <c r="O4141" t="s">
        <v>639</v>
      </c>
      <c r="P4141" t="s">
        <v>10700</v>
      </c>
      <c r="Q4141">
        <v>6417</v>
      </c>
      <c r="R4141" t="s">
        <v>23</v>
      </c>
      <c r="S4141" s="1" t="s">
        <v>34218</v>
      </c>
    </row>
    <row r="4142" spans="1:19" x14ac:dyDescent="0.25">
      <c r="A4142">
        <v>100760523</v>
      </c>
      <c r="B4142" t="s">
        <v>208</v>
      </c>
      <c r="C4142" t="s">
        <v>158</v>
      </c>
      <c r="F4142" t="str">
        <f>"5852088150"</f>
        <v>5852088150</v>
      </c>
      <c r="G4142" t="s">
        <v>10701</v>
      </c>
      <c r="H4142" t="s">
        <v>688</v>
      </c>
      <c r="I4142" t="s">
        <v>117</v>
      </c>
      <c r="J4142" t="s">
        <v>10702</v>
      </c>
      <c r="K4142">
        <v>2033</v>
      </c>
      <c r="L4142" t="s">
        <v>23</v>
      </c>
      <c r="M4142" t="s">
        <v>10701</v>
      </c>
      <c r="N4142" t="s">
        <v>688</v>
      </c>
      <c r="O4142" t="s">
        <v>117</v>
      </c>
      <c r="P4142" t="s">
        <v>10702</v>
      </c>
      <c r="Q4142">
        <v>2033</v>
      </c>
      <c r="R4142" t="s">
        <v>23</v>
      </c>
      <c r="S4142" s="1" t="s">
        <v>34218</v>
      </c>
    </row>
    <row r="4143" spans="1:19" x14ac:dyDescent="0.25">
      <c r="A4143">
        <v>100740150</v>
      </c>
      <c r="B4143" t="s">
        <v>10703</v>
      </c>
      <c r="C4143" t="s">
        <v>10704</v>
      </c>
      <c r="F4143" t="str">
        <f>"9172381341"</f>
        <v>9172381341</v>
      </c>
      <c r="G4143" t="s">
        <v>10705</v>
      </c>
      <c r="H4143" t="s">
        <v>2319</v>
      </c>
      <c r="I4143" t="s">
        <v>117</v>
      </c>
      <c r="J4143" t="s">
        <v>10706</v>
      </c>
      <c r="K4143">
        <v>1916</v>
      </c>
      <c r="L4143" t="s">
        <v>23</v>
      </c>
      <c r="M4143" t="s">
        <v>10705</v>
      </c>
      <c r="N4143" t="s">
        <v>2319</v>
      </c>
      <c r="O4143" t="s">
        <v>117</v>
      </c>
      <c r="P4143" t="s">
        <v>10706</v>
      </c>
      <c r="Q4143">
        <v>1916</v>
      </c>
      <c r="R4143" t="s">
        <v>23</v>
      </c>
      <c r="S4143" s="1" t="s">
        <v>34218</v>
      </c>
    </row>
    <row r="4144" spans="1:19" x14ac:dyDescent="0.25">
      <c r="A4144">
        <v>100716449</v>
      </c>
      <c r="B4144" t="s">
        <v>10707</v>
      </c>
      <c r="C4144" t="s">
        <v>10708</v>
      </c>
      <c r="F4144" t="str">
        <f>"5414152613"</f>
        <v>5414152613</v>
      </c>
      <c r="G4144" t="s">
        <v>10709</v>
      </c>
      <c r="H4144" t="s">
        <v>10710</v>
      </c>
      <c r="I4144" t="s">
        <v>43</v>
      </c>
      <c r="J4144" t="s">
        <v>10711</v>
      </c>
      <c r="K4144">
        <v>9545</v>
      </c>
      <c r="L4144" t="s">
        <v>23</v>
      </c>
      <c r="M4144" t="s">
        <v>10709</v>
      </c>
      <c r="N4144" t="s">
        <v>10710</v>
      </c>
      <c r="O4144" t="s">
        <v>43</v>
      </c>
      <c r="P4144" t="s">
        <v>10711</v>
      </c>
      <c r="Q4144">
        <v>9545</v>
      </c>
      <c r="R4144" t="s">
        <v>23</v>
      </c>
      <c r="S4144" s="1" t="s">
        <v>34218</v>
      </c>
    </row>
    <row r="4145" spans="1:19" x14ac:dyDescent="0.25">
      <c r="A4145">
        <v>101021125</v>
      </c>
      <c r="B4145" t="s">
        <v>10712</v>
      </c>
      <c r="C4145" t="s">
        <v>10713</v>
      </c>
      <c r="F4145" t="str">
        <f>"2525146679"</f>
        <v>2525146679</v>
      </c>
      <c r="G4145" t="s">
        <v>10714</v>
      </c>
      <c r="H4145" t="s">
        <v>5949</v>
      </c>
      <c r="I4145" t="s">
        <v>446</v>
      </c>
      <c r="J4145" t="s">
        <v>10715</v>
      </c>
      <c r="K4145">
        <v>7193</v>
      </c>
      <c r="L4145" t="s">
        <v>23</v>
      </c>
      <c r="M4145" t="s">
        <v>10714</v>
      </c>
      <c r="N4145" t="s">
        <v>5949</v>
      </c>
      <c r="O4145" t="s">
        <v>446</v>
      </c>
      <c r="P4145" t="s">
        <v>10715</v>
      </c>
      <c r="Q4145">
        <v>7193</v>
      </c>
      <c r="R4145" t="s">
        <v>23</v>
      </c>
      <c r="S4145" s="1" t="s">
        <v>34218</v>
      </c>
    </row>
    <row r="4146" spans="1:19" x14ac:dyDescent="0.25">
      <c r="A4146">
        <v>101027295</v>
      </c>
      <c r="B4146" t="s">
        <v>10716</v>
      </c>
      <c r="C4146" t="s">
        <v>452</v>
      </c>
      <c r="F4146" t="str">
        <f>"2252611307"</f>
        <v>2252611307</v>
      </c>
      <c r="G4146" t="s">
        <v>10717</v>
      </c>
      <c r="H4146" t="s">
        <v>1698</v>
      </c>
      <c r="I4146" t="s">
        <v>38</v>
      </c>
      <c r="J4146" t="s">
        <v>10718</v>
      </c>
      <c r="K4146">
        <v>5244</v>
      </c>
      <c r="L4146" t="s">
        <v>23</v>
      </c>
      <c r="M4146" t="s">
        <v>10717</v>
      </c>
      <c r="N4146" t="s">
        <v>1698</v>
      </c>
      <c r="O4146" t="s">
        <v>38</v>
      </c>
      <c r="P4146" t="s">
        <v>10718</v>
      </c>
      <c r="Q4146">
        <v>5244</v>
      </c>
      <c r="R4146" t="s">
        <v>23</v>
      </c>
      <c r="S4146" s="1" t="s">
        <v>34218</v>
      </c>
    </row>
    <row r="4147" spans="1:19" x14ac:dyDescent="0.25">
      <c r="A4147">
        <v>101338359</v>
      </c>
      <c r="B4147" t="s">
        <v>10719</v>
      </c>
      <c r="C4147" t="s">
        <v>110</v>
      </c>
      <c r="F4147" t="str">
        <f>"7086815925"</f>
        <v>7086815925</v>
      </c>
      <c r="G4147" t="s">
        <v>10720</v>
      </c>
      <c r="H4147" t="s">
        <v>10721</v>
      </c>
      <c r="I4147" t="s">
        <v>135</v>
      </c>
      <c r="J4147">
        <v>60181</v>
      </c>
      <c r="K4147">
        <v>1543</v>
      </c>
      <c r="L4147" t="s">
        <v>23</v>
      </c>
      <c r="M4147" t="s">
        <v>10720</v>
      </c>
      <c r="N4147" t="s">
        <v>10721</v>
      </c>
      <c r="O4147" t="s">
        <v>135</v>
      </c>
      <c r="P4147">
        <v>60181</v>
      </c>
      <c r="Q4147">
        <v>1543</v>
      </c>
      <c r="R4147" t="s">
        <v>23</v>
      </c>
      <c r="S4147" s="1" t="s">
        <v>34218</v>
      </c>
    </row>
    <row r="4148" spans="1:19" x14ac:dyDescent="0.25">
      <c r="A4148">
        <v>100743010</v>
      </c>
      <c r="B4148" t="s">
        <v>10722</v>
      </c>
      <c r="C4148" t="s">
        <v>3704</v>
      </c>
      <c r="F4148" t="str">
        <f>"8175965009"</f>
        <v>8175965009</v>
      </c>
      <c r="G4148" t="s">
        <v>10723</v>
      </c>
      <c r="H4148" t="s">
        <v>10724</v>
      </c>
      <c r="I4148" t="s">
        <v>38</v>
      </c>
      <c r="J4148">
        <v>76485</v>
      </c>
      <c r="L4148" t="s">
        <v>23</v>
      </c>
      <c r="M4148" t="s">
        <v>10723</v>
      </c>
      <c r="N4148" t="s">
        <v>10724</v>
      </c>
      <c r="O4148" t="s">
        <v>38</v>
      </c>
      <c r="P4148">
        <v>76485</v>
      </c>
      <c r="R4148" t="s">
        <v>23</v>
      </c>
      <c r="S4148" s="1" t="s">
        <v>34218</v>
      </c>
    </row>
    <row r="4149" spans="1:19" x14ac:dyDescent="0.25">
      <c r="A4149">
        <v>101131614</v>
      </c>
      <c r="B4149" t="s">
        <v>10725</v>
      </c>
      <c r="C4149" t="s">
        <v>1298</v>
      </c>
      <c r="F4149" t="str">
        <f>"2169780848"</f>
        <v>2169780848</v>
      </c>
      <c r="G4149" t="s">
        <v>10726</v>
      </c>
      <c r="H4149" t="s">
        <v>5750</v>
      </c>
      <c r="I4149" t="s">
        <v>178</v>
      </c>
      <c r="J4149">
        <v>44118</v>
      </c>
      <c r="K4149">
        <v>2352</v>
      </c>
      <c r="L4149" t="s">
        <v>23</v>
      </c>
      <c r="M4149" t="s">
        <v>10726</v>
      </c>
      <c r="N4149" t="s">
        <v>5750</v>
      </c>
      <c r="O4149" t="s">
        <v>178</v>
      </c>
      <c r="P4149">
        <v>44118</v>
      </c>
      <c r="Q4149">
        <v>2352</v>
      </c>
      <c r="R4149" t="s">
        <v>23</v>
      </c>
      <c r="S4149" s="1" t="s">
        <v>34218</v>
      </c>
    </row>
    <row r="4150" spans="1:19" x14ac:dyDescent="0.25">
      <c r="A4150">
        <v>101427105</v>
      </c>
      <c r="B4150" t="s">
        <v>6820</v>
      </c>
      <c r="C4150" t="s">
        <v>9460</v>
      </c>
      <c r="F4150" t="str">
        <f>"2409126892"</f>
        <v>2409126892</v>
      </c>
      <c r="G4150" t="s">
        <v>10727</v>
      </c>
      <c r="H4150" t="s">
        <v>4859</v>
      </c>
      <c r="I4150" t="s">
        <v>148</v>
      </c>
      <c r="J4150">
        <v>20878</v>
      </c>
      <c r="K4150">
        <v>5479</v>
      </c>
      <c r="L4150" t="s">
        <v>23</v>
      </c>
      <c r="M4150" t="s">
        <v>10727</v>
      </c>
      <c r="N4150" t="s">
        <v>4859</v>
      </c>
      <c r="O4150" t="s">
        <v>148</v>
      </c>
      <c r="P4150">
        <v>20878</v>
      </c>
      <c r="Q4150">
        <v>5479</v>
      </c>
      <c r="R4150" t="s">
        <v>23</v>
      </c>
      <c r="S4150" s="1" t="s">
        <v>34218</v>
      </c>
    </row>
    <row r="4151" spans="1:19" x14ac:dyDescent="0.25">
      <c r="A4151">
        <v>100942248</v>
      </c>
      <c r="B4151" t="s">
        <v>10728</v>
      </c>
      <c r="C4151" t="s">
        <v>25</v>
      </c>
      <c r="F4151" t="str">
        <f>"4192831239"</f>
        <v>4192831239</v>
      </c>
      <c r="G4151" t="s">
        <v>10729</v>
      </c>
      <c r="H4151" t="s">
        <v>10730</v>
      </c>
      <c r="I4151" t="s">
        <v>178</v>
      </c>
      <c r="J4151">
        <v>43566</v>
      </c>
      <c r="K4151">
        <v>9436</v>
      </c>
      <c r="L4151" t="s">
        <v>23</v>
      </c>
      <c r="M4151" t="s">
        <v>10729</v>
      </c>
      <c r="N4151" t="s">
        <v>10730</v>
      </c>
      <c r="O4151" t="s">
        <v>178</v>
      </c>
      <c r="P4151">
        <v>43566</v>
      </c>
      <c r="Q4151">
        <v>9436</v>
      </c>
      <c r="R4151" t="s">
        <v>23</v>
      </c>
      <c r="S4151" s="1" t="s">
        <v>34218</v>
      </c>
    </row>
    <row r="4152" spans="1:19" x14ac:dyDescent="0.25">
      <c r="A4152">
        <v>101301749</v>
      </c>
      <c r="B4152" t="s">
        <v>10731</v>
      </c>
      <c r="C4152" t="s">
        <v>2642</v>
      </c>
      <c r="F4152" t="str">
        <f>"8472565132"</f>
        <v>8472565132</v>
      </c>
      <c r="G4152" t="s">
        <v>10732</v>
      </c>
      <c r="H4152" t="s">
        <v>10653</v>
      </c>
      <c r="I4152" t="s">
        <v>135</v>
      </c>
      <c r="J4152">
        <v>60091</v>
      </c>
      <c r="K4152">
        <v>1845</v>
      </c>
      <c r="L4152" t="s">
        <v>23</v>
      </c>
      <c r="M4152" t="s">
        <v>10732</v>
      </c>
      <c r="N4152" t="s">
        <v>10653</v>
      </c>
      <c r="O4152" t="s">
        <v>135</v>
      </c>
      <c r="P4152">
        <v>60091</v>
      </c>
      <c r="Q4152">
        <v>1845</v>
      </c>
      <c r="R4152" t="s">
        <v>23</v>
      </c>
      <c r="S4152" s="1" t="s">
        <v>34218</v>
      </c>
    </row>
    <row r="4153" spans="1:19" x14ac:dyDescent="0.25">
      <c r="A4153">
        <v>100756283</v>
      </c>
      <c r="B4153" t="s">
        <v>10733</v>
      </c>
      <c r="C4153" t="s">
        <v>1036</v>
      </c>
      <c r="F4153" t="str">
        <f>"6308716544"</f>
        <v>6308716544</v>
      </c>
      <c r="G4153" t="s">
        <v>7102</v>
      </c>
      <c r="H4153" t="s">
        <v>10734</v>
      </c>
      <c r="I4153" t="s">
        <v>135</v>
      </c>
      <c r="J4153">
        <v>60190</v>
      </c>
      <c r="K4153">
        <v>223</v>
      </c>
      <c r="L4153" t="s">
        <v>23</v>
      </c>
      <c r="M4153" t="s">
        <v>7102</v>
      </c>
      <c r="N4153" t="s">
        <v>10734</v>
      </c>
      <c r="O4153" t="s">
        <v>135</v>
      </c>
      <c r="P4153">
        <v>60190</v>
      </c>
      <c r="Q4153">
        <v>223</v>
      </c>
      <c r="R4153" t="s">
        <v>23</v>
      </c>
      <c r="S4153" s="1" t="s">
        <v>34218</v>
      </c>
    </row>
    <row r="4154" spans="1:19" x14ac:dyDescent="0.25">
      <c r="A4154">
        <v>100623736</v>
      </c>
      <c r="B4154" t="s">
        <v>4593</v>
      </c>
      <c r="C4154" t="s">
        <v>10735</v>
      </c>
      <c r="F4154" t="str">
        <f>"9172875020"</f>
        <v>9172875020</v>
      </c>
      <c r="G4154" t="s">
        <v>10736</v>
      </c>
      <c r="H4154" t="s">
        <v>10737</v>
      </c>
      <c r="I4154" t="s">
        <v>117</v>
      </c>
      <c r="J4154">
        <v>12418</v>
      </c>
      <c r="L4154" t="s">
        <v>23</v>
      </c>
      <c r="M4154" t="s">
        <v>10736</v>
      </c>
      <c r="N4154" t="s">
        <v>10737</v>
      </c>
      <c r="O4154" t="s">
        <v>117</v>
      </c>
      <c r="P4154">
        <v>12418</v>
      </c>
      <c r="R4154" t="s">
        <v>23</v>
      </c>
      <c r="S4154" s="1" t="s">
        <v>34218</v>
      </c>
    </row>
    <row r="4155" spans="1:19" x14ac:dyDescent="0.25">
      <c r="A4155">
        <v>100815038</v>
      </c>
      <c r="B4155" t="s">
        <v>2486</v>
      </c>
      <c r="C4155" t="s">
        <v>10738</v>
      </c>
      <c r="F4155" t="str">
        <f>"5592271076"</f>
        <v>5592271076</v>
      </c>
      <c r="G4155" t="s">
        <v>10739</v>
      </c>
      <c r="H4155" t="s">
        <v>10740</v>
      </c>
      <c r="I4155" t="s">
        <v>639</v>
      </c>
      <c r="J4155">
        <v>87569</v>
      </c>
      <c r="K4155">
        <v>199</v>
      </c>
      <c r="L4155" t="s">
        <v>23</v>
      </c>
      <c r="M4155" t="s">
        <v>10739</v>
      </c>
      <c r="N4155" t="s">
        <v>10740</v>
      </c>
      <c r="O4155" t="s">
        <v>639</v>
      </c>
      <c r="P4155">
        <v>87569</v>
      </c>
      <c r="Q4155">
        <v>199</v>
      </c>
      <c r="R4155" t="s">
        <v>23</v>
      </c>
      <c r="S4155" s="1" t="s">
        <v>34218</v>
      </c>
    </row>
    <row r="4156" spans="1:19" x14ac:dyDescent="0.25">
      <c r="A4156">
        <v>101131562</v>
      </c>
      <c r="B4156" t="s">
        <v>10741</v>
      </c>
      <c r="C4156" t="s">
        <v>7569</v>
      </c>
      <c r="F4156" t="str">
        <f>"6308608377"</f>
        <v>6308608377</v>
      </c>
      <c r="G4156" t="s">
        <v>10742</v>
      </c>
      <c r="H4156" t="s">
        <v>10743</v>
      </c>
      <c r="I4156" t="s">
        <v>135</v>
      </c>
      <c r="J4156">
        <v>60143</v>
      </c>
      <c r="K4156">
        <v>2218</v>
      </c>
      <c r="L4156" t="s">
        <v>23</v>
      </c>
      <c r="M4156" t="s">
        <v>10742</v>
      </c>
      <c r="N4156" t="s">
        <v>10743</v>
      </c>
      <c r="O4156" t="s">
        <v>135</v>
      </c>
      <c r="P4156">
        <v>60143</v>
      </c>
      <c r="Q4156">
        <v>2218</v>
      </c>
      <c r="R4156" t="s">
        <v>23</v>
      </c>
      <c r="S4156" s="1" t="s">
        <v>34218</v>
      </c>
    </row>
    <row r="4157" spans="1:19" x14ac:dyDescent="0.25">
      <c r="A4157">
        <v>101296081</v>
      </c>
      <c r="B4157" t="s">
        <v>744</v>
      </c>
      <c r="C4157" t="s">
        <v>252</v>
      </c>
      <c r="F4157" t="str">
        <f>"8012549384"</f>
        <v>8012549384</v>
      </c>
      <c r="G4157" t="s">
        <v>10744</v>
      </c>
      <c r="H4157" t="s">
        <v>10745</v>
      </c>
      <c r="I4157" t="s">
        <v>332</v>
      </c>
      <c r="J4157">
        <v>84009</v>
      </c>
      <c r="L4157" t="s">
        <v>23</v>
      </c>
      <c r="M4157" t="s">
        <v>10744</v>
      </c>
      <c r="N4157" t="s">
        <v>10745</v>
      </c>
      <c r="O4157" t="s">
        <v>332</v>
      </c>
      <c r="P4157">
        <v>84009</v>
      </c>
      <c r="R4157" t="s">
        <v>23</v>
      </c>
      <c r="S4157" s="1" t="s">
        <v>34218</v>
      </c>
    </row>
    <row r="4158" spans="1:19" x14ac:dyDescent="0.25">
      <c r="A4158">
        <v>100872524</v>
      </c>
      <c r="B4158" t="s">
        <v>3338</v>
      </c>
      <c r="C4158" t="s">
        <v>10746</v>
      </c>
      <c r="F4158" t="str">
        <f>"5037566822"</f>
        <v>5037566822</v>
      </c>
      <c r="G4158" t="s">
        <v>10747</v>
      </c>
      <c r="H4158" t="s">
        <v>227</v>
      </c>
      <c r="I4158" t="s">
        <v>43</v>
      </c>
      <c r="J4158">
        <v>97224</v>
      </c>
      <c r="K4158">
        <v>7969</v>
      </c>
      <c r="L4158" t="s">
        <v>23</v>
      </c>
      <c r="M4158" t="s">
        <v>10747</v>
      </c>
      <c r="N4158" t="s">
        <v>227</v>
      </c>
      <c r="O4158" t="s">
        <v>43</v>
      </c>
      <c r="P4158">
        <v>97224</v>
      </c>
      <c r="Q4158">
        <v>7969</v>
      </c>
      <c r="R4158" t="s">
        <v>23</v>
      </c>
      <c r="S4158" s="1" t="s">
        <v>34218</v>
      </c>
    </row>
    <row r="4159" spans="1:19" x14ac:dyDescent="0.25">
      <c r="A4159">
        <v>101295309</v>
      </c>
      <c r="B4159" t="s">
        <v>10748</v>
      </c>
      <c r="C4159" t="s">
        <v>575</v>
      </c>
      <c r="F4159" t="str">
        <f>"7083057409"</f>
        <v>7083057409</v>
      </c>
      <c r="G4159" t="s">
        <v>10749</v>
      </c>
      <c r="H4159" t="s">
        <v>10750</v>
      </c>
      <c r="I4159" t="s">
        <v>135</v>
      </c>
      <c r="J4159" t="s">
        <v>10751</v>
      </c>
      <c r="K4159">
        <v>3750</v>
      </c>
      <c r="L4159" t="s">
        <v>23</v>
      </c>
      <c r="M4159" t="s">
        <v>10749</v>
      </c>
      <c r="N4159" t="s">
        <v>10750</v>
      </c>
      <c r="O4159" t="s">
        <v>135</v>
      </c>
      <c r="P4159" t="s">
        <v>10751</v>
      </c>
      <c r="Q4159">
        <v>3750</v>
      </c>
      <c r="R4159" t="s">
        <v>23</v>
      </c>
      <c r="S4159" s="1" t="s">
        <v>34218</v>
      </c>
    </row>
    <row r="4160" spans="1:19" x14ac:dyDescent="0.25">
      <c r="A4160">
        <v>100897995</v>
      </c>
      <c r="B4160" t="s">
        <v>10752</v>
      </c>
      <c r="C4160" t="s">
        <v>1879</v>
      </c>
      <c r="F4160" t="str">
        <f>"7187960894"</f>
        <v>7187960894</v>
      </c>
      <c r="G4160">
        <v>10471</v>
      </c>
      <c r="H4160" t="s">
        <v>1105</v>
      </c>
      <c r="I4160" t="s">
        <v>117</v>
      </c>
      <c r="J4160">
        <v>10471</v>
      </c>
      <c r="L4160" t="s">
        <v>23</v>
      </c>
      <c r="M4160">
        <v>10471</v>
      </c>
      <c r="N4160" t="s">
        <v>1105</v>
      </c>
      <c r="O4160" t="s">
        <v>117</v>
      </c>
      <c r="P4160">
        <v>10471</v>
      </c>
      <c r="R4160" t="s">
        <v>23</v>
      </c>
      <c r="S4160" s="1" t="s">
        <v>34218</v>
      </c>
    </row>
    <row r="4161" spans="1:19" x14ac:dyDescent="0.25">
      <c r="A4161">
        <v>101184124</v>
      </c>
      <c r="B4161" t="s">
        <v>10753</v>
      </c>
      <c r="C4161" t="s">
        <v>390</v>
      </c>
      <c r="F4161" t="str">
        <f>"6154831580"</f>
        <v>6154831580</v>
      </c>
      <c r="G4161" t="s">
        <v>10754</v>
      </c>
      <c r="H4161" t="s">
        <v>1048</v>
      </c>
      <c r="I4161" t="s">
        <v>914</v>
      </c>
      <c r="J4161">
        <v>37075</v>
      </c>
      <c r="K4161">
        <v>604</v>
      </c>
      <c r="L4161" t="s">
        <v>23</v>
      </c>
      <c r="M4161" t="s">
        <v>10754</v>
      </c>
      <c r="N4161" t="s">
        <v>1048</v>
      </c>
      <c r="O4161" t="s">
        <v>914</v>
      </c>
      <c r="P4161">
        <v>37075</v>
      </c>
      <c r="Q4161">
        <v>604</v>
      </c>
      <c r="R4161" t="s">
        <v>23</v>
      </c>
      <c r="S4161" s="1" t="s">
        <v>34218</v>
      </c>
    </row>
    <row r="4162" spans="1:19" x14ac:dyDescent="0.25">
      <c r="A4162">
        <v>101395134</v>
      </c>
      <c r="B4162" t="s">
        <v>592</v>
      </c>
      <c r="C4162" t="s">
        <v>3566</v>
      </c>
      <c r="F4162" t="str">
        <f>"5037272099"</f>
        <v>5037272099</v>
      </c>
      <c r="G4162" t="s">
        <v>10755</v>
      </c>
      <c r="H4162" t="s">
        <v>227</v>
      </c>
      <c r="I4162" t="s">
        <v>43</v>
      </c>
      <c r="J4162">
        <v>97223</v>
      </c>
      <c r="K4162">
        <v>6457</v>
      </c>
      <c r="L4162" t="s">
        <v>23</v>
      </c>
      <c r="M4162" t="s">
        <v>10755</v>
      </c>
      <c r="N4162" t="s">
        <v>227</v>
      </c>
      <c r="O4162" t="s">
        <v>43</v>
      </c>
      <c r="P4162">
        <v>97223</v>
      </c>
      <c r="Q4162">
        <v>6457</v>
      </c>
      <c r="R4162" t="s">
        <v>23</v>
      </c>
      <c r="S4162" s="1" t="s">
        <v>34218</v>
      </c>
    </row>
    <row r="4163" spans="1:19" x14ac:dyDescent="0.25">
      <c r="A4163">
        <v>101297666</v>
      </c>
      <c r="B4163" t="s">
        <v>3828</v>
      </c>
      <c r="C4163" t="s">
        <v>4502</v>
      </c>
      <c r="F4163" t="str">
        <f>"9495837597"</f>
        <v>9495837597</v>
      </c>
      <c r="G4163" t="s">
        <v>10756</v>
      </c>
      <c r="H4163" t="s">
        <v>3808</v>
      </c>
      <c r="I4163" t="s">
        <v>22</v>
      </c>
      <c r="J4163">
        <v>92692</v>
      </c>
      <c r="K4163">
        <v>4213</v>
      </c>
      <c r="L4163" t="s">
        <v>23</v>
      </c>
      <c r="M4163" t="s">
        <v>10756</v>
      </c>
      <c r="N4163" t="s">
        <v>3808</v>
      </c>
      <c r="O4163" t="s">
        <v>22</v>
      </c>
      <c r="P4163">
        <v>92692</v>
      </c>
      <c r="Q4163">
        <v>4213</v>
      </c>
      <c r="R4163" t="s">
        <v>23</v>
      </c>
      <c r="S4163" s="1" t="s">
        <v>34218</v>
      </c>
    </row>
    <row r="4164" spans="1:19" x14ac:dyDescent="0.25">
      <c r="A4164">
        <v>101297852</v>
      </c>
      <c r="B4164" t="s">
        <v>10757</v>
      </c>
      <c r="C4164" t="s">
        <v>874</v>
      </c>
      <c r="F4164" t="str">
        <f>"8593123197"</f>
        <v>8593123197</v>
      </c>
      <c r="G4164" t="s">
        <v>10758</v>
      </c>
      <c r="H4164" t="s">
        <v>10759</v>
      </c>
      <c r="I4164" t="s">
        <v>1097</v>
      </c>
      <c r="J4164">
        <v>40383</v>
      </c>
      <c r="K4164">
        <v>8019</v>
      </c>
      <c r="L4164" t="s">
        <v>23</v>
      </c>
      <c r="M4164" t="s">
        <v>10758</v>
      </c>
      <c r="N4164" t="s">
        <v>10759</v>
      </c>
      <c r="O4164" t="s">
        <v>1097</v>
      </c>
      <c r="P4164">
        <v>40383</v>
      </c>
      <c r="Q4164">
        <v>8019</v>
      </c>
      <c r="R4164" t="s">
        <v>23</v>
      </c>
      <c r="S4164" s="1" t="s">
        <v>34218</v>
      </c>
    </row>
    <row r="4165" spans="1:19" x14ac:dyDescent="0.25">
      <c r="A4165">
        <v>101297924</v>
      </c>
      <c r="B4165" t="s">
        <v>4475</v>
      </c>
      <c r="C4165" t="s">
        <v>180</v>
      </c>
      <c r="F4165" t="str">
        <f>"3105157390"</f>
        <v>3105157390</v>
      </c>
      <c r="G4165" t="s">
        <v>10760</v>
      </c>
      <c r="H4165" t="s">
        <v>5269</v>
      </c>
      <c r="I4165" t="s">
        <v>22</v>
      </c>
      <c r="J4165">
        <v>90504</v>
      </c>
      <c r="K4165">
        <v>2405</v>
      </c>
      <c r="L4165" t="s">
        <v>23</v>
      </c>
      <c r="M4165" t="s">
        <v>10760</v>
      </c>
      <c r="N4165" t="s">
        <v>5269</v>
      </c>
      <c r="O4165" t="s">
        <v>22</v>
      </c>
      <c r="P4165">
        <v>90504</v>
      </c>
      <c r="Q4165">
        <v>2405</v>
      </c>
      <c r="R4165" t="s">
        <v>23</v>
      </c>
      <c r="S4165" s="1" t="s">
        <v>34218</v>
      </c>
    </row>
    <row r="4166" spans="1:19" x14ac:dyDescent="0.25">
      <c r="A4166">
        <v>101386622</v>
      </c>
      <c r="B4166" t="s">
        <v>4491</v>
      </c>
      <c r="C4166" t="s">
        <v>4587</v>
      </c>
      <c r="F4166" t="str">
        <f>"5613589710"</f>
        <v>5613589710</v>
      </c>
      <c r="G4166" t="s">
        <v>10761</v>
      </c>
      <c r="H4166" t="s">
        <v>1254</v>
      </c>
      <c r="I4166" t="s">
        <v>52</v>
      </c>
      <c r="J4166">
        <v>33467</v>
      </c>
      <c r="K4166">
        <v>4828</v>
      </c>
      <c r="L4166" t="s">
        <v>23</v>
      </c>
      <c r="M4166" t="s">
        <v>10761</v>
      </c>
      <c r="N4166" t="s">
        <v>1254</v>
      </c>
      <c r="O4166" t="s">
        <v>52</v>
      </c>
      <c r="P4166">
        <v>33467</v>
      </c>
      <c r="Q4166">
        <v>4828</v>
      </c>
      <c r="R4166" t="s">
        <v>23</v>
      </c>
      <c r="S4166" s="1" t="s">
        <v>34218</v>
      </c>
    </row>
    <row r="4167" spans="1:19" x14ac:dyDescent="0.25">
      <c r="A4167">
        <v>101398065</v>
      </c>
      <c r="B4167" t="s">
        <v>10762</v>
      </c>
      <c r="C4167" t="s">
        <v>110</v>
      </c>
      <c r="F4167" t="str">
        <f>"2102550141"</f>
        <v>2102550141</v>
      </c>
      <c r="G4167" t="s">
        <v>10763</v>
      </c>
      <c r="H4167" t="s">
        <v>1229</v>
      </c>
      <c r="I4167" t="s">
        <v>38</v>
      </c>
      <c r="J4167">
        <v>78250</v>
      </c>
      <c r="K4167">
        <v>2623</v>
      </c>
      <c r="L4167" t="s">
        <v>23</v>
      </c>
      <c r="M4167" t="s">
        <v>10763</v>
      </c>
      <c r="N4167" t="s">
        <v>1229</v>
      </c>
      <c r="O4167" t="s">
        <v>38</v>
      </c>
      <c r="P4167">
        <v>78250</v>
      </c>
      <c r="Q4167">
        <v>2623</v>
      </c>
      <c r="R4167" t="s">
        <v>23</v>
      </c>
      <c r="S4167" s="1" t="s">
        <v>34218</v>
      </c>
    </row>
    <row r="4168" spans="1:19" x14ac:dyDescent="0.25">
      <c r="A4168">
        <v>101409639</v>
      </c>
      <c r="B4168" t="s">
        <v>10764</v>
      </c>
      <c r="C4168" t="s">
        <v>6606</v>
      </c>
      <c r="F4168" t="str">
        <f>"5869540385"</f>
        <v>5869540385</v>
      </c>
      <c r="G4168" t="s">
        <v>10765</v>
      </c>
      <c r="H4168" t="s">
        <v>10766</v>
      </c>
      <c r="I4168" t="s">
        <v>140</v>
      </c>
      <c r="J4168">
        <v>48045</v>
      </c>
      <c r="K4168">
        <v>2403</v>
      </c>
      <c r="L4168" t="s">
        <v>23</v>
      </c>
      <c r="M4168" t="s">
        <v>10765</v>
      </c>
      <c r="N4168" t="s">
        <v>10766</v>
      </c>
      <c r="O4168" t="s">
        <v>140</v>
      </c>
      <c r="P4168">
        <v>48045</v>
      </c>
      <c r="Q4168">
        <v>2403</v>
      </c>
      <c r="R4168" t="s">
        <v>23</v>
      </c>
      <c r="S4168" s="1" t="s">
        <v>34218</v>
      </c>
    </row>
    <row r="4169" spans="1:19" x14ac:dyDescent="0.25">
      <c r="A4169">
        <v>101414373</v>
      </c>
      <c r="B4169" t="s">
        <v>10767</v>
      </c>
      <c r="C4169" t="s">
        <v>513</v>
      </c>
      <c r="F4169" t="str">
        <f>"8052053584"</f>
        <v>8052053584</v>
      </c>
      <c r="G4169" t="s">
        <v>10768</v>
      </c>
      <c r="H4169" t="s">
        <v>2987</v>
      </c>
      <c r="I4169" t="s">
        <v>22</v>
      </c>
      <c r="J4169">
        <v>91601</v>
      </c>
      <c r="K4169">
        <v>1723</v>
      </c>
      <c r="L4169" t="s">
        <v>23</v>
      </c>
      <c r="M4169" t="s">
        <v>10768</v>
      </c>
      <c r="N4169" t="s">
        <v>2987</v>
      </c>
      <c r="O4169" t="s">
        <v>22</v>
      </c>
      <c r="P4169">
        <v>91601</v>
      </c>
      <c r="Q4169">
        <v>1723</v>
      </c>
      <c r="R4169" t="s">
        <v>23</v>
      </c>
      <c r="S4169" s="1" t="s">
        <v>34218</v>
      </c>
    </row>
    <row r="4170" spans="1:19" x14ac:dyDescent="0.25">
      <c r="A4170">
        <v>101223081</v>
      </c>
      <c r="B4170" t="s">
        <v>10769</v>
      </c>
      <c r="C4170" t="s">
        <v>403</v>
      </c>
      <c r="F4170" t="str">
        <f>"8177330464"</f>
        <v>8177330464</v>
      </c>
      <c r="G4170" t="s">
        <v>10770</v>
      </c>
      <c r="H4170" t="s">
        <v>2963</v>
      </c>
      <c r="I4170" t="s">
        <v>52</v>
      </c>
      <c r="J4170">
        <v>33950</v>
      </c>
      <c r="K4170">
        <v>1312</v>
      </c>
      <c r="L4170" t="s">
        <v>23</v>
      </c>
      <c r="M4170" t="s">
        <v>10770</v>
      </c>
      <c r="N4170" t="s">
        <v>2963</v>
      </c>
      <c r="O4170" t="s">
        <v>52</v>
      </c>
      <c r="P4170">
        <v>33950</v>
      </c>
      <c r="Q4170">
        <v>1312</v>
      </c>
      <c r="R4170" t="s">
        <v>23</v>
      </c>
      <c r="S4170" s="1" t="s">
        <v>34218</v>
      </c>
    </row>
    <row r="4171" spans="1:19" x14ac:dyDescent="0.25">
      <c r="A4171">
        <v>101221556</v>
      </c>
      <c r="B4171" t="s">
        <v>10771</v>
      </c>
      <c r="C4171" t="s">
        <v>180</v>
      </c>
      <c r="F4171" t="str">
        <f>"4014809481"</f>
        <v>4014809481</v>
      </c>
      <c r="G4171" t="s">
        <v>10772</v>
      </c>
      <c r="H4171" t="s">
        <v>10773</v>
      </c>
      <c r="I4171" t="s">
        <v>662</v>
      </c>
      <c r="J4171">
        <v>2914</v>
      </c>
      <c r="K4171">
        <v>1821</v>
      </c>
      <c r="L4171" t="s">
        <v>23</v>
      </c>
      <c r="M4171" t="s">
        <v>10772</v>
      </c>
      <c r="N4171" t="s">
        <v>10773</v>
      </c>
      <c r="O4171" t="s">
        <v>662</v>
      </c>
      <c r="P4171">
        <v>2914</v>
      </c>
      <c r="Q4171">
        <v>1821</v>
      </c>
      <c r="R4171" t="s">
        <v>23</v>
      </c>
      <c r="S4171" s="1" t="s">
        <v>34218</v>
      </c>
    </row>
    <row r="4172" spans="1:19" x14ac:dyDescent="0.25">
      <c r="A4172">
        <v>101322399</v>
      </c>
      <c r="B4172" t="s">
        <v>10774</v>
      </c>
      <c r="C4172" t="s">
        <v>9807</v>
      </c>
      <c r="F4172" t="str">
        <f>"9544726397"</f>
        <v>9544726397</v>
      </c>
      <c r="G4172" t="s">
        <v>10775</v>
      </c>
      <c r="H4172" t="s">
        <v>10776</v>
      </c>
      <c r="I4172" t="s">
        <v>52</v>
      </c>
      <c r="J4172">
        <v>33325</v>
      </c>
      <c r="L4172" t="s">
        <v>23</v>
      </c>
      <c r="M4172" t="s">
        <v>10775</v>
      </c>
      <c r="N4172" t="s">
        <v>10776</v>
      </c>
      <c r="O4172" t="s">
        <v>52</v>
      </c>
      <c r="P4172">
        <v>33325</v>
      </c>
      <c r="R4172" t="s">
        <v>23</v>
      </c>
      <c r="S4172" s="1" t="s">
        <v>34218</v>
      </c>
    </row>
    <row r="4173" spans="1:19" x14ac:dyDescent="0.25">
      <c r="A4173">
        <v>100813279</v>
      </c>
      <c r="B4173" t="s">
        <v>10777</v>
      </c>
      <c r="C4173" t="s">
        <v>9313</v>
      </c>
      <c r="F4173" t="str">
        <f>"2033232069"</f>
        <v>2033232069</v>
      </c>
      <c r="G4173" t="s">
        <v>10778</v>
      </c>
      <c r="H4173" t="s">
        <v>6492</v>
      </c>
      <c r="I4173" t="s">
        <v>161</v>
      </c>
      <c r="J4173">
        <v>6902</v>
      </c>
      <c r="L4173" t="s">
        <v>23</v>
      </c>
      <c r="M4173" t="s">
        <v>10778</v>
      </c>
      <c r="N4173" t="s">
        <v>6492</v>
      </c>
      <c r="O4173" t="s">
        <v>161</v>
      </c>
      <c r="P4173">
        <v>6902</v>
      </c>
      <c r="R4173" t="s">
        <v>23</v>
      </c>
      <c r="S4173" s="1" t="s">
        <v>34218</v>
      </c>
    </row>
    <row r="4174" spans="1:19" x14ac:dyDescent="0.25">
      <c r="A4174">
        <v>101239608</v>
      </c>
      <c r="B4174" t="s">
        <v>29</v>
      </c>
      <c r="C4174" t="s">
        <v>3110</v>
      </c>
      <c r="F4174" t="str">
        <f>"6123741014"</f>
        <v>6123741014</v>
      </c>
      <c r="G4174" t="s">
        <v>10779</v>
      </c>
      <c r="H4174" t="s">
        <v>569</v>
      </c>
      <c r="I4174" t="s">
        <v>187</v>
      </c>
      <c r="J4174">
        <v>55410</v>
      </c>
      <c r="K4174">
        <v>2148</v>
      </c>
      <c r="L4174" t="s">
        <v>23</v>
      </c>
      <c r="M4174" t="s">
        <v>10779</v>
      </c>
      <c r="N4174" t="s">
        <v>569</v>
      </c>
      <c r="O4174" t="s">
        <v>187</v>
      </c>
      <c r="P4174">
        <v>55410</v>
      </c>
      <c r="Q4174">
        <v>2148</v>
      </c>
      <c r="R4174" t="s">
        <v>23</v>
      </c>
      <c r="S4174" s="1" t="s">
        <v>34218</v>
      </c>
    </row>
    <row r="4175" spans="1:19" x14ac:dyDescent="0.25">
      <c r="A4175">
        <v>101244291</v>
      </c>
      <c r="B4175" t="s">
        <v>1335</v>
      </c>
      <c r="C4175" t="s">
        <v>579</v>
      </c>
      <c r="F4175" t="str">
        <f>"5555555555"</f>
        <v>5555555555</v>
      </c>
      <c r="G4175" t="s">
        <v>10780</v>
      </c>
      <c r="H4175" t="s">
        <v>1034</v>
      </c>
      <c r="I4175" t="s">
        <v>22</v>
      </c>
      <c r="J4175">
        <v>93514</v>
      </c>
      <c r="K4175">
        <v>3035</v>
      </c>
      <c r="L4175" t="s">
        <v>23</v>
      </c>
      <c r="M4175" t="s">
        <v>10780</v>
      </c>
      <c r="N4175" t="s">
        <v>1034</v>
      </c>
      <c r="O4175" t="s">
        <v>22</v>
      </c>
      <c r="P4175">
        <v>93514</v>
      </c>
      <c r="Q4175">
        <v>3035</v>
      </c>
      <c r="R4175" t="s">
        <v>23</v>
      </c>
      <c r="S4175" s="1" t="s">
        <v>34218</v>
      </c>
    </row>
    <row r="4176" spans="1:19" x14ac:dyDescent="0.25">
      <c r="A4176">
        <v>100851440</v>
      </c>
      <c r="B4176" t="s">
        <v>806</v>
      </c>
      <c r="C4176" t="s">
        <v>266</v>
      </c>
      <c r="F4176" t="str">
        <f>"3109621020"</f>
        <v>3109621020</v>
      </c>
      <c r="G4176" t="s">
        <v>10781</v>
      </c>
      <c r="H4176" t="s">
        <v>726</v>
      </c>
      <c r="I4176" t="s">
        <v>22</v>
      </c>
      <c r="J4176">
        <v>90403</v>
      </c>
      <c r="K4176">
        <v>1647</v>
      </c>
      <c r="L4176" t="s">
        <v>23</v>
      </c>
      <c r="M4176" t="s">
        <v>10781</v>
      </c>
      <c r="N4176" t="s">
        <v>726</v>
      </c>
      <c r="O4176" t="s">
        <v>22</v>
      </c>
      <c r="P4176">
        <v>90403</v>
      </c>
      <c r="Q4176">
        <v>1647</v>
      </c>
      <c r="R4176" t="s">
        <v>23</v>
      </c>
      <c r="S4176" s="1" t="s">
        <v>34218</v>
      </c>
    </row>
    <row r="4177" spans="1:19" x14ac:dyDescent="0.25">
      <c r="A4177">
        <v>101295442</v>
      </c>
      <c r="B4177" t="s">
        <v>10782</v>
      </c>
      <c r="C4177" t="s">
        <v>40</v>
      </c>
      <c r="F4177" t="str">
        <f>"8182565583"</f>
        <v>8182565583</v>
      </c>
      <c r="G4177" t="s">
        <v>10783</v>
      </c>
      <c r="H4177" t="s">
        <v>10784</v>
      </c>
      <c r="I4177" t="s">
        <v>22</v>
      </c>
      <c r="J4177">
        <v>91311</v>
      </c>
      <c r="K4177">
        <v>4513</v>
      </c>
      <c r="L4177" t="s">
        <v>23</v>
      </c>
      <c r="M4177" t="s">
        <v>10783</v>
      </c>
      <c r="N4177" t="s">
        <v>10784</v>
      </c>
      <c r="O4177" t="s">
        <v>22</v>
      </c>
      <c r="P4177">
        <v>91311</v>
      </c>
      <c r="Q4177">
        <v>4513</v>
      </c>
      <c r="R4177" t="s">
        <v>23</v>
      </c>
      <c r="S4177" s="1" t="s">
        <v>34218</v>
      </c>
    </row>
    <row r="4178" spans="1:19" x14ac:dyDescent="0.25">
      <c r="A4178">
        <v>100851701</v>
      </c>
      <c r="B4178" t="s">
        <v>10785</v>
      </c>
      <c r="C4178" t="s">
        <v>9862</v>
      </c>
      <c r="F4178" t="str">
        <f>"5125654145"</f>
        <v>5125654145</v>
      </c>
      <c r="G4178" t="s">
        <v>10786</v>
      </c>
      <c r="H4178" t="s">
        <v>4890</v>
      </c>
      <c r="I4178" t="s">
        <v>57</v>
      </c>
      <c r="J4178">
        <v>46062</v>
      </c>
      <c r="K4178">
        <v>9446</v>
      </c>
      <c r="L4178" t="s">
        <v>23</v>
      </c>
      <c r="M4178" t="s">
        <v>10786</v>
      </c>
      <c r="N4178" t="s">
        <v>4890</v>
      </c>
      <c r="O4178" t="s">
        <v>57</v>
      </c>
      <c r="P4178">
        <v>46062</v>
      </c>
      <c r="Q4178">
        <v>9446</v>
      </c>
      <c r="R4178" t="s">
        <v>23</v>
      </c>
      <c r="S4178" s="1" t="s">
        <v>34218</v>
      </c>
    </row>
    <row r="4179" spans="1:19" x14ac:dyDescent="0.25">
      <c r="A4179">
        <v>101415370</v>
      </c>
      <c r="B4179" t="s">
        <v>10787</v>
      </c>
      <c r="C4179" t="s">
        <v>225</v>
      </c>
      <c r="F4179" t="str">
        <f>"2165335375"</f>
        <v>2165335375</v>
      </c>
      <c r="G4179" t="s">
        <v>10788</v>
      </c>
      <c r="H4179" t="s">
        <v>3373</v>
      </c>
      <c r="I4179" t="s">
        <v>178</v>
      </c>
      <c r="J4179" t="s">
        <v>10789</v>
      </c>
      <c r="K4179">
        <v>3811</v>
      </c>
      <c r="L4179" t="s">
        <v>23</v>
      </c>
      <c r="M4179" t="s">
        <v>10788</v>
      </c>
      <c r="N4179" t="s">
        <v>3373</v>
      </c>
      <c r="O4179" t="s">
        <v>178</v>
      </c>
      <c r="P4179" t="s">
        <v>10789</v>
      </c>
      <c r="Q4179">
        <v>3811</v>
      </c>
      <c r="R4179" t="s">
        <v>23</v>
      </c>
      <c r="S4179" s="1" t="s">
        <v>34218</v>
      </c>
    </row>
    <row r="4180" spans="1:19" x14ac:dyDescent="0.25">
      <c r="A4180">
        <v>100649763</v>
      </c>
      <c r="B4180" t="s">
        <v>10790</v>
      </c>
      <c r="C4180" t="s">
        <v>10791</v>
      </c>
      <c r="F4180" t="str">
        <f>"3157381305"</f>
        <v>3157381305</v>
      </c>
      <c r="G4180" t="s">
        <v>10792</v>
      </c>
      <c r="H4180" t="s">
        <v>5827</v>
      </c>
      <c r="I4180" t="s">
        <v>117</v>
      </c>
      <c r="J4180">
        <v>13502</v>
      </c>
      <c r="K4180">
        <v>5943</v>
      </c>
      <c r="L4180" t="s">
        <v>23</v>
      </c>
      <c r="M4180" t="s">
        <v>10792</v>
      </c>
      <c r="N4180" t="s">
        <v>5827</v>
      </c>
      <c r="O4180" t="s">
        <v>117</v>
      </c>
      <c r="P4180">
        <v>13502</v>
      </c>
      <c r="Q4180">
        <v>5943</v>
      </c>
      <c r="R4180" t="s">
        <v>23</v>
      </c>
      <c r="S4180" s="1" t="s">
        <v>34218</v>
      </c>
    </row>
    <row r="4181" spans="1:19" x14ac:dyDescent="0.25">
      <c r="A4181">
        <v>101206777</v>
      </c>
      <c r="B4181" t="s">
        <v>10793</v>
      </c>
      <c r="C4181" t="s">
        <v>1887</v>
      </c>
      <c r="F4181" t="str">
        <f>"5417832697"</f>
        <v>5417832697</v>
      </c>
      <c r="G4181" t="s">
        <v>10794</v>
      </c>
      <c r="H4181" t="s">
        <v>5747</v>
      </c>
      <c r="I4181" t="s">
        <v>43</v>
      </c>
      <c r="J4181">
        <v>97624</v>
      </c>
      <c r="K4181">
        <v>6778</v>
      </c>
      <c r="L4181" t="s">
        <v>23</v>
      </c>
      <c r="M4181" t="s">
        <v>10794</v>
      </c>
      <c r="N4181" t="s">
        <v>5747</v>
      </c>
      <c r="O4181" t="s">
        <v>43</v>
      </c>
      <c r="P4181">
        <v>97624</v>
      </c>
      <c r="Q4181">
        <v>6778</v>
      </c>
      <c r="R4181" t="s">
        <v>23</v>
      </c>
      <c r="S4181" s="1" t="s">
        <v>34218</v>
      </c>
    </row>
    <row r="4182" spans="1:19" x14ac:dyDescent="0.25">
      <c r="A4182">
        <v>100965918</v>
      </c>
      <c r="B4182" t="s">
        <v>10795</v>
      </c>
      <c r="C4182" t="s">
        <v>2792</v>
      </c>
      <c r="F4182" t="str">
        <f>"9876543210"</f>
        <v>9876543210</v>
      </c>
      <c r="G4182" t="s">
        <v>10796</v>
      </c>
      <c r="H4182" t="s">
        <v>412</v>
      </c>
      <c r="I4182" t="s">
        <v>117</v>
      </c>
      <c r="J4182">
        <v>11215</v>
      </c>
      <c r="K4182">
        <v>1360</v>
      </c>
      <c r="L4182" t="s">
        <v>23</v>
      </c>
      <c r="M4182" t="s">
        <v>10796</v>
      </c>
      <c r="N4182" t="s">
        <v>412</v>
      </c>
      <c r="O4182" t="s">
        <v>117</v>
      </c>
      <c r="P4182">
        <v>11215</v>
      </c>
      <c r="Q4182">
        <v>1360</v>
      </c>
      <c r="R4182" t="s">
        <v>23</v>
      </c>
      <c r="S4182" s="1" t="s">
        <v>34218</v>
      </c>
    </row>
    <row r="4183" spans="1:19" x14ac:dyDescent="0.25">
      <c r="A4183">
        <v>101397001</v>
      </c>
      <c r="B4183" t="s">
        <v>10797</v>
      </c>
      <c r="C4183" t="s">
        <v>3878</v>
      </c>
      <c r="F4183" t="str">
        <f>"4153100606"</f>
        <v>4153100606</v>
      </c>
      <c r="G4183" t="s">
        <v>10798</v>
      </c>
      <c r="H4183" t="s">
        <v>631</v>
      </c>
      <c r="I4183" t="s">
        <v>22</v>
      </c>
      <c r="J4183">
        <v>94949</v>
      </c>
      <c r="L4183" t="s">
        <v>23</v>
      </c>
      <c r="M4183" t="s">
        <v>10798</v>
      </c>
      <c r="N4183" t="s">
        <v>631</v>
      </c>
      <c r="O4183" t="s">
        <v>22</v>
      </c>
      <c r="P4183">
        <v>94949</v>
      </c>
      <c r="R4183" t="s">
        <v>23</v>
      </c>
      <c r="S4183" s="1" t="s">
        <v>34218</v>
      </c>
    </row>
    <row r="4184" spans="1:19" x14ac:dyDescent="0.25">
      <c r="A4184">
        <v>101139142</v>
      </c>
      <c r="B4184" t="s">
        <v>826</v>
      </c>
      <c r="C4184" t="s">
        <v>1218</v>
      </c>
      <c r="F4184" t="str">
        <f>"2345678901"</f>
        <v>2345678901</v>
      </c>
      <c r="G4184" t="s">
        <v>10799</v>
      </c>
      <c r="H4184" t="s">
        <v>8479</v>
      </c>
      <c r="I4184" t="s">
        <v>52</v>
      </c>
      <c r="J4184" t="s">
        <v>10800</v>
      </c>
      <c r="K4184">
        <v>6515</v>
      </c>
      <c r="L4184" t="s">
        <v>23</v>
      </c>
      <c r="M4184" t="s">
        <v>10799</v>
      </c>
      <c r="N4184" t="s">
        <v>8479</v>
      </c>
      <c r="O4184" t="s">
        <v>52</v>
      </c>
      <c r="P4184" t="s">
        <v>10800</v>
      </c>
      <c r="Q4184">
        <v>6515</v>
      </c>
      <c r="R4184" t="s">
        <v>23</v>
      </c>
      <c r="S4184" s="1" t="s">
        <v>34218</v>
      </c>
    </row>
    <row r="4185" spans="1:19" x14ac:dyDescent="0.25">
      <c r="A4185">
        <v>100893114</v>
      </c>
      <c r="B4185" t="s">
        <v>10801</v>
      </c>
      <c r="C4185" t="s">
        <v>10802</v>
      </c>
      <c r="F4185" t="str">
        <f>"5745464578"</f>
        <v>5745464578</v>
      </c>
      <c r="G4185" t="s">
        <v>10803</v>
      </c>
      <c r="H4185" t="s">
        <v>10804</v>
      </c>
      <c r="I4185" t="s">
        <v>57</v>
      </c>
      <c r="J4185">
        <v>46506</v>
      </c>
      <c r="K4185">
        <v>9798</v>
      </c>
      <c r="L4185" t="s">
        <v>23</v>
      </c>
      <c r="M4185" t="s">
        <v>10803</v>
      </c>
      <c r="N4185" t="s">
        <v>10804</v>
      </c>
      <c r="O4185" t="s">
        <v>57</v>
      </c>
      <c r="P4185">
        <v>46506</v>
      </c>
      <c r="Q4185">
        <v>9798</v>
      </c>
      <c r="R4185" t="s">
        <v>23</v>
      </c>
      <c r="S4185" s="1" t="s">
        <v>34218</v>
      </c>
    </row>
    <row r="4186" spans="1:19" x14ac:dyDescent="0.25">
      <c r="A4186">
        <v>101342267</v>
      </c>
      <c r="B4186" t="s">
        <v>10805</v>
      </c>
      <c r="C4186" t="s">
        <v>10806</v>
      </c>
      <c r="F4186" t="str">
        <f>"8018910273"</f>
        <v>8018910273</v>
      </c>
      <c r="G4186" t="s">
        <v>10807</v>
      </c>
      <c r="H4186" t="s">
        <v>169</v>
      </c>
      <c r="I4186" t="s">
        <v>170</v>
      </c>
      <c r="J4186">
        <v>20015</v>
      </c>
      <c r="K4186">
        <v>1323</v>
      </c>
      <c r="L4186" t="s">
        <v>23</v>
      </c>
      <c r="M4186" t="s">
        <v>10807</v>
      </c>
      <c r="N4186" t="s">
        <v>169</v>
      </c>
      <c r="O4186" t="s">
        <v>170</v>
      </c>
      <c r="P4186">
        <v>20015</v>
      </c>
      <c r="Q4186">
        <v>1323</v>
      </c>
      <c r="R4186" t="s">
        <v>23</v>
      </c>
      <c r="S4186" s="1" t="s">
        <v>34218</v>
      </c>
    </row>
    <row r="4187" spans="1:19" x14ac:dyDescent="0.25">
      <c r="A4187">
        <v>101057934</v>
      </c>
      <c r="B4187" t="s">
        <v>1164</v>
      </c>
      <c r="C4187" t="s">
        <v>1598</v>
      </c>
      <c r="F4187" t="str">
        <f>"8184376621"</f>
        <v>8184376621</v>
      </c>
      <c r="G4187" t="s">
        <v>10808</v>
      </c>
      <c r="H4187" t="s">
        <v>1674</v>
      </c>
      <c r="I4187" t="s">
        <v>22</v>
      </c>
      <c r="J4187">
        <v>91504</v>
      </c>
      <c r="K4187">
        <v>3114</v>
      </c>
      <c r="L4187" t="s">
        <v>23</v>
      </c>
      <c r="M4187" t="s">
        <v>10808</v>
      </c>
      <c r="N4187" t="s">
        <v>1674</v>
      </c>
      <c r="O4187" t="s">
        <v>22</v>
      </c>
      <c r="P4187">
        <v>91504</v>
      </c>
      <c r="Q4187">
        <v>3114</v>
      </c>
      <c r="R4187" t="s">
        <v>23</v>
      </c>
      <c r="S4187" s="1" t="s">
        <v>34218</v>
      </c>
    </row>
    <row r="4188" spans="1:19" x14ac:dyDescent="0.25">
      <c r="A4188">
        <v>100547597</v>
      </c>
      <c r="B4188" t="s">
        <v>10809</v>
      </c>
      <c r="C4188" t="s">
        <v>867</v>
      </c>
      <c r="F4188" t="str">
        <f>"4105445594"</f>
        <v>4105445594</v>
      </c>
      <c r="G4188" t="s">
        <v>10810</v>
      </c>
      <c r="H4188" t="s">
        <v>10811</v>
      </c>
      <c r="I4188" t="s">
        <v>148</v>
      </c>
      <c r="J4188">
        <v>21146</v>
      </c>
      <c r="L4188" t="s">
        <v>23</v>
      </c>
      <c r="M4188" t="s">
        <v>10810</v>
      </c>
      <c r="N4188" t="s">
        <v>10811</v>
      </c>
      <c r="O4188" t="s">
        <v>148</v>
      </c>
      <c r="P4188">
        <v>21146</v>
      </c>
      <c r="R4188" t="s">
        <v>23</v>
      </c>
      <c r="S4188" s="1" t="s">
        <v>34218</v>
      </c>
    </row>
    <row r="4189" spans="1:19" x14ac:dyDescent="0.25">
      <c r="A4189">
        <v>101319035</v>
      </c>
      <c r="B4189" t="s">
        <v>10812</v>
      </c>
      <c r="C4189" t="s">
        <v>6818</v>
      </c>
      <c r="F4189" t="str">
        <f>"4044947945"</f>
        <v>4044947945</v>
      </c>
      <c r="G4189" t="s">
        <v>10813</v>
      </c>
      <c r="H4189" t="s">
        <v>423</v>
      </c>
      <c r="I4189" t="s">
        <v>71</v>
      </c>
      <c r="J4189">
        <v>80305</v>
      </c>
      <c r="K4189">
        <v>5722</v>
      </c>
      <c r="L4189" t="s">
        <v>23</v>
      </c>
      <c r="M4189" t="s">
        <v>10813</v>
      </c>
      <c r="N4189" t="s">
        <v>423</v>
      </c>
      <c r="O4189" t="s">
        <v>71</v>
      </c>
      <c r="P4189">
        <v>80305</v>
      </c>
      <c r="Q4189">
        <v>5722</v>
      </c>
      <c r="R4189" t="s">
        <v>23</v>
      </c>
      <c r="S4189" s="1" t="s">
        <v>34218</v>
      </c>
    </row>
    <row r="4190" spans="1:19" x14ac:dyDescent="0.25">
      <c r="A4190">
        <v>100904214</v>
      </c>
      <c r="B4190" t="s">
        <v>1291</v>
      </c>
      <c r="C4190" t="s">
        <v>2436</v>
      </c>
      <c r="F4190" t="str">
        <f>"4085551212"</f>
        <v>4085551212</v>
      </c>
      <c r="G4190" t="s">
        <v>10814</v>
      </c>
      <c r="H4190" t="s">
        <v>360</v>
      </c>
      <c r="I4190" t="s">
        <v>22</v>
      </c>
      <c r="J4190" t="s">
        <v>10815</v>
      </c>
      <c r="K4190">
        <v>7905</v>
      </c>
      <c r="L4190" t="s">
        <v>23</v>
      </c>
      <c r="M4190" t="s">
        <v>10814</v>
      </c>
      <c r="N4190" t="s">
        <v>360</v>
      </c>
      <c r="O4190" t="s">
        <v>22</v>
      </c>
      <c r="P4190" t="s">
        <v>10815</v>
      </c>
      <c r="Q4190">
        <v>7905</v>
      </c>
      <c r="R4190" t="s">
        <v>23</v>
      </c>
      <c r="S4190" s="1" t="s">
        <v>34218</v>
      </c>
    </row>
    <row r="4191" spans="1:19" x14ac:dyDescent="0.25">
      <c r="A4191">
        <v>101300982</v>
      </c>
      <c r="B4191" t="s">
        <v>10816</v>
      </c>
      <c r="C4191" t="s">
        <v>10817</v>
      </c>
      <c r="F4191" t="str">
        <f>"5555555555"</f>
        <v>5555555555</v>
      </c>
      <c r="G4191" t="s">
        <v>10818</v>
      </c>
      <c r="H4191" t="s">
        <v>10819</v>
      </c>
      <c r="I4191" t="s">
        <v>1387</v>
      </c>
      <c r="J4191" t="s">
        <v>10820</v>
      </c>
      <c r="K4191">
        <v>2907</v>
      </c>
      <c r="L4191" t="s">
        <v>23</v>
      </c>
      <c r="M4191" t="s">
        <v>10818</v>
      </c>
      <c r="N4191" t="s">
        <v>10819</v>
      </c>
      <c r="O4191" t="s">
        <v>1387</v>
      </c>
      <c r="P4191" t="s">
        <v>10820</v>
      </c>
      <c r="Q4191">
        <v>2907</v>
      </c>
      <c r="R4191" t="s">
        <v>23</v>
      </c>
      <c r="S4191" s="1" t="s">
        <v>34218</v>
      </c>
    </row>
    <row r="4192" spans="1:19" x14ac:dyDescent="0.25">
      <c r="A4192">
        <v>100801443</v>
      </c>
      <c r="B4192" t="s">
        <v>1437</v>
      </c>
      <c r="C4192" t="s">
        <v>1588</v>
      </c>
      <c r="F4192" t="str">
        <f>"7046065165"</f>
        <v>7046065165</v>
      </c>
      <c r="G4192" t="s">
        <v>10821</v>
      </c>
      <c r="H4192" t="s">
        <v>761</v>
      </c>
      <c r="I4192" t="s">
        <v>446</v>
      </c>
      <c r="J4192" t="s">
        <v>10822</v>
      </c>
      <c r="K4192">
        <v>4433</v>
      </c>
      <c r="L4192" t="s">
        <v>23</v>
      </c>
      <c r="M4192" t="s">
        <v>10821</v>
      </c>
      <c r="N4192" t="s">
        <v>761</v>
      </c>
      <c r="O4192" t="s">
        <v>446</v>
      </c>
      <c r="P4192" t="s">
        <v>10822</v>
      </c>
      <c r="Q4192">
        <v>4433</v>
      </c>
      <c r="R4192" t="s">
        <v>23</v>
      </c>
      <c r="S4192" s="1" t="s">
        <v>34218</v>
      </c>
    </row>
    <row r="4193" spans="1:19" x14ac:dyDescent="0.25">
      <c r="A4193">
        <v>101208226</v>
      </c>
      <c r="B4193" t="s">
        <v>1330</v>
      </c>
      <c r="C4193" t="s">
        <v>9629</v>
      </c>
      <c r="F4193" t="str">
        <f>"7604107322"</f>
        <v>7604107322</v>
      </c>
      <c r="G4193" t="s">
        <v>10823</v>
      </c>
      <c r="H4193" t="s">
        <v>5820</v>
      </c>
      <c r="I4193" t="s">
        <v>22</v>
      </c>
      <c r="J4193">
        <v>92069</v>
      </c>
      <c r="K4193">
        <v>3020</v>
      </c>
      <c r="L4193" t="s">
        <v>23</v>
      </c>
      <c r="M4193" t="s">
        <v>10823</v>
      </c>
      <c r="N4193" t="s">
        <v>5820</v>
      </c>
      <c r="O4193" t="s">
        <v>22</v>
      </c>
      <c r="P4193">
        <v>92069</v>
      </c>
      <c r="Q4193">
        <v>3020</v>
      </c>
      <c r="R4193" t="s">
        <v>23</v>
      </c>
      <c r="S4193" s="1" t="s">
        <v>34218</v>
      </c>
    </row>
    <row r="4194" spans="1:19" x14ac:dyDescent="0.25">
      <c r="A4194">
        <v>101325449</v>
      </c>
      <c r="B4194" t="s">
        <v>10824</v>
      </c>
      <c r="C4194" t="s">
        <v>1069</v>
      </c>
      <c r="F4194" t="str">
        <f>"6104901469"</f>
        <v>6104901469</v>
      </c>
      <c r="G4194" t="s">
        <v>10825</v>
      </c>
      <c r="H4194" t="s">
        <v>10826</v>
      </c>
      <c r="I4194" t="s">
        <v>33</v>
      </c>
      <c r="J4194">
        <v>19015</v>
      </c>
      <c r="K4194">
        <v>2021</v>
      </c>
      <c r="L4194" t="s">
        <v>23</v>
      </c>
      <c r="M4194" t="s">
        <v>10825</v>
      </c>
      <c r="N4194" t="s">
        <v>10826</v>
      </c>
      <c r="O4194" t="s">
        <v>33</v>
      </c>
      <c r="P4194">
        <v>19015</v>
      </c>
      <c r="Q4194">
        <v>2021</v>
      </c>
      <c r="R4194" t="s">
        <v>23</v>
      </c>
      <c r="S4194" s="1" t="s">
        <v>34218</v>
      </c>
    </row>
    <row r="4195" spans="1:19" x14ac:dyDescent="0.25">
      <c r="A4195">
        <v>101481021</v>
      </c>
      <c r="B4195" t="s">
        <v>10827</v>
      </c>
      <c r="C4195" t="s">
        <v>247</v>
      </c>
      <c r="F4195" t="str">
        <f>"8046394454"</f>
        <v>8046394454</v>
      </c>
      <c r="G4195" t="s">
        <v>10828</v>
      </c>
      <c r="H4195" t="s">
        <v>5471</v>
      </c>
      <c r="I4195" t="s">
        <v>255</v>
      </c>
      <c r="J4195">
        <v>23112</v>
      </c>
      <c r="K4195">
        <v>2035</v>
      </c>
      <c r="L4195" t="s">
        <v>23</v>
      </c>
      <c r="M4195" t="s">
        <v>10828</v>
      </c>
      <c r="N4195" t="s">
        <v>5471</v>
      </c>
      <c r="O4195" t="s">
        <v>255</v>
      </c>
      <c r="P4195">
        <v>23112</v>
      </c>
      <c r="Q4195">
        <v>2035</v>
      </c>
      <c r="R4195" t="s">
        <v>23</v>
      </c>
      <c r="S4195" s="1" t="s">
        <v>34218</v>
      </c>
    </row>
    <row r="4196" spans="1:19" x14ac:dyDescent="0.25">
      <c r="A4196">
        <v>101177043</v>
      </c>
      <c r="B4196" t="s">
        <v>10829</v>
      </c>
      <c r="C4196" t="s">
        <v>10830</v>
      </c>
      <c r="F4196" t="str">
        <f>"5105551212"</f>
        <v>5105551212</v>
      </c>
      <c r="G4196" t="s">
        <v>10831</v>
      </c>
      <c r="H4196" t="s">
        <v>4239</v>
      </c>
      <c r="I4196" t="s">
        <v>52</v>
      </c>
      <c r="J4196">
        <v>32162</v>
      </c>
      <c r="K4196">
        <v>7606</v>
      </c>
      <c r="L4196" t="s">
        <v>23</v>
      </c>
      <c r="M4196" t="s">
        <v>10831</v>
      </c>
      <c r="N4196" t="s">
        <v>4239</v>
      </c>
      <c r="O4196" t="s">
        <v>52</v>
      </c>
      <c r="P4196">
        <v>32162</v>
      </c>
      <c r="Q4196">
        <v>7606</v>
      </c>
      <c r="R4196" t="s">
        <v>23</v>
      </c>
      <c r="S4196" s="1" t="s">
        <v>34218</v>
      </c>
    </row>
    <row r="4197" spans="1:19" x14ac:dyDescent="0.25">
      <c r="A4197">
        <v>100721248</v>
      </c>
      <c r="B4197" t="s">
        <v>10832</v>
      </c>
      <c r="C4197" t="s">
        <v>1865</v>
      </c>
      <c r="G4197" t="s">
        <v>10833</v>
      </c>
      <c r="H4197" t="s">
        <v>6831</v>
      </c>
      <c r="I4197" t="s">
        <v>22</v>
      </c>
      <c r="J4197">
        <v>95448</v>
      </c>
      <c r="K4197">
        <v>9647</v>
      </c>
      <c r="L4197" t="s">
        <v>23</v>
      </c>
      <c r="M4197" t="s">
        <v>10833</v>
      </c>
      <c r="N4197" t="s">
        <v>6831</v>
      </c>
      <c r="O4197" t="s">
        <v>22</v>
      </c>
      <c r="P4197">
        <v>95448</v>
      </c>
      <c r="Q4197">
        <v>9647</v>
      </c>
      <c r="R4197" t="s">
        <v>23</v>
      </c>
      <c r="S4197" s="1" t="s">
        <v>34218</v>
      </c>
    </row>
    <row r="4198" spans="1:19" x14ac:dyDescent="0.25">
      <c r="A4198">
        <v>100723287</v>
      </c>
      <c r="B4198" t="s">
        <v>858</v>
      </c>
      <c r="C4198" t="s">
        <v>6818</v>
      </c>
      <c r="G4198" t="s">
        <v>10834</v>
      </c>
      <c r="H4198" t="s">
        <v>10835</v>
      </c>
      <c r="I4198" t="s">
        <v>22</v>
      </c>
      <c r="J4198">
        <v>91775</v>
      </c>
      <c r="K4198">
        <v>1308</v>
      </c>
      <c r="L4198" t="s">
        <v>23</v>
      </c>
      <c r="M4198" t="s">
        <v>10834</v>
      </c>
      <c r="N4198" t="s">
        <v>10835</v>
      </c>
      <c r="O4198" t="s">
        <v>22</v>
      </c>
      <c r="P4198">
        <v>91775</v>
      </c>
      <c r="Q4198">
        <v>1308</v>
      </c>
      <c r="R4198" t="s">
        <v>23</v>
      </c>
      <c r="S4198" s="1" t="s">
        <v>34218</v>
      </c>
    </row>
    <row r="4199" spans="1:19" x14ac:dyDescent="0.25">
      <c r="A4199">
        <v>100727354</v>
      </c>
      <c r="B4199" t="s">
        <v>10836</v>
      </c>
      <c r="C4199" t="s">
        <v>158</v>
      </c>
      <c r="G4199" t="s">
        <v>10837</v>
      </c>
      <c r="H4199" t="s">
        <v>6668</v>
      </c>
      <c r="I4199" t="s">
        <v>140</v>
      </c>
      <c r="J4199">
        <v>48126</v>
      </c>
      <c r="K4199">
        <v>5011</v>
      </c>
      <c r="L4199" t="s">
        <v>23</v>
      </c>
      <c r="M4199" t="s">
        <v>10837</v>
      </c>
      <c r="N4199" t="s">
        <v>6668</v>
      </c>
      <c r="O4199" t="s">
        <v>140</v>
      </c>
      <c r="P4199">
        <v>48126</v>
      </c>
      <c r="Q4199">
        <v>5011</v>
      </c>
      <c r="R4199" t="s">
        <v>23</v>
      </c>
      <c r="S4199" s="1" t="s">
        <v>34218</v>
      </c>
    </row>
    <row r="4200" spans="1:19" x14ac:dyDescent="0.25">
      <c r="A4200">
        <v>100727295</v>
      </c>
      <c r="B4200" t="s">
        <v>10838</v>
      </c>
      <c r="C4200" t="s">
        <v>5507</v>
      </c>
      <c r="F4200" t="str">
        <f>"9406274773"</f>
        <v>9406274773</v>
      </c>
      <c r="G4200" t="s">
        <v>10839</v>
      </c>
      <c r="H4200" t="s">
        <v>10840</v>
      </c>
      <c r="I4200" t="s">
        <v>38</v>
      </c>
      <c r="J4200">
        <v>76078</v>
      </c>
      <c r="K4200">
        <v>2602</v>
      </c>
      <c r="L4200" t="s">
        <v>23</v>
      </c>
      <c r="M4200" t="s">
        <v>10839</v>
      </c>
      <c r="N4200" t="s">
        <v>10840</v>
      </c>
      <c r="O4200" t="s">
        <v>38</v>
      </c>
      <c r="P4200">
        <v>76078</v>
      </c>
      <c r="Q4200">
        <v>2602</v>
      </c>
      <c r="R4200" t="s">
        <v>23</v>
      </c>
      <c r="S4200" s="1" t="s">
        <v>34218</v>
      </c>
    </row>
    <row r="4201" spans="1:19" x14ac:dyDescent="0.25">
      <c r="A4201">
        <v>100727502</v>
      </c>
      <c r="B4201" t="s">
        <v>10841</v>
      </c>
      <c r="C4201" t="s">
        <v>1069</v>
      </c>
      <c r="G4201" t="s">
        <v>10842</v>
      </c>
      <c r="H4201" t="s">
        <v>1857</v>
      </c>
      <c r="I4201" t="s">
        <v>702</v>
      </c>
      <c r="J4201">
        <v>89509</v>
      </c>
      <c r="K4201">
        <v>2405</v>
      </c>
      <c r="L4201" t="s">
        <v>23</v>
      </c>
      <c r="M4201" t="s">
        <v>10842</v>
      </c>
      <c r="N4201" t="s">
        <v>1857</v>
      </c>
      <c r="O4201" t="s">
        <v>702</v>
      </c>
      <c r="P4201">
        <v>89509</v>
      </c>
      <c r="Q4201">
        <v>2405</v>
      </c>
      <c r="R4201" t="s">
        <v>23</v>
      </c>
      <c r="S4201" s="1" t="s">
        <v>34218</v>
      </c>
    </row>
    <row r="4202" spans="1:19" x14ac:dyDescent="0.25">
      <c r="A4202">
        <v>100726768</v>
      </c>
      <c r="B4202" t="s">
        <v>10843</v>
      </c>
      <c r="C4202" t="s">
        <v>490</v>
      </c>
      <c r="G4202" t="s">
        <v>10844</v>
      </c>
      <c r="H4202" t="s">
        <v>10845</v>
      </c>
      <c r="I4202" t="s">
        <v>33</v>
      </c>
      <c r="J4202">
        <v>17024</v>
      </c>
      <c r="K4202">
        <v>9362</v>
      </c>
      <c r="L4202" t="s">
        <v>23</v>
      </c>
      <c r="M4202" t="s">
        <v>10844</v>
      </c>
      <c r="N4202" t="s">
        <v>10845</v>
      </c>
      <c r="O4202" t="s">
        <v>33</v>
      </c>
      <c r="P4202">
        <v>17024</v>
      </c>
      <c r="Q4202">
        <v>9362</v>
      </c>
      <c r="R4202" t="s">
        <v>23</v>
      </c>
      <c r="S4202" s="1" t="s">
        <v>34218</v>
      </c>
    </row>
    <row r="4203" spans="1:19" x14ac:dyDescent="0.25">
      <c r="A4203">
        <v>100728007</v>
      </c>
      <c r="B4203" t="s">
        <v>3089</v>
      </c>
      <c r="C4203" t="s">
        <v>10665</v>
      </c>
      <c r="G4203" t="s">
        <v>10846</v>
      </c>
      <c r="H4203" t="s">
        <v>198</v>
      </c>
      <c r="I4203" t="s">
        <v>22</v>
      </c>
      <c r="J4203">
        <v>92101</v>
      </c>
      <c r="K4203">
        <v>7166</v>
      </c>
      <c r="L4203" t="s">
        <v>23</v>
      </c>
      <c r="M4203" t="s">
        <v>10846</v>
      </c>
      <c r="N4203" t="s">
        <v>198</v>
      </c>
      <c r="O4203" t="s">
        <v>22</v>
      </c>
      <c r="P4203">
        <v>92101</v>
      </c>
      <c r="Q4203">
        <v>7166</v>
      </c>
      <c r="R4203" t="s">
        <v>23</v>
      </c>
      <c r="S4203" s="1" t="s">
        <v>34218</v>
      </c>
    </row>
    <row r="4204" spans="1:19" x14ac:dyDescent="0.25">
      <c r="A4204">
        <v>100729420</v>
      </c>
      <c r="B4204" t="s">
        <v>10847</v>
      </c>
      <c r="C4204" t="s">
        <v>466</v>
      </c>
      <c r="G4204" t="s">
        <v>10848</v>
      </c>
      <c r="H4204" t="s">
        <v>10849</v>
      </c>
      <c r="I4204" t="s">
        <v>639</v>
      </c>
      <c r="J4204">
        <v>87901</v>
      </c>
      <c r="K4204">
        <v>1838</v>
      </c>
      <c r="L4204" t="s">
        <v>23</v>
      </c>
      <c r="M4204" t="s">
        <v>10848</v>
      </c>
      <c r="N4204" t="s">
        <v>10849</v>
      </c>
      <c r="O4204" t="s">
        <v>639</v>
      </c>
      <c r="P4204">
        <v>87901</v>
      </c>
      <c r="Q4204">
        <v>1838</v>
      </c>
      <c r="R4204" t="s">
        <v>23</v>
      </c>
      <c r="S4204" s="1" t="s">
        <v>34218</v>
      </c>
    </row>
    <row r="4205" spans="1:19" x14ac:dyDescent="0.25">
      <c r="A4205">
        <v>100798626</v>
      </c>
      <c r="B4205" t="s">
        <v>10850</v>
      </c>
      <c r="C4205" t="s">
        <v>1533</v>
      </c>
      <c r="G4205" t="s">
        <v>10851</v>
      </c>
      <c r="H4205" t="s">
        <v>3689</v>
      </c>
      <c r="I4205" t="s">
        <v>250</v>
      </c>
      <c r="J4205">
        <v>7012</v>
      </c>
      <c r="K4205">
        <v>1639</v>
      </c>
      <c r="L4205" t="s">
        <v>23</v>
      </c>
      <c r="M4205" t="s">
        <v>10851</v>
      </c>
      <c r="N4205" t="s">
        <v>3689</v>
      </c>
      <c r="O4205" t="s">
        <v>250</v>
      </c>
      <c r="P4205">
        <v>7012</v>
      </c>
      <c r="Q4205">
        <v>1639</v>
      </c>
      <c r="R4205" t="s">
        <v>23</v>
      </c>
      <c r="S4205" s="1" t="s">
        <v>34218</v>
      </c>
    </row>
    <row r="4206" spans="1:19" x14ac:dyDescent="0.25">
      <c r="A4206">
        <v>100805046</v>
      </c>
      <c r="B4206" t="s">
        <v>10852</v>
      </c>
      <c r="C4206" t="s">
        <v>10853</v>
      </c>
      <c r="G4206" t="s">
        <v>10854</v>
      </c>
      <c r="H4206" t="s">
        <v>1390</v>
      </c>
      <c r="I4206" t="s">
        <v>250</v>
      </c>
      <c r="J4206">
        <v>7109</v>
      </c>
      <c r="K4206">
        <v>2435</v>
      </c>
      <c r="L4206" t="s">
        <v>23</v>
      </c>
      <c r="M4206" t="s">
        <v>10854</v>
      </c>
      <c r="N4206" t="s">
        <v>1390</v>
      </c>
      <c r="O4206" t="s">
        <v>250</v>
      </c>
      <c r="P4206">
        <v>7109</v>
      </c>
      <c r="Q4206">
        <v>2435</v>
      </c>
      <c r="R4206" t="s">
        <v>23</v>
      </c>
      <c r="S4206" s="1" t="s">
        <v>34218</v>
      </c>
    </row>
    <row r="4207" spans="1:19" x14ac:dyDescent="0.25">
      <c r="A4207">
        <v>100804150</v>
      </c>
      <c r="B4207" t="s">
        <v>10855</v>
      </c>
      <c r="C4207" t="s">
        <v>382</v>
      </c>
      <c r="G4207" t="s">
        <v>10856</v>
      </c>
      <c r="H4207" t="s">
        <v>5644</v>
      </c>
      <c r="I4207" t="s">
        <v>370</v>
      </c>
      <c r="J4207">
        <v>68118</v>
      </c>
      <c r="K4207">
        <v>2889</v>
      </c>
      <c r="L4207" t="s">
        <v>23</v>
      </c>
      <c r="M4207" t="s">
        <v>10856</v>
      </c>
      <c r="N4207" t="s">
        <v>5644</v>
      </c>
      <c r="O4207" t="s">
        <v>370</v>
      </c>
      <c r="P4207">
        <v>68118</v>
      </c>
      <c r="Q4207">
        <v>2889</v>
      </c>
      <c r="R4207" t="s">
        <v>23</v>
      </c>
      <c r="S4207" s="1" t="s">
        <v>34218</v>
      </c>
    </row>
    <row r="4208" spans="1:19" x14ac:dyDescent="0.25">
      <c r="A4208">
        <v>100804279</v>
      </c>
      <c r="B4208" t="s">
        <v>812</v>
      </c>
      <c r="C4208" t="s">
        <v>10857</v>
      </c>
      <c r="G4208" t="s">
        <v>10858</v>
      </c>
      <c r="H4208" t="s">
        <v>1390</v>
      </c>
      <c r="I4208" t="s">
        <v>135</v>
      </c>
      <c r="J4208">
        <v>62220</v>
      </c>
      <c r="K4208">
        <v>2338</v>
      </c>
      <c r="L4208" t="s">
        <v>23</v>
      </c>
      <c r="M4208" t="s">
        <v>10858</v>
      </c>
      <c r="N4208" t="s">
        <v>1390</v>
      </c>
      <c r="O4208" t="s">
        <v>135</v>
      </c>
      <c r="P4208">
        <v>62220</v>
      </c>
      <c r="Q4208">
        <v>2338</v>
      </c>
      <c r="R4208" t="s">
        <v>23</v>
      </c>
      <c r="S4208" s="1" t="s">
        <v>34218</v>
      </c>
    </row>
    <row r="4209" spans="1:19" x14ac:dyDescent="0.25">
      <c r="A4209">
        <v>100811880</v>
      </c>
      <c r="B4209" t="s">
        <v>10859</v>
      </c>
      <c r="C4209" t="s">
        <v>3993</v>
      </c>
      <c r="G4209" t="s">
        <v>10860</v>
      </c>
      <c r="H4209" t="s">
        <v>1604</v>
      </c>
      <c r="I4209" t="s">
        <v>1482</v>
      </c>
      <c r="J4209">
        <v>29229</v>
      </c>
      <c r="K4209">
        <v>4329</v>
      </c>
      <c r="L4209" t="s">
        <v>23</v>
      </c>
      <c r="M4209" t="s">
        <v>10860</v>
      </c>
      <c r="N4209" t="s">
        <v>1604</v>
      </c>
      <c r="O4209" t="s">
        <v>1482</v>
      </c>
      <c r="P4209">
        <v>29229</v>
      </c>
      <c r="Q4209">
        <v>4329</v>
      </c>
      <c r="R4209" t="s">
        <v>23</v>
      </c>
      <c r="S4209" s="1" t="s">
        <v>34218</v>
      </c>
    </row>
    <row r="4210" spans="1:19" x14ac:dyDescent="0.25">
      <c r="A4210">
        <v>100801440</v>
      </c>
      <c r="B4210" t="s">
        <v>10861</v>
      </c>
      <c r="C4210" t="s">
        <v>5678</v>
      </c>
      <c r="G4210" t="s">
        <v>10862</v>
      </c>
      <c r="H4210" t="s">
        <v>591</v>
      </c>
      <c r="I4210" t="s">
        <v>84</v>
      </c>
      <c r="J4210">
        <v>98229</v>
      </c>
      <c r="K4210">
        <v>8946</v>
      </c>
      <c r="L4210" t="s">
        <v>23</v>
      </c>
      <c r="M4210" t="s">
        <v>10862</v>
      </c>
      <c r="N4210" t="s">
        <v>591</v>
      </c>
      <c r="O4210" t="s">
        <v>84</v>
      </c>
      <c r="P4210">
        <v>98229</v>
      </c>
      <c r="Q4210">
        <v>8946</v>
      </c>
      <c r="R4210" t="s">
        <v>23</v>
      </c>
      <c r="S4210" s="1" t="s">
        <v>34218</v>
      </c>
    </row>
    <row r="4211" spans="1:19" x14ac:dyDescent="0.25">
      <c r="A4211">
        <v>100809501</v>
      </c>
      <c r="B4211" t="s">
        <v>2531</v>
      </c>
      <c r="C4211" t="s">
        <v>1933</v>
      </c>
      <c r="G4211" t="s">
        <v>10863</v>
      </c>
      <c r="H4211" t="s">
        <v>1614</v>
      </c>
      <c r="I4211" t="s">
        <v>22</v>
      </c>
      <c r="J4211">
        <v>92056</v>
      </c>
      <c r="K4211">
        <v>4168</v>
      </c>
      <c r="L4211" t="s">
        <v>23</v>
      </c>
      <c r="M4211" t="s">
        <v>10863</v>
      </c>
      <c r="N4211" t="s">
        <v>1614</v>
      </c>
      <c r="O4211" t="s">
        <v>22</v>
      </c>
      <c r="P4211">
        <v>92056</v>
      </c>
      <c r="Q4211">
        <v>4168</v>
      </c>
      <c r="R4211" t="s">
        <v>23</v>
      </c>
      <c r="S4211" s="1" t="s">
        <v>34218</v>
      </c>
    </row>
    <row r="4212" spans="1:19" x14ac:dyDescent="0.25">
      <c r="A4212">
        <v>100811336</v>
      </c>
      <c r="B4212" t="s">
        <v>10864</v>
      </c>
      <c r="C4212" t="s">
        <v>7162</v>
      </c>
      <c r="G4212" t="s">
        <v>10865</v>
      </c>
      <c r="H4212" t="s">
        <v>10866</v>
      </c>
      <c r="I4212" t="s">
        <v>187</v>
      </c>
      <c r="J4212">
        <v>56001</v>
      </c>
      <c r="K4212">
        <v>5751</v>
      </c>
      <c r="L4212" t="s">
        <v>23</v>
      </c>
      <c r="M4212" t="s">
        <v>10865</v>
      </c>
      <c r="N4212" t="s">
        <v>10866</v>
      </c>
      <c r="O4212" t="s">
        <v>187</v>
      </c>
      <c r="P4212">
        <v>56001</v>
      </c>
      <c r="Q4212">
        <v>5751</v>
      </c>
      <c r="R4212" t="s">
        <v>23</v>
      </c>
      <c r="S4212" s="1" t="s">
        <v>34218</v>
      </c>
    </row>
    <row r="4213" spans="1:19" x14ac:dyDescent="0.25">
      <c r="A4213">
        <v>100813145</v>
      </c>
      <c r="B4213" t="s">
        <v>10867</v>
      </c>
      <c r="C4213" t="s">
        <v>10868</v>
      </c>
      <c r="G4213" t="s">
        <v>10869</v>
      </c>
      <c r="H4213" t="s">
        <v>1402</v>
      </c>
      <c r="I4213" t="s">
        <v>38</v>
      </c>
      <c r="J4213">
        <v>77043</v>
      </c>
      <c r="L4213" t="s">
        <v>23</v>
      </c>
      <c r="M4213" t="s">
        <v>10869</v>
      </c>
      <c r="N4213" t="s">
        <v>1402</v>
      </c>
      <c r="O4213" t="s">
        <v>38</v>
      </c>
      <c r="P4213">
        <v>77043</v>
      </c>
      <c r="R4213" t="s">
        <v>23</v>
      </c>
      <c r="S4213" s="1" t="s">
        <v>34218</v>
      </c>
    </row>
    <row r="4214" spans="1:19" x14ac:dyDescent="0.25">
      <c r="A4214">
        <v>100630823</v>
      </c>
      <c r="B4214" t="s">
        <v>10485</v>
      </c>
      <c r="C4214" t="s">
        <v>803</v>
      </c>
      <c r="G4214" t="s">
        <v>10870</v>
      </c>
      <c r="H4214" t="s">
        <v>3098</v>
      </c>
      <c r="I4214" t="s">
        <v>161</v>
      </c>
      <c r="J4214">
        <v>6612</v>
      </c>
      <c r="K4214">
        <v>1416</v>
      </c>
      <c r="L4214" t="s">
        <v>23</v>
      </c>
      <c r="M4214" t="s">
        <v>10870</v>
      </c>
      <c r="N4214" t="s">
        <v>3098</v>
      </c>
      <c r="O4214" t="s">
        <v>161</v>
      </c>
      <c r="P4214">
        <v>6612</v>
      </c>
      <c r="Q4214">
        <v>1416</v>
      </c>
      <c r="R4214" t="s">
        <v>23</v>
      </c>
      <c r="S4214" s="1" t="s">
        <v>34218</v>
      </c>
    </row>
    <row r="4215" spans="1:19" x14ac:dyDescent="0.25">
      <c r="A4215">
        <v>101284896</v>
      </c>
      <c r="B4215" t="s">
        <v>10871</v>
      </c>
      <c r="C4215" t="s">
        <v>350</v>
      </c>
      <c r="G4215" t="s">
        <v>10872</v>
      </c>
      <c r="H4215" t="s">
        <v>450</v>
      </c>
      <c r="I4215" t="s">
        <v>191</v>
      </c>
      <c r="J4215" t="s">
        <v>10873</v>
      </c>
      <c r="K4215">
        <v>2702</v>
      </c>
      <c r="L4215" t="s">
        <v>23</v>
      </c>
      <c r="M4215" t="s">
        <v>10872</v>
      </c>
      <c r="N4215" t="s">
        <v>450</v>
      </c>
      <c r="O4215" t="s">
        <v>191</v>
      </c>
      <c r="P4215" t="s">
        <v>10873</v>
      </c>
      <c r="Q4215">
        <v>2702</v>
      </c>
      <c r="R4215" t="s">
        <v>23</v>
      </c>
      <c r="S4215" s="1" t="s">
        <v>34218</v>
      </c>
    </row>
    <row r="4216" spans="1:19" x14ac:dyDescent="0.25">
      <c r="A4216">
        <v>100632361</v>
      </c>
      <c r="B4216" t="s">
        <v>4734</v>
      </c>
      <c r="C4216" t="s">
        <v>7521</v>
      </c>
      <c r="F4216" t="str">
        <f>"4254300733"</f>
        <v>4254300733</v>
      </c>
      <c r="G4216" t="s">
        <v>10874</v>
      </c>
      <c r="H4216" t="s">
        <v>1477</v>
      </c>
      <c r="I4216" t="s">
        <v>84</v>
      </c>
      <c r="J4216">
        <v>98058</v>
      </c>
      <c r="K4216">
        <v>3838</v>
      </c>
      <c r="L4216" t="s">
        <v>23</v>
      </c>
      <c r="M4216" t="s">
        <v>10874</v>
      </c>
      <c r="N4216" t="s">
        <v>1477</v>
      </c>
      <c r="O4216" t="s">
        <v>84</v>
      </c>
      <c r="P4216">
        <v>98058</v>
      </c>
      <c r="Q4216">
        <v>3838</v>
      </c>
      <c r="R4216" t="s">
        <v>23</v>
      </c>
      <c r="S4216" s="1" t="s">
        <v>34218</v>
      </c>
    </row>
    <row r="4217" spans="1:19" x14ac:dyDescent="0.25">
      <c r="A4217">
        <v>100628411</v>
      </c>
      <c r="B4217" t="s">
        <v>10875</v>
      </c>
      <c r="C4217" t="s">
        <v>846</v>
      </c>
      <c r="F4217" t="str">
        <f>"5413435228"</f>
        <v>5413435228</v>
      </c>
      <c r="G4217" t="s">
        <v>10876</v>
      </c>
      <c r="H4217" t="s">
        <v>1452</v>
      </c>
      <c r="I4217" t="s">
        <v>43</v>
      </c>
      <c r="J4217">
        <v>97402</v>
      </c>
      <c r="K4217">
        <v>3511</v>
      </c>
      <c r="L4217" t="s">
        <v>23</v>
      </c>
      <c r="M4217" t="s">
        <v>10876</v>
      </c>
      <c r="N4217" t="s">
        <v>1452</v>
      </c>
      <c r="O4217" t="s">
        <v>43</v>
      </c>
      <c r="P4217">
        <v>97402</v>
      </c>
      <c r="Q4217">
        <v>3511</v>
      </c>
      <c r="R4217" t="s">
        <v>23</v>
      </c>
      <c r="S4217" s="1" t="s">
        <v>34218</v>
      </c>
    </row>
    <row r="4218" spans="1:19" x14ac:dyDescent="0.25">
      <c r="A4218">
        <v>100638671</v>
      </c>
      <c r="B4218" t="s">
        <v>10877</v>
      </c>
      <c r="C4218" t="s">
        <v>1506</v>
      </c>
      <c r="F4218" t="str">
        <f>"2133092270"</f>
        <v>2133092270</v>
      </c>
      <c r="G4218" t="s">
        <v>10878</v>
      </c>
      <c r="H4218" t="s">
        <v>299</v>
      </c>
      <c r="I4218" t="s">
        <v>22</v>
      </c>
      <c r="J4218">
        <v>90068</v>
      </c>
      <c r="K4218">
        <v>2713</v>
      </c>
      <c r="L4218" t="s">
        <v>23</v>
      </c>
      <c r="M4218" t="s">
        <v>10878</v>
      </c>
      <c r="N4218" t="s">
        <v>299</v>
      </c>
      <c r="O4218" t="s">
        <v>22</v>
      </c>
      <c r="P4218">
        <v>90068</v>
      </c>
      <c r="Q4218">
        <v>2713</v>
      </c>
      <c r="R4218" t="s">
        <v>23</v>
      </c>
      <c r="S4218" s="1" t="s">
        <v>34218</v>
      </c>
    </row>
    <row r="4219" spans="1:19" x14ac:dyDescent="0.25">
      <c r="A4219">
        <v>100634485</v>
      </c>
      <c r="B4219" t="s">
        <v>10879</v>
      </c>
      <c r="C4219" t="s">
        <v>1506</v>
      </c>
      <c r="G4219" t="s">
        <v>10880</v>
      </c>
      <c r="H4219" t="s">
        <v>10881</v>
      </c>
      <c r="I4219" t="s">
        <v>117</v>
      </c>
      <c r="J4219">
        <v>12075</v>
      </c>
      <c r="K4219">
        <v>1601</v>
      </c>
      <c r="L4219" t="s">
        <v>23</v>
      </c>
      <c r="M4219" t="s">
        <v>10880</v>
      </c>
      <c r="N4219" t="s">
        <v>10881</v>
      </c>
      <c r="O4219" t="s">
        <v>117</v>
      </c>
      <c r="P4219">
        <v>12075</v>
      </c>
      <c r="Q4219">
        <v>1601</v>
      </c>
      <c r="R4219" t="s">
        <v>23</v>
      </c>
      <c r="S4219" s="1" t="s">
        <v>34218</v>
      </c>
    </row>
    <row r="4220" spans="1:19" x14ac:dyDescent="0.25">
      <c r="A4220">
        <v>100642230</v>
      </c>
      <c r="B4220" t="s">
        <v>7693</v>
      </c>
      <c r="C4220" t="s">
        <v>8613</v>
      </c>
      <c r="G4220" t="s">
        <v>10882</v>
      </c>
      <c r="H4220" t="s">
        <v>6438</v>
      </c>
      <c r="I4220" t="s">
        <v>178</v>
      </c>
      <c r="J4220">
        <v>44514</v>
      </c>
      <c r="K4220">
        <v>1718</v>
      </c>
      <c r="L4220" t="s">
        <v>23</v>
      </c>
      <c r="M4220" t="s">
        <v>10882</v>
      </c>
      <c r="N4220" t="s">
        <v>6438</v>
      </c>
      <c r="O4220" t="s">
        <v>178</v>
      </c>
      <c r="P4220">
        <v>44514</v>
      </c>
      <c r="Q4220">
        <v>1718</v>
      </c>
      <c r="R4220" t="s">
        <v>23</v>
      </c>
      <c r="S4220" s="1" t="s">
        <v>34218</v>
      </c>
    </row>
    <row r="4221" spans="1:19" x14ac:dyDescent="0.25">
      <c r="A4221">
        <v>100643754</v>
      </c>
      <c r="B4221" t="s">
        <v>10883</v>
      </c>
      <c r="C4221" t="s">
        <v>1036</v>
      </c>
      <c r="G4221" t="s">
        <v>10884</v>
      </c>
      <c r="H4221" t="s">
        <v>3198</v>
      </c>
      <c r="I4221" t="s">
        <v>22</v>
      </c>
      <c r="J4221">
        <v>94523</v>
      </c>
      <c r="K4221">
        <v>2736</v>
      </c>
      <c r="L4221" t="s">
        <v>23</v>
      </c>
      <c r="M4221" t="s">
        <v>10884</v>
      </c>
      <c r="N4221" t="s">
        <v>3198</v>
      </c>
      <c r="O4221" t="s">
        <v>22</v>
      </c>
      <c r="P4221">
        <v>94523</v>
      </c>
      <c r="Q4221">
        <v>2736</v>
      </c>
      <c r="R4221" t="s">
        <v>23</v>
      </c>
      <c r="S4221" s="1" t="s">
        <v>34218</v>
      </c>
    </row>
    <row r="4222" spans="1:19" x14ac:dyDescent="0.25">
      <c r="A4222">
        <v>100644950</v>
      </c>
      <c r="B4222" t="s">
        <v>769</v>
      </c>
      <c r="C4222" t="s">
        <v>803</v>
      </c>
      <c r="G4222" t="s">
        <v>10885</v>
      </c>
      <c r="H4222" t="s">
        <v>5900</v>
      </c>
      <c r="I4222" t="s">
        <v>191</v>
      </c>
      <c r="J4222">
        <v>4530</v>
      </c>
      <c r="K4222">
        <v>1635</v>
      </c>
      <c r="L4222" t="s">
        <v>23</v>
      </c>
      <c r="M4222" t="s">
        <v>10885</v>
      </c>
      <c r="N4222" t="s">
        <v>5900</v>
      </c>
      <c r="O4222" t="s">
        <v>191</v>
      </c>
      <c r="P4222">
        <v>4530</v>
      </c>
      <c r="Q4222">
        <v>1635</v>
      </c>
      <c r="R4222" t="s">
        <v>23</v>
      </c>
      <c r="S4222" s="1" t="s">
        <v>34218</v>
      </c>
    </row>
    <row r="4223" spans="1:19" x14ac:dyDescent="0.25">
      <c r="A4223">
        <v>100647328</v>
      </c>
      <c r="B4223" t="s">
        <v>5449</v>
      </c>
      <c r="C4223" t="s">
        <v>1959</v>
      </c>
      <c r="G4223" t="s">
        <v>10886</v>
      </c>
      <c r="H4223" t="s">
        <v>504</v>
      </c>
      <c r="I4223" t="s">
        <v>117</v>
      </c>
      <c r="J4223">
        <v>13323</v>
      </c>
      <c r="K4223">
        <v>4005</v>
      </c>
      <c r="L4223" t="s">
        <v>23</v>
      </c>
      <c r="M4223" t="s">
        <v>10886</v>
      </c>
      <c r="N4223" t="s">
        <v>504</v>
      </c>
      <c r="O4223" t="s">
        <v>117</v>
      </c>
      <c r="P4223">
        <v>13323</v>
      </c>
      <c r="Q4223">
        <v>4005</v>
      </c>
      <c r="R4223" t="s">
        <v>23</v>
      </c>
      <c r="S4223" s="1" t="s">
        <v>34218</v>
      </c>
    </row>
    <row r="4224" spans="1:19" x14ac:dyDescent="0.25">
      <c r="A4224">
        <v>100644162</v>
      </c>
      <c r="B4224" t="s">
        <v>8610</v>
      </c>
      <c r="C4224" t="s">
        <v>10887</v>
      </c>
      <c r="G4224" t="s">
        <v>10888</v>
      </c>
      <c r="H4224" t="s">
        <v>10889</v>
      </c>
      <c r="I4224" t="s">
        <v>57</v>
      </c>
      <c r="J4224">
        <v>46580</v>
      </c>
      <c r="K4224">
        <v>5061</v>
      </c>
      <c r="L4224" t="s">
        <v>23</v>
      </c>
      <c r="M4224" t="s">
        <v>10888</v>
      </c>
      <c r="N4224" t="s">
        <v>10889</v>
      </c>
      <c r="O4224" t="s">
        <v>57</v>
      </c>
      <c r="P4224">
        <v>46580</v>
      </c>
      <c r="Q4224">
        <v>5061</v>
      </c>
      <c r="R4224" t="s">
        <v>23</v>
      </c>
      <c r="S4224" s="1" t="s">
        <v>34218</v>
      </c>
    </row>
    <row r="4225" spans="1:19" x14ac:dyDescent="0.25">
      <c r="A4225">
        <v>100650589</v>
      </c>
      <c r="B4225" t="s">
        <v>10890</v>
      </c>
      <c r="C4225" t="s">
        <v>49</v>
      </c>
      <c r="G4225" t="s">
        <v>10891</v>
      </c>
      <c r="H4225" t="s">
        <v>1151</v>
      </c>
      <c r="I4225" t="s">
        <v>43</v>
      </c>
      <c r="J4225">
        <v>97080</v>
      </c>
      <c r="K4225">
        <v>7175</v>
      </c>
      <c r="L4225" t="s">
        <v>23</v>
      </c>
      <c r="M4225" t="s">
        <v>10891</v>
      </c>
      <c r="N4225" t="s">
        <v>1151</v>
      </c>
      <c r="O4225" t="s">
        <v>43</v>
      </c>
      <c r="P4225">
        <v>97080</v>
      </c>
      <c r="Q4225">
        <v>7175</v>
      </c>
      <c r="R4225" t="s">
        <v>23</v>
      </c>
      <c r="S4225" s="1" t="s">
        <v>34218</v>
      </c>
    </row>
    <row r="4226" spans="1:19" x14ac:dyDescent="0.25">
      <c r="A4226">
        <v>100653614</v>
      </c>
      <c r="B4226" t="s">
        <v>3303</v>
      </c>
      <c r="C4226" t="s">
        <v>7445</v>
      </c>
      <c r="G4226" t="s">
        <v>10892</v>
      </c>
      <c r="H4226" t="s">
        <v>9867</v>
      </c>
      <c r="I4226" t="s">
        <v>38</v>
      </c>
      <c r="J4226">
        <v>75098</v>
      </c>
      <c r="K4226">
        <v>7830</v>
      </c>
      <c r="L4226" t="s">
        <v>23</v>
      </c>
      <c r="M4226" t="s">
        <v>10892</v>
      </c>
      <c r="N4226" t="s">
        <v>9867</v>
      </c>
      <c r="O4226" t="s">
        <v>38</v>
      </c>
      <c r="P4226">
        <v>75098</v>
      </c>
      <c r="Q4226">
        <v>7830</v>
      </c>
      <c r="R4226" t="s">
        <v>23</v>
      </c>
      <c r="S4226" s="1" t="s">
        <v>34218</v>
      </c>
    </row>
    <row r="4227" spans="1:19" x14ac:dyDescent="0.25">
      <c r="A4227">
        <v>100654941</v>
      </c>
      <c r="B4227" t="s">
        <v>10893</v>
      </c>
      <c r="C4227" t="s">
        <v>575</v>
      </c>
      <c r="G4227" t="s">
        <v>10894</v>
      </c>
      <c r="H4227" t="s">
        <v>10895</v>
      </c>
      <c r="I4227" t="s">
        <v>250</v>
      </c>
      <c r="J4227">
        <v>8876</v>
      </c>
      <c r="K4227">
        <v>3658</v>
      </c>
      <c r="L4227" t="s">
        <v>23</v>
      </c>
      <c r="M4227" t="s">
        <v>10894</v>
      </c>
      <c r="N4227" t="s">
        <v>10895</v>
      </c>
      <c r="O4227" t="s">
        <v>250</v>
      </c>
      <c r="P4227">
        <v>8876</v>
      </c>
      <c r="Q4227">
        <v>3658</v>
      </c>
      <c r="R4227" t="s">
        <v>23</v>
      </c>
      <c r="S4227" s="1" t="s">
        <v>34218</v>
      </c>
    </row>
    <row r="4228" spans="1:19" x14ac:dyDescent="0.25">
      <c r="A4228">
        <v>100844707</v>
      </c>
      <c r="B4228" t="s">
        <v>1164</v>
      </c>
      <c r="C4228" t="s">
        <v>10896</v>
      </c>
      <c r="G4228" t="s">
        <v>10897</v>
      </c>
      <c r="H4228" t="s">
        <v>5046</v>
      </c>
      <c r="I4228" t="s">
        <v>100</v>
      </c>
      <c r="J4228">
        <v>54241</v>
      </c>
      <c r="K4228">
        <v>1608</v>
      </c>
      <c r="L4228" t="s">
        <v>23</v>
      </c>
      <c r="M4228" t="s">
        <v>10897</v>
      </c>
      <c r="N4228" t="s">
        <v>5046</v>
      </c>
      <c r="O4228" t="s">
        <v>100</v>
      </c>
      <c r="P4228">
        <v>54241</v>
      </c>
      <c r="Q4228">
        <v>1608</v>
      </c>
      <c r="R4228" t="s">
        <v>23</v>
      </c>
      <c r="S4228" s="1" t="s">
        <v>34218</v>
      </c>
    </row>
    <row r="4229" spans="1:19" x14ac:dyDescent="0.25">
      <c r="A4229">
        <v>100847581</v>
      </c>
      <c r="B4229" t="s">
        <v>10898</v>
      </c>
      <c r="C4229" t="s">
        <v>1239</v>
      </c>
      <c r="F4229" t="str">
        <f>"5126450028"</f>
        <v>5126450028</v>
      </c>
      <c r="G4229" t="s">
        <v>10899</v>
      </c>
      <c r="H4229" t="s">
        <v>37</v>
      </c>
      <c r="I4229" t="s">
        <v>38</v>
      </c>
      <c r="J4229">
        <v>78747</v>
      </c>
      <c r="K4229">
        <v>3712</v>
      </c>
      <c r="L4229" t="s">
        <v>23</v>
      </c>
      <c r="M4229" t="s">
        <v>10899</v>
      </c>
      <c r="N4229" t="s">
        <v>37</v>
      </c>
      <c r="O4229" t="s">
        <v>38</v>
      </c>
      <c r="P4229">
        <v>78747</v>
      </c>
      <c r="Q4229">
        <v>3712</v>
      </c>
      <c r="R4229" t="s">
        <v>23</v>
      </c>
      <c r="S4229" s="1" t="s">
        <v>34218</v>
      </c>
    </row>
    <row r="4230" spans="1:19" x14ac:dyDescent="0.25">
      <c r="A4230">
        <v>100854089</v>
      </c>
      <c r="B4230" t="s">
        <v>7002</v>
      </c>
      <c r="C4230" t="s">
        <v>1043</v>
      </c>
      <c r="G4230" t="s">
        <v>10900</v>
      </c>
      <c r="H4230" t="s">
        <v>393</v>
      </c>
      <c r="I4230" t="s">
        <v>71</v>
      </c>
      <c r="J4230">
        <v>80207</v>
      </c>
      <c r="K4230">
        <v>3847</v>
      </c>
      <c r="L4230" t="s">
        <v>23</v>
      </c>
      <c r="M4230" t="s">
        <v>10900</v>
      </c>
      <c r="N4230" t="s">
        <v>393</v>
      </c>
      <c r="O4230" t="s">
        <v>71</v>
      </c>
      <c r="P4230">
        <v>80207</v>
      </c>
      <c r="Q4230">
        <v>3847</v>
      </c>
      <c r="R4230" t="s">
        <v>23</v>
      </c>
      <c r="S4230" s="1" t="s">
        <v>34218</v>
      </c>
    </row>
    <row r="4231" spans="1:19" x14ac:dyDescent="0.25">
      <c r="A4231">
        <v>100854313</v>
      </c>
      <c r="B4231" t="s">
        <v>10901</v>
      </c>
      <c r="C4231" t="s">
        <v>4502</v>
      </c>
      <c r="G4231" t="s">
        <v>10902</v>
      </c>
      <c r="H4231" t="s">
        <v>1985</v>
      </c>
      <c r="I4231" t="s">
        <v>71</v>
      </c>
      <c r="J4231">
        <v>80905</v>
      </c>
      <c r="K4231">
        <v>4229</v>
      </c>
      <c r="L4231" t="s">
        <v>23</v>
      </c>
      <c r="M4231" t="s">
        <v>10902</v>
      </c>
      <c r="N4231" t="s">
        <v>1985</v>
      </c>
      <c r="O4231" t="s">
        <v>71</v>
      </c>
      <c r="P4231">
        <v>80905</v>
      </c>
      <c r="Q4231">
        <v>4229</v>
      </c>
      <c r="R4231" t="s">
        <v>23</v>
      </c>
      <c r="S4231" s="1" t="s">
        <v>34218</v>
      </c>
    </row>
    <row r="4232" spans="1:19" x14ac:dyDescent="0.25">
      <c r="A4232">
        <v>100854423</v>
      </c>
      <c r="B4232" t="s">
        <v>10903</v>
      </c>
      <c r="C4232" t="s">
        <v>4188</v>
      </c>
      <c r="G4232" t="s">
        <v>10904</v>
      </c>
      <c r="H4232" t="s">
        <v>303</v>
      </c>
      <c r="I4232" t="s">
        <v>250</v>
      </c>
      <c r="J4232">
        <v>8527</v>
      </c>
      <c r="K4232">
        <v>1154</v>
      </c>
      <c r="L4232" t="s">
        <v>23</v>
      </c>
      <c r="M4232" t="s">
        <v>10904</v>
      </c>
      <c r="N4232" t="s">
        <v>303</v>
      </c>
      <c r="O4232" t="s">
        <v>250</v>
      </c>
      <c r="P4232">
        <v>8527</v>
      </c>
      <c r="Q4232">
        <v>1154</v>
      </c>
      <c r="R4232" t="s">
        <v>23</v>
      </c>
      <c r="S4232" s="1" t="s">
        <v>34218</v>
      </c>
    </row>
    <row r="4233" spans="1:19" x14ac:dyDescent="0.25">
      <c r="A4233">
        <v>100854469</v>
      </c>
      <c r="B4233" t="s">
        <v>10905</v>
      </c>
      <c r="C4233" t="s">
        <v>274</v>
      </c>
      <c r="G4233" t="s">
        <v>10906</v>
      </c>
      <c r="H4233" t="s">
        <v>682</v>
      </c>
      <c r="I4233" t="s">
        <v>365</v>
      </c>
      <c r="J4233">
        <v>85028</v>
      </c>
      <c r="K4233">
        <v>4311</v>
      </c>
      <c r="L4233" t="s">
        <v>23</v>
      </c>
      <c r="M4233" t="s">
        <v>10906</v>
      </c>
      <c r="N4233" t="s">
        <v>682</v>
      </c>
      <c r="O4233" t="s">
        <v>365</v>
      </c>
      <c r="P4233">
        <v>85028</v>
      </c>
      <c r="Q4233">
        <v>4311</v>
      </c>
      <c r="R4233" t="s">
        <v>23</v>
      </c>
      <c r="S4233" s="1" t="s">
        <v>34218</v>
      </c>
    </row>
    <row r="4234" spans="1:19" x14ac:dyDescent="0.25">
      <c r="A4234">
        <v>100862374</v>
      </c>
      <c r="B4234" t="s">
        <v>10907</v>
      </c>
      <c r="C4234" t="s">
        <v>10908</v>
      </c>
      <c r="G4234" t="s">
        <v>10909</v>
      </c>
      <c r="H4234" t="s">
        <v>393</v>
      </c>
      <c r="I4234" t="s">
        <v>71</v>
      </c>
      <c r="J4234">
        <v>80231</v>
      </c>
      <c r="K4234">
        <v>3362</v>
      </c>
      <c r="L4234" t="s">
        <v>23</v>
      </c>
      <c r="M4234" t="s">
        <v>10909</v>
      </c>
      <c r="N4234" t="s">
        <v>393</v>
      </c>
      <c r="O4234" t="s">
        <v>71</v>
      </c>
      <c r="P4234">
        <v>80231</v>
      </c>
      <c r="Q4234">
        <v>3362</v>
      </c>
      <c r="R4234" t="s">
        <v>23</v>
      </c>
      <c r="S4234" s="1" t="s">
        <v>34218</v>
      </c>
    </row>
    <row r="4235" spans="1:19" x14ac:dyDescent="0.25">
      <c r="A4235">
        <v>101265124</v>
      </c>
      <c r="B4235" t="s">
        <v>10910</v>
      </c>
      <c r="C4235" t="s">
        <v>5274</v>
      </c>
      <c r="H4235" t="s">
        <v>4772</v>
      </c>
      <c r="I4235" t="s">
        <v>22</v>
      </c>
      <c r="J4235">
        <v>91361</v>
      </c>
      <c r="L4235" t="s">
        <v>23</v>
      </c>
      <c r="N4235" t="s">
        <v>4772</v>
      </c>
      <c r="O4235" t="s">
        <v>22</v>
      </c>
      <c r="P4235">
        <v>91361</v>
      </c>
      <c r="R4235" t="s">
        <v>23</v>
      </c>
      <c r="S4235" s="1" t="s">
        <v>34218</v>
      </c>
    </row>
    <row r="4236" spans="1:19" x14ac:dyDescent="0.25">
      <c r="A4236">
        <v>100538868</v>
      </c>
      <c r="B4236" t="s">
        <v>10911</v>
      </c>
      <c r="C4236" t="s">
        <v>2151</v>
      </c>
      <c r="G4236" t="s">
        <v>10912</v>
      </c>
      <c r="H4236" t="s">
        <v>4326</v>
      </c>
      <c r="I4236" t="s">
        <v>22</v>
      </c>
      <c r="J4236">
        <v>90715</v>
      </c>
      <c r="K4236">
        <v>2515</v>
      </c>
      <c r="L4236" t="s">
        <v>23</v>
      </c>
      <c r="M4236" t="s">
        <v>10912</v>
      </c>
      <c r="N4236" t="s">
        <v>4326</v>
      </c>
      <c r="O4236" t="s">
        <v>22</v>
      </c>
      <c r="P4236">
        <v>90715</v>
      </c>
      <c r="Q4236">
        <v>2515</v>
      </c>
      <c r="R4236" t="s">
        <v>23</v>
      </c>
      <c r="S4236" s="1" t="s">
        <v>34218</v>
      </c>
    </row>
    <row r="4237" spans="1:19" x14ac:dyDescent="0.25">
      <c r="A4237">
        <v>100545967</v>
      </c>
      <c r="B4237" t="s">
        <v>10913</v>
      </c>
      <c r="C4237" t="s">
        <v>403</v>
      </c>
      <c r="G4237" t="s">
        <v>10914</v>
      </c>
      <c r="H4237" t="s">
        <v>5367</v>
      </c>
      <c r="I4237" t="s">
        <v>178</v>
      </c>
      <c r="J4237">
        <v>44276</v>
      </c>
      <c r="K4237">
        <v>9768</v>
      </c>
      <c r="L4237" t="s">
        <v>23</v>
      </c>
      <c r="M4237" t="s">
        <v>10914</v>
      </c>
      <c r="N4237" t="s">
        <v>5367</v>
      </c>
      <c r="O4237" t="s">
        <v>178</v>
      </c>
      <c r="P4237">
        <v>44276</v>
      </c>
      <c r="Q4237">
        <v>9768</v>
      </c>
      <c r="R4237" t="s">
        <v>23</v>
      </c>
      <c r="S4237" s="1" t="s">
        <v>34218</v>
      </c>
    </row>
    <row r="4238" spans="1:19" x14ac:dyDescent="0.25">
      <c r="A4238">
        <v>101455485</v>
      </c>
      <c r="B4238" t="s">
        <v>10915</v>
      </c>
      <c r="C4238" t="s">
        <v>10916</v>
      </c>
      <c r="H4238" t="s">
        <v>10917</v>
      </c>
      <c r="I4238" t="s">
        <v>9075</v>
      </c>
      <c r="L4238" t="s">
        <v>22</v>
      </c>
      <c r="N4238" t="s">
        <v>10917</v>
      </c>
      <c r="O4238" t="s">
        <v>9075</v>
      </c>
      <c r="R4238" t="s">
        <v>22</v>
      </c>
      <c r="S4238" s="1" t="s">
        <v>34218</v>
      </c>
    </row>
    <row r="4239" spans="1:19" x14ac:dyDescent="0.25">
      <c r="A4239">
        <v>100549061</v>
      </c>
      <c r="B4239" t="s">
        <v>5505</v>
      </c>
      <c r="C4239" t="s">
        <v>600</v>
      </c>
      <c r="G4239" t="s">
        <v>10918</v>
      </c>
      <c r="H4239" t="s">
        <v>10919</v>
      </c>
      <c r="I4239" t="s">
        <v>1097</v>
      </c>
      <c r="J4239">
        <v>40356</v>
      </c>
      <c r="K4239">
        <v>1569</v>
      </c>
      <c r="L4239" t="s">
        <v>23</v>
      </c>
      <c r="M4239" t="s">
        <v>10918</v>
      </c>
      <c r="N4239" t="s">
        <v>10919</v>
      </c>
      <c r="O4239" t="s">
        <v>1097</v>
      </c>
      <c r="P4239">
        <v>40356</v>
      </c>
      <c r="Q4239">
        <v>1569</v>
      </c>
      <c r="R4239" t="s">
        <v>23</v>
      </c>
      <c r="S4239" s="1" t="s">
        <v>34218</v>
      </c>
    </row>
    <row r="4240" spans="1:19" x14ac:dyDescent="0.25">
      <c r="A4240">
        <v>100737298</v>
      </c>
      <c r="B4240" t="s">
        <v>10920</v>
      </c>
      <c r="C4240" t="s">
        <v>10921</v>
      </c>
      <c r="G4240" t="s">
        <v>10922</v>
      </c>
      <c r="H4240" t="s">
        <v>10923</v>
      </c>
      <c r="I4240" t="s">
        <v>178</v>
      </c>
      <c r="J4240">
        <v>44120</v>
      </c>
      <c r="K4240">
        <v>1721</v>
      </c>
      <c r="L4240" t="s">
        <v>23</v>
      </c>
      <c r="M4240" t="s">
        <v>10922</v>
      </c>
      <c r="N4240" t="s">
        <v>10923</v>
      </c>
      <c r="O4240" t="s">
        <v>178</v>
      </c>
      <c r="P4240">
        <v>44120</v>
      </c>
      <c r="Q4240">
        <v>1721</v>
      </c>
      <c r="R4240" t="s">
        <v>23</v>
      </c>
      <c r="S4240" s="1" t="s">
        <v>34218</v>
      </c>
    </row>
    <row r="4241" spans="1:19" x14ac:dyDescent="0.25">
      <c r="A4241">
        <v>100735939</v>
      </c>
      <c r="B4241" t="s">
        <v>10924</v>
      </c>
      <c r="C4241" t="s">
        <v>2033</v>
      </c>
      <c r="G4241" t="s">
        <v>10925</v>
      </c>
      <c r="H4241" t="s">
        <v>10926</v>
      </c>
      <c r="I4241" t="s">
        <v>178</v>
      </c>
      <c r="J4241">
        <v>44141</v>
      </c>
      <c r="K4241">
        <v>1848</v>
      </c>
      <c r="L4241" t="s">
        <v>23</v>
      </c>
      <c r="M4241" t="s">
        <v>10925</v>
      </c>
      <c r="N4241" t="s">
        <v>10926</v>
      </c>
      <c r="O4241" t="s">
        <v>178</v>
      </c>
      <c r="P4241">
        <v>44141</v>
      </c>
      <c r="Q4241">
        <v>1848</v>
      </c>
      <c r="R4241" t="s">
        <v>23</v>
      </c>
      <c r="S4241" s="1" t="s">
        <v>34218</v>
      </c>
    </row>
    <row r="4242" spans="1:19" x14ac:dyDescent="0.25">
      <c r="A4242">
        <v>100730545</v>
      </c>
      <c r="B4242" t="s">
        <v>465</v>
      </c>
      <c r="C4242" t="s">
        <v>10927</v>
      </c>
      <c r="G4242" t="s">
        <v>10928</v>
      </c>
      <c r="H4242" t="s">
        <v>10929</v>
      </c>
      <c r="I4242" t="s">
        <v>117</v>
      </c>
      <c r="J4242">
        <v>10707</v>
      </c>
      <c r="K4242">
        <v>2119</v>
      </c>
      <c r="L4242" t="s">
        <v>23</v>
      </c>
      <c r="M4242" t="s">
        <v>10928</v>
      </c>
      <c r="N4242" t="s">
        <v>10929</v>
      </c>
      <c r="O4242" t="s">
        <v>117</v>
      </c>
      <c r="P4242">
        <v>10707</v>
      </c>
      <c r="Q4242">
        <v>2119</v>
      </c>
      <c r="R4242" t="s">
        <v>23</v>
      </c>
      <c r="S4242" s="1" t="s">
        <v>34218</v>
      </c>
    </row>
    <row r="4243" spans="1:19" x14ac:dyDescent="0.25">
      <c r="A4243">
        <v>100740140</v>
      </c>
      <c r="B4243" t="s">
        <v>5645</v>
      </c>
      <c r="C4243" t="s">
        <v>1208</v>
      </c>
      <c r="G4243" t="s">
        <v>10930</v>
      </c>
      <c r="H4243" t="s">
        <v>10931</v>
      </c>
      <c r="I4243" t="s">
        <v>28</v>
      </c>
      <c r="J4243">
        <v>31405</v>
      </c>
      <c r="K4243">
        <v>2102</v>
      </c>
      <c r="L4243" t="s">
        <v>23</v>
      </c>
      <c r="M4243" t="s">
        <v>10930</v>
      </c>
      <c r="N4243" t="s">
        <v>10931</v>
      </c>
      <c r="O4243" t="s">
        <v>28</v>
      </c>
      <c r="P4243">
        <v>31405</v>
      </c>
      <c r="Q4243">
        <v>2102</v>
      </c>
      <c r="R4243" t="s">
        <v>23</v>
      </c>
      <c r="S4243" s="1" t="s">
        <v>34218</v>
      </c>
    </row>
    <row r="4244" spans="1:19" x14ac:dyDescent="0.25">
      <c r="A4244">
        <v>100740451</v>
      </c>
      <c r="B4244" t="s">
        <v>3893</v>
      </c>
      <c r="C4244" t="s">
        <v>172</v>
      </c>
      <c r="G4244" t="s">
        <v>10932</v>
      </c>
      <c r="H4244" t="s">
        <v>134</v>
      </c>
      <c r="I4244" t="s">
        <v>135</v>
      </c>
      <c r="J4244">
        <v>60646</v>
      </c>
      <c r="K4244">
        <v>5502</v>
      </c>
      <c r="L4244" t="s">
        <v>23</v>
      </c>
      <c r="M4244" t="s">
        <v>10932</v>
      </c>
      <c r="N4244" t="s">
        <v>134</v>
      </c>
      <c r="O4244" t="s">
        <v>135</v>
      </c>
      <c r="P4244">
        <v>60646</v>
      </c>
      <c r="Q4244">
        <v>5502</v>
      </c>
      <c r="R4244" t="s">
        <v>23</v>
      </c>
      <c r="S4244" s="1" t="s">
        <v>34218</v>
      </c>
    </row>
    <row r="4245" spans="1:19" x14ac:dyDescent="0.25">
      <c r="A4245">
        <v>100741888</v>
      </c>
      <c r="B4245" t="s">
        <v>10933</v>
      </c>
      <c r="C4245" t="s">
        <v>286</v>
      </c>
      <c r="G4245" t="s">
        <v>10934</v>
      </c>
      <c r="H4245" t="s">
        <v>2056</v>
      </c>
      <c r="I4245" t="s">
        <v>148</v>
      </c>
      <c r="J4245">
        <v>20723</v>
      </c>
      <c r="K4245">
        <v>2050</v>
      </c>
      <c r="L4245" t="s">
        <v>23</v>
      </c>
      <c r="M4245" t="s">
        <v>10934</v>
      </c>
      <c r="N4245" t="s">
        <v>2056</v>
      </c>
      <c r="O4245" t="s">
        <v>148</v>
      </c>
      <c r="P4245">
        <v>20723</v>
      </c>
      <c r="Q4245">
        <v>2050</v>
      </c>
      <c r="R4245" t="s">
        <v>23</v>
      </c>
      <c r="S4245" s="1" t="s">
        <v>34218</v>
      </c>
    </row>
    <row r="4246" spans="1:19" x14ac:dyDescent="0.25">
      <c r="A4246">
        <v>100749201</v>
      </c>
      <c r="B4246" t="s">
        <v>10935</v>
      </c>
      <c r="C4246" t="s">
        <v>874</v>
      </c>
      <c r="G4246" t="s">
        <v>10936</v>
      </c>
      <c r="H4246" t="s">
        <v>8751</v>
      </c>
      <c r="I4246" t="s">
        <v>140</v>
      </c>
      <c r="J4246">
        <v>48823</v>
      </c>
      <c r="K4246">
        <v>4735</v>
      </c>
      <c r="L4246" t="s">
        <v>23</v>
      </c>
      <c r="M4246" t="s">
        <v>10936</v>
      </c>
      <c r="N4246" t="s">
        <v>8751</v>
      </c>
      <c r="O4246" t="s">
        <v>140</v>
      </c>
      <c r="P4246">
        <v>48823</v>
      </c>
      <c r="Q4246">
        <v>4735</v>
      </c>
      <c r="R4246" t="s">
        <v>23</v>
      </c>
      <c r="S4246" s="1" t="s">
        <v>34218</v>
      </c>
    </row>
    <row r="4247" spans="1:19" x14ac:dyDescent="0.25">
      <c r="A4247">
        <v>100751858</v>
      </c>
      <c r="B4247" t="s">
        <v>8864</v>
      </c>
      <c r="C4247" t="s">
        <v>3460</v>
      </c>
      <c r="F4247" t="str">
        <f>"5852784845"</f>
        <v>5852784845</v>
      </c>
      <c r="G4247" t="s">
        <v>10937</v>
      </c>
      <c r="H4247" t="s">
        <v>10938</v>
      </c>
      <c r="I4247" t="s">
        <v>117</v>
      </c>
      <c r="J4247">
        <v>14580</v>
      </c>
      <c r="K4247">
        <v>9156</v>
      </c>
      <c r="L4247" t="s">
        <v>23</v>
      </c>
      <c r="M4247" t="s">
        <v>10937</v>
      </c>
      <c r="N4247" t="s">
        <v>10938</v>
      </c>
      <c r="O4247" t="s">
        <v>117</v>
      </c>
      <c r="P4247">
        <v>14580</v>
      </c>
      <c r="Q4247">
        <v>9156</v>
      </c>
      <c r="R4247" t="s">
        <v>23</v>
      </c>
      <c r="S4247" s="1" t="s">
        <v>34218</v>
      </c>
    </row>
    <row r="4248" spans="1:19" x14ac:dyDescent="0.25">
      <c r="A4248">
        <v>100747693</v>
      </c>
      <c r="B4248" t="s">
        <v>10939</v>
      </c>
      <c r="C4248" t="s">
        <v>1542</v>
      </c>
      <c r="G4248" t="s">
        <v>10940</v>
      </c>
      <c r="H4248" t="s">
        <v>10941</v>
      </c>
      <c r="I4248" t="s">
        <v>84</v>
      </c>
      <c r="J4248">
        <v>98074</v>
      </c>
      <c r="K4248">
        <v>4501</v>
      </c>
      <c r="L4248" t="s">
        <v>23</v>
      </c>
      <c r="M4248" t="s">
        <v>10940</v>
      </c>
      <c r="N4248" t="s">
        <v>10941</v>
      </c>
      <c r="O4248" t="s">
        <v>84</v>
      </c>
      <c r="P4248">
        <v>98074</v>
      </c>
      <c r="Q4248">
        <v>4501</v>
      </c>
      <c r="R4248" t="s">
        <v>23</v>
      </c>
      <c r="S4248" s="1" t="s">
        <v>34218</v>
      </c>
    </row>
    <row r="4249" spans="1:19" x14ac:dyDescent="0.25">
      <c r="A4249">
        <v>100757236</v>
      </c>
      <c r="B4249" t="s">
        <v>10942</v>
      </c>
      <c r="C4249" t="s">
        <v>770</v>
      </c>
      <c r="G4249" t="s">
        <v>10943</v>
      </c>
      <c r="H4249" t="s">
        <v>10944</v>
      </c>
      <c r="I4249" t="s">
        <v>33</v>
      </c>
      <c r="J4249">
        <v>17737</v>
      </c>
      <c r="K4249">
        <v>9109</v>
      </c>
      <c r="L4249" t="s">
        <v>23</v>
      </c>
      <c r="M4249" t="s">
        <v>10943</v>
      </c>
      <c r="N4249" t="s">
        <v>10944</v>
      </c>
      <c r="O4249" t="s">
        <v>33</v>
      </c>
      <c r="P4249">
        <v>17737</v>
      </c>
      <c r="Q4249">
        <v>9109</v>
      </c>
      <c r="R4249" t="s">
        <v>23</v>
      </c>
      <c r="S4249" s="1" t="s">
        <v>34218</v>
      </c>
    </row>
    <row r="4250" spans="1:19" x14ac:dyDescent="0.25">
      <c r="A4250">
        <v>100756493</v>
      </c>
      <c r="B4250" t="s">
        <v>10945</v>
      </c>
      <c r="C4250" t="s">
        <v>571</v>
      </c>
      <c r="G4250" t="s">
        <v>10946</v>
      </c>
      <c r="H4250" t="s">
        <v>2637</v>
      </c>
      <c r="I4250" t="s">
        <v>1000</v>
      </c>
      <c r="J4250">
        <v>59837</v>
      </c>
      <c r="K4250">
        <v>9727</v>
      </c>
      <c r="L4250" t="s">
        <v>23</v>
      </c>
      <c r="M4250" t="s">
        <v>10946</v>
      </c>
      <c r="N4250" t="s">
        <v>2637</v>
      </c>
      <c r="O4250" t="s">
        <v>1000</v>
      </c>
      <c r="P4250">
        <v>59837</v>
      </c>
      <c r="Q4250">
        <v>9727</v>
      </c>
      <c r="R4250" t="s">
        <v>23</v>
      </c>
      <c r="S4250" s="1" t="s">
        <v>34218</v>
      </c>
    </row>
    <row r="4251" spans="1:19" x14ac:dyDescent="0.25">
      <c r="A4251">
        <v>100941184</v>
      </c>
      <c r="B4251" t="s">
        <v>10947</v>
      </c>
      <c r="C4251" t="s">
        <v>3326</v>
      </c>
      <c r="G4251" t="s">
        <v>10948</v>
      </c>
      <c r="H4251" t="s">
        <v>1105</v>
      </c>
      <c r="I4251" t="s">
        <v>117</v>
      </c>
      <c r="J4251">
        <v>10471</v>
      </c>
      <c r="K4251">
        <v>1302</v>
      </c>
      <c r="L4251" t="s">
        <v>23</v>
      </c>
      <c r="M4251" t="s">
        <v>10948</v>
      </c>
      <c r="N4251" t="s">
        <v>1105</v>
      </c>
      <c r="O4251" t="s">
        <v>117</v>
      </c>
      <c r="P4251">
        <v>10471</v>
      </c>
      <c r="Q4251">
        <v>1302</v>
      </c>
      <c r="R4251" t="s">
        <v>23</v>
      </c>
      <c r="S4251" s="1" t="s">
        <v>34218</v>
      </c>
    </row>
    <row r="4252" spans="1:19" x14ac:dyDescent="0.25">
      <c r="A4252">
        <v>101482589</v>
      </c>
      <c r="B4252" t="s">
        <v>6882</v>
      </c>
      <c r="C4252" t="s">
        <v>10949</v>
      </c>
      <c r="G4252" t="s">
        <v>6883</v>
      </c>
      <c r="H4252" t="s">
        <v>4514</v>
      </c>
      <c r="I4252" t="s">
        <v>33</v>
      </c>
      <c r="J4252">
        <v>17222</v>
      </c>
      <c r="K4252">
        <v>1104</v>
      </c>
      <c r="L4252" t="s">
        <v>23</v>
      </c>
      <c r="M4252" t="s">
        <v>6883</v>
      </c>
      <c r="N4252" t="s">
        <v>4514</v>
      </c>
      <c r="O4252" t="s">
        <v>33</v>
      </c>
      <c r="P4252">
        <v>17222</v>
      </c>
      <c r="Q4252">
        <v>1104</v>
      </c>
      <c r="R4252" t="s">
        <v>23</v>
      </c>
      <c r="S4252" s="1" t="s">
        <v>34218</v>
      </c>
    </row>
    <row r="4253" spans="1:19" x14ac:dyDescent="0.25">
      <c r="A4253">
        <v>100794535</v>
      </c>
      <c r="B4253" t="s">
        <v>4734</v>
      </c>
      <c r="C4253" t="s">
        <v>3483</v>
      </c>
      <c r="G4253" t="s">
        <v>10950</v>
      </c>
      <c r="H4253" t="s">
        <v>4580</v>
      </c>
      <c r="I4253" t="s">
        <v>117</v>
      </c>
      <c r="J4253">
        <v>12477</v>
      </c>
      <c r="L4253" t="s">
        <v>23</v>
      </c>
      <c r="M4253" t="s">
        <v>10950</v>
      </c>
      <c r="N4253" t="s">
        <v>4580</v>
      </c>
      <c r="O4253" t="s">
        <v>117</v>
      </c>
      <c r="P4253">
        <v>12477</v>
      </c>
      <c r="R4253" t="s">
        <v>23</v>
      </c>
      <c r="S4253" s="1" t="s">
        <v>34218</v>
      </c>
    </row>
    <row r="4254" spans="1:19" x14ac:dyDescent="0.25">
      <c r="A4254">
        <v>100548117</v>
      </c>
      <c r="B4254" t="s">
        <v>10951</v>
      </c>
      <c r="C4254" t="s">
        <v>894</v>
      </c>
      <c r="G4254" t="s">
        <v>10952</v>
      </c>
      <c r="H4254" t="s">
        <v>3847</v>
      </c>
      <c r="I4254" t="s">
        <v>22</v>
      </c>
      <c r="J4254">
        <v>92646</v>
      </c>
      <c r="K4254">
        <v>5452</v>
      </c>
      <c r="L4254" t="s">
        <v>23</v>
      </c>
      <c r="M4254" t="s">
        <v>10952</v>
      </c>
      <c r="N4254" t="s">
        <v>3847</v>
      </c>
      <c r="O4254" t="s">
        <v>22</v>
      </c>
      <c r="P4254">
        <v>92646</v>
      </c>
      <c r="Q4254">
        <v>5452</v>
      </c>
      <c r="R4254" t="s">
        <v>23</v>
      </c>
      <c r="S4254" s="1" t="s">
        <v>34218</v>
      </c>
    </row>
    <row r="4255" spans="1:19" x14ac:dyDescent="0.25">
      <c r="A4255">
        <v>100552800</v>
      </c>
      <c r="B4255" t="s">
        <v>10953</v>
      </c>
      <c r="C4255" t="s">
        <v>1036</v>
      </c>
      <c r="G4255" t="s">
        <v>10954</v>
      </c>
      <c r="H4255" t="s">
        <v>134</v>
      </c>
      <c r="I4255" t="s">
        <v>135</v>
      </c>
      <c r="J4255">
        <v>60612</v>
      </c>
      <c r="K4255">
        <v>4206</v>
      </c>
      <c r="L4255" t="s">
        <v>23</v>
      </c>
      <c r="M4255" t="s">
        <v>10954</v>
      </c>
      <c r="N4255" t="s">
        <v>134</v>
      </c>
      <c r="O4255" t="s">
        <v>135</v>
      </c>
      <c r="P4255">
        <v>60612</v>
      </c>
      <c r="Q4255">
        <v>4206</v>
      </c>
      <c r="R4255" t="s">
        <v>23</v>
      </c>
      <c r="S4255" s="1" t="s">
        <v>34218</v>
      </c>
    </row>
    <row r="4256" spans="1:19" x14ac:dyDescent="0.25">
      <c r="A4256">
        <v>100562246</v>
      </c>
      <c r="B4256" t="s">
        <v>10955</v>
      </c>
      <c r="C4256" t="s">
        <v>403</v>
      </c>
      <c r="G4256" t="s">
        <v>10956</v>
      </c>
      <c r="H4256" t="s">
        <v>299</v>
      </c>
      <c r="I4256" t="s">
        <v>22</v>
      </c>
      <c r="J4256">
        <v>90035</v>
      </c>
      <c r="K4256">
        <v>1066</v>
      </c>
      <c r="L4256" t="s">
        <v>23</v>
      </c>
      <c r="M4256" t="s">
        <v>10956</v>
      </c>
      <c r="N4256" t="s">
        <v>299</v>
      </c>
      <c r="O4256" t="s">
        <v>22</v>
      </c>
      <c r="P4256">
        <v>90035</v>
      </c>
      <c r="Q4256">
        <v>1066</v>
      </c>
      <c r="R4256" t="s">
        <v>23</v>
      </c>
      <c r="S4256" s="1" t="s">
        <v>34218</v>
      </c>
    </row>
    <row r="4257" spans="1:19" x14ac:dyDescent="0.25">
      <c r="A4257">
        <v>100560683</v>
      </c>
      <c r="B4257" t="s">
        <v>10957</v>
      </c>
      <c r="C4257" t="s">
        <v>4719</v>
      </c>
      <c r="F4257" t="str">
        <f>"5408202899"</f>
        <v>5408202899</v>
      </c>
      <c r="G4257" t="s">
        <v>10958</v>
      </c>
      <c r="H4257" t="s">
        <v>10959</v>
      </c>
      <c r="I4257" t="s">
        <v>255</v>
      </c>
      <c r="J4257">
        <v>22802</v>
      </c>
      <c r="K4257">
        <v>8352</v>
      </c>
      <c r="L4257" t="s">
        <v>23</v>
      </c>
      <c r="M4257" t="s">
        <v>10958</v>
      </c>
      <c r="N4257" t="s">
        <v>10959</v>
      </c>
      <c r="O4257" t="s">
        <v>255</v>
      </c>
      <c r="P4257">
        <v>22802</v>
      </c>
      <c r="Q4257">
        <v>8352</v>
      </c>
      <c r="R4257" t="s">
        <v>23</v>
      </c>
      <c r="S4257" s="1" t="s">
        <v>34218</v>
      </c>
    </row>
    <row r="4258" spans="1:19" x14ac:dyDescent="0.25">
      <c r="A4258">
        <v>100562218</v>
      </c>
      <c r="B4258" t="s">
        <v>10960</v>
      </c>
      <c r="C4258" t="s">
        <v>10961</v>
      </c>
      <c r="F4258" t="str">
        <f>"9163931028"</f>
        <v>9163931028</v>
      </c>
      <c r="G4258" t="s">
        <v>10602</v>
      </c>
      <c r="H4258" t="s">
        <v>650</v>
      </c>
      <c r="I4258" t="s">
        <v>22</v>
      </c>
      <c r="J4258">
        <v>95831</v>
      </c>
      <c r="K4258">
        <v>1392</v>
      </c>
      <c r="L4258" t="s">
        <v>23</v>
      </c>
      <c r="M4258" t="s">
        <v>10602</v>
      </c>
      <c r="N4258" t="s">
        <v>650</v>
      </c>
      <c r="O4258" t="s">
        <v>22</v>
      </c>
      <c r="P4258">
        <v>95831</v>
      </c>
      <c r="Q4258">
        <v>1392</v>
      </c>
      <c r="R4258" t="s">
        <v>23</v>
      </c>
      <c r="S4258" s="1" t="s">
        <v>34218</v>
      </c>
    </row>
    <row r="4259" spans="1:19" x14ac:dyDescent="0.25">
      <c r="A4259">
        <v>100560742</v>
      </c>
      <c r="B4259" t="s">
        <v>10962</v>
      </c>
      <c r="C4259" t="s">
        <v>10963</v>
      </c>
      <c r="G4259" t="s">
        <v>10964</v>
      </c>
      <c r="H4259" t="s">
        <v>840</v>
      </c>
      <c r="I4259" t="s">
        <v>153</v>
      </c>
      <c r="J4259">
        <v>70115</v>
      </c>
      <c r="K4259">
        <v>5413</v>
      </c>
      <c r="L4259" t="s">
        <v>23</v>
      </c>
      <c r="M4259" t="s">
        <v>10964</v>
      </c>
      <c r="N4259" t="s">
        <v>840</v>
      </c>
      <c r="O4259" t="s">
        <v>153</v>
      </c>
      <c r="P4259">
        <v>70115</v>
      </c>
      <c r="Q4259">
        <v>5413</v>
      </c>
      <c r="R4259" t="s">
        <v>23</v>
      </c>
      <c r="S4259" s="1" t="s">
        <v>34218</v>
      </c>
    </row>
    <row r="4260" spans="1:19" x14ac:dyDescent="0.25">
      <c r="A4260">
        <v>100566486</v>
      </c>
      <c r="B4260" t="s">
        <v>3466</v>
      </c>
      <c r="C4260" t="s">
        <v>119</v>
      </c>
      <c r="G4260" t="s">
        <v>10965</v>
      </c>
      <c r="H4260" t="s">
        <v>2724</v>
      </c>
      <c r="I4260" t="s">
        <v>22</v>
      </c>
      <c r="J4260">
        <v>95747</v>
      </c>
      <c r="K4260">
        <v>8608</v>
      </c>
      <c r="L4260" t="s">
        <v>23</v>
      </c>
      <c r="M4260" t="s">
        <v>10965</v>
      </c>
      <c r="N4260" t="s">
        <v>2724</v>
      </c>
      <c r="O4260" t="s">
        <v>22</v>
      </c>
      <c r="P4260">
        <v>95747</v>
      </c>
      <c r="Q4260">
        <v>8608</v>
      </c>
      <c r="R4260" t="s">
        <v>23</v>
      </c>
      <c r="S4260" s="1" t="s">
        <v>34218</v>
      </c>
    </row>
    <row r="4261" spans="1:19" x14ac:dyDescent="0.25">
      <c r="A4261">
        <v>100563738</v>
      </c>
      <c r="B4261" t="s">
        <v>3583</v>
      </c>
      <c r="C4261" t="s">
        <v>890</v>
      </c>
      <c r="G4261" t="s">
        <v>10966</v>
      </c>
      <c r="H4261" t="s">
        <v>2077</v>
      </c>
      <c r="I4261" t="s">
        <v>353</v>
      </c>
      <c r="J4261">
        <v>3276</v>
      </c>
      <c r="K4261">
        <v>4617</v>
      </c>
      <c r="L4261" t="s">
        <v>23</v>
      </c>
      <c r="M4261" t="s">
        <v>10966</v>
      </c>
      <c r="N4261" t="s">
        <v>2077</v>
      </c>
      <c r="O4261" t="s">
        <v>353</v>
      </c>
      <c r="P4261">
        <v>3276</v>
      </c>
      <c r="Q4261">
        <v>4617</v>
      </c>
      <c r="R4261" t="s">
        <v>23</v>
      </c>
      <c r="S4261" s="1" t="s">
        <v>34218</v>
      </c>
    </row>
    <row r="4262" spans="1:19" x14ac:dyDescent="0.25">
      <c r="A4262">
        <v>100568605</v>
      </c>
      <c r="B4262" t="s">
        <v>10967</v>
      </c>
      <c r="C4262" t="s">
        <v>2343</v>
      </c>
      <c r="G4262" t="s">
        <v>10968</v>
      </c>
      <c r="H4262" t="s">
        <v>10969</v>
      </c>
      <c r="I4262" t="s">
        <v>38</v>
      </c>
      <c r="J4262">
        <v>75033</v>
      </c>
      <c r="K4262">
        <v>7612</v>
      </c>
      <c r="L4262" t="s">
        <v>23</v>
      </c>
      <c r="M4262" t="s">
        <v>10968</v>
      </c>
      <c r="N4262" t="s">
        <v>10969</v>
      </c>
      <c r="O4262" t="s">
        <v>38</v>
      </c>
      <c r="P4262">
        <v>75033</v>
      </c>
      <c r="Q4262">
        <v>7612</v>
      </c>
      <c r="R4262" t="s">
        <v>23</v>
      </c>
      <c r="S4262" s="1" t="s">
        <v>34218</v>
      </c>
    </row>
    <row r="4263" spans="1:19" x14ac:dyDescent="0.25">
      <c r="A4263">
        <v>100568235</v>
      </c>
      <c r="B4263" t="s">
        <v>10970</v>
      </c>
      <c r="C4263" t="s">
        <v>10971</v>
      </c>
      <c r="G4263" t="s">
        <v>10972</v>
      </c>
      <c r="H4263" t="s">
        <v>8280</v>
      </c>
      <c r="I4263" t="s">
        <v>236</v>
      </c>
      <c r="J4263">
        <v>2420</v>
      </c>
      <c r="K4263">
        <v>4008</v>
      </c>
      <c r="L4263" t="s">
        <v>23</v>
      </c>
      <c r="M4263" t="s">
        <v>10972</v>
      </c>
      <c r="N4263" t="s">
        <v>8280</v>
      </c>
      <c r="O4263" t="s">
        <v>236</v>
      </c>
      <c r="P4263">
        <v>2420</v>
      </c>
      <c r="Q4263">
        <v>4008</v>
      </c>
      <c r="R4263" t="s">
        <v>23</v>
      </c>
      <c r="S4263" s="1" t="s">
        <v>34218</v>
      </c>
    </row>
    <row r="4264" spans="1:19" x14ac:dyDescent="0.25">
      <c r="A4264">
        <v>100744947</v>
      </c>
      <c r="B4264" t="s">
        <v>10973</v>
      </c>
      <c r="C4264" t="s">
        <v>1161</v>
      </c>
      <c r="G4264" t="s">
        <v>10974</v>
      </c>
      <c r="H4264" t="s">
        <v>315</v>
      </c>
      <c r="I4264" t="s">
        <v>22</v>
      </c>
      <c r="J4264">
        <v>93422</v>
      </c>
      <c r="K4264">
        <v>5226</v>
      </c>
      <c r="L4264" t="s">
        <v>23</v>
      </c>
      <c r="M4264" t="s">
        <v>10974</v>
      </c>
      <c r="N4264" t="s">
        <v>315</v>
      </c>
      <c r="O4264" t="s">
        <v>22</v>
      </c>
      <c r="P4264">
        <v>93422</v>
      </c>
      <c r="Q4264">
        <v>5226</v>
      </c>
      <c r="R4264" t="s">
        <v>23</v>
      </c>
      <c r="S4264" s="1" t="s">
        <v>34218</v>
      </c>
    </row>
    <row r="4265" spans="1:19" x14ac:dyDescent="0.25">
      <c r="A4265">
        <v>100749264</v>
      </c>
      <c r="B4265" t="s">
        <v>2376</v>
      </c>
      <c r="C4265" t="s">
        <v>699</v>
      </c>
      <c r="G4265" t="s">
        <v>10975</v>
      </c>
      <c r="H4265" t="s">
        <v>198</v>
      </c>
      <c r="I4265" t="s">
        <v>22</v>
      </c>
      <c r="J4265">
        <v>92105</v>
      </c>
      <c r="K4265">
        <v>4432</v>
      </c>
      <c r="L4265" t="s">
        <v>23</v>
      </c>
      <c r="M4265" t="s">
        <v>10975</v>
      </c>
      <c r="N4265" t="s">
        <v>198</v>
      </c>
      <c r="O4265" t="s">
        <v>22</v>
      </c>
      <c r="P4265">
        <v>92105</v>
      </c>
      <c r="Q4265">
        <v>4432</v>
      </c>
      <c r="R4265" t="s">
        <v>23</v>
      </c>
      <c r="S4265" s="1" t="s">
        <v>34218</v>
      </c>
    </row>
    <row r="4266" spans="1:19" x14ac:dyDescent="0.25">
      <c r="A4266">
        <v>100746791</v>
      </c>
      <c r="B4266" t="s">
        <v>10976</v>
      </c>
      <c r="C4266" t="s">
        <v>110</v>
      </c>
      <c r="G4266" t="s">
        <v>10977</v>
      </c>
      <c r="H4266" t="s">
        <v>2051</v>
      </c>
      <c r="I4266" t="s">
        <v>153</v>
      </c>
      <c r="J4266">
        <v>70431</v>
      </c>
      <c r="K4266">
        <v>4123</v>
      </c>
      <c r="L4266" t="s">
        <v>23</v>
      </c>
      <c r="M4266" t="s">
        <v>10977</v>
      </c>
      <c r="N4266" t="s">
        <v>2051</v>
      </c>
      <c r="O4266" t="s">
        <v>153</v>
      </c>
      <c r="P4266">
        <v>70431</v>
      </c>
      <c r="Q4266">
        <v>4123</v>
      </c>
      <c r="R4266" t="s">
        <v>23</v>
      </c>
      <c r="S4266" s="1" t="s">
        <v>34218</v>
      </c>
    </row>
    <row r="4267" spans="1:19" x14ac:dyDescent="0.25">
      <c r="A4267">
        <v>100753147</v>
      </c>
      <c r="B4267" t="s">
        <v>10978</v>
      </c>
      <c r="C4267" t="s">
        <v>10979</v>
      </c>
      <c r="G4267" t="s">
        <v>10980</v>
      </c>
      <c r="H4267" t="s">
        <v>116</v>
      </c>
      <c r="I4267" t="s">
        <v>117</v>
      </c>
      <c r="J4267">
        <v>11435</v>
      </c>
      <c r="K4267">
        <v>2545</v>
      </c>
      <c r="L4267" t="s">
        <v>23</v>
      </c>
      <c r="M4267" t="s">
        <v>10980</v>
      </c>
      <c r="N4267" t="s">
        <v>116</v>
      </c>
      <c r="O4267" t="s">
        <v>117</v>
      </c>
      <c r="P4267">
        <v>11435</v>
      </c>
      <c r="Q4267">
        <v>2545</v>
      </c>
      <c r="R4267" t="s">
        <v>23</v>
      </c>
      <c r="S4267" s="1" t="s">
        <v>34218</v>
      </c>
    </row>
    <row r="4268" spans="1:19" x14ac:dyDescent="0.25">
      <c r="A4268">
        <v>100754556</v>
      </c>
      <c r="B4268" t="s">
        <v>8950</v>
      </c>
      <c r="C4268" t="s">
        <v>2010</v>
      </c>
      <c r="G4268" t="s">
        <v>10981</v>
      </c>
      <c r="H4268" t="s">
        <v>7846</v>
      </c>
      <c r="I4268" t="s">
        <v>22</v>
      </c>
      <c r="J4268">
        <v>95482</v>
      </c>
      <c r="K4268">
        <v>9000</v>
      </c>
      <c r="L4268" t="s">
        <v>23</v>
      </c>
      <c r="M4268" t="s">
        <v>10981</v>
      </c>
      <c r="N4268" t="s">
        <v>7846</v>
      </c>
      <c r="O4268" t="s">
        <v>22</v>
      </c>
      <c r="P4268">
        <v>95482</v>
      </c>
      <c r="Q4268">
        <v>9000</v>
      </c>
      <c r="R4268" t="s">
        <v>23</v>
      </c>
      <c r="S4268" s="1" t="s">
        <v>34218</v>
      </c>
    </row>
    <row r="4269" spans="1:19" x14ac:dyDescent="0.25">
      <c r="A4269">
        <v>100757379</v>
      </c>
      <c r="B4269" t="s">
        <v>80</v>
      </c>
      <c r="C4269" t="s">
        <v>579</v>
      </c>
      <c r="G4269" t="s">
        <v>10982</v>
      </c>
      <c r="H4269" t="s">
        <v>299</v>
      </c>
      <c r="I4269" t="s">
        <v>22</v>
      </c>
      <c r="J4269">
        <v>90066</v>
      </c>
      <c r="K4269">
        <v>1935</v>
      </c>
      <c r="L4269" t="s">
        <v>23</v>
      </c>
      <c r="M4269" t="s">
        <v>10982</v>
      </c>
      <c r="N4269" t="s">
        <v>299</v>
      </c>
      <c r="O4269" t="s">
        <v>22</v>
      </c>
      <c r="P4269">
        <v>90066</v>
      </c>
      <c r="Q4269">
        <v>1935</v>
      </c>
      <c r="R4269" t="s">
        <v>23</v>
      </c>
      <c r="S4269" s="1" t="s">
        <v>34218</v>
      </c>
    </row>
    <row r="4270" spans="1:19" x14ac:dyDescent="0.25">
      <c r="A4270">
        <v>100939445</v>
      </c>
      <c r="B4270" t="s">
        <v>10983</v>
      </c>
      <c r="C4270" t="s">
        <v>1416</v>
      </c>
      <c r="G4270" t="s">
        <v>10984</v>
      </c>
      <c r="H4270" t="s">
        <v>2762</v>
      </c>
      <c r="I4270" t="s">
        <v>43</v>
      </c>
      <c r="J4270">
        <v>97439</v>
      </c>
      <c r="K4270">
        <v>7381</v>
      </c>
      <c r="L4270" t="s">
        <v>23</v>
      </c>
      <c r="M4270" t="s">
        <v>10984</v>
      </c>
      <c r="N4270" t="s">
        <v>2762</v>
      </c>
      <c r="O4270" t="s">
        <v>43</v>
      </c>
      <c r="P4270">
        <v>97439</v>
      </c>
      <c r="Q4270">
        <v>7381</v>
      </c>
      <c r="R4270" t="s">
        <v>23</v>
      </c>
      <c r="S4270" s="1" t="s">
        <v>34218</v>
      </c>
    </row>
    <row r="4271" spans="1:19" x14ac:dyDescent="0.25">
      <c r="A4271">
        <v>100946763</v>
      </c>
      <c r="B4271" t="s">
        <v>10985</v>
      </c>
      <c r="C4271" t="s">
        <v>3196</v>
      </c>
      <c r="G4271" t="s">
        <v>10986</v>
      </c>
      <c r="H4271" t="s">
        <v>2399</v>
      </c>
      <c r="I4271" t="s">
        <v>71</v>
      </c>
      <c r="J4271">
        <v>80524</v>
      </c>
      <c r="K4271">
        <v>6748</v>
      </c>
      <c r="L4271" t="s">
        <v>23</v>
      </c>
      <c r="M4271" t="s">
        <v>10986</v>
      </c>
      <c r="N4271" t="s">
        <v>2399</v>
      </c>
      <c r="O4271" t="s">
        <v>71</v>
      </c>
      <c r="P4271">
        <v>80524</v>
      </c>
      <c r="Q4271">
        <v>6748</v>
      </c>
      <c r="R4271" t="s">
        <v>23</v>
      </c>
      <c r="S4271" s="1" t="s">
        <v>34218</v>
      </c>
    </row>
    <row r="4272" spans="1:19" x14ac:dyDescent="0.25">
      <c r="A4272">
        <v>100517240</v>
      </c>
      <c r="B4272" t="s">
        <v>3554</v>
      </c>
      <c r="C4272" t="s">
        <v>10987</v>
      </c>
      <c r="G4272" t="s">
        <v>10988</v>
      </c>
      <c r="H4272" t="s">
        <v>10989</v>
      </c>
      <c r="I4272" t="s">
        <v>178</v>
      </c>
      <c r="J4272">
        <v>44280</v>
      </c>
      <c r="K4272">
        <v>9704</v>
      </c>
      <c r="L4272" t="s">
        <v>23</v>
      </c>
      <c r="M4272" t="s">
        <v>10988</v>
      </c>
      <c r="N4272" t="s">
        <v>10989</v>
      </c>
      <c r="O4272" t="s">
        <v>178</v>
      </c>
      <c r="P4272">
        <v>44280</v>
      </c>
      <c r="Q4272">
        <v>9704</v>
      </c>
      <c r="R4272" t="s">
        <v>23</v>
      </c>
      <c r="S4272" s="1" t="s">
        <v>34218</v>
      </c>
    </row>
    <row r="4273" spans="1:19" x14ac:dyDescent="0.25">
      <c r="A4273">
        <v>100521629</v>
      </c>
      <c r="B4273" t="s">
        <v>10990</v>
      </c>
      <c r="C4273" t="s">
        <v>558</v>
      </c>
      <c r="F4273" t="str">
        <f>"4067829311"</f>
        <v>4067829311</v>
      </c>
      <c r="G4273" t="s">
        <v>10991</v>
      </c>
      <c r="H4273" t="s">
        <v>10992</v>
      </c>
      <c r="I4273" t="s">
        <v>1000</v>
      </c>
      <c r="J4273">
        <v>59701</v>
      </c>
      <c r="K4273">
        <v>2826</v>
      </c>
      <c r="L4273" t="s">
        <v>23</v>
      </c>
      <c r="M4273" t="s">
        <v>10991</v>
      </c>
      <c r="N4273" t="s">
        <v>10992</v>
      </c>
      <c r="O4273" t="s">
        <v>1000</v>
      </c>
      <c r="P4273">
        <v>59701</v>
      </c>
      <c r="Q4273">
        <v>2826</v>
      </c>
      <c r="R4273" t="s">
        <v>23</v>
      </c>
      <c r="S4273" s="1" t="s">
        <v>34218</v>
      </c>
    </row>
    <row r="4274" spans="1:19" x14ac:dyDescent="0.25">
      <c r="A4274">
        <v>100710653</v>
      </c>
      <c r="B4274" t="s">
        <v>10993</v>
      </c>
      <c r="C4274" t="s">
        <v>1588</v>
      </c>
      <c r="G4274" t="s">
        <v>10994</v>
      </c>
      <c r="H4274" t="s">
        <v>10995</v>
      </c>
      <c r="I4274" t="s">
        <v>135</v>
      </c>
      <c r="J4274">
        <v>60432</v>
      </c>
      <c r="K4274">
        <v>2223</v>
      </c>
      <c r="L4274" t="s">
        <v>23</v>
      </c>
      <c r="M4274" t="s">
        <v>10994</v>
      </c>
      <c r="N4274" t="s">
        <v>10995</v>
      </c>
      <c r="O4274" t="s">
        <v>135</v>
      </c>
      <c r="P4274">
        <v>60432</v>
      </c>
      <c r="Q4274">
        <v>2223</v>
      </c>
      <c r="R4274" t="s">
        <v>23</v>
      </c>
      <c r="S4274" s="1" t="s">
        <v>34218</v>
      </c>
    </row>
    <row r="4275" spans="1:19" x14ac:dyDescent="0.25">
      <c r="A4275">
        <v>100713795</v>
      </c>
      <c r="B4275" t="s">
        <v>10996</v>
      </c>
      <c r="C4275" t="s">
        <v>9020</v>
      </c>
      <c r="G4275" t="s">
        <v>10997</v>
      </c>
      <c r="H4275" t="s">
        <v>840</v>
      </c>
      <c r="I4275" t="s">
        <v>153</v>
      </c>
      <c r="J4275">
        <v>70119</v>
      </c>
      <c r="K4275">
        <v>3107</v>
      </c>
      <c r="L4275" t="s">
        <v>23</v>
      </c>
      <c r="M4275" t="s">
        <v>10997</v>
      </c>
      <c r="N4275" t="s">
        <v>840</v>
      </c>
      <c r="O4275" t="s">
        <v>153</v>
      </c>
      <c r="P4275">
        <v>70119</v>
      </c>
      <c r="Q4275">
        <v>3107</v>
      </c>
      <c r="R4275" t="s">
        <v>23</v>
      </c>
      <c r="S4275" s="1" t="s">
        <v>34218</v>
      </c>
    </row>
    <row r="4276" spans="1:19" x14ac:dyDescent="0.25">
      <c r="A4276">
        <v>100713995</v>
      </c>
      <c r="B4276" t="s">
        <v>1204</v>
      </c>
      <c r="C4276" t="s">
        <v>286</v>
      </c>
      <c r="F4276" t="str">
        <f>"2072881013"</f>
        <v>2072881013</v>
      </c>
      <c r="G4276" t="s">
        <v>10998</v>
      </c>
      <c r="H4276" t="s">
        <v>10999</v>
      </c>
      <c r="I4276" t="s">
        <v>191</v>
      </c>
      <c r="J4276">
        <v>4609</v>
      </c>
      <c r="K4276">
        <v>7149</v>
      </c>
      <c r="L4276" t="s">
        <v>23</v>
      </c>
      <c r="M4276" t="s">
        <v>10998</v>
      </c>
      <c r="N4276" t="s">
        <v>10999</v>
      </c>
      <c r="O4276" t="s">
        <v>191</v>
      </c>
      <c r="P4276">
        <v>4609</v>
      </c>
      <c r="Q4276">
        <v>7149</v>
      </c>
      <c r="R4276" t="s">
        <v>23</v>
      </c>
      <c r="S4276" s="1" t="s">
        <v>34218</v>
      </c>
    </row>
    <row r="4277" spans="1:19" x14ac:dyDescent="0.25">
      <c r="A4277">
        <v>100713968</v>
      </c>
      <c r="B4277" t="s">
        <v>4388</v>
      </c>
      <c r="C4277" t="s">
        <v>11000</v>
      </c>
      <c r="G4277" t="s">
        <v>11001</v>
      </c>
      <c r="H4277" t="s">
        <v>11002</v>
      </c>
      <c r="I4277" t="s">
        <v>43</v>
      </c>
      <c r="J4277">
        <v>97471</v>
      </c>
      <c r="K4277">
        <v>9748</v>
      </c>
      <c r="L4277" t="s">
        <v>23</v>
      </c>
      <c r="M4277" t="s">
        <v>11001</v>
      </c>
      <c r="N4277" t="s">
        <v>11002</v>
      </c>
      <c r="O4277" t="s">
        <v>43</v>
      </c>
      <c r="P4277">
        <v>97471</v>
      </c>
      <c r="Q4277">
        <v>9748</v>
      </c>
      <c r="R4277" t="s">
        <v>23</v>
      </c>
      <c r="S4277" s="1" t="s">
        <v>34218</v>
      </c>
    </row>
    <row r="4278" spans="1:19" x14ac:dyDescent="0.25">
      <c r="A4278">
        <v>100715949</v>
      </c>
      <c r="B4278" t="s">
        <v>744</v>
      </c>
      <c r="C4278" t="s">
        <v>382</v>
      </c>
      <c r="G4278" t="s">
        <v>11003</v>
      </c>
      <c r="H4278" t="s">
        <v>11004</v>
      </c>
      <c r="I4278" t="s">
        <v>191</v>
      </c>
      <c r="J4278">
        <v>4038</v>
      </c>
      <c r="K4278">
        <v>2476</v>
      </c>
      <c r="L4278" t="s">
        <v>23</v>
      </c>
      <c r="M4278" t="s">
        <v>11003</v>
      </c>
      <c r="N4278" t="s">
        <v>11004</v>
      </c>
      <c r="O4278" t="s">
        <v>191</v>
      </c>
      <c r="P4278">
        <v>4038</v>
      </c>
      <c r="Q4278">
        <v>2476</v>
      </c>
      <c r="R4278" t="s">
        <v>23</v>
      </c>
      <c r="S4278" s="1" t="s">
        <v>34218</v>
      </c>
    </row>
    <row r="4279" spans="1:19" x14ac:dyDescent="0.25">
      <c r="A4279">
        <v>100712956</v>
      </c>
      <c r="B4279" t="s">
        <v>6555</v>
      </c>
      <c r="C4279" t="s">
        <v>498</v>
      </c>
      <c r="G4279" t="s">
        <v>11005</v>
      </c>
      <c r="H4279" t="s">
        <v>4259</v>
      </c>
      <c r="I4279" t="s">
        <v>187</v>
      </c>
      <c r="J4279">
        <v>55445</v>
      </c>
      <c r="K4279">
        <v>1943</v>
      </c>
      <c r="L4279" t="s">
        <v>23</v>
      </c>
      <c r="M4279" t="s">
        <v>11005</v>
      </c>
      <c r="N4279" t="s">
        <v>4259</v>
      </c>
      <c r="O4279" t="s">
        <v>187</v>
      </c>
      <c r="P4279">
        <v>55445</v>
      </c>
      <c r="Q4279">
        <v>1943</v>
      </c>
      <c r="R4279" t="s">
        <v>23</v>
      </c>
      <c r="S4279" s="1" t="s">
        <v>34218</v>
      </c>
    </row>
    <row r="4280" spans="1:19" x14ac:dyDescent="0.25">
      <c r="A4280">
        <v>100712991</v>
      </c>
      <c r="B4280" t="s">
        <v>11006</v>
      </c>
      <c r="C4280" t="s">
        <v>11007</v>
      </c>
      <c r="G4280" t="s">
        <v>11008</v>
      </c>
      <c r="H4280" t="s">
        <v>11009</v>
      </c>
      <c r="I4280" t="s">
        <v>250</v>
      </c>
      <c r="J4280">
        <v>7853</v>
      </c>
      <c r="K4280">
        <v>3007</v>
      </c>
      <c r="L4280" t="s">
        <v>23</v>
      </c>
      <c r="M4280" t="s">
        <v>11008</v>
      </c>
      <c r="N4280" t="s">
        <v>11009</v>
      </c>
      <c r="O4280" t="s">
        <v>250</v>
      </c>
      <c r="P4280">
        <v>7853</v>
      </c>
      <c r="Q4280">
        <v>3007</v>
      </c>
      <c r="R4280" t="s">
        <v>23</v>
      </c>
      <c r="S4280" s="1" t="s">
        <v>34218</v>
      </c>
    </row>
    <row r="4281" spans="1:19" x14ac:dyDescent="0.25">
      <c r="A4281">
        <v>100715627</v>
      </c>
      <c r="B4281" t="s">
        <v>11010</v>
      </c>
      <c r="C4281" t="s">
        <v>535</v>
      </c>
      <c r="G4281" t="s">
        <v>11011</v>
      </c>
      <c r="H4281" t="s">
        <v>11012</v>
      </c>
      <c r="I4281" t="s">
        <v>332</v>
      </c>
      <c r="J4281">
        <v>84010</v>
      </c>
      <c r="K4281">
        <v>5036</v>
      </c>
      <c r="L4281" t="s">
        <v>23</v>
      </c>
      <c r="M4281" t="s">
        <v>11011</v>
      </c>
      <c r="N4281" t="s">
        <v>11012</v>
      </c>
      <c r="O4281" t="s">
        <v>332</v>
      </c>
      <c r="P4281">
        <v>84010</v>
      </c>
      <c r="Q4281">
        <v>5036</v>
      </c>
      <c r="R4281" t="s">
        <v>23</v>
      </c>
      <c r="S4281" s="1" t="s">
        <v>34218</v>
      </c>
    </row>
    <row r="4282" spans="1:19" x14ac:dyDescent="0.25">
      <c r="A4282">
        <v>100719807</v>
      </c>
      <c r="B4282" t="s">
        <v>11013</v>
      </c>
      <c r="C4282" t="s">
        <v>1959</v>
      </c>
      <c r="G4282" t="s">
        <v>11014</v>
      </c>
      <c r="H4282" t="s">
        <v>2056</v>
      </c>
      <c r="I4282" t="s">
        <v>148</v>
      </c>
      <c r="J4282">
        <v>20708</v>
      </c>
      <c r="K4282">
        <v>3045</v>
      </c>
      <c r="L4282" t="s">
        <v>23</v>
      </c>
      <c r="M4282" t="s">
        <v>11014</v>
      </c>
      <c r="N4282" t="s">
        <v>2056</v>
      </c>
      <c r="O4282" t="s">
        <v>148</v>
      </c>
      <c r="P4282">
        <v>20708</v>
      </c>
      <c r="Q4282">
        <v>3045</v>
      </c>
      <c r="R4282" t="s">
        <v>23</v>
      </c>
      <c r="S4282" s="1" t="s">
        <v>34218</v>
      </c>
    </row>
    <row r="4283" spans="1:19" x14ac:dyDescent="0.25">
      <c r="A4283">
        <v>100715565</v>
      </c>
      <c r="B4283" t="s">
        <v>1581</v>
      </c>
      <c r="C4283" t="s">
        <v>894</v>
      </c>
      <c r="G4283" t="s">
        <v>11015</v>
      </c>
      <c r="H4283" t="s">
        <v>4069</v>
      </c>
      <c r="I4283" t="s">
        <v>71</v>
      </c>
      <c r="J4283">
        <v>80123</v>
      </c>
      <c r="K4283">
        <v>8550</v>
      </c>
      <c r="L4283" t="s">
        <v>23</v>
      </c>
      <c r="M4283" t="s">
        <v>11015</v>
      </c>
      <c r="N4283" t="s">
        <v>4069</v>
      </c>
      <c r="O4283" t="s">
        <v>71</v>
      </c>
      <c r="P4283">
        <v>80123</v>
      </c>
      <c r="Q4283">
        <v>8550</v>
      </c>
      <c r="R4283" t="s">
        <v>23</v>
      </c>
      <c r="S4283" s="1" t="s">
        <v>34218</v>
      </c>
    </row>
    <row r="4284" spans="1:19" x14ac:dyDescent="0.25">
      <c r="A4284">
        <v>100728292</v>
      </c>
      <c r="B4284" t="s">
        <v>11016</v>
      </c>
      <c r="C4284" t="s">
        <v>362</v>
      </c>
      <c r="G4284" t="s">
        <v>11017</v>
      </c>
      <c r="H4284" t="s">
        <v>1604</v>
      </c>
      <c r="I4284" t="s">
        <v>148</v>
      </c>
      <c r="J4284">
        <v>21044</v>
      </c>
      <c r="K4284">
        <v>3433</v>
      </c>
      <c r="L4284" t="s">
        <v>23</v>
      </c>
      <c r="M4284" t="s">
        <v>11017</v>
      </c>
      <c r="N4284" t="s">
        <v>1604</v>
      </c>
      <c r="O4284" t="s">
        <v>148</v>
      </c>
      <c r="P4284">
        <v>21044</v>
      </c>
      <c r="Q4284">
        <v>3433</v>
      </c>
      <c r="R4284" t="s">
        <v>23</v>
      </c>
      <c r="S4284" s="1" t="s">
        <v>34218</v>
      </c>
    </row>
    <row r="4285" spans="1:19" x14ac:dyDescent="0.25">
      <c r="A4285">
        <v>100916370</v>
      </c>
      <c r="B4285" t="s">
        <v>11018</v>
      </c>
      <c r="C4285" t="s">
        <v>2151</v>
      </c>
      <c r="F4285" t="str">
        <f>"8123334498"</f>
        <v>8123334498</v>
      </c>
      <c r="G4285" t="s">
        <v>11019</v>
      </c>
      <c r="H4285" t="s">
        <v>685</v>
      </c>
      <c r="I4285" t="s">
        <v>57</v>
      </c>
      <c r="J4285">
        <v>47404</v>
      </c>
      <c r="K4285">
        <v>3645</v>
      </c>
      <c r="L4285" t="s">
        <v>23</v>
      </c>
      <c r="M4285" t="s">
        <v>11019</v>
      </c>
      <c r="N4285" t="s">
        <v>685</v>
      </c>
      <c r="O4285" t="s">
        <v>57</v>
      </c>
      <c r="P4285">
        <v>47404</v>
      </c>
      <c r="Q4285">
        <v>3645</v>
      </c>
      <c r="R4285" t="s">
        <v>23</v>
      </c>
      <c r="S4285" s="1" t="s">
        <v>34218</v>
      </c>
    </row>
    <row r="4286" spans="1:19" x14ac:dyDescent="0.25">
      <c r="A4286">
        <v>100919229</v>
      </c>
      <c r="B4286" t="s">
        <v>11020</v>
      </c>
      <c r="C4286" t="s">
        <v>11021</v>
      </c>
      <c r="G4286" t="s">
        <v>11022</v>
      </c>
      <c r="H4286" t="s">
        <v>11023</v>
      </c>
      <c r="I4286" t="s">
        <v>236</v>
      </c>
      <c r="J4286">
        <v>1770</v>
      </c>
      <c r="K4286">
        <v>1041</v>
      </c>
      <c r="L4286" t="s">
        <v>23</v>
      </c>
      <c r="M4286" t="s">
        <v>11022</v>
      </c>
      <c r="N4286" t="s">
        <v>11023</v>
      </c>
      <c r="O4286" t="s">
        <v>236</v>
      </c>
      <c r="P4286">
        <v>1770</v>
      </c>
      <c r="Q4286">
        <v>1041</v>
      </c>
      <c r="R4286" t="s">
        <v>23</v>
      </c>
      <c r="S4286" s="1" t="s">
        <v>34218</v>
      </c>
    </row>
    <row r="4287" spans="1:19" x14ac:dyDescent="0.25">
      <c r="A4287">
        <v>100917226</v>
      </c>
      <c r="B4287" t="s">
        <v>11024</v>
      </c>
      <c r="C4287" t="s">
        <v>3854</v>
      </c>
      <c r="G4287" t="s">
        <v>11025</v>
      </c>
      <c r="H4287" t="s">
        <v>3876</v>
      </c>
      <c r="I4287" t="s">
        <v>22</v>
      </c>
      <c r="J4287">
        <v>91405</v>
      </c>
      <c r="K4287">
        <v>4101</v>
      </c>
      <c r="L4287" t="s">
        <v>23</v>
      </c>
      <c r="M4287" t="s">
        <v>11025</v>
      </c>
      <c r="N4287" t="s">
        <v>3876</v>
      </c>
      <c r="O4287" t="s">
        <v>22</v>
      </c>
      <c r="P4287">
        <v>91405</v>
      </c>
      <c r="Q4287">
        <v>4101</v>
      </c>
      <c r="R4287" t="s">
        <v>23</v>
      </c>
      <c r="S4287" s="1" t="s">
        <v>34218</v>
      </c>
    </row>
    <row r="4288" spans="1:19" x14ac:dyDescent="0.25">
      <c r="A4288">
        <v>100917283</v>
      </c>
      <c r="B4288" t="s">
        <v>11026</v>
      </c>
      <c r="C4288" t="s">
        <v>11027</v>
      </c>
      <c r="G4288" t="s">
        <v>11028</v>
      </c>
      <c r="H4288" t="s">
        <v>11029</v>
      </c>
      <c r="I4288" t="s">
        <v>236</v>
      </c>
      <c r="J4288">
        <v>2719</v>
      </c>
      <c r="K4288">
        <v>613</v>
      </c>
      <c r="L4288" t="s">
        <v>23</v>
      </c>
      <c r="M4288" t="s">
        <v>11028</v>
      </c>
      <c r="N4288" t="s">
        <v>11029</v>
      </c>
      <c r="O4288" t="s">
        <v>236</v>
      </c>
      <c r="P4288">
        <v>2719</v>
      </c>
      <c r="Q4288">
        <v>613</v>
      </c>
      <c r="R4288" t="s">
        <v>23</v>
      </c>
      <c r="S4288" s="1" t="s">
        <v>34218</v>
      </c>
    </row>
    <row r="4289" spans="1:19" x14ac:dyDescent="0.25">
      <c r="A4289">
        <v>100918200</v>
      </c>
      <c r="B4289" t="s">
        <v>5911</v>
      </c>
      <c r="C4289" t="s">
        <v>911</v>
      </c>
      <c r="G4289" t="s">
        <v>5912</v>
      </c>
      <c r="H4289" t="s">
        <v>709</v>
      </c>
      <c r="I4289" t="s">
        <v>565</v>
      </c>
      <c r="J4289">
        <v>52240</v>
      </c>
      <c r="K4289">
        <v>5865</v>
      </c>
      <c r="L4289" t="s">
        <v>23</v>
      </c>
      <c r="M4289" t="s">
        <v>5912</v>
      </c>
      <c r="N4289" t="s">
        <v>709</v>
      </c>
      <c r="O4289" t="s">
        <v>565</v>
      </c>
      <c r="P4289">
        <v>52240</v>
      </c>
      <c r="Q4289">
        <v>5865</v>
      </c>
      <c r="R4289" t="s">
        <v>23</v>
      </c>
      <c r="S4289" s="1" t="s">
        <v>34218</v>
      </c>
    </row>
    <row r="4290" spans="1:19" x14ac:dyDescent="0.25">
      <c r="A4290">
        <v>100920720</v>
      </c>
      <c r="B4290" t="s">
        <v>465</v>
      </c>
      <c r="C4290" t="s">
        <v>2776</v>
      </c>
      <c r="G4290" t="s">
        <v>11030</v>
      </c>
      <c r="H4290" t="s">
        <v>4632</v>
      </c>
      <c r="I4290" t="s">
        <v>178</v>
      </c>
      <c r="J4290">
        <v>43216</v>
      </c>
      <c r="K4290">
        <v>391</v>
      </c>
      <c r="L4290" t="s">
        <v>23</v>
      </c>
      <c r="M4290" t="s">
        <v>11030</v>
      </c>
      <c r="N4290" t="s">
        <v>4632</v>
      </c>
      <c r="O4290" t="s">
        <v>178</v>
      </c>
      <c r="P4290">
        <v>43216</v>
      </c>
      <c r="Q4290">
        <v>391</v>
      </c>
      <c r="R4290" t="s">
        <v>23</v>
      </c>
      <c r="S4290" s="1" t="s">
        <v>34218</v>
      </c>
    </row>
    <row r="4291" spans="1:19" x14ac:dyDescent="0.25">
      <c r="A4291">
        <v>100920151</v>
      </c>
      <c r="B4291" t="s">
        <v>1034</v>
      </c>
      <c r="C4291" t="s">
        <v>155</v>
      </c>
      <c r="G4291" t="s">
        <v>11031</v>
      </c>
      <c r="H4291" t="s">
        <v>27</v>
      </c>
      <c r="I4291" t="s">
        <v>135</v>
      </c>
      <c r="J4291">
        <v>61723</v>
      </c>
      <c r="K4291">
        <v>9153</v>
      </c>
      <c r="L4291" t="s">
        <v>23</v>
      </c>
      <c r="M4291" t="s">
        <v>11031</v>
      </c>
      <c r="N4291" t="s">
        <v>27</v>
      </c>
      <c r="O4291" t="s">
        <v>135</v>
      </c>
      <c r="P4291">
        <v>61723</v>
      </c>
      <c r="Q4291">
        <v>9153</v>
      </c>
      <c r="R4291" t="s">
        <v>23</v>
      </c>
      <c r="S4291" s="1" t="s">
        <v>34218</v>
      </c>
    </row>
    <row r="4292" spans="1:19" x14ac:dyDescent="0.25">
      <c r="A4292">
        <v>100926615</v>
      </c>
      <c r="B4292" t="s">
        <v>11032</v>
      </c>
      <c r="C4292" t="s">
        <v>11033</v>
      </c>
      <c r="G4292" t="s">
        <v>11034</v>
      </c>
      <c r="H4292" t="s">
        <v>11035</v>
      </c>
      <c r="I4292" t="s">
        <v>22</v>
      </c>
      <c r="J4292">
        <v>92870</v>
      </c>
      <c r="K4292">
        <v>7454</v>
      </c>
      <c r="L4292" t="s">
        <v>23</v>
      </c>
      <c r="M4292" t="s">
        <v>11034</v>
      </c>
      <c r="N4292" t="s">
        <v>11035</v>
      </c>
      <c r="O4292" t="s">
        <v>22</v>
      </c>
      <c r="P4292">
        <v>92870</v>
      </c>
      <c r="Q4292">
        <v>7454</v>
      </c>
      <c r="R4292" t="s">
        <v>23</v>
      </c>
      <c r="S4292" s="1" t="s">
        <v>34218</v>
      </c>
    </row>
    <row r="4293" spans="1:19" x14ac:dyDescent="0.25">
      <c r="A4293">
        <v>100569683</v>
      </c>
      <c r="B4293" t="s">
        <v>11036</v>
      </c>
      <c r="C4293" t="s">
        <v>11037</v>
      </c>
      <c r="G4293" t="s">
        <v>11038</v>
      </c>
      <c r="H4293" t="s">
        <v>1614</v>
      </c>
      <c r="I4293" t="s">
        <v>22</v>
      </c>
      <c r="J4293">
        <v>92057</v>
      </c>
      <c r="K4293">
        <v>6927</v>
      </c>
      <c r="L4293" t="s">
        <v>23</v>
      </c>
      <c r="M4293" t="s">
        <v>11038</v>
      </c>
      <c r="N4293" t="s">
        <v>1614</v>
      </c>
      <c r="O4293" t="s">
        <v>22</v>
      </c>
      <c r="P4293">
        <v>92057</v>
      </c>
      <c r="Q4293">
        <v>6927</v>
      </c>
      <c r="R4293" t="s">
        <v>23</v>
      </c>
      <c r="S4293" s="1" t="s">
        <v>34218</v>
      </c>
    </row>
    <row r="4294" spans="1:19" x14ac:dyDescent="0.25">
      <c r="A4294">
        <v>100569313</v>
      </c>
      <c r="B4294" t="s">
        <v>3956</v>
      </c>
      <c r="C4294" t="s">
        <v>3704</v>
      </c>
      <c r="G4294" t="s">
        <v>11039</v>
      </c>
      <c r="H4294" t="s">
        <v>1535</v>
      </c>
      <c r="I4294" t="s">
        <v>22</v>
      </c>
      <c r="J4294">
        <v>94941</v>
      </c>
      <c r="K4294">
        <v>5009</v>
      </c>
      <c r="L4294" t="s">
        <v>23</v>
      </c>
      <c r="M4294" t="s">
        <v>11039</v>
      </c>
      <c r="N4294" t="s">
        <v>1535</v>
      </c>
      <c r="O4294" t="s">
        <v>22</v>
      </c>
      <c r="P4294">
        <v>94941</v>
      </c>
      <c r="Q4294">
        <v>5009</v>
      </c>
      <c r="R4294" t="s">
        <v>23</v>
      </c>
      <c r="S4294" s="1" t="s">
        <v>34218</v>
      </c>
    </row>
    <row r="4295" spans="1:19" x14ac:dyDescent="0.25">
      <c r="A4295">
        <v>100577387</v>
      </c>
      <c r="B4295" t="s">
        <v>11040</v>
      </c>
      <c r="C4295" t="s">
        <v>1327</v>
      </c>
      <c r="G4295" t="s">
        <v>11041</v>
      </c>
      <c r="H4295" t="s">
        <v>818</v>
      </c>
      <c r="I4295" t="s">
        <v>43</v>
      </c>
      <c r="J4295">
        <v>97008</v>
      </c>
      <c r="K4295">
        <v>7857</v>
      </c>
      <c r="L4295" t="s">
        <v>23</v>
      </c>
      <c r="M4295" t="s">
        <v>11041</v>
      </c>
      <c r="N4295" t="s">
        <v>818</v>
      </c>
      <c r="O4295" t="s">
        <v>43</v>
      </c>
      <c r="P4295">
        <v>97008</v>
      </c>
      <c r="Q4295">
        <v>7857</v>
      </c>
      <c r="R4295" t="s">
        <v>23</v>
      </c>
      <c r="S4295" s="1" t="s">
        <v>34218</v>
      </c>
    </row>
    <row r="4296" spans="1:19" x14ac:dyDescent="0.25">
      <c r="A4296">
        <v>100760233</v>
      </c>
      <c r="B4296" t="s">
        <v>1335</v>
      </c>
      <c r="C4296" t="s">
        <v>579</v>
      </c>
      <c r="G4296" t="s">
        <v>11042</v>
      </c>
      <c r="H4296" t="s">
        <v>289</v>
      </c>
      <c r="I4296" t="s">
        <v>52</v>
      </c>
      <c r="J4296">
        <v>32619</v>
      </c>
      <c r="K4296">
        <v>2262</v>
      </c>
      <c r="L4296" t="s">
        <v>23</v>
      </c>
      <c r="M4296" t="s">
        <v>11042</v>
      </c>
      <c r="N4296" t="s">
        <v>289</v>
      </c>
      <c r="O4296" t="s">
        <v>52</v>
      </c>
      <c r="P4296">
        <v>32619</v>
      </c>
      <c r="Q4296">
        <v>2262</v>
      </c>
      <c r="R4296" t="s">
        <v>23</v>
      </c>
      <c r="S4296" s="1" t="s">
        <v>34218</v>
      </c>
    </row>
    <row r="4297" spans="1:19" x14ac:dyDescent="0.25">
      <c r="A4297">
        <v>100760515</v>
      </c>
      <c r="B4297" t="s">
        <v>1039</v>
      </c>
      <c r="C4297" t="s">
        <v>959</v>
      </c>
      <c r="G4297" t="s">
        <v>11043</v>
      </c>
      <c r="H4297" t="s">
        <v>11044</v>
      </c>
      <c r="I4297" t="s">
        <v>117</v>
      </c>
      <c r="J4297">
        <v>14526</v>
      </c>
      <c r="K4297">
        <v>2730</v>
      </c>
      <c r="L4297" t="s">
        <v>23</v>
      </c>
      <c r="M4297" t="s">
        <v>11043</v>
      </c>
      <c r="N4297" t="s">
        <v>11044</v>
      </c>
      <c r="O4297" t="s">
        <v>117</v>
      </c>
      <c r="P4297">
        <v>14526</v>
      </c>
      <c r="Q4297">
        <v>2730</v>
      </c>
      <c r="R4297" t="s">
        <v>23</v>
      </c>
      <c r="S4297" s="1" t="s">
        <v>34218</v>
      </c>
    </row>
    <row r="4298" spans="1:19" x14ac:dyDescent="0.25">
      <c r="A4298">
        <v>100763316</v>
      </c>
      <c r="B4298" t="s">
        <v>11045</v>
      </c>
      <c r="C4298" t="s">
        <v>286</v>
      </c>
      <c r="G4298" t="s">
        <v>11046</v>
      </c>
      <c r="H4298" t="s">
        <v>11047</v>
      </c>
      <c r="I4298" t="s">
        <v>9752</v>
      </c>
      <c r="J4298">
        <v>727</v>
      </c>
      <c r="K4298">
        <v>7754</v>
      </c>
      <c r="L4298" t="s">
        <v>23</v>
      </c>
      <c r="M4298" t="s">
        <v>11046</v>
      </c>
      <c r="N4298" t="s">
        <v>11047</v>
      </c>
      <c r="O4298" t="s">
        <v>9752</v>
      </c>
      <c r="P4298">
        <v>727</v>
      </c>
      <c r="Q4298">
        <v>7754</v>
      </c>
      <c r="R4298" t="s">
        <v>23</v>
      </c>
      <c r="S4298" s="1" t="s">
        <v>34218</v>
      </c>
    </row>
    <row r="4299" spans="1:19" x14ac:dyDescent="0.25">
      <c r="A4299">
        <v>100769165</v>
      </c>
      <c r="B4299" t="s">
        <v>320</v>
      </c>
      <c r="C4299" t="s">
        <v>1828</v>
      </c>
      <c r="G4299" t="s">
        <v>11048</v>
      </c>
      <c r="H4299" t="s">
        <v>11049</v>
      </c>
      <c r="I4299" t="s">
        <v>370</v>
      </c>
      <c r="J4299">
        <v>68853</v>
      </c>
      <c r="K4299">
        <v>8040</v>
      </c>
      <c r="L4299" t="s">
        <v>23</v>
      </c>
      <c r="M4299" t="s">
        <v>11048</v>
      </c>
      <c r="N4299" t="s">
        <v>11049</v>
      </c>
      <c r="O4299" t="s">
        <v>370</v>
      </c>
      <c r="P4299">
        <v>68853</v>
      </c>
      <c r="Q4299">
        <v>8040</v>
      </c>
      <c r="R4299" t="s">
        <v>23</v>
      </c>
      <c r="S4299" s="1" t="s">
        <v>34218</v>
      </c>
    </row>
    <row r="4300" spans="1:19" x14ac:dyDescent="0.25">
      <c r="A4300">
        <v>100767629</v>
      </c>
      <c r="B4300" t="s">
        <v>11050</v>
      </c>
      <c r="C4300" t="s">
        <v>3453</v>
      </c>
      <c r="G4300" t="s">
        <v>11051</v>
      </c>
      <c r="H4300" t="s">
        <v>3388</v>
      </c>
      <c r="I4300" t="s">
        <v>22</v>
      </c>
      <c r="J4300">
        <v>91730</v>
      </c>
      <c r="K4300">
        <v>6659</v>
      </c>
      <c r="L4300" t="s">
        <v>23</v>
      </c>
      <c r="M4300" t="s">
        <v>11051</v>
      </c>
      <c r="N4300" t="s">
        <v>3388</v>
      </c>
      <c r="O4300" t="s">
        <v>22</v>
      </c>
      <c r="P4300">
        <v>91730</v>
      </c>
      <c r="Q4300">
        <v>6659</v>
      </c>
      <c r="R4300" t="s">
        <v>23</v>
      </c>
      <c r="S4300" s="1" t="s">
        <v>34218</v>
      </c>
    </row>
    <row r="4301" spans="1:19" x14ac:dyDescent="0.25">
      <c r="A4301">
        <v>100772153</v>
      </c>
      <c r="B4301" t="s">
        <v>11052</v>
      </c>
      <c r="C4301" t="s">
        <v>1658</v>
      </c>
      <c r="G4301" t="s">
        <v>11053</v>
      </c>
      <c r="H4301" t="s">
        <v>1452</v>
      </c>
      <c r="I4301" t="s">
        <v>43</v>
      </c>
      <c r="J4301">
        <v>97440</v>
      </c>
      <c r="K4301">
        <v>3658</v>
      </c>
      <c r="L4301" t="s">
        <v>23</v>
      </c>
      <c r="M4301" t="s">
        <v>11053</v>
      </c>
      <c r="N4301" t="s">
        <v>1452</v>
      </c>
      <c r="O4301" t="s">
        <v>43</v>
      </c>
      <c r="P4301">
        <v>97440</v>
      </c>
      <c r="Q4301">
        <v>3658</v>
      </c>
      <c r="R4301" t="s">
        <v>23</v>
      </c>
      <c r="S4301" s="1" t="s">
        <v>34218</v>
      </c>
    </row>
    <row r="4302" spans="1:19" x14ac:dyDescent="0.25">
      <c r="A4302">
        <v>100770768</v>
      </c>
      <c r="B4302" t="s">
        <v>11054</v>
      </c>
      <c r="C4302" t="s">
        <v>699</v>
      </c>
      <c r="G4302" t="s">
        <v>11055</v>
      </c>
      <c r="H4302" t="s">
        <v>818</v>
      </c>
      <c r="I4302" t="s">
        <v>43</v>
      </c>
      <c r="J4302">
        <v>97005</v>
      </c>
      <c r="K4302">
        <v>1936</v>
      </c>
      <c r="L4302" t="s">
        <v>23</v>
      </c>
      <c r="M4302" t="s">
        <v>11055</v>
      </c>
      <c r="N4302" t="s">
        <v>818</v>
      </c>
      <c r="O4302" t="s">
        <v>43</v>
      </c>
      <c r="P4302">
        <v>97005</v>
      </c>
      <c r="Q4302">
        <v>1936</v>
      </c>
      <c r="R4302" t="s">
        <v>23</v>
      </c>
      <c r="S4302" s="1" t="s">
        <v>34218</v>
      </c>
    </row>
    <row r="4303" spans="1:19" x14ac:dyDescent="0.25">
      <c r="A4303">
        <v>100770966</v>
      </c>
      <c r="B4303" t="s">
        <v>11056</v>
      </c>
      <c r="C4303" t="s">
        <v>1676</v>
      </c>
      <c r="G4303" t="s">
        <v>11057</v>
      </c>
      <c r="H4303" t="s">
        <v>11058</v>
      </c>
      <c r="I4303" t="s">
        <v>100</v>
      </c>
      <c r="J4303">
        <v>53119</v>
      </c>
      <c r="K4303">
        <v>1555</v>
      </c>
      <c r="L4303" t="s">
        <v>23</v>
      </c>
      <c r="M4303" t="s">
        <v>11057</v>
      </c>
      <c r="N4303" t="s">
        <v>11058</v>
      </c>
      <c r="O4303" t="s">
        <v>100</v>
      </c>
      <c r="P4303">
        <v>53119</v>
      </c>
      <c r="Q4303">
        <v>1555</v>
      </c>
      <c r="R4303" t="s">
        <v>23</v>
      </c>
      <c r="S4303" s="1" t="s">
        <v>34218</v>
      </c>
    </row>
    <row r="4304" spans="1:19" x14ac:dyDescent="0.25">
      <c r="A4304">
        <v>100771535</v>
      </c>
      <c r="B4304" t="s">
        <v>11059</v>
      </c>
      <c r="C4304" t="s">
        <v>1120</v>
      </c>
      <c r="G4304" t="s">
        <v>11060</v>
      </c>
      <c r="H4304" t="s">
        <v>11061</v>
      </c>
      <c r="I4304" t="s">
        <v>33</v>
      </c>
      <c r="J4304">
        <v>16686</v>
      </c>
      <c r="K4304">
        <v>8116</v>
      </c>
      <c r="L4304" t="s">
        <v>23</v>
      </c>
      <c r="M4304" t="s">
        <v>11060</v>
      </c>
      <c r="N4304" t="s">
        <v>11061</v>
      </c>
      <c r="O4304" t="s">
        <v>33</v>
      </c>
      <c r="P4304">
        <v>16686</v>
      </c>
      <c r="Q4304">
        <v>8116</v>
      </c>
      <c r="R4304" t="s">
        <v>23</v>
      </c>
      <c r="S4304" s="1" t="s">
        <v>34218</v>
      </c>
    </row>
    <row r="4305" spans="1:19" x14ac:dyDescent="0.25">
      <c r="A4305">
        <v>100771826</v>
      </c>
      <c r="B4305" t="s">
        <v>3462</v>
      </c>
      <c r="C4305" t="s">
        <v>403</v>
      </c>
      <c r="G4305" t="s">
        <v>11062</v>
      </c>
      <c r="H4305" t="s">
        <v>11063</v>
      </c>
      <c r="I4305" t="s">
        <v>22</v>
      </c>
      <c r="J4305">
        <v>95776</v>
      </c>
      <c r="K4305">
        <v>5422</v>
      </c>
      <c r="L4305" t="s">
        <v>23</v>
      </c>
      <c r="M4305" t="s">
        <v>11062</v>
      </c>
      <c r="N4305" t="s">
        <v>11063</v>
      </c>
      <c r="O4305" t="s">
        <v>22</v>
      </c>
      <c r="P4305">
        <v>95776</v>
      </c>
      <c r="Q4305">
        <v>5422</v>
      </c>
      <c r="R4305" t="s">
        <v>23</v>
      </c>
      <c r="S4305" s="1" t="s">
        <v>34218</v>
      </c>
    </row>
    <row r="4306" spans="1:19" x14ac:dyDescent="0.25">
      <c r="A4306">
        <v>100783002</v>
      </c>
      <c r="B4306" t="s">
        <v>1536</v>
      </c>
      <c r="C4306" t="s">
        <v>11064</v>
      </c>
      <c r="G4306" t="s">
        <v>11065</v>
      </c>
      <c r="H4306" t="s">
        <v>653</v>
      </c>
      <c r="I4306" t="s">
        <v>117</v>
      </c>
      <c r="J4306">
        <v>10128</v>
      </c>
      <c r="K4306">
        <v>4356</v>
      </c>
      <c r="L4306" t="s">
        <v>23</v>
      </c>
      <c r="M4306" t="s">
        <v>11065</v>
      </c>
      <c r="N4306" t="s">
        <v>653</v>
      </c>
      <c r="O4306" t="s">
        <v>117</v>
      </c>
      <c r="P4306">
        <v>10128</v>
      </c>
      <c r="Q4306">
        <v>4356</v>
      </c>
      <c r="R4306" t="s">
        <v>23</v>
      </c>
      <c r="S4306" s="1" t="s">
        <v>34218</v>
      </c>
    </row>
    <row r="4307" spans="1:19" x14ac:dyDescent="0.25">
      <c r="A4307">
        <v>100778583</v>
      </c>
      <c r="B4307" t="s">
        <v>11066</v>
      </c>
      <c r="C4307" t="s">
        <v>483</v>
      </c>
      <c r="G4307" t="s">
        <v>11067</v>
      </c>
      <c r="H4307" t="s">
        <v>4405</v>
      </c>
      <c r="I4307" t="s">
        <v>178</v>
      </c>
      <c r="J4307">
        <v>43017</v>
      </c>
      <c r="K4307">
        <v>2847</v>
      </c>
      <c r="L4307" t="s">
        <v>23</v>
      </c>
      <c r="M4307" t="s">
        <v>11067</v>
      </c>
      <c r="N4307" t="s">
        <v>4405</v>
      </c>
      <c r="O4307" t="s">
        <v>178</v>
      </c>
      <c r="P4307">
        <v>43017</v>
      </c>
      <c r="Q4307">
        <v>2847</v>
      </c>
      <c r="R4307" t="s">
        <v>23</v>
      </c>
      <c r="S4307" s="1" t="s">
        <v>34218</v>
      </c>
    </row>
    <row r="4308" spans="1:19" x14ac:dyDescent="0.25">
      <c r="A4308">
        <v>100781261</v>
      </c>
      <c r="B4308" t="s">
        <v>11068</v>
      </c>
      <c r="C4308" t="s">
        <v>30</v>
      </c>
      <c r="G4308" t="s">
        <v>11069</v>
      </c>
      <c r="H4308" t="s">
        <v>11070</v>
      </c>
      <c r="I4308" t="s">
        <v>914</v>
      </c>
      <c r="J4308">
        <v>37135</v>
      </c>
      <c r="K4308">
        <v>8455</v>
      </c>
      <c r="L4308" t="s">
        <v>23</v>
      </c>
      <c r="M4308" t="s">
        <v>11069</v>
      </c>
      <c r="N4308" t="s">
        <v>11070</v>
      </c>
      <c r="O4308" t="s">
        <v>914</v>
      </c>
      <c r="P4308">
        <v>37135</v>
      </c>
      <c r="Q4308">
        <v>8455</v>
      </c>
      <c r="R4308" t="s">
        <v>23</v>
      </c>
      <c r="S4308" s="1" t="s">
        <v>34218</v>
      </c>
    </row>
    <row r="4309" spans="1:19" x14ac:dyDescent="0.25">
      <c r="A4309">
        <v>100783630</v>
      </c>
      <c r="B4309" t="s">
        <v>1015</v>
      </c>
      <c r="C4309" t="s">
        <v>2642</v>
      </c>
      <c r="G4309" t="s">
        <v>11071</v>
      </c>
      <c r="H4309" t="s">
        <v>11072</v>
      </c>
      <c r="I4309" t="s">
        <v>38</v>
      </c>
      <c r="J4309">
        <v>75067</v>
      </c>
      <c r="K4309">
        <v>8144</v>
      </c>
      <c r="L4309" t="s">
        <v>23</v>
      </c>
      <c r="M4309" t="s">
        <v>11071</v>
      </c>
      <c r="N4309" t="s">
        <v>11072</v>
      </c>
      <c r="O4309" t="s">
        <v>38</v>
      </c>
      <c r="P4309">
        <v>75067</v>
      </c>
      <c r="Q4309">
        <v>8144</v>
      </c>
      <c r="R4309" t="s">
        <v>23</v>
      </c>
      <c r="S4309" s="1" t="s">
        <v>34218</v>
      </c>
    </row>
    <row r="4310" spans="1:19" x14ac:dyDescent="0.25">
      <c r="A4310">
        <v>100968581</v>
      </c>
      <c r="B4310" t="s">
        <v>11073</v>
      </c>
      <c r="C4310" t="s">
        <v>1309</v>
      </c>
      <c r="G4310" t="s">
        <v>11074</v>
      </c>
      <c r="H4310" t="s">
        <v>682</v>
      </c>
      <c r="I4310" t="s">
        <v>365</v>
      </c>
      <c r="J4310">
        <v>85041</v>
      </c>
      <c r="K4310">
        <v>5381</v>
      </c>
      <c r="L4310" t="s">
        <v>23</v>
      </c>
      <c r="M4310" t="s">
        <v>11074</v>
      </c>
      <c r="N4310" t="s">
        <v>682</v>
      </c>
      <c r="O4310" t="s">
        <v>365</v>
      </c>
      <c r="P4310">
        <v>85041</v>
      </c>
      <c r="Q4310">
        <v>5381</v>
      </c>
      <c r="R4310" t="s">
        <v>23</v>
      </c>
      <c r="S4310" s="1" t="s">
        <v>34218</v>
      </c>
    </row>
    <row r="4311" spans="1:19" x14ac:dyDescent="0.25">
      <c r="A4311">
        <v>101309493</v>
      </c>
      <c r="B4311" t="s">
        <v>11075</v>
      </c>
      <c r="C4311" t="s">
        <v>25</v>
      </c>
      <c r="F4311" t="str">
        <f>"3604824851"</f>
        <v>3604824851</v>
      </c>
      <c r="G4311" t="s">
        <v>11076</v>
      </c>
      <c r="H4311" t="s">
        <v>11077</v>
      </c>
      <c r="I4311" t="s">
        <v>84</v>
      </c>
      <c r="J4311">
        <v>98584</v>
      </c>
      <c r="L4311" t="s">
        <v>23</v>
      </c>
      <c r="M4311" t="s">
        <v>11076</v>
      </c>
      <c r="N4311" t="s">
        <v>11077</v>
      </c>
      <c r="O4311" t="s">
        <v>84</v>
      </c>
      <c r="P4311">
        <v>98584</v>
      </c>
      <c r="R4311" t="s">
        <v>23</v>
      </c>
      <c r="S4311" s="1" t="s">
        <v>34218</v>
      </c>
    </row>
    <row r="4312" spans="1:19" x14ac:dyDescent="0.25">
      <c r="A4312">
        <v>101450911</v>
      </c>
      <c r="B4312" t="s">
        <v>11078</v>
      </c>
      <c r="C4312" t="s">
        <v>286</v>
      </c>
      <c r="G4312" t="s">
        <v>11079</v>
      </c>
      <c r="H4312" t="s">
        <v>1674</v>
      </c>
      <c r="I4312" t="s">
        <v>22</v>
      </c>
      <c r="J4312">
        <v>91501</v>
      </c>
      <c r="K4312">
        <v>1929</v>
      </c>
      <c r="L4312" t="s">
        <v>23</v>
      </c>
      <c r="M4312" t="s">
        <v>11079</v>
      </c>
      <c r="N4312" t="s">
        <v>1674</v>
      </c>
      <c r="O4312" t="s">
        <v>22</v>
      </c>
      <c r="P4312">
        <v>91501</v>
      </c>
      <c r="Q4312">
        <v>1929</v>
      </c>
      <c r="R4312" t="s">
        <v>23</v>
      </c>
      <c r="S4312" s="1" t="s">
        <v>34218</v>
      </c>
    </row>
    <row r="4313" spans="1:19" x14ac:dyDescent="0.25">
      <c r="A4313">
        <v>100656142</v>
      </c>
      <c r="B4313" t="s">
        <v>11080</v>
      </c>
      <c r="C4313" t="s">
        <v>158</v>
      </c>
      <c r="G4313" t="s">
        <v>11081</v>
      </c>
      <c r="H4313" t="s">
        <v>3130</v>
      </c>
      <c r="I4313" t="s">
        <v>38</v>
      </c>
      <c r="J4313">
        <v>75703</v>
      </c>
      <c r="K4313">
        <v>5844</v>
      </c>
      <c r="L4313" t="s">
        <v>23</v>
      </c>
      <c r="M4313" t="s">
        <v>11081</v>
      </c>
      <c r="N4313" t="s">
        <v>3130</v>
      </c>
      <c r="O4313" t="s">
        <v>38</v>
      </c>
      <c r="P4313">
        <v>75703</v>
      </c>
      <c r="Q4313">
        <v>5844</v>
      </c>
      <c r="R4313" t="s">
        <v>23</v>
      </c>
      <c r="S4313" s="1" t="s">
        <v>34218</v>
      </c>
    </row>
    <row r="4314" spans="1:19" x14ac:dyDescent="0.25">
      <c r="A4314">
        <v>100665313</v>
      </c>
      <c r="B4314" t="s">
        <v>4959</v>
      </c>
      <c r="C4314" t="s">
        <v>68</v>
      </c>
      <c r="G4314" t="s">
        <v>11082</v>
      </c>
      <c r="H4314" t="s">
        <v>481</v>
      </c>
      <c r="I4314" t="s">
        <v>22</v>
      </c>
      <c r="J4314">
        <v>95138</v>
      </c>
      <c r="K4314">
        <v>1639</v>
      </c>
      <c r="L4314" t="s">
        <v>23</v>
      </c>
      <c r="M4314" t="s">
        <v>11082</v>
      </c>
      <c r="N4314" t="s">
        <v>481</v>
      </c>
      <c r="O4314" t="s">
        <v>22</v>
      </c>
      <c r="P4314">
        <v>95138</v>
      </c>
      <c r="Q4314">
        <v>1639</v>
      </c>
      <c r="R4314" t="s">
        <v>23</v>
      </c>
      <c r="S4314" s="1" t="s">
        <v>34218</v>
      </c>
    </row>
    <row r="4315" spans="1:19" x14ac:dyDescent="0.25">
      <c r="A4315">
        <v>100661189</v>
      </c>
      <c r="B4315" t="s">
        <v>11083</v>
      </c>
      <c r="C4315" t="s">
        <v>247</v>
      </c>
      <c r="G4315" t="s">
        <v>11084</v>
      </c>
      <c r="H4315" t="s">
        <v>3129</v>
      </c>
      <c r="I4315" t="s">
        <v>84</v>
      </c>
      <c r="J4315">
        <v>99208</v>
      </c>
      <c r="K4315">
        <v>3817</v>
      </c>
      <c r="L4315" t="s">
        <v>23</v>
      </c>
      <c r="M4315" t="s">
        <v>11084</v>
      </c>
      <c r="N4315" t="s">
        <v>3129</v>
      </c>
      <c r="O4315" t="s">
        <v>84</v>
      </c>
      <c r="P4315">
        <v>99208</v>
      </c>
      <c r="Q4315">
        <v>3817</v>
      </c>
      <c r="R4315" t="s">
        <v>23</v>
      </c>
      <c r="S4315" s="1" t="s">
        <v>34218</v>
      </c>
    </row>
    <row r="4316" spans="1:19" x14ac:dyDescent="0.25">
      <c r="A4316">
        <v>100661971</v>
      </c>
      <c r="B4316" t="s">
        <v>11085</v>
      </c>
      <c r="C4316" t="s">
        <v>1616</v>
      </c>
      <c r="F4316" t="str">
        <f>"5124169617"</f>
        <v>5124169617</v>
      </c>
      <c r="G4316" t="s">
        <v>11086</v>
      </c>
      <c r="H4316" t="s">
        <v>37</v>
      </c>
      <c r="I4316" t="s">
        <v>38</v>
      </c>
      <c r="J4316">
        <v>78704</v>
      </c>
      <c r="K4316">
        <v>4542</v>
      </c>
      <c r="L4316" t="s">
        <v>23</v>
      </c>
      <c r="M4316" t="s">
        <v>11086</v>
      </c>
      <c r="N4316" t="s">
        <v>37</v>
      </c>
      <c r="O4316" t="s">
        <v>38</v>
      </c>
      <c r="P4316">
        <v>78704</v>
      </c>
      <c r="Q4316">
        <v>4542</v>
      </c>
      <c r="R4316" t="s">
        <v>23</v>
      </c>
      <c r="S4316" s="1" t="s">
        <v>34218</v>
      </c>
    </row>
    <row r="4317" spans="1:19" x14ac:dyDescent="0.25">
      <c r="A4317">
        <v>100664793</v>
      </c>
      <c r="B4317" t="s">
        <v>4170</v>
      </c>
      <c r="C4317" t="s">
        <v>11087</v>
      </c>
      <c r="G4317" t="s">
        <v>11088</v>
      </c>
      <c r="H4317" t="s">
        <v>638</v>
      </c>
      <c r="I4317" t="s">
        <v>639</v>
      </c>
      <c r="J4317">
        <v>87111</v>
      </c>
      <c r="K4317">
        <v>8105</v>
      </c>
      <c r="L4317" t="s">
        <v>23</v>
      </c>
      <c r="M4317" t="s">
        <v>11088</v>
      </c>
      <c r="N4317" t="s">
        <v>638</v>
      </c>
      <c r="O4317" t="s">
        <v>639</v>
      </c>
      <c r="P4317">
        <v>87111</v>
      </c>
      <c r="Q4317">
        <v>8105</v>
      </c>
      <c r="R4317" t="s">
        <v>23</v>
      </c>
      <c r="S4317" s="1" t="s">
        <v>34218</v>
      </c>
    </row>
    <row r="4318" spans="1:19" x14ac:dyDescent="0.25">
      <c r="A4318">
        <v>100667761</v>
      </c>
      <c r="B4318" t="s">
        <v>11089</v>
      </c>
      <c r="C4318" t="s">
        <v>1933</v>
      </c>
      <c r="G4318" t="s">
        <v>11090</v>
      </c>
      <c r="H4318" t="s">
        <v>1113</v>
      </c>
      <c r="I4318" t="s">
        <v>365</v>
      </c>
      <c r="J4318">
        <v>86004</v>
      </c>
      <c r="K4318">
        <v>2360</v>
      </c>
      <c r="L4318" t="s">
        <v>23</v>
      </c>
      <c r="M4318" t="s">
        <v>11090</v>
      </c>
      <c r="N4318" t="s">
        <v>1113</v>
      </c>
      <c r="O4318" t="s">
        <v>365</v>
      </c>
      <c r="P4318">
        <v>86004</v>
      </c>
      <c r="Q4318">
        <v>2360</v>
      </c>
      <c r="R4318" t="s">
        <v>23</v>
      </c>
      <c r="S4318" s="1" t="s">
        <v>34218</v>
      </c>
    </row>
    <row r="4319" spans="1:19" x14ac:dyDescent="0.25">
      <c r="A4319">
        <v>100670677</v>
      </c>
      <c r="B4319" t="s">
        <v>2656</v>
      </c>
      <c r="C4319" t="s">
        <v>3754</v>
      </c>
      <c r="G4319" t="s">
        <v>11091</v>
      </c>
      <c r="H4319" t="s">
        <v>11092</v>
      </c>
      <c r="I4319" t="s">
        <v>984</v>
      </c>
      <c r="J4319">
        <v>96734</v>
      </c>
      <c r="K4319">
        <v>3265</v>
      </c>
      <c r="L4319" t="s">
        <v>23</v>
      </c>
      <c r="M4319" t="s">
        <v>11091</v>
      </c>
      <c r="N4319" t="s">
        <v>11092</v>
      </c>
      <c r="O4319" t="s">
        <v>984</v>
      </c>
      <c r="P4319">
        <v>96734</v>
      </c>
      <c r="Q4319">
        <v>3265</v>
      </c>
      <c r="R4319" t="s">
        <v>23</v>
      </c>
      <c r="S4319" s="1" t="s">
        <v>34218</v>
      </c>
    </row>
    <row r="4320" spans="1:19" x14ac:dyDescent="0.25">
      <c r="A4320">
        <v>100666741</v>
      </c>
      <c r="B4320" t="b">
        <v>1</v>
      </c>
      <c r="C4320" t="s">
        <v>90</v>
      </c>
      <c r="G4320" t="s">
        <v>11093</v>
      </c>
      <c r="H4320" t="s">
        <v>11094</v>
      </c>
      <c r="I4320" t="s">
        <v>33</v>
      </c>
      <c r="J4320">
        <v>17055</v>
      </c>
      <c r="K4320">
        <v>3935</v>
      </c>
      <c r="L4320" t="s">
        <v>23</v>
      </c>
      <c r="M4320" t="s">
        <v>11093</v>
      </c>
      <c r="N4320" t="s">
        <v>11094</v>
      </c>
      <c r="O4320" t="s">
        <v>33</v>
      </c>
      <c r="P4320">
        <v>17055</v>
      </c>
      <c r="Q4320">
        <v>3935</v>
      </c>
      <c r="R4320" t="s">
        <v>23</v>
      </c>
      <c r="S4320" s="1" t="s">
        <v>34218</v>
      </c>
    </row>
    <row r="4321" spans="1:19" x14ac:dyDescent="0.25">
      <c r="A4321">
        <v>100673769</v>
      </c>
      <c r="B4321" t="s">
        <v>11095</v>
      </c>
      <c r="C4321" t="s">
        <v>367</v>
      </c>
      <c r="G4321" t="s">
        <v>11096</v>
      </c>
      <c r="H4321" t="s">
        <v>1985</v>
      </c>
      <c r="I4321" t="s">
        <v>71</v>
      </c>
      <c r="J4321">
        <v>80906</v>
      </c>
      <c r="K4321">
        <v>4303</v>
      </c>
      <c r="L4321" t="s">
        <v>23</v>
      </c>
      <c r="M4321" t="s">
        <v>11096</v>
      </c>
      <c r="N4321" t="s">
        <v>1985</v>
      </c>
      <c r="O4321" t="s">
        <v>71</v>
      </c>
      <c r="P4321">
        <v>80906</v>
      </c>
      <c r="Q4321">
        <v>4303</v>
      </c>
      <c r="R4321" t="s">
        <v>23</v>
      </c>
      <c r="S4321" s="1" t="s">
        <v>34218</v>
      </c>
    </row>
    <row r="4322" spans="1:19" x14ac:dyDescent="0.25">
      <c r="A4322">
        <v>100925807</v>
      </c>
      <c r="B4322" t="s">
        <v>3159</v>
      </c>
      <c r="C4322" t="s">
        <v>274</v>
      </c>
      <c r="G4322" t="s">
        <v>11097</v>
      </c>
      <c r="H4322" t="s">
        <v>11098</v>
      </c>
      <c r="I4322" t="s">
        <v>250</v>
      </c>
      <c r="J4322">
        <v>8759</v>
      </c>
      <c r="K4322">
        <v>1794</v>
      </c>
      <c r="L4322" t="s">
        <v>23</v>
      </c>
      <c r="M4322" t="s">
        <v>11097</v>
      </c>
      <c r="N4322" t="s">
        <v>11098</v>
      </c>
      <c r="O4322" t="s">
        <v>250</v>
      </c>
      <c r="P4322">
        <v>8759</v>
      </c>
      <c r="Q4322">
        <v>1794</v>
      </c>
      <c r="R4322" t="s">
        <v>23</v>
      </c>
      <c r="S4322" s="1" t="s">
        <v>34218</v>
      </c>
    </row>
    <row r="4323" spans="1:19" x14ac:dyDescent="0.25">
      <c r="A4323">
        <v>100924664</v>
      </c>
      <c r="B4323" t="s">
        <v>11099</v>
      </c>
      <c r="C4323" t="s">
        <v>959</v>
      </c>
      <c r="G4323" t="s">
        <v>11100</v>
      </c>
      <c r="H4323" t="s">
        <v>5014</v>
      </c>
      <c r="I4323" t="s">
        <v>353</v>
      </c>
      <c r="J4323">
        <v>3801</v>
      </c>
      <c r="K4323">
        <v>5116</v>
      </c>
      <c r="L4323" t="s">
        <v>23</v>
      </c>
      <c r="M4323" t="s">
        <v>11100</v>
      </c>
      <c r="N4323" t="s">
        <v>5014</v>
      </c>
      <c r="O4323" t="s">
        <v>353</v>
      </c>
      <c r="P4323">
        <v>3801</v>
      </c>
      <c r="Q4323">
        <v>5116</v>
      </c>
      <c r="R4323" t="s">
        <v>23</v>
      </c>
      <c r="S4323" s="1" t="s">
        <v>34218</v>
      </c>
    </row>
    <row r="4324" spans="1:19" x14ac:dyDescent="0.25">
      <c r="A4324">
        <v>100927340</v>
      </c>
      <c r="B4324" t="s">
        <v>289</v>
      </c>
      <c r="C4324" t="s">
        <v>11101</v>
      </c>
      <c r="G4324" t="s">
        <v>11102</v>
      </c>
      <c r="H4324" t="s">
        <v>11103</v>
      </c>
      <c r="I4324" t="s">
        <v>178</v>
      </c>
      <c r="J4324">
        <v>44122</v>
      </c>
      <c r="K4324">
        <v>1504</v>
      </c>
      <c r="L4324" t="s">
        <v>23</v>
      </c>
      <c r="M4324" t="s">
        <v>11102</v>
      </c>
      <c r="N4324" t="s">
        <v>11103</v>
      </c>
      <c r="O4324" t="s">
        <v>178</v>
      </c>
      <c r="P4324">
        <v>44122</v>
      </c>
      <c r="Q4324">
        <v>1504</v>
      </c>
      <c r="R4324" t="s">
        <v>23</v>
      </c>
      <c r="S4324" s="1" t="s">
        <v>34218</v>
      </c>
    </row>
    <row r="4325" spans="1:19" x14ac:dyDescent="0.25">
      <c r="A4325">
        <v>100930067</v>
      </c>
      <c r="B4325" t="s">
        <v>11104</v>
      </c>
      <c r="C4325" t="s">
        <v>644</v>
      </c>
      <c r="G4325" t="s">
        <v>11105</v>
      </c>
      <c r="H4325" t="s">
        <v>6715</v>
      </c>
      <c r="I4325" t="s">
        <v>38</v>
      </c>
      <c r="J4325">
        <v>78028</v>
      </c>
      <c r="K4325">
        <v>1795</v>
      </c>
      <c r="L4325" t="s">
        <v>23</v>
      </c>
      <c r="M4325" t="s">
        <v>11105</v>
      </c>
      <c r="N4325" t="s">
        <v>6715</v>
      </c>
      <c r="O4325" t="s">
        <v>38</v>
      </c>
      <c r="P4325">
        <v>78028</v>
      </c>
      <c r="Q4325">
        <v>1795</v>
      </c>
      <c r="R4325" t="s">
        <v>23</v>
      </c>
      <c r="S4325" s="1" t="s">
        <v>34218</v>
      </c>
    </row>
    <row r="4326" spans="1:19" x14ac:dyDescent="0.25">
      <c r="A4326">
        <v>100930961</v>
      </c>
      <c r="B4326" t="s">
        <v>11106</v>
      </c>
      <c r="C4326" t="s">
        <v>1444</v>
      </c>
      <c r="G4326" t="s">
        <v>11107</v>
      </c>
      <c r="H4326" t="s">
        <v>134</v>
      </c>
      <c r="I4326" t="s">
        <v>135</v>
      </c>
      <c r="J4326">
        <v>60656</v>
      </c>
      <c r="K4326">
        <v>3728</v>
      </c>
      <c r="L4326" t="s">
        <v>23</v>
      </c>
      <c r="M4326" t="s">
        <v>11107</v>
      </c>
      <c r="N4326" t="s">
        <v>134</v>
      </c>
      <c r="O4326" t="s">
        <v>135</v>
      </c>
      <c r="P4326">
        <v>60656</v>
      </c>
      <c r="Q4326">
        <v>3728</v>
      </c>
      <c r="R4326" t="s">
        <v>23</v>
      </c>
      <c r="S4326" s="1" t="s">
        <v>34218</v>
      </c>
    </row>
    <row r="4327" spans="1:19" x14ac:dyDescent="0.25">
      <c r="A4327">
        <v>100923178</v>
      </c>
      <c r="B4327" t="s">
        <v>2223</v>
      </c>
      <c r="C4327" t="s">
        <v>40</v>
      </c>
      <c r="G4327" t="s">
        <v>11108</v>
      </c>
      <c r="H4327" t="s">
        <v>526</v>
      </c>
      <c r="I4327" t="s">
        <v>187</v>
      </c>
      <c r="J4327">
        <v>55341</v>
      </c>
      <c r="K4327">
        <v>4001</v>
      </c>
      <c r="L4327" t="s">
        <v>23</v>
      </c>
      <c r="M4327" t="s">
        <v>11108</v>
      </c>
      <c r="N4327" t="s">
        <v>526</v>
      </c>
      <c r="O4327" t="s">
        <v>187</v>
      </c>
      <c r="P4327">
        <v>55341</v>
      </c>
      <c r="Q4327">
        <v>4001</v>
      </c>
      <c r="R4327" t="s">
        <v>23</v>
      </c>
      <c r="S4327" s="1" t="s">
        <v>34218</v>
      </c>
    </row>
    <row r="4328" spans="1:19" x14ac:dyDescent="0.25">
      <c r="A4328">
        <v>100928773</v>
      </c>
      <c r="B4328" t="s">
        <v>5237</v>
      </c>
      <c r="C4328" t="s">
        <v>7281</v>
      </c>
      <c r="G4328" t="s">
        <v>11109</v>
      </c>
      <c r="H4328" t="s">
        <v>1863</v>
      </c>
      <c r="I4328" t="s">
        <v>126</v>
      </c>
      <c r="J4328">
        <v>64113</v>
      </c>
      <c r="K4328">
        <v>2127</v>
      </c>
      <c r="L4328" t="s">
        <v>23</v>
      </c>
      <c r="M4328" t="s">
        <v>11109</v>
      </c>
      <c r="N4328" t="s">
        <v>1863</v>
      </c>
      <c r="O4328" t="s">
        <v>126</v>
      </c>
      <c r="P4328">
        <v>64113</v>
      </c>
      <c r="Q4328">
        <v>2127</v>
      </c>
      <c r="R4328" t="s">
        <v>23</v>
      </c>
      <c r="S4328" s="1" t="s">
        <v>34218</v>
      </c>
    </row>
    <row r="4329" spans="1:19" x14ac:dyDescent="0.25">
      <c r="A4329">
        <v>100938040</v>
      </c>
      <c r="B4329" t="s">
        <v>11110</v>
      </c>
      <c r="C4329" t="s">
        <v>3304</v>
      </c>
      <c r="F4329" t="str">
        <f>"2484950321"</f>
        <v>2484950321</v>
      </c>
      <c r="G4329" t="s">
        <v>11111</v>
      </c>
      <c r="H4329" t="s">
        <v>11112</v>
      </c>
      <c r="I4329" t="s">
        <v>140</v>
      </c>
      <c r="J4329">
        <v>48317</v>
      </c>
      <c r="K4329">
        <v>3949</v>
      </c>
      <c r="L4329" t="s">
        <v>23</v>
      </c>
      <c r="M4329" t="s">
        <v>11111</v>
      </c>
      <c r="N4329" t="s">
        <v>11112</v>
      </c>
      <c r="O4329" t="s">
        <v>140</v>
      </c>
      <c r="P4329">
        <v>48317</v>
      </c>
      <c r="Q4329">
        <v>3949</v>
      </c>
      <c r="R4329" t="s">
        <v>23</v>
      </c>
      <c r="S4329" s="1" t="s">
        <v>34218</v>
      </c>
    </row>
    <row r="4330" spans="1:19" x14ac:dyDescent="0.25">
      <c r="A4330">
        <v>100934448</v>
      </c>
      <c r="B4330" t="s">
        <v>1004</v>
      </c>
      <c r="C4330" t="s">
        <v>217</v>
      </c>
      <c r="G4330" t="s">
        <v>11113</v>
      </c>
      <c r="H4330" t="s">
        <v>1246</v>
      </c>
      <c r="I4330" t="s">
        <v>140</v>
      </c>
      <c r="J4330">
        <v>49525</v>
      </c>
      <c r="K4330">
        <v>9450</v>
      </c>
      <c r="L4330" t="s">
        <v>23</v>
      </c>
      <c r="M4330" t="s">
        <v>11113</v>
      </c>
      <c r="N4330" t="s">
        <v>1246</v>
      </c>
      <c r="O4330" t="s">
        <v>140</v>
      </c>
      <c r="P4330">
        <v>49525</v>
      </c>
      <c r="Q4330">
        <v>9450</v>
      </c>
      <c r="R4330" t="s">
        <v>23</v>
      </c>
      <c r="S4330" s="1" t="s">
        <v>34218</v>
      </c>
    </row>
    <row r="4331" spans="1:19" x14ac:dyDescent="0.25">
      <c r="A4331">
        <v>100938845</v>
      </c>
      <c r="B4331" t="s">
        <v>11114</v>
      </c>
      <c r="C4331" t="s">
        <v>11115</v>
      </c>
      <c r="G4331" t="s">
        <v>11116</v>
      </c>
      <c r="H4331" t="s">
        <v>4062</v>
      </c>
      <c r="I4331" t="s">
        <v>353</v>
      </c>
      <c r="J4331">
        <v>3851</v>
      </c>
      <c r="K4331">
        <v>4722</v>
      </c>
      <c r="L4331" t="s">
        <v>23</v>
      </c>
      <c r="M4331" t="s">
        <v>11116</v>
      </c>
      <c r="N4331" t="s">
        <v>4062</v>
      </c>
      <c r="O4331" t="s">
        <v>353</v>
      </c>
      <c r="P4331">
        <v>3851</v>
      </c>
      <c r="Q4331">
        <v>4722</v>
      </c>
      <c r="R4331" t="s">
        <v>23</v>
      </c>
      <c r="S4331" s="1" t="s">
        <v>34218</v>
      </c>
    </row>
    <row r="4332" spans="1:19" x14ac:dyDescent="0.25">
      <c r="A4332">
        <v>100939809</v>
      </c>
      <c r="B4332" t="s">
        <v>11117</v>
      </c>
      <c r="C4332" t="s">
        <v>1179</v>
      </c>
      <c r="G4332" t="s">
        <v>11118</v>
      </c>
      <c r="H4332" t="s">
        <v>11119</v>
      </c>
      <c r="I4332" t="s">
        <v>71</v>
      </c>
      <c r="J4332">
        <v>80116</v>
      </c>
      <c r="K4332">
        <v>9432</v>
      </c>
      <c r="L4332" t="s">
        <v>23</v>
      </c>
      <c r="M4332" t="s">
        <v>11118</v>
      </c>
      <c r="N4332" t="s">
        <v>11119</v>
      </c>
      <c r="O4332" t="s">
        <v>71</v>
      </c>
      <c r="P4332">
        <v>80116</v>
      </c>
      <c r="Q4332">
        <v>9432</v>
      </c>
      <c r="R4332" t="s">
        <v>23</v>
      </c>
      <c r="S4332" s="1" t="s">
        <v>34218</v>
      </c>
    </row>
    <row r="4333" spans="1:19" x14ac:dyDescent="0.25">
      <c r="A4333">
        <v>100937834</v>
      </c>
      <c r="B4333" t="s">
        <v>11120</v>
      </c>
      <c r="C4333" t="s">
        <v>30</v>
      </c>
      <c r="G4333" t="s">
        <v>11121</v>
      </c>
      <c r="H4333" t="s">
        <v>11122</v>
      </c>
      <c r="I4333" t="s">
        <v>178</v>
      </c>
      <c r="J4333">
        <v>44256</v>
      </c>
      <c r="K4333">
        <v>7314</v>
      </c>
      <c r="L4333" t="s">
        <v>23</v>
      </c>
      <c r="M4333" t="s">
        <v>11121</v>
      </c>
      <c r="N4333" t="s">
        <v>11122</v>
      </c>
      <c r="O4333" t="s">
        <v>178</v>
      </c>
      <c r="P4333">
        <v>44256</v>
      </c>
      <c r="Q4333">
        <v>7314</v>
      </c>
      <c r="R4333" t="s">
        <v>23</v>
      </c>
      <c r="S4333" s="1" t="s">
        <v>34218</v>
      </c>
    </row>
    <row r="4334" spans="1:19" x14ac:dyDescent="0.25">
      <c r="A4334">
        <v>100550862</v>
      </c>
      <c r="B4334" t="s">
        <v>11123</v>
      </c>
      <c r="C4334" t="s">
        <v>102</v>
      </c>
      <c r="G4334" t="s">
        <v>11124</v>
      </c>
      <c r="H4334" t="s">
        <v>1857</v>
      </c>
      <c r="I4334" t="s">
        <v>702</v>
      </c>
      <c r="J4334">
        <v>89506</v>
      </c>
      <c r="K4334">
        <v>9717</v>
      </c>
      <c r="L4334" t="s">
        <v>23</v>
      </c>
      <c r="M4334" t="s">
        <v>11124</v>
      </c>
      <c r="N4334" t="s">
        <v>1857</v>
      </c>
      <c r="O4334" t="s">
        <v>702</v>
      </c>
      <c r="P4334">
        <v>89506</v>
      </c>
      <c r="Q4334">
        <v>9717</v>
      </c>
      <c r="R4334" t="s">
        <v>23</v>
      </c>
      <c r="S4334" s="1" t="s">
        <v>34218</v>
      </c>
    </row>
    <row r="4335" spans="1:19" x14ac:dyDescent="0.25">
      <c r="A4335">
        <v>100553726</v>
      </c>
      <c r="B4335" t="s">
        <v>4966</v>
      </c>
      <c r="C4335" t="s">
        <v>1598</v>
      </c>
      <c r="F4335" t="str">
        <f>"6077860243"</f>
        <v>6077860243</v>
      </c>
      <c r="G4335" t="s">
        <v>11125</v>
      </c>
      <c r="H4335" t="s">
        <v>3834</v>
      </c>
      <c r="I4335" t="s">
        <v>117</v>
      </c>
      <c r="J4335">
        <v>13760</v>
      </c>
      <c r="K4335">
        <v>5465</v>
      </c>
      <c r="L4335" t="s">
        <v>23</v>
      </c>
      <c r="M4335" t="s">
        <v>11125</v>
      </c>
      <c r="N4335" t="s">
        <v>3834</v>
      </c>
      <c r="O4335" t="s">
        <v>117</v>
      </c>
      <c r="P4335">
        <v>13760</v>
      </c>
      <c r="Q4335">
        <v>5465</v>
      </c>
      <c r="R4335" t="s">
        <v>23</v>
      </c>
      <c r="S4335" s="1" t="s">
        <v>34218</v>
      </c>
    </row>
    <row r="4336" spans="1:19" x14ac:dyDescent="0.25">
      <c r="A4336">
        <v>100559630</v>
      </c>
      <c r="B4336" t="s">
        <v>11126</v>
      </c>
      <c r="C4336" t="s">
        <v>123</v>
      </c>
      <c r="G4336" t="s">
        <v>11127</v>
      </c>
      <c r="H4336" t="s">
        <v>1508</v>
      </c>
      <c r="I4336" t="s">
        <v>84</v>
      </c>
      <c r="J4336">
        <v>98026</v>
      </c>
      <c r="K4336">
        <v>5830</v>
      </c>
      <c r="L4336" t="s">
        <v>23</v>
      </c>
      <c r="M4336" t="s">
        <v>11127</v>
      </c>
      <c r="N4336" t="s">
        <v>1508</v>
      </c>
      <c r="O4336" t="s">
        <v>84</v>
      </c>
      <c r="P4336">
        <v>98026</v>
      </c>
      <c r="Q4336">
        <v>5830</v>
      </c>
      <c r="R4336" t="s">
        <v>23</v>
      </c>
      <c r="S4336" s="1" t="s">
        <v>34218</v>
      </c>
    </row>
    <row r="4337" spans="1:19" x14ac:dyDescent="0.25">
      <c r="A4337">
        <v>100559654</v>
      </c>
      <c r="B4337" t="s">
        <v>11128</v>
      </c>
      <c r="C4337" t="s">
        <v>11129</v>
      </c>
      <c r="G4337" t="s">
        <v>11130</v>
      </c>
      <c r="H4337" t="s">
        <v>4159</v>
      </c>
      <c r="I4337" t="s">
        <v>178</v>
      </c>
      <c r="J4337">
        <v>43028</v>
      </c>
      <c r="K4337">
        <v>9484</v>
      </c>
      <c r="L4337" t="s">
        <v>23</v>
      </c>
      <c r="M4337" t="s">
        <v>11130</v>
      </c>
      <c r="N4337" t="s">
        <v>4159</v>
      </c>
      <c r="O4337" t="s">
        <v>178</v>
      </c>
      <c r="P4337">
        <v>43028</v>
      </c>
      <c r="Q4337">
        <v>9484</v>
      </c>
      <c r="R4337" t="s">
        <v>23</v>
      </c>
      <c r="S4337" s="1" t="s">
        <v>34218</v>
      </c>
    </row>
    <row r="4338" spans="1:19" x14ac:dyDescent="0.25">
      <c r="A4338">
        <v>100559678</v>
      </c>
      <c r="B4338" t="s">
        <v>11131</v>
      </c>
      <c r="C4338" t="s">
        <v>119</v>
      </c>
      <c r="G4338" t="s">
        <v>11132</v>
      </c>
      <c r="H4338" t="s">
        <v>11133</v>
      </c>
      <c r="I4338" t="s">
        <v>33</v>
      </c>
      <c r="J4338">
        <v>18660</v>
      </c>
      <c r="K4338">
        <v>1747</v>
      </c>
      <c r="L4338" t="s">
        <v>23</v>
      </c>
      <c r="M4338" t="s">
        <v>11132</v>
      </c>
      <c r="N4338" t="s">
        <v>11133</v>
      </c>
      <c r="O4338" t="s">
        <v>33</v>
      </c>
      <c r="P4338">
        <v>18660</v>
      </c>
      <c r="Q4338">
        <v>1747</v>
      </c>
      <c r="R4338" t="s">
        <v>23</v>
      </c>
      <c r="S4338" s="1" t="s">
        <v>34218</v>
      </c>
    </row>
    <row r="4339" spans="1:19" x14ac:dyDescent="0.25">
      <c r="A4339">
        <v>100558029</v>
      </c>
      <c r="B4339" t="s">
        <v>11134</v>
      </c>
      <c r="C4339" t="s">
        <v>30</v>
      </c>
      <c r="F4339" t="str">
        <f>"2157329769"</f>
        <v>2157329769</v>
      </c>
      <c r="G4339" t="s">
        <v>11135</v>
      </c>
      <c r="H4339" t="s">
        <v>573</v>
      </c>
      <c r="I4339" t="s">
        <v>33</v>
      </c>
      <c r="J4339">
        <v>19102</v>
      </c>
      <c r="K4339">
        <v>4214</v>
      </c>
      <c r="L4339" t="s">
        <v>23</v>
      </c>
      <c r="M4339" t="s">
        <v>11135</v>
      </c>
      <c r="N4339" t="s">
        <v>573</v>
      </c>
      <c r="O4339" t="s">
        <v>33</v>
      </c>
      <c r="P4339">
        <v>19102</v>
      </c>
      <c r="Q4339">
        <v>4214</v>
      </c>
      <c r="R4339" t="s">
        <v>23</v>
      </c>
      <c r="S4339" s="1" t="s">
        <v>34218</v>
      </c>
    </row>
    <row r="4340" spans="1:19" x14ac:dyDescent="0.25">
      <c r="A4340">
        <v>100560789</v>
      </c>
      <c r="B4340" t="s">
        <v>11136</v>
      </c>
      <c r="C4340" t="s">
        <v>11137</v>
      </c>
      <c r="G4340" t="s">
        <v>11138</v>
      </c>
      <c r="H4340" t="s">
        <v>299</v>
      </c>
      <c r="I4340" t="s">
        <v>22</v>
      </c>
      <c r="J4340">
        <v>90027</v>
      </c>
      <c r="K4340">
        <v>1622</v>
      </c>
      <c r="L4340" t="s">
        <v>23</v>
      </c>
      <c r="M4340" t="s">
        <v>11138</v>
      </c>
      <c r="N4340" t="s">
        <v>299</v>
      </c>
      <c r="O4340" t="s">
        <v>22</v>
      </c>
      <c r="P4340">
        <v>90027</v>
      </c>
      <c r="Q4340">
        <v>1622</v>
      </c>
      <c r="R4340" t="s">
        <v>23</v>
      </c>
      <c r="S4340" s="1" t="s">
        <v>34218</v>
      </c>
    </row>
    <row r="4341" spans="1:19" x14ac:dyDescent="0.25">
      <c r="A4341">
        <v>100567440</v>
      </c>
      <c r="B4341" t="s">
        <v>3583</v>
      </c>
      <c r="C4341" t="s">
        <v>209</v>
      </c>
      <c r="G4341" t="s">
        <v>11139</v>
      </c>
      <c r="H4341" t="s">
        <v>726</v>
      </c>
      <c r="I4341" t="s">
        <v>22</v>
      </c>
      <c r="J4341">
        <v>90405</v>
      </c>
      <c r="K4341">
        <v>5704</v>
      </c>
      <c r="L4341" t="s">
        <v>23</v>
      </c>
      <c r="M4341" t="s">
        <v>11139</v>
      </c>
      <c r="N4341" t="s">
        <v>726</v>
      </c>
      <c r="O4341" t="s">
        <v>22</v>
      </c>
      <c r="P4341">
        <v>90405</v>
      </c>
      <c r="Q4341">
        <v>5704</v>
      </c>
      <c r="R4341" t="s">
        <v>23</v>
      </c>
      <c r="S4341" s="1" t="s">
        <v>34218</v>
      </c>
    </row>
    <row r="4342" spans="1:19" x14ac:dyDescent="0.25">
      <c r="A4342">
        <v>100571251</v>
      </c>
      <c r="B4342" t="s">
        <v>11140</v>
      </c>
      <c r="C4342" t="s">
        <v>11141</v>
      </c>
      <c r="G4342" t="s">
        <v>11142</v>
      </c>
      <c r="H4342" t="s">
        <v>5697</v>
      </c>
      <c r="I4342" t="s">
        <v>117</v>
      </c>
      <c r="J4342">
        <v>11725</v>
      </c>
      <c r="K4342">
        <v>3905</v>
      </c>
      <c r="L4342" t="s">
        <v>23</v>
      </c>
      <c r="M4342" t="s">
        <v>11142</v>
      </c>
      <c r="N4342" t="s">
        <v>5697</v>
      </c>
      <c r="O4342" t="s">
        <v>117</v>
      </c>
      <c r="P4342">
        <v>11725</v>
      </c>
      <c r="Q4342">
        <v>3905</v>
      </c>
      <c r="R4342" t="s">
        <v>23</v>
      </c>
      <c r="S4342" s="1" t="s">
        <v>34218</v>
      </c>
    </row>
    <row r="4343" spans="1:19" x14ac:dyDescent="0.25">
      <c r="A4343">
        <v>100570593</v>
      </c>
      <c r="B4343" t="s">
        <v>10973</v>
      </c>
      <c r="C4343" t="s">
        <v>11143</v>
      </c>
      <c r="G4343" t="s">
        <v>11144</v>
      </c>
      <c r="H4343" t="s">
        <v>11145</v>
      </c>
      <c r="I4343" t="s">
        <v>38</v>
      </c>
      <c r="J4343">
        <v>79416</v>
      </c>
      <c r="K4343">
        <v>1303</v>
      </c>
      <c r="L4343" t="s">
        <v>23</v>
      </c>
      <c r="M4343" t="s">
        <v>11144</v>
      </c>
      <c r="N4343" t="s">
        <v>11145</v>
      </c>
      <c r="O4343" t="s">
        <v>38</v>
      </c>
      <c r="P4343">
        <v>79416</v>
      </c>
      <c r="Q4343">
        <v>1303</v>
      </c>
      <c r="R4343" t="s">
        <v>23</v>
      </c>
      <c r="S4343" s="1" t="s">
        <v>34218</v>
      </c>
    </row>
    <row r="4344" spans="1:19" x14ac:dyDescent="0.25">
      <c r="A4344">
        <v>100568120</v>
      </c>
      <c r="B4344" t="s">
        <v>11146</v>
      </c>
      <c r="C4344" t="s">
        <v>585</v>
      </c>
      <c r="G4344" t="s">
        <v>11147</v>
      </c>
      <c r="H4344" t="s">
        <v>280</v>
      </c>
      <c r="I4344" t="s">
        <v>117</v>
      </c>
      <c r="J4344">
        <v>12561</v>
      </c>
      <c r="K4344">
        <v>2221</v>
      </c>
      <c r="L4344" t="s">
        <v>23</v>
      </c>
      <c r="M4344" t="s">
        <v>11147</v>
      </c>
      <c r="N4344" t="s">
        <v>280</v>
      </c>
      <c r="O4344" t="s">
        <v>117</v>
      </c>
      <c r="P4344">
        <v>12561</v>
      </c>
      <c r="Q4344">
        <v>2221</v>
      </c>
      <c r="R4344" t="s">
        <v>23</v>
      </c>
      <c r="S4344" s="1" t="s">
        <v>34218</v>
      </c>
    </row>
    <row r="4345" spans="1:19" x14ac:dyDescent="0.25">
      <c r="A4345">
        <v>100570006</v>
      </c>
      <c r="B4345" t="s">
        <v>11148</v>
      </c>
      <c r="C4345" t="s">
        <v>11143</v>
      </c>
      <c r="G4345" t="s">
        <v>11149</v>
      </c>
      <c r="H4345" t="s">
        <v>108</v>
      </c>
      <c r="I4345" t="s">
        <v>22</v>
      </c>
      <c r="J4345">
        <v>93004</v>
      </c>
      <c r="K4345">
        <v>4047</v>
      </c>
      <c r="L4345" t="s">
        <v>23</v>
      </c>
      <c r="M4345" t="s">
        <v>11149</v>
      </c>
      <c r="N4345" t="s">
        <v>108</v>
      </c>
      <c r="O4345" t="s">
        <v>22</v>
      </c>
      <c r="P4345">
        <v>93004</v>
      </c>
      <c r="Q4345">
        <v>4047</v>
      </c>
      <c r="R4345" t="s">
        <v>23</v>
      </c>
      <c r="S4345" s="1" t="s">
        <v>34218</v>
      </c>
    </row>
    <row r="4346" spans="1:19" x14ac:dyDescent="0.25">
      <c r="A4346">
        <v>100760200</v>
      </c>
      <c r="B4346" t="s">
        <v>11150</v>
      </c>
      <c r="C4346" t="s">
        <v>579</v>
      </c>
      <c r="G4346" t="s">
        <v>11151</v>
      </c>
      <c r="H4346" t="s">
        <v>2106</v>
      </c>
      <c r="I4346" t="s">
        <v>353</v>
      </c>
      <c r="J4346">
        <v>3224</v>
      </c>
      <c r="K4346">
        <v>2032</v>
      </c>
      <c r="L4346" t="s">
        <v>23</v>
      </c>
      <c r="M4346" t="s">
        <v>11151</v>
      </c>
      <c r="N4346" t="s">
        <v>2106</v>
      </c>
      <c r="O4346" t="s">
        <v>353</v>
      </c>
      <c r="P4346">
        <v>3224</v>
      </c>
      <c r="Q4346">
        <v>2032</v>
      </c>
      <c r="R4346" t="s">
        <v>23</v>
      </c>
      <c r="S4346" s="1" t="s">
        <v>34218</v>
      </c>
    </row>
    <row r="4347" spans="1:19" x14ac:dyDescent="0.25">
      <c r="A4347">
        <v>100760411</v>
      </c>
      <c r="B4347" t="s">
        <v>1646</v>
      </c>
      <c r="C4347" t="s">
        <v>1036</v>
      </c>
      <c r="G4347" t="s">
        <v>11152</v>
      </c>
      <c r="H4347" t="s">
        <v>976</v>
      </c>
      <c r="I4347" t="s">
        <v>140</v>
      </c>
      <c r="J4347">
        <v>48105</v>
      </c>
      <c r="K4347">
        <v>9206</v>
      </c>
      <c r="L4347" t="s">
        <v>23</v>
      </c>
      <c r="M4347" t="s">
        <v>11152</v>
      </c>
      <c r="N4347" t="s">
        <v>976</v>
      </c>
      <c r="O4347" t="s">
        <v>140</v>
      </c>
      <c r="P4347">
        <v>48105</v>
      </c>
      <c r="Q4347">
        <v>9206</v>
      </c>
      <c r="R4347" t="s">
        <v>23</v>
      </c>
      <c r="S4347" s="1" t="s">
        <v>34218</v>
      </c>
    </row>
    <row r="4348" spans="1:19" x14ac:dyDescent="0.25">
      <c r="A4348">
        <v>100759819</v>
      </c>
      <c r="B4348" t="s">
        <v>1176</v>
      </c>
      <c r="C4348" t="s">
        <v>252</v>
      </c>
      <c r="G4348" t="s">
        <v>11153</v>
      </c>
      <c r="H4348" t="s">
        <v>573</v>
      </c>
      <c r="I4348" t="s">
        <v>33</v>
      </c>
      <c r="J4348">
        <v>19128</v>
      </c>
      <c r="K4348">
        <v>1733</v>
      </c>
      <c r="L4348" t="s">
        <v>23</v>
      </c>
      <c r="M4348" t="s">
        <v>11153</v>
      </c>
      <c r="N4348" t="s">
        <v>573</v>
      </c>
      <c r="O4348" t="s">
        <v>33</v>
      </c>
      <c r="P4348">
        <v>19128</v>
      </c>
      <c r="Q4348">
        <v>1733</v>
      </c>
      <c r="R4348" t="s">
        <v>23</v>
      </c>
      <c r="S4348" s="1" t="s">
        <v>34218</v>
      </c>
    </row>
    <row r="4349" spans="1:19" x14ac:dyDescent="0.25">
      <c r="A4349">
        <v>100764489</v>
      </c>
      <c r="B4349" t="s">
        <v>497</v>
      </c>
      <c r="C4349" t="s">
        <v>4900</v>
      </c>
      <c r="G4349" t="s">
        <v>11154</v>
      </c>
      <c r="H4349" t="s">
        <v>5488</v>
      </c>
      <c r="I4349" t="s">
        <v>140</v>
      </c>
      <c r="J4349">
        <v>48503</v>
      </c>
      <c r="K4349">
        <v>4120</v>
      </c>
      <c r="L4349" t="s">
        <v>23</v>
      </c>
      <c r="M4349" t="s">
        <v>11154</v>
      </c>
      <c r="N4349" t="s">
        <v>5488</v>
      </c>
      <c r="O4349" t="s">
        <v>140</v>
      </c>
      <c r="P4349">
        <v>48503</v>
      </c>
      <c r="Q4349">
        <v>4120</v>
      </c>
      <c r="R4349" t="s">
        <v>23</v>
      </c>
      <c r="S4349" s="1" t="s">
        <v>34218</v>
      </c>
    </row>
    <row r="4350" spans="1:19" x14ac:dyDescent="0.25">
      <c r="A4350">
        <v>100766042</v>
      </c>
      <c r="B4350" t="s">
        <v>2997</v>
      </c>
      <c r="C4350" t="s">
        <v>382</v>
      </c>
      <c r="G4350" t="s">
        <v>11155</v>
      </c>
      <c r="H4350" t="s">
        <v>7333</v>
      </c>
      <c r="I4350" t="s">
        <v>250</v>
      </c>
      <c r="J4350">
        <v>7823</v>
      </c>
      <c r="K4350">
        <v>2637</v>
      </c>
      <c r="L4350" t="s">
        <v>23</v>
      </c>
      <c r="M4350" t="s">
        <v>11155</v>
      </c>
      <c r="N4350" t="s">
        <v>7333</v>
      </c>
      <c r="O4350" t="s">
        <v>250</v>
      </c>
      <c r="P4350">
        <v>7823</v>
      </c>
      <c r="Q4350">
        <v>2637</v>
      </c>
      <c r="R4350" t="s">
        <v>23</v>
      </c>
      <c r="S4350" s="1" t="s">
        <v>34218</v>
      </c>
    </row>
    <row r="4351" spans="1:19" x14ac:dyDescent="0.25">
      <c r="A4351">
        <v>100672869</v>
      </c>
      <c r="B4351" t="s">
        <v>4064</v>
      </c>
      <c r="C4351" t="s">
        <v>1622</v>
      </c>
      <c r="G4351" t="s">
        <v>11156</v>
      </c>
      <c r="H4351" t="s">
        <v>2069</v>
      </c>
      <c r="I4351" t="s">
        <v>22</v>
      </c>
      <c r="J4351">
        <v>95472</v>
      </c>
      <c r="K4351">
        <v>4821</v>
      </c>
      <c r="L4351" t="s">
        <v>23</v>
      </c>
      <c r="M4351" t="s">
        <v>11156</v>
      </c>
      <c r="N4351" t="s">
        <v>2069</v>
      </c>
      <c r="O4351" t="s">
        <v>22</v>
      </c>
      <c r="P4351">
        <v>95472</v>
      </c>
      <c r="Q4351">
        <v>4821</v>
      </c>
      <c r="R4351" t="s">
        <v>23</v>
      </c>
      <c r="S4351" s="1" t="s">
        <v>34218</v>
      </c>
    </row>
    <row r="4352" spans="1:19" x14ac:dyDescent="0.25">
      <c r="A4352">
        <v>100674393</v>
      </c>
      <c r="B4352" t="s">
        <v>11157</v>
      </c>
      <c r="C4352" t="s">
        <v>11158</v>
      </c>
      <c r="G4352" t="s">
        <v>11159</v>
      </c>
      <c r="H4352" t="s">
        <v>1439</v>
      </c>
      <c r="I4352" t="s">
        <v>365</v>
      </c>
      <c r="J4352">
        <v>85738</v>
      </c>
      <c r="K4352">
        <v>498</v>
      </c>
      <c r="L4352" t="s">
        <v>23</v>
      </c>
      <c r="M4352" t="s">
        <v>11159</v>
      </c>
      <c r="N4352" t="s">
        <v>1439</v>
      </c>
      <c r="O4352" t="s">
        <v>365</v>
      </c>
      <c r="P4352">
        <v>85738</v>
      </c>
      <c r="Q4352">
        <v>498</v>
      </c>
      <c r="R4352" t="s">
        <v>23</v>
      </c>
      <c r="S4352" s="1" t="s">
        <v>34218</v>
      </c>
    </row>
    <row r="4353" spans="1:19" x14ac:dyDescent="0.25">
      <c r="A4353">
        <v>100674434</v>
      </c>
      <c r="B4353" t="s">
        <v>11160</v>
      </c>
      <c r="C4353" t="s">
        <v>7054</v>
      </c>
      <c r="F4353" t="str">
        <f>"9088500053"</f>
        <v>9088500053</v>
      </c>
      <c r="G4353" t="s">
        <v>11161</v>
      </c>
      <c r="H4353" t="s">
        <v>11162</v>
      </c>
      <c r="I4353" t="s">
        <v>250</v>
      </c>
      <c r="J4353">
        <v>7840</v>
      </c>
      <c r="K4353">
        <v>3310</v>
      </c>
      <c r="L4353" t="s">
        <v>23</v>
      </c>
      <c r="M4353" t="s">
        <v>11161</v>
      </c>
      <c r="N4353" t="s">
        <v>11162</v>
      </c>
      <c r="O4353" t="s">
        <v>250</v>
      </c>
      <c r="P4353">
        <v>7840</v>
      </c>
      <c r="Q4353">
        <v>3310</v>
      </c>
      <c r="R4353" t="s">
        <v>23</v>
      </c>
      <c r="S4353" s="1" t="s">
        <v>34218</v>
      </c>
    </row>
    <row r="4354" spans="1:19" x14ac:dyDescent="0.25">
      <c r="A4354">
        <v>100673511</v>
      </c>
      <c r="B4354" t="s">
        <v>11163</v>
      </c>
      <c r="C4354" t="s">
        <v>11164</v>
      </c>
      <c r="G4354" t="s">
        <v>11165</v>
      </c>
      <c r="H4354" t="s">
        <v>177</v>
      </c>
      <c r="I4354" t="s">
        <v>43</v>
      </c>
      <c r="J4354">
        <v>97520</v>
      </c>
      <c r="K4354">
        <v>1766</v>
      </c>
      <c r="L4354" t="s">
        <v>23</v>
      </c>
      <c r="M4354" t="s">
        <v>11165</v>
      </c>
      <c r="N4354" t="s">
        <v>177</v>
      </c>
      <c r="O4354" t="s">
        <v>43</v>
      </c>
      <c r="P4354">
        <v>97520</v>
      </c>
      <c r="Q4354">
        <v>1766</v>
      </c>
      <c r="R4354" t="s">
        <v>23</v>
      </c>
      <c r="S4354" s="1" t="s">
        <v>34218</v>
      </c>
    </row>
    <row r="4355" spans="1:19" x14ac:dyDescent="0.25">
      <c r="A4355">
        <v>100677495</v>
      </c>
      <c r="B4355" t="s">
        <v>11166</v>
      </c>
      <c r="C4355" t="s">
        <v>1027</v>
      </c>
      <c r="G4355" t="s">
        <v>11167</v>
      </c>
      <c r="H4355" t="s">
        <v>7886</v>
      </c>
      <c r="I4355" t="s">
        <v>178</v>
      </c>
      <c r="J4355">
        <v>44319</v>
      </c>
      <c r="K4355">
        <v>2639</v>
      </c>
      <c r="L4355" t="s">
        <v>23</v>
      </c>
      <c r="M4355" t="s">
        <v>11167</v>
      </c>
      <c r="N4355" t="s">
        <v>7886</v>
      </c>
      <c r="O4355" t="s">
        <v>178</v>
      </c>
      <c r="P4355">
        <v>44319</v>
      </c>
      <c r="Q4355">
        <v>2639</v>
      </c>
      <c r="R4355" t="s">
        <v>23</v>
      </c>
      <c r="S4355" s="1" t="s">
        <v>34218</v>
      </c>
    </row>
    <row r="4356" spans="1:19" x14ac:dyDescent="0.25">
      <c r="A4356">
        <v>100682646</v>
      </c>
      <c r="B4356" t="s">
        <v>2144</v>
      </c>
      <c r="C4356" t="s">
        <v>1153</v>
      </c>
      <c r="G4356" t="s">
        <v>11168</v>
      </c>
      <c r="H4356" t="s">
        <v>11169</v>
      </c>
      <c r="I4356" t="s">
        <v>100</v>
      </c>
      <c r="J4356">
        <v>54703</v>
      </c>
      <c r="K4356">
        <v>1434</v>
      </c>
      <c r="L4356" t="s">
        <v>23</v>
      </c>
      <c r="M4356" t="s">
        <v>11168</v>
      </c>
      <c r="N4356" t="s">
        <v>11169</v>
      </c>
      <c r="O4356" t="s">
        <v>100</v>
      </c>
      <c r="P4356">
        <v>54703</v>
      </c>
      <c r="Q4356">
        <v>1434</v>
      </c>
      <c r="R4356" t="s">
        <v>23</v>
      </c>
      <c r="S4356" s="1" t="s">
        <v>34218</v>
      </c>
    </row>
    <row r="4357" spans="1:19" x14ac:dyDescent="0.25">
      <c r="A4357">
        <v>100682684</v>
      </c>
      <c r="B4357" t="s">
        <v>11170</v>
      </c>
      <c r="C4357" t="s">
        <v>1955</v>
      </c>
      <c r="F4357" t="str">
        <f>"7738200608"</f>
        <v>7738200608</v>
      </c>
      <c r="G4357" t="s">
        <v>11171</v>
      </c>
      <c r="H4357" t="s">
        <v>134</v>
      </c>
      <c r="I4357" t="s">
        <v>135</v>
      </c>
      <c r="J4357">
        <v>60634</v>
      </c>
      <c r="K4357">
        <v>3638</v>
      </c>
      <c r="L4357" t="s">
        <v>23</v>
      </c>
      <c r="M4357" t="s">
        <v>11171</v>
      </c>
      <c r="N4357" t="s">
        <v>134</v>
      </c>
      <c r="O4357" t="s">
        <v>135</v>
      </c>
      <c r="P4357">
        <v>60634</v>
      </c>
      <c r="Q4357">
        <v>3638</v>
      </c>
      <c r="R4357" t="s">
        <v>23</v>
      </c>
      <c r="S4357" s="1" t="s">
        <v>34218</v>
      </c>
    </row>
    <row r="4358" spans="1:19" x14ac:dyDescent="0.25">
      <c r="A4358">
        <v>100865977</v>
      </c>
      <c r="B4358" t="s">
        <v>11172</v>
      </c>
      <c r="C4358" t="s">
        <v>30</v>
      </c>
      <c r="F4358" t="str">
        <f>"8152546941"</f>
        <v>8152546941</v>
      </c>
      <c r="G4358" t="s">
        <v>11173</v>
      </c>
      <c r="H4358" t="s">
        <v>6490</v>
      </c>
      <c r="I4358" t="s">
        <v>135</v>
      </c>
      <c r="J4358">
        <v>60586</v>
      </c>
      <c r="K4358">
        <v>7278</v>
      </c>
      <c r="L4358" t="s">
        <v>23</v>
      </c>
      <c r="M4358" t="s">
        <v>11173</v>
      </c>
      <c r="N4358" t="s">
        <v>6490</v>
      </c>
      <c r="O4358" t="s">
        <v>135</v>
      </c>
      <c r="P4358">
        <v>60586</v>
      </c>
      <c r="Q4358">
        <v>7278</v>
      </c>
      <c r="R4358" t="s">
        <v>23</v>
      </c>
      <c r="S4358" s="1" t="s">
        <v>34218</v>
      </c>
    </row>
    <row r="4359" spans="1:19" x14ac:dyDescent="0.25">
      <c r="A4359">
        <v>100861818</v>
      </c>
      <c r="B4359" t="s">
        <v>2841</v>
      </c>
      <c r="C4359" t="s">
        <v>428</v>
      </c>
      <c r="G4359" t="s">
        <v>11174</v>
      </c>
      <c r="H4359" t="s">
        <v>134</v>
      </c>
      <c r="I4359" t="s">
        <v>135</v>
      </c>
      <c r="J4359">
        <v>60660</v>
      </c>
      <c r="K4359">
        <v>3039</v>
      </c>
      <c r="L4359" t="s">
        <v>23</v>
      </c>
      <c r="M4359" t="s">
        <v>11174</v>
      </c>
      <c r="N4359" t="s">
        <v>134</v>
      </c>
      <c r="O4359" t="s">
        <v>135</v>
      </c>
      <c r="P4359">
        <v>60660</v>
      </c>
      <c r="Q4359">
        <v>3039</v>
      </c>
      <c r="R4359" t="s">
        <v>23</v>
      </c>
      <c r="S4359" s="1" t="s">
        <v>34218</v>
      </c>
    </row>
    <row r="4360" spans="1:19" x14ac:dyDescent="0.25">
      <c r="A4360">
        <v>100869351</v>
      </c>
      <c r="B4360" t="s">
        <v>553</v>
      </c>
      <c r="C4360" t="s">
        <v>294</v>
      </c>
      <c r="G4360" t="s">
        <v>11175</v>
      </c>
      <c r="H4360" t="s">
        <v>869</v>
      </c>
      <c r="I4360" t="s">
        <v>52</v>
      </c>
      <c r="J4360">
        <v>33137</v>
      </c>
      <c r="K4360">
        <v>3836</v>
      </c>
      <c r="L4360" t="s">
        <v>23</v>
      </c>
      <c r="M4360" t="s">
        <v>11175</v>
      </c>
      <c r="N4360" t="s">
        <v>869</v>
      </c>
      <c r="O4360" t="s">
        <v>52</v>
      </c>
      <c r="P4360">
        <v>33137</v>
      </c>
      <c r="Q4360">
        <v>3836</v>
      </c>
      <c r="R4360" t="s">
        <v>23</v>
      </c>
      <c r="S4360" s="1" t="s">
        <v>34218</v>
      </c>
    </row>
    <row r="4361" spans="1:19" x14ac:dyDescent="0.25">
      <c r="A4361">
        <v>100871974</v>
      </c>
      <c r="B4361" t="s">
        <v>11176</v>
      </c>
      <c r="C4361" t="s">
        <v>535</v>
      </c>
      <c r="F4361" t="str">
        <f>"6315470156"</f>
        <v>6315470156</v>
      </c>
      <c r="G4361" t="s">
        <v>11177</v>
      </c>
      <c r="H4361" t="s">
        <v>8089</v>
      </c>
      <c r="I4361" t="s">
        <v>117</v>
      </c>
      <c r="J4361">
        <v>11746</v>
      </c>
      <c r="K4361">
        <v>4231</v>
      </c>
      <c r="L4361" t="s">
        <v>23</v>
      </c>
      <c r="M4361" t="s">
        <v>11177</v>
      </c>
      <c r="N4361" t="s">
        <v>8089</v>
      </c>
      <c r="O4361" t="s">
        <v>117</v>
      </c>
      <c r="P4361">
        <v>11746</v>
      </c>
      <c r="Q4361">
        <v>4231</v>
      </c>
      <c r="R4361" t="s">
        <v>23</v>
      </c>
      <c r="S4361" s="1" t="s">
        <v>34218</v>
      </c>
    </row>
    <row r="4362" spans="1:19" x14ac:dyDescent="0.25">
      <c r="A4362">
        <v>100870377</v>
      </c>
      <c r="B4362" t="s">
        <v>11178</v>
      </c>
      <c r="C4362" t="s">
        <v>45</v>
      </c>
      <c r="G4362" t="s">
        <v>11179</v>
      </c>
      <c r="H4362" t="s">
        <v>11180</v>
      </c>
      <c r="I4362" t="s">
        <v>117</v>
      </c>
      <c r="J4362">
        <v>14127</v>
      </c>
      <c r="K4362">
        <v>4860</v>
      </c>
      <c r="L4362" t="s">
        <v>23</v>
      </c>
      <c r="M4362" t="s">
        <v>11179</v>
      </c>
      <c r="N4362" t="s">
        <v>11180</v>
      </c>
      <c r="O4362" t="s">
        <v>117</v>
      </c>
      <c r="P4362">
        <v>14127</v>
      </c>
      <c r="Q4362">
        <v>4860</v>
      </c>
      <c r="R4362" t="s">
        <v>23</v>
      </c>
      <c r="S4362" s="1" t="s">
        <v>34218</v>
      </c>
    </row>
    <row r="4363" spans="1:19" x14ac:dyDescent="0.25">
      <c r="A4363">
        <v>100870716</v>
      </c>
      <c r="B4363" t="s">
        <v>11181</v>
      </c>
      <c r="C4363" t="s">
        <v>11182</v>
      </c>
      <c r="G4363" t="s">
        <v>11183</v>
      </c>
      <c r="H4363" t="s">
        <v>573</v>
      </c>
      <c r="I4363" t="s">
        <v>33</v>
      </c>
      <c r="J4363">
        <v>19102</v>
      </c>
      <c r="K4363">
        <v>4906</v>
      </c>
      <c r="L4363" t="s">
        <v>23</v>
      </c>
      <c r="M4363" t="s">
        <v>11183</v>
      </c>
      <c r="N4363" t="s">
        <v>573</v>
      </c>
      <c r="O4363" t="s">
        <v>33</v>
      </c>
      <c r="P4363">
        <v>19102</v>
      </c>
      <c r="Q4363">
        <v>4906</v>
      </c>
      <c r="R4363" t="s">
        <v>23</v>
      </c>
      <c r="S4363" s="1" t="s">
        <v>34218</v>
      </c>
    </row>
    <row r="4364" spans="1:19" x14ac:dyDescent="0.25">
      <c r="A4364">
        <v>100876627</v>
      </c>
      <c r="B4364" t="s">
        <v>11184</v>
      </c>
      <c r="C4364" t="s">
        <v>5288</v>
      </c>
      <c r="G4364" t="s">
        <v>11185</v>
      </c>
      <c r="H4364" t="s">
        <v>7449</v>
      </c>
      <c r="I4364" t="s">
        <v>135</v>
      </c>
      <c r="J4364">
        <v>60061</v>
      </c>
      <c r="K4364">
        <v>1029</v>
      </c>
      <c r="L4364" t="s">
        <v>23</v>
      </c>
      <c r="M4364" t="s">
        <v>11185</v>
      </c>
      <c r="N4364" t="s">
        <v>7449</v>
      </c>
      <c r="O4364" t="s">
        <v>135</v>
      </c>
      <c r="P4364">
        <v>60061</v>
      </c>
      <c r="Q4364">
        <v>1029</v>
      </c>
      <c r="R4364" t="s">
        <v>23</v>
      </c>
      <c r="S4364" s="1" t="s">
        <v>34218</v>
      </c>
    </row>
    <row r="4365" spans="1:19" x14ac:dyDescent="0.25">
      <c r="A4365">
        <v>100879186</v>
      </c>
      <c r="B4365" t="s">
        <v>3696</v>
      </c>
      <c r="C4365" t="s">
        <v>9305</v>
      </c>
      <c r="G4365" t="s">
        <v>11186</v>
      </c>
      <c r="H4365" t="s">
        <v>688</v>
      </c>
      <c r="I4365" t="s">
        <v>117</v>
      </c>
      <c r="J4365">
        <v>14623</v>
      </c>
      <c r="K4365">
        <v>2001</v>
      </c>
      <c r="L4365" t="s">
        <v>23</v>
      </c>
      <c r="M4365" t="s">
        <v>11186</v>
      </c>
      <c r="N4365" t="s">
        <v>688</v>
      </c>
      <c r="O4365" t="s">
        <v>117</v>
      </c>
      <c r="P4365">
        <v>14623</v>
      </c>
      <c r="Q4365">
        <v>2001</v>
      </c>
      <c r="R4365" t="s">
        <v>23</v>
      </c>
      <c r="S4365" s="1" t="s">
        <v>34218</v>
      </c>
    </row>
    <row r="4366" spans="1:19" x14ac:dyDescent="0.25">
      <c r="A4366">
        <v>100882195</v>
      </c>
      <c r="B4366" t="s">
        <v>11187</v>
      </c>
      <c r="C4366" t="s">
        <v>313</v>
      </c>
      <c r="G4366" t="s">
        <v>11188</v>
      </c>
      <c r="H4366" t="s">
        <v>2309</v>
      </c>
      <c r="I4366" t="s">
        <v>2310</v>
      </c>
      <c r="J4366">
        <v>19808</v>
      </c>
      <c r="K4366">
        <v>2255</v>
      </c>
      <c r="L4366" t="s">
        <v>23</v>
      </c>
      <c r="M4366" t="s">
        <v>11188</v>
      </c>
      <c r="N4366" t="s">
        <v>2309</v>
      </c>
      <c r="O4366" t="s">
        <v>2310</v>
      </c>
      <c r="P4366">
        <v>19808</v>
      </c>
      <c r="Q4366">
        <v>2255</v>
      </c>
      <c r="R4366" t="s">
        <v>23</v>
      </c>
      <c r="S4366" s="1" t="s">
        <v>34218</v>
      </c>
    </row>
    <row r="4367" spans="1:19" x14ac:dyDescent="0.25">
      <c r="A4367">
        <v>100883975</v>
      </c>
      <c r="B4367" t="s">
        <v>11189</v>
      </c>
      <c r="C4367" t="s">
        <v>11190</v>
      </c>
      <c r="F4367" t="str">
        <f>"7142136388"</f>
        <v>7142136388</v>
      </c>
      <c r="G4367" t="s">
        <v>11191</v>
      </c>
      <c r="H4367" t="s">
        <v>7027</v>
      </c>
      <c r="I4367" t="s">
        <v>43</v>
      </c>
      <c r="J4367">
        <v>97078</v>
      </c>
      <c r="K4367">
        <v>8797</v>
      </c>
      <c r="L4367" t="s">
        <v>23</v>
      </c>
      <c r="M4367" t="s">
        <v>11191</v>
      </c>
      <c r="N4367" t="s">
        <v>7027</v>
      </c>
      <c r="O4367" t="s">
        <v>43</v>
      </c>
      <c r="P4367">
        <v>97078</v>
      </c>
      <c r="Q4367">
        <v>8797</v>
      </c>
      <c r="R4367" t="s">
        <v>23</v>
      </c>
      <c r="S4367" s="1" t="s">
        <v>34218</v>
      </c>
    </row>
    <row r="4368" spans="1:19" x14ac:dyDescent="0.25">
      <c r="A4368">
        <v>100884233</v>
      </c>
      <c r="B4368" t="s">
        <v>11192</v>
      </c>
      <c r="C4368" t="s">
        <v>11193</v>
      </c>
      <c r="G4368" t="s">
        <v>11194</v>
      </c>
      <c r="H4368" t="s">
        <v>1126</v>
      </c>
      <c r="I4368" t="s">
        <v>255</v>
      </c>
      <c r="J4368">
        <v>20197</v>
      </c>
      <c r="K4368">
        <v>1515</v>
      </c>
      <c r="L4368" t="s">
        <v>23</v>
      </c>
      <c r="M4368" t="s">
        <v>11194</v>
      </c>
      <c r="N4368" t="s">
        <v>1126</v>
      </c>
      <c r="O4368" t="s">
        <v>255</v>
      </c>
      <c r="P4368">
        <v>20197</v>
      </c>
      <c r="Q4368">
        <v>1515</v>
      </c>
      <c r="R4368" t="s">
        <v>23</v>
      </c>
      <c r="S4368" s="1" t="s">
        <v>34218</v>
      </c>
    </row>
    <row r="4369" spans="1:19" x14ac:dyDescent="0.25">
      <c r="A4369">
        <v>100887484</v>
      </c>
      <c r="B4369" t="s">
        <v>4388</v>
      </c>
      <c r="C4369" t="s">
        <v>180</v>
      </c>
      <c r="G4369" t="s">
        <v>11195</v>
      </c>
      <c r="H4369" t="s">
        <v>292</v>
      </c>
      <c r="I4369" t="s">
        <v>22</v>
      </c>
      <c r="J4369">
        <v>95630</v>
      </c>
      <c r="K4369">
        <v>1724</v>
      </c>
      <c r="L4369" t="s">
        <v>23</v>
      </c>
      <c r="M4369" t="s">
        <v>11195</v>
      </c>
      <c r="N4369" t="s">
        <v>292</v>
      </c>
      <c r="O4369" t="s">
        <v>22</v>
      </c>
      <c r="P4369">
        <v>95630</v>
      </c>
      <c r="Q4369">
        <v>1724</v>
      </c>
      <c r="R4369" t="s">
        <v>23</v>
      </c>
      <c r="S4369" s="1" t="s">
        <v>34218</v>
      </c>
    </row>
    <row r="4370" spans="1:19" x14ac:dyDescent="0.25">
      <c r="A4370">
        <v>100891363</v>
      </c>
      <c r="B4370" t="s">
        <v>1986</v>
      </c>
      <c r="C4370" t="s">
        <v>11196</v>
      </c>
      <c r="G4370" t="s">
        <v>11197</v>
      </c>
      <c r="H4370" t="s">
        <v>4817</v>
      </c>
      <c r="I4370" t="s">
        <v>250</v>
      </c>
      <c r="J4370">
        <v>7042</v>
      </c>
      <c r="K4370">
        <v>2665</v>
      </c>
      <c r="L4370" t="s">
        <v>23</v>
      </c>
      <c r="M4370" t="s">
        <v>11197</v>
      </c>
      <c r="N4370" t="s">
        <v>4817</v>
      </c>
      <c r="O4370" t="s">
        <v>250</v>
      </c>
      <c r="P4370">
        <v>7042</v>
      </c>
      <c r="Q4370">
        <v>2665</v>
      </c>
      <c r="R4370" t="s">
        <v>23</v>
      </c>
      <c r="S4370" s="1" t="s">
        <v>34218</v>
      </c>
    </row>
    <row r="4371" spans="1:19" x14ac:dyDescent="0.25">
      <c r="A4371">
        <v>101047029</v>
      </c>
      <c r="B4371" t="s">
        <v>996</v>
      </c>
      <c r="C4371" t="s">
        <v>3442</v>
      </c>
      <c r="G4371" t="s">
        <v>11198</v>
      </c>
      <c r="H4371" t="s">
        <v>4622</v>
      </c>
      <c r="I4371" t="s">
        <v>117</v>
      </c>
      <c r="J4371">
        <v>12054</v>
      </c>
      <c r="K4371">
        <v>1606</v>
      </c>
      <c r="L4371" t="s">
        <v>23</v>
      </c>
      <c r="M4371" t="s">
        <v>11198</v>
      </c>
      <c r="N4371" t="s">
        <v>4622</v>
      </c>
      <c r="O4371" t="s">
        <v>117</v>
      </c>
      <c r="P4371">
        <v>12054</v>
      </c>
      <c r="Q4371">
        <v>1606</v>
      </c>
      <c r="R4371" t="s">
        <v>23</v>
      </c>
      <c r="S4371" s="1" t="s">
        <v>34218</v>
      </c>
    </row>
    <row r="4372" spans="1:19" x14ac:dyDescent="0.25">
      <c r="A4372">
        <v>101049263</v>
      </c>
      <c r="B4372" t="s">
        <v>11199</v>
      </c>
      <c r="C4372" t="s">
        <v>11200</v>
      </c>
      <c r="G4372" t="s">
        <v>11201</v>
      </c>
      <c r="H4372" t="s">
        <v>1877</v>
      </c>
      <c r="I4372" t="s">
        <v>100</v>
      </c>
      <c r="J4372">
        <v>53168</v>
      </c>
      <c r="K4372">
        <v>9448</v>
      </c>
      <c r="L4372" t="s">
        <v>23</v>
      </c>
      <c r="M4372" t="s">
        <v>11201</v>
      </c>
      <c r="N4372" t="s">
        <v>1877</v>
      </c>
      <c r="O4372" t="s">
        <v>100</v>
      </c>
      <c r="P4372">
        <v>53168</v>
      </c>
      <c r="Q4372">
        <v>9448</v>
      </c>
      <c r="R4372" t="s">
        <v>23</v>
      </c>
      <c r="S4372" s="1" t="s">
        <v>34218</v>
      </c>
    </row>
    <row r="4373" spans="1:19" x14ac:dyDescent="0.25">
      <c r="A4373">
        <v>100574906</v>
      </c>
      <c r="B4373" t="s">
        <v>11202</v>
      </c>
      <c r="C4373" t="s">
        <v>432</v>
      </c>
      <c r="G4373" t="s">
        <v>11203</v>
      </c>
      <c r="H4373" t="s">
        <v>21</v>
      </c>
      <c r="I4373" t="s">
        <v>22</v>
      </c>
      <c r="J4373">
        <v>95403</v>
      </c>
      <c r="K4373">
        <v>1403</v>
      </c>
      <c r="L4373" t="s">
        <v>23</v>
      </c>
      <c r="M4373" t="s">
        <v>11203</v>
      </c>
      <c r="N4373" t="s">
        <v>21</v>
      </c>
      <c r="O4373" t="s">
        <v>22</v>
      </c>
      <c r="P4373">
        <v>95403</v>
      </c>
      <c r="Q4373">
        <v>1403</v>
      </c>
      <c r="R4373" t="s">
        <v>23</v>
      </c>
      <c r="S4373" s="1" t="s">
        <v>34218</v>
      </c>
    </row>
    <row r="4374" spans="1:19" x14ac:dyDescent="0.25">
      <c r="A4374">
        <v>100579289</v>
      </c>
      <c r="B4374" t="s">
        <v>11204</v>
      </c>
      <c r="C4374" t="s">
        <v>7615</v>
      </c>
      <c r="G4374" t="s">
        <v>11205</v>
      </c>
      <c r="H4374" t="s">
        <v>2894</v>
      </c>
      <c r="I4374" t="s">
        <v>178</v>
      </c>
      <c r="J4374">
        <v>43615</v>
      </c>
      <c r="K4374">
        <v>6822</v>
      </c>
      <c r="L4374" t="s">
        <v>23</v>
      </c>
      <c r="M4374" t="s">
        <v>11205</v>
      </c>
      <c r="N4374" t="s">
        <v>2894</v>
      </c>
      <c r="O4374" t="s">
        <v>178</v>
      </c>
      <c r="P4374">
        <v>43615</v>
      </c>
      <c r="Q4374">
        <v>6822</v>
      </c>
      <c r="R4374" t="s">
        <v>23</v>
      </c>
      <c r="S4374" s="1" t="s">
        <v>34218</v>
      </c>
    </row>
    <row r="4375" spans="1:19" x14ac:dyDescent="0.25">
      <c r="A4375">
        <v>100579297</v>
      </c>
      <c r="B4375" t="s">
        <v>11206</v>
      </c>
      <c r="C4375" t="s">
        <v>30</v>
      </c>
      <c r="G4375" t="s">
        <v>11207</v>
      </c>
      <c r="H4375" t="s">
        <v>5321</v>
      </c>
      <c r="I4375" t="s">
        <v>1482</v>
      </c>
      <c r="J4375">
        <v>29650</v>
      </c>
      <c r="K4375">
        <v>1043</v>
      </c>
      <c r="L4375" t="s">
        <v>23</v>
      </c>
      <c r="M4375" t="s">
        <v>11207</v>
      </c>
      <c r="N4375" t="s">
        <v>5321</v>
      </c>
      <c r="O4375" t="s">
        <v>1482</v>
      </c>
      <c r="P4375">
        <v>29650</v>
      </c>
      <c r="Q4375">
        <v>1043</v>
      </c>
      <c r="R4375" t="s">
        <v>23</v>
      </c>
      <c r="S4375" s="1" t="s">
        <v>34218</v>
      </c>
    </row>
    <row r="4376" spans="1:19" x14ac:dyDescent="0.25">
      <c r="A4376">
        <v>100582323</v>
      </c>
      <c r="B4376" t="s">
        <v>1827</v>
      </c>
      <c r="C4376" t="s">
        <v>90</v>
      </c>
      <c r="G4376" t="s">
        <v>11208</v>
      </c>
      <c r="H4376" t="s">
        <v>3136</v>
      </c>
      <c r="I4376" t="s">
        <v>348</v>
      </c>
      <c r="J4376">
        <v>83835</v>
      </c>
      <c r="K4376">
        <v>8387</v>
      </c>
      <c r="L4376" t="s">
        <v>23</v>
      </c>
      <c r="M4376" t="s">
        <v>11208</v>
      </c>
      <c r="N4376" t="s">
        <v>3136</v>
      </c>
      <c r="O4376" t="s">
        <v>348</v>
      </c>
      <c r="P4376">
        <v>83835</v>
      </c>
      <c r="Q4376">
        <v>8387</v>
      </c>
      <c r="R4376" t="s">
        <v>23</v>
      </c>
      <c r="S4376" s="1" t="s">
        <v>34218</v>
      </c>
    </row>
    <row r="4377" spans="1:19" x14ac:dyDescent="0.25">
      <c r="A4377">
        <v>100581387</v>
      </c>
      <c r="B4377" t="s">
        <v>11209</v>
      </c>
      <c r="C4377" t="s">
        <v>119</v>
      </c>
      <c r="G4377" t="s">
        <v>11210</v>
      </c>
      <c r="H4377" t="s">
        <v>2476</v>
      </c>
      <c r="I4377" t="s">
        <v>178</v>
      </c>
      <c r="J4377">
        <v>44060</v>
      </c>
      <c r="K4377">
        <v>7109</v>
      </c>
      <c r="L4377" t="s">
        <v>23</v>
      </c>
      <c r="M4377" t="s">
        <v>11210</v>
      </c>
      <c r="N4377" t="s">
        <v>2476</v>
      </c>
      <c r="O4377" t="s">
        <v>178</v>
      </c>
      <c r="P4377">
        <v>44060</v>
      </c>
      <c r="Q4377">
        <v>7109</v>
      </c>
      <c r="R4377" t="s">
        <v>23</v>
      </c>
      <c r="S4377" s="1" t="s">
        <v>34218</v>
      </c>
    </row>
    <row r="4378" spans="1:19" x14ac:dyDescent="0.25">
      <c r="A4378">
        <v>100584840</v>
      </c>
      <c r="B4378" t="s">
        <v>2773</v>
      </c>
      <c r="C4378" t="s">
        <v>579</v>
      </c>
      <c r="G4378" t="s">
        <v>11211</v>
      </c>
      <c r="H4378" t="s">
        <v>2824</v>
      </c>
      <c r="I4378" t="s">
        <v>191</v>
      </c>
      <c r="J4378">
        <v>4092</v>
      </c>
      <c r="K4378">
        <v>2249</v>
      </c>
      <c r="L4378" t="s">
        <v>23</v>
      </c>
      <c r="M4378" t="s">
        <v>11211</v>
      </c>
      <c r="N4378" t="s">
        <v>2824</v>
      </c>
      <c r="O4378" t="s">
        <v>191</v>
      </c>
      <c r="P4378">
        <v>4092</v>
      </c>
      <c r="Q4378">
        <v>2249</v>
      </c>
      <c r="R4378" t="s">
        <v>23</v>
      </c>
      <c r="S4378" s="1" t="s">
        <v>34218</v>
      </c>
    </row>
    <row r="4379" spans="1:19" x14ac:dyDescent="0.25">
      <c r="A4379">
        <v>100585418</v>
      </c>
      <c r="B4379" t="s">
        <v>11212</v>
      </c>
      <c r="C4379" t="s">
        <v>158</v>
      </c>
      <c r="G4379" t="s">
        <v>11213</v>
      </c>
      <c r="H4379" t="s">
        <v>3147</v>
      </c>
      <c r="I4379" t="s">
        <v>117</v>
      </c>
      <c r="J4379">
        <v>11747</v>
      </c>
      <c r="K4379">
        <v>5368</v>
      </c>
      <c r="L4379" t="s">
        <v>23</v>
      </c>
      <c r="M4379" t="s">
        <v>11213</v>
      </c>
      <c r="N4379" t="s">
        <v>3147</v>
      </c>
      <c r="O4379" t="s">
        <v>117</v>
      </c>
      <c r="P4379">
        <v>11747</v>
      </c>
      <c r="Q4379">
        <v>5368</v>
      </c>
      <c r="R4379" t="s">
        <v>23</v>
      </c>
      <c r="S4379" s="1" t="s">
        <v>34218</v>
      </c>
    </row>
    <row r="4380" spans="1:19" x14ac:dyDescent="0.25">
      <c r="A4380">
        <v>100770589</v>
      </c>
      <c r="B4380" t="s">
        <v>11214</v>
      </c>
      <c r="C4380" t="s">
        <v>123</v>
      </c>
      <c r="G4380" t="s">
        <v>11215</v>
      </c>
      <c r="H4380" t="s">
        <v>11216</v>
      </c>
      <c r="I4380" t="s">
        <v>236</v>
      </c>
      <c r="J4380">
        <v>2061</v>
      </c>
      <c r="K4380">
        <v>1803</v>
      </c>
      <c r="L4380" t="s">
        <v>23</v>
      </c>
      <c r="M4380" t="s">
        <v>11215</v>
      </c>
      <c r="N4380" t="s">
        <v>11216</v>
      </c>
      <c r="O4380" t="s">
        <v>236</v>
      </c>
      <c r="P4380">
        <v>2061</v>
      </c>
      <c r="Q4380">
        <v>1803</v>
      </c>
      <c r="R4380" t="s">
        <v>23</v>
      </c>
      <c r="S4380" s="1" t="s">
        <v>34218</v>
      </c>
    </row>
    <row r="4381" spans="1:19" x14ac:dyDescent="0.25">
      <c r="A4381">
        <v>100770839</v>
      </c>
      <c r="B4381" t="s">
        <v>11217</v>
      </c>
      <c r="C4381" t="s">
        <v>68</v>
      </c>
      <c r="G4381" t="s">
        <v>11218</v>
      </c>
      <c r="H4381" t="s">
        <v>11219</v>
      </c>
      <c r="I4381" t="s">
        <v>117</v>
      </c>
      <c r="J4381">
        <v>10523</v>
      </c>
      <c r="K4381">
        <v>3329</v>
      </c>
      <c r="L4381" t="s">
        <v>23</v>
      </c>
      <c r="M4381" t="s">
        <v>11218</v>
      </c>
      <c r="N4381" t="s">
        <v>11219</v>
      </c>
      <c r="O4381" t="s">
        <v>117</v>
      </c>
      <c r="P4381">
        <v>10523</v>
      </c>
      <c r="Q4381">
        <v>3329</v>
      </c>
      <c r="R4381" t="s">
        <v>23</v>
      </c>
      <c r="S4381" s="1" t="s">
        <v>34218</v>
      </c>
    </row>
    <row r="4382" spans="1:19" x14ac:dyDescent="0.25">
      <c r="A4382">
        <v>100775832</v>
      </c>
      <c r="B4382" t="s">
        <v>11220</v>
      </c>
      <c r="C4382" t="s">
        <v>1444</v>
      </c>
      <c r="G4382" t="s">
        <v>11221</v>
      </c>
      <c r="H4382" t="s">
        <v>5940</v>
      </c>
      <c r="I4382" t="s">
        <v>52</v>
      </c>
      <c r="J4382">
        <v>32608</v>
      </c>
      <c r="K4382">
        <v>2920</v>
      </c>
      <c r="L4382" t="s">
        <v>23</v>
      </c>
      <c r="M4382" t="s">
        <v>11221</v>
      </c>
      <c r="N4382" t="s">
        <v>5940</v>
      </c>
      <c r="O4382" t="s">
        <v>52</v>
      </c>
      <c r="P4382">
        <v>32608</v>
      </c>
      <c r="Q4382">
        <v>2920</v>
      </c>
      <c r="R4382" t="s">
        <v>23</v>
      </c>
      <c r="S4382" s="1" t="s">
        <v>34218</v>
      </c>
    </row>
    <row r="4383" spans="1:19" x14ac:dyDescent="0.25">
      <c r="A4383">
        <v>100781810</v>
      </c>
      <c r="B4383" t="s">
        <v>11222</v>
      </c>
      <c r="C4383" t="s">
        <v>11223</v>
      </c>
      <c r="G4383" t="s">
        <v>11224</v>
      </c>
      <c r="H4383" t="s">
        <v>11225</v>
      </c>
      <c r="I4383" t="s">
        <v>100</v>
      </c>
      <c r="J4383">
        <v>53085</v>
      </c>
      <c r="K4383">
        <v>1715</v>
      </c>
      <c r="L4383" t="s">
        <v>23</v>
      </c>
      <c r="M4383" t="s">
        <v>11224</v>
      </c>
      <c r="N4383" t="s">
        <v>11225</v>
      </c>
      <c r="O4383" t="s">
        <v>100</v>
      </c>
      <c r="P4383">
        <v>53085</v>
      </c>
      <c r="Q4383">
        <v>1715</v>
      </c>
      <c r="R4383" t="s">
        <v>23</v>
      </c>
      <c r="S4383" s="1" t="s">
        <v>34218</v>
      </c>
    </row>
    <row r="4384" spans="1:19" x14ac:dyDescent="0.25">
      <c r="A4384">
        <v>100783831</v>
      </c>
      <c r="B4384" t="s">
        <v>11226</v>
      </c>
      <c r="C4384" t="s">
        <v>11227</v>
      </c>
      <c r="G4384" t="s">
        <v>11228</v>
      </c>
      <c r="H4384" t="s">
        <v>11229</v>
      </c>
      <c r="I4384" t="s">
        <v>236</v>
      </c>
      <c r="J4384">
        <v>2356</v>
      </c>
      <c r="K4384">
        <v>2519</v>
      </c>
      <c r="L4384" t="s">
        <v>23</v>
      </c>
      <c r="M4384" t="s">
        <v>11228</v>
      </c>
      <c r="N4384" t="s">
        <v>11229</v>
      </c>
      <c r="O4384" t="s">
        <v>236</v>
      </c>
      <c r="P4384">
        <v>2356</v>
      </c>
      <c r="Q4384">
        <v>2519</v>
      </c>
      <c r="R4384" t="s">
        <v>23</v>
      </c>
      <c r="S4384" s="1" t="s">
        <v>34218</v>
      </c>
    </row>
    <row r="4385" spans="1:19" x14ac:dyDescent="0.25">
      <c r="A4385">
        <v>100968655</v>
      </c>
      <c r="B4385" t="s">
        <v>11230</v>
      </c>
      <c r="C4385" t="s">
        <v>209</v>
      </c>
      <c r="G4385" t="s">
        <v>11231</v>
      </c>
      <c r="H4385" t="s">
        <v>1439</v>
      </c>
      <c r="I4385" t="s">
        <v>365</v>
      </c>
      <c r="J4385">
        <v>85716</v>
      </c>
      <c r="K4385">
        <v>1328</v>
      </c>
      <c r="L4385" t="s">
        <v>23</v>
      </c>
      <c r="M4385" t="s">
        <v>11231</v>
      </c>
      <c r="N4385" t="s">
        <v>1439</v>
      </c>
      <c r="O4385" t="s">
        <v>365</v>
      </c>
      <c r="P4385">
        <v>85716</v>
      </c>
      <c r="Q4385">
        <v>1328</v>
      </c>
      <c r="R4385" t="s">
        <v>23</v>
      </c>
      <c r="S4385" s="1" t="s">
        <v>34218</v>
      </c>
    </row>
    <row r="4386" spans="1:19" x14ac:dyDescent="0.25">
      <c r="A4386">
        <v>100964802</v>
      </c>
      <c r="B4386" t="s">
        <v>8669</v>
      </c>
      <c r="C4386" t="s">
        <v>11232</v>
      </c>
      <c r="G4386" t="s">
        <v>11233</v>
      </c>
      <c r="H4386" t="s">
        <v>11234</v>
      </c>
      <c r="I4386" t="s">
        <v>135</v>
      </c>
      <c r="J4386">
        <v>61350</v>
      </c>
      <c r="K4386">
        <v>3277</v>
      </c>
      <c r="L4386" t="s">
        <v>23</v>
      </c>
      <c r="M4386" t="s">
        <v>11233</v>
      </c>
      <c r="N4386" t="s">
        <v>11234</v>
      </c>
      <c r="O4386" t="s">
        <v>135</v>
      </c>
      <c r="P4386">
        <v>61350</v>
      </c>
      <c r="Q4386">
        <v>3277</v>
      </c>
      <c r="R4386" t="s">
        <v>23</v>
      </c>
      <c r="S4386" s="1" t="s">
        <v>34218</v>
      </c>
    </row>
    <row r="4387" spans="1:19" x14ac:dyDescent="0.25">
      <c r="A4387">
        <v>100969087</v>
      </c>
      <c r="B4387" t="s">
        <v>2646</v>
      </c>
      <c r="C4387" t="s">
        <v>10916</v>
      </c>
      <c r="G4387" t="s">
        <v>11235</v>
      </c>
      <c r="H4387" t="s">
        <v>6224</v>
      </c>
      <c r="I4387" t="s">
        <v>914</v>
      </c>
      <c r="J4387">
        <v>37932</v>
      </c>
      <c r="K4387">
        <v>3019</v>
      </c>
      <c r="L4387" t="s">
        <v>23</v>
      </c>
      <c r="M4387" t="s">
        <v>11235</v>
      </c>
      <c r="N4387" t="s">
        <v>6224</v>
      </c>
      <c r="O4387" t="s">
        <v>914</v>
      </c>
      <c r="P4387">
        <v>37932</v>
      </c>
      <c r="Q4387">
        <v>3019</v>
      </c>
      <c r="R4387" t="s">
        <v>23</v>
      </c>
      <c r="S4387" s="1" t="s">
        <v>34218</v>
      </c>
    </row>
    <row r="4388" spans="1:19" x14ac:dyDescent="0.25">
      <c r="A4388">
        <v>100973370</v>
      </c>
      <c r="B4388" t="s">
        <v>11236</v>
      </c>
      <c r="C4388" t="s">
        <v>7569</v>
      </c>
      <c r="G4388" t="s">
        <v>11237</v>
      </c>
      <c r="H4388" t="s">
        <v>1765</v>
      </c>
      <c r="I4388" t="s">
        <v>84</v>
      </c>
      <c r="J4388">
        <v>98502</v>
      </c>
      <c r="K4388">
        <v>3597</v>
      </c>
      <c r="L4388" t="s">
        <v>23</v>
      </c>
      <c r="M4388" t="s">
        <v>11237</v>
      </c>
      <c r="N4388" t="s">
        <v>1765</v>
      </c>
      <c r="O4388" t="s">
        <v>84</v>
      </c>
      <c r="P4388">
        <v>98502</v>
      </c>
      <c r="Q4388">
        <v>3597</v>
      </c>
      <c r="R4388" t="s">
        <v>23</v>
      </c>
      <c r="S4388" s="1" t="s">
        <v>34218</v>
      </c>
    </row>
    <row r="4389" spans="1:19" x14ac:dyDescent="0.25">
      <c r="A4389">
        <v>100980433</v>
      </c>
      <c r="B4389" t="s">
        <v>1372</v>
      </c>
      <c r="C4389" t="s">
        <v>274</v>
      </c>
      <c r="G4389" t="s">
        <v>11238</v>
      </c>
      <c r="H4389" t="s">
        <v>1719</v>
      </c>
      <c r="I4389" t="s">
        <v>33</v>
      </c>
      <c r="J4389">
        <v>16137</v>
      </c>
      <c r="K4389">
        <v>4904</v>
      </c>
      <c r="L4389" t="s">
        <v>23</v>
      </c>
      <c r="M4389" t="s">
        <v>11238</v>
      </c>
      <c r="N4389" t="s">
        <v>1719</v>
      </c>
      <c r="O4389" t="s">
        <v>33</v>
      </c>
      <c r="P4389">
        <v>16137</v>
      </c>
      <c r="Q4389">
        <v>4904</v>
      </c>
      <c r="R4389" t="s">
        <v>23</v>
      </c>
      <c r="S4389" s="1" t="s">
        <v>34218</v>
      </c>
    </row>
    <row r="4390" spans="1:19" x14ac:dyDescent="0.25">
      <c r="A4390">
        <v>100979763</v>
      </c>
      <c r="B4390" t="s">
        <v>11239</v>
      </c>
      <c r="C4390" t="s">
        <v>102</v>
      </c>
      <c r="G4390" t="s">
        <v>11240</v>
      </c>
      <c r="H4390" t="s">
        <v>2407</v>
      </c>
      <c r="I4390" t="s">
        <v>52</v>
      </c>
      <c r="J4390">
        <v>33764</v>
      </c>
      <c r="K4390">
        <v>2558</v>
      </c>
      <c r="L4390" t="s">
        <v>23</v>
      </c>
      <c r="M4390" t="s">
        <v>11240</v>
      </c>
      <c r="N4390" t="s">
        <v>2407</v>
      </c>
      <c r="O4390" t="s">
        <v>52</v>
      </c>
      <c r="P4390">
        <v>33764</v>
      </c>
      <c r="Q4390">
        <v>2558</v>
      </c>
      <c r="R4390" t="s">
        <v>23</v>
      </c>
      <c r="S4390" s="1" t="s">
        <v>34218</v>
      </c>
    </row>
    <row r="4391" spans="1:19" x14ac:dyDescent="0.25">
      <c r="A4391">
        <v>100980743</v>
      </c>
      <c r="B4391" t="s">
        <v>11241</v>
      </c>
      <c r="C4391" t="s">
        <v>11242</v>
      </c>
      <c r="G4391" t="s">
        <v>11243</v>
      </c>
      <c r="H4391" t="s">
        <v>2205</v>
      </c>
      <c r="I4391" t="s">
        <v>117</v>
      </c>
      <c r="J4391">
        <v>10509</v>
      </c>
      <c r="K4391">
        <v>300</v>
      </c>
      <c r="L4391" t="s">
        <v>23</v>
      </c>
      <c r="M4391" t="s">
        <v>11243</v>
      </c>
      <c r="N4391" t="s">
        <v>2205</v>
      </c>
      <c r="O4391" t="s">
        <v>117</v>
      </c>
      <c r="P4391">
        <v>10509</v>
      </c>
      <c r="Q4391">
        <v>300</v>
      </c>
      <c r="R4391" t="s">
        <v>23</v>
      </c>
      <c r="S4391" s="1" t="s">
        <v>34218</v>
      </c>
    </row>
    <row r="4392" spans="1:19" x14ac:dyDescent="0.25">
      <c r="A4392">
        <v>100578775</v>
      </c>
      <c r="B4392" t="s">
        <v>320</v>
      </c>
      <c r="C4392" t="s">
        <v>1463</v>
      </c>
      <c r="G4392" t="s">
        <v>11244</v>
      </c>
      <c r="H4392" t="s">
        <v>3340</v>
      </c>
      <c r="I4392" t="s">
        <v>153</v>
      </c>
      <c r="J4392">
        <v>70461</v>
      </c>
      <c r="K4392">
        <v>3813</v>
      </c>
      <c r="L4392" t="s">
        <v>23</v>
      </c>
      <c r="M4392" t="s">
        <v>11244</v>
      </c>
      <c r="N4392" t="s">
        <v>3340</v>
      </c>
      <c r="O4392" t="s">
        <v>153</v>
      </c>
      <c r="P4392">
        <v>70461</v>
      </c>
      <c r="Q4392">
        <v>3813</v>
      </c>
      <c r="R4392" t="s">
        <v>23</v>
      </c>
      <c r="S4392" s="1" t="s">
        <v>34218</v>
      </c>
    </row>
    <row r="4393" spans="1:19" x14ac:dyDescent="0.25">
      <c r="A4393">
        <v>100581515</v>
      </c>
      <c r="B4393" t="s">
        <v>11245</v>
      </c>
      <c r="C4393" t="s">
        <v>119</v>
      </c>
      <c r="G4393" t="s">
        <v>11246</v>
      </c>
      <c r="H4393" t="s">
        <v>3385</v>
      </c>
      <c r="I4393" t="s">
        <v>236</v>
      </c>
      <c r="J4393">
        <v>2138</v>
      </c>
      <c r="K4393">
        <v>2216</v>
      </c>
      <c r="L4393" t="s">
        <v>23</v>
      </c>
      <c r="M4393" t="s">
        <v>11246</v>
      </c>
      <c r="N4393" t="s">
        <v>3385</v>
      </c>
      <c r="O4393" t="s">
        <v>236</v>
      </c>
      <c r="P4393">
        <v>2138</v>
      </c>
      <c r="Q4393">
        <v>2216</v>
      </c>
      <c r="R4393" t="s">
        <v>23</v>
      </c>
      <c r="S4393" s="1" t="s">
        <v>34218</v>
      </c>
    </row>
    <row r="4394" spans="1:19" x14ac:dyDescent="0.25">
      <c r="A4394">
        <v>100582685</v>
      </c>
      <c r="B4394" t="s">
        <v>2144</v>
      </c>
      <c r="C4394" t="s">
        <v>2790</v>
      </c>
      <c r="G4394" t="s">
        <v>11247</v>
      </c>
      <c r="H4394" t="s">
        <v>227</v>
      </c>
      <c r="I4394" t="s">
        <v>43</v>
      </c>
      <c r="J4394">
        <v>97213</v>
      </c>
      <c r="K4394">
        <v>2129</v>
      </c>
      <c r="L4394" t="s">
        <v>23</v>
      </c>
      <c r="M4394" t="s">
        <v>11247</v>
      </c>
      <c r="N4394" t="s">
        <v>227</v>
      </c>
      <c r="O4394" t="s">
        <v>43</v>
      </c>
      <c r="P4394">
        <v>97213</v>
      </c>
      <c r="Q4394">
        <v>2129</v>
      </c>
      <c r="R4394" t="s">
        <v>23</v>
      </c>
      <c r="S4394" s="1" t="s">
        <v>34218</v>
      </c>
    </row>
    <row r="4395" spans="1:19" x14ac:dyDescent="0.25">
      <c r="A4395">
        <v>100585419</v>
      </c>
      <c r="B4395" t="s">
        <v>3383</v>
      </c>
      <c r="C4395" t="s">
        <v>11248</v>
      </c>
      <c r="G4395" t="s">
        <v>11249</v>
      </c>
      <c r="H4395" t="s">
        <v>299</v>
      </c>
      <c r="I4395" t="s">
        <v>22</v>
      </c>
      <c r="J4395">
        <v>90065</v>
      </c>
      <c r="K4395">
        <v>3950</v>
      </c>
      <c r="L4395" t="s">
        <v>23</v>
      </c>
      <c r="M4395" t="s">
        <v>11249</v>
      </c>
      <c r="N4395" t="s">
        <v>299</v>
      </c>
      <c r="O4395" t="s">
        <v>22</v>
      </c>
      <c r="P4395">
        <v>90065</v>
      </c>
      <c r="Q4395">
        <v>3950</v>
      </c>
      <c r="R4395" t="s">
        <v>23</v>
      </c>
      <c r="S4395" s="1" t="s">
        <v>34218</v>
      </c>
    </row>
    <row r="4396" spans="1:19" x14ac:dyDescent="0.25">
      <c r="A4396">
        <v>100590104</v>
      </c>
      <c r="B4396" t="s">
        <v>6621</v>
      </c>
      <c r="C4396" t="s">
        <v>644</v>
      </c>
      <c r="G4396" t="s">
        <v>11250</v>
      </c>
      <c r="H4396" t="s">
        <v>11251</v>
      </c>
      <c r="I4396" t="s">
        <v>126</v>
      </c>
      <c r="J4396">
        <v>64014</v>
      </c>
      <c r="K4396">
        <v>5914</v>
      </c>
      <c r="L4396" t="s">
        <v>23</v>
      </c>
      <c r="M4396" t="s">
        <v>11250</v>
      </c>
      <c r="N4396" t="s">
        <v>11251</v>
      </c>
      <c r="O4396" t="s">
        <v>126</v>
      </c>
      <c r="P4396">
        <v>64014</v>
      </c>
      <c r="Q4396">
        <v>5914</v>
      </c>
      <c r="R4396" t="s">
        <v>23</v>
      </c>
      <c r="S4396" s="1" t="s">
        <v>34218</v>
      </c>
    </row>
    <row r="4397" spans="1:19" x14ac:dyDescent="0.25">
      <c r="A4397">
        <v>100592645</v>
      </c>
      <c r="B4397" t="s">
        <v>11252</v>
      </c>
      <c r="C4397" t="s">
        <v>4188</v>
      </c>
      <c r="G4397" t="s">
        <v>11253</v>
      </c>
      <c r="H4397" t="s">
        <v>5841</v>
      </c>
      <c r="I4397" t="s">
        <v>33</v>
      </c>
      <c r="J4397">
        <v>18969</v>
      </c>
      <c r="K4397">
        <v>2204</v>
      </c>
      <c r="L4397" t="s">
        <v>23</v>
      </c>
      <c r="M4397" t="s">
        <v>11253</v>
      </c>
      <c r="N4397" t="s">
        <v>5841</v>
      </c>
      <c r="O4397" t="s">
        <v>33</v>
      </c>
      <c r="P4397">
        <v>18969</v>
      </c>
      <c r="Q4397">
        <v>2204</v>
      </c>
      <c r="R4397" t="s">
        <v>23</v>
      </c>
      <c r="S4397" s="1" t="s">
        <v>34218</v>
      </c>
    </row>
    <row r="4398" spans="1:19" x14ac:dyDescent="0.25">
      <c r="A4398">
        <v>100591163</v>
      </c>
      <c r="B4398" t="s">
        <v>11254</v>
      </c>
      <c r="C4398" t="s">
        <v>11255</v>
      </c>
      <c r="G4398" t="s">
        <v>11256</v>
      </c>
      <c r="H4398" t="s">
        <v>5056</v>
      </c>
      <c r="I4398" t="s">
        <v>22</v>
      </c>
      <c r="J4398">
        <v>92706</v>
      </c>
      <c r="K4398">
        <v>1615</v>
      </c>
      <c r="L4398" t="s">
        <v>23</v>
      </c>
      <c r="M4398" t="s">
        <v>11256</v>
      </c>
      <c r="N4398" t="s">
        <v>5056</v>
      </c>
      <c r="O4398" t="s">
        <v>22</v>
      </c>
      <c r="P4398">
        <v>92706</v>
      </c>
      <c r="Q4398">
        <v>1615</v>
      </c>
      <c r="R4398" t="s">
        <v>23</v>
      </c>
      <c r="S4398" s="1" t="s">
        <v>34218</v>
      </c>
    </row>
    <row r="4399" spans="1:19" x14ac:dyDescent="0.25">
      <c r="A4399">
        <v>100595568</v>
      </c>
      <c r="B4399" t="s">
        <v>11257</v>
      </c>
      <c r="C4399" t="s">
        <v>382</v>
      </c>
      <c r="G4399" t="s">
        <v>11258</v>
      </c>
      <c r="H4399" t="s">
        <v>2407</v>
      </c>
      <c r="I4399" t="s">
        <v>52</v>
      </c>
      <c r="J4399">
        <v>33764</v>
      </c>
      <c r="K4399">
        <v>6423</v>
      </c>
      <c r="L4399" t="s">
        <v>23</v>
      </c>
      <c r="M4399" t="s">
        <v>11258</v>
      </c>
      <c r="N4399" t="s">
        <v>2407</v>
      </c>
      <c r="O4399" t="s">
        <v>52</v>
      </c>
      <c r="P4399">
        <v>33764</v>
      </c>
      <c r="Q4399">
        <v>6423</v>
      </c>
      <c r="R4399" t="s">
        <v>23</v>
      </c>
      <c r="S4399" s="1" t="s">
        <v>34218</v>
      </c>
    </row>
    <row r="4400" spans="1:19" x14ac:dyDescent="0.25">
      <c r="A4400">
        <v>100591520</v>
      </c>
      <c r="B4400" t="s">
        <v>5440</v>
      </c>
      <c r="C4400" t="s">
        <v>11259</v>
      </c>
      <c r="G4400" t="s">
        <v>11260</v>
      </c>
      <c r="H4400" t="s">
        <v>11261</v>
      </c>
      <c r="I4400" t="s">
        <v>33</v>
      </c>
      <c r="J4400">
        <v>15627</v>
      </c>
      <c r="K4400">
        <v>2671</v>
      </c>
      <c r="L4400" t="s">
        <v>23</v>
      </c>
      <c r="M4400" t="s">
        <v>11260</v>
      </c>
      <c r="N4400" t="s">
        <v>11261</v>
      </c>
      <c r="O4400" t="s">
        <v>33</v>
      </c>
      <c r="P4400">
        <v>15627</v>
      </c>
      <c r="Q4400">
        <v>2671</v>
      </c>
      <c r="R4400" t="s">
        <v>23</v>
      </c>
      <c r="S4400" s="1" t="s">
        <v>34218</v>
      </c>
    </row>
    <row r="4401" spans="1:19" x14ac:dyDescent="0.25">
      <c r="A4401">
        <v>100591574</v>
      </c>
      <c r="B4401" t="s">
        <v>4719</v>
      </c>
      <c r="C4401" t="s">
        <v>535</v>
      </c>
      <c r="G4401" t="s">
        <v>11262</v>
      </c>
      <c r="H4401" t="s">
        <v>2540</v>
      </c>
      <c r="I4401" t="s">
        <v>161</v>
      </c>
      <c r="J4401">
        <v>6855</v>
      </c>
      <c r="K4401">
        <v>2800</v>
      </c>
      <c r="L4401" t="s">
        <v>23</v>
      </c>
      <c r="M4401" t="s">
        <v>11262</v>
      </c>
      <c r="N4401" t="s">
        <v>2540</v>
      </c>
      <c r="O4401" t="s">
        <v>161</v>
      </c>
      <c r="P4401">
        <v>6855</v>
      </c>
      <c r="Q4401">
        <v>2800</v>
      </c>
      <c r="R4401" t="s">
        <v>23</v>
      </c>
      <c r="S4401" s="1" t="s">
        <v>34218</v>
      </c>
    </row>
    <row r="4402" spans="1:19" x14ac:dyDescent="0.25">
      <c r="A4402">
        <v>100593531</v>
      </c>
      <c r="B4402" t="s">
        <v>585</v>
      </c>
      <c r="C4402" t="s">
        <v>739</v>
      </c>
      <c r="F4402" t="str">
        <f>"3603362651"</f>
        <v>3603362651</v>
      </c>
      <c r="G4402" t="s">
        <v>11263</v>
      </c>
      <c r="H4402" t="s">
        <v>646</v>
      </c>
      <c r="I4402" t="s">
        <v>84</v>
      </c>
      <c r="J4402">
        <v>98273</v>
      </c>
      <c r="K4402">
        <v>2913</v>
      </c>
      <c r="L4402" t="s">
        <v>23</v>
      </c>
      <c r="M4402" t="s">
        <v>11263</v>
      </c>
      <c r="N4402" t="s">
        <v>646</v>
      </c>
      <c r="O4402" t="s">
        <v>84</v>
      </c>
      <c r="P4402">
        <v>98273</v>
      </c>
      <c r="Q4402">
        <v>2913</v>
      </c>
      <c r="R4402" t="s">
        <v>23</v>
      </c>
      <c r="S4402" s="1" t="s">
        <v>34218</v>
      </c>
    </row>
    <row r="4403" spans="1:19" x14ac:dyDescent="0.25">
      <c r="A4403">
        <v>100590492</v>
      </c>
      <c r="B4403" t="s">
        <v>793</v>
      </c>
      <c r="C4403" t="s">
        <v>247</v>
      </c>
      <c r="G4403" t="s">
        <v>11264</v>
      </c>
      <c r="H4403" t="s">
        <v>5926</v>
      </c>
      <c r="I4403" t="s">
        <v>33</v>
      </c>
      <c r="J4403">
        <v>17202</v>
      </c>
      <c r="K4403">
        <v>8832</v>
      </c>
      <c r="L4403" t="s">
        <v>23</v>
      </c>
      <c r="M4403" t="s">
        <v>11264</v>
      </c>
      <c r="N4403" t="s">
        <v>5926</v>
      </c>
      <c r="O4403" t="s">
        <v>33</v>
      </c>
      <c r="P4403">
        <v>17202</v>
      </c>
      <c r="Q4403">
        <v>8832</v>
      </c>
      <c r="R4403" t="s">
        <v>23</v>
      </c>
      <c r="S4403" s="1" t="s">
        <v>34218</v>
      </c>
    </row>
    <row r="4404" spans="1:19" x14ac:dyDescent="0.25">
      <c r="A4404">
        <v>100787192</v>
      </c>
      <c r="B4404" t="s">
        <v>2559</v>
      </c>
      <c r="C4404" t="s">
        <v>1959</v>
      </c>
      <c r="F4404" t="str">
        <f>"5096982104"</f>
        <v>5096982104</v>
      </c>
      <c r="G4404" t="s">
        <v>11265</v>
      </c>
      <c r="H4404" t="s">
        <v>11266</v>
      </c>
      <c r="I4404" t="s">
        <v>84</v>
      </c>
      <c r="J4404">
        <v>98942</v>
      </c>
      <c r="K4404">
        <v>8736</v>
      </c>
      <c r="L4404" t="s">
        <v>23</v>
      </c>
      <c r="M4404" t="s">
        <v>11265</v>
      </c>
      <c r="N4404" t="s">
        <v>11266</v>
      </c>
      <c r="O4404" t="s">
        <v>84</v>
      </c>
      <c r="P4404">
        <v>98942</v>
      </c>
      <c r="Q4404">
        <v>8736</v>
      </c>
      <c r="R4404" t="s">
        <v>23</v>
      </c>
      <c r="S4404" s="1" t="s">
        <v>34218</v>
      </c>
    </row>
    <row r="4405" spans="1:19" x14ac:dyDescent="0.25">
      <c r="A4405">
        <v>100786772</v>
      </c>
      <c r="B4405" t="s">
        <v>11267</v>
      </c>
      <c r="C4405" t="s">
        <v>1327</v>
      </c>
      <c r="G4405" t="s">
        <v>11268</v>
      </c>
      <c r="H4405" t="s">
        <v>11269</v>
      </c>
      <c r="I4405" t="s">
        <v>57</v>
      </c>
      <c r="J4405">
        <v>46732</v>
      </c>
      <c r="K4405">
        <v>9604</v>
      </c>
      <c r="L4405" t="s">
        <v>23</v>
      </c>
      <c r="M4405" t="s">
        <v>11268</v>
      </c>
      <c r="N4405" t="s">
        <v>11269</v>
      </c>
      <c r="O4405" t="s">
        <v>57</v>
      </c>
      <c r="P4405">
        <v>46732</v>
      </c>
      <c r="Q4405">
        <v>9604</v>
      </c>
      <c r="R4405" t="s">
        <v>23</v>
      </c>
      <c r="S4405" s="1" t="s">
        <v>34218</v>
      </c>
    </row>
    <row r="4406" spans="1:19" x14ac:dyDescent="0.25">
      <c r="A4406">
        <v>100785784</v>
      </c>
      <c r="B4406" t="s">
        <v>3956</v>
      </c>
      <c r="C4406" t="s">
        <v>1549</v>
      </c>
      <c r="G4406" t="s">
        <v>11270</v>
      </c>
      <c r="H4406" t="s">
        <v>11271</v>
      </c>
      <c r="I4406" t="s">
        <v>33</v>
      </c>
      <c r="J4406">
        <v>18301</v>
      </c>
      <c r="K4406">
        <v>8108</v>
      </c>
      <c r="L4406" t="s">
        <v>23</v>
      </c>
      <c r="M4406" t="s">
        <v>11270</v>
      </c>
      <c r="N4406" t="s">
        <v>11271</v>
      </c>
      <c r="O4406" t="s">
        <v>33</v>
      </c>
      <c r="P4406">
        <v>18301</v>
      </c>
      <c r="Q4406">
        <v>8108</v>
      </c>
      <c r="R4406" t="s">
        <v>23</v>
      </c>
      <c r="S4406" s="1" t="s">
        <v>34218</v>
      </c>
    </row>
    <row r="4407" spans="1:19" x14ac:dyDescent="0.25">
      <c r="A4407">
        <v>100792716</v>
      </c>
      <c r="B4407" t="s">
        <v>2080</v>
      </c>
      <c r="C4407" t="s">
        <v>11272</v>
      </c>
      <c r="G4407" t="s">
        <v>11273</v>
      </c>
      <c r="H4407" t="s">
        <v>11274</v>
      </c>
      <c r="I4407" t="s">
        <v>255</v>
      </c>
      <c r="J4407">
        <v>20187</v>
      </c>
      <c r="K4407">
        <v>9549</v>
      </c>
      <c r="L4407" t="s">
        <v>23</v>
      </c>
      <c r="M4407" t="s">
        <v>11273</v>
      </c>
      <c r="N4407" t="s">
        <v>11274</v>
      </c>
      <c r="O4407" t="s">
        <v>255</v>
      </c>
      <c r="P4407">
        <v>20187</v>
      </c>
      <c r="Q4407">
        <v>9549</v>
      </c>
      <c r="R4407" t="s">
        <v>23</v>
      </c>
      <c r="S4407" s="1" t="s">
        <v>34218</v>
      </c>
    </row>
    <row r="4408" spans="1:19" x14ac:dyDescent="0.25">
      <c r="A4408">
        <v>100793677</v>
      </c>
      <c r="B4408" t="s">
        <v>11275</v>
      </c>
      <c r="C4408" t="s">
        <v>1050</v>
      </c>
      <c r="G4408" t="s">
        <v>11276</v>
      </c>
      <c r="H4408" t="s">
        <v>2351</v>
      </c>
      <c r="I4408" t="s">
        <v>57</v>
      </c>
      <c r="J4408">
        <v>47468</v>
      </c>
      <c r="K4408">
        <v>9721</v>
      </c>
      <c r="L4408" t="s">
        <v>23</v>
      </c>
      <c r="M4408" t="s">
        <v>11276</v>
      </c>
      <c r="N4408" t="s">
        <v>2351</v>
      </c>
      <c r="O4408" t="s">
        <v>57</v>
      </c>
      <c r="P4408">
        <v>47468</v>
      </c>
      <c r="Q4408">
        <v>9721</v>
      </c>
      <c r="R4408" t="s">
        <v>23</v>
      </c>
      <c r="S4408" s="1" t="s">
        <v>34218</v>
      </c>
    </row>
    <row r="4409" spans="1:19" x14ac:dyDescent="0.25">
      <c r="A4409">
        <v>100585528</v>
      </c>
      <c r="B4409" t="s">
        <v>9162</v>
      </c>
      <c r="C4409" t="s">
        <v>432</v>
      </c>
      <c r="G4409" t="s">
        <v>11277</v>
      </c>
      <c r="H4409" t="s">
        <v>4955</v>
      </c>
      <c r="I4409" t="s">
        <v>914</v>
      </c>
      <c r="J4409">
        <v>37642</v>
      </c>
      <c r="K4409">
        <v>5028</v>
      </c>
      <c r="L4409" t="s">
        <v>23</v>
      </c>
      <c r="M4409" t="s">
        <v>11277</v>
      </c>
      <c r="N4409" t="s">
        <v>4955</v>
      </c>
      <c r="O4409" t="s">
        <v>914</v>
      </c>
      <c r="P4409">
        <v>37642</v>
      </c>
      <c r="Q4409">
        <v>5028</v>
      </c>
      <c r="R4409" t="s">
        <v>23</v>
      </c>
      <c r="S4409" s="1" t="s">
        <v>34218</v>
      </c>
    </row>
    <row r="4410" spans="1:19" x14ac:dyDescent="0.25">
      <c r="A4410">
        <v>100587149</v>
      </c>
      <c r="B4410" t="s">
        <v>11278</v>
      </c>
      <c r="C4410" t="s">
        <v>883</v>
      </c>
      <c r="G4410" t="s">
        <v>11279</v>
      </c>
      <c r="H4410" t="s">
        <v>2069</v>
      </c>
      <c r="I4410" t="s">
        <v>22</v>
      </c>
      <c r="J4410">
        <v>95472</v>
      </c>
      <c r="K4410">
        <v>5421</v>
      </c>
      <c r="L4410" t="s">
        <v>23</v>
      </c>
      <c r="M4410" t="s">
        <v>11279</v>
      </c>
      <c r="N4410" t="s">
        <v>2069</v>
      </c>
      <c r="O4410" t="s">
        <v>22</v>
      </c>
      <c r="P4410">
        <v>95472</v>
      </c>
      <c r="Q4410">
        <v>5421</v>
      </c>
      <c r="R4410" t="s">
        <v>23</v>
      </c>
      <c r="S4410" s="1" t="s">
        <v>34218</v>
      </c>
    </row>
    <row r="4411" spans="1:19" x14ac:dyDescent="0.25">
      <c r="A4411">
        <v>100591970</v>
      </c>
      <c r="B4411" t="s">
        <v>11280</v>
      </c>
      <c r="C4411" t="s">
        <v>119</v>
      </c>
      <c r="F4411" t="str">
        <f>"8157586251"</f>
        <v>8157586251</v>
      </c>
      <c r="G4411" t="s">
        <v>11281</v>
      </c>
      <c r="H4411" t="s">
        <v>10271</v>
      </c>
      <c r="I4411" t="s">
        <v>135</v>
      </c>
      <c r="J4411">
        <v>60115</v>
      </c>
      <c r="K4411">
        <v>8901</v>
      </c>
      <c r="L4411" t="s">
        <v>23</v>
      </c>
      <c r="M4411" t="s">
        <v>11281</v>
      </c>
      <c r="N4411" t="s">
        <v>10271</v>
      </c>
      <c r="O4411" t="s">
        <v>135</v>
      </c>
      <c r="P4411">
        <v>60115</v>
      </c>
      <c r="Q4411">
        <v>8901</v>
      </c>
      <c r="R4411" t="s">
        <v>23</v>
      </c>
      <c r="S4411" s="1" t="s">
        <v>34218</v>
      </c>
    </row>
    <row r="4412" spans="1:19" x14ac:dyDescent="0.25">
      <c r="A4412">
        <v>100591516</v>
      </c>
      <c r="B4412" t="s">
        <v>11282</v>
      </c>
      <c r="C4412" t="s">
        <v>1161</v>
      </c>
      <c r="G4412" t="s">
        <v>11283</v>
      </c>
      <c r="H4412" t="s">
        <v>11284</v>
      </c>
      <c r="I4412" t="s">
        <v>100</v>
      </c>
      <c r="J4412">
        <v>53089</v>
      </c>
      <c r="K4412">
        <v>3770</v>
      </c>
      <c r="L4412" t="s">
        <v>23</v>
      </c>
      <c r="M4412" t="s">
        <v>11283</v>
      </c>
      <c r="N4412" t="s">
        <v>11284</v>
      </c>
      <c r="O4412" t="s">
        <v>100</v>
      </c>
      <c r="P4412">
        <v>53089</v>
      </c>
      <c r="Q4412">
        <v>3770</v>
      </c>
      <c r="R4412" t="s">
        <v>23</v>
      </c>
      <c r="S4412" s="1" t="s">
        <v>34218</v>
      </c>
    </row>
    <row r="4413" spans="1:19" x14ac:dyDescent="0.25">
      <c r="A4413">
        <v>100594032</v>
      </c>
      <c r="B4413" t="s">
        <v>3123</v>
      </c>
      <c r="C4413" t="s">
        <v>1350</v>
      </c>
      <c r="G4413" t="s">
        <v>11285</v>
      </c>
      <c r="H4413" t="s">
        <v>8206</v>
      </c>
      <c r="I4413" t="s">
        <v>140</v>
      </c>
      <c r="J4413">
        <v>48381</v>
      </c>
      <c r="K4413">
        <v>2413</v>
      </c>
      <c r="L4413" t="s">
        <v>23</v>
      </c>
      <c r="M4413" t="s">
        <v>11285</v>
      </c>
      <c r="N4413" t="s">
        <v>8206</v>
      </c>
      <c r="O4413" t="s">
        <v>140</v>
      </c>
      <c r="P4413">
        <v>48381</v>
      </c>
      <c r="Q4413">
        <v>2413</v>
      </c>
      <c r="R4413" t="s">
        <v>23</v>
      </c>
      <c r="S4413" s="1" t="s">
        <v>34218</v>
      </c>
    </row>
    <row r="4414" spans="1:19" x14ac:dyDescent="0.25">
      <c r="A4414">
        <v>100598139</v>
      </c>
      <c r="B4414" t="s">
        <v>11286</v>
      </c>
      <c r="C4414" t="s">
        <v>11287</v>
      </c>
      <c r="G4414" t="s">
        <v>11288</v>
      </c>
      <c r="H4414" t="s">
        <v>8317</v>
      </c>
      <c r="I4414" t="s">
        <v>33</v>
      </c>
      <c r="J4414">
        <v>19120</v>
      </c>
      <c r="K4414">
        <v>1328</v>
      </c>
      <c r="L4414" t="s">
        <v>23</v>
      </c>
      <c r="M4414" t="s">
        <v>11288</v>
      </c>
      <c r="N4414" t="s">
        <v>8317</v>
      </c>
      <c r="O4414" t="s">
        <v>33</v>
      </c>
      <c r="P4414">
        <v>19120</v>
      </c>
      <c r="Q4414">
        <v>1328</v>
      </c>
      <c r="R4414" t="s">
        <v>23</v>
      </c>
      <c r="S4414" s="1" t="s">
        <v>34218</v>
      </c>
    </row>
    <row r="4415" spans="1:19" x14ac:dyDescent="0.25">
      <c r="A4415">
        <v>100592469</v>
      </c>
      <c r="B4415" t="s">
        <v>744</v>
      </c>
      <c r="C4415" t="s">
        <v>11289</v>
      </c>
      <c r="G4415" t="s">
        <v>11290</v>
      </c>
      <c r="H4415" t="s">
        <v>2505</v>
      </c>
      <c r="I4415" t="s">
        <v>52</v>
      </c>
      <c r="J4415">
        <v>32746</v>
      </c>
      <c r="K4415">
        <v>2256</v>
      </c>
      <c r="L4415" t="s">
        <v>23</v>
      </c>
      <c r="M4415" t="s">
        <v>11290</v>
      </c>
      <c r="N4415" t="s">
        <v>2505</v>
      </c>
      <c r="O4415" t="s">
        <v>52</v>
      </c>
      <c r="P4415">
        <v>32746</v>
      </c>
      <c r="Q4415">
        <v>2256</v>
      </c>
      <c r="R4415" t="s">
        <v>23</v>
      </c>
      <c r="S4415" s="1" t="s">
        <v>34218</v>
      </c>
    </row>
    <row r="4416" spans="1:19" x14ac:dyDescent="0.25">
      <c r="A4416">
        <v>100600826</v>
      </c>
      <c r="B4416" t="s">
        <v>2689</v>
      </c>
      <c r="C4416" t="s">
        <v>5347</v>
      </c>
      <c r="F4416" t="str">
        <f>"5108459992"</f>
        <v>5108459992</v>
      </c>
      <c r="G4416" t="s">
        <v>11291</v>
      </c>
      <c r="H4416" t="s">
        <v>66</v>
      </c>
      <c r="I4416" t="s">
        <v>22</v>
      </c>
      <c r="J4416">
        <v>94708</v>
      </c>
      <c r="K4416">
        <v>1949</v>
      </c>
      <c r="L4416" t="s">
        <v>23</v>
      </c>
      <c r="M4416" t="s">
        <v>11291</v>
      </c>
      <c r="N4416" t="s">
        <v>66</v>
      </c>
      <c r="O4416" t="s">
        <v>22</v>
      </c>
      <c r="P4416">
        <v>94708</v>
      </c>
      <c r="Q4416">
        <v>1949</v>
      </c>
      <c r="R4416" t="s">
        <v>23</v>
      </c>
      <c r="S4416" s="1" t="s">
        <v>34218</v>
      </c>
    </row>
    <row r="4417" spans="1:19" x14ac:dyDescent="0.25">
      <c r="A4417">
        <v>100787289</v>
      </c>
      <c r="B4417" t="s">
        <v>8467</v>
      </c>
      <c r="C4417" t="s">
        <v>30</v>
      </c>
      <c r="G4417" t="s">
        <v>11292</v>
      </c>
      <c r="H4417" t="s">
        <v>1318</v>
      </c>
      <c r="I4417" t="s">
        <v>22</v>
      </c>
      <c r="J4417">
        <v>94597</v>
      </c>
      <c r="K4417">
        <v>3179</v>
      </c>
      <c r="L4417" t="s">
        <v>23</v>
      </c>
      <c r="M4417" t="s">
        <v>11292</v>
      </c>
      <c r="N4417" t="s">
        <v>1318</v>
      </c>
      <c r="O4417" t="s">
        <v>22</v>
      </c>
      <c r="P4417">
        <v>94597</v>
      </c>
      <c r="Q4417">
        <v>3179</v>
      </c>
      <c r="R4417" t="s">
        <v>23</v>
      </c>
      <c r="S4417" s="1" t="s">
        <v>34218</v>
      </c>
    </row>
    <row r="4418" spans="1:19" x14ac:dyDescent="0.25">
      <c r="A4418">
        <v>100791969</v>
      </c>
      <c r="B4418" t="s">
        <v>4842</v>
      </c>
      <c r="C4418" t="s">
        <v>6055</v>
      </c>
      <c r="G4418" t="s">
        <v>11293</v>
      </c>
      <c r="H4418" t="s">
        <v>504</v>
      </c>
      <c r="I4418" t="s">
        <v>135</v>
      </c>
      <c r="J4418">
        <v>61727</v>
      </c>
      <c r="K4418">
        <v>1852</v>
      </c>
      <c r="L4418" t="s">
        <v>23</v>
      </c>
      <c r="M4418" t="s">
        <v>11293</v>
      </c>
      <c r="N4418" t="s">
        <v>504</v>
      </c>
      <c r="O4418" t="s">
        <v>135</v>
      </c>
      <c r="P4418">
        <v>61727</v>
      </c>
      <c r="Q4418">
        <v>1852</v>
      </c>
      <c r="R4418" t="s">
        <v>23</v>
      </c>
      <c r="S4418" s="1" t="s">
        <v>34218</v>
      </c>
    </row>
    <row r="4419" spans="1:19" x14ac:dyDescent="0.25">
      <c r="A4419">
        <v>100792026</v>
      </c>
      <c r="B4419" t="s">
        <v>247</v>
      </c>
      <c r="C4419" t="s">
        <v>11294</v>
      </c>
      <c r="F4419" t="str">
        <f>"7703947434"</f>
        <v>7703947434</v>
      </c>
      <c r="G4419" t="s">
        <v>11295</v>
      </c>
      <c r="H4419" t="s">
        <v>27</v>
      </c>
      <c r="I4419" t="s">
        <v>28</v>
      </c>
      <c r="J4419">
        <v>30338</v>
      </c>
      <c r="K4419">
        <v>3113</v>
      </c>
      <c r="L4419" t="s">
        <v>23</v>
      </c>
      <c r="M4419" t="s">
        <v>11295</v>
      </c>
      <c r="N4419" t="s">
        <v>27</v>
      </c>
      <c r="O4419" t="s">
        <v>28</v>
      </c>
      <c r="P4419">
        <v>30338</v>
      </c>
      <c r="Q4419">
        <v>3113</v>
      </c>
      <c r="R4419" t="s">
        <v>23</v>
      </c>
      <c r="S4419" s="1" t="s">
        <v>34218</v>
      </c>
    </row>
    <row r="4420" spans="1:19" x14ac:dyDescent="0.25">
      <c r="A4420">
        <v>100793968</v>
      </c>
      <c r="B4420" t="s">
        <v>11296</v>
      </c>
      <c r="C4420" t="s">
        <v>1398</v>
      </c>
      <c r="G4420" t="s">
        <v>11297</v>
      </c>
      <c r="H4420" t="s">
        <v>5190</v>
      </c>
      <c r="I4420" t="s">
        <v>255</v>
      </c>
      <c r="J4420">
        <v>22032</v>
      </c>
      <c r="K4420">
        <v>2749</v>
      </c>
      <c r="L4420" t="s">
        <v>23</v>
      </c>
      <c r="M4420" t="s">
        <v>11297</v>
      </c>
      <c r="N4420" t="s">
        <v>5190</v>
      </c>
      <c r="O4420" t="s">
        <v>255</v>
      </c>
      <c r="P4420">
        <v>22032</v>
      </c>
      <c r="Q4420">
        <v>2749</v>
      </c>
      <c r="R4420" t="s">
        <v>23</v>
      </c>
      <c r="S4420" s="1" t="s">
        <v>34218</v>
      </c>
    </row>
    <row r="4421" spans="1:19" x14ac:dyDescent="0.25">
      <c r="A4421">
        <v>100796229</v>
      </c>
      <c r="B4421" t="s">
        <v>11298</v>
      </c>
      <c r="C4421" t="s">
        <v>77</v>
      </c>
      <c r="G4421" t="s">
        <v>11299</v>
      </c>
      <c r="H4421" t="s">
        <v>11300</v>
      </c>
      <c r="I4421" t="s">
        <v>702</v>
      </c>
      <c r="J4421">
        <v>89826</v>
      </c>
      <c r="K4421">
        <v>36</v>
      </c>
      <c r="L4421" t="s">
        <v>23</v>
      </c>
      <c r="M4421" t="s">
        <v>11299</v>
      </c>
      <c r="N4421" t="s">
        <v>11300</v>
      </c>
      <c r="O4421" t="s">
        <v>702</v>
      </c>
      <c r="P4421">
        <v>89826</v>
      </c>
      <c r="Q4421">
        <v>36</v>
      </c>
      <c r="R4421" t="s">
        <v>23</v>
      </c>
      <c r="S4421" s="1" t="s">
        <v>34218</v>
      </c>
    </row>
    <row r="4422" spans="1:19" x14ac:dyDescent="0.25">
      <c r="A4422">
        <v>100799902</v>
      </c>
      <c r="B4422" t="s">
        <v>11301</v>
      </c>
      <c r="C4422" t="s">
        <v>2151</v>
      </c>
      <c r="G4422" t="s">
        <v>11302</v>
      </c>
      <c r="H4422" t="s">
        <v>11303</v>
      </c>
      <c r="I4422" t="s">
        <v>33</v>
      </c>
      <c r="J4422">
        <v>18210</v>
      </c>
      <c r="K4422">
        <v>3668</v>
      </c>
      <c r="L4422" t="s">
        <v>23</v>
      </c>
      <c r="M4422" t="s">
        <v>11302</v>
      </c>
      <c r="N4422" t="s">
        <v>11303</v>
      </c>
      <c r="O4422" t="s">
        <v>33</v>
      </c>
      <c r="P4422">
        <v>18210</v>
      </c>
      <c r="Q4422">
        <v>3668</v>
      </c>
      <c r="R4422" t="s">
        <v>23</v>
      </c>
      <c r="S4422" s="1" t="s">
        <v>34218</v>
      </c>
    </row>
    <row r="4423" spans="1:19" x14ac:dyDescent="0.25">
      <c r="A4423">
        <v>100805497</v>
      </c>
      <c r="B4423" t="s">
        <v>11304</v>
      </c>
      <c r="C4423" t="s">
        <v>1363</v>
      </c>
      <c r="G4423" t="s">
        <v>11305</v>
      </c>
      <c r="H4423" t="s">
        <v>88</v>
      </c>
      <c r="I4423" t="s">
        <v>22</v>
      </c>
      <c r="J4423">
        <v>94618</v>
      </c>
      <c r="K4423">
        <v>1211</v>
      </c>
      <c r="L4423" t="s">
        <v>23</v>
      </c>
      <c r="M4423" t="s">
        <v>11305</v>
      </c>
      <c r="N4423" t="s">
        <v>88</v>
      </c>
      <c r="O4423" t="s">
        <v>22</v>
      </c>
      <c r="P4423">
        <v>94618</v>
      </c>
      <c r="Q4423">
        <v>1211</v>
      </c>
      <c r="R4423" t="s">
        <v>23</v>
      </c>
      <c r="S4423" s="1" t="s">
        <v>34218</v>
      </c>
    </row>
    <row r="4424" spans="1:19" x14ac:dyDescent="0.25">
      <c r="A4424">
        <v>100801472</v>
      </c>
      <c r="B4424" t="s">
        <v>7580</v>
      </c>
      <c r="C4424" t="s">
        <v>1669</v>
      </c>
      <c r="G4424" t="s">
        <v>11306</v>
      </c>
      <c r="H4424" t="s">
        <v>10043</v>
      </c>
      <c r="I4424" t="s">
        <v>2537</v>
      </c>
      <c r="J4424">
        <v>72205</v>
      </c>
      <c r="K4424">
        <v>2783</v>
      </c>
      <c r="L4424" t="s">
        <v>23</v>
      </c>
      <c r="M4424" t="s">
        <v>11306</v>
      </c>
      <c r="N4424" t="s">
        <v>10043</v>
      </c>
      <c r="O4424" t="s">
        <v>2537</v>
      </c>
      <c r="P4424">
        <v>72205</v>
      </c>
      <c r="Q4424">
        <v>2783</v>
      </c>
      <c r="R4424" t="s">
        <v>23</v>
      </c>
      <c r="S4424" s="1" t="s">
        <v>34218</v>
      </c>
    </row>
    <row r="4425" spans="1:19" x14ac:dyDescent="0.25">
      <c r="A4425">
        <v>100801495</v>
      </c>
      <c r="B4425" t="s">
        <v>11307</v>
      </c>
      <c r="C4425" t="s">
        <v>11308</v>
      </c>
      <c r="G4425" t="s">
        <v>11309</v>
      </c>
      <c r="H4425" t="s">
        <v>2136</v>
      </c>
      <c r="I4425" t="s">
        <v>117</v>
      </c>
      <c r="J4425">
        <v>12603</v>
      </c>
      <c r="K4425">
        <v>6325</v>
      </c>
      <c r="L4425" t="s">
        <v>23</v>
      </c>
      <c r="M4425" t="s">
        <v>11309</v>
      </c>
      <c r="N4425" t="s">
        <v>2136</v>
      </c>
      <c r="O4425" t="s">
        <v>117</v>
      </c>
      <c r="P4425">
        <v>12603</v>
      </c>
      <c r="Q4425">
        <v>6325</v>
      </c>
      <c r="R4425" t="s">
        <v>23</v>
      </c>
      <c r="S4425" s="1" t="s">
        <v>34218</v>
      </c>
    </row>
    <row r="4426" spans="1:19" x14ac:dyDescent="0.25">
      <c r="A4426">
        <v>100813119</v>
      </c>
      <c r="B4426" t="s">
        <v>11310</v>
      </c>
      <c r="C4426" t="s">
        <v>390</v>
      </c>
      <c r="G4426" t="s">
        <v>11311</v>
      </c>
      <c r="H4426" t="s">
        <v>11312</v>
      </c>
      <c r="I4426" t="s">
        <v>353</v>
      </c>
      <c r="J4426">
        <v>3857</v>
      </c>
      <c r="K4426">
        <v>1406</v>
      </c>
      <c r="L4426" t="s">
        <v>23</v>
      </c>
      <c r="M4426" t="s">
        <v>11311</v>
      </c>
      <c r="N4426" t="s">
        <v>11312</v>
      </c>
      <c r="O4426" t="s">
        <v>353</v>
      </c>
      <c r="P4426">
        <v>3857</v>
      </c>
      <c r="Q4426">
        <v>1406</v>
      </c>
      <c r="R4426" t="s">
        <v>23</v>
      </c>
      <c r="S4426" s="1" t="s">
        <v>34218</v>
      </c>
    </row>
    <row r="4427" spans="1:19" x14ac:dyDescent="0.25">
      <c r="A4427">
        <v>101021440</v>
      </c>
      <c r="B4427" t="s">
        <v>76</v>
      </c>
      <c r="C4427" t="s">
        <v>1377</v>
      </c>
      <c r="G4427" t="s">
        <v>11313</v>
      </c>
      <c r="H4427" t="s">
        <v>2110</v>
      </c>
      <c r="I4427" t="s">
        <v>22</v>
      </c>
      <c r="J4427">
        <v>95490</v>
      </c>
      <c r="K4427">
        <v>8536</v>
      </c>
      <c r="L4427" t="s">
        <v>23</v>
      </c>
      <c r="M4427" t="s">
        <v>11313</v>
      </c>
      <c r="N4427" t="s">
        <v>2110</v>
      </c>
      <c r="O4427" t="s">
        <v>22</v>
      </c>
      <c r="P4427">
        <v>95490</v>
      </c>
      <c r="Q4427">
        <v>8536</v>
      </c>
      <c r="R4427" t="s">
        <v>23</v>
      </c>
      <c r="S4427" s="1" t="s">
        <v>34218</v>
      </c>
    </row>
    <row r="4428" spans="1:19" x14ac:dyDescent="0.25">
      <c r="A4428">
        <v>101025226</v>
      </c>
      <c r="B4428" t="s">
        <v>11314</v>
      </c>
      <c r="C4428" t="s">
        <v>30</v>
      </c>
      <c r="G4428" t="s">
        <v>11315</v>
      </c>
      <c r="H4428" t="s">
        <v>2749</v>
      </c>
      <c r="I4428" t="s">
        <v>191</v>
      </c>
      <c r="J4428">
        <v>4011</v>
      </c>
      <c r="K4428">
        <v>3026</v>
      </c>
      <c r="L4428" t="s">
        <v>23</v>
      </c>
      <c r="M4428" t="s">
        <v>11315</v>
      </c>
      <c r="N4428" t="s">
        <v>2749</v>
      </c>
      <c r="O4428" t="s">
        <v>191</v>
      </c>
      <c r="P4428">
        <v>4011</v>
      </c>
      <c r="Q4428">
        <v>3026</v>
      </c>
      <c r="R4428" t="s">
        <v>23</v>
      </c>
      <c r="S4428" s="1" t="s">
        <v>34218</v>
      </c>
    </row>
    <row r="4429" spans="1:19" x14ac:dyDescent="0.25">
      <c r="A4429">
        <v>101032481</v>
      </c>
      <c r="B4429" t="s">
        <v>11316</v>
      </c>
      <c r="C4429" t="s">
        <v>262</v>
      </c>
      <c r="G4429" t="s">
        <v>11317</v>
      </c>
      <c r="H4429" t="s">
        <v>3766</v>
      </c>
      <c r="I4429" t="s">
        <v>365</v>
      </c>
      <c r="J4429">
        <v>85286</v>
      </c>
      <c r="K4429">
        <v>7146</v>
      </c>
      <c r="L4429" t="s">
        <v>23</v>
      </c>
      <c r="M4429" t="s">
        <v>11317</v>
      </c>
      <c r="N4429" t="s">
        <v>3766</v>
      </c>
      <c r="O4429" t="s">
        <v>365</v>
      </c>
      <c r="P4429">
        <v>85286</v>
      </c>
      <c r="Q4429">
        <v>7146</v>
      </c>
      <c r="R4429" t="s">
        <v>23</v>
      </c>
      <c r="S4429" s="1" t="s">
        <v>34218</v>
      </c>
    </row>
    <row r="4430" spans="1:19" x14ac:dyDescent="0.25">
      <c r="A4430">
        <v>101032816</v>
      </c>
      <c r="B4430" t="s">
        <v>11318</v>
      </c>
      <c r="C4430" t="s">
        <v>1588</v>
      </c>
      <c r="G4430" t="s">
        <v>11319</v>
      </c>
      <c r="H4430" t="s">
        <v>11320</v>
      </c>
      <c r="I4430" t="s">
        <v>52</v>
      </c>
      <c r="J4430">
        <v>32571</v>
      </c>
      <c r="K4430">
        <v>6318</v>
      </c>
      <c r="L4430" t="s">
        <v>23</v>
      </c>
      <c r="M4430" t="s">
        <v>11319</v>
      </c>
      <c r="N4430" t="s">
        <v>11320</v>
      </c>
      <c r="O4430" t="s">
        <v>52</v>
      </c>
      <c r="P4430">
        <v>32571</v>
      </c>
      <c r="Q4430">
        <v>6318</v>
      </c>
      <c r="R4430" t="s">
        <v>23</v>
      </c>
      <c r="S4430" s="1" t="s">
        <v>34218</v>
      </c>
    </row>
    <row r="4431" spans="1:19" x14ac:dyDescent="0.25">
      <c r="A4431">
        <v>101205472</v>
      </c>
      <c r="B4431" t="s">
        <v>3228</v>
      </c>
      <c r="C4431" t="s">
        <v>1208</v>
      </c>
      <c r="G4431" t="s">
        <v>11321</v>
      </c>
      <c r="H4431" t="s">
        <v>1877</v>
      </c>
      <c r="I4431" t="s">
        <v>43</v>
      </c>
      <c r="J4431">
        <v>97301</v>
      </c>
      <c r="K4431">
        <v>121</v>
      </c>
      <c r="L4431" t="s">
        <v>23</v>
      </c>
      <c r="M4431" t="s">
        <v>11321</v>
      </c>
      <c r="N4431" t="s">
        <v>1877</v>
      </c>
      <c r="O4431" t="s">
        <v>43</v>
      </c>
      <c r="P4431">
        <v>97301</v>
      </c>
      <c r="Q4431">
        <v>121</v>
      </c>
      <c r="R4431" t="s">
        <v>23</v>
      </c>
      <c r="S4431" s="1" t="s">
        <v>34218</v>
      </c>
    </row>
    <row r="4432" spans="1:19" x14ac:dyDescent="0.25">
      <c r="A4432">
        <v>101472560</v>
      </c>
      <c r="B4432" t="s">
        <v>980</v>
      </c>
      <c r="C4432" t="s">
        <v>1327</v>
      </c>
      <c r="G4432" t="s">
        <v>11322</v>
      </c>
      <c r="H4432" t="s">
        <v>11323</v>
      </c>
      <c r="I4432" t="s">
        <v>250</v>
      </c>
      <c r="J4432">
        <v>7712</v>
      </c>
      <c r="L4432" t="s">
        <v>23</v>
      </c>
      <c r="M4432" t="s">
        <v>11322</v>
      </c>
      <c r="N4432" t="s">
        <v>11323</v>
      </c>
      <c r="O4432" t="s">
        <v>250</v>
      </c>
      <c r="P4432">
        <v>7712</v>
      </c>
      <c r="R4432" t="s">
        <v>23</v>
      </c>
      <c r="S4432" s="1" t="s">
        <v>34218</v>
      </c>
    </row>
    <row r="4433" spans="1:19" x14ac:dyDescent="0.25">
      <c r="A4433">
        <v>101440166</v>
      </c>
      <c r="B4433" t="s">
        <v>11324</v>
      </c>
      <c r="C4433" t="s">
        <v>11325</v>
      </c>
      <c r="G4433" t="s">
        <v>11326</v>
      </c>
      <c r="H4433" t="s">
        <v>2077</v>
      </c>
      <c r="I4433" t="s">
        <v>135</v>
      </c>
      <c r="J4433">
        <v>60093</v>
      </c>
      <c r="K4433">
        <v>3369</v>
      </c>
      <c r="L4433" t="s">
        <v>23</v>
      </c>
      <c r="M4433" t="s">
        <v>11326</v>
      </c>
      <c r="N4433" t="s">
        <v>2077</v>
      </c>
      <c r="O4433" t="s">
        <v>135</v>
      </c>
      <c r="P4433">
        <v>60093</v>
      </c>
      <c r="Q4433">
        <v>3369</v>
      </c>
      <c r="R4433" t="s">
        <v>23</v>
      </c>
      <c r="S4433" s="1" t="s">
        <v>34218</v>
      </c>
    </row>
    <row r="4434" spans="1:19" x14ac:dyDescent="0.25">
      <c r="A4434">
        <v>101336828</v>
      </c>
      <c r="B4434" t="s">
        <v>11327</v>
      </c>
      <c r="C4434" t="s">
        <v>1223</v>
      </c>
      <c r="G4434" t="s">
        <v>11328</v>
      </c>
      <c r="H4434" t="s">
        <v>1748</v>
      </c>
      <c r="I4434" t="s">
        <v>236</v>
      </c>
      <c r="J4434">
        <v>2476</v>
      </c>
      <c r="K4434">
        <v>7729</v>
      </c>
      <c r="L4434" t="s">
        <v>23</v>
      </c>
      <c r="M4434" t="s">
        <v>11328</v>
      </c>
      <c r="N4434" t="s">
        <v>1748</v>
      </c>
      <c r="O4434" t="s">
        <v>236</v>
      </c>
      <c r="P4434">
        <v>2476</v>
      </c>
      <c r="Q4434">
        <v>7729</v>
      </c>
      <c r="R4434" t="s">
        <v>23</v>
      </c>
      <c r="S4434" s="1" t="s">
        <v>34218</v>
      </c>
    </row>
    <row r="4435" spans="1:19" x14ac:dyDescent="0.25">
      <c r="A4435">
        <v>100633944</v>
      </c>
      <c r="B4435" t="s">
        <v>11329</v>
      </c>
      <c r="C4435" t="s">
        <v>1591</v>
      </c>
      <c r="G4435" t="s">
        <v>11330</v>
      </c>
      <c r="H4435" t="s">
        <v>11331</v>
      </c>
      <c r="I4435" t="s">
        <v>348</v>
      </c>
      <c r="J4435">
        <v>83843</v>
      </c>
      <c r="K4435">
        <v>3237</v>
      </c>
      <c r="L4435" t="s">
        <v>23</v>
      </c>
      <c r="M4435" t="s">
        <v>11330</v>
      </c>
      <c r="N4435" t="s">
        <v>11331</v>
      </c>
      <c r="O4435" t="s">
        <v>348</v>
      </c>
      <c r="P4435">
        <v>83843</v>
      </c>
      <c r="Q4435">
        <v>3237</v>
      </c>
      <c r="R4435" t="s">
        <v>23</v>
      </c>
      <c r="S4435" s="1" t="s">
        <v>34218</v>
      </c>
    </row>
    <row r="4436" spans="1:19" x14ac:dyDescent="0.25">
      <c r="A4436">
        <v>100630085</v>
      </c>
      <c r="B4436" t="s">
        <v>10838</v>
      </c>
      <c r="C4436" t="s">
        <v>1426</v>
      </c>
      <c r="G4436" t="s">
        <v>11332</v>
      </c>
      <c r="H4436" t="s">
        <v>11333</v>
      </c>
      <c r="I4436" t="s">
        <v>84</v>
      </c>
      <c r="J4436">
        <v>98230</v>
      </c>
      <c r="K4436">
        <v>5000</v>
      </c>
      <c r="L4436" t="s">
        <v>23</v>
      </c>
      <c r="M4436" t="s">
        <v>11332</v>
      </c>
      <c r="N4436" t="s">
        <v>11333</v>
      </c>
      <c r="O4436" t="s">
        <v>84</v>
      </c>
      <c r="P4436">
        <v>98230</v>
      </c>
      <c r="Q4436">
        <v>5000</v>
      </c>
      <c r="R4436" t="s">
        <v>23</v>
      </c>
      <c r="S4436" s="1" t="s">
        <v>34218</v>
      </c>
    </row>
    <row r="4437" spans="1:19" x14ac:dyDescent="0.25">
      <c r="A4437">
        <v>100638809</v>
      </c>
      <c r="B4437" t="s">
        <v>49</v>
      </c>
      <c r="C4437" t="s">
        <v>286</v>
      </c>
      <c r="G4437" t="s">
        <v>11334</v>
      </c>
      <c r="H4437" t="s">
        <v>323</v>
      </c>
      <c r="I4437" t="s">
        <v>22</v>
      </c>
      <c r="J4437">
        <v>95380</v>
      </c>
      <c r="K4437">
        <v>2838</v>
      </c>
      <c r="L4437" t="s">
        <v>23</v>
      </c>
      <c r="M4437" t="s">
        <v>11334</v>
      </c>
      <c r="N4437" t="s">
        <v>323</v>
      </c>
      <c r="O4437" t="s">
        <v>22</v>
      </c>
      <c r="P4437">
        <v>95380</v>
      </c>
      <c r="Q4437">
        <v>2838</v>
      </c>
      <c r="R4437" t="s">
        <v>23</v>
      </c>
      <c r="S4437" s="1" t="s">
        <v>34218</v>
      </c>
    </row>
    <row r="4438" spans="1:19" x14ac:dyDescent="0.25">
      <c r="A4438">
        <v>100792468</v>
      </c>
      <c r="B4438" t="s">
        <v>1164</v>
      </c>
      <c r="C4438" t="s">
        <v>390</v>
      </c>
      <c r="G4438" t="s">
        <v>11335</v>
      </c>
      <c r="H4438" t="s">
        <v>1579</v>
      </c>
      <c r="I4438" t="s">
        <v>135</v>
      </c>
      <c r="J4438">
        <v>60505</v>
      </c>
      <c r="K4438">
        <v>3555</v>
      </c>
      <c r="L4438" t="s">
        <v>23</v>
      </c>
      <c r="M4438" t="s">
        <v>11335</v>
      </c>
      <c r="N4438" t="s">
        <v>1579</v>
      </c>
      <c r="O4438" t="s">
        <v>135</v>
      </c>
      <c r="P4438">
        <v>60505</v>
      </c>
      <c r="Q4438">
        <v>3555</v>
      </c>
      <c r="R4438" t="s">
        <v>23</v>
      </c>
      <c r="S4438" s="1" t="s">
        <v>34218</v>
      </c>
    </row>
    <row r="4439" spans="1:19" x14ac:dyDescent="0.25">
      <c r="A4439">
        <v>100804383</v>
      </c>
      <c r="B4439" t="s">
        <v>11336</v>
      </c>
      <c r="C4439" t="s">
        <v>1327</v>
      </c>
      <c r="G4439" t="s">
        <v>11337</v>
      </c>
      <c r="H4439" t="s">
        <v>380</v>
      </c>
      <c r="I4439" t="s">
        <v>38</v>
      </c>
      <c r="J4439">
        <v>75233</v>
      </c>
      <c r="K4439">
        <v>3112</v>
      </c>
      <c r="L4439" t="s">
        <v>23</v>
      </c>
      <c r="M4439" t="s">
        <v>11337</v>
      </c>
      <c r="N4439" t="s">
        <v>380</v>
      </c>
      <c r="O4439" t="s">
        <v>38</v>
      </c>
      <c r="P4439">
        <v>75233</v>
      </c>
      <c r="Q4439">
        <v>3112</v>
      </c>
      <c r="R4439" t="s">
        <v>23</v>
      </c>
      <c r="S4439" s="1" t="s">
        <v>34218</v>
      </c>
    </row>
    <row r="4440" spans="1:19" x14ac:dyDescent="0.25">
      <c r="A4440">
        <v>100808708</v>
      </c>
      <c r="B4440" t="s">
        <v>6179</v>
      </c>
      <c r="C4440" t="s">
        <v>2547</v>
      </c>
      <c r="G4440" t="s">
        <v>11338</v>
      </c>
      <c r="H4440" t="s">
        <v>412</v>
      </c>
      <c r="I4440" t="s">
        <v>117</v>
      </c>
      <c r="J4440">
        <v>11218</v>
      </c>
      <c r="K4440">
        <v>2307</v>
      </c>
      <c r="L4440" t="s">
        <v>23</v>
      </c>
      <c r="M4440" t="s">
        <v>11338</v>
      </c>
      <c r="N4440" t="s">
        <v>412</v>
      </c>
      <c r="O4440" t="s">
        <v>117</v>
      </c>
      <c r="P4440">
        <v>11218</v>
      </c>
      <c r="Q4440">
        <v>2307</v>
      </c>
      <c r="R4440" t="s">
        <v>23</v>
      </c>
      <c r="S4440" s="1" t="s">
        <v>34218</v>
      </c>
    </row>
    <row r="4441" spans="1:19" x14ac:dyDescent="0.25">
      <c r="A4441">
        <v>100809209</v>
      </c>
      <c r="B4441" t="s">
        <v>11339</v>
      </c>
      <c r="C4441" t="s">
        <v>3854</v>
      </c>
      <c r="G4441" t="s">
        <v>11340</v>
      </c>
      <c r="H4441" t="s">
        <v>4150</v>
      </c>
      <c r="I4441" t="s">
        <v>365</v>
      </c>
      <c r="J4441">
        <v>85381</v>
      </c>
      <c r="K4441">
        <v>4013</v>
      </c>
      <c r="L4441" t="s">
        <v>23</v>
      </c>
      <c r="M4441" t="s">
        <v>11340</v>
      </c>
      <c r="N4441" t="s">
        <v>4150</v>
      </c>
      <c r="O4441" t="s">
        <v>365</v>
      </c>
      <c r="P4441">
        <v>85381</v>
      </c>
      <c r="Q4441">
        <v>4013</v>
      </c>
      <c r="R4441" t="s">
        <v>23</v>
      </c>
      <c r="S4441" s="1" t="s">
        <v>34218</v>
      </c>
    </row>
    <row r="4442" spans="1:19" x14ac:dyDescent="0.25">
      <c r="A4442">
        <v>100801488</v>
      </c>
      <c r="B4442" t="s">
        <v>11341</v>
      </c>
      <c r="C4442" t="s">
        <v>3633</v>
      </c>
      <c r="G4442" t="s">
        <v>11342</v>
      </c>
      <c r="H4442" t="s">
        <v>11343</v>
      </c>
      <c r="I4442" t="s">
        <v>662</v>
      </c>
      <c r="J4442">
        <v>2888</v>
      </c>
      <c r="K4442">
        <v>1653</v>
      </c>
      <c r="L4442" t="s">
        <v>23</v>
      </c>
      <c r="M4442" t="s">
        <v>11342</v>
      </c>
      <c r="N4442" t="s">
        <v>11343</v>
      </c>
      <c r="O4442" t="s">
        <v>662</v>
      </c>
      <c r="P4442">
        <v>2888</v>
      </c>
      <c r="Q4442">
        <v>1653</v>
      </c>
      <c r="R4442" t="s">
        <v>23</v>
      </c>
      <c r="S4442" s="1" t="s">
        <v>34218</v>
      </c>
    </row>
    <row r="4443" spans="1:19" x14ac:dyDescent="0.25">
      <c r="A4443">
        <v>101022058</v>
      </c>
      <c r="B4443" t="s">
        <v>11344</v>
      </c>
      <c r="C4443" t="s">
        <v>40</v>
      </c>
      <c r="G4443" t="s">
        <v>11345</v>
      </c>
      <c r="H4443" t="s">
        <v>529</v>
      </c>
      <c r="I4443" t="s">
        <v>71</v>
      </c>
      <c r="J4443">
        <v>80538</v>
      </c>
      <c r="K4443">
        <v>6453</v>
      </c>
      <c r="L4443" t="s">
        <v>23</v>
      </c>
      <c r="M4443" t="s">
        <v>11345</v>
      </c>
      <c r="N4443" t="s">
        <v>529</v>
      </c>
      <c r="O4443" t="s">
        <v>71</v>
      </c>
      <c r="P4443">
        <v>80538</v>
      </c>
      <c r="Q4443">
        <v>6453</v>
      </c>
      <c r="R4443" t="s">
        <v>23</v>
      </c>
      <c r="S4443" s="1" t="s">
        <v>34218</v>
      </c>
    </row>
    <row r="4444" spans="1:19" x14ac:dyDescent="0.25">
      <c r="A4444">
        <v>101019510</v>
      </c>
      <c r="B4444" t="s">
        <v>6257</v>
      </c>
      <c r="C4444" t="s">
        <v>6375</v>
      </c>
      <c r="G4444" t="s">
        <v>11346</v>
      </c>
      <c r="H4444" t="s">
        <v>37</v>
      </c>
      <c r="I4444" t="s">
        <v>38</v>
      </c>
      <c r="J4444">
        <v>78749</v>
      </c>
      <c r="K4444">
        <v>4291</v>
      </c>
      <c r="L4444" t="s">
        <v>23</v>
      </c>
      <c r="M4444" t="s">
        <v>11346</v>
      </c>
      <c r="N4444" t="s">
        <v>37</v>
      </c>
      <c r="O4444" t="s">
        <v>38</v>
      </c>
      <c r="P4444">
        <v>78749</v>
      </c>
      <c r="Q4444">
        <v>4291</v>
      </c>
      <c r="R4444" t="s">
        <v>23</v>
      </c>
      <c r="S4444" s="1" t="s">
        <v>34218</v>
      </c>
    </row>
    <row r="4445" spans="1:19" x14ac:dyDescent="0.25">
      <c r="A4445">
        <v>101019690</v>
      </c>
      <c r="B4445" t="s">
        <v>11347</v>
      </c>
      <c r="C4445" t="s">
        <v>9460</v>
      </c>
      <c r="G4445" t="s">
        <v>11348</v>
      </c>
      <c r="H4445" t="s">
        <v>11349</v>
      </c>
      <c r="I4445" t="s">
        <v>140</v>
      </c>
      <c r="J4445">
        <v>48432</v>
      </c>
      <c r="K4445">
        <v>9700</v>
      </c>
      <c r="L4445" t="s">
        <v>23</v>
      </c>
      <c r="M4445" t="s">
        <v>11348</v>
      </c>
      <c r="N4445" t="s">
        <v>11349</v>
      </c>
      <c r="O4445" t="s">
        <v>140</v>
      </c>
      <c r="P4445">
        <v>48432</v>
      </c>
      <c r="Q4445">
        <v>9700</v>
      </c>
      <c r="R4445" t="s">
        <v>23</v>
      </c>
      <c r="S4445" s="1" t="s">
        <v>34218</v>
      </c>
    </row>
    <row r="4446" spans="1:19" x14ac:dyDescent="0.25">
      <c r="A4446">
        <v>101020934</v>
      </c>
      <c r="B4446" t="s">
        <v>11350</v>
      </c>
      <c r="C4446" t="s">
        <v>1933</v>
      </c>
      <c r="G4446" t="s">
        <v>11351</v>
      </c>
      <c r="H4446" t="s">
        <v>4105</v>
      </c>
      <c r="I4446" t="s">
        <v>117</v>
      </c>
      <c r="J4446">
        <v>11375</v>
      </c>
      <c r="K4446">
        <v>4564</v>
      </c>
      <c r="L4446" t="s">
        <v>23</v>
      </c>
      <c r="M4446" t="s">
        <v>11351</v>
      </c>
      <c r="N4446" t="s">
        <v>4105</v>
      </c>
      <c r="O4446" t="s">
        <v>117</v>
      </c>
      <c r="P4446">
        <v>11375</v>
      </c>
      <c r="Q4446">
        <v>4564</v>
      </c>
      <c r="R4446" t="s">
        <v>23</v>
      </c>
      <c r="S4446" s="1" t="s">
        <v>34218</v>
      </c>
    </row>
    <row r="4447" spans="1:19" x14ac:dyDescent="0.25">
      <c r="A4447">
        <v>101022864</v>
      </c>
      <c r="B4447" t="s">
        <v>11352</v>
      </c>
      <c r="C4447" t="s">
        <v>894</v>
      </c>
      <c r="G4447" t="s">
        <v>11353</v>
      </c>
      <c r="H4447" t="s">
        <v>11354</v>
      </c>
      <c r="I4447" t="s">
        <v>250</v>
      </c>
      <c r="J4447">
        <v>8802</v>
      </c>
      <c r="K4447">
        <v>2106</v>
      </c>
      <c r="L4447" t="s">
        <v>23</v>
      </c>
      <c r="M4447" t="s">
        <v>11353</v>
      </c>
      <c r="N4447" t="s">
        <v>11354</v>
      </c>
      <c r="O4447" t="s">
        <v>250</v>
      </c>
      <c r="P4447">
        <v>8802</v>
      </c>
      <c r="Q4447">
        <v>2106</v>
      </c>
      <c r="R4447" t="s">
        <v>23</v>
      </c>
      <c r="S4447" s="1" t="s">
        <v>34218</v>
      </c>
    </row>
    <row r="4448" spans="1:19" x14ac:dyDescent="0.25">
      <c r="A4448">
        <v>101024973</v>
      </c>
      <c r="B4448" t="s">
        <v>744</v>
      </c>
      <c r="C4448" t="s">
        <v>4927</v>
      </c>
      <c r="G4448" t="s">
        <v>11355</v>
      </c>
      <c r="H4448" t="s">
        <v>11356</v>
      </c>
      <c r="I4448" t="s">
        <v>191</v>
      </c>
      <c r="J4448">
        <v>4938</v>
      </c>
      <c r="K4448">
        <v>4235</v>
      </c>
      <c r="L4448" t="s">
        <v>23</v>
      </c>
      <c r="M4448" t="s">
        <v>11355</v>
      </c>
      <c r="N4448" t="s">
        <v>11356</v>
      </c>
      <c r="O4448" t="s">
        <v>191</v>
      </c>
      <c r="P4448">
        <v>4938</v>
      </c>
      <c r="Q4448">
        <v>4235</v>
      </c>
      <c r="R4448" t="s">
        <v>23</v>
      </c>
      <c r="S4448" s="1" t="s">
        <v>34218</v>
      </c>
    </row>
    <row r="4449" spans="1:19" x14ac:dyDescent="0.25">
      <c r="A4449">
        <v>101030191</v>
      </c>
      <c r="B4449" t="s">
        <v>11357</v>
      </c>
      <c r="C4449" t="s">
        <v>2767</v>
      </c>
      <c r="G4449" t="s">
        <v>11358</v>
      </c>
      <c r="H4449" t="s">
        <v>11359</v>
      </c>
      <c r="I4449" t="s">
        <v>100</v>
      </c>
      <c r="J4449">
        <v>53575</v>
      </c>
      <c r="K4449">
        <v>3019</v>
      </c>
      <c r="L4449" t="s">
        <v>23</v>
      </c>
      <c r="M4449" t="s">
        <v>11358</v>
      </c>
      <c r="N4449" t="s">
        <v>11359</v>
      </c>
      <c r="O4449" t="s">
        <v>100</v>
      </c>
      <c r="P4449">
        <v>53575</v>
      </c>
      <c r="Q4449">
        <v>3019</v>
      </c>
      <c r="R4449" t="s">
        <v>23</v>
      </c>
      <c r="S4449" s="1" t="s">
        <v>34218</v>
      </c>
    </row>
    <row r="4450" spans="1:19" x14ac:dyDescent="0.25">
      <c r="A4450">
        <v>101025859</v>
      </c>
      <c r="B4450" t="s">
        <v>6325</v>
      </c>
      <c r="C4450" t="s">
        <v>621</v>
      </c>
      <c r="G4450" t="s">
        <v>11360</v>
      </c>
      <c r="H4450" t="s">
        <v>3498</v>
      </c>
      <c r="I4450" t="s">
        <v>43</v>
      </c>
      <c r="J4450">
        <v>97330</v>
      </c>
      <c r="K4450">
        <v>1837</v>
      </c>
      <c r="L4450" t="s">
        <v>23</v>
      </c>
      <c r="M4450" t="s">
        <v>11360</v>
      </c>
      <c r="N4450" t="s">
        <v>3498</v>
      </c>
      <c r="O4450" t="s">
        <v>43</v>
      </c>
      <c r="P4450">
        <v>97330</v>
      </c>
      <c r="Q4450">
        <v>1837</v>
      </c>
      <c r="R4450" t="s">
        <v>23</v>
      </c>
      <c r="S4450" s="1" t="s">
        <v>34218</v>
      </c>
    </row>
    <row r="4451" spans="1:19" x14ac:dyDescent="0.25">
      <c r="A4451">
        <v>100832079</v>
      </c>
      <c r="B4451" t="s">
        <v>11361</v>
      </c>
      <c r="C4451" t="s">
        <v>11362</v>
      </c>
      <c r="G4451" t="s">
        <v>11363</v>
      </c>
      <c r="H4451" t="s">
        <v>11364</v>
      </c>
      <c r="I4451" t="s">
        <v>117</v>
      </c>
      <c r="J4451">
        <v>11364</v>
      </c>
      <c r="K4451">
        <v>2735</v>
      </c>
      <c r="L4451" t="s">
        <v>23</v>
      </c>
      <c r="M4451" t="s">
        <v>11363</v>
      </c>
      <c r="N4451" t="s">
        <v>11364</v>
      </c>
      <c r="O4451" t="s">
        <v>117</v>
      </c>
      <c r="P4451">
        <v>11364</v>
      </c>
      <c r="Q4451">
        <v>2735</v>
      </c>
      <c r="R4451" t="s">
        <v>23</v>
      </c>
      <c r="S4451" s="1" t="s">
        <v>34218</v>
      </c>
    </row>
    <row r="4452" spans="1:19" x14ac:dyDescent="0.25">
      <c r="A4452">
        <v>101441027</v>
      </c>
      <c r="B4452" t="s">
        <v>11365</v>
      </c>
      <c r="C4452" t="s">
        <v>387</v>
      </c>
      <c r="G4452" t="s">
        <v>11366</v>
      </c>
      <c r="H4452" t="s">
        <v>1408</v>
      </c>
      <c r="I4452" t="s">
        <v>71</v>
      </c>
      <c r="J4452">
        <v>80631</v>
      </c>
      <c r="K4452">
        <v>6164</v>
      </c>
      <c r="L4452" t="s">
        <v>23</v>
      </c>
      <c r="M4452" t="s">
        <v>11366</v>
      </c>
      <c r="N4452" t="s">
        <v>1408</v>
      </c>
      <c r="O4452" t="s">
        <v>71</v>
      </c>
      <c r="P4452">
        <v>80631</v>
      </c>
      <c r="Q4452">
        <v>6164</v>
      </c>
      <c r="R4452" t="s">
        <v>23</v>
      </c>
      <c r="S4452" s="1" t="s">
        <v>34218</v>
      </c>
    </row>
    <row r="4453" spans="1:19" x14ac:dyDescent="0.25">
      <c r="A4453">
        <v>100660540</v>
      </c>
      <c r="B4453" t="s">
        <v>497</v>
      </c>
      <c r="C4453" t="s">
        <v>11367</v>
      </c>
      <c r="G4453" t="s">
        <v>11368</v>
      </c>
      <c r="H4453" t="s">
        <v>2046</v>
      </c>
      <c r="I4453" t="s">
        <v>446</v>
      </c>
      <c r="J4453">
        <v>27701</v>
      </c>
      <c r="K4453">
        <v>2327</v>
      </c>
      <c r="L4453" t="s">
        <v>23</v>
      </c>
      <c r="M4453" t="s">
        <v>11368</v>
      </c>
      <c r="N4453" t="s">
        <v>2046</v>
      </c>
      <c r="O4453" t="s">
        <v>446</v>
      </c>
      <c r="P4453">
        <v>27701</v>
      </c>
      <c r="Q4453">
        <v>2327</v>
      </c>
      <c r="R4453" t="s">
        <v>23</v>
      </c>
      <c r="S4453" s="1" t="s">
        <v>34218</v>
      </c>
    </row>
    <row r="4454" spans="1:19" x14ac:dyDescent="0.25">
      <c r="A4454">
        <v>100660788</v>
      </c>
      <c r="B4454" t="s">
        <v>11369</v>
      </c>
      <c r="C4454" t="s">
        <v>1374</v>
      </c>
      <c r="G4454" t="s">
        <v>11370</v>
      </c>
      <c r="H4454" t="s">
        <v>11371</v>
      </c>
      <c r="I4454" t="s">
        <v>100</v>
      </c>
      <c r="J4454">
        <v>54655</v>
      </c>
      <c r="K4454">
        <v>8584</v>
      </c>
      <c r="L4454" t="s">
        <v>23</v>
      </c>
      <c r="M4454" t="s">
        <v>11370</v>
      </c>
      <c r="N4454" t="s">
        <v>11371</v>
      </c>
      <c r="O4454" t="s">
        <v>100</v>
      </c>
      <c r="P4454">
        <v>54655</v>
      </c>
      <c r="Q4454">
        <v>8584</v>
      </c>
      <c r="R4454" t="s">
        <v>23</v>
      </c>
      <c r="S4454" s="1" t="s">
        <v>34218</v>
      </c>
    </row>
    <row r="4455" spans="1:19" x14ac:dyDescent="0.25">
      <c r="A4455">
        <v>100661745</v>
      </c>
      <c r="B4455" t="s">
        <v>3003</v>
      </c>
      <c r="C4455" t="s">
        <v>1036</v>
      </c>
      <c r="G4455" t="s">
        <v>11372</v>
      </c>
      <c r="H4455" t="s">
        <v>638</v>
      </c>
      <c r="I4455" t="s">
        <v>639</v>
      </c>
      <c r="J4455">
        <v>87110</v>
      </c>
      <c r="K4455">
        <v>5932</v>
      </c>
      <c r="L4455" t="s">
        <v>23</v>
      </c>
      <c r="M4455" t="s">
        <v>11372</v>
      </c>
      <c r="N4455" t="s">
        <v>638</v>
      </c>
      <c r="O4455" t="s">
        <v>639</v>
      </c>
      <c r="P4455">
        <v>87110</v>
      </c>
      <c r="Q4455">
        <v>5932</v>
      </c>
      <c r="R4455" t="s">
        <v>23</v>
      </c>
      <c r="S4455" s="1" t="s">
        <v>34218</v>
      </c>
    </row>
    <row r="4456" spans="1:19" x14ac:dyDescent="0.25">
      <c r="A4456">
        <v>100660914</v>
      </c>
      <c r="B4456" t="s">
        <v>11373</v>
      </c>
      <c r="C4456" t="s">
        <v>4299</v>
      </c>
      <c r="G4456" t="s">
        <v>11374</v>
      </c>
      <c r="H4456" t="s">
        <v>5827</v>
      </c>
      <c r="I4456" t="s">
        <v>117</v>
      </c>
      <c r="J4456">
        <v>13501</v>
      </c>
      <c r="K4456">
        <v>2331</v>
      </c>
      <c r="L4456" t="s">
        <v>23</v>
      </c>
      <c r="M4456" t="s">
        <v>11374</v>
      </c>
      <c r="N4456" t="s">
        <v>5827</v>
      </c>
      <c r="O4456" t="s">
        <v>117</v>
      </c>
      <c r="P4456">
        <v>13501</v>
      </c>
      <c r="Q4456">
        <v>2331</v>
      </c>
      <c r="R4456" t="s">
        <v>23</v>
      </c>
      <c r="S4456" s="1" t="s">
        <v>34218</v>
      </c>
    </row>
    <row r="4457" spans="1:19" x14ac:dyDescent="0.25">
      <c r="A4457">
        <v>100663734</v>
      </c>
      <c r="B4457" t="s">
        <v>11375</v>
      </c>
      <c r="C4457" t="s">
        <v>2127</v>
      </c>
      <c r="G4457" t="s">
        <v>11376</v>
      </c>
      <c r="H4457" t="s">
        <v>471</v>
      </c>
      <c r="I4457" t="s">
        <v>365</v>
      </c>
      <c r="J4457">
        <v>85254</v>
      </c>
      <c r="K4457">
        <v>4026</v>
      </c>
      <c r="L4457" t="s">
        <v>23</v>
      </c>
      <c r="M4457" t="s">
        <v>11376</v>
      </c>
      <c r="N4457" t="s">
        <v>471</v>
      </c>
      <c r="O4457" t="s">
        <v>365</v>
      </c>
      <c r="P4457">
        <v>85254</v>
      </c>
      <c r="Q4457">
        <v>4026</v>
      </c>
      <c r="R4457" t="s">
        <v>23</v>
      </c>
      <c r="S4457" s="1" t="s">
        <v>34218</v>
      </c>
    </row>
    <row r="4458" spans="1:19" x14ac:dyDescent="0.25">
      <c r="A4458">
        <v>100659936</v>
      </c>
      <c r="B4458" t="s">
        <v>11377</v>
      </c>
      <c r="C4458" t="s">
        <v>894</v>
      </c>
      <c r="G4458" t="s">
        <v>11378</v>
      </c>
      <c r="H4458" t="s">
        <v>11379</v>
      </c>
      <c r="I4458" t="s">
        <v>2566</v>
      </c>
      <c r="J4458">
        <v>99507</v>
      </c>
      <c r="K4458">
        <v>5389</v>
      </c>
      <c r="L4458" t="s">
        <v>23</v>
      </c>
      <c r="M4458" t="s">
        <v>11378</v>
      </c>
      <c r="N4458" t="s">
        <v>11379</v>
      </c>
      <c r="O4458" t="s">
        <v>2566</v>
      </c>
      <c r="P4458">
        <v>99507</v>
      </c>
      <c r="Q4458">
        <v>5389</v>
      </c>
      <c r="R4458" t="s">
        <v>23</v>
      </c>
      <c r="S4458" s="1" t="s">
        <v>34218</v>
      </c>
    </row>
    <row r="4459" spans="1:19" x14ac:dyDescent="0.25">
      <c r="A4459">
        <v>100670857</v>
      </c>
      <c r="B4459" t="s">
        <v>4982</v>
      </c>
      <c r="C4459" t="s">
        <v>229</v>
      </c>
      <c r="G4459" t="s">
        <v>11380</v>
      </c>
      <c r="H4459" t="s">
        <v>11381</v>
      </c>
      <c r="I4459" t="s">
        <v>187</v>
      </c>
      <c r="J4459">
        <v>55423</v>
      </c>
      <c r="K4459">
        <v>4151</v>
      </c>
      <c r="L4459" t="s">
        <v>23</v>
      </c>
      <c r="M4459" t="s">
        <v>11380</v>
      </c>
      <c r="N4459" t="s">
        <v>11381</v>
      </c>
      <c r="O4459" t="s">
        <v>187</v>
      </c>
      <c r="P4459">
        <v>55423</v>
      </c>
      <c r="Q4459">
        <v>4151</v>
      </c>
      <c r="R4459" t="s">
        <v>23</v>
      </c>
      <c r="S4459" s="1" t="s">
        <v>34218</v>
      </c>
    </row>
    <row r="4460" spans="1:19" x14ac:dyDescent="0.25">
      <c r="A4460">
        <v>100660264</v>
      </c>
      <c r="B4460" t="s">
        <v>11382</v>
      </c>
      <c r="C4460" t="s">
        <v>2193</v>
      </c>
      <c r="F4460" t="str">
        <f>"4065342743"</f>
        <v>4065342743</v>
      </c>
      <c r="G4460" t="s">
        <v>11383</v>
      </c>
      <c r="H4460" t="s">
        <v>9625</v>
      </c>
      <c r="I4460" t="s">
        <v>1000</v>
      </c>
      <c r="J4460">
        <v>59102</v>
      </c>
      <c r="K4460">
        <v>3350</v>
      </c>
      <c r="L4460" t="s">
        <v>23</v>
      </c>
      <c r="M4460" t="s">
        <v>11383</v>
      </c>
      <c r="N4460" t="s">
        <v>9625</v>
      </c>
      <c r="O4460" t="s">
        <v>1000</v>
      </c>
      <c r="P4460">
        <v>59102</v>
      </c>
      <c r="Q4460">
        <v>3350</v>
      </c>
      <c r="R4460" t="s">
        <v>23</v>
      </c>
      <c r="S4460" s="1" t="s">
        <v>34218</v>
      </c>
    </row>
    <row r="4461" spans="1:19" x14ac:dyDescent="0.25">
      <c r="A4461">
        <v>100674969</v>
      </c>
      <c r="B4461" t="s">
        <v>11384</v>
      </c>
      <c r="C4461" t="s">
        <v>3618</v>
      </c>
      <c r="G4461" t="s">
        <v>11385</v>
      </c>
      <c r="H4461" t="s">
        <v>11386</v>
      </c>
      <c r="I4461" t="s">
        <v>236</v>
      </c>
      <c r="J4461">
        <v>1982</v>
      </c>
      <c r="K4461">
        <v>2645</v>
      </c>
      <c r="L4461" t="s">
        <v>23</v>
      </c>
      <c r="M4461" t="s">
        <v>11385</v>
      </c>
      <c r="N4461" t="s">
        <v>11386</v>
      </c>
      <c r="O4461" t="s">
        <v>236</v>
      </c>
      <c r="P4461">
        <v>1982</v>
      </c>
      <c r="Q4461">
        <v>2645</v>
      </c>
      <c r="R4461" t="s">
        <v>23</v>
      </c>
      <c r="S4461" s="1" t="s">
        <v>34218</v>
      </c>
    </row>
    <row r="4462" spans="1:19" x14ac:dyDescent="0.25">
      <c r="A4462">
        <v>100679608</v>
      </c>
      <c r="B4462" t="s">
        <v>812</v>
      </c>
      <c r="C4462" t="s">
        <v>2044</v>
      </c>
      <c r="F4462" t="str">
        <f>"6099260804"</f>
        <v>6099260804</v>
      </c>
      <c r="G4462" t="s">
        <v>11387</v>
      </c>
      <c r="H4462" t="s">
        <v>11388</v>
      </c>
      <c r="I4462" t="s">
        <v>250</v>
      </c>
      <c r="J4462">
        <v>8234</v>
      </c>
      <c r="K4462">
        <v>7806</v>
      </c>
      <c r="L4462" t="s">
        <v>23</v>
      </c>
      <c r="M4462" t="s">
        <v>11387</v>
      </c>
      <c r="N4462" t="s">
        <v>11388</v>
      </c>
      <c r="O4462" t="s">
        <v>250</v>
      </c>
      <c r="P4462">
        <v>8234</v>
      </c>
      <c r="Q4462">
        <v>7806</v>
      </c>
      <c r="R4462" t="s">
        <v>23</v>
      </c>
      <c r="S4462" s="1" t="s">
        <v>34218</v>
      </c>
    </row>
    <row r="4463" spans="1:19" x14ac:dyDescent="0.25">
      <c r="A4463">
        <v>100679598</v>
      </c>
      <c r="B4463" t="s">
        <v>3130</v>
      </c>
      <c r="C4463" t="s">
        <v>475</v>
      </c>
      <c r="F4463" t="str">
        <f>"5412514007"</f>
        <v>5412514007</v>
      </c>
      <c r="G4463" t="s">
        <v>11389</v>
      </c>
      <c r="H4463" t="s">
        <v>288</v>
      </c>
      <c r="I4463" t="s">
        <v>43</v>
      </c>
      <c r="J4463">
        <v>97415</v>
      </c>
      <c r="K4463">
        <v>9558</v>
      </c>
      <c r="L4463" t="s">
        <v>23</v>
      </c>
      <c r="M4463" t="s">
        <v>11389</v>
      </c>
      <c r="N4463" t="s">
        <v>288</v>
      </c>
      <c r="O4463" t="s">
        <v>43</v>
      </c>
      <c r="P4463">
        <v>97415</v>
      </c>
      <c r="Q4463">
        <v>9558</v>
      </c>
      <c r="R4463" t="s">
        <v>23</v>
      </c>
      <c r="S4463" s="1" t="s">
        <v>34218</v>
      </c>
    </row>
    <row r="4464" spans="1:19" x14ac:dyDescent="0.25">
      <c r="A4464">
        <v>100677355</v>
      </c>
      <c r="B4464" t="s">
        <v>11390</v>
      </c>
      <c r="C4464" t="s">
        <v>535</v>
      </c>
      <c r="G4464" t="s">
        <v>11391</v>
      </c>
      <c r="H4464" t="s">
        <v>11392</v>
      </c>
      <c r="I4464" t="s">
        <v>140</v>
      </c>
      <c r="J4464">
        <v>49277</v>
      </c>
      <c r="K4464">
        <v>9735</v>
      </c>
      <c r="L4464" t="s">
        <v>23</v>
      </c>
      <c r="M4464" t="s">
        <v>11391</v>
      </c>
      <c r="N4464" t="s">
        <v>11392</v>
      </c>
      <c r="O4464" t="s">
        <v>140</v>
      </c>
      <c r="P4464">
        <v>49277</v>
      </c>
      <c r="Q4464">
        <v>9735</v>
      </c>
      <c r="R4464" t="s">
        <v>23</v>
      </c>
      <c r="S4464" s="1" t="s">
        <v>34218</v>
      </c>
    </row>
    <row r="4465" spans="1:19" x14ac:dyDescent="0.25">
      <c r="A4465">
        <v>100864553</v>
      </c>
      <c r="B4465" t="s">
        <v>11393</v>
      </c>
      <c r="C4465" t="s">
        <v>1622</v>
      </c>
      <c r="G4465" t="s">
        <v>11394</v>
      </c>
      <c r="H4465" t="s">
        <v>393</v>
      </c>
      <c r="I4465" t="s">
        <v>71</v>
      </c>
      <c r="J4465">
        <v>80221</v>
      </c>
      <c r="K4465">
        <v>3218</v>
      </c>
      <c r="L4465" t="s">
        <v>23</v>
      </c>
      <c r="M4465" t="s">
        <v>11394</v>
      </c>
      <c r="N4465" t="s">
        <v>393</v>
      </c>
      <c r="O4465" t="s">
        <v>71</v>
      </c>
      <c r="P4465">
        <v>80221</v>
      </c>
      <c r="Q4465">
        <v>3218</v>
      </c>
      <c r="R4465" t="s">
        <v>23</v>
      </c>
      <c r="S4465" s="1" t="s">
        <v>34218</v>
      </c>
    </row>
    <row r="4466" spans="1:19" x14ac:dyDescent="0.25">
      <c r="A4466">
        <v>100863945</v>
      </c>
      <c r="B4466" t="s">
        <v>11395</v>
      </c>
      <c r="C4466" t="s">
        <v>3460</v>
      </c>
      <c r="G4466" t="s">
        <v>11396</v>
      </c>
      <c r="H4466" t="s">
        <v>2910</v>
      </c>
      <c r="I4466" t="s">
        <v>52</v>
      </c>
      <c r="J4466">
        <v>34238</v>
      </c>
      <c r="K4466">
        <v>8700</v>
      </c>
      <c r="L4466" t="s">
        <v>23</v>
      </c>
      <c r="M4466" t="s">
        <v>11396</v>
      </c>
      <c r="N4466" t="s">
        <v>2910</v>
      </c>
      <c r="O4466" t="s">
        <v>52</v>
      </c>
      <c r="P4466">
        <v>34238</v>
      </c>
      <c r="Q4466">
        <v>8700</v>
      </c>
      <c r="R4466" t="s">
        <v>23</v>
      </c>
      <c r="S4466" s="1" t="s">
        <v>34218</v>
      </c>
    </row>
    <row r="4467" spans="1:19" x14ac:dyDescent="0.25">
      <c r="A4467">
        <v>100637213</v>
      </c>
      <c r="B4467" t="s">
        <v>11397</v>
      </c>
      <c r="C4467" t="s">
        <v>2790</v>
      </c>
      <c r="G4467" t="s">
        <v>11398</v>
      </c>
      <c r="H4467" t="s">
        <v>1176</v>
      </c>
      <c r="I4467" t="s">
        <v>1226</v>
      </c>
      <c r="J4467">
        <v>39170</v>
      </c>
      <c r="K4467">
        <v>7207</v>
      </c>
      <c r="L4467" t="s">
        <v>23</v>
      </c>
      <c r="M4467" t="s">
        <v>11398</v>
      </c>
      <c r="N4467" t="s">
        <v>1176</v>
      </c>
      <c r="O4467" t="s">
        <v>1226</v>
      </c>
      <c r="P4467">
        <v>39170</v>
      </c>
      <c r="Q4467">
        <v>7207</v>
      </c>
      <c r="R4467" t="s">
        <v>23</v>
      </c>
      <c r="S4467" s="1" t="s">
        <v>34218</v>
      </c>
    </row>
    <row r="4468" spans="1:19" x14ac:dyDescent="0.25">
      <c r="A4468">
        <v>100638126</v>
      </c>
      <c r="B4468" t="s">
        <v>11399</v>
      </c>
      <c r="C4468" t="s">
        <v>102</v>
      </c>
      <c r="G4468" t="s">
        <v>11400</v>
      </c>
      <c r="H4468" t="s">
        <v>2279</v>
      </c>
      <c r="I4468" t="s">
        <v>52</v>
      </c>
      <c r="J4468">
        <v>33613</v>
      </c>
      <c r="K4468">
        <v>4151</v>
      </c>
      <c r="L4468" t="s">
        <v>23</v>
      </c>
      <c r="M4468" t="s">
        <v>11400</v>
      </c>
      <c r="N4468" t="s">
        <v>2279</v>
      </c>
      <c r="O4468" t="s">
        <v>52</v>
      </c>
      <c r="P4468">
        <v>33613</v>
      </c>
      <c r="Q4468">
        <v>4151</v>
      </c>
      <c r="R4468" t="s">
        <v>23</v>
      </c>
      <c r="S4468" s="1" t="s">
        <v>34218</v>
      </c>
    </row>
    <row r="4469" spans="1:19" x14ac:dyDescent="0.25">
      <c r="A4469">
        <v>100635359</v>
      </c>
      <c r="B4469" t="s">
        <v>3089</v>
      </c>
      <c r="C4469" t="s">
        <v>1309</v>
      </c>
      <c r="G4469" t="s">
        <v>11401</v>
      </c>
      <c r="H4469" t="s">
        <v>11402</v>
      </c>
      <c r="I4469" t="s">
        <v>178</v>
      </c>
      <c r="J4469">
        <v>44023</v>
      </c>
      <c r="K4469">
        <v>2755</v>
      </c>
      <c r="L4469" t="s">
        <v>23</v>
      </c>
      <c r="M4469" t="s">
        <v>11401</v>
      </c>
      <c r="N4469" t="s">
        <v>11402</v>
      </c>
      <c r="O4469" t="s">
        <v>178</v>
      </c>
      <c r="P4469">
        <v>44023</v>
      </c>
      <c r="Q4469">
        <v>2755</v>
      </c>
      <c r="R4469" t="s">
        <v>23</v>
      </c>
      <c r="S4469" s="1" t="s">
        <v>34218</v>
      </c>
    </row>
    <row r="4470" spans="1:19" x14ac:dyDescent="0.25">
      <c r="A4470">
        <v>100645494</v>
      </c>
      <c r="B4470" t="s">
        <v>11403</v>
      </c>
      <c r="C4470" t="s">
        <v>2127</v>
      </c>
      <c r="G4470" t="s">
        <v>11404</v>
      </c>
      <c r="H4470" t="s">
        <v>3668</v>
      </c>
      <c r="I4470" t="s">
        <v>148</v>
      </c>
      <c r="J4470">
        <v>21239</v>
      </c>
      <c r="K4470">
        <v>2636</v>
      </c>
      <c r="L4470" t="s">
        <v>23</v>
      </c>
      <c r="M4470" t="s">
        <v>11404</v>
      </c>
      <c r="N4470" t="s">
        <v>3668</v>
      </c>
      <c r="O4470" t="s">
        <v>148</v>
      </c>
      <c r="P4470">
        <v>21239</v>
      </c>
      <c r="Q4470">
        <v>2636</v>
      </c>
      <c r="R4470" t="s">
        <v>23</v>
      </c>
      <c r="S4470" s="1" t="s">
        <v>34218</v>
      </c>
    </row>
    <row r="4471" spans="1:19" x14ac:dyDescent="0.25">
      <c r="A4471">
        <v>100643893</v>
      </c>
      <c r="B4471" t="s">
        <v>3237</v>
      </c>
      <c r="C4471" t="s">
        <v>2892</v>
      </c>
      <c r="G4471" t="s">
        <v>11405</v>
      </c>
      <c r="H4471" t="s">
        <v>92</v>
      </c>
      <c r="I4471" t="s">
        <v>84</v>
      </c>
      <c r="J4471">
        <v>98004</v>
      </c>
      <c r="K4471">
        <v>6314</v>
      </c>
      <c r="L4471" t="s">
        <v>23</v>
      </c>
      <c r="M4471" t="s">
        <v>11405</v>
      </c>
      <c r="N4471" t="s">
        <v>92</v>
      </c>
      <c r="O4471" t="s">
        <v>84</v>
      </c>
      <c r="P4471">
        <v>98004</v>
      </c>
      <c r="Q4471">
        <v>6314</v>
      </c>
      <c r="R4471" t="s">
        <v>23</v>
      </c>
      <c r="S4471" s="1" t="s">
        <v>34218</v>
      </c>
    </row>
    <row r="4472" spans="1:19" x14ac:dyDescent="0.25">
      <c r="A4472">
        <v>100644959</v>
      </c>
      <c r="B4472" t="s">
        <v>11406</v>
      </c>
      <c r="C4472" t="s">
        <v>7022</v>
      </c>
      <c r="G4472" t="s">
        <v>11407</v>
      </c>
      <c r="H4472" t="s">
        <v>130</v>
      </c>
      <c r="I4472" t="s">
        <v>22</v>
      </c>
      <c r="J4472">
        <v>94107</v>
      </c>
      <c r="K4472">
        <v>2809</v>
      </c>
      <c r="L4472" t="s">
        <v>23</v>
      </c>
      <c r="M4472" t="s">
        <v>11407</v>
      </c>
      <c r="N4472" t="s">
        <v>130</v>
      </c>
      <c r="O4472" t="s">
        <v>22</v>
      </c>
      <c r="P4472">
        <v>94107</v>
      </c>
      <c r="Q4472">
        <v>2809</v>
      </c>
      <c r="R4472" t="s">
        <v>23</v>
      </c>
      <c r="S4472" s="1" t="s">
        <v>34218</v>
      </c>
    </row>
    <row r="4473" spans="1:19" x14ac:dyDescent="0.25">
      <c r="A4473">
        <v>100640098</v>
      </c>
      <c r="B4473" t="s">
        <v>11408</v>
      </c>
      <c r="C4473" t="s">
        <v>8451</v>
      </c>
      <c r="G4473" t="s">
        <v>11409</v>
      </c>
      <c r="H4473" t="s">
        <v>737</v>
      </c>
      <c r="I4473" t="s">
        <v>255</v>
      </c>
      <c r="J4473">
        <v>23452</v>
      </c>
      <c r="K4473">
        <v>2550</v>
      </c>
      <c r="L4473" t="s">
        <v>23</v>
      </c>
      <c r="M4473" t="s">
        <v>11409</v>
      </c>
      <c r="N4473" t="s">
        <v>737</v>
      </c>
      <c r="O4473" t="s">
        <v>255</v>
      </c>
      <c r="P4473">
        <v>23452</v>
      </c>
      <c r="Q4473">
        <v>2550</v>
      </c>
      <c r="R4473" t="s">
        <v>23</v>
      </c>
      <c r="S4473" s="1" t="s">
        <v>34218</v>
      </c>
    </row>
    <row r="4474" spans="1:19" x14ac:dyDescent="0.25">
      <c r="A4474">
        <v>100652253</v>
      </c>
      <c r="B4474" t="s">
        <v>1463</v>
      </c>
      <c r="C4474" t="s">
        <v>4673</v>
      </c>
      <c r="G4474" t="s">
        <v>11410</v>
      </c>
      <c r="H4474" t="s">
        <v>412</v>
      </c>
      <c r="I4474" t="s">
        <v>117</v>
      </c>
      <c r="J4474">
        <v>11222</v>
      </c>
      <c r="K4474">
        <v>1096</v>
      </c>
      <c r="L4474" t="s">
        <v>23</v>
      </c>
      <c r="M4474" t="s">
        <v>11410</v>
      </c>
      <c r="N4474" t="s">
        <v>412</v>
      </c>
      <c r="O4474" t="s">
        <v>117</v>
      </c>
      <c r="P4474">
        <v>11222</v>
      </c>
      <c r="Q4474">
        <v>1096</v>
      </c>
      <c r="R4474" t="s">
        <v>23</v>
      </c>
      <c r="S4474" s="1" t="s">
        <v>34218</v>
      </c>
    </row>
    <row r="4475" spans="1:19" x14ac:dyDescent="0.25">
      <c r="A4475">
        <v>100835288</v>
      </c>
      <c r="B4475" t="s">
        <v>11411</v>
      </c>
      <c r="C4475" t="s">
        <v>11412</v>
      </c>
      <c r="G4475" t="s">
        <v>11413</v>
      </c>
      <c r="H4475" t="s">
        <v>1604</v>
      </c>
      <c r="I4475" t="s">
        <v>1482</v>
      </c>
      <c r="J4475">
        <v>29212</v>
      </c>
      <c r="K4475">
        <v>1208</v>
      </c>
      <c r="L4475" t="s">
        <v>23</v>
      </c>
      <c r="M4475" t="s">
        <v>11413</v>
      </c>
      <c r="N4475" t="s">
        <v>1604</v>
      </c>
      <c r="O4475" t="s">
        <v>1482</v>
      </c>
      <c r="P4475">
        <v>29212</v>
      </c>
      <c r="Q4475">
        <v>1208</v>
      </c>
      <c r="R4475" t="s">
        <v>23</v>
      </c>
      <c r="S4475" s="1" t="s">
        <v>34218</v>
      </c>
    </row>
    <row r="4476" spans="1:19" x14ac:dyDescent="0.25">
      <c r="A4476">
        <v>100834317</v>
      </c>
      <c r="B4476" t="s">
        <v>11414</v>
      </c>
      <c r="C4476" t="s">
        <v>11415</v>
      </c>
      <c r="G4476" t="s">
        <v>11416</v>
      </c>
      <c r="H4476" t="s">
        <v>1531</v>
      </c>
      <c r="I4476" t="s">
        <v>84</v>
      </c>
      <c r="J4476">
        <v>98103</v>
      </c>
      <c r="K4476">
        <v>4527</v>
      </c>
      <c r="L4476" t="s">
        <v>23</v>
      </c>
      <c r="M4476" t="s">
        <v>11416</v>
      </c>
      <c r="N4476" t="s">
        <v>1531</v>
      </c>
      <c r="O4476" t="s">
        <v>84</v>
      </c>
      <c r="P4476">
        <v>98103</v>
      </c>
      <c r="Q4476">
        <v>4527</v>
      </c>
      <c r="R4476" t="s">
        <v>23</v>
      </c>
      <c r="S4476" s="1" t="s">
        <v>34218</v>
      </c>
    </row>
    <row r="4477" spans="1:19" x14ac:dyDescent="0.25">
      <c r="A4477">
        <v>100841576</v>
      </c>
      <c r="B4477" t="s">
        <v>11417</v>
      </c>
      <c r="C4477" t="s">
        <v>803</v>
      </c>
      <c r="F4477" t="str">
        <f>"3104981872"</f>
        <v>3104981872</v>
      </c>
      <c r="G4477" t="s">
        <v>11418</v>
      </c>
      <c r="H4477" t="s">
        <v>9605</v>
      </c>
      <c r="I4477" t="s">
        <v>22</v>
      </c>
      <c r="J4477">
        <v>90272</v>
      </c>
      <c r="K4477">
        <v>3531</v>
      </c>
      <c r="L4477" t="s">
        <v>23</v>
      </c>
      <c r="M4477" t="s">
        <v>11418</v>
      </c>
      <c r="N4477" t="s">
        <v>9605</v>
      </c>
      <c r="O4477" t="s">
        <v>22</v>
      </c>
      <c r="P4477">
        <v>90272</v>
      </c>
      <c r="Q4477">
        <v>3531</v>
      </c>
      <c r="R4477" t="s">
        <v>23</v>
      </c>
      <c r="S4477" s="1" t="s">
        <v>34218</v>
      </c>
    </row>
    <row r="4478" spans="1:19" x14ac:dyDescent="0.25">
      <c r="A4478">
        <v>100838179</v>
      </c>
      <c r="B4478" t="s">
        <v>1665</v>
      </c>
      <c r="C4478" t="s">
        <v>11419</v>
      </c>
      <c r="G4478" t="s">
        <v>11420</v>
      </c>
      <c r="H4478" t="s">
        <v>481</v>
      </c>
      <c r="I4478" t="s">
        <v>22</v>
      </c>
      <c r="J4478">
        <v>95123</v>
      </c>
      <c r="K4478">
        <v>2427</v>
      </c>
      <c r="L4478" t="s">
        <v>23</v>
      </c>
      <c r="M4478" t="s">
        <v>11420</v>
      </c>
      <c r="N4478" t="s">
        <v>481</v>
      </c>
      <c r="O4478" t="s">
        <v>22</v>
      </c>
      <c r="P4478">
        <v>95123</v>
      </c>
      <c r="Q4478">
        <v>2427</v>
      </c>
      <c r="R4478" t="s">
        <v>23</v>
      </c>
      <c r="S4478" s="1" t="s">
        <v>34218</v>
      </c>
    </row>
    <row r="4479" spans="1:19" x14ac:dyDescent="0.25">
      <c r="A4479">
        <v>100841848</v>
      </c>
      <c r="B4479" t="s">
        <v>11421</v>
      </c>
      <c r="C4479" t="s">
        <v>1002</v>
      </c>
      <c r="G4479" t="s">
        <v>11422</v>
      </c>
      <c r="H4479" t="s">
        <v>174</v>
      </c>
      <c r="I4479" t="s">
        <v>22</v>
      </c>
      <c r="J4479">
        <v>93111</v>
      </c>
      <c r="K4479">
        <v>2847</v>
      </c>
      <c r="L4479" t="s">
        <v>23</v>
      </c>
      <c r="M4479" t="s">
        <v>11422</v>
      </c>
      <c r="N4479" t="s">
        <v>174</v>
      </c>
      <c r="O4479" t="s">
        <v>22</v>
      </c>
      <c r="P4479">
        <v>93111</v>
      </c>
      <c r="Q4479">
        <v>2847</v>
      </c>
      <c r="R4479" t="s">
        <v>23</v>
      </c>
      <c r="S4479" s="1" t="s">
        <v>34218</v>
      </c>
    </row>
    <row r="4480" spans="1:19" x14ac:dyDescent="0.25">
      <c r="A4480">
        <v>100842728</v>
      </c>
      <c r="B4480" t="s">
        <v>5321</v>
      </c>
      <c r="C4480" t="s">
        <v>3566</v>
      </c>
      <c r="G4480" t="s">
        <v>11423</v>
      </c>
      <c r="H4480" t="s">
        <v>11424</v>
      </c>
      <c r="I4480" t="s">
        <v>187</v>
      </c>
      <c r="J4480">
        <v>55331</v>
      </c>
      <c r="K4480">
        <v>8223</v>
      </c>
      <c r="L4480" t="s">
        <v>23</v>
      </c>
      <c r="M4480" t="s">
        <v>11423</v>
      </c>
      <c r="N4480" t="s">
        <v>11424</v>
      </c>
      <c r="O4480" t="s">
        <v>187</v>
      </c>
      <c r="P4480">
        <v>55331</v>
      </c>
      <c r="Q4480">
        <v>8223</v>
      </c>
      <c r="R4480" t="s">
        <v>23</v>
      </c>
      <c r="S4480" s="1" t="s">
        <v>34218</v>
      </c>
    </row>
    <row r="4481" spans="1:19" x14ac:dyDescent="0.25">
      <c r="A4481">
        <v>100844202</v>
      </c>
      <c r="B4481" t="s">
        <v>2098</v>
      </c>
      <c r="C4481" t="s">
        <v>1873</v>
      </c>
      <c r="G4481" t="s">
        <v>11425</v>
      </c>
      <c r="H4481" t="s">
        <v>11426</v>
      </c>
      <c r="I4481" t="s">
        <v>327</v>
      </c>
      <c r="J4481">
        <v>25267</v>
      </c>
      <c r="K4481">
        <v>6781</v>
      </c>
      <c r="L4481" t="s">
        <v>23</v>
      </c>
      <c r="M4481" t="s">
        <v>11425</v>
      </c>
      <c r="N4481" t="s">
        <v>11426</v>
      </c>
      <c r="O4481" t="s">
        <v>327</v>
      </c>
      <c r="P4481">
        <v>25267</v>
      </c>
      <c r="Q4481">
        <v>6781</v>
      </c>
      <c r="R4481" t="s">
        <v>23</v>
      </c>
      <c r="S4481" s="1" t="s">
        <v>34218</v>
      </c>
    </row>
    <row r="4482" spans="1:19" x14ac:dyDescent="0.25">
      <c r="A4482">
        <v>100846603</v>
      </c>
      <c r="B4482" t="s">
        <v>34</v>
      </c>
      <c r="C4482" t="s">
        <v>11427</v>
      </c>
      <c r="G4482" t="s">
        <v>11428</v>
      </c>
      <c r="H4482" t="s">
        <v>11429</v>
      </c>
      <c r="I4482" t="s">
        <v>1226</v>
      </c>
      <c r="J4482">
        <v>39530</v>
      </c>
      <c r="K4482">
        <v>1620</v>
      </c>
      <c r="L4482" t="s">
        <v>23</v>
      </c>
      <c r="M4482" t="s">
        <v>11428</v>
      </c>
      <c r="N4482" t="s">
        <v>11429</v>
      </c>
      <c r="O4482" t="s">
        <v>1226</v>
      </c>
      <c r="P4482">
        <v>39530</v>
      </c>
      <c r="Q4482">
        <v>1620</v>
      </c>
      <c r="R4482" t="s">
        <v>23</v>
      </c>
      <c r="S4482" s="1" t="s">
        <v>34218</v>
      </c>
    </row>
    <row r="4483" spans="1:19" x14ac:dyDescent="0.25">
      <c r="A4483">
        <v>100854062</v>
      </c>
      <c r="B4483" t="s">
        <v>11430</v>
      </c>
      <c r="C4483" t="s">
        <v>3704</v>
      </c>
      <c r="G4483" t="s">
        <v>11431</v>
      </c>
      <c r="H4483" t="s">
        <v>573</v>
      </c>
      <c r="I4483" t="s">
        <v>33</v>
      </c>
      <c r="J4483">
        <v>19103</v>
      </c>
      <c r="K4483">
        <v>3412</v>
      </c>
      <c r="L4483" t="s">
        <v>23</v>
      </c>
      <c r="M4483" t="s">
        <v>11431</v>
      </c>
      <c r="N4483" t="s">
        <v>573</v>
      </c>
      <c r="O4483" t="s">
        <v>33</v>
      </c>
      <c r="P4483">
        <v>19103</v>
      </c>
      <c r="Q4483">
        <v>3412</v>
      </c>
      <c r="R4483" t="s">
        <v>23</v>
      </c>
      <c r="S4483" s="1" t="s">
        <v>34218</v>
      </c>
    </row>
    <row r="4484" spans="1:19" x14ac:dyDescent="0.25">
      <c r="A4484">
        <v>100851248</v>
      </c>
      <c r="B4484" t="s">
        <v>11432</v>
      </c>
      <c r="C4484" t="s">
        <v>7281</v>
      </c>
      <c r="G4484" t="s">
        <v>11433</v>
      </c>
      <c r="H4484" t="s">
        <v>11434</v>
      </c>
      <c r="I4484" t="s">
        <v>100</v>
      </c>
      <c r="J4484">
        <v>53120</v>
      </c>
      <c r="K4484">
        <v>2320</v>
      </c>
      <c r="L4484" t="s">
        <v>23</v>
      </c>
      <c r="M4484" t="s">
        <v>11433</v>
      </c>
      <c r="N4484" t="s">
        <v>11434</v>
      </c>
      <c r="O4484" t="s">
        <v>100</v>
      </c>
      <c r="P4484">
        <v>53120</v>
      </c>
      <c r="Q4484">
        <v>2320</v>
      </c>
      <c r="R4484" t="s">
        <v>23</v>
      </c>
      <c r="S4484" s="1" t="s">
        <v>34218</v>
      </c>
    </row>
    <row r="4485" spans="1:19" x14ac:dyDescent="0.25">
      <c r="A4485">
        <v>100851231</v>
      </c>
      <c r="B4485" t="s">
        <v>1361</v>
      </c>
      <c r="C4485" t="s">
        <v>11435</v>
      </c>
      <c r="G4485" t="s">
        <v>11436</v>
      </c>
      <c r="H4485" t="s">
        <v>5523</v>
      </c>
      <c r="I4485" t="s">
        <v>984</v>
      </c>
      <c r="J4485">
        <v>96768</v>
      </c>
      <c r="K4485">
        <v>8065</v>
      </c>
      <c r="L4485" t="s">
        <v>23</v>
      </c>
      <c r="M4485" t="s">
        <v>11436</v>
      </c>
      <c r="N4485" t="s">
        <v>5523</v>
      </c>
      <c r="O4485" t="s">
        <v>984</v>
      </c>
      <c r="P4485">
        <v>96768</v>
      </c>
      <c r="Q4485">
        <v>8065</v>
      </c>
      <c r="R4485" t="s">
        <v>23</v>
      </c>
      <c r="S4485" s="1" t="s">
        <v>34218</v>
      </c>
    </row>
    <row r="4486" spans="1:19" x14ac:dyDescent="0.25">
      <c r="A4486">
        <v>100862309</v>
      </c>
      <c r="B4486" t="s">
        <v>11437</v>
      </c>
      <c r="C4486" t="s">
        <v>11438</v>
      </c>
      <c r="G4486" t="s">
        <v>11439</v>
      </c>
      <c r="H4486" t="s">
        <v>1402</v>
      </c>
      <c r="I4486" t="s">
        <v>38</v>
      </c>
      <c r="J4486">
        <v>77092</v>
      </c>
      <c r="K4486">
        <v>5434</v>
      </c>
      <c r="L4486" t="s">
        <v>23</v>
      </c>
      <c r="M4486" t="s">
        <v>11439</v>
      </c>
      <c r="N4486" t="s">
        <v>1402</v>
      </c>
      <c r="O4486" t="s">
        <v>38</v>
      </c>
      <c r="P4486">
        <v>77092</v>
      </c>
      <c r="Q4486">
        <v>5434</v>
      </c>
      <c r="R4486" t="s">
        <v>23</v>
      </c>
      <c r="S4486" s="1" t="s">
        <v>34218</v>
      </c>
    </row>
    <row r="4487" spans="1:19" x14ac:dyDescent="0.25">
      <c r="A4487">
        <v>100861442</v>
      </c>
      <c r="B4487" t="s">
        <v>11440</v>
      </c>
      <c r="C4487" t="s">
        <v>90</v>
      </c>
      <c r="G4487" t="s">
        <v>11441</v>
      </c>
      <c r="H4487" t="s">
        <v>5142</v>
      </c>
      <c r="I4487" t="s">
        <v>446</v>
      </c>
      <c r="J4487">
        <v>28732</v>
      </c>
      <c r="K4487">
        <v>7821</v>
      </c>
      <c r="L4487" t="s">
        <v>23</v>
      </c>
      <c r="M4487" t="s">
        <v>11441</v>
      </c>
      <c r="N4487" t="s">
        <v>5142</v>
      </c>
      <c r="O4487" t="s">
        <v>446</v>
      </c>
      <c r="P4487">
        <v>28732</v>
      </c>
      <c r="Q4487">
        <v>7821</v>
      </c>
      <c r="R4487" t="s">
        <v>23</v>
      </c>
      <c r="S4487" s="1" t="s">
        <v>34218</v>
      </c>
    </row>
    <row r="4488" spans="1:19" x14ac:dyDescent="0.25">
      <c r="A4488">
        <v>100861533</v>
      </c>
      <c r="B4488" t="s">
        <v>11442</v>
      </c>
      <c r="C4488" t="s">
        <v>4273</v>
      </c>
      <c r="G4488" t="s">
        <v>11443</v>
      </c>
      <c r="H4488" t="s">
        <v>1439</v>
      </c>
      <c r="I4488" t="s">
        <v>365</v>
      </c>
      <c r="J4488">
        <v>85719</v>
      </c>
      <c r="K4488">
        <v>4942</v>
      </c>
      <c r="L4488" t="s">
        <v>23</v>
      </c>
      <c r="M4488" t="s">
        <v>11443</v>
      </c>
      <c r="N4488" t="s">
        <v>1439</v>
      </c>
      <c r="O4488" t="s">
        <v>365</v>
      </c>
      <c r="P4488">
        <v>85719</v>
      </c>
      <c r="Q4488">
        <v>4942</v>
      </c>
      <c r="R4488" t="s">
        <v>23</v>
      </c>
      <c r="S4488" s="1" t="s">
        <v>34218</v>
      </c>
    </row>
    <row r="4489" spans="1:19" x14ac:dyDescent="0.25">
      <c r="A4489">
        <v>100864414</v>
      </c>
      <c r="B4489" t="s">
        <v>3204</v>
      </c>
      <c r="C4489" t="s">
        <v>11444</v>
      </c>
      <c r="G4489" t="s">
        <v>11445</v>
      </c>
      <c r="H4489" t="s">
        <v>11446</v>
      </c>
      <c r="I4489" t="s">
        <v>22</v>
      </c>
      <c r="J4489">
        <v>91723</v>
      </c>
      <c r="K4489">
        <v>3505</v>
      </c>
      <c r="L4489" t="s">
        <v>23</v>
      </c>
      <c r="M4489" t="s">
        <v>11445</v>
      </c>
      <c r="N4489" t="s">
        <v>11446</v>
      </c>
      <c r="O4489" t="s">
        <v>22</v>
      </c>
      <c r="P4489">
        <v>91723</v>
      </c>
      <c r="Q4489">
        <v>3505</v>
      </c>
      <c r="R4489" t="s">
        <v>23</v>
      </c>
      <c r="S4489" s="1" t="s">
        <v>34218</v>
      </c>
    </row>
    <row r="4490" spans="1:19" x14ac:dyDescent="0.25">
      <c r="A4490">
        <v>101069445</v>
      </c>
      <c r="B4490" t="s">
        <v>11447</v>
      </c>
      <c r="C4490" t="s">
        <v>11448</v>
      </c>
      <c r="G4490" t="s">
        <v>11449</v>
      </c>
      <c r="H4490" t="s">
        <v>11450</v>
      </c>
      <c r="I4490" t="s">
        <v>52</v>
      </c>
      <c r="J4490">
        <v>32259</v>
      </c>
      <c r="K4490">
        <v>7280</v>
      </c>
      <c r="L4490" t="s">
        <v>23</v>
      </c>
      <c r="M4490" t="s">
        <v>11449</v>
      </c>
      <c r="N4490" t="s">
        <v>11450</v>
      </c>
      <c r="O4490" t="s">
        <v>52</v>
      </c>
      <c r="P4490">
        <v>32259</v>
      </c>
      <c r="Q4490">
        <v>7280</v>
      </c>
      <c r="R4490" t="s">
        <v>23</v>
      </c>
      <c r="S4490" s="1" t="s">
        <v>34218</v>
      </c>
    </row>
    <row r="4491" spans="1:19" x14ac:dyDescent="0.25">
      <c r="A4491">
        <v>100518671</v>
      </c>
      <c r="B4491" t="s">
        <v>11451</v>
      </c>
      <c r="C4491" t="s">
        <v>1239</v>
      </c>
      <c r="G4491" t="s">
        <v>11452</v>
      </c>
      <c r="H4491" t="s">
        <v>11453</v>
      </c>
      <c r="I4491" t="s">
        <v>100</v>
      </c>
      <c r="J4491">
        <v>53029</v>
      </c>
      <c r="K4491">
        <v>9057</v>
      </c>
      <c r="L4491" t="s">
        <v>23</v>
      </c>
      <c r="M4491" t="s">
        <v>11452</v>
      </c>
      <c r="N4491" t="s">
        <v>11453</v>
      </c>
      <c r="O4491" t="s">
        <v>100</v>
      </c>
      <c r="P4491">
        <v>53029</v>
      </c>
      <c r="Q4491">
        <v>9057</v>
      </c>
      <c r="R4491" t="s">
        <v>23</v>
      </c>
      <c r="S4491" s="1" t="s">
        <v>34218</v>
      </c>
    </row>
    <row r="4492" spans="1:19" x14ac:dyDescent="0.25">
      <c r="A4492">
        <v>100518652</v>
      </c>
      <c r="B4492" t="s">
        <v>5980</v>
      </c>
      <c r="C4492" t="s">
        <v>3714</v>
      </c>
      <c r="G4492" t="s">
        <v>11454</v>
      </c>
      <c r="H4492" t="s">
        <v>11455</v>
      </c>
      <c r="I4492" t="s">
        <v>71</v>
      </c>
      <c r="J4492">
        <v>81201</v>
      </c>
      <c r="K4492">
        <v>9339</v>
      </c>
      <c r="L4492" t="s">
        <v>23</v>
      </c>
      <c r="M4492" t="s">
        <v>11454</v>
      </c>
      <c r="N4492" t="s">
        <v>11455</v>
      </c>
      <c r="O4492" t="s">
        <v>71</v>
      </c>
      <c r="P4492">
        <v>81201</v>
      </c>
      <c r="Q4492">
        <v>9339</v>
      </c>
      <c r="R4492" t="s">
        <v>23</v>
      </c>
      <c r="S4492" s="1" t="s">
        <v>34218</v>
      </c>
    </row>
    <row r="4493" spans="1:19" x14ac:dyDescent="0.25">
      <c r="A4493">
        <v>100519693</v>
      </c>
      <c r="B4493" t="s">
        <v>11456</v>
      </c>
      <c r="C4493" t="s">
        <v>2159</v>
      </c>
      <c r="F4493" t="str">
        <f>"4803140392"</f>
        <v>4803140392</v>
      </c>
      <c r="G4493" t="s">
        <v>11457</v>
      </c>
      <c r="H4493" t="s">
        <v>471</v>
      </c>
      <c r="I4493" t="s">
        <v>365</v>
      </c>
      <c r="J4493">
        <v>85259</v>
      </c>
      <c r="K4493">
        <v>6959</v>
      </c>
      <c r="L4493" t="s">
        <v>23</v>
      </c>
      <c r="M4493" t="s">
        <v>11457</v>
      </c>
      <c r="N4493" t="s">
        <v>471</v>
      </c>
      <c r="O4493" t="s">
        <v>365</v>
      </c>
      <c r="P4493">
        <v>85259</v>
      </c>
      <c r="Q4493">
        <v>6959</v>
      </c>
      <c r="R4493" t="s">
        <v>23</v>
      </c>
      <c r="S4493" s="1" t="s">
        <v>34218</v>
      </c>
    </row>
    <row r="4494" spans="1:19" x14ac:dyDescent="0.25">
      <c r="A4494">
        <v>100525123</v>
      </c>
      <c r="B4494" t="s">
        <v>11458</v>
      </c>
      <c r="C4494" t="s">
        <v>274</v>
      </c>
      <c r="G4494" t="s">
        <v>11459</v>
      </c>
      <c r="H4494" t="s">
        <v>972</v>
      </c>
      <c r="I4494" t="s">
        <v>135</v>
      </c>
      <c r="J4494">
        <v>60068</v>
      </c>
      <c r="K4494">
        <v>5635</v>
      </c>
      <c r="L4494" t="s">
        <v>23</v>
      </c>
      <c r="M4494" t="s">
        <v>11459</v>
      </c>
      <c r="N4494" t="s">
        <v>972</v>
      </c>
      <c r="O4494" t="s">
        <v>135</v>
      </c>
      <c r="P4494">
        <v>60068</v>
      </c>
      <c r="Q4494">
        <v>5635</v>
      </c>
      <c r="R4494" t="s">
        <v>23</v>
      </c>
      <c r="S4494" s="1" t="s">
        <v>34218</v>
      </c>
    </row>
    <row r="4495" spans="1:19" x14ac:dyDescent="0.25">
      <c r="A4495">
        <v>100527927</v>
      </c>
      <c r="B4495" t="s">
        <v>11460</v>
      </c>
      <c r="C4495" t="s">
        <v>1036</v>
      </c>
      <c r="G4495" t="s">
        <v>11461</v>
      </c>
      <c r="H4495" t="s">
        <v>11462</v>
      </c>
      <c r="I4495" t="s">
        <v>250</v>
      </c>
      <c r="J4495">
        <v>7856</v>
      </c>
      <c r="K4495">
        <v>1168</v>
      </c>
      <c r="L4495" t="s">
        <v>23</v>
      </c>
      <c r="M4495" t="s">
        <v>11461</v>
      </c>
      <c r="N4495" t="s">
        <v>11462</v>
      </c>
      <c r="O4495" t="s">
        <v>250</v>
      </c>
      <c r="P4495">
        <v>7856</v>
      </c>
      <c r="Q4495">
        <v>1168</v>
      </c>
      <c r="R4495" t="s">
        <v>23</v>
      </c>
      <c r="S4495" s="1" t="s">
        <v>34218</v>
      </c>
    </row>
    <row r="4496" spans="1:19" x14ac:dyDescent="0.25">
      <c r="A4496">
        <v>100860397</v>
      </c>
      <c r="B4496" t="s">
        <v>723</v>
      </c>
      <c r="C4496" t="s">
        <v>167</v>
      </c>
      <c r="G4496" t="s">
        <v>11463</v>
      </c>
      <c r="H4496" t="s">
        <v>11464</v>
      </c>
      <c r="I4496" t="s">
        <v>117</v>
      </c>
      <c r="J4496">
        <v>12404</v>
      </c>
      <c r="K4496">
        <v>5413</v>
      </c>
      <c r="L4496" t="s">
        <v>23</v>
      </c>
      <c r="M4496" t="s">
        <v>11463</v>
      </c>
      <c r="N4496" t="s">
        <v>11464</v>
      </c>
      <c r="O4496" t="s">
        <v>117</v>
      </c>
      <c r="P4496">
        <v>12404</v>
      </c>
      <c r="Q4496">
        <v>5413</v>
      </c>
      <c r="R4496" t="s">
        <v>23</v>
      </c>
      <c r="S4496" s="1" t="s">
        <v>34218</v>
      </c>
    </row>
    <row r="4497" spans="1:19" x14ac:dyDescent="0.25">
      <c r="A4497">
        <v>100868660</v>
      </c>
      <c r="B4497" t="s">
        <v>11465</v>
      </c>
      <c r="C4497" t="s">
        <v>1239</v>
      </c>
      <c r="G4497" t="s">
        <v>11466</v>
      </c>
      <c r="H4497" t="s">
        <v>3520</v>
      </c>
      <c r="I4497" t="s">
        <v>22</v>
      </c>
      <c r="J4497">
        <v>94583</v>
      </c>
      <c r="K4497">
        <v>1683</v>
      </c>
      <c r="L4497" t="s">
        <v>23</v>
      </c>
      <c r="M4497" t="s">
        <v>11466</v>
      </c>
      <c r="N4497" t="s">
        <v>3520</v>
      </c>
      <c r="O4497" t="s">
        <v>22</v>
      </c>
      <c r="P4497">
        <v>94583</v>
      </c>
      <c r="Q4497">
        <v>1683</v>
      </c>
      <c r="R4497" t="s">
        <v>23</v>
      </c>
      <c r="S4497" s="1" t="s">
        <v>34218</v>
      </c>
    </row>
    <row r="4498" spans="1:19" x14ac:dyDescent="0.25">
      <c r="A4498">
        <v>100875015</v>
      </c>
      <c r="B4498" t="s">
        <v>3462</v>
      </c>
      <c r="C4498" t="s">
        <v>2173</v>
      </c>
      <c r="G4498" t="s">
        <v>11467</v>
      </c>
      <c r="H4498" t="s">
        <v>11468</v>
      </c>
      <c r="I4498" t="s">
        <v>140</v>
      </c>
      <c r="J4498">
        <v>49330</v>
      </c>
      <c r="K4498">
        <v>9422</v>
      </c>
      <c r="L4498" t="s">
        <v>23</v>
      </c>
      <c r="M4498" t="s">
        <v>11467</v>
      </c>
      <c r="N4498" t="s">
        <v>11468</v>
      </c>
      <c r="O4498" t="s">
        <v>140</v>
      </c>
      <c r="P4498">
        <v>49330</v>
      </c>
      <c r="Q4498">
        <v>9422</v>
      </c>
      <c r="R4498" t="s">
        <v>23</v>
      </c>
      <c r="S4498" s="1" t="s">
        <v>34218</v>
      </c>
    </row>
    <row r="4499" spans="1:19" x14ac:dyDescent="0.25">
      <c r="A4499">
        <v>100876158</v>
      </c>
      <c r="B4499" t="s">
        <v>11469</v>
      </c>
      <c r="C4499" t="s">
        <v>1043</v>
      </c>
      <c r="G4499" t="s">
        <v>11470</v>
      </c>
      <c r="H4499" t="s">
        <v>6727</v>
      </c>
      <c r="I4499" t="s">
        <v>52</v>
      </c>
      <c r="J4499">
        <v>33406</v>
      </c>
      <c r="K4499">
        <v>8691</v>
      </c>
      <c r="L4499" t="s">
        <v>23</v>
      </c>
      <c r="M4499" t="s">
        <v>11470</v>
      </c>
      <c r="N4499" t="s">
        <v>6727</v>
      </c>
      <c r="O4499" t="s">
        <v>52</v>
      </c>
      <c r="P4499">
        <v>33406</v>
      </c>
      <c r="Q4499">
        <v>8691</v>
      </c>
      <c r="R4499" t="s">
        <v>23</v>
      </c>
      <c r="S4499" s="1" t="s">
        <v>34218</v>
      </c>
    </row>
    <row r="4500" spans="1:19" x14ac:dyDescent="0.25">
      <c r="A4500">
        <v>100876950</v>
      </c>
      <c r="B4500" t="s">
        <v>11471</v>
      </c>
      <c r="C4500" t="s">
        <v>2044</v>
      </c>
      <c r="G4500" t="s">
        <v>11472</v>
      </c>
      <c r="H4500" t="s">
        <v>4069</v>
      </c>
      <c r="I4500" t="s">
        <v>71</v>
      </c>
      <c r="J4500">
        <v>80123</v>
      </c>
      <c r="K4500">
        <v>3895</v>
      </c>
      <c r="L4500" t="s">
        <v>23</v>
      </c>
      <c r="M4500" t="s">
        <v>11472</v>
      </c>
      <c r="N4500" t="s">
        <v>4069</v>
      </c>
      <c r="O4500" t="s">
        <v>71</v>
      </c>
      <c r="P4500">
        <v>80123</v>
      </c>
      <c r="Q4500">
        <v>3895</v>
      </c>
      <c r="R4500" t="s">
        <v>23</v>
      </c>
      <c r="S4500" s="1" t="s">
        <v>34218</v>
      </c>
    </row>
    <row r="4501" spans="1:19" x14ac:dyDescent="0.25">
      <c r="A4501">
        <v>100878849</v>
      </c>
      <c r="B4501" t="s">
        <v>11473</v>
      </c>
      <c r="C4501" t="s">
        <v>119</v>
      </c>
      <c r="G4501" t="s">
        <v>11474</v>
      </c>
      <c r="H4501" t="s">
        <v>3680</v>
      </c>
      <c r="I4501" t="s">
        <v>565</v>
      </c>
      <c r="J4501">
        <v>52556</v>
      </c>
      <c r="K4501">
        <v>9224</v>
      </c>
      <c r="L4501" t="s">
        <v>23</v>
      </c>
      <c r="M4501" t="s">
        <v>11474</v>
      </c>
      <c r="N4501" t="s">
        <v>3680</v>
      </c>
      <c r="O4501" t="s">
        <v>565</v>
      </c>
      <c r="P4501">
        <v>52556</v>
      </c>
      <c r="Q4501">
        <v>9224</v>
      </c>
      <c r="R4501" t="s">
        <v>23</v>
      </c>
      <c r="S4501" s="1" t="s">
        <v>34218</v>
      </c>
    </row>
    <row r="4502" spans="1:19" x14ac:dyDescent="0.25">
      <c r="A4502">
        <v>100881818</v>
      </c>
      <c r="B4502" t="s">
        <v>11475</v>
      </c>
      <c r="C4502" t="s">
        <v>403</v>
      </c>
      <c r="F4502" t="str">
        <f>"4128816609"</f>
        <v>4128816609</v>
      </c>
      <c r="G4502" t="s">
        <v>11476</v>
      </c>
      <c r="H4502" t="s">
        <v>3363</v>
      </c>
      <c r="I4502" t="s">
        <v>33</v>
      </c>
      <c r="J4502">
        <v>15227</v>
      </c>
      <c r="K4502">
        <v>4529</v>
      </c>
      <c r="L4502" t="s">
        <v>23</v>
      </c>
      <c r="M4502" t="s">
        <v>11476</v>
      </c>
      <c r="N4502" t="s">
        <v>3363</v>
      </c>
      <c r="O4502" t="s">
        <v>33</v>
      </c>
      <c r="P4502">
        <v>15227</v>
      </c>
      <c r="Q4502">
        <v>4529</v>
      </c>
      <c r="R4502" t="s">
        <v>23</v>
      </c>
      <c r="S4502" s="1" t="s">
        <v>34218</v>
      </c>
    </row>
    <row r="4503" spans="1:19" x14ac:dyDescent="0.25">
      <c r="A4503">
        <v>100884529</v>
      </c>
      <c r="B4503" t="s">
        <v>11477</v>
      </c>
      <c r="C4503" t="s">
        <v>1487</v>
      </c>
      <c r="G4503" t="s">
        <v>11478</v>
      </c>
      <c r="H4503" t="s">
        <v>688</v>
      </c>
      <c r="I4503" t="s">
        <v>117</v>
      </c>
      <c r="J4503">
        <v>14626</v>
      </c>
      <c r="K4503">
        <v>1655</v>
      </c>
      <c r="L4503" t="s">
        <v>23</v>
      </c>
      <c r="M4503" t="s">
        <v>11478</v>
      </c>
      <c r="N4503" t="s">
        <v>688</v>
      </c>
      <c r="O4503" t="s">
        <v>117</v>
      </c>
      <c r="P4503">
        <v>14626</v>
      </c>
      <c r="Q4503">
        <v>1655</v>
      </c>
      <c r="R4503" t="s">
        <v>23</v>
      </c>
      <c r="S4503" s="1" t="s">
        <v>34218</v>
      </c>
    </row>
    <row r="4504" spans="1:19" x14ac:dyDescent="0.25">
      <c r="A4504">
        <v>100877008</v>
      </c>
      <c r="B4504" t="s">
        <v>763</v>
      </c>
      <c r="C4504" t="s">
        <v>1306</v>
      </c>
      <c r="G4504" t="s">
        <v>11479</v>
      </c>
      <c r="H4504" t="s">
        <v>6786</v>
      </c>
      <c r="I4504" t="s">
        <v>84</v>
      </c>
      <c r="J4504">
        <v>98466</v>
      </c>
      <c r="K4504">
        <v>6828</v>
      </c>
      <c r="L4504" t="s">
        <v>23</v>
      </c>
      <c r="M4504" t="s">
        <v>11479</v>
      </c>
      <c r="N4504" t="s">
        <v>6786</v>
      </c>
      <c r="O4504" t="s">
        <v>84</v>
      </c>
      <c r="P4504">
        <v>98466</v>
      </c>
      <c r="Q4504">
        <v>6828</v>
      </c>
      <c r="R4504" t="s">
        <v>23</v>
      </c>
      <c r="S4504" s="1" t="s">
        <v>34218</v>
      </c>
    </row>
    <row r="4505" spans="1:19" x14ac:dyDescent="0.25">
      <c r="A4505">
        <v>100881338</v>
      </c>
      <c r="B4505" t="s">
        <v>11480</v>
      </c>
      <c r="C4505" t="s">
        <v>1444</v>
      </c>
      <c r="G4505" t="s">
        <v>11481</v>
      </c>
      <c r="H4505" t="s">
        <v>423</v>
      </c>
      <c r="I4505" t="s">
        <v>71</v>
      </c>
      <c r="J4505">
        <v>80304</v>
      </c>
      <c r="K4505">
        <v>828</v>
      </c>
      <c r="L4505" t="s">
        <v>23</v>
      </c>
      <c r="M4505" t="s">
        <v>11481</v>
      </c>
      <c r="N4505" t="s">
        <v>423</v>
      </c>
      <c r="O4505" t="s">
        <v>71</v>
      </c>
      <c r="P4505">
        <v>80304</v>
      </c>
      <c r="Q4505">
        <v>828</v>
      </c>
      <c r="R4505" t="s">
        <v>23</v>
      </c>
      <c r="S4505" s="1" t="s">
        <v>34218</v>
      </c>
    </row>
    <row r="4506" spans="1:19" x14ac:dyDescent="0.25">
      <c r="A4506">
        <v>100886078</v>
      </c>
      <c r="B4506" t="s">
        <v>11482</v>
      </c>
      <c r="C4506" t="s">
        <v>4587</v>
      </c>
      <c r="G4506" t="s">
        <v>11483</v>
      </c>
      <c r="H4506" t="s">
        <v>11484</v>
      </c>
      <c r="I4506" t="s">
        <v>43</v>
      </c>
      <c r="J4506">
        <v>97089</v>
      </c>
      <c r="K4506">
        <v>8851</v>
      </c>
      <c r="L4506" t="s">
        <v>23</v>
      </c>
      <c r="M4506" t="s">
        <v>11483</v>
      </c>
      <c r="N4506" t="s">
        <v>11484</v>
      </c>
      <c r="O4506" t="s">
        <v>43</v>
      </c>
      <c r="P4506">
        <v>97089</v>
      </c>
      <c r="Q4506">
        <v>8851</v>
      </c>
      <c r="R4506" t="s">
        <v>23</v>
      </c>
      <c r="S4506" s="1" t="s">
        <v>34218</v>
      </c>
    </row>
    <row r="4507" spans="1:19" x14ac:dyDescent="0.25">
      <c r="A4507">
        <v>101045130</v>
      </c>
      <c r="B4507" t="s">
        <v>11485</v>
      </c>
      <c r="C4507" t="s">
        <v>571</v>
      </c>
      <c r="G4507" t="s">
        <v>11486</v>
      </c>
      <c r="H4507" t="s">
        <v>134</v>
      </c>
      <c r="I4507" t="s">
        <v>135</v>
      </c>
      <c r="J4507">
        <v>60618</v>
      </c>
      <c r="K4507">
        <v>2108</v>
      </c>
      <c r="L4507" t="s">
        <v>23</v>
      </c>
      <c r="M4507" t="s">
        <v>11486</v>
      </c>
      <c r="N4507" t="s">
        <v>134</v>
      </c>
      <c r="O4507" t="s">
        <v>135</v>
      </c>
      <c r="P4507">
        <v>60618</v>
      </c>
      <c r="Q4507">
        <v>2108</v>
      </c>
      <c r="R4507" t="s">
        <v>23</v>
      </c>
      <c r="S4507" s="1" t="s">
        <v>34218</v>
      </c>
    </row>
    <row r="4508" spans="1:19" x14ac:dyDescent="0.25">
      <c r="A4508">
        <v>101035139</v>
      </c>
      <c r="B4508" t="s">
        <v>11487</v>
      </c>
      <c r="C4508" t="s">
        <v>11488</v>
      </c>
      <c r="F4508" t="str">
        <f>"2103199963"</f>
        <v>2103199963</v>
      </c>
      <c r="G4508" t="s">
        <v>11489</v>
      </c>
      <c r="H4508" t="s">
        <v>1229</v>
      </c>
      <c r="I4508" t="s">
        <v>38</v>
      </c>
      <c r="J4508">
        <v>78216</v>
      </c>
      <c r="K4508">
        <v>1803</v>
      </c>
      <c r="L4508" t="s">
        <v>23</v>
      </c>
      <c r="M4508" t="s">
        <v>11489</v>
      </c>
      <c r="N4508" t="s">
        <v>1229</v>
      </c>
      <c r="O4508" t="s">
        <v>38</v>
      </c>
      <c r="P4508">
        <v>78216</v>
      </c>
      <c r="Q4508">
        <v>1803</v>
      </c>
      <c r="R4508" t="s">
        <v>23</v>
      </c>
      <c r="S4508" s="1" t="s">
        <v>34218</v>
      </c>
    </row>
    <row r="4509" spans="1:19" x14ac:dyDescent="0.25">
      <c r="A4509">
        <v>101052179</v>
      </c>
      <c r="B4509" t="s">
        <v>1889</v>
      </c>
      <c r="C4509" t="s">
        <v>5196</v>
      </c>
      <c r="G4509" t="s">
        <v>11490</v>
      </c>
      <c r="H4509" t="s">
        <v>11491</v>
      </c>
      <c r="I4509" t="s">
        <v>178</v>
      </c>
      <c r="J4509">
        <v>43123</v>
      </c>
      <c r="K4509">
        <v>2352</v>
      </c>
      <c r="L4509" t="s">
        <v>23</v>
      </c>
      <c r="M4509" t="s">
        <v>11490</v>
      </c>
      <c r="N4509" t="s">
        <v>11491</v>
      </c>
      <c r="O4509" t="s">
        <v>178</v>
      </c>
      <c r="P4509">
        <v>43123</v>
      </c>
      <c r="Q4509">
        <v>2352</v>
      </c>
      <c r="R4509" t="s">
        <v>23</v>
      </c>
      <c r="S4509" s="1" t="s">
        <v>34218</v>
      </c>
    </row>
    <row r="4510" spans="1:19" x14ac:dyDescent="0.25">
      <c r="A4510">
        <v>101050612</v>
      </c>
      <c r="B4510" t="s">
        <v>11492</v>
      </c>
      <c r="C4510" t="s">
        <v>77</v>
      </c>
      <c r="F4510" t="str">
        <f>"6108381316"</f>
        <v>6108381316</v>
      </c>
      <c r="G4510" t="s">
        <v>11493</v>
      </c>
      <c r="H4510" t="s">
        <v>11494</v>
      </c>
      <c r="I4510" t="s">
        <v>33</v>
      </c>
      <c r="J4510">
        <v>18055</v>
      </c>
      <c r="K4510">
        <v>2212</v>
      </c>
      <c r="L4510" t="s">
        <v>23</v>
      </c>
      <c r="M4510" t="s">
        <v>11493</v>
      </c>
      <c r="N4510" t="s">
        <v>11494</v>
      </c>
      <c r="O4510" t="s">
        <v>33</v>
      </c>
      <c r="P4510">
        <v>18055</v>
      </c>
      <c r="Q4510">
        <v>2212</v>
      </c>
      <c r="R4510" t="s">
        <v>23</v>
      </c>
      <c r="S4510" s="1" t="s">
        <v>34218</v>
      </c>
    </row>
    <row r="4511" spans="1:19" x14ac:dyDescent="0.25">
      <c r="A4511">
        <v>101051614</v>
      </c>
      <c r="B4511" t="s">
        <v>11495</v>
      </c>
      <c r="C4511" t="s">
        <v>119</v>
      </c>
      <c r="G4511" t="s">
        <v>11496</v>
      </c>
      <c r="H4511" t="s">
        <v>591</v>
      </c>
      <c r="I4511" t="s">
        <v>84</v>
      </c>
      <c r="J4511">
        <v>98226</v>
      </c>
      <c r="K4511">
        <v>1745</v>
      </c>
      <c r="L4511" t="s">
        <v>23</v>
      </c>
      <c r="M4511" t="s">
        <v>11496</v>
      </c>
      <c r="N4511" t="s">
        <v>591</v>
      </c>
      <c r="O4511" t="s">
        <v>84</v>
      </c>
      <c r="P4511">
        <v>98226</v>
      </c>
      <c r="Q4511">
        <v>1745</v>
      </c>
      <c r="R4511" t="s">
        <v>23</v>
      </c>
      <c r="S4511" s="1" t="s">
        <v>34218</v>
      </c>
    </row>
    <row r="4512" spans="1:19" x14ac:dyDescent="0.25">
      <c r="A4512">
        <v>101060046</v>
      </c>
      <c r="B4512" t="s">
        <v>11497</v>
      </c>
      <c r="C4512" t="s">
        <v>11294</v>
      </c>
      <c r="F4512" t="str">
        <f>"3194327753"</f>
        <v>3194327753</v>
      </c>
      <c r="G4512" t="s">
        <v>11498</v>
      </c>
      <c r="H4512" t="s">
        <v>11499</v>
      </c>
      <c r="I4512" t="s">
        <v>565</v>
      </c>
      <c r="J4512">
        <v>52772</v>
      </c>
      <c r="K4512">
        <v>9292</v>
      </c>
      <c r="L4512" t="s">
        <v>23</v>
      </c>
      <c r="M4512" t="s">
        <v>11498</v>
      </c>
      <c r="N4512" t="s">
        <v>11499</v>
      </c>
      <c r="O4512" t="s">
        <v>565</v>
      </c>
      <c r="P4512">
        <v>52772</v>
      </c>
      <c r="Q4512">
        <v>9292</v>
      </c>
      <c r="R4512" t="s">
        <v>23</v>
      </c>
      <c r="S4512" s="1" t="s">
        <v>34218</v>
      </c>
    </row>
    <row r="4513" spans="1:19" x14ac:dyDescent="0.25">
      <c r="A4513">
        <v>100431931</v>
      </c>
      <c r="B4513" t="s">
        <v>11500</v>
      </c>
      <c r="C4513" t="s">
        <v>167</v>
      </c>
      <c r="G4513" t="s">
        <v>11501</v>
      </c>
      <c r="H4513" t="s">
        <v>3373</v>
      </c>
      <c r="I4513" t="s">
        <v>178</v>
      </c>
      <c r="J4513" t="s">
        <v>11502</v>
      </c>
      <c r="K4513">
        <v>3324</v>
      </c>
      <c r="L4513" t="s">
        <v>23</v>
      </c>
      <c r="M4513" t="s">
        <v>11501</v>
      </c>
      <c r="N4513" t="s">
        <v>3373</v>
      </c>
      <c r="O4513" t="s">
        <v>178</v>
      </c>
      <c r="P4513" t="s">
        <v>11502</v>
      </c>
      <c r="Q4513">
        <v>3324</v>
      </c>
      <c r="R4513" t="s">
        <v>23</v>
      </c>
      <c r="S4513" s="1" t="s">
        <v>34218</v>
      </c>
    </row>
    <row r="4514" spans="1:19" x14ac:dyDescent="0.25">
      <c r="A4514">
        <v>100627960</v>
      </c>
      <c r="B4514" t="s">
        <v>11503</v>
      </c>
      <c r="C4514" t="s">
        <v>1153</v>
      </c>
      <c r="G4514" t="s">
        <v>11504</v>
      </c>
      <c r="H4514" t="s">
        <v>11505</v>
      </c>
      <c r="I4514" t="s">
        <v>100</v>
      </c>
      <c r="J4514">
        <v>54660</v>
      </c>
      <c r="K4514">
        <v>4328</v>
      </c>
      <c r="L4514" t="s">
        <v>23</v>
      </c>
      <c r="M4514" t="s">
        <v>11504</v>
      </c>
      <c r="N4514" t="s">
        <v>11505</v>
      </c>
      <c r="O4514" t="s">
        <v>100</v>
      </c>
      <c r="P4514">
        <v>54660</v>
      </c>
      <c r="Q4514">
        <v>4328</v>
      </c>
      <c r="R4514" t="s">
        <v>23</v>
      </c>
      <c r="S4514" s="1" t="s">
        <v>34218</v>
      </c>
    </row>
    <row r="4515" spans="1:19" x14ac:dyDescent="0.25">
      <c r="A4515">
        <v>100635122</v>
      </c>
      <c r="B4515" t="s">
        <v>11506</v>
      </c>
      <c r="C4515" t="s">
        <v>145</v>
      </c>
      <c r="G4515" t="s">
        <v>11507</v>
      </c>
      <c r="H4515" t="s">
        <v>4091</v>
      </c>
      <c r="I4515" t="s">
        <v>84</v>
      </c>
      <c r="J4515">
        <v>98155</v>
      </c>
      <c r="K4515">
        <v>6630</v>
      </c>
      <c r="L4515" t="s">
        <v>23</v>
      </c>
      <c r="M4515" t="s">
        <v>11507</v>
      </c>
      <c r="N4515" t="s">
        <v>4091</v>
      </c>
      <c r="O4515" t="s">
        <v>84</v>
      </c>
      <c r="P4515">
        <v>98155</v>
      </c>
      <c r="Q4515">
        <v>6630</v>
      </c>
      <c r="R4515" t="s">
        <v>23</v>
      </c>
      <c r="S4515" s="1" t="s">
        <v>34218</v>
      </c>
    </row>
    <row r="4516" spans="1:19" x14ac:dyDescent="0.25">
      <c r="A4516">
        <v>100634516</v>
      </c>
      <c r="B4516" t="s">
        <v>3871</v>
      </c>
      <c r="C4516" t="s">
        <v>2762</v>
      </c>
      <c r="G4516" t="s">
        <v>11508</v>
      </c>
      <c r="H4516" t="s">
        <v>3405</v>
      </c>
      <c r="I4516" t="s">
        <v>191</v>
      </c>
      <c r="J4516">
        <v>4640</v>
      </c>
      <c r="K4516">
        <v>436</v>
      </c>
      <c r="L4516" t="s">
        <v>23</v>
      </c>
      <c r="M4516" t="s">
        <v>11508</v>
      </c>
      <c r="N4516" t="s">
        <v>3405</v>
      </c>
      <c r="O4516" t="s">
        <v>191</v>
      </c>
      <c r="P4516">
        <v>4640</v>
      </c>
      <c r="Q4516">
        <v>436</v>
      </c>
      <c r="R4516" t="s">
        <v>23</v>
      </c>
      <c r="S4516" s="1" t="s">
        <v>34218</v>
      </c>
    </row>
    <row r="4517" spans="1:19" x14ac:dyDescent="0.25">
      <c r="A4517">
        <v>100635711</v>
      </c>
      <c r="B4517" t="s">
        <v>11509</v>
      </c>
      <c r="C4517" t="s">
        <v>5347</v>
      </c>
      <c r="G4517" t="s">
        <v>11510</v>
      </c>
      <c r="H4517" t="s">
        <v>2403</v>
      </c>
      <c r="I4517" t="s">
        <v>117</v>
      </c>
      <c r="J4517">
        <v>10601</v>
      </c>
      <c r="K4517">
        <v>3353</v>
      </c>
      <c r="L4517" t="s">
        <v>23</v>
      </c>
      <c r="M4517" t="s">
        <v>11510</v>
      </c>
      <c r="N4517" t="s">
        <v>2403</v>
      </c>
      <c r="O4517" t="s">
        <v>117</v>
      </c>
      <c r="P4517">
        <v>10601</v>
      </c>
      <c r="Q4517">
        <v>3353</v>
      </c>
      <c r="R4517" t="s">
        <v>23</v>
      </c>
      <c r="S4517" s="1" t="s">
        <v>34218</v>
      </c>
    </row>
    <row r="4518" spans="1:19" x14ac:dyDescent="0.25">
      <c r="A4518">
        <v>100635810</v>
      </c>
      <c r="B4518" t="s">
        <v>44</v>
      </c>
      <c r="C4518" t="s">
        <v>4188</v>
      </c>
      <c r="G4518" t="s">
        <v>11511</v>
      </c>
      <c r="H4518" t="s">
        <v>11512</v>
      </c>
      <c r="I4518" t="s">
        <v>255</v>
      </c>
      <c r="J4518">
        <v>23324</v>
      </c>
      <c r="K4518">
        <v>1818</v>
      </c>
      <c r="L4518" t="s">
        <v>23</v>
      </c>
      <c r="M4518" t="s">
        <v>11511</v>
      </c>
      <c r="N4518" t="s">
        <v>11512</v>
      </c>
      <c r="O4518" t="s">
        <v>255</v>
      </c>
      <c r="P4518">
        <v>23324</v>
      </c>
      <c r="Q4518">
        <v>1818</v>
      </c>
      <c r="R4518" t="s">
        <v>23</v>
      </c>
      <c r="S4518" s="1" t="s">
        <v>34218</v>
      </c>
    </row>
    <row r="4519" spans="1:19" x14ac:dyDescent="0.25">
      <c r="A4519">
        <v>100638815</v>
      </c>
      <c r="B4519" t="s">
        <v>3109</v>
      </c>
      <c r="C4519" t="s">
        <v>4828</v>
      </c>
      <c r="F4519" t="str">
        <f>"2102251111"</f>
        <v>2102251111</v>
      </c>
      <c r="G4519" t="s">
        <v>11513</v>
      </c>
      <c r="H4519" t="s">
        <v>1229</v>
      </c>
      <c r="I4519" t="s">
        <v>38</v>
      </c>
      <c r="J4519">
        <v>78210</v>
      </c>
      <c r="K4519">
        <v>1127</v>
      </c>
      <c r="L4519" t="s">
        <v>23</v>
      </c>
      <c r="M4519" t="s">
        <v>11513</v>
      </c>
      <c r="N4519" t="s">
        <v>1229</v>
      </c>
      <c r="O4519" t="s">
        <v>38</v>
      </c>
      <c r="P4519">
        <v>78210</v>
      </c>
      <c r="Q4519">
        <v>1127</v>
      </c>
      <c r="R4519" t="s">
        <v>23</v>
      </c>
      <c r="S4519" s="1" t="s">
        <v>34218</v>
      </c>
    </row>
    <row r="4520" spans="1:19" x14ac:dyDescent="0.25">
      <c r="A4520">
        <v>100637355</v>
      </c>
      <c r="B4520" t="s">
        <v>11514</v>
      </c>
      <c r="C4520" t="s">
        <v>225</v>
      </c>
      <c r="G4520" t="s">
        <v>11515</v>
      </c>
      <c r="H4520" t="s">
        <v>2132</v>
      </c>
      <c r="I4520" t="s">
        <v>307</v>
      </c>
      <c r="J4520">
        <v>5674</v>
      </c>
      <c r="L4520" t="s">
        <v>23</v>
      </c>
      <c r="M4520" t="s">
        <v>11515</v>
      </c>
      <c r="N4520" t="s">
        <v>2132</v>
      </c>
      <c r="O4520" t="s">
        <v>307</v>
      </c>
      <c r="P4520">
        <v>5674</v>
      </c>
      <c r="R4520" t="s">
        <v>23</v>
      </c>
      <c r="S4520" s="1" t="s">
        <v>34218</v>
      </c>
    </row>
    <row r="4521" spans="1:19" x14ac:dyDescent="0.25">
      <c r="A4521">
        <v>100640601</v>
      </c>
      <c r="B4521" t="s">
        <v>1941</v>
      </c>
      <c r="C4521" t="s">
        <v>8130</v>
      </c>
      <c r="G4521" t="s">
        <v>11516</v>
      </c>
      <c r="H4521" t="s">
        <v>1412</v>
      </c>
      <c r="I4521" t="s">
        <v>52</v>
      </c>
      <c r="J4521">
        <v>32835</v>
      </c>
      <c r="K4521">
        <v>8704</v>
      </c>
      <c r="L4521" t="s">
        <v>23</v>
      </c>
      <c r="M4521" t="s">
        <v>11516</v>
      </c>
      <c r="N4521" t="s">
        <v>1412</v>
      </c>
      <c r="O4521" t="s">
        <v>52</v>
      </c>
      <c r="P4521">
        <v>32835</v>
      </c>
      <c r="Q4521">
        <v>8704</v>
      </c>
      <c r="R4521" t="s">
        <v>23</v>
      </c>
      <c r="S4521" s="1" t="s">
        <v>34218</v>
      </c>
    </row>
    <row r="4522" spans="1:19" x14ac:dyDescent="0.25">
      <c r="A4522">
        <v>100646658</v>
      </c>
      <c r="B4522" t="s">
        <v>11517</v>
      </c>
      <c r="C4522" t="s">
        <v>270</v>
      </c>
      <c r="G4522" t="s">
        <v>11518</v>
      </c>
      <c r="H4522" t="s">
        <v>2132</v>
      </c>
      <c r="I4522" t="s">
        <v>178</v>
      </c>
      <c r="J4522">
        <v>44481</v>
      </c>
      <c r="K4522">
        <v>9327</v>
      </c>
      <c r="L4522" t="s">
        <v>23</v>
      </c>
      <c r="M4522" t="s">
        <v>11518</v>
      </c>
      <c r="N4522" t="s">
        <v>2132</v>
      </c>
      <c r="O4522" t="s">
        <v>178</v>
      </c>
      <c r="P4522">
        <v>44481</v>
      </c>
      <c r="Q4522">
        <v>9327</v>
      </c>
      <c r="R4522" t="s">
        <v>23</v>
      </c>
      <c r="S4522" s="1" t="s">
        <v>34218</v>
      </c>
    </row>
    <row r="4523" spans="1:19" x14ac:dyDescent="0.25">
      <c r="A4523">
        <v>100650717</v>
      </c>
      <c r="B4523" t="s">
        <v>276</v>
      </c>
      <c r="C4523" t="s">
        <v>180</v>
      </c>
      <c r="G4523" t="s">
        <v>11519</v>
      </c>
      <c r="H4523" t="s">
        <v>3162</v>
      </c>
      <c r="I4523" t="s">
        <v>52</v>
      </c>
      <c r="J4523">
        <v>34769</v>
      </c>
      <c r="K4523">
        <v>3515</v>
      </c>
      <c r="L4523" t="s">
        <v>23</v>
      </c>
      <c r="M4523" t="s">
        <v>11519</v>
      </c>
      <c r="N4523" t="s">
        <v>3162</v>
      </c>
      <c r="O4523" t="s">
        <v>52</v>
      </c>
      <c r="P4523">
        <v>34769</v>
      </c>
      <c r="Q4523">
        <v>3515</v>
      </c>
      <c r="R4523" t="s">
        <v>23</v>
      </c>
      <c r="S4523" s="1" t="s">
        <v>34218</v>
      </c>
    </row>
    <row r="4524" spans="1:19" x14ac:dyDescent="0.25">
      <c r="A4524">
        <v>100832520</v>
      </c>
      <c r="B4524" t="s">
        <v>1827</v>
      </c>
      <c r="C4524" t="s">
        <v>9020</v>
      </c>
      <c r="G4524" t="s">
        <v>11520</v>
      </c>
      <c r="H4524" t="s">
        <v>3728</v>
      </c>
      <c r="I4524" t="s">
        <v>57</v>
      </c>
      <c r="J4524">
        <v>46319</v>
      </c>
      <c r="K4524">
        <v>2720</v>
      </c>
      <c r="L4524" t="s">
        <v>23</v>
      </c>
      <c r="M4524" t="s">
        <v>11520</v>
      </c>
      <c r="N4524" t="s">
        <v>3728</v>
      </c>
      <c r="O4524" t="s">
        <v>57</v>
      </c>
      <c r="P4524">
        <v>46319</v>
      </c>
      <c r="Q4524">
        <v>2720</v>
      </c>
      <c r="R4524" t="s">
        <v>23</v>
      </c>
      <c r="S4524" s="1" t="s">
        <v>34218</v>
      </c>
    </row>
    <row r="4525" spans="1:19" x14ac:dyDescent="0.25">
      <c r="A4525">
        <v>100713821</v>
      </c>
      <c r="B4525" t="s">
        <v>1444</v>
      </c>
      <c r="C4525" t="s">
        <v>8782</v>
      </c>
      <c r="G4525" t="s">
        <v>11521</v>
      </c>
      <c r="H4525" t="s">
        <v>1402</v>
      </c>
      <c r="I4525" t="s">
        <v>38</v>
      </c>
      <c r="J4525">
        <v>77070</v>
      </c>
      <c r="K4525">
        <v>4644</v>
      </c>
      <c r="L4525" t="s">
        <v>23</v>
      </c>
      <c r="M4525" t="s">
        <v>11521</v>
      </c>
      <c r="N4525" t="s">
        <v>1402</v>
      </c>
      <c r="O4525" t="s">
        <v>38</v>
      </c>
      <c r="P4525">
        <v>77070</v>
      </c>
      <c r="Q4525">
        <v>4644</v>
      </c>
      <c r="R4525" t="s">
        <v>23</v>
      </c>
      <c r="S4525" s="1" t="s">
        <v>34218</v>
      </c>
    </row>
    <row r="4526" spans="1:19" x14ac:dyDescent="0.25">
      <c r="A4526">
        <v>100715443</v>
      </c>
      <c r="B4526" t="s">
        <v>11522</v>
      </c>
      <c r="C4526" t="s">
        <v>329</v>
      </c>
      <c r="G4526" t="s">
        <v>11523</v>
      </c>
      <c r="H4526" t="s">
        <v>3852</v>
      </c>
      <c r="I4526" t="s">
        <v>140</v>
      </c>
      <c r="J4526">
        <v>48439</v>
      </c>
      <c r="K4526">
        <v>4893</v>
      </c>
      <c r="L4526" t="s">
        <v>23</v>
      </c>
      <c r="M4526" t="s">
        <v>11523</v>
      </c>
      <c r="N4526" t="s">
        <v>3852</v>
      </c>
      <c r="O4526" t="s">
        <v>140</v>
      </c>
      <c r="P4526">
        <v>48439</v>
      </c>
      <c r="Q4526">
        <v>4893</v>
      </c>
      <c r="R4526" t="s">
        <v>23</v>
      </c>
      <c r="S4526" s="1" t="s">
        <v>34218</v>
      </c>
    </row>
    <row r="4527" spans="1:19" x14ac:dyDescent="0.25">
      <c r="A4527">
        <v>100723652</v>
      </c>
      <c r="B4527" t="s">
        <v>11524</v>
      </c>
      <c r="C4527" t="s">
        <v>2929</v>
      </c>
      <c r="G4527" t="s">
        <v>11525</v>
      </c>
      <c r="H4527" t="s">
        <v>11526</v>
      </c>
      <c r="I4527" t="s">
        <v>135</v>
      </c>
      <c r="J4527">
        <v>62557</v>
      </c>
      <c r="K4527">
        <v>1645</v>
      </c>
      <c r="L4527" t="s">
        <v>23</v>
      </c>
      <c r="M4527" t="s">
        <v>11525</v>
      </c>
      <c r="N4527" t="s">
        <v>11526</v>
      </c>
      <c r="O4527" t="s">
        <v>135</v>
      </c>
      <c r="P4527">
        <v>62557</v>
      </c>
      <c r="Q4527">
        <v>1645</v>
      </c>
      <c r="R4527" t="s">
        <v>23</v>
      </c>
      <c r="S4527" s="1" t="s">
        <v>34218</v>
      </c>
    </row>
    <row r="4528" spans="1:19" x14ac:dyDescent="0.25">
      <c r="A4528">
        <v>100721108</v>
      </c>
      <c r="B4528" t="s">
        <v>744</v>
      </c>
      <c r="C4528" t="s">
        <v>575</v>
      </c>
      <c r="G4528" t="s">
        <v>11527</v>
      </c>
      <c r="H4528" t="s">
        <v>3482</v>
      </c>
      <c r="I4528" t="s">
        <v>140</v>
      </c>
      <c r="J4528">
        <v>48096</v>
      </c>
      <c r="K4528">
        <v>3010</v>
      </c>
      <c r="L4528" t="s">
        <v>23</v>
      </c>
      <c r="M4528" t="s">
        <v>11527</v>
      </c>
      <c r="N4528" t="s">
        <v>3482</v>
      </c>
      <c r="O4528" t="s">
        <v>140</v>
      </c>
      <c r="P4528">
        <v>48096</v>
      </c>
      <c r="Q4528">
        <v>3010</v>
      </c>
      <c r="R4528" t="s">
        <v>23</v>
      </c>
      <c r="S4528" s="1" t="s">
        <v>34218</v>
      </c>
    </row>
    <row r="4529" spans="1:19" x14ac:dyDescent="0.25">
      <c r="A4529">
        <v>100726717</v>
      </c>
      <c r="B4529" t="s">
        <v>11528</v>
      </c>
      <c r="C4529" t="s">
        <v>11529</v>
      </c>
      <c r="G4529" t="s">
        <v>11530</v>
      </c>
      <c r="H4529" t="s">
        <v>5700</v>
      </c>
      <c r="I4529" t="s">
        <v>161</v>
      </c>
      <c r="J4529">
        <v>6281</v>
      </c>
      <c r="K4529">
        <v>154</v>
      </c>
      <c r="L4529" t="s">
        <v>23</v>
      </c>
      <c r="M4529" t="s">
        <v>11530</v>
      </c>
      <c r="N4529" t="s">
        <v>5700</v>
      </c>
      <c r="O4529" t="s">
        <v>161</v>
      </c>
      <c r="P4529">
        <v>6281</v>
      </c>
      <c r="Q4529">
        <v>154</v>
      </c>
      <c r="R4529" t="s">
        <v>23</v>
      </c>
      <c r="S4529" s="1" t="s">
        <v>34218</v>
      </c>
    </row>
    <row r="4530" spans="1:19" x14ac:dyDescent="0.25">
      <c r="A4530">
        <v>100727455</v>
      </c>
      <c r="B4530" t="s">
        <v>2064</v>
      </c>
      <c r="C4530" t="s">
        <v>3442</v>
      </c>
      <c r="G4530" t="s">
        <v>11531</v>
      </c>
      <c r="H4530" t="s">
        <v>11532</v>
      </c>
      <c r="I4530" t="s">
        <v>250</v>
      </c>
      <c r="J4530">
        <v>8057</v>
      </c>
      <c r="K4530">
        <v>3230</v>
      </c>
      <c r="L4530" t="s">
        <v>23</v>
      </c>
      <c r="M4530" t="s">
        <v>11531</v>
      </c>
      <c r="N4530" t="s">
        <v>11532</v>
      </c>
      <c r="O4530" t="s">
        <v>250</v>
      </c>
      <c r="P4530">
        <v>8057</v>
      </c>
      <c r="Q4530">
        <v>3230</v>
      </c>
      <c r="R4530" t="s">
        <v>23</v>
      </c>
      <c r="S4530" s="1" t="s">
        <v>34218</v>
      </c>
    </row>
    <row r="4531" spans="1:19" x14ac:dyDescent="0.25">
      <c r="A4531">
        <v>100726720</v>
      </c>
      <c r="B4531" t="s">
        <v>11533</v>
      </c>
      <c r="C4531" t="s">
        <v>9860</v>
      </c>
      <c r="G4531" t="s">
        <v>11534</v>
      </c>
      <c r="H4531" t="s">
        <v>2359</v>
      </c>
      <c r="I4531" t="s">
        <v>22</v>
      </c>
      <c r="J4531">
        <v>92673</v>
      </c>
      <c r="K4531">
        <v>2717</v>
      </c>
      <c r="L4531" t="s">
        <v>23</v>
      </c>
      <c r="M4531" t="s">
        <v>11534</v>
      </c>
      <c r="N4531" t="s">
        <v>2359</v>
      </c>
      <c r="O4531" t="s">
        <v>22</v>
      </c>
      <c r="P4531">
        <v>92673</v>
      </c>
      <c r="Q4531">
        <v>2717</v>
      </c>
      <c r="R4531" t="s">
        <v>23</v>
      </c>
      <c r="S4531" s="1" t="s">
        <v>34218</v>
      </c>
    </row>
    <row r="4532" spans="1:19" x14ac:dyDescent="0.25">
      <c r="A4532">
        <v>100726848</v>
      </c>
      <c r="B4532" t="s">
        <v>8524</v>
      </c>
      <c r="C4532" t="s">
        <v>132</v>
      </c>
      <c r="G4532" t="s">
        <v>11535</v>
      </c>
      <c r="H4532" t="s">
        <v>2086</v>
      </c>
      <c r="I4532" t="s">
        <v>178</v>
      </c>
      <c r="J4532">
        <v>45236</v>
      </c>
      <c r="K4532">
        <v>3815</v>
      </c>
      <c r="L4532" t="s">
        <v>23</v>
      </c>
      <c r="M4532" t="s">
        <v>11535</v>
      </c>
      <c r="N4532" t="s">
        <v>2086</v>
      </c>
      <c r="O4532" t="s">
        <v>178</v>
      </c>
      <c r="P4532">
        <v>45236</v>
      </c>
      <c r="Q4532">
        <v>3815</v>
      </c>
      <c r="R4532" t="s">
        <v>23</v>
      </c>
      <c r="S4532" s="1" t="s">
        <v>34218</v>
      </c>
    </row>
    <row r="4533" spans="1:19" x14ac:dyDescent="0.25">
      <c r="A4533">
        <v>100729106</v>
      </c>
      <c r="B4533" t="s">
        <v>5180</v>
      </c>
      <c r="C4533" t="s">
        <v>5009</v>
      </c>
      <c r="G4533" t="s">
        <v>11536</v>
      </c>
      <c r="H4533" t="s">
        <v>2399</v>
      </c>
      <c r="I4533" t="s">
        <v>71</v>
      </c>
      <c r="J4533">
        <v>80524</v>
      </c>
      <c r="K4533">
        <v>8958</v>
      </c>
      <c r="L4533" t="s">
        <v>23</v>
      </c>
      <c r="M4533" t="s">
        <v>11536</v>
      </c>
      <c r="N4533" t="s">
        <v>2399</v>
      </c>
      <c r="O4533" t="s">
        <v>71</v>
      </c>
      <c r="P4533">
        <v>80524</v>
      </c>
      <c r="Q4533">
        <v>8958</v>
      </c>
      <c r="R4533" t="s">
        <v>23</v>
      </c>
      <c r="S4533" s="1" t="s">
        <v>34218</v>
      </c>
    </row>
    <row r="4534" spans="1:19" x14ac:dyDescent="0.25">
      <c r="A4534">
        <v>100716514</v>
      </c>
      <c r="B4534" t="s">
        <v>11537</v>
      </c>
      <c r="C4534" t="s">
        <v>11538</v>
      </c>
      <c r="G4534" t="s">
        <v>11539</v>
      </c>
      <c r="H4534" t="s">
        <v>682</v>
      </c>
      <c r="I4534" t="s">
        <v>365</v>
      </c>
      <c r="J4534">
        <v>85024</v>
      </c>
      <c r="K4534">
        <v>7519</v>
      </c>
      <c r="L4534" t="s">
        <v>23</v>
      </c>
      <c r="M4534" t="s">
        <v>11539</v>
      </c>
      <c r="N4534" t="s">
        <v>682</v>
      </c>
      <c r="O4534" t="s">
        <v>365</v>
      </c>
      <c r="P4534">
        <v>85024</v>
      </c>
      <c r="Q4534">
        <v>7519</v>
      </c>
      <c r="R4534" t="s">
        <v>23</v>
      </c>
      <c r="S4534" s="1" t="s">
        <v>34218</v>
      </c>
    </row>
    <row r="4535" spans="1:19" x14ac:dyDescent="0.25">
      <c r="A4535">
        <v>100732878</v>
      </c>
      <c r="B4535" t="s">
        <v>11540</v>
      </c>
      <c r="C4535" t="s">
        <v>4691</v>
      </c>
      <c r="G4535" t="s">
        <v>11541</v>
      </c>
      <c r="H4535" t="s">
        <v>653</v>
      </c>
      <c r="I4535" t="s">
        <v>117</v>
      </c>
      <c r="J4535">
        <v>10002</v>
      </c>
      <c r="K4535">
        <v>5672</v>
      </c>
      <c r="L4535" t="s">
        <v>23</v>
      </c>
      <c r="M4535" t="s">
        <v>11541</v>
      </c>
      <c r="N4535" t="s">
        <v>653</v>
      </c>
      <c r="O4535" t="s">
        <v>117</v>
      </c>
      <c r="P4535">
        <v>10002</v>
      </c>
      <c r="Q4535">
        <v>5672</v>
      </c>
      <c r="R4535" t="s">
        <v>23</v>
      </c>
      <c r="S4535" s="1" t="s">
        <v>34218</v>
      </c>
    </row>
    <row r="4536" spans="1:19" x14ac:dyDescent="0.25">
      <c r="A4536">
        <v>100919790</v>
      </c>
      <c r="B4536" t="s">
        <v>11542</v>
      </c>
      <c r="C4536" t="s">
        <v>49</v>
      </c>
      <c r="G4536" t="s">
        <v>11543</v>
      </c>
      <c r="H4536" t="s">
        <v>11544</v>
      </c>
      <c r="I4536" t="s">
        <v>135</v>
      </c>
      <c r="J4536">
        <v>60070</v>
      </c>
      <c r="K4536">
        <v>1006</v>
      </c>
      <c r="L4536" t="s">
        <v>23</v>
      </c>
      <c r="M4536" t="s">
        <v>11543</v>
      </c>
      <c r="N4536" t="s">
        <v>11544</v>
      </c>
      <c r="O4536" t="s">
        <v>135</v>
      </c>
      <c r="P4536">
        <v>60070</v>
      </c>
      <c r="Q4536">
        <v>1006</v>
      </c>
      <c r="R4536" t="s">
        <v>23</v>
      </c>
      <c r="S4536" s="1" t="s">
        <v>34218</v>
      </c>
    </row>
    <row r="4537" spans="1:19" x14ac:dyDescent="0.25">
      <c r="A4537">
        <v>100922725</v>
      </c>
      <c r="B4537" t="s">
        <v>7060</v>
      </c>
      <c r="C4537" t="s">
        <v>3951</v>
      </c>
      <c r="G4537" t="s">
        <v>11545</v>
      </c>
      <c r="H4537" t="s">
        <v>6192</v>
      </c>
      <c r="I4537" t="s">
        <v>117</v>
      </c>
      <c r="J4537">
        <v>11367</v>
      </c>
      <c r="K4537">
        <v>1218</v>
      </c>
      <c r="L4537" t="s">
        <v>23</v>
      </c>
      <c r="M4537" t="s">
        <v>11545</v>
      </c>
      <c r="N4537" t="s">
        <v>6192</v>
      </c>
      <c r="O4537" t="s">
        <v>117</v>
      </c>
      <c r="P4537">
        <v>11367</v>
      </c>
      <c r="Q4537">
        <v>1218</v>
      </c>
      <c r="R4537" t="s">
        <v>23</v>
      </c>
      <c r="S4537" s="1" t="s">
        <v>34218</v>
      </c>
    </row>
    <row r="4538" spans="1:19" x14ac:dyDescent="0.25">
      <c r="A4538">
        <v>100924308</v>
      </c>
      <c r="B4538" t="s">
        <v>11546</v>
      </c>
      <c r="C4538" t="s">
        <v>286</v>
      </c>
      <c r="G4538" t="s">
        <v>11547</v>
      </c>
      <c r="H4538" t="s">
        <v>4481</v>
      </c>
      <c r="I4538" t="s">
        <v>914</v>
      </c>
      <c r="J4538">
        <v>37013</v>
      </c>
      <c r="K4538">
        <v>2143</v>
      </c>
      <c r="L4538" t="s">
        <v>23</v>
      </c>
      <c r="M4538" t="s">
        <v>11547</v>
      </c>
      <c r="N4538" t="s">
        <v>4481</v>
      </c>
      <c r="O4538" t="s">
        <v>914</v>
      </c>
      <c r="P4538">
        <v>37013</v>
      </c>
      <c r="Q4538">
        <v>2143</v>
      </c>
      <c r="R4538" t="s">
        <v>23</v>
      </c>
      <c r="S4538" s="1" t="s">
        <v>34218</v>
      </c>
    </row>
    <row r="4539" spans="1:19" x14ac:dyDescent="0.25">
      <c r="A4539">
        <v>100922897</v>
      </c>
      <c r="B4539" t="s">
        <v>11548</v>
      </c>
      <c r="C4539" t="s">
        <v>1327</v>
      </c>
      <c r="G4539" t="s">
        <v>11549</v>
      </c>
      <c r="H4539" t="s">
        <v>11550</v>
      </c>
      <c r="I4539" t="s">
        <v>52</v>
      </c>
      <c r="J4539">
        <v>33477</v>
      </c>
      <c r="K4539">
        <v>5549</v>
      </c>
      <c r="L4539" t="s">
        <v>23</v>
      </c>
      <c r="M4539" t="s">
        <v>11549</v>
      </c>
      <c r="N4539" t="s">
        <v>11550</v>
      </c>
      <c r="O4539" t="s">
        <v>52</v>
      </c>
      <c r="P4539">
        <v>33477</v>
      </c>
      <c r="Q4539">
        <v>5549</v>
      </c>
      <c r="R4539" t="s">
        <v>23</v>
      </c>
      <c r="S4539" s="1" t="s">
        <v>34218</v>
      </c>
    </row>
    <row r="4540" spans="1:19" x14ac:dyDescent="0.25">
      <c r="A4540">
        <v>100926441</v>
      </c>
      <c r="B4540" t="s">
        <v>11551</v>
      </c>
      <c r="C4540" t="s">
        <v>5091</v>
      </c>
      <c r="G4540" t="s">
        <v>11552</v>
      </c>
      <c r="H4540" t="s">
        <v>1041</v>
      </c>
      <c r="I4540" t="s">
        <v>446</v>
      </c>
      <c r="J4540">
        <v>27239</v>
      </c>
      <c r="L4540" t="s">
        <v>23</v>
      </c>
      <c r="M4540" t="s">
        <v>11552</v>
      </c>
      <c r="N4540" t="s">
        <v>1041</v>
      </c>
      <c r="O4540" t="s">
        <v>446</v>
      </c>
      <c r="P4540">
        <v>27239</v>
      </c>
      <c r="R4540" t="s">
        <v>23</v>
      </c>
      <c r="S4540" s="1" t="s">
        <v>34218</v>
      </c>
    </row>
    <row r="4541" spans="1:19" x14ac:dyDescent="0.25">
      <c r="A4541">
        <v>100925806</v>
      </c>
      <c r="B4541" t="s">
        <v>2829</v>
      </c>
      <c r="C4541" t="s">
        <v>11553</v>
      </c>
      <c r="F4541" t="str">
        <f>"4153052264"</f>
        <v>4153052264</v>
      </c>
      <c r="G4541" t="s">
        <v>11554</v>
      </c>
      <c r="H4541" t="s">
        <v>130</v>
      </c>
      <c r="I4541" t="s">
        <v>22</v>
      </c>
      <c r="J4541">
        <v>94110</v>
      </c>
      <c r="K4541">
        <v>3224</v>
      </c>
      <c r="L4541" t="s">
        <v>23</v>
      </c>
      <c r="M4541" t="s">
        <v>11554</v>
      </c>
      <c r="N4541" t="s">
        <v>130</v>
      </c>
      <c r="O4541" t="s">
        <v>22</v>
      </c>
      <c r="P4541">
        <v>94110</v>
      </c>
      <c r="Q4541">
        <v>3224</v>
      </c>
      <c r="R4541" t="s">
        <v>23</v>
      </c>
      <c r="S4541" s="1" t="s">
        <v>34218</v>
      </c>
    </row>
    <row r="4542" spans="1:19" x14ac:dyDescent="0.25">
      <c r="A4542">
        <v>100927280</v>
      </c>
      <c r="B4542" t="s">
        <v>11555</v>
      </c>
      <c r="C4542" t="s">
        <v>11556</v>
      </c>
      <c r="G4542" t="s">
        <v>11557</v>
      </c>
      <c r="H4542" t="s">
        <v>1877</v>
      </c>
      <c r="I4542" t="s">
        <v>236</v>
      </c>
      <c r="J4542">
        <v>1970</v>
      </c>
      <c r="K4542">
        <v>6600</v>
      </c>
      <c r="L4542" t="s">
        <v>23</v>
      </c>
      <c r="M4542" t="s">
        <v>11557</v>
      </c>
      <c r="N4542" t="s">
        <v>1877</v>
      </c>
      <c r="O4542" t="s">
        <v>236</v>
      </c>
      <c r="P4542">
        <v>1970</v>
      </c>
      <c r="Q4542">
        <v>6600</v>
      </c>
      <c r="R4542" t="s">
        <v>23</v>
      </c>
      <c r="S4542" s="1" t="s">
        <v>34218</v>
      </c>
    </row>
    <row r="4543" spans="1:19" x14ac:dyDescent="0.25">
      <c r="A4543">
        <v>100935783</v>
      </c>
      <c r="B4543" t="s">
        <v>3209</v>
      </c>
      <c r="C4543" t="s">
        <v>11558</v>
      </c>
      <c r="G4543" t="s">
        <v>11559</v>
      </c>
      <c r="H4543" t="s">
        <v>3449</v>
      </c>
      <c r="I4543" t="s">
        <v>84</v>
      </c>
      <c r="J4543">
        <v>98346</v>
      </c>
      <c r="K4543">
        <v>9226</v>
      </c>
      <c r="L4543" t="s">
        <v>23</v>
      </c>
      <c r="M4543" t="s">
        <v>11559</v>
      </c>
      <c r="N4543" t="s">
        <v>3449</v>
      </c>
      <c r="O4543" t="s">
        <v>84</v>
      </c>
      <c r="P4543">
        <v>98346</v>
      </c>
      <c r="Q4543">
        <v>9226</v>
      </c>
      <c r="R4543" t="s">
        <v>23</v>
      </c>
      <c r="S4543" s="1" t="s">
        <v>34218</v>
      </c>
    </row>
    <row r="4544" spans="1:19" x14ac:dyDescent="0.25">
      <c r="A4544">
        <v>100938831</v>
      </c>
      <c r="B4544" t="s">
        <v>2709</v>
      </c>
      <c r="C4544" t="s">
        <v>3207</v>
      </c>
      <c r="F4544" t="str">
        <f>"6106913556"</f>
        <v>6106913556</v>
      </c>
      <c r="G4544" t="s">
        <v>11560</v>
      </c>
      <c r="H4544" t="s">
        <v>1315</v>
      </c>
      <c r="I4544" t="s">
        <v>33</v>
      </c>
      <c r="J4544">
        <v>18017</v>
      </c>
      <c r="K4544">
        <v>1736</v>
      </c>
      <c r="L4544" t="s">
        <v>23</v>
      </c>
      <c r="M4544" t="s">
        <v>11560</v>
      </c>
      <c r="N4544" t="s">
        <v>1315</v>
      </c>
      <c r="O4544" t="s">
        <v>33</v>
      </c>
      <c r="P4544">
        <v>18017</v>
      </c>
      <c r="Q4544">
        <v>1736</v>
      </c>
      <c r="R4544" t="s">
        <v>23</v>
      </c>
      <c r="S4544" s="1" t="s">
        <v>34218</v>
      </c>
    </row>
    <row r="4545" spans="1:19" x14ac:dyDescent="0.25">
      <c r="A4545">
        <v>100938352</v>
      </c>
      <c r="B4545" t="s">
        <v>11561</v>
      </c>
      <c r="C4545" t="s">
        <v>11562</v>
      </c>
      <c r="G4545" t="s">
        <v>11563</v>
      </c>
      <c r="H4545" t="s">
        <v>11564</v>
      </c>
      <c r="I4545" t="s">
        <v>117</v>
      </c>
      <c r="J4545">
        <v>14817</v>
      </c>
      <c r="K4545">
        <v>9716</v>
      </c>
      <c r="L4545" t="s">
        <v>23</v>
      </c>
      <c r="M4545" t="s">
        <v>11563</v>
      </c>
      <c r="N4545" t="s">
        <v>11564</v>
      </c>
      <c r="O4545" t="s">
        <v>117</v>
      </c>
      <c r="P4545">
        <v>14817</v>
      </c>
      <c r="Q4545">
        <v>9716</v>
      </c>
      <c r="R4545" t="s">
        <v>23</v>
      </c>
      <c r="S4545" s="1" t="s">
        <v>34218</v>
      </c>
    </row>
    <row r="4546" spans="1:19" x14ac:dyDescent="0.25">
      <c r="A4546">
        <v>100941103</v>
      </c>
      <c r="B4546" t="s">
        <v>11565</v>
      </c>
      <c r="C4546" t="s">
        <v>1679</v>
      </c>
      <c r="G4546" t="s">
        <v>11566</v>
      </c>
      <c r="H4546" t="s">
        <v>1096</v>
      </c>
      <c r="I4546" t="s">
        <v>1097</v>
      </c>
      <c r="J4546">
        <v>40217</v>
      </c>
      <c r="K4546">
        <v>1519</v>
      </c>
      <c r="L4546" t="s">
        <v>23</v>
      </c>
      <c r="M4546" t="s">
        <v>11566</v>
      </c>
      <c r="N4546" t="s">
        <v>1096</v>
      </c>
      <c r="O4546" t="s">
        <v>1097</v>
      </c>
      <c r="P4546">
        <v>40217</v>
      </c>
      <c r="Q4546">
        <v>1519</v>
      </c>
      <c r="R4546" t="s">
        <v>23</v>
      </c>
      <c r="S4546" s="1" t="s">
        <v>34218</v>
      </c>
    </row>
    <row r="4547" spans="1:19" x14ac:dyDescent="0.25">
      <c r="A4547">
        <v>101127854</v>
      </c>
      <c r="B4547" t="s">
        <v>3089</v>
      </c>
      <c r="C4547" t="s">
        <v>1470</v>
      </c>
      <c r="G4547" t="s">
        <v>11567</v>
      </c>
      <c r="H4547" t="s">
        <v>6525</v>
      </c>
      <c r="I4547" t="s">
        <v>702</v>
      </c>
      <c r="J4547">
        <v>89048</v>
      </c>
      <c r="K4547">
        <v>5174</v>
      </c>
      <c r="L4547" t="s">
        <v>23</v>
      </c>
      <c r="M4547" t="s">
        <v>11567</v>
      </c>
      <c r="N4547" t="s">
        <v>6525</v>
      </c>
      <c r="O4547" t="s">
        <v>702</v>
      </c>
      <c r="P4547">
        <v>89048</v>
      </c>
      <c r="Q4547">
        <v>5174</v>
      </c>
      <c r="R4547" t="s">
        <v>23</v>
      </c>
      <c r="S4547" s="1" t="s">
        <v>34218</v>
      </c>
    </row>
    <row r="4548" spans="1:19" x14ac:dyDescent="0.25">
      <c r="A4548">
        <v>101125334</v>
      </c>
      <c r="B4548" t="s">
        <v>11568</v>
      </c>
      <c r="C4548" t="s">
        <v>11569</v>
      </c>
      <c r="G4548" t="s">
        <v>11570</v>
      </c>
      <c r="H4548" t="s">
        <v>7265</v>
      </c>
      <c r="I4548" t="s">
        <v>38</v>
      </c>
      <c r="J4548">
        <v>76087</v>
      </c>
      <c r="K4548">
        <v>7287</v>
      </c>
      <c r="L4548" t="s">
        <v>23</v>
      </c>
      <c r="M4548" t="s">
        <v>11570</v>
      </c>
      <c r="N4548" t="s">
        <v>7265</v>
      </c>
      <c r="O4548" t="s">
        <v>38</v>
      </c>
      <c r="P4548">
        <v>76087</v>
      </c>
      <c r="Q4548">
        <v>7287</v>
      </c>
      <c r="R4548" t="s">
        <v>23</v>
      </c>
      <c r="S4548" s="1" t="s">
        <v>34218</v>
      </c>
    </row>
    <row r="4549" spans="1:19" x14ac:dyDescent="0.25">
      <c r="A4549">
        <v>100690231</v>
      </c>
      <c r="B4549" t="s">
        <v>11571</v>
      </c>
      <c r="C4549" t="s">
        <v>846</v>
      </c>
      <c r="G4549" t="s">
        <v>11572</v>
      </c>
      <c r="H4549" t="s">
        <v>11573</v>
      </c>
      <c r="I4549" t="s">
        <v>250</v>
      </c>
      <c r="J4549">
        <v>8805</v>
      </c>
      <c r="K4549">
        <v>1452</v>
      </c>
      <c r="L4549" t="s">
        <v>23</v>
      </c>
      <c r="M4549" t="s">
        <v>11572</v>
      </c>
      <c r="N4549" t="s">
        <v>11573</v>
      </c>
      <c r="O4549" t="s">
        <v>250</v>
      </c>
      <c r="P4549">
        <v>8805</v>
      </c>
      <c r="Q4549">
        <v>1452</v>
      </c>
      <c r="R4549" t="s">
        <v>23</v>
      </c>
      <c r="S4549" s="1" t="s">
        <v>34218</v>
      </c>
    </row>
    <row r="4550" spans="1:19" x14ac:dyDescent="0.25">
      <c r="A4550">
        <v>100698410</v>
      </c>
      <c r="B4550" t="s">
        <v>11574</v>
      </c>
      <c r="C4550" t="s">
        <v>1179</v>
      </c>
      <c r="G4550" t="s">
        <v>11575</v>
      </c>
      <c r="H4550" t="s">
        <v>42</v>
      </c>
      <c r="I4550" t="s">
        <v>84</v>
      </c>
      <c r="J4550">
        <v>98045</v>
      </c>
      <c r="K4550">
        <v>1219</v>
      </c>
      <c r="L4550" t="s">
        <v>23</v>
      </c>
      <c r="M4550" t="s">
        <v>11575</v>
      </c>
      <c r="N4550" t="s">
        <v>42</v>
      </c>
      <c r="O4550" t="s">
        <v>84</v>
      </c>
      <c r="P4550">
        <v>98045</v>
      </c>
      <c r="Q4550">
        <v>1219</v>
      </c>
      <c r="R4550" t="s">
        <v>23</v>
      </c>
      <c r="S4550" s="1" t="s">
        <v>34218</v>
      </c>
    </row>
    <row r="4551" spans="1:19" x14ac:dyDescent="0.25">
      <c r="A4551">
        <v>100696119</v>
      </c>
      <c r="B4551" t="s">
        <v>11576</v>
      </c>
      <c r="C4551" t="s">
        <v>11577</v>
      </c>
      <c r="G4551" t="s">
        <v>11578</v>
      </c>
      <c r="H4551" t="s">
        <v>560</v>
      </c>
      <c r="I4551" t="s">
        <v>148</v>
      </c>
      <c r="J4551">
        <v>20853</v>
      </c>
      <c r="K4551">
        <v>2946</v>
      </c>
      <c r="L4551" t="s">
        <v>23</v>
      </c>
      <c r="M4551" t="s">
        <v>11578</v>
      </c>
      <c r="N4551" t="s">
        <v>560</v>
      </c>
      <c r="O4551" t="s">
        <v>148</v>
      </c>
      <c r="P4551">
        <v>20853</v>
      </c>
      <c r="Q4551">
        <v>2946</v>
      </c>
      <c r="R4551" t="s">
        <v>23</v>
      </c>
      <c r="S4551" s="1" t="s">
        <v>34218</v>
      </c>
    </row>
    <row r="4552" spans="1:19" x14ac:dyDescent="0.25">
      <c r="A4552">
        <v>100698660</v>
      </c>
      <c r="B4552" t="s">
        <v>2051</v>
      </c>
      <c r="C4552" t="s">
        <v>1161</v>
      </c>
      <c r="G4552" t="s">
        <v>11579</v>
      </c>
      <c r="H4552" t="s">
        <v>1693</v>
      </c>
      <c r="I4552" t="s">
        <v>38</v>
      </c>
      <c r="J4552">
        <v>78414</v>
      </c>
      <c r="K4552">
        <v>3659</v>
      </c>
      <c r="L4552" t="s">
        <v>23</v>
      </c>
      <c r="M4552" t="s">
        <v>11579</v>
      </c>
      <c r="N4552" t="s">
        <v>1693</v>
      </c>
      <c r="O4552" t="s">
        <v>38</v>
      </c>
      <c r="P4552">
        <v>78414</v>
      </c>
      <c r="Q4552">
        <v>3659</v>
      </c>
      <c r="R4552" t="s">
        <v>23</v>
      </c>
      <c r="S4552" s="1" t="s">
        <v>34218</v>
      </c>
    </row>
    <row r="4553" spans="1:19" x14ac:dyDescent="0.25">
      <c r="A4553">
        <v>100700095</v>
      </c>
      <c r="B4553" t="s">
        <v>10757</v>
      </c>
      <c r="C4553" t="s">
        <v>11580</v>
      </c>
      <c r="G4553" t="s">
        <v>11581</v>
      </c>
      <c r="H4553" t="s">
        <v>11582</v>
      </c>
      <c r="I4553" t="s">
        <v>33</v>
      </c>
      <c r="J4553">
        <v>15728</v>
      </c>
      <c r="K4553">
        <v>1044</v>
      </c>
      <c r="L4553" t="s">
        <v>23</v>
      </c>
      <c r="M4553" t="s">
        <v>11581</v>
      </c>
      <c r="N4553" t="s">
        <v>11582</v>
      </c>
      <c r="O4553" t="s">
        <v>33</v>
      </c>
      <c r="P4553">
        <v>15728</v>
      </c>
      <c r="Q4553">
        <v>1044</v>
      </c>
      <c r="R4553" t="s">
        <v>23</v>
      </c>
      <c r="S4553" s="1" t="s">
        <v>34218</v>
      </c>
    </row>
    <row r="4554" spans="1:19" x14ac:dyDescent="0.25">
      <c r="A4554">
        <v>100834292</v>
      </c>
      <c r="B4554" t="s">
        <v>11583</v>
      </c>
      <c r="C4554" t="s">
        <v>1873</v>
      </c>
      <c r="G4554" t="s">
        <v>11584</v>
      </c>
      <c r="H4554" t="s">
        <v>2231</v>
      </c>
      <c r="I4554" t="s">
        <v>365</v>
      </c>
      <c r="J4554">
        <v>85304</v>
      </c>
      <c r="K4554">
        <v>3722</v>
      </c>
      <c r="L4554" t="s">
        <v>23</v>
      </c>
      <c r="M4554" t="s">
        <v>11584</v>
      </c>
      <c r="N4554" t="s">
        <v>2231</v>
      </c>
      <c r="O4554" t="s">
        <v>365</v>
      </c>
      <c r="P4554">
        <v>85304</v>
      </c>
      <c r="Q4554">
        <v>3722</v>
      </c>
      <c r="R4554" t="s">
        <v>23</v>
      </c>
      <c r="S4554" s="1" t="s">
        <v>34218</v>
      </c>
    </row>
    <row r="4555" spans="1:19" x14ac:dyDescent="0.25">
      <c r="A4555">
        <v>100838207</v>
      </c>
      <c r="B4555" t="s">
        <v>4779</v>
      </c>
      <c r="C4555" t="s">
        <v>3951</v>
      </c>
      <c r="G4555" t="s">
        <v>11585</v>
      </c>
      <c r="H4555" t="s">
        <v>11586</v>
      </c>
      <c r="I4555" t="s">
        <v>22</v>
      </c>
      <c r="J4555">
        <v>94928</v>
      </c>
      <c r="K4555">
        <v>2813</v>
      </c>
      <c r="L4555" t="s">
        <v>23</v>
      </c>
      <c r="M4555" t="s">
        <v>11585</v>
      </c>
      <c r="N4555" t="s">
        <v>11586</v>
      </c>
      <c r="O4555" t="s">
        <v>22</v>
      </c>
      <c r="P4555">
        <v>94928</v>
      </c>
      <c r="Q4555">
        <v>2813</v>
      </c>
      <c r="R4555" t="s">
        <v>23</v>
      </c>
      <c r="S4555" s="1" t="s">
        <v>34218</v>
      </c>
    </row>
    <row r="4556" spans="1:19" x14ac:dyDescent="0.25">
      <c r="A4556">
        <v>100841355</v>
      </c>
      <c r="B4556" t="s">
        <v>11587</v>
      </c>
      <c r="C4556" t="s">
        <v>11588</v>
      </c>
      <c r="G4556" t="s">
        <v>11589</v>
      </c>
      <c r="H4556" t="s">
        <v>2056</v>
      </c>
      <c r="I4556" t="s">
        <v>148</v>
      </c>
      <c r="J4556">
        <v>20726</v>
      </c>
      <c r="K4556">
        <v>5292</v>
      </c>
      <c r="L4556" t="s">
        <v>23</v>
      </c>
      <c r="M4556" t="s">
        <v>11589</v>
      </c>
      <c r="N4556" t="s">
        <v>2056</v>
      </c>
      <c r="O4556" t="s">
        <v>148</v>
      </c>
      <c r="P4556">
        <v>20726</v>
      </c>
      <c r="Q4556">
        <v>5292</v>
      </c>
      <c r="R4556" t="s">
        <v>23</v>
      </c>
      <c r="S4556" s="1" t="s">
        <v>34218</v>
      </c>
    </row>
    <row r="4557" spans="1:19" x14ac:dyDescent="0.25">
      <c r="A4557">
        <v>100839271</v>
      </c>
      <c r="B4557" t="s">
        <v>3225</v>
      </c>
      <c r="C4557" t="s">
        <v>452</v>
      </c>
      <c r="G4557" t="s">
        <v>11590</v>
      </c>
      <c r="H4557" t="s">
        <v>5278</v>
      </c>
      <c r="I4557" t="s">
        <v>22</v>
      </c>
      <c r="J4557">
        <v>94402</v>
      </c>
      <c r="K4557">
        <v>2401</v>
      </c>
      <c r="L4557" t="s">
        <v>23</v>
      </c>
      <c r="M4557" t="s">
        <v>11590</v>
      </c>
      <c r="N4557" t="s">
        <v>5278</v>
      </c>
      <c r="O4557" t="s">
        <v>22</v>
      </c>
      <c r="P4557">
        <v>94402</v>
      </c>
      <c r="Q4557">
        <v>2401</v>
      </c>
      <c r="R4557" t="s">
        <v>23</v>
      </c>
      <c r="S4557" s="1" t="s">
        <v>34218</v>
      </c>
    </row>
    <row r="4558" spans="1:19" x14ac:dyDescent="0.25">
      <c r="A4558">
        <v>100854053</v>
      </c>
      <c r="B4558" t="s">
        <v>11591</v>
      </c>
      <c r="C4558" t="s">
        <v>155</v>
      </c>
      <c r="G4558" t="s">
        <v>11592</v>
      </c>
      <c r="H4558" t="s">
        <v>5683</v>
      </c>
      <c r="I4558" t="s">
        <v>52</v>
      </c>
      <c r="J4558">
        <v>32926</v>
      </c>
      <c r="K4558">
        <v>4309</v>
      </c>
      <c r="L4558" t="s">
        <v>23</v>
      </c>
      <c r="M4558" t="s">
        <v>11592</v>
      </c>
      <c r="N4558" t="s">
        <v>5683</v>
      </c>
      <c r="O4558" t="s">
        <v>52</v>
      </c>
      <c r="P4558">
        <v>32926</v>
      </c>
      <c r="Q4558">
        <v>4309</v>
      </c>
      <c r="R4558" t="s">
        <v>23</v>
      </c>
      <c r="S4558" s="1" t="s">
        <v>34218</v>
      </c>
    </row>
    <row r="4559" spans="1:19" x14ac:dyDescent="0.25">
      <c r="A4559">
        <v>100852310</v>
      </c>
      <c r="B4559" t="s">
        <v>770</v>
      </c>
      <c r="C4559" t="s">
        <v>2127</v>
      </c>
      <c r="G4559" t="s">
        <v>11593</v>
      </c>
      <c r="H4559" t="s">
        <v>11594</v>
      </c>
      <c r="I4559" t="s">
        <v>22</v>
      </c>
      <c r="J4559">
        <v>95004</v>
      </c>
      <c r="K4559">
        <v>9709</v>
      </c>
      <c r="L4559" t="s">
        <v>23</v>
      </c>
      <c r="M4559" t="s">
        <v>11593</v>
      </c>
      <c r="N4559" t="s">
        <v>11594</v>
      </c>
      <c r="O4559" t="s">
        <v>22</v>
      </c>
      <c r="P4559">
        <v>95004</v>
      </c>
      <c r="Q4559">
        <v>9709</v>
      </c>
      <c r="R4559" t="s">
        <v>23</v>
      </c>
      <c r="S4559" s="1" t="s">
        <v>34218</v>
      </c>
    </row>
    <row r="4560" spans="1:19" x14ac:dyDescent="0.25">
      <c r="A4560">
        <v>100851422</v>
      </c>
      <c r="B4560" t="s">
        <v>10326</v>
      </c>
      <c r="C4560" t="s">
        <v>6818</v>
      </c>
      <c r="G4560" t="s">
        <v>11595</v>
      </c>
      <c r="H4560" t="s">
        <v>653</v>
      </c>
      <c r="I4560" t="s">
        <v>117</v>
      </c>
      <c r="J4560">
        <v>10025</v>
      </c>
      <c r="K4560">
        <v>4121</v>
      </c>
      <c r="L4560" t="s">
        <v>23</v>
      </c>
      <c r="M4560" t="s">
        <v>11595</v>
      </c>
      <c r="N4560" t="s">
        <v>653</v>
      </c>
      <c r="O4560" t="s">
        <v>117</v>
      </c>
      <c r="P4560">
        <v>10025</v>
      </c>
      <c r="Q4560">
        <v>4121</v>
      </c>
      <c r="R4560" t="s">
        <v>23</v>
      </c>
      <c r="S4560" s="1" t="s">
        <v>34218</v>
      </c>
    </row>
    <row r="4561" spans="1:19" x14ac:dyDescent="0.25">
      <c r="A4561">
        <v>100851706</v>
      </c>
      <c r="B4561" t="s">
        <v>11596</v>
      </c>
      <c r="C4561" t="s">
        <v>11597</v>
      </c>
      <c r="G4561" t="s">
        <v>11598</v>
      </c>
      <c r="H4561" t="s">
        <v>2020</v>
      </c>
      <c r="I4561" t="s">
        <v>100</v>
      </c>
      <c r="J4561">
        <v>54911</v>
      </c>
      <c r="K4561">
        <v>5439</v>
      </c>
      <c r="L4561" t="s">
        <v>23</v>
      </c>
      <c r="M4561" t="s">
        <v>11598</v>
      </c>
      <c r="N4561" t="s">
        <v>2020</v>
      </c>
      <c r="O4561" t="s">
        <v>100</v>
      </c>
      <c r="P4561">
        <v>54911</v>
      </c>
      <c r="Q4561">
        <v>5439</v>
      </c>
      <c r="R4561" t="s">
        <v>23</v>
      </c>
      <c r="S4561" s="1" t="s">
        <v>34218</v>
      </c>
    </row>
    <row r="4562" spans="1:19" x14ac:dyDescent="0.25">
      <c r="A4562">
        <v>100862318</v>
      </c>
      <c r="B4562" t="s">
        <v>11599</v>
      </c>
      <c r="C4562" t="s">
        <v>575</v>
      </c>
      <c r="G4562" t="s">
        <v>11600</v>
      </c>
      <c r="H4562" t="s">
        <v>7045</v>
      </c>
      <c r="I4562" t="s">
        <v>140</v>
      </c>
      <c r="J4562">
        <v>48198</v>
      </c>
      <c r="K4562">
        <v>6312</v>
      </c>
      <c r="L4562" t="s">
        <v>23</v>
      </c>
      <c r="M4562" t="s">
        <v>11600</v>
      </c>
      <c r="N4562" t="s">
        <v>7045</v>
      </c>
      <c r="O4562" t="s">
        <v>140</v>
      </c>
      <c r="P4562">
        <v>48198</v>
      </c>
      <c r="Q4562">
        <v>6312</v>
      </c>
      <c r="R4562" t="s">
        <v>23</v>
      </c>
      <c r="S4562" s="1" t="s">
        <v>34218</v>
      </c>
    </row>
    <row r="4563" spans="1:19" x14ac:dyDescent="0.25">
      <c r="A4563">
        <v>100861496</v>
      </c>
      <c r="B4563" t="s">
        <v>11601</v>
      </c>
      <c r="C4563" t="s">
        <v>1865</v>
      </c>
      <c r="G4563" t="s">
        <v>11602</v>
      </c>
      <c r="H4563" t="s">
        <v>21</v>
      </c>
      <c r="I4563" t="s">
        <v>22</v>
      </c>
      <c r="J4563">
        <v>95409</v>
      </c>
      <c r="K4563">
        <v>6103</v>
      </c>
      <c r="L4563" t="s">
        <v>23</v>
      </c>
      <c r="M4563" t="s">
        <v>11602</v>
      </c>
      <c r="N4563" t="s">
        <v>21</v>
      </c>
      <c r="O4563" t="s">
        <v>22</v>
      </c>
      <c r="P4563">
        <v>95409</v>
      </c>
      <c r="Q4563">
        <v>6103</v>
      </c>
      <c r="R4563" t="s">
        <v>23</v>
      </c>
      <c r="S4563" s="1" t="s">
        <v>34218</v>
      </c>
    </row>
    <row r="4564" spans="1:19" x14ac:dyDescent="0.25">
      <c r="A4564">
        <v>100863527</v>
      </c>
      <c r="B4564" t="s">
        <v>11603</v>
      </c>
      <c r="C4564" t="s">
        <v>155</v>
      </c>
      <c r="G4564" t="s">
        <v>11604</v>
      </c>
      <c r="H4564" t="s">
        <v>653</v>
      </c>
      <c r="I4564" t="s">
        <v>117</v>
      </c>
      <c r="J4564">
        <v>10034</v>
      </c>
      <c r="K4564">
        <v>2885</v>
      </c>
      <c r="L4564" t="s">
        <v>23</v>
      </c>
      <c r="M4564" t="s">
        <v>11604</v>
      </c>
      <c r="N4564" t="s">
        <v>653</v>
      </c>
      <c r="O4564" t="s">
        <v>117</v>
      </c>
      <c r="P4564">
        <v>10034</v>
      </c>
      <c r="Q4564">
        <v>2885</v>
      </c>
      <c r="R4564" t="s">
        <v>23</v>
      </c>
      <c r="S4564" s="1" t="s">
        <v>34218</v>
      </c>
    </row>
    <row r="4565" spans="1:19" x14ac:dyDescent="0.25">
      <c r="A4565">
        <v>101072261</v>
      </c>
      <c r="B4565" t="s">
        <v>812</v>
      </c>
      <c r="C4565" t="s">
        <v>2518</v>
      </c>
      <c r="F4565" t="str">
        <f>"4147086291"</f>
        <v>4147086291</v>
      </c>
      <c r="G4565" t="s">
        <v>11605</v>
      </c>
      <c r="H4565" t="s">
        <v>389</v>
      </c>
      <c r="I4565" t="s">
        <v>100</v>
      </c>
      <c r="J4565">
        <v>53207</v>
      </c>
      <c r="K4565">
        <v>2718</v>
      </c>
      <c r="L4565" t="s">
        <v>23</v>
      </c>
      <c r="M4565" t="s">
        <v>11605</v>
      </c>
      <c r="N4565" t="s">
        <v>389</v>
      </c>
      <c r="O4565" t="s">
        <v>100</v>
      </c>
      <c r="P4565">
        <v>53207</v>
      </c>
      <c r="Q4565">
        <v>2718</v>
      </c>
      <c r="R4565" t="s">
        <v>23</v>
      </c>
      <c r="S4565" s="1" t="s">
        <v>34218</v>
      </c>
    </row>
    <row r="4566" spans="1:19" x14ac:dyDescent="0.25">
      <c r="A4566">
        <v>101074813</v>
      </c>
      <c r="B4566" t="s">
        <v>11606</v>
      </c>
      <c r="C4566" t="s">
        <v>4276</v>
      </c>
      <c r="G4566" t="s">
        <v>11607</v>
      </c>
      <c r="H4566" t="s">
        <v>11608</v>
      </c>
      <c r="I4566" t="s">
        <v>33</v>
      </c>
      <c r="J4566">
        <v>17552</v>
      </c>
      <c r="K4566">
        <v>2912</v>
      </c>
      <c r="L4566" t="s">
        <v>23</v>
      </c>
      <c r="M4566" t="s">
        <v>11607</v>
      </c>
      <c r="N4566" t="s">
        <v>11608</v>
      </c>
      <c r="O4566" t="s">
        <v>33</v>
      </c>
      <c r="P4566">
        <v>17552</v>
      </c>
      <c r="Q4566">
        <v>2912</v>
      </c>
      <c r="R4566" t="s">
        <v>23</v>
      </c>
      <c r="S4566" s="1" t="s">
        <v>34218</v>
      </c>
    </row>
    <row r="4567" spans="1:19" x14ac:dyDescent="0.25">
      <c r="A4567">
        <v>101073355</v>
      </c>
      <c r="B4567" t="s">
        <v>11609</v>
      </c>
      <c r="C4567" t="s">
        <v>4318</v>
      </c>
      <c r="G4567" t="s">
        <v>11610</v>
      </c>
      <c r="H4567" t="s">
        <v>11611</v>
      </c>
      <c r="I4567" t="s">
        <v>135</v>
      </c>
      <c r="J4567">
        <v>60073</v>
      </c>
      <c r="K4567">
        <v>5932</v>
      </c>
      <c r="L4567" t="s">
        <v>23</v>
      </c>
      <c r="M4567" t="s">
        <v>11610</v>
      </c>
      <c r="N4567" t="s">
        <v>11611</v>
      </c>
      <c r="O4567" t="s">
        <v>135</v>
      </c>
      <c r="P4567">
        <v>60073</v>
      </c>
      <c r="Q4567">
        <v>5932</v>
      </c>
      <c r="R4567" t="s">
        <v>23</v>
      </c>
      <c r="S4567" s="1" t="s">
        <v>34218</v>
      </c>
    </row>
    <row r="4568" spans="1:19" x14ac:dyDescent="0.25">
      <c r="A4568">
        <v>101075937</v>
      </c>
      <c r="B4568" t="s">
        <v>11612</v>
      </c>
      <c r="C4568" t="s">
        <v>2941</v>
      </c>
      <c r="G4568" t="s">
        <v>11613</v>
      </c>
      <c r="H4568" t="s">
        <v>976</v>
      </c>
      <c r="I4568" t="s">
        <v>140</v>
      </c>
      <c r="J4568">
        <v>48103</v>
      </c>
      <c r="K4568">
        <v>2331</v>
      </c>
      <c r="L4568" t="s">
        <v>23</v>
      </c>
      <c r="M4568" t="s">
        <v>11613</v>
      </c>
      <c r="N4568" t="s">
        <v>976</v>
      </c>
      <c r="O4568" t="s">
        <v>140</v>
      </c>
      <c r="P4568">
        <v>48103</v>
      </c>
      <c r="Q4568">
        <v>2331</v>
      </c>
      <c r="R4568" t="s">
        <v>23</v>
      </c>
      <c r="S4568" s="1" t="s">
        <v>34218</v>
      </c>
    </row>
    <row r="4569" spans="1:19" x14ac:dyDescent="0.25">
      <c r="A4569">
        <v>101080561</v>
      </c>
      <c r="B4569" t="s">
        <v>11614</v>
      </c>
      <c r="C4569" t="s">
        <v>2741</v>
      </c>
      <c r="G4569" t="s">
        <v>11615</v>
      </c>
      <c r="H4569" t="s">
        <v>1452</v>
      </c>
      <c r="I4569" t="s">
        <v>43</v>
      </c>
      <c r="J4569">
        <v>97404</v>
      </c>
      <c r="K4569">
        <v>2944</v>
      </c>
      <c r="L4569" t="s">
        <v>23</v>
      </c>
      <c r="M4569" t="s">
        <v>11615</v>
      </c>
      <c r="N4569" t="s">
        <v>1452</v>
      </c>
      <c r="O4569" t="s">
        <v>43</v>
      </c>
      <c r="P4569">
        <v>97404</v>
      </c>
      <c r="Q4569">
        <v>2944</v>
      </c>
      <c r="R4569" t="s">
        <v>23</v>
      </c>
      <c r="S4569" s="1" t="s">
        <v>34218</v>
      </c>
    </row>
    <row r="4570" spans="1:19" x14ac:dyDescent="0.25">
      <c r="A4570">
        <v>101088367</v>
      </c>
      <c r="B4570" t="s">
        <v>10967</v>
      </c>
      <c r="C4570" t="s">
        <v>11616</v>
      </c>
      <c r="G4570" t="s">
        <v>11617</v>
      </c>
      <c r="H4570" t="s">
        <v>299</v>
      </c>
      <c r="I4570" t="s">
        <v>22</v>
      </c>
      <c r="J4570">
        <v>90063</v>
      </c>
      <c r="K4570">
        <v>2916</v>
      </c>
      <c r="L4570" t="s">
        <v>23</v>
      </c>
      <c r="M4570" t="s">
        <v>11617</v>
      </c>
      <c r="N4570" t="s">
        <v>299</v>
      </c>
      <c r="O4570" t="s">
        <v>22</v>
      </c>
      <c r="P4570">
        <v>90063</v>
      </c>
      <c r="Q4570">
        <v>2916</v>
      </c>
      <c r="R4570" t="s">
        <v>23</v>
      </c>
      <c r="S4570" s="1" t="s">
        <v>34218</v>
      </c>
    </row>
    <row r="4571" spans="1:19" x14ac:dyDescent="0.25">
      <c r="A4571">
        <v>101088439</v>
      </c>
      <c r="B4571" t="s">
        <v>11618</v>
      </c>
      <c r="C4571" t="s">
        <v>6420</v>
      </c>
      <c r="G4571" t="s">
        <v>11619</v>
      </c>
      <c r="H4571" t="s">
        <v>11620</v>
      </c>
      <c r="I4571" t="s">
        <v>236</v>
      </c>
      <c r="J4571">
        <v>1267</v>
      </c>
      <c r="K4571">
        <v>3026</v>
      </c>
      <c r="L4571" t="s">
        <v>23</v>
      </c>
      <c r="M4571" t="s">
        <v>11619</v>
      </c>
      <c r="N4571" t="s">
        <v>11620</v>
      </c>
      <c r="O4571" t="s">
        <v>236</v>
      </c>
      <c r="P4571">
        <v>1267</v>
      </c>
      <c r="Q4571">
        <v>3026</v>
      </c>
      <c r="R4571" t="s">
        <v>23</v>
      </c>
      <c r="S4571" s="1" t="s">
        <v>34218</v>
      </c>
    </row>
    <row r="4572" spans="1:19" x14ac:dyDescent="0.25">
      <c r="A4572">
        <v>100685631</v>
      </c>
      <c r="B4572" t="s">
        <v>11621</v>
      </c>
      <c r="C4572" t="s">
        <v>3670</v>
      </c>
      <c r="G4572" t="s">
        <v>11622</v>
      </c>
      <c r="H4572" t="s">
        <v>1765</v>
      </c>
      <c r="I4572" t="s">
        <v>84</v>
      </c>
      <c r="J4572">
        <v>98516</v>
      </c>
      <c r="K4572">
        <v>9514</v>
      </c>
      <c r="L4572" t="s">
        <v>23</v>
      </c>
      <c r="M4572" t="s">
        <v>11622</v>
      </c>
      <c r="N4572" t="s">
        <v>1765</v>
      </c>
      <c r="O4572" t="s">
        <v>84</v>
      </c>
      <c r="P4572">
        <v>98516</v>
      </c>
      <c r="Q4572">
        <v>9514</v>
      </c>
      <c r="R4572" t="s">
        <v>23</v>
      </c>
      <c r="S4572" s="1" t="s">
        <v>34218</v>
      </c>
    </row>
    <row r="4573" spans="1:19" x14ac:dyDescent="0.25">
      <c r="A4573">
        <v>100683246</v>
      </c>
      <c r="B4573" t="s">
        <v>4064</v>
      </c>
      <c r="C4573" t="s">
        <v>11623</v>
      </c>
      <c r="G4573" t="s">
        <v>11624</v>
      </c>
      <c r="H4573" t="s">
        <v>11625</v>
      </c>
      <c r="I4573" t="s">
        <v>353</v>
      </c>
      <c r="J4573">
        <v>3820</v>
      </c>
      <c r="K4573">
        <v>4201</v>
      </c>
      <c r="L4573" t="s">
        <v>23</v>
      </c>
      <c r="M4573" t="s">
        <v>11624</v>
      </c>
      <c r="N4573" t="s">
        <v>11625</v>
      </c>
      <c r="O4573" t="s">
        <v>353</v>
      </c>
      <c r="P4573">
        <v>3820</v>
      </c>
      <c r="Q4573">
        <v>4201</v>
      </c>
      <c r="R4573" t="s">
        <v>23</v>
      </c>
      <c r="S4573" s="1" t="s">
        <v>34218</v>
      </c>
    </row>
    <row r="4574" spans="1:19" x14ac:dyDescent="0.25">
      <c r="A4574">
        <v>100688941</v>
      </c>
      <c r="B4574" t="s">
        <v>11626</v>
      </c>
      <c r="C4574" t="s">
        <v>699</v>
      </c>
      <c r="G4574" t="s">
        <v>11627</v>
      </c>
      <c r="H4574" t="s">
        <v>625</v>
      </c>
      <c r="I4574" t="s">
        <v>365</v>
      </c>
      <c r="J4574">
        <v>85202</v>
      </c>
      <c r="K4574">
        <v>2761</v>
      </c>
      <c r="L4574" t="s">
        <v>23</v>
      </c>
      <c r="M4574" t="s">
        <v>11627</v>
      </c>
      <c r="N4574" t="s">
        <v>625</v>
      </c>
      <c r="O4574" t="s">
        <v>365</v>
      </c>
      <c r="P4574">
        <v>85202</v>
      </c>
      <c r="Q4574">
        <v>2761</v>
      </c>
      <c r="R4574" t="s">
        <v>23</v>
      </c>
      <c r="S4574" s="1" t="s">
        <v>34218</v>
      </c>
    </row>
    <row r="4575" spans="1:19" x14ac:dyDescent="0.25">
      <c r="A4575">
        <v>100693210</v>
      </c>
      <c r="B4575" t="s">
        <v>11628</v>
      </c>
      <c r="C4575" t="s">
        <v>1506</v>
      </c>
      <c r="G4575" t="s">
        <v>11629</v>
      </c>
      <c r="H4575" t="s">
        <v>2674</v>
      </c>
      <c r="I4575" t="s">
        <v>22</v>
      </c>
      <c r="J4575">
        <v>95945</v>
      </c>
      <c r="K4575">
        <v>8009</v>
      </c>
      <c r="L4575" t="s">
        <v>23</v>
      </c>
      <c r="M4575" t="s">
        <v>11629</v>
      </c>
      <c r="N4575" t="s">
        <v>2674</v>
      </c>
      <c r="O4575" t="s">
        <v>22</v>
      </c>
      <c r="P4575">
        <v>95945</v>
      </c>
      <c r="Q4575">
        <v>8009</v>
      </c>
      <c r="R4575" t="s">
        <v>23</v>
      </c>
      <c r="S4575" s="1" t="s">
        <v>34218</v>
      </c>
    </row>
    <row r="4576" spans="1:19" x14ac:dyDescent="0.25">
      <c r="A4576">
        <v>100689416</v>
      </c>
      <c r="B4576" t="s">
        <v>11630</v>
      </c>
      <c r="C4576" t="s">
        <v>59</v>
      </c>
      <c r="G4576" t="s">
        <v>11631</v>
      </c>
      <c r="H4576" t="s">
        <v>6383</v>
      </c>
      <c r="I4576" t="s">
        <v>135</v>
      </c>
      <c r="J4576">
        <v>60193</v>
      </c>
      <c r="K4576">
        <v>5012</v>
      </c>
      <c r="L4576" t="s">
        <v>23</v>
      </c>
      <c r="M4576" t="s">
        <v>11631</v>
      </c>
      <c r="N4576" t="s">
        <v>6383</v>
      </c>
      <c r="O4576" t="s">
        <v>135</v>
      </c>
      <c r="P4576">
        <v>60193</v>
      </c>
      <c r="Q4576">
        <v>5012</v>
      </c>
      <c r="R4576" t="s">
        <v>23</v>
      </c>
      <c r="S4576" s="1" t="s">
        <v>34218</v>
      </c>
    </row>
    <row r="4577" spans="1:19" x14ac:dyDescent="0.25">
      <c r="A4577">
        <v>100706060</v>
      </c>
      <c r="B4577" t="s">
        <v>11632</v>
      </c>
      <c r="C4577" t="s">
        <v>585</v>
      </c>
      <c r="G4577" t="s">
        <v>11633</v>
      </c>
      <c r="H4577" t="s">
        <v>3774</v>
      </c>
      <c r="I4577" t="s">
        <v>353</v>
      </c>
      <c r="J4577">
        <v>3253</v>
      </c>
      <c r="K4577">
        <v>5305</v>
      </c>
      <c r="L4577" t="s">
        <v>23</v>
      </c>
      <c r="M4577" t="s">
        <v>11633</v>
      </c>
      <c r="N4577" t="s">
        <v>3774</v>
      </c>
      <c r="O4577" t="s">
        <v>353</v>
      </c>
      <c r="P4577">
        <v>3253</v>
      </c>
      <c r="Q4577">
        <v>5305</v>
      </c>
      <c r="R4577" t="s">
        <v>23</v>
      </c>
      <c r="S4577" s="1" t="s">
        <v>34218</v>
      </c>
    </row>
    <row r="4578" spans="1:19" x14ac:dyDescent="0.25">
      <c r="A4578">
        <v>100891591</v>
      </c>
      <c r="B4578" t="s">
        <v>90</v>
      </c>
      <c r="C4578" t="s">
        <v>2941</v>
      </c>
      <c r="G4578" t="s">
        <v>11634</v>
      </c>
      <c r="H4578" t="s">
        <v>3680</v>
      </c>
      <c r="I4578" t="s">
        <v>22</v>
      </c>
      <c r="J4578">
        <v>94533</v>
      </c>
      <c r="K4578">
        <v>6405</v>
      </c>
      <c r="L4578" t="s">
        <v>23</v>
      </c>
      <c r="M4578" t="s">
        <v>11634</v>
      </c>
      <c r="N4578" t="s">
        <v>3680</v>
      </c>
      <c r="O4578" t="s">
        <v>22</v>
      </c>
      <c r="P4578">
        <v>94533</v>
      </c>
      <c r="Q4578">
        <v>6405</v>
      </c>
      <c r="R4578" t="s">
        <v>23</v>
      </c>
      <c r="S4578" s="1" t="s">
        <v>34218</v>
      </c>
    </row>
    <row r="4579" spans="1:19" x14ac:dyDescent="0.25">
      <c r="A4579">
        <v>100889068</v>
      </c>
      <c r="B4579" t="s">
        <v>11635</v>
      </c>
      <c r="C4579" t="s">
        <v>11636</v>
      </c>
      <c r="G4579" t="s">
        <v>11637</v>
      </c>
      <c r="H4579" t="s">
        <v>5046</v>
      </c>
      <c r="I4579" t="s">
        <v>100</v>
      </c>
      <c r="J4579">
        <v>54241</v>
      </c>
      <c r="K4579">
        <v>3440</v>
      </c>
      <c r="L4579" t="s">
        <v>23</v>
      </c>
      <c r="M4579" t="s">
        <v>11637</v>
      </c>
      <c r="N4579" t="s">
        <v>5046</v>
      </c>
      <c r="O4579" t="s">
        <v>100</v>
      </c>
      <c r="P4579">
        <v>54241</v>
      </c>
      <c r="Q4579">
        <v>3440</v>
      </c>
      <c r="R4579" t="s">
        <v>23</v>
      </c>
      <c r="S4579" s="1" t="s">
        <v>34218</v>
      </c>
    </row>
    <row r="4580" spans="1:19" x14ac:dyDescent="0.25">
      <c r="A4580">
        <v>100893142</v>
      </c>
      <c r="B4580" t="s">
        <v>11638</v>
      </c>
      <c r="C4580" t="s">
        <v>3460</v>
      </c>
      <c r="G4580" t="s">
        <v>11639</v>
      </c>
      <c r="H4580" t="s">
        <v>3766</v>
      </c>
      <c r="I4580" t="s">
        <v>38</v>
      </c>
      <c r="J4580">
        <v>75758</v>
      </c>
      <c r="K4580">
        <v>7920</v>
      </c>
      <c r="L4580" t="s">
        <v>23</v>
      </c>
      <c r="M4580" t="s">
        <v>11639</v>
      </c>
      <c r="N4580" t="s">
        <v>3766</v>
      </c>
      <c r="O4580" t="s">
        <v>38</v>
      </c>
      <c r="P4580">
        <v>75758</v>
      </c>
      <c r="Q4580">
        <v>7920</v>
      </c>
      <c r="R4580" t="s">
        <v>23</v>
      </c>
      <c r="S4580" s="1" t="s">
        <v>34218</v>
      </c>
    </row>
    <row r="4581" spans="1:19" x14ac:dyDescent="0.25">
      <c r="A4581">
        <v>100899443</v>
      </c>
      <c r="B4581" t="s">
        <v>11640</v>
      </c>
      <c r="C4581" t="s">
        <v>7195</v>
      </c>
      <c r="G4581" t="s">
        <v>11641</v>
      </c>
      <c r="H4581" t="s">
        <v>2943</v>
      </c>
      <c r="I4581" t="s">
        <v>117</v>
      </c>
      <c r="J4581">
        <v>10520</v>
      </c>
      <c r="K4581">
        <v>2418</v>
      </c>
      <c r="L4581" t="s">
        <v>23</v>
      </c>
      <c r="M4581" t="s">
        <v>11641</v>
      </c>
      <c r="N4581" t="s">
        <v>2943</v>
      </c>
      <c r="O4581" t="s">
        <v>117</v>
      </c>
      <c r="P4581">
        <v>10520</v>
      </c>
      <c r="Q4581">
        <v>2418</v>
      </c>
      <c r="R4581" t="s">
        <v>23</v>
      </c>
      <c r="S4581" s="1" t="s">
        <v>34218</v>
      </c>
    </row>
    <row r="4582" spans="1:19" x14ac:dyDescent="0.25">
      <c r="A4582">
        <v>100895527</v>
      </c>
      <c r="B4582" t="s">
        <v>9511</v>
      </c>
      <c r="C4582" t="s">
        <v>810</v>
      </c>
      <c r="G4582" t="s">
        <v>11642</v>
      </c>
      <c r="H4582" t="s">
        <v>1412</v>
      </c>
      <c r="I4582" t="s">
        <v>52</v>
      </c>
      <c r="J4582">
        <v>32817</v>
      </c>
      <c r="K4582">
        <v>2949</v>
      </c>
      <c r="L4582" t="s">
        <v>23</v>
      </c>
      <c r="M4582" t="s">
        <v>11642</v>
      </c>
      <c r="N4582" t="s">
        <v>1412</v>
      </c>
      <c r="O4582" t="s">
        <v>52</v>
      </c>
      <c r="P4582">
        <v>32817</v>
      </c>
      <c r="Q4582">
        <v>2949</v>
      </c>
      <c r="R4582" t="s">
        <v>23</v>
      </c>
      <c r="S4582" s="1" t="s">
        <v>34218</v>
      </c>
    </row>
    <row r="4583" spans="1:19" x14ac:dyDescent="0.25">
      <c r="A4583">
        <v>100889246</v>
      </c>
      <c r="B4583" t="s">
        <v>6555</v>
      </c>
      <c r="C4583" t="s">
        <v>11643</v>
      </c>
      <c r="G4583" t="s">
        <v>11644</v>
      </c>
      <c r="H4583" t="s">
        <v>11645</v>
      </c>
      <c r="I4583" t="s">
        <v>255</v>
      </c>
      <c r="J4583">
        <v>23947</v>
      </c>
      <c r="K4583">
        <v>3407</v>
      </c>
      <c r="L4583" t="s">
        <v>23</v>
      </c>
      <c r="M4583" t="s">
        <v>11644</v>
      </c>
      <c r="N4583" t="s">
        <v>11645</v>
      </c>
      <c r="O4583" t="s">
        <v>255</v>
      </c>
      <c r="P4583">
        <v>23947</v>
      </c>
      <c r="Q4583">
        <v>3407</v>
      </c>
      <c r="R4583" t="s">
        <v>23</v>
      </c>
      <c r="S4583" s="1" t="s">
        <v>34218</v>
      </c>
    </row>
    <row r="4584" spans="1:19" x14ac:dyDescent="0.25">
      <c r="A4584">
        <v>100889944</v>
      </c>
      <c r="B4584" t="s">
        <v>11646</v>
      </c>
      <c r="C4584" t="s">
        <v>1616</v>
      </c>
      <c r="G4584" t="s">
        <v>11647</v>
      </c>
      <c r="H4584" t="s">
        <v>11648</v>
      </c>
      <c r="I4584" t="s">
        <v>52</v>
      </c>
      <c r="J4584">
        <v>33570</v>
      </c>
      <c r="K4584">
        <v>4515</v>
      </c>
      <c r="L4584" t="s">
        <v>23</v>
      </c>
      <c r="M4584" t="s">
        <v>11647</v>
      </c>
      <c r="N4584" t="s">
        <v>11648</v>
      </c>
      <c r="O4584" t="s">
        <v>52</v>
      </c>
      <c r="P4584">
        <v>33570</v>
      </c>
      <c r="Q4584">
        <v>4515</v>
      </c>
      <c r="R4584" t="s">
        <v>23</v>
      </c>
      <c r="S4584" s="1" t="s">
        <v>34218</v>
      </c>
    </row>
    <row r="4585" spans="1:19" x14ac:dyDescent="0.25">
      <c r="A4585">
        <v>100890134</v>
      </c>
      <c r="B4585" t="s">
        <v>11649</v>
      </c>
      <c r="C4585" t="s">
        <v>11650</v>
      </c>
      <c r="F4585" t="str">
        <f>"6505913823"</f>
        <v>6505913823</v>
      </c>
      <c r="G4585" t="s">
        <v>11651</v>
      </c>
      <c r="H4585" t="s">
        <v>5037</v>
      </c>
      <c r="I4585" t="s">
        <v>22</v>
      </c>
      <c r="J4585">
        <v>94002</v>
      </c>
      <c r="K4585">
        <v>3019</v>
      </c>
      <c r="L4585" t="s">
        <v>23</v>
      </c>
      <c r="M4585" t="s">
        <v>11651</v>
      </c>
      <c r="N4585" t="s">
        <v>5037</v>
      </c>
      <c r="O4585" t="s">
        <v>22</v>
      </c>
      <c r="P4585">
        <v>94002</v>
      </c>
      <c r="Q4585">
        <v>3019</v>
      </c>
      <c r="R4585" t="s">
        <v>23</v>
      </c>
      <c r="S4585" s="1" t="s">
        <v>34218</v>
      </c>
    </row>
    <row r="4586" spans="1:19" x14ac:dyDescent="0.25">
      <c r="A4586">
        <v>100894491</v>
      </c>
      <c r="B4586" t="s">
        <v>11652</v>
      </c>
      <c r="C4586" t="s">
        <v>10908</v>
      </c>
      <c r="G4586" t="s">
        <v>11653</v>
      </c>
      <c r="H4586" t="s">
        <v>11654</v>
      </c>
      <c r="I4586" t="s">
        <v>33</v>
      </c>
      <c r="J4586">
        <v>19446</v>
      </c>
      <c r="K4586">
        <v>1525</v>
      </c>
      <c r="L4586" t="s">
        <v>23</v>
      </c>
      <c r="M4586" t="s">
        <v>11653</v>
      </c>
      <c r="N4586" t="s">
        <v>11654</v>
      </c>
      <c r="O4586" t="s">
        <v>33</v>
      </c>
      <c r="P4586">
        <v>19446</v>
      </c>
      <c r="Q4586">
        <v>1525</v>
      </c>
      <c r="R4586" t="s">
        <v>23</v>
      </c>
      <c r="S4586" s="1" t="s">
        <v>34218</v>
      </c>
    </row>
    <row r="4587" spans="1:19" x14ac:dyDescent="0.25">
      <c r="A4587">
        <v>100898851</v>
      </c>
      <c r="B4587" t="s">
        <v>11655</v>
      </c>
      <c r="C4587" t="s">
        <v>11656</v>
      </c>
      <c r="G4587" t="s">
        <v>11657</v>
      </c>
      <c r="H4587" t="s">
        <v>11658</v>
      </c>
      <c r="I4587" t="s">
        <v>307</v>
      </c>
      <c r="J4587">
        <v>5081</v>
      </c>
      <c r="K4587">
        <v>9712</v>
      </c>
      <c r="L4587" t="s">
        <v>23</v>
      </c>
      <c r="M4587" t="s">
        <v>11657</v>
      </c>
      <c r="N4587" t="s">
        <v>11658</v>
      </c>
      <c r="O4587" t="s">
        <v>307</v>
      </c>
      <c r="P4587">
        <v>5081</v>
      </c>
      <c r="Q4587">
        <v>9712</v>
      </c>
      <c r="R4587" t="s">
        <v>23</v>
      </c>
      <c r="S4587" s="1" t="s">
        <v>34218</v>
      </c>
    </row>
    <row r="4588" spans="1:19" x14ac:dyDescent="0.25">
      <c r="A4588">
        <v>100897034</v>
      </c>
      <c r="B4588" t="s">
        <v>11659</v>
      </c>
      <c r="C4588" t="s">
        <v>11660</v>
      </c>
      <c r="G4588" t="s">
        <v>11661</v>
      </c>
      <c r="H4588" t="s">
        <v>11662</v>
      </c>
      <c r="I4588" t="s">
        <v>250</v>
      </c>
      <c r="J4588">
        <v>7024</v>
      </c>
      <c r="K4588">
        <v>5806</v>
      </c>
      <c r="L4588" t="s">
        <v>23</v>
      </c>
      <c r="M4588" t="s">
        <v>11661</v>
      </c>
      <c r="N4588" t="s">
        <v>11662</v>
      </c>
      <c r="O4588" t="s">
        <v>250</v>
      </c>
      <c r="P4588">
        <v>7024</v>
      </c>
      <c r="Q4588">
        <v>5806</v>
      </c>
      <c r="R4588" t="s">
        <v>23</v>
      </c>
      <c r="S4588" s="1" t="s">
        <v>34218</v>
      </c>
    </row>
    <row r="4589" spans="1:19" x14ac:dyDescent="0.25">
      <c r="A4589">
        <v>100900782</v>
      </c>
      <c r="B4589" t="s">
        <v>11663</v>
      </c>
      <c r="C4589" t="s">
        <v>1778</v>
      </c>
      <c r="G4589" t="s">
        <v>11664</v>
      </c>
      <c r="H4589" t="s">
        <v>11665</v>
      </c>
      <c r="I4589" t="s">
        <v>38</v>
      </c>
      <c r="J4589">
        <v>77573</v>
      </c>
      <c r="K4589">
        <v>2823</v>
      </c>
      <c r="L4589" t="s">
        <v>23</v>
      </c>
      <c r="M4589" t="s">
        <v>11664</v>
      </c>
      <c r="N4589" t="s">
        <v>11665</v>
      </c>
      <c r="O4589" t="s">
        <v>38</v>
      </c>
      <c r="P4589">
        <v>77573</v>
      </c>
      <c r="Q4589">
        <v>2823</v>
      </c>
      <c r="R4589" t="s">
        <v>23</v>
      </c>
      <c r="S4589" s="1" t="s">
        <v>34218</v>
      </c>
    </row>
    <row r="4590" spans="1:19" x14ac:dyDescent="0.25">
      <c r="A4590">
        <v>100901548</v>
      </c>
      <c r="B4590" t="s">
        <v>11666</v>
      </c>
      <c r="C4590" t="s">
        <v>7257</v>
      </c>
      <c r="G4590" t="s">
        <v>11667</v>
      </c>
      <c r="H4590" t="s">
        <v>11668</v>
      </c>
      <c r="I4590" t="s">
        <v>33</v>
      </c>
      <c r="J4590">
        <v>19038</v>
      </c>
      <c r="K4590">
        <v>3607</v>
      </c>
      <c r="L4590" t="s">
        <v>23</v>
      </c>
      <c r="M4590" t="s">
        <v>11667</v>
      </c>
      <c r="N4590" t="s">
        <v>11668</v>
      </c>
      <c r="O4590" t="s">
        <v>33</v>
      </c>
      <c r="P4590">
        <v>19038</v>
      </c>
      <c r="Q4590">
        <v>3607</v>
      </c>
      <c r="R4590" t="s">
        <v>23</v>
      </c>
      <c r="S4590" s="1" t="s">
        <v>34218</v>
      </c>
    </row>
    <row r="4591" spans="1:19" x14ac:dyDescent="0.25">
      <c r="A4591">
        <v>100905415</v>
      </c>
      <c r="B4591" t="s">
        <v>3061</v>
      </c>
      <c r="C4591" t="s">
        <v>2653</v>
      </c>
      <c r="G4591" t="s">
        <v>11669</v>
      </c>
      <c r="H4591" t="s">
        <v>11437</v>
      </c>
      <c r="I4591" t="s">
        <v>43</v>
      </c>
      <c r="J4591">
        <v>97109</v>
      </c>
      <c r="K4591">
        <v>9507</v>
      </c>
      <c r="L4591" t="s">
        <v>23</v>
      </c>
      <c r="M4591" t="s">
        <v>11669</v>
      </c>
      <c r="N4591" t="s">
        <v>11437</v>
      </c>
      <c r="O4591" t="s">
        <v>43</v>
      </c>
      <c r="P4591">
        <v>97109</v>
      </c>
      <c r="Q4591">
        <v>9507</v>
      </c>
      <c r="R4591" t="s">
        <v>23</v>
      </c>
      <c r="S4591" s="1" t="s">
        <v>34218</v>
      </c>
    </row>
    <row r="4592" spans="1:19" x14ac:dyDescent="0.25">
      <c r="A4592">
        <v>100895927</v>
      </c>
      <c r="B4592" t="s">
        <v>11670</v>
      </c>
      <c r="C4592" t="s">
        <v>274</v>
      </c>
      <c r="G4592" t="s">
        <v>11671</v>
      </c>
      <c r="H4592" t="s">
        <v>11672</v>
      </c>
      <c r="I4592" t="s">
        <v>117</v>
      </c>
      <c r="J4592">
        <v>11771</v>
      </c>
      <c r="K4592">
        <v>2727</v>
      </c>
      <c r="L4592" t="s">
        <v>23</v>
      </c>
      <c r="M4592" t="s">
        <v>11671</v>
      </c>
      <c r="N4592" t="s">
        <v>11672</v>
      </c>
      <c r="O4592" t="s">
        <v>117</v>
      </c>
      <c r="P4592">
        <v>11771</v>
      </c>
      <c r="Q4592">
        <v>2727</v>
      </c>
      <c r="R4592" t="s">
        <v>23</v>
      </c>
      <c r="S4592" s="1" t="s">
        <v>34218</v>
      </c>
    </row>
    <row r="4593" spans="1:19" x14ac:dyDescent="0.25">
      <c r="A4593">
        <v>100908616</v>
      </c>
      <c r="B4593" t="s">
        <v>11673</v>
      </c>
      <c r="C4593" t="s">
        <v>635</v>
      </c>
      <c r="G4593" t="s">
        <v>11674</v>
      </c>
      <c r="H4593" t="s">
        <v>3385</v>
      </c>
      <c r="I4593" t="s">
        <v>236</v>
      </c>
      <c r="J4593">
        <v>2139</v>
      </c>
      <c r="K4593">
        <v>4203</v>
      </c>
      <c r="L4593" t="s">
        <v>23</v>
      </c>
      <c r="M4593" t="s">
        <v>11674</v>
      </c>
      <c r="N4593" t="s">
        <v>3385</v>
      </c>
      <c r="O4593" t="s">
        <v>236</v>
      </c>
      <c r="P4593">
        <v>2139</v>
      </c>
      <c r="Q4593">
        <v>4203</v>
      </c>
      <c r="R4593" t="s">
        <v>23</v>
      </c>
      <c r="S4593" s="1" t="s">
        <v>34218</v>
      </c>
    </row>
    <row r="4594" spans="1:19" x14ac:dyDescent="0.25">
      <c r="A4594">
        <v>100915056</v>
      </c>
      <c r="B4594" t="s">
        <v>11675</v>
      </c>
      <c r="C4594" t="s">
        <v>3928</v>
      </c>
      <c r="G4594" t="s">
        <v>11676</v>
      </c>
      <c r="H4594" t="s">
        <v>6151</v>
      </c>
      <c r="I4594" t="s">
        <v>33</v>
      </c>
      <c r="J4594">
        <v>17601</v>
      </c>
      <c r="K4594">
        <v>2953</v>
      </c>
      <c r="L4594" t="s">
        <v>23</v>
      </c>
      <c r="M4594" t="s">
        <v>11676</v>
      </c>
      <c r="N4594" t="s">
        <v>6151</v>
      </c>
      <c r="O4594" t="s">
        <v>33</v>
      </c>
      <c r="P4594">
        <v>17601</v>
      </c>
      <c r="Q4594">
        <v>2953</v>
      </c>
      <c r="R4594" t="s">
        <v>23</v>
      </c>
      <c r="S4594" s="1" t="s">
        <v>34218</v>
      </c>
    </row>
    <row r="4595" spans="1:19" x14ac:dyDescent="0.25">
      <c r="A4595">
        <v>101097426</v>
      </c>
      <c r="B4595" t="s">
        <v>11677</v>
      </c>
      <c r="C4595" t="s">
        <v>1865</v>
      </c>
      <c r="G4595" t="s">
        <v>11678</v>
      </c>
      <c r="H4595" t="s">
        <v>11679</v>
      </c>
      <c r="I4595" t="s">
        <v>38</v>
      </c>
      <c r="J4595">
        <v>79343</v>
      </c>
      <c r="K4595">
        <v>3532</v>
      </c>
      <c r="L4595" t="s">
        <v>23</v>
      </c>
      <c r="M4595" t="s">
        <v>11678</v>
      </c>
      <c r="N4595" t="s">
        <v>11679</v>
      </c>
      <c r="O4595" t="s">
        <v>38</v>
      </c>
      <c r="P4595">
        <v>79343</v>
      </c>
      <c r="Q4595">
        <v>3532</v>
      </c>
      <c r="R4595" t="s">
        <v>23</v>
      </c>
      <c r="S4595" s="1" t="s">
        <v>34218</v>
      </c>
    </row>
    <row r="4596" spans="1:19" x14ac:dyDescent="0.25">
      <c r="A4596">
        <v>101097751</v>
      </c>
      <c r="B4596" t="s">
        <v>11680</v>
      </c>
      <c r="C4596" t="s">
        <v>2127</v>
      </c>
      <c r="G4596" t="s">
        <v>11681</v>
      </c>
      <c r="H4596" t="s">
        <v>130</v>
      </c>
      <c r="I4596" t="s">
        <v>22</v>
      </c>
      <c r="J4596">
        <v>94109</v>
      </c>
      <c r="K4596">
        <v>2484</v>
      </c>
      <c r="L4596" t="s">
        <v>23</v>
      </c>
      <c r="M4596" t="s">
        <v>11681</v>
      </c>
      <c r="N4596" t="s">
        <v>130</v>
      </c>
      <c r="O4596" t="s">
        <v>22</v>
      </c>
      <c r="P4596">
        <v>94109</v>
      </c>
      <c r="Q4596">
        <v>2484</v>
      </c>
      <c r="R4596" t="s">
        <v>23</v>
      </c>
      <c r="S4596" s="1" t="s">
        <v>34218</v>
      </c>
    </row>
    <row r="4597" spans="1:19" x14ac:dyDescent="0.25">
      <c r="A4597">
        <v>101099901</v>
      </c>
      <c r="B4597" t="s">
        <v>11682</v>
      </c>
      <c r="C4597" t="s">
        <v>2642</v>
      </c>
      <c r="G4597" t="s">
        <v>11683</v>
      </c>
      <c r="H4597" t="s">
        <v>174</v>
      </c>
      <c r="I4597" t="s">
        <v>22</v>
      </c>
      <c r="J4597">
        <v>93105</v>
      </c>
      <c r="K4597">
        <v>3031</v>
      </c>
      <c r="L4597" t="s">
        <v>23</v>
      </c>
      <c r="M4597" t="s">
        <v>11683</v>
      </c>
      <c r="N4597" t="s">
        <v>174</v>
      </c>
      <c r="O4597" t="s">
        <v>22</v>
      </c>
      <c r="P4597">
        <v>93105</v>
      </c>
      <c r="Q4597">
        <v>3031</v>
      </c>
      <c r="R4597" t="s">
        <v>23</v>
      </c>
      <c r="S4597" s="1" t="s">
        <v>34218</v>
      </c>
    </row>
    <row r="4598" spans="1:19" x14ac:dyDescent="0.25">
      <c r="A4598">
        <v>101102847</v>
      </c>
      <c r="B4598" t="s">
        <v>11684</v>
      </c>
      <c r="C4598" t="s">
        <v>479</v>
      </c>
      <c r="F4598" t="str">
        <f>"7078380000"</f>
        <v>7078380000</v>
      </c>
      <c r="G4598" t="s">
        <v>11685</v>
      </c>
      <c r="H4598" t="s">
        <v>6831</v>
      </c>
      <c r="I4598" t="s">
        <v>22</v>
      </c>
      <c r="J4598">
        <v>95448</v>
      </c>
      <c r="K4598">
        <v>4654</v>
      </c>
      <c r="L4598" t="s">
        <v>23</v>
      </c>
      <c r="M4598" t="s">
        <v>11685</v>
      </c>
      <c r="N4598" t="s">
        <v>6831</v>
      </c>
      <c r="O4598" t="s">
        <v>22</v>
      </c>
      <c r="P4598">
        <v>95448</v>
      </c>
      <c r="Q4598">
        <v>4654</v>
      </c>
      <c r="R4598" t="s">
        <v>23</v>
      </c>
      <c r="S4598" s="1" t="s">
        <v>34218</v>
      </c>
    </row>
    <row r="4599" spans="1:19" x14ac:dyDescent="0.25">
      <c r="A4599">
        <v>101105975</v>
      </c>
      <c r="B4599" t="s">
        <v>11686</v>
      </c>
      <c r="C4599" t="s">
        <v>4184</v>
      </c>
      <c r="G4599" t="s">
        <v>11687</v>
      </c>
      <c r="H4599" t="s">
        <v>11688</v>
      </c>
      <c r="I4599" t="s">
        <v>984</v>
      </c>
      <c r="J4599">
        <v>96706</v>
      </c>
      <c r="K4599">
        <v>6453</v>
      </c>
      <c r="L4599" t="s">
        <v>23</v>
      </c>
      <c r="M4599" t="s">
        <v>11687</v>
      </c>
      <c r="N4599" t="s">
        <v>11688</v>
      </c>
      <c r="O4599" t="s">
        <v>984</v>
      </c>
      <c r="P4599">
        <v>96706</v>
      </c>
      <c r="Q4599">
        <v>6453</v>
      </c>
      <c r="R4599" t="s">
        <v>23</v>
      </c>
      <c r="S4599" s="1" t="s">
        <v>34218</v>
      </c>
    </row>
    <row r="4600" spans="1:19" x14ac:dyDescent="0.25">
      <c r="A4600">
        <v>101112292</v>
      </c>
      <c r="B4600" t="s">
        <v>7752</v>
      </c>
      <c r="C4600" t="s">
        <v>119</v>
      </c>
      <c r="G4600" t="s">
        <v>11689</v>
      </c>
      <c r="H4600" t="s">
        <v>2035</v>
      </c>
      <c r="I4600" t="s">
        <v>117</v>
      </c>
      <c r="J4600">
        <v>12901</v>
      </c>
      <c r="K4600">
        <v>6001</v>
      </c>
      <c r="L4600" t="s">
        <v>23</v>
      </c>
      <c r="M4600" t="s">
        <v>11689</v>
      </c>
      <c r="N4600" t="s">
        <v>2035</v>
      </c>
      <c r="O4600" t="s">
        <v>117</v>
      </c>
      <c r="P4600">
        <v>12901</v>
      </c>
      <c r="Q4600">
        <v>6001</v>
      </c>
      <c r="R4600" t="s">
        <v>23</v>
      </c>
      <c r="S4600" s="1" t="s">
        <v>34218</v>
      </c>
    </row>
    <row r="4601" spans="1:19" x14ac:dyDescent="0.25">
      <c r="A4601">
        <v>101047479</v>
      </c>
      <c r="B4601" t="s">
        <v>11690</v>
      </c>
      <c r="C4601" t="s">
        <v>11691</v>
      </c>
      <c r="G4601" t="s">
        <v>11692</v>
      </c>
      <c r="H4601" t="s">
        <v>8656</v>
      </c>
      <c r="I4601" t="s">
        <v>22</v>
      </c>
      <c r="J4601">
        <v>95620</v>
      </c>
      <c r="K4601">
        <v>2106</v>
      </c>
      <c r="L4601" t="s">
        <v>23</v>
      </c>
      <c r="M4601" t="s">
        <v>11692</v>
      </c>
      <c r="N4601" t="s">
        <v>8656</v>
      </c>
      <c r="O4601" t="s">
        <v>22</v>
      </c>
      <c r="P4601">
        <v>95620</v>
      </c>
      <c r="Q4601">
        <v>2106</v>
      </c>
      <c r="R4601" t="s">
        <v>23</v>
      </c>
      <c r="S4601" s="1" t="s">
        <v>34218</v>
      </c>
    </row>
    <row r="4602" spans="1:19" x14ac:dyDescent="0.25">
      <c r="A4602">
        <v>101050210</v>
      </c>
      <c r="B4602" t="s">
        <v>4180</v>
      </c>
      <c r="C4602" t="s">
        <v>7530</v>
      </c>
      <c r="G4602" t="s">
        <v>11693</v>
      </c>
      <c r="H4602" t="s">
        <v>1246</v>
      </c>
      <c r="I4602" t="s">
        <v>140</v>
      </c>
      <c r="J4602">
        <v>49505</v>
      </c>
      <c r="K4602">
        <v>4317</v>
      </c>
      <c r="L4602" t="s">
        <v>23</v>
      </c>
      <c r="M4602" t="s">
        <v>11693</v>
      </c>
      <c r="N4602" t="s">
        <v>1246</v>
      </c>
      <c r="O4602" t="s">
        <v>140</v>
      </c>
      <c r="P4602">
        <v>49505</v>
      </c>
      <c r="Q4602">
        <v>4317</v>
      </c>
      <c r="R4602" t="s">
        <v>23</v>
      </c>
      <c r="S4602" s="1" t="s">
        <v>34218</v>
      </c>
    </row>
    <row r="4603" spans="1:19" x14ac:dyDescent="0.25">
      <c r="A4603">
        <v>101046812</v>
      </c>
      <c r="B4603" t="s">
        <v>11694</v>
      </c>
      <c r="C4603" t="s">
        <v>1555</v>
      </c>
      <c r="G4603" t="s">
        <v>11695</v>
      </c>
      <c r="H4603" t="s">
        <v>7803</v>
      </c>
      <c r="I4603" t="s">
        <v>4652</v>
      </c>
      <c r="J4603">
        <v>57702</v>
      </c>
      <c r="K4603">
        <v>7425</v>
      </c>
      <c r="L4603" t="s">
        <v>23</v>
      </c>
      <c r="M4603" t="s">
        <v>11695</v>
      </c>
      <c r="N4603" t="s">
        <v>7803</v>
      </c>
      <c r="O4603" t="s">
        <v>4652</v>
      </c>
      <c r="P4603">
        <v>57702</v>
      </c>
      <c r="Q4603">
        <v>7425</v>
      </c>
      <c r="R4603" t="s">
        <v>23</v>
      </c>
      <c r="S4603" s="1" t="s">
        <v>34218</v>
      </c>
    </row>
    <row r="4604" spans="1:19" x14ac:dyDescent="0.25">
      <c r="A4604">
        <v>101053604</v>
      </c>
      <c r="B4604" t="s">
        <v>11696</v>
      </c>
      <c r="C4604" t="s">
        <v>2151</v>
      </c>
      <c r="G4604" t="s">
        <v>11697</v>
      </c>
      <c r="H4604" t="s">
        <v>3689</v>
      </c>
      <c r="I4604" t="s">
        <v>255</v>
      </c>
      <c r="J4604">
        <v>20124</v>
      </c>
      <c r="K4604">
        <v>930</v>
      </c>
      <c r="L4604" t="s">
        <v>23</v>
      </c>
      <c r="M4604" t="s">
        <v>11697</v>
      </c>
      <c r="N4604" t="s">
        <v>3689</v>
      </c>
      <c r="O4604" t="s">
        <v>255</v>
      </c>
      <c r="P4604">
        <v>20124</v>
      </c>
      <c r="Q4604">
        <v>930</v>
      </c>
      <c r="R4604" t="s">
        <v>23</v>
      </c>
      <c r="S4604" s="1" t="s">
        <v>34218</v>
      </c>
    </row>
    <row r="4605" spans="1:19" x14ac:dyDescent="0.25">
      <c r="A4605">
        <v>101058789</v>
      </c>
      <c r="B4605" t="s">
        <v>11698</v>
      </c>
      <c r="C4605" t="s">
        <v>4046</v>
      </c>
      <c r="G4605" t="s">
        <v>11699</v>
      </c>
      <c r="H4605" t="s">
        <v>11700</v>
      </c>
      <c r="I4605" t="s">
        <v>57</v>
      </c>
      <c r="J4605">
        <v>46135</v>
      </c>
      <c r="K4605">
        <v>8831</v>
      </c>
      <c r="L4605" t="s">
        <v>23</v>
      </c>
      <c r="M4605" t="s">
        <v>11699</v>
      </c>
      <c r="N4605" t="s">
        <v>11700</v>
      </c>
      <c r="O4605" t="s">
        <v>57</v>
      </c>
      <c r="P4605">
        <v>46135</v>
      </c>
      <c r="Q4605">
        <v>8831</v>
      </c>
      <c r="R4605" t="s">
        <v>23</v>
      </c>
      <c r="S4605" s="1" t="s">
        <v>34218</v>
      </c>
    </row>
    <row r="4606" spans="1:19" x14ac:dyDescent="0.25">
      <c r="A4606">
        <v>101059122</v>
      </c>
      <c r="B4606" t="s">
        <v>3828</v>
      </c>
      <c r="C4606" t="s">
        <v>894</v>
      </c>
      <c r="G4606" t="s">
        <v>11701</v>
      </c>
      <c r="H4606" t="s">
        <v>11702</v>
      </c>
      <c r="I4606" t="s">
        <v>178</v>
      </c>
      <c r="J4606">
        <v>43920</v>
      </c>
      <c r="K4606">
        <v>9666</v>
      </c>
      <c r="L4606" t="s">
        <v>23</v>
      </c>
      <c r="M4606" t="s">
        <v>11701</v>
      </c>
      <c r="N4606" t="s">
        <v>11702</v>
      </c>
      <c r="O4606" t="s">
        <v>178</v>
      </c>
      <c r="P4606">
        <v>43920</v>
      </c>
      <c r="Q4606">
        <v>9666</v>
      </c>
      <c r="R4606" t="s">
        <v>23</v>
      </c>
      <c r="S4606" s="1" t="s">
        <v>34218</v>
      </c>
    </row>
    <row r="4607" spans="1:19" x14ac:dyDescent="0.25">
      <c r="A4607">
        <v>101057595</v>
      </c>
      <c r="B4607" t="s">
        <v>3828</v>
      </c>
      <c r="C4607" t="s">
        <v>579</v>
      </c>
      <c r="F4607" t="str">
        <f>"7742330000"</f>
        <v>7742330000</v>
      </c>
      <c r="G4607" t="s">
        <v>11703</v>
      </c>
      <c r="H4607" t="s">
        <v>11704</v>
      </c>
      <c r="I4607" t="s">
        <v>236</v>
      </c>
      <c r="J4607">
        <v>1746</v>
      </c>
      <c r="K4607">
        <v>1429</v>
      </c>
      <c r="L4607" t="s">
        <v>23</v>
      </c>
      <c r="M4607" t="s">
        <v>11703</v>
      </c>
      <c r="N4607" t="s">
        <v>11704</v>
      </c>
      <c r="O4607" t="s">
        <v>236</v>
      </c>
      <c r="P4607">
        <v>1746</v>
      </c>
      <c r="Q4607">
        <v>1429</v>
      </c>
      <c r="R4607" t="s">
        <v>23</v>
      </c>
      <c r="S4607" s="1" t="s">
        <v>34218</v>
      </c>
    </row>
    <row r="4608" spans="1:19" x14ac:dyDescent="0.25">
      <c r="A4608">
        <v>101061989</v>
      </c>
      <c r="B4608" t="s">
        <v>5505</v>
      </c>
      <c r="C4608" t="s">
        <v>432</v>
      </c>
      <c r="G4608" t="s">
        <v>11705</v>
      </c>
      <c r="H4608" t="s">
        <v>2461</v>
      </c>
      <c r="I4608" t="s">
        <v>250</v>
      </c>
      <c r="J4608">
        <v>7921</v>
      </c>
      <c r="K4608">
        <v>1510</v>
      </c>
      <c r="L4608" t="s">
        <v>23</v>
      </c>
      <c r="M4608" t="s">
        <v>11705</v>
      </c>
      <c r="N4608" t="s">
        <v>2461</v>
      </c>
      <c r="O4608" t="s">
        <v>250</v>
      </c>
      <c r="P4608">
        <v>7921</v>
      </c>
      <c r="Q4608">
        <v>1510</v>
      </c>
      <c r="R4608" t="s">
        <v>23</v>
      </c>
      <c r="S4608" s="1" t="s">
        <v>34218</v>
      </c>
    </row>
    <row r="4609" spans="1:19" x14ac:dyDescent="0.25">
      <c r="A4609">
        <v>101056786</v>
      </c>
      <c r="B4609" t="s">
        <v>308</v>
      </c>
      <c r="C4609" t="s">
        <v>266</v>
      </c>
      <c r="G4609" t="s">
        <v>11706</v>
      </c>
      <c r="H4609" t="s">
        <v>497</v>
      </c>
      <c r="I4609" t="s">
        <v>126</v>
      </c>
      <c r="J4609">
        <v>64831</v>
      </c>
      <c r="K4609">
        <v>1494</v>
      </c>
      <c r="L4609" t="s">
        <v>23</v>
      </c>
      <c r="M4609" t="s">
        <v>11706</v>
      </c>
      <c r="N4609" t="s">
        <v>497</v>
      </c>
      <c r="O4609" t="s">
        <v>126</v>
      </c>
      <c r="P4609">
        <v>64831</v>
      </c>
      <c r="Q4609">
        <v>1494</v>
      </c>
      <c r="R4609" t="s">
        <v>23</v>
      </c>
      <c r="S4609" s="1" t="s">
        <v>34218</v>
      </c>
    </row>
    <row r="4610" spans="1:19" x14ac:dyDescent="0.25">
      <c r="A4610">
        <v>101065009</v>
      </c>
      <c r="B4610" t="s">
        <v>9316</v>
      </c>
      <c r="C4610" t="s">
        <v>1327</v>
      </c>
      <c r="G4610" t="s">
        <v>11707</v>
      </c>
      <c r="H4610" t="s">
        <v>9843</v>
      </c>
      <c r="I4610" t="s">
        <v>236</v>
      </c>
      <c r="J4610">
        <v>1960</v>
      </c>
      <c r="K4610">
        <v>3305</v>
      </c>
      <c r="L4610" t="s">
        <v>23</v>
      </c>
      <c r="M4610" t="s">
        <v>11707</v>
      </c>
      <c r="N4610" t="s">
        <v>9843</v>
      </c>
      <c r="O4610" t="s">
        <v>236</v>
      </c>
      <c r="P4610">
        <v>1960</v>
      </c>
      <c r="Q4610">
        <v>3305</v>
      </c>
      <c r="R4610" t="s">
        <v>23</v>
      </c>
      <c r="S4610" s="1" t="s">
        <v>34218</v>
      </c>
    </row>
    <row r="4611" spans="1:19" x14ac:dyDescent="0.25">
      <c r="A4611">
        <v>101065580</v>
      </c>
      <c r="B4611" t="s">
        <v>9162</v>
      </c>
      <c r="C4611" t="s">
        <v>119</v>
      </c>
      <c r="G4611" t="s">
        <v>11277</v>
      </c>
      <c r="H4611" t="s">
        <v>4955</v>
      </c>
      <c r="I4611" t="s">
        <v>914</v>
      </c>
      <c r="J4611">
        <v>37642</v>
      </c>
      <c r="K4611">
        <v>5028</v>
      </c>
      <c r="L4611" t="s">
        <v>23</v>
      </c>
      <c r="M4611" t="s">
        <v>11277</v>
      </c>
      <c r="N4611" t="s">
        <v>4955</v>
      </c>
      <c r="O4611" t="s">
        <v>914</v>
      </c>
      <c r="P4611">
        <v>37642</v>
      </c>
      <c r="Q4611">
        <v>5028</v>
      </c>
      <c r="R4611" t="s">
        <v>23</v>
      </c>
      <c r="S4611" s="1" t="s">
        <v>34218</v>
      </c>
    </row>
    <row r="4612" spans="1:19" x14ac:dyDescent="0.25">
      <c r="A4612">
        <v>100894855</v>
      </c>
      <c r="B4612" t="s">
        <v>11708</v>
      </c>
      <c r="C4612" t="s">
        <v>11709</v>
      </c>
      <c r="G4612" t="s">
        <v>11710</v>
      </c>
      <c r="H4612" t="s">
        <v>11711</v>
      </c>
      <c r="I4612" t="s">
        <v>446</v>
      </c>
      <c r="J4612">
        <v>27526</v>
      </c>
      <c r="K4612">
        <v>8719</v>
      </c>
      <c r="L4612" t="s">
        <v>23</v>
      </c>
      <c r="M4612" t="s">
        <v>11710</v>
      </c>
      <c r="N4612" t="s">
        <v>11711</v>
      </c>
      <c r="O4612" t="s">
        <v>446</v>
      </c>
      <c r="P4612">
        <v>27526</v>
      </c>
      <c r="Q4612">
        <v>8719</v>
      </c>
      <c r="R4612" t="s">
        <v>23</v>
      </c>
      <c r="S4612" s="1" t="s">
        <v>34218</v>
      </c>
    </row>
    <row r="4613" spans="1:19" x14ac:dyDescent="0.25">
      <c r="A4613">
        <v>100898491</v>
      </c>
      <c r="B4613" t="s">
        <v>11712</v>
      </c>
      <c r="C4613" t="s">
        <v>513</v>
      </c>
      <c r="G4613" t="s">
        <v>11713</v>
      </c>
      <c r="H4613" t="s">
        <v>1579</v>
      </c>
      <c r="I4613" t="s">
        <v>71</v>
      </c>
      <c r="J4613">
        <v>80014</v>
      </c>
      <c r="K4613">
        <v>3302</v>
      </c>
      <c r="L4613" t="s">
        <v>23</v>
      </c>
      <c r="M4613" t="s">
        <v>11713</v>
      </c>
      <c r="N4613" t="s">
        <v>1579</v>
      </c>
      <c r="O4613" t="s">
        <v>71</v>
      </c>
      <c r="P4613">
        <v>80014</v>
      </c>
      <c r="Q4613">
        <v>3302</v>
      </c>
      <c r="R4613" t="s">
        <v>23</v>
      </c>
      <c r="S4613" s="1" t="s">
        <v>34218</v>
      </c>
    </row>
    <row r="4614" spans="1:19" x14ac:dyDescent="0.25">
      <c r="A4614">
        <v>100900197</v>
      </c>
      <c r="B4614" t="s">
        <v>11714</v>
      </c>
      <c r="C4614" t="s">
        <v>123</v>
      </c>
      <c r="G4614" t="s">
        <v>11715</v>
      </c>
      <c r="H4614" t="s">
        <v>11716</v>
      </c>
      <c r="I4614" t="s">
        <v>33</v>
      </c>
      <c r="J4614">
        <v>17846</v>
      </c>
      <c r="K4614">
        <v>8652</v>
      </c>
      <c r="L4614" t="s">
        <v>23</v>
      </c>
      <c r="M4614" t="s">
        <v>11715</v>
      </c>
      <c r="N4614" t="s">
        <v>11716</v>
      </c>
      <c r="O4614" t="s">
        <v>33</v>
      </c>
      <c r="P4614">
        <v>17846</v>
      </c>
      <c r="Q4614">
        <v>8652</v>
      </c>
      <c r="R4614" t="s">
        <v>23</v>
      </c>
      <c r="S4614" s="1" t="s">
        <v>34218</v>
      </c>
    </row>
    <row r="4615" spans="1:19" x14ac:dyDescent="0.25">
      <c r="A4615">
        <v>100897834</v>
      </c>
      <c r="B4615" t="s">
        <v>5711</v>
      </c>
      <c r="C4615" t="s">
        <v>3843</v>
      </c>
      <c r="G4615" t="s">
        <v>11717</v>
      </c>
      <c r="H4615" t="s">
        <v>2189</v>
      </c>
      <c r="I4615" t="s">
        <v>187</v>
      </c>
      <c r="J4615">
        <v>55343</v>
      </c>
      <c r="K4615">
        <v>9005</v>
      </c>
      <c r="L4615" t="s">
        <v>23</v>
      </c>
      <c r="M4615" t="s">
        <v>11717</v>
      </c>
      <c r="N4615" t="s">
        <v>2189</v>
      </c>
      <c r="O4615" t="s">
        <v>187</v>
      </c>
      <c r="P4615">
        <v>55343</v>
      </c>
      <c r="Q4615">
        <v>9005</v>
      </c>
      <c r="R4615" t="s">
        <v>23</v>
      </c>
      <c r="S4615" s="1" t="s">
        <v>34218</v>
      </c>
    </row>
    <row r="4616" spans="1:19" x14ac:dyDescent="0.25">
      <c r="A4616">
        <v>100906608</v>
      </c>
      <c r="B4616" t="s">
        <v>11718</v>
      </c>
      <c r="C4616" t="s">
        <v>11719</v>
      </c>
      <c r="G4616" t="s">
        <v>11720</v>
      </c>
      <c r="H4616" t="s">
        <v>11721</v>
      </c>
      <c r="I4616" t="s">
        <v>71</v>
      </c>
      <c r="J4616">
        <v>80440</v>
      </c>
      <c r="L4616" t="s">
        <v>23</v>
      </c>
      <c r="M4616" t="s">
        <v>11720</v>
      </c>
      <c r="N4616" t="s">
        <v>11721</v>
      </c>
      <c r="O4616" t="s">
        <v>71</v>
      </c>
      <c r="P4616">
        <v>80440</v>
      </c>
      <c r="R4616" t="s">
        <v>23</v>
      </c>
      <c r="S4616" s="1" t="s">
        <v>34218</v>
      </c>
    </row>
    <row r="4617" spans="1:19" x14ac:dyDescent="0.25">
      <c r="A4617">
        <v>100914683</v>
      </c>
      <c r="B4617" t="s">
        <v>11722</v>
      </c>
      <c r="C4617" t="s">
        <v>2343</v>
      </c>
      <c r="F4617" t="str">
        <f>"2063696476"</f>
        <v>2063696476</v>
      </c>
      <c r="G4617" t="s">
        <v>11723</v>
      </c>
      <c r="H4617" t="s">
        <v>1477</v>
      </c>
      <c r="I4617" t="s">
        <v>84</v>
      </c>
      <c r="J4617">
        <v>98058</v>
      </c>
      <c r="K4617">
        <v>610</v>
      </c>
      <c r="L4617" t="s">
        <v>23</v>
      </c>
      <c r="M4617" t="s">
        <v>11723</v>
      </c>
      <c r="N4617" t="s">
        <v>1477</v>
      </c>
      <c r="O4617" t="s">
        <v>84</v>
      </c>
      <c r="P4617">
        <v>98058</v>
      </c>
      <c r="Q4617">
        <v>610</v>
      </c>
      <c r="R4617" t="s">
        <v>23</v>
      </c>
      <c r="S4617" s="1" t="s">
        <v>34218</v>
      </c>
    </row>
    <row r="4618" spans="1:19" x14ac:dyDescent="0.25">
      <c r="A4618">
        <v>100914240</v>
      </c>
      <c r="B4618" t="s">
        <v>11724</v>
      </c>
      <c r="C4618" t="s">
        <v>11725</v>
      </c>
      <c r="G4618" t="s">
        <v>11726</v>
      </c>
      <c r="H4618" t="s">
        <v>207</v>
      </c>
      <c r="I4618" t="s">
        <v>22</v>
      </c>
      <c r="J4618">
        <v>93720</v>
      </c>
      <c r="K4618">
        <v>2325</v>
      </c>
      <c r="L4618" t="s">
        <v>23</v>
      </c>
      <c r="M4618" t="s">
        <v>11726</v>
      </c>
      <c r="N4618" t="s">
        <v>207</v>
      </c>
      <c r="O4618" t="s">
        <v>22</v>
      </c>
      <c r="P4618">
        <v>93720</v>
      </c>
      <c r="Q4618">
        <v>2325</v>
      </c>
      <c r="R4618" t="s">
        <v>23</v>
      </c>
      <c r="S4618" s="1" t="s">
        <v>34218</v>
      </c>
    </row>
    <row r="4619" spans="1:19" x14ac:dyDescent="0.25">
      <c r="A4619">
        <v>101097646</v>
      </c>
      <c r="B4619" t="s">
        <v>11727</v>
      </c>
      <c r="C4619" t="s">
        <v>10492</v>
      </c>
      <c r="G4619" t="s">
        <v>11728</v>
      </c>
      <c r="H4619" t="s">
        <v>11729</v>
      </c>
      <c r="I4619" t="s">
        <v>22</v>
      </c>
      <c r="J4619">
        <v>94580</v>
      </c>
      <c r="K4619">
        <v>1222</v>
      </c>
      <c r="L4619" t="s">
        <v>23</v>
      </c>
      <c r="M4619" t="s">
        <v>11728</v>
      </c>
      <c r="N4619" t="s">
        <v>11729</v>
      </c>
      <c r="O4619" t="s">
        <v>22</v>
      </c>
      <c r="P4619">
        <v>94580</v>
      </c>
      <c r="Q4619">
        <v>1222</v>
      </c>
      <c r="R4619" t="s">
        <v>23</v>
      </c>
      <c r="S4619" s="1" t="s">
        <v>34218</v>
      </c>
    </row>
    <row r="4620" spans="1:19" x14ac:dyDescent="0.25">
      <c r="A4620">
        <v>101101565</v>
      </c>
      <c r="B4620" t="s">
        <v>1367</v>
      </c>
      <c r="C4620" t="s">
        <v>2796</v>
      </c>
      <c r="F4620" t="str">
        <f>"7603668527"</f>
        <v>7603668527</v>
      </c>
      <c r="G4620" t="s">
        <v>11730</v>
      </c>
      <c r="H4620" t="s">
        <v>2904</v>
      </c>
      <c r="I4620" t="s">
        <v>22</v>
      </c>
      <c r="J4620">
        <v>92252</v>
      </c>
      <c r="K4620">
        <v>2754</v>
      </c>
      <c r="L4620" t="s">
        <v>23</v>
      </c>
      <c r="M4620" t="s">
        <v>11730</v>
      </c>
      <c r="N4620" t="s">
        <v>2904</v>
      </c>
      <c r="O4620" t="s">
        <v>22</v>
      </c>
      <c r="P4620">
        <v>92252</v>
      </c>
      <c r="Q4620">
        <v>2754</v>
      </c>
      <c r="R4620" t="s">
        <v>23</v>
      </c>
      <c r="S4620" s="1" t="s">
        <v>34218</v>
      </c>
    </row>
    <row r="4621" spans="1:19" x14ac:dyDescent="0.25">
      <c r="A4621">
        <v>101099921</v>
      </c>
      <c r="B4621" t="s">
        <v>744</v>
      </c>
      <c r="C4621" t="s">
        <v>513</v>
      </c>
      <c r="G4621" t="s">
        <v>11731</v>
      </c>
      <c r="H4621" t="s">
        <v>11732</v>
      </c>
      <c r="I4621" t="s">
        <v>43</v>
      </c>
      <c r="J4621">
        <v>97381</v>
      </c>
      <c r="K4621">
        <v>1849</v>
      </c>
      <c r="L4621" t="s">
        <v>23</v>
      </c>
      <c r="M4621" t="s">
        <v>11731</v>
      </c>
      <c r="N4621" t="s">
        <v>11732</v>
      </c>
      <c r="O4621" t="s">
        <v>43</v>
      </c>
      <c r="P4621">
        <v>97381</v>
      </c>
      <c r="Q4621">
        <v>1849</v>
      </c>
      <c r="R4621" t="s">
        <v>23</v>
      </c>
      <c r="S4621" s="1" t="s">
        <v>34218</v>
      </c>
    </row>
    <row r="4622" spans="1:19" x14ac:dyDescent="0.25">
      <c r="A4622">
        <v>101059285</v>
      </c>
      <c r="B4622" t="s">
        <v>10816</v>
      </c>
      <c r="C4622" t="s">
        <v>11733</v>
      </c>
      <c r="F4622" t="str">
        <f>"2129868855"</f>
        <v>2129868855</v>
      </c>
      <c r="G4622" t="s">
        <v>11734</v>
      </c>
      <c r="H4622" t="s">
        <v>11735</v>
      </c>
      <c r="I4622" t="s">
        <v>126</v>
      </c>
      <c r="J4622">
        <v>63740</v>
      </c>
      <c r="K4622">
        <v>1106</v>
      </c>
      <c r="L4622" t="s">
        <v>23</v>
      </c>
      <c r="M4622" t="s">
        <v>11734</v>
      </c>
      <c r="N4622" t="s">
        <v>11735</v>
      </c>
      <c r="O4622" t="s">
        <v>126</v>
      </c>
      <c r="P4622">
        <v>63740</v>
      </c>
      <c r="Q4622">
        <v>1106</v>
      </c>
      <c r="R4622" t="s">
        <v>23</v>
      </c>
      <c r="S4622" s="1" t="s">
        <v>34218</v>
      </c>
    </row>
    <row r="4623" spans="1:19" x14ac:dyDescent="0.25">
      <c r="A4623">
        <v>101065030</v>
      </c>
      <c r="B4623" t="s">
        <v>11736</v>
      </c>
      <c r="C4623" t="s">
        <v>1036</v>
      </c>
      <c r="G4623" t="s">
        <v>11737</v>
      </c>
      <c r="H4623" t="s">
        <v>21</v>
      </c>
      <c r="I4623" t="s">
        <v>22</v>
      </c>
      <c r="J4623">
        <v>95401</v>
      </c>
      <c r="K4623">
        <v>4911</v>
      </c>
      <c r="L4623" t="s">
        <v>23</v>
      </c>
      <c r="M4623" t="s">
        <v>11737</v>
      </c>
      <c r="N4623" t="s">
        <v>21</v>
      </c>
      <c r="O4623" t="s">
        <v>22</v>
      </c>
      <c r="P4623">
        <v>95401</v>
      </c>
      <c r="Q4623">
        <v>4911</v>
      </c>
      <c r="R4623" t="s">
        <v>23</v>
      </c>
      <c r="S4623" s="1" t="s">
        <v>34218</v>
      </c>
    </row>
    <row r="4624" spans="1:19" x14ac:dyDescent="0.25">
      <c r="A4624">
        <v>101065021</v>
      </c>
      <c r="B4624" t="s">
        <v>11738</v>
      </c>
      <c r="C4624" t="s">
        <v>11739</v>
      </c>
      <c r="F4624" t="str">
        <f>"7608801339"</f>
        <v>7608801339</v>
      </c>
      <c r="G4624" t="s">
        <v>11740</v>
      </c>
      <c r="H4624" t="s">
        <v>11741</v>
      </c>
      <c r="I4624" t="s">
        <v>22</v>
      </c>
      <c r="J4624">
        <v>92234</v>
      </c>
      <c r="K4624">
        <v>8405</v>
      </c>
      <c r="L4624" t="s">
        <v>23</v>
      </c>
      <c r="M4624" t="s">
        <v>11740</v>
      </c>
      <c r="N4624" t="s">
        <v>11741</v>
      </c>
      <c r="O4624" t="s">
        <v>22</v>
      </c>
      <c r="P4624">
        <v>92234</v>
      </c>
      <c r="Q4624">
        <v>8405</v>
      </c>
      <c r="R4624" t="s">
        <v>23</v>
      </c>
      <c r="S4624" s="1" t="s">
        <v>34218</v>
      </c>
    </row>
    <row r="4625" spans="1:19" x14ac:dyDescent="0.25">
      <c r="A4625">
        <v>101041948</v>
      </c>
      <c r="B4625" t="s">
        <v>5444</v>
      </c>
      <c r="C4625" t="s">
        <v>114</v>
      </c>
      <c r="F4625" t="str">
        <f>"2625427577"</f>
        <v>2625427577</v>
      </c>
      <c r="G4625" t="s">
        <v>11742</v>
      </c>
      <c r="H4625" t="s">
        <v>1293</v>
      </c>
      <c r="I4625" t="s">
        <v>22</v>
      </c>
      <c r="J4625">
        <v>95062</v>
      </c>
      <c r="L4625" t="s">
        <v>23</v>
      </c>
      <c r="M4625" t="s">
        <v>11742</v>
      </c>
      <c r="N4625" t="s">
        <v>1293</v>
      </c>
      <c r="O4625" t="s">
        <v>22</v>
      </c>
      <c r="P4625">
        <v>95062</v>
      </c>
      <c r="R4625" t="s">
        <v>23</v>
      </c>
      <c r="S4625" s="1" t="s">
        <v>34218</v>
      </c>
    </row>
    <row r="4626" spans="1:19" x14ac:dyDescent="0.25">
      <c r="A4626">
        <v>101027829</v>
      </c>
      <c r="B4626" t="s">
        <v>5510</v>
      </c>
      <c r="C4626" t="s">
        <v>1069</v>
      </c>
      <c r="F4626" t="str">
        <f>"2067600508"</f>
        <v>2067600508</v>
      </c>
      <c r="G4626" t="s">
        <v>11743</v>
      </c>
      <c r="H4626" t="s">
        <v>1531</v>
      </c>
      <c r="I4626" t="s">
        <v>84</v>
      </c>
      <c r="J4626">
        <v>98118</v>
      </c>
      <c r="K4626">
        <v>3917</v>
      </c>
      <c r="L4626" t="s">
        <v>23</v>
      </c>
      <c r="M4626" t="s">
        <v>11743</v>
      </c>
      <c r="N4626" t="s">
        <v>1531</v>
      </c>
      <c r="O4626" t="s">
        <v>84</v>
      </c>
      <c r="P4626">
        <v>98118</v>
      </c>
      <c r="Q4626">
        <v>3917</v>
      </c>
      <c r="R4626" t="s">
        <v>23</v>
      </c>
      <c r="S4626" s="1" t="s">
        <v>34218</v>
      </c>
    </row>
    <row r="4627" spans="1:19" x14ac:dyDescent="0.25">
      <c r="A4627">
        <v>101242458</v>
      </c>
      <c r="B4627" t="s">
        <v>11744</v>
      </c>
      <c r="C4627" t="s">
        <v>110</v>
      </c>
      <c r="F4627" t="str">
        <f>"6104496218"</f>
        <v>6104496218</v>
      </c>
      <c r="G4627" t="s">
        <v>11745</v>
      </c>
      <c r="H4627" t="s">
        <v>6781</v>
      </c>
      <c r="I4627" t="s">
        <v>33</v>
      </c>
      <c r="J4627">
        <v>19083</v>
      </c>
      <c r="K4627">
        <v>2430</v>
      </c>
      <c r="L4627" t="s">
        <v>23</v>
      </c>
      <c r="M4627" t="s">
        <v>11745</v>
      </c>
      <c r="N4627" t="s">
        <v>6781</v>
      </c>
      <c r="O4627" t="s">
        <v>33</v>
      </c>
      <c r="P4627">
        <v>19083</v>
      </c>
      <c r="Q4627">
        <v>2430</v>
      </c>
      <c r="R4627" t="s">
        <v>23</v>
      </c>
      <c r="S4627" s="1" t="s">
        <v>34218</v>
      </c>
    </row>
    <row r="4628" spans="1:19" x14ac:dyDescent="0.25">
      <c r="A4628">
        <v>101241200</v>
      </c>
      <c r="B4628" t="s">
        <v>11746</v>
      </c>
      <c r="C4628" t="s">
        <v>123</v>
      </c>
      <c r="F4628" t="str">
        <f>"2127871043"</f>
        <v>2127871043</v>
      </c>
      <c r="G4628" t="s">
        <v>11747</v>
      </c>
      <c r="H4628" t="s">
        <v>653</v>
      </c>
      <c r="I4628" t="s">
        <v>117</v>
      </c>
      <c r="J4628">
        <v>10024</v>
      </c>
      <c r="K4628">
        <v>3401</v>
      </c>
      <c r="L4628" t="s">
        <v>23</v>
      </c>
      <c r="M4628" t="s">
        <v>11747</v>
      </c>
      <c r="N4628" t="s">
        <v>653</v>
      </c>
      <c r="O4628" t="s">
        <v>117</v>
      </c>
      <c r="P4628">
        <v>10024</v>
      </c>
      <c r="Q4628">
        <v>3401</v>
      </c>
      <c r="R4628" t="s">
        <v>23</v>
      </c>
      <c r="S4628" s="1" t="s">
        <v>34218</v>
      </c>
    </row>
    <row r="4629" spans="1:19" x14ac:dyDescent="0.25">
      <c r="A4629">
        <v>101255396</v>
      </c>
      <c r="B4629" t="s">
        <v>11748</v>
      </c>
      <c r="C4629" t="s">
        <v>2127</v>
      </c>
      <c r="F4629" t="str">
        <f>"5555555555"</f>
        <v>5555555555</v>
      </c>
      <c r="G4629" t="s">
        <v>11749</v>
      </c>
      <c r="H4629" t="s">
        <v>11750</v>
      </c>
      <c r="I4629" t="s">
        <v>33</v>
      </c>
      <c r="J4629">
        <v>16652</v>
      </c>
      <c r="K4629">
        <v>6029</v>
      </c>
      <c r="L4629" t="s">
        <v>23</v>
      </c>
      <c r="M4629" t="s">
        <v>11749</v>
      </c>
      <c r="N4629" t="s">
        <v>11750</v>
      </c>
      <c r="O4629" t="s">
        <v>33</v>
      </c>
      <c r="P4629">
        <v>16652</v>
      </c>
      <c r="Q4629">
        <v>6029</v>
      </c>
      <c r="R4629" t="s">
        <v>23</v>
      </c>
      <c r="S4629" s="1" t="s">
        <v>34218</v>
      </c>
    </row>
    <row r="4630" spans="1:19" x14ac:dyDescent="0.25">
      <c r="A4630">
        <v>101319219</v>
      </c>
      <c r="B4630" t="s">
        <v>3545</v>
      </c>
      <c r="C4630" t="s">
        <v>7050</v>
      </c>
      <c r="F4630" t="str">
        <f>"6177390648"</f>
        <v>6177390648</v>
      </c>
      <c r="G4630" t="s">
        <v>11751</v>
      </c>
      <c r="H4630" t="s">
        <v>3613</v>
      </c>
      <c r="I4630" t="s">
        <v>236</v>
      </c>
      <c r="J4630">
        <v>2445</v>
      </c>
      <c r="L4630" t="s">
        <v>23</v>
      </c>
      <c r="M4630" t="s">
        <v>11751</v>
      </c>
      <c r="N4630" t="s">
        <v>3613</v>
      </c>
      <c r="O4630" t="s">
        <v>236</v>
      </c>
      <c r="P4630">
        <v>2445</v>
      </c>
      <c r="R4630" t="s">
        <v>23</v>
      </c>
      <c r="S4630" s="1" t="s">
        <v>34218</v>
      </c>
    </row>
    <row r="4631" spans="1:19" x14ac:dyDescent="0.25">
      <c r="A4631">
        <v>101350463</v>
      </c>
      <c r="B4631" t="s">
        <v>11752</v>
      </c>
      <c r="C4631" t="s">
        <v>367</v>
      </c>
      <c r="F4631" t="str">
        <f>"8454299465"</f>
        <v>8454299465</v>
      </c>
      <c r="G4631" t="s">
        <v>11753</v>
      </c>
      <c r="H4631" t="s">
        <v>11754</v>
      </c>
      <c r="I4631" t="s">
        <v>327</v>
      </c>
      <c r="J4631">
        <v>24970</v>
      </c>
      <c r="K4631">
        <v>9796</v>
      </c>
      <c r="L4631" t="s">
        <v>23</v>
      </c>
      <c r="M4631" t="s">
        <v>11753</v>
      </c>
      <c r="N4631" t="s">
        <v>11754</v>
      </c>
      <c r="O4631" t="s">
        <v>327</v>
      </c>
      <c r="P4631">
        <v>24970</v>
      </c>
      <c r="Q4631">
        <v>9796</v>
      </c>
      <c r="R4631" t="s">
        <v>23</v>
      </c>
      <c r="S4631" s="1" t="s">
        <v>34218</v>
      </c>
    </row>
    <row r="4632" spans="1:19" x14ac:dyDescent="0.25">
      <c r="A4632">
        <v>101373837</v>
      </c>
      <c r="B4632" t="s">
        <v>985</v>
      </c>
      <c r="C4632" t="s">
        <v>11755</v>
      </c>
      <c r="F4632" t="str">
        <f>"7145257936"</f>
        <v>7145257936</v>
      </c>
      <c r="G4632" t="s">
        <v>11756</v>
      </c>
      <c r="H4632" t="s">
        <v>3286</v>
      </c>
      <c r="I4632" t="s">
        <v>22</v>
      </c>
      <c r="J4632">
        <v>92833</v>
      </c>
      <c r="K4632">
        <v>2422</v>
      </c>
      <c r="L4632" t="s">
        <v>23</v>
      </c>
      <c r="M4632" t="s">
        <v>11756</v>
      </c>
      <c r="N4632" t="s">
        <v>3286</v>
      </c>
      <c r="O4632" t="s">
        <v>22</v>
      </c>
      <c r="P4632">
        <v>92833</v>
      </c>
      <c r="Q4632">
        <v>2422</v>
      </c>
      <c r="R4632" t="s">
        <v>23</v>
      </c>
      <c r="S4632" s="1" t="s">
        <v>34218</v>
      </c>
    </row>
    <row r="4633" spans="1:19" x14ac:dyDescent="0.25">
      <c r="A4633">
        <v>101112915</v>
      </c>
      <c r="B4633" t="s">
        <v>11757</v>
      </c>
      <c r="C4633" t="s">
        <v>49</v>
      </c>
      <c r="F4633" t="str">
        <f>"8317261443"</f>
        <v>8317261443</v>
      </c>
      <c r="G4633" t="s">
        <v>11758</v>
      </c>
      <c r="H4633" t="s">
        <v>11594</v>
      </c>
      <c r="I4633" t="s">
        <v>22</v>
      </c>
      <c r="J4633">
        <v>95004</v>
      </c>
      <c r="K4633">
        <v>9712</v>
      </c>
      <c r="L4633" t="s">
        <v>23</v>
      </c>
      <c r="M4633" t="s">
        <v>11758</v>
      </c>
      <c r="N4633" t="s">
        <v>11594</v>
      </c>
      <c r="O4633" t="s">
        <v>22</v>
      </c>
      <c r="P4633">
        <v>95004</v>
      </c>
      <c r="Q4633">
        <v>9712</v>
      </c>
      <c r="R4633" t="s">
        <v>23</v>
      </c>
      <c r="S4633" s="1" t="s">
        <v>34218</v>
      </c>
    </row>
    <row r="4634" spans="1:19" x14ac:dyDescent="0.25">
      <c r="A4634">
        <v>101351525</v>
      </c>
      <c r="B4634" t="s">
        <v>1444</v>
      </c>
      <c r="C4634" t="s">
        <v>1588</v>
      </c>
      <c r="F4634" t="str">
        <f>"8188465350"</f>
        <v>8188465350</v>
      </c>
      <c r="G4634" t="s">
        <v>11759</v>
      </c>
      <c r="H4634" t="s">
        <v>1674</v>
      </c>
      <c r="I4634" t="s">
        <v>22</v>
      </c>
      <c r="J4634">
        <v>91505</v>
      </c>
      <c r="K4634">
        <v>1856</v>
      </c>
      <c r="L4634" t="s">
        <v>23</v>
      </c>
      <c r="M4634" t="s">
        <v>11759</v>
      </c>
      <c r="N4634" t="s">
        <v>1674</v>
      </c>
      <c r="O4634" t="s">
        <v>22</v>
      </c>
      <c r="P4634">
        <v>91505</v>
      </c>
      <c r="Q4634">
        <v>1856</v>
      </c>
      <c r="R4634" t="s">
        <v>23</v>
      </c>
      <c r="S4634" s="1" t="s">
        <v>34218</v>
      </c>
    </row>
    <row r="4635" spans="1:19" x14ac:dyDescent="0.25">
      <c r="A4635">
        <v>101350374</v>
      </c>
      <c r="B4635" t="s">
        <v>3609</v>
      </c>
      <c r="C4635" t="s">
        <v>11760</v>
      </c>
      <c r="F4635" t="str">
        <f>"5555555555"</f>
        <v>5555555555</v>
      </c>
      <c r="G4635" t="s">
        <v>11761</v>
      </c>
      <c r="H4635" t="s">
        <v>2178</v>
      </c>
      <c r="I4635" t="s">
        <v>28</v>
      </c>
      <c r="J4635">
        <v>30096</v>
      </c>
      <c r="K4635">
        <v>7900</v>
      </c>
      <c r="L4635" t="s">
        <v>23</v>
      </c>
      <c r="M4635" t="s">
        <v>11761</v>
      </c>
      <c r="N4635" t="s">
        <v>2178</v>
      </c>
      <c r="O4635" t="s">
        <v>28</v>
      </c>
      <c r="P4635">
        <v>30096</v>
      </c>
      <c r="Q4635">
        <v>7900</v>
      </c>
      <c r="R4635" t="s">
        <v>23</v>
      </c>
      <c r="S4635" s="1" t="s">
        <v>34218</v>
      </c>
    </row>
    <row r="4636" spans="1:19" x14ac:dyDescent="0.25">
      <c r="A4636">
        <v>101373935</v>
      </c>
      <c r="B4636" t="s">
        <v>3049</v>
      </c>
      <c r="C4636" t="s">
        <v>2672</v>
      </c>
      <c r="F4636" t="str">
        <f>"7079963831"</f>
        <v>7079963831</v>
      </c>
      <c r="G4636" t="s">
        <v>11762</v>
      </c>
      <c r="H4636" t="s">
        <v>6041</v>
      </c>
      <c r="I4636" t="s">
        <v>22</v>
      </c>
      <c r="J4636">
        <v>95476</v>
      </c>
      <c r="K4636">
        <v>3687</v>
      </c>
      <c r="L4636" t="s">
        <v>23</v>
      </c>
      <c r="M4636" t="s">
        <v>11762</v>
      </c>
      <c r="N4636" t="s">
        <v>6041</v>
      </c>
      <c r="O4636" t="s">
        <v>22</v>
      </c>
      <c r="P4636">
        <v>95476</v>
      </c>
      <c r="Q4636">
        <v>3687</v>
      </c>
      <c r="R4636" t="s">
        <v>23</v>
      </c>
      <c r="S4636" s="1" t="s">
        <v>34218</v>
      </c>
    </row>
    <row r="4637" spans="1:19" x14ac:dyDescent="0.25">
      <c r="A4637">
        <v>100987561</v>
      </c>
      <c r="B4637" t="s">
        <v>11763</v>
      </c>
      <c r="C4637" t="s">
        <v>281</v>
      </c>
      <c r="F4637" t="str">
        <f>"3103674616"</f>
        <v>3103674616</v>
      </c>
      <c r="G4637" t="s">
        <v>11764</v>
      </c>
      <c r="H4637" t="s">
        <v>1649</v>
      </c>
      <c r="I4637" t="s">
        <v>22</v>
      </c>
      <c r="J4637">
        <v>93013</v>
      </c>
      <c r="K4637">
        <v>3040</v>
      </c>
      <c r="L4637" t="s">
        <v>23</v>
      </c>
      <c r="M4637" t="s">
        <v>11764</v>
      </c>
      <c r="N4637" t="s">
        <v>1649</v>
      </c>
      <c r="O4637" t="s">
        <v>22</v>
      </c>
      <c r="P4637">
        <v>93013</v>
      </c>
      <c r="Q4637">
        <v>3040</v>
      </c>
      <c r="R4637" t="s">
        <v>23</v>
      </c>
      <c r="S4637" s="1" t="s">
        <v>34218</v>
      </c>
    </row>
    <row r="4638" spans="1:19" x14ac:dyDescent="0.25">
      <c r="A4638">
        <v>101299324</v>
      </c>
      <c r="B4638" t="s">
        <v>11765</v>
      </c>
      <c r="C4638" t="s">
        <v>11766</v>
      </c>
      <c r="F4638" t="str">
        <f>"4158314661"</f>
        <v>4158314661</v>
      </c>
      <c r="G4638" t="s">
        <v>11767</v>
      </c>
      <c r="H4638" t="s">
        <v>130</v>
      </c>
      <c r="I4638" t="s">
        <v>22</v>
      </c>
      <c r="J4638">
        <v>94121</v>
      </c>
      <c r="K4638">
        <v>1807</v>
      </c>
      <c r="L4638" t="s">
        <v>23</v>
      </c>
      <c r="M4638" t="s">
        <v>11767</v>
      </c>
      <c r="N4638" t="s">
        <v>130</v>
      </c>
      <c r="O4638" t="s">
        <v>22</v>
      </c>
      <c r="P4638">
        <v>94121</v>
      </c>
      <c r="Q4638">
        <v>1807</v>
      </c>
      <c r="R4638" t="s">
        <v>23</v>
      </c>
      <c r="S4638" s="1" t="s">
        <v>34218</v>
      </c>
    </row>
    <row r="4639" spans="1:19" x14ac:dyDescent="0.25">
      <c r="A4639">
        <v>100982804</v>
      </c>
      <c r="B4639" t="s">
        <v>11768</v>
      </c>
      <c r="C4639" t="s">
        <v>535</v>
      </c>
      <c r="F4639" t="str">
        <f>"3192771087"</f>
        <v>3192771087</v>
      </c>
      <c r="G4639" t="s">
        <v>11769</v>
      </c>
      <c r="H4639" t="s">
        <v>5639</v>
      </c>
      <c r="I4639" t="s">
        <v>565</v>
      </c>
      <c r="J4639">
        <v>50613</v>
      </c>
      <c r="K4639">
        <v>9433</v>
      </c>
      <c r="L4639" t="s">
        <v>23</v>
      </c>
      <c r="M4639" t="s">
        <v>11769</v>
      </c>
      <c r="N4639" t="s">
        <v>5639</v>
      </c>
      <c r="O4639" t="s">
        <v>565</v>
      </c>
      <c r="P4639">
        <v>50613</v>
      </c>
      <c r="Q4639">
        <v>9433</v>
      </c>
      <c r="R4639" t="s">
        <v>23</v>
      </c>
      <c r="S4639" s="1" t="s">
        <v>34218</v>
      </c>
    </row>
    <row r="4640" spans="1:19" x14ac:dyDescent="0.25">
      <c r="A4640">
        <v>101178524</v>
      </c>
      <c r="B4640" t="s">
        <v>3049</v>
      </c>
      <c r="C4640" t="s">
        <v>274</v>
      </c>
      <c r="F4640" t="str">
        <f>"9252842344"</f>
        <v>9252842344</v>
      </c>
      <c r="G4640" t="s">
        <v>11770</v>
      </c>
      <c r="H4640" t="s">
        <v>4199</v>
      </c>
      <c r="I4640" t="s">
        <v>22</v>
      </c>
      <c r="J4640">
        <v>94549</v>
      </c>
      <c r="K4640">
        <v>4210</v>
      </c>
      <c r="L4640" t="s">
        <v>23</v>
      </c>
      <c r="M4640" t="s">
        <v>11770</v>
      </c>
      <c r="N4640" t="s">
        <v>4199</v>
      </c>
      <c r="O4640" t="s">
        <v>22</v>
      </c>
      <c r="P4640">
        <v>94549</v>
      </c>
      <c r="Q4640">
        <v>4210</v>
      </c>
      <c r="R4640" t="s">
        <v>23</v>
      </c>
      <c r="S4640" s="1" t="s">
        <v>34218</v>
      </c>
    </row>
    <row r="4641" spans="1:19" x14ac:dyDescent="0.25">
      <c r="A4641">
        <v>101181796</v>
      </c>
      <c r="B4641" t="s">
        <v>3123</v>
      </c>
      <c r="C4641" t="s">
        <v>846</v>
      </c>
      <c r="F4641" t="str">
        <f>"7037274743"</f>
        <v>7037274743</v>
      </c>
      <c r="G4641" t="s">
        <v>11771</v>
      </c>
      <c r="H4641" t="s">
        <v>3412</v>
      </c>
      <c r="I4641" t="s">
        <v>148</v>
      </c>
      <c r="J4641">
        <v>21740</v>
      </c>
      <c r="K4641">
        <v>1521</v>
      </c>
      <c r="L4641" t="s">
        <v>23</v>
      </c>
      <c r="M4641" t="s">
        <v>11771</v>
      </c>
      <c r="N4641" t="s">
        <v>3412</v>
      </c>
      <c r="O4641" t="s">
        <v>148</v>
      </c>
      <c r="P4641">
        <v>21740</v>
      </c>
      <c r="Q4641">
        <v>1521</v>
      </c>
      <c r="R4641" t="s">
        <v>23</v>
      </c>
      <c r="S4641" s="1" t="s">
        <v>34218</v>
      </c>
    </row>
    <row r="4642" spans="1:19" x14ac:dyDescent="0.25">
      <c r="A4642">
        <v>100709100</v>
      </c>
      <c r="B4642" t="s">
        <v>11772</v>
      </c>
      <c r="C4642" t="s">
        <v>531</v>
      </c>
      <c r="F4642" t="str">
        <f>"6103834784"</f>
        <v>6103834784</v>
      </c>
      <c r="G4642" t="s">
        <v>11773</v>
      </c>
      <c r="H4642" t="s">
        <v>11774</v>
      </c>
      <c r="I4642" t="s">
        <v>33</v>
      </c>
      <c r="J4642">
        <v>19320</v>
      </c>
      <c r="L4642" t="s">
        <v>23</v>
      </c>
      <c r="M4642" t="s">
        <v>11773</v>
      </c>
      <c r="N4642" t="s">
        <v>11774</v>
      </c>
      <c r="O4642" t="s">
        <v>33</v>
      </c>
      <c r="P4642">
        <v>19320</v>
      </c>
      <c r="R4642" t="s">
        <v>23</v>
      </c>
      <c r="S4642" s="1" t="s">
        <v>34218</v>
      </c>
    </row>
    <row r="4643" spans="1:19" x14ac:dyDescent="0.25">
      <c r="A4643">
        <v>101291467</v>
      </c>
      <c r="B4643" t="s">
        <v>2656</v>
      </c>
      <c r="C4643" t="s">
        <v>2328</v>
      </c>
      <c r="F4643" t="str">
        <f>"5414729795"</f>
        <v>5414729795</v>
      </c>
      <c r="G4643" t="s">
        <v>11775</v>
      </c>
      <c r="H4643" t="s">
        <v>458</v>
      </c>
      <c r="I4643" t="s">
        <v>43</v>
      </c>
      <c r="J4643">
        <v>97526</v>
      </c>
      <c r="K4643">
        <v>8828</v>
      </c>
      <c r="L4643" t="s">
        <v>23</v>
      </c>
      <c r="M4643" t="s">
        <v>11775</v>
      </c>
      <c r="N4643" t="s">
        <v>458</v>
      </c>
      <c r="O4643" t="s">
        <v>43</v>
      </c>
      <c r="P4643">
        <v>97526</v>
      </c>
      <c r="Q4643">
        <v>8828</v>
      </c>
      <c r="R4643" t="s">
        <v>23</v>
      </c>
      <c r="S4643" s="1" t="s">
        <v>34218</v>
      </c>
    </row>
    <row r="4644" spans="1:19" x14ac:dyDescent="0.25">
      <c r="A4644">
        <v>101301146</v>
      </c>
      <c r="B4644" t="s">
        <v>8809</v>
      </c>
      <c r="C4644" t="s">
        <v>1647</v>
      </c>
      <c r="F4644" t="str">
        <f>"8028640701"</f>
        <v>8028640701</v>
      </c>
      <c r="G4644" t="s">
        <v>11776</v>
      </c>
      <c r="H4644" t="s">
        <v>11777</v>
      </c>
      <c r="I4644" t="s">
        <v>307</v>
      </c>
      <c r="J4644">
        <v>5495</v>
      </c>
      <c r="K4644">
        <v>7284</v>
      </c>
      <c r="L4644" t="s">
        <v>23</v>
      </c>
      <c r="M4644" t="s">
        <v>11776</v>
      </c>
      <c r="N4644" t="s">
        <v>11777</v>
      </c>
      <c r="O4644" t="s">
        <v>307</v>
      </c>
      <c r="P4644">
        <v>5495</v>
      </c>
      <c r="Q4644">
        <v>7284</v>
      </c>
      <c r="R4644" t="s">
        <v>23</v>
      </c>
      <c r="S4644" s="1" t="s">
        <v>34218</v>
      </c>
    </row>
    <row r="4645" spans="1:19" x14ac:dyDescent="0.25">
      <c r="A4645">
        <v>100643599</v>
      </c>
      <c r="B4645" t="s">
        <v>8669</v>
      </c>
      <c r="C4645" t="s">
        <v>158</v>
      </c>
      <c r="F4645" t="str">
        <f>"8155169296"</f>
        <v>8155169296</v>
      </c>
      <c r="G4645" t="s">
        <v>11778</v>
      </c>
      <c r="H4645" t="s">
        <v>8597</v>
      </c>
      <c r="I4645" t="s">
        <v>100</v>
      </c>
      <c r="J4645">
        <v>53511</v>
      </c>
      <c r="K4645">
        <v>6610</v>
      </c>
      <c r="L4645" t="s">
        <v>23</v>
      </c>
      <c r="M4645" t="s">
        <v>11778</v>
      </c>
      <c r="N4645" t="s">
        <v>8597</v>
      </c>
      <c r="O4645" t="s">
        <v>100</v>
      </c>
      <c r="P4645">
        <v>53511</v>
      </c>
      <c r="Q4645">
        <v>6610</v>
      </c>
      <c r="R4645" t="s">
        <v>23</v>
      </c>
      <c r="S4645" s="1" t="s">
        <v>34218</v>
      </c>
    </row>
    <row r="4646" spans="1:19" x14ac:dyDescent="0.25">
      <c r="A4646">
        <v>101063395</v>
      </c>
      <c r="B4646" t="s">
        <v>8777</v>
      </c>
      <c r="C4646" t="s">
        <v>11779</v>
      </c>
      <c r="F4646" t="str">
        <f>"6692657692"</f>
        <v>6692657692</v>
      </c>
      <c r="G4646" t="s">
        <v>11780</v>
      </c>
      <c r="H4646" t="s">
        <v>620</v>
      </c>
      <c r="I4646" t="s">
        <v>43</v>
      </c>
      <c r="J4646">
        <v>97140</v>
      </c>
      <c r="K4646">
        <v>9133</v>
      </c>
      <c r="L4646" t="s">
        <v>23</v>
      </c>
      <c r="M4646" t="s">
        <v>11780</v>
      </c>
      <c r="N4646" t="s">
        <v>620</v>
      </c>
      <c r="O4646" t="s">
        <v>43</v>
      </c>
      <c r="P4646">
        <v>97140</v>
      </c>
      <c r="Q4646">
        <v>9133</v>
      </c>
      <c r="R4646" t="s">
        <v>23</v>
      </c>
      <c r="S4646" s="1" t="s">
        <v>34218</v>
      </c>
    </row>
    <row r="4647" spans="1:19" x14ac:dyDescent="0.25">
      <c r="A4647">
        <v>100835314</v>
      </c>
      <c r="B4647" t="s">
        <v>11781</v>
      </c>
      <c r="C4647" t="s">
        <v>49</v>
      </c>
      <c r="F4647" t="str">
        <f>"6783813341"</f>
        <v>6783813341</v>
      </c>
      <c r="G4647" t="s">
        <v>11782</v>
      </c>
      <c r="H4647" t="s">
        <v>11381</v>
      </c>
      <c r="I4647" t="s">
        <v>187</v>
      </c>
      <c r="J4647">
        <v>55423</v>
      </c>
      <c r="K4647">
        <v>1304</v>
      </c>
      <c r="L4647" t="s">
        <v>23</v>
      </c>
      <c r="M4647" t="s">
        <v>11782</v>
      </c>
      <c r="N4647" t="s">
        <v>11381</v>
      </c>
      <c r="O4647" t="s">
        <v>187</v>
      </c>
      <c r="P4647">
        <v>55423</v>
      </c>
      <c r="Q4647">
        <v>1304</v>
      </c>
      <c r="R4647" t="s">
        <v>23</v>
      </c>
      <c r="S4647" s="1" t="s">
        <v>34218</v>
      </c>
    </row>
    <row r="4648" spans="1:19" x14ac:dyDescent="0.25">
      <c r="A4648">
        <v>101205155</v>
      </c>
      <c r="B4648" t="s">
        <v>11783</v>
      </c>
      <c r="C4648" t="s">
        <v>403</v>
      </c>
      <c r="F4648" t="str">
        <f>"5072505924"</f>
        <v>5072505924</v>
      </c>
      <c r="G4648" t="s">
        <v>11784</v>
      </c>
      <c r="H4648" t="s">
        <v>688</v>
      </c>
      <c r="I4648" t="s">
        <v>187</v>
      </c>
      <c r="J4648">
        <v>55902</v>
      </c>
      <c r="K4648">
        <v>2307</v>
      </c>
      <c r="L4648" t="s">
        <v>23</v>
      </c>
      <c r="M4648" t="s">
        <v>11784</v>
      </c>
      <c r="N4648" t="s">
        <v>688</v>
      </c>
      <c r="O4648" t="s">
        <v>187</v>
      </c>
      <c r="P4648">
        <v>55902</v>
      </c>
      <c r="Q4648">
        <v>2307</v>
      </c>
      <c r="R4648" t="s">
        <v>23</v>
      </c>
      <c r="S4648" s="1" t="s">
        <v>34218</v>
      </c>
    </row>
    <row r="4649" spans="1:19" x14ac:dyDescent="0.25">
      <c r="A4649">
        <v>101406312</v>
      </c>
      <c r="B4649" t="s">
        <v>11785</v>
      </c>
      <c r="C4649" t="s">
        <v>621</v>
      </c>
      <c r="F4649" t="str">
        <f>"4127816978"</f>
        <v>4127816978</v>
      </c>
      <c r="G4649" t="s">
        <v>11786</v>
      </c>
      <c r="H4649" t="s">
        <v>11787</v>
      </c>
      <c r="I4649" t="s">
        <v>33</v>
      </c>
      <c r="J4649">
        <v>15215</v>
      </c>
      <c r="K4649">
        <v>1608</v>
      </c>
      <c r="L4649" t="s">
        <v>23</v>
      </c>
      <c r="M4649" t="s">
        <v>11786</v>
      </c>
      <c r="N4649" t="s">
        <v>11787</v>
      </c>
      <c r="O4649" t="s">
        <v>33</v>
      </c>
      <c r="P4649">
        <v>15215</v>
      </c>
      <c r="Q4649">
        <v>1608</v>
      </c>
      <c r="R4649" t="s">
        <v>23</v>
      </c>
      <c r="S4649" s="1" t="s">
        <v>34218</v>
      </c>
    </row>
    <row r="4650" spans="1:19" x14ac:dyDescent="0.25">
      <c r="A4650">
        <v>100757255</v>
      </c>
      <c r="B4650" t="s">
        <v>11788</v>
      </c>
      <c r="C4650" t="s">
        <v>3714</v>
      </c>
      <c r="F4650" t="str">
        <f>"6129867809"</f>
        <v>6129867809</v>
      </c>
      <c r="G4650" t="s">
        <v>11789</v>
      </c>
      <c r="H4650" t="s">
        <v>1405</v>
      </c>
      <c r="I4650" t="s">
        <v>187</v>
      </c>
      <c r="J4650">
        <v>55118</v>
      </c>
      <c r="K4650">
        <v>4089</v>
      </c>
      <c r="L4650" t="s">
        <v>23</v>
      </c>
      <c r="M4650" t="s">
        <v>11789</v>
      </c>
      <c r="N4650" t="s">
        <v>1405</v>
      </c>
      <c r="O4650" t="s">
        <v>187</v>
      </c>
      <c r="P4650">
        <v>55118</v>
      </c>
      <c r="Q4650">
        <v>4089</v>
      </c>
      <c r="R4650" t="s">
        <v>23</v>
      </c>
      <c r="S4650" s="1" t="s">
        <v>34218</v>
      </c>
    </row>
    <row r="4651" spans="1:19" x14ac:dyDescent="0.25">
      <c r="A4651">
        <v>100923829</v>
      </c>
      <c r="B4651" t="s">
        <v>11790</v>
      </c>
      <c r="C4651" t="s">
        <v>11791</v>
      </c>
      <c r="F4651" t="str">
        <f>"8478642645"</f>
        <v>8478642645</v>
      </c>
      <c r="G4651" t="s">
        <v>11792</v>
      </c>
      <c r="H4651" t="s">
        <v>1754</v>
      </c>
      <c r="I4651" t="s">
        <v>135</v>
      </c>
      <c r="J4651">
        <v>60202</v>
      </c>
      <c r="K4651">
        <v>1110</v>
      </c>
      <c r="L4651" t="s">
        <v>23</v>
      </c>
      <c r="M4651" t="s">
        <v>11792</v>
      </c>
      <c r="N4651" t="s">
        <v>1754</v>
      </c>
      <c r="O4651" t="s">
        <v>135</v>
      </c>
      <c r="P4651">
        <v>60202</v>
      </c>
      <c r="Q4651">
        <v>1110</v>
      </c>
      <c r="R4651" t="s">
        <v>23</v>
      </c>
      <c r="S4651" s="1" t="s">
        <v>34218</v>
      </c>
    </row>
    <row r="4652" spans="1:19" x14ac:dyDescent="0.25">
      <c r="A4652">
        <v>101225663</v>
      </c>
      <c r="B4652" t="s">
        <v>1429</v>
      </c>
      <c r="C4652" t="s">
        <v>217</v>
      </c>
      <c r="F4652" t="str">
        <f>"5417654596"</f>
        <v>5417654596</v>
      </c>
      <c r="G4652" t="s">
        <v>11793</v>
      </c>
      <c r="H4652" t="s">
        <v>11794</v>
      </c>
      <c r="I4652" t="s">
        <v>43</v>
      </c>
      <c r="J4652">
        <v>97341</v>
      </c>
      <c r="K4652">
        <v>9674</v>
      </c>
      <c r="L4652" t="s">
        <v>23</v>
      </c>
      <c r="M4652" t="s">
        <v>11793</v>
      </c>
      <c r="N4652" t="s">
        <v>11794</v>
      </c>
      <c r="O4652" t="s">
        <v>43</v>
      </c>
      <c r="P4652">
        <v>97341</v>
      </c>
      <c r="Q4652">
        <v>9674</v>
      </c>
      <c r="R4652" t="s">
        <v>23</v>
      </c>
      <c r="S4652" s="1" t="s">
        <v>34218</v>
      </c>
    </row>
    <row r="4653" spans="1:19" x14ac:dyDescent="0.25">
      <c r="A4653">
        <v>101219854</v>
      </c>
      <c r="B4653" t="s">
        <v>29</v>
      </c>
      <c r="C4653" t="s">
        <v>3843</v>
      </c>
      <c r="F4653" t="str">
        <f>"2134848282"</f>
        <v>2134848282</v>
      </c>
      <c r="G4653" t="s">
        <v>11795</v>
      </c>
      <c r="H4653" t="s">
        <v>299</v>
      </c>
      <c r="I4653" t="s">
        <v>22</v>
      </c>
      <c r="J4653">
        <v>90026</v>
      </c>
      <c r="K4653">
        <v>1425</v>
      </c>
      <c r="L4653" t="s">
        <v>23</v>
      </c>
      <c r="M4653" t="s">
        <v>11795</v>
      </c>
      <c r="N4653" t="s">
        <v>299</v>
      </c>
      <c r="O4653" t="s">
        <v>22</v>
      </c>
      <c r="P4653">
        <v>90026</v>
      </c>
      <c r="Q4653">
        <v>1425</v>
      </c>
      <c r="R4653" t="s">
        <v>23</v>
      </c>
      <c r="S4653" s="1" t="s">
        <v>34218</v>
      </c>
    </row>
    <row r="4654" spans="1:19" x14ac:dyDescent="0.25">
      <c r="A4654">
        <v>101230410</v>
      </c>
      <c r="B4654" t="s">
        <v>5180</v>
      </c>
      <c r="C4654" t="s">
        <v>838</v>
      </c>
      <c r="F4654" t="str">
        <f>"7085791379"</f>
        <v>7085791379</v>
      </c>
      <c r="G4654" t="s">
        <v>11796</v>
      </c>
      <c r="H4654" t="s">
        <v>1937</v>
      </c>
      <c r="I4654" t="s">
        <v>135</v>
      </c>
      <c r="J4654">
        <v>60525</v>
      </c>
      <c r="K4654">
        <v>2802</v>
      </c>
      <c r="L4654" t="s">
        <v>23</v>
      </c>
      <c r="M4654" t="s">
        <v>11796</v>
      </c>
      <c r="N4654" t="s">
        <v>1937</v>
      </c>
      <c r="O4654" t="s">
        <v>135</v>
      </c>
      <c r="P4654">
        <v>60525</v>
      </c>
      <c r="Q4654">
        <v>2802</v>
      </c>
      <c r="R4654" t="s">
        <v>23</v>
      </c>
      <c r="S4654" s="1" t="s">
        <v>34218</v>
      </c>
    </row>
    <row r="4655" spans="1:19" x14ac:dyDescent="0.25">
      <c r="A4655">
        <v>101257121</v>
      </c>
      <c r="B4655" t="s">
        <v>744</v>
      </c>
      <c r="C4655" t="s">
        <v>2776</v>
      </c>
      <c r="F4655" t="str">
        <f>"3219521407"</f>
        <v>3219521407</v>
      </c>
      <c r="G4655" t="s">
        <v>11797</v>
      </c>
      <c r="H4655" t="s">
        <v>2396</v>
      </c>
      <c r="I4655" t="s">
        <v>52</v>
      </c>
      <c r="J4655">
        <v>32905</v>
      </c>
      <c r="K4655">
        <v>5807</v>
      </c>
      <c r="L4655" t="s">
        <v>23</v>
      </c>
      <c r="M4655" t="s">
        <v>11797</v>
      </c>
      <c r="N4655" t="s">
        <v>2396</v>
      </c>
      <c r="O4655" t="s">
        <v>52</v>
      </c>
      <c r="P4655">
        <v>32905</v>
      </c>
      <c r="Q4655">
        <v>5807</v>
      </c>
      <c r="R4655" t="s">
        <v>23</v>
      </c>
      <c r="S4655" s="1" t="s">
        <v>34218</v>
      </c>
    </row>
    <row r="4656" spans="1:19" x14ac:dyDescent="0.25">
      <c r="A4656">
        <v>101251315</v>
      </c>
      <c r="B4656" t="s">
        <v>11798</v>
      </c>
      <c r="C4656" t="s">
        <v>440</v>
      </c>
      <c r="F4656" t="str">
        <f>"5032311398"</f>
        <v>5032311398</v>
      </c>
      <c r="G4656" t="s">
        <v>11799</v>
      </c>
      <c r="H4656" t="s">
        <v>227</v>
      </c>
      <c r="I4656" t="s">
        <v>43</v>
      </c>
      <c r="J4656">
        <v>97202</v>
      </c>
      <c r="K4656">
        <v>2023</v>
      </c>
      <c r="L4656" t="s">
        <v>23</v>
      </c>
      <c r="M4656" t="s">
        <v>11799</v>
      </c>
      <c r="N4656" t="s">
        <v>227</v>
      </c>
      <c r="O4656" t="s">
        <v>43</v>
      </c>
      <c r="P4656">
        <v>97202</v>
      </c>
      <c r="Q4656">
        <v>2023</v>
      </c>
      <c r="R4656" t="s">
        <v>23</v>
      </c>
      <c r="S4656" s="1" t="s">
        <v>34218</v>
      </c>
    </row>
    <row r="4657" spans="1:19" x14ac:dyDescent="0.25">
      <c r="A4657">
        <v>101117377</v>
      </c>
      <c r="B4657" t="s">
        <v>10485</v>
      </c>
      <c r="C4657" t="s">
        <v>7610</v>
      </c>
      <c r="F4657" t="str">
        <f>"3122132926"</f>
        <v>3122132926</v>
      </c>
      <c r="G4657" t="s">
        <v>11800</v>
      </c>
      <c r="H4657" t="s">
        <v>2820</v>
      </c>
      <c r="I4657" t="s">
        <v>365</v>
      </c>
      <c r="J4657">
        <v>85737</v>
      </c>
      <c r="K4657">
        <v>3451</v>
      </c>
      <c r="L4657" t="s">
        <v>23</v>
      </c>
      <c r="M4657" t="s">
        <v>11800</v>
      </c>
      <c r="N4657" t="s">
        <v>2820</v>
      </c>
      <c r="O4657" t="s">
        <v>365</v>
      </c>
      <c r="P4657">
        <v>85737</v>
      </c>
      <c r="Q4657">
        <v>3451</v>
      </c>
      <c r="R4657" t="s">
        <v>23</v>
      </c>
      <c r="S4657" s="1" t="s">
        <v>34218</v>
      </c>
    </row>
    <row r="4658" spans="1:19" x14ac:dyDescent="0.25">
      <c r="A4658">
        <v>101178432</v>
      </c>
      <c r="B4658" t="s">
        <v>11801</v>
      </c>
      <c r="C4658" t="s">
        <v>1309</v>
      </c>
      <c r="F4658" t="str">
        <f>"2488524789"</f>
        <v>2488524789</v>
      </c>
      <c r="G4658" t="s">
        <v>11802</v>
      </c>
      <c r="H4658" t="s">
        <v>7459</v>
      </c>
      <c r="I4658" t="s">
        <v>140</v>
      </c>
      <c r="J4658">
        <v>48309</v>
      </c>
      <c r="K4658">
        <v>3950</v>
      </c>
      <c r="L4658" t="s">
        <v>23</v>
      </c>
      <c r="M4658" t="s">
        <v>11802</v>
      </c>
      <c r="N4658" t="s">
        <v>7459</v>
      </c>
      <c r="O4658" t="s">
        <v>140</v>
      </c>
      <c r="P4658">
        <v>48309</v>
      </c>
      <c r="Q4658">
        <v>3950</v>
      </c>
      <c r="R4658" t="s">
        <v>23</v>
      </c>
      <c r="S4658" s="1" t="s">
        <v>34218</v>
      </c>
    </row>
    <row r="4659" spans="1:19" x14ac:dyDescent="0.25">
      <c r="A4659">
        <v>101217923</v>
      </c>
      <c r="B4659" t="s">
        <v>11803</v>
      </c>
      <c r="C4659" t="s">
        <v>4184</v>
      </c>
      <c r="F4659" t="str">
        <f>"7082545008"</f>
        <v>7082545008</v>
      </c>
      <c r="G4659" t="s">
        <v>11804</v>
      </c>
      <c r="H4659" t="s">
        <v>11805</v>
      </c>
      <c r="I4659" t="s">
        <v>135</v>
      </c>
      <c r="J4659">
        <v>60558</v>
      </c>
      <c r="K4659">
        <v>1226</v>
      </c>
      <c r="L4659" t="s">
        <v>23</v>
      </c>
      <c r="M4659" t="s">
        <v>11804</v>
      </c>
      <c r="N4659" t="s">
        <v>11805</v>
      </c>
      <c r="O4659" t="s">
        <v>135</v>
      </c>
      <c r="P4659">
        <v>60558</v>
      </c>
      <c r="Q4659">
        <v>1226</v>
      </c>
      <c r="R4659" t="s">
        <v>23</v>
      </c>
      <c r="S4659" s="1" t="s">
        <v>34218</v>
      </c>
    </row>
    <row r="4660" spans="1:19" x14ac:dyDescent="0.25">
      <c r="A4660">
        <v>101072591</v>
      </c>
      <c r="B4660" t="s">
        <v>11806</v>
      </c>
      <c r="C4660" t="s">
        <v>9360</v>
      </c>
      <c r="F4660" t="str">
        <f>"4258273257"</f>
        <v>4258273257</v>
      </c>
      <c r="G4660" t="s">
        <v>11807</v>
      </c>
      <c r="H4660" t="s">
        <v>1019</v>
      </c>
      <c r="I4660" t="s">
        <v>84</v>
      </c>
      <c r="J4660">
        <v>98033</v>
      </c>
      <c r="L4660" t="s">
        <v>23</v>
      </c>
      <c r="M4660" t="s">
        <v>11807</v>
      </c>
      <c r="N4660" t="s">
        <v>1019</v>
      </c>
      <c r="O4660" t="s">
        <v>84</v>
      </c>
      <c r="P4660">
        <v>98033</v>
      </c>
      <c r="R4660" t="s">
        <v>23</v>
      </c>
      <c r="S4660" s="1" t="s">
        <v>34218</v>
      </c>
    </row>
    <row r="4661" spans="1:19" x14ac:dyDescent="0.25">
      <c r="A4661">
        <v>101149984</v>
      </c>
      <c r="B4661" t="s">
        <v>1415</v>
      </c>
      <c r="C4661" t="s">
        <v>1327</v>
      </c>
      <c r="F4661" t="str">
        <f>"3342971989"</f>
        <v>3342971989</v>
      </c>
      <c r="G4661" t="s">
        <v>11808</v>
      </c>
      <c r="H4661" t="s">
        <v>11809</v>
      </c>
      <c r="I4661" t="s">
        <v>1387</v>
      </c>
      <c r="J4661">
        <v>36867</v>
      </c>
      <c r="K4661">
        <v>5300</v>
      </c>
      <c r="L4661" t="s">
        <v>23</v>
      </c>
      <c r="M4661" t="s">
        <v>11808</v>
      </c>
      <c r="N4661" t="s">
        <v>11809</v>
      </c>
      <c r="O4661" t="s">
        <v>1387</v>
      </c>
      <c r="P4661">
        <v>36867</v>
      </c>
      <c r="Q4661">
        <v>5300</v>
      </c>
      <c r="R4661" t="s">
        <v>23</v>
      </c>
      <c r="S4661" s="1" t="s">
        <v>34218</v>
      </c>
    </row>
    <row r="4662" spans="1:19" x14ac:dyDescent="0.25">
      <c r="A4662">
        <v>100576653</v>
      </c>
      <c r="B4662" t="s">
        <v>11810</v>
      </c>
      <c r="C4662" t="s">
        <v>11811</v>
      </c>
      <c r="F4662" t="str">
        <f>"5033149558"</f>
        <v>5033149558</v>
      </c>
      <c r="G4662" t="s">
        <v>11812</v>
      </c>
      <c r="H4662" t="s">
        <v>11813</v>
      </c>
      <c r="I4662" t="s">
        <v>43</v>
      </c>
      <c r="J4662">
        <v>97267</v>
      </c>
      <c r="K4662">
        <v>4307</v>
      </c>
      <c r="L4662" t="s">
        <v>23</v>
      </c>
      <c r="M4662" t="s">
        <v>11812</v>
      </c>
      <c r="N4662" t="s">
        <v>11813</v>
      </c>
      <c r="O4662" t="s">
        <v>43</v>
      </c>
      <c r="P4662">
        <v>97267</v>
      </c>
      <c r="Q4662">
        <v>4307</v>
      </c>
      <c r="R4662" t="s">
        <v>23</v>
      </c>
      <c r="S4662" s="1" t="s">
        <v>34218</v>
      </c>
    </row>
    <row r="4663" spans="1:19" x14ac:dyDescent="0.25">
      <c r="A4663">
        <v>100590730</v>
      </c>
      <c r="B4663" t="s">
        <v>11814</v>
      </c>
      <c r="C4663" t="s">
        <v>403</v>
      </c>
      <c r="F4663" t="str">
        <f>"2699294755"</f>
        <v>2699294755</v>
      </c>
      <c r="G4663" t="s">
        <v>11815</v>
      </c>
      <c r="H4663" t="s">
        <v>2293</v>
      </c>
      <c r="I4663" t="s">
        <v>140</v>
      </c>
      <c r="J4663">
        <v>49058</v>
      </c>
      <c r="K4663">
        <v>9152</v>
      </c>
      <c r="L4663" t="s">
        <v>23</v>
      </c>
      <c r="M4663" t="s">
        <v>11815</v>
      </c>
      <c r="N4663" t="s">
        <v>2293</v>
      </c>
      <c r="O4663" t="s">
        <v>140</v>
      </c>
      <c r="P4663">
        <v>49058</v>
      </c>
      <c r="Q4663">
        <v>9152</v>
      </c>
      <c r="R4663" t="s">
        <v>23</v>
      </c>
      <c r="S4663" s="1" t="s">
        <v>34218</v>
      </c>
    </row>
    <row r="4664" spans="1:19" x14ac:dyDescent="0.25">
      <c r="A4664">
        <v>100589202</v>
      </c>
      <c r="B4664" t="s">
        <v>11816</v>
      </c>
      <c r="C4664" t="s">
        <v>11817</v>
      </c>
      <c r="F4664" t="str">
        <f>"2067669130"</f>
        <v>2067669130</v>
      </c>
      <c r="G4664" t="s">
        <v>11818</v>
      </c>
      <c r="H4664" t="s">
        <v>1531</v>
      </c>
      <c r="I4664" t="s">
        <v>84</v>
      </c>
      <c r="J4664">
        <v>98101</v>
      </c>
      <c r="K4664">
        <v>1909</v>
      </c>
      <c r="L4664" t="s">
        <v>23</v>
      </c>
      <c r="M4664" t="s">
        <v>11818</v>
      </c>
      <c r="N4664" t="s">
        <v>1531</v>
      </c>
      <c r="O4664" t="s">
        <v>84</v>
      </c>
      <c r="P4664">
        <v>98101</v>
      </c>
      <c r="Q4664">
        <v>1909</v>
      </c>
      <c r="R4664" t="s">
        <v>23</v>
      </c>
      <c r="S4664" s="1" t="s">
        <v>34218</v>
      </c>
    </row>
    <row r="4665" spans="1:19" x14ac:dyDescent="0.25">
      <c r="A4665">
        <v>100791002</v>
      </c>
      <c r="B4665" t="s">
        <v>4440</v>
      </c>
      <c r="C4665" t="s">
        <v>11819</v>
      </c>
      <c r="F4665" t="str">
        <f>"5302722751"</f>
        <v>5302722751</v>
      </c>
      <c r="G4665" t="s">
        <v>11820</v>
      </c>
      <c r="H4665" t="s">
        <v>2674</v>
      </c>
      <c r="I4665" t="s">
        <v>22</v>
      </c>
      <c r="J4665">
        <v>95945</v>
      </c>
      <c r="K4665">
        <v>4813</v>
      </c>
      <c r="L4665" t="s">
        <v>23</v>
      </c>
      <c r="M4665" t="s">
        <v>11820</v>
      </c>
      <c r="N4665" t="s">
        <v>2674</v>
      </c>
      <c r="O4665" t="s">
        <v>22</v>
      </c>
      <c r="P4665">
        <v>95945</v>
      </c>
      <c r="Q4665">
        <v>4813</v>
      </c>
      <c r="R4665" t="s">
        <v>23</v>
      </c>
      <c r="S4665" s="1" t="s">
        <v>34218</v>
      </c>
    </row>
    <row r="4666" spans="1:19" x14ac:dyDescent="0.25">
      <c r="A4666">
        <v>101026601</v>
      </c>
      <c r="B4666" t="s">
        <v>11821</v>
      </c>
      <c r="C4666" t="s">
        <v>1487</v>
      </c>
      <c r="F4666" t="str">
        <f>"7133162731"</f>
        <v>7133162731</v>
      </c>
      <c r="G4666" t="s">
        <v>11822</v>
      </c>
      <c r="H4666" t="s">
        <v>1402</v>
      </c>
      <c r="I4666" t="s">
        <v>38</v>
      </c>
      <c r="J4666">
        <v>77008</v>
      </c>
      <c r="K4666">
        <v>4500</v>
      </c>
      <c r="L4666" t="s">
        <v>23</v>
      </c>
      <c r="M4666" t="s">
        <v>11822</v>
      </c>
      <c r="N4666" t="s">
        <v>1402</v>
      </c>
      <c r="O4666" t="s">
        <v>38</v>
      </c>
      <c r="P4666">
        <v>77008</v>
      </c>
      <c r="Q4666">
        <v>4500</v>
      </c>
      <c r="R4666" t="s">
        <v>23</v>
      </c>
      <c r="S4666" s="1" t="s">
        <v>34218</v>
      </c>
    </row>
    <row r="4667" spans="1:19" x14ac:dyDescent="0.25">
      <c r="A4667">
        <v>101026603</v>
      </c>
      <c r="B4667" t="s">
        <v>11823</v>
      </c>
      <c r="C4667" t="s">
        <v>329</v>
      </c>
      <c r="F4667" t="str">
        <f>"4069623115"</f>
        <v>4069623115</v>
      </c>
      <c r="G4667" t="s">
        <v>11824</v>
      </c>
      <c r="H4667" t="s">
        <v>10995</v>
      </c>
      <c r="I4667" t="s">
        <v>1000</v>
      </c>
      <c r="J4667">
        <v>59041</v>
      </c>
      <c r="K4667">
        <v>9450</v>
      </c>
      <c r="L4667" t="s">
        <v>23</v>
      </c>
      <c r="M4667" t="s">
        <v>11824</v>
      </c>
      <c r="N4667" t="s">
        <v>10995</v>
      </c>
      <c r="O4667" t="s">
        <v>1000</v>
      </c>
      <c r="P4667">
        <v>59041</v>
      </c>
      <c r="Q4667">
        <v>9450</v>
      </c>
      <c r="R4667" t="s">
        <v>23</v>
      </c>
      <c r="S4667" s="1" t="s">
        <v>34218</v>
      </c>
    </row>
    <row r="4668" spans="1:19" x14ac:dyDescent="0.25">
      <c r="A4668">
        <v>100993832</v>
      </c>
      <c r="B4668" t="s">
        <v>11825</v>
      </c>
      <c r="C4668" t="s">
        <v>2411</v>
      </c>
      <c r="F4668" t="str">
        <f>"5096901804"</f>
        <v>5096901804</v>
      </c>
      <c r="G4668" t="s">
        <v>11826</v>
      </c>
      <c r="H4668" t="s">
        <v>11827</v>
      </c>
      <c r="I4668" t="s">
        <v>84</v>
      </c>
      <c r="J4668">
        <v>99114</v>
      </c>
      <c r="K4668">
        <v>9209</v>
      </c>
      <c r="L4668" t="s">
        <v>23</v>
      </c>
      <c r="M4668" t="s">
        <v>11826</v>
      </c>
      <c r="N4668" t="s">
        <v>11827</v>
      </c>
      <c r="O4668" t="s">
        <v>84</v>
      </c>
      <c r="P4668">
        <v>99114</v>
      </c>
      <c r="Q4668">
        <v>9209</v>
      </c>
      <c r="R4668" t="s">
        <v>23</v>
      </c>
      <c r="S4668" s="1" t="s">
        <v>34218</v>
      </c>
    </row>
    <row r="4669" spans="1:19" x14ac:dyDescent="0.25">
      <c r="A4669">
        <v>101272532</v>
      </c>
      <c r="B4669" t="s">
        <v>10104</v>
      </c>
      <c r="C4669" t="s">
        <v>11828</v>
      </c>
      <c r="F4669" t="str">
        <f>"7733681017"</f>
        <v>7733681017</v>
      </c>
      <c r="G4669" t="s">
        <v>11829</v>
      </c>
      <c r="H4669" t="s">
        <v>134</v>
      </c>
      <c r="I4669" t="s">
        <v>135</v>
      </c>
      <c r="J4669">
        <v>60647</v>
      </c>
      <c r="K4669">
        <v>4102</v>
      </c>
      <c r="L4669" t="s">
        <v>23</v>
      </c>
      <c r="M4669" t="s">
        <v>11829</v>
      </c>
      <c r="N4669" t="s">
        <v>134</v>
      </c>
      <c r="O4669" t="s">
        <v>135</v>
      </c>
      <c r="P4669">
        <v>60647</v>
      </c>
      <c r="Q4669">
        <v>4102</v>
      </c>
      <c r="R4669" t="s">
        <v>23</v>
      </c>
      <c r="S4669" s="1" t="s">
        <v>34218</v>
      </c>
    </row>
    <row r="4670" spans="1:19" x14ac:dyDescent="0.25">
      <c r="A4670">
        <v>100978267</v>
      </c>
      <c r="B4670" t="s">
        <v>11830</v>
      </c>
      <c r="C4670" t="s">
        <v>1467</v>
      </c>
      <c r="F4670" t="str">
        <f>"2488915285"</f>
        <v>2488915285</v>
      </c>
      <c r="G4670" t="s">
        <v>11831</v>
      </c>
      <c r="H4670" t="s">
        <v>11832</v>
      </c>
      <c r="I4670" t="s">
        <v>446</v>
      </c>
      <c r="J4670">
        <v>27012</v>
      </c>
      <c r="K4670">
        <v>8241</v>
      </c>
      <c r="L4670" t="s">
        <v>23</v>
      </c>
      <c r="M4670" t="s">
        <v>11831</v>
      </c>
      <c r="N4670" t="s">
        <v>11832</v>
      </c>
      <c r="O4670" t="s">
        <v>446</v>
      </c>
      <c r="P4670">
        <v>27012</v>
      </c>
      <c r="Q4670">
        <v>8241</v>
      </c>
      <c r="R4670" t="s">
        <v>23</v>
      </c>
      <c r="S4670" s="1" t="s">
        <v>34218</v>
      </c>
    </row>
    <row r="4671" spans="1:19" x14ac:dyDescent="0.25">
      <c r="A4671">
        <v>101175750</v>
      </c>
      <c r="B4671" t="s">
        <v>11833</v>
      </c>
      <c r="C4671" t="s">
        <v>11834</v>
      </c>
      <c r="F4671" t="str">
        <f>"7145354035"</f>
        <v>7145354035</v>
      </c>
      <c r="G4671" t="s">
        <v>11835</v>
      </c>
      <c r="H4671" t="s">
        <v>8220</v>
      </c>
      <c r="I4671" t="s">
        <v>22</v>
      </c>
      <c r="J4671">
        <v>92801</v>
      </c>
      <c r="K4671">
        <v>1904</v>
      </c>
      <c r="L4671" t="s">
        <v>23</v>
      </c>
      <c r="M4671" t="s">
        <v>11835</v>
      </c>
      <c r="N4671" t="s">
        <v>8220</v>
      </c>
      <c r="O4671" t="s">
        <v>22</v>
      </c>
      <c r="P4671">
        <v>92801</v>
      </c>
      <c r="Q4671">
        <v>1904</v>
      </c>
      <c r="R4671" t="s">
        <v>23</v>
      </c>
      <c r="S4671" s="1" t="s">
        <v>34218</v>
      </c>
    </row>
    <row r="4672" spans="1:19" x14ac:dyDescent="0.25">
      <c r="A4672">
        <v>101192136</v>
      </c>
      <c r="B4672" t="s">
        <v>11836</v>
      </c>
      <c r="C4672" t="s">
        <v>535</v>
      </c>
      <c r="F4672" t="str">
        <f>"4089973159"</f>
        <v>4089973159</v>
      </c>
      <c r="G4672" t="s">
        <v>11837</v>
      </c>
      <c r="H4672" t="s">
        <v>481</v>
      </c>
      <c r="I4672" t="s">
        <v>22</v>
      </c>
      <c r="J4672">
        <v>95120</v>
      </c>
      <c r="K4672">
        <v>4307</v>
      </c>
      <c r="L4672" t="s">
        <v>23</v>
      </c>
      <c r="M4672" t="s">
        <v>11837</v>
      </c>
      <c r="N4672" t="s">
        <v>481</v>
      </c>
      <c r="O4672" t="s">
        <v>22</v>
      </c>
      <c r="P4672">
        <v>95120</v>
      </c>
      <c r="Q4672">
        <v>4307</v>
      </c>
      <c r="R4672" t="s">
        <v>23</v>
      </c>
      <c r="S4672" s="1" t="s">
        <v>34218</v>
      </c>
    </row>
    <row r="4673" spans="1:19" x14ac:dyDescent="0.25">
      <c r="A4673">
        <v>101357732</v>
      </c>
      <c r="B4673" t="s">
        <v>11838</v>
      </c>
      <c r="C4673" t="s">
        <v>274</v>
      </c>
      <c r="F4673" t="str">
        <f>"5184560412"</f>
        <v>5184560412</v>
      </c>
      <c r="G4673" t="s">
        <v>11839</v>
      </c>
      <c r="H4673" t="s">
        <v>1052</v>
      </c>
      <c r="I4673" t="s">
        <v>117</v>
      </c>
      <c r="J4673">
        <v>12203</v>
      </c>
      <c r="K4673">
        <v>5309</v>
      </c>
      <c r="L4673" t="s">
        <v>23</v>
      </c>
      <c r="M4673" t="s">
        <v>11839</v>
      </c>
      <c r="N4673" t="s">
        <v>1052</v>
      </c>
      <c r="O4673" t="s">
        <v>117</v>
      </c>
      <c r="P4673">
        <v>12203</v>
      </c>
      <c r="Q4673">
        <v>5309</v>
      </c>
      <c r="R4673" t="s">
        <v>23</v>
      </c>
      <c r="S4673" s="1" t="s">
        <v>34218</v>
      </c>
    </row>
    <row r="4674" spans="1:19" x14ac:dyDescent="0.25">
      <c r="A4674">
        <v>101351494</v>
      </c>
      <c r="B4674" t="s">
        <v>11840</v>
      </c>
      <c r="C4674" t="s">
        <v>1859</v>
      </c>
      <c r="F4674" t="str">
        <f>"3178810349"</f>
        <v>3178810349</v>
      </c>
      <c r="G4674" t="s">
        <v>11841</v>
      </c>
      <c r="H4674" t="s">
        <v>11842</v>
      </c>
      <c r="I4674" t="s">
        <v>57</v>
      </c>
      <c r="J4674">
        <v>46143</v>
      </c>
      <c r="K4674">
        <v>8460</v>
      </c>
      <c r="L4674" t="s">
        <v>23</v>
      </c>
      <c r="M4674" t="s">
        <v>11841</v>
      </c>
      <c r="N4674" t="s">
        <v>11842</v>
      </c>
      <c r="O4674" t="s">
        <v>57</v>
      </c>
      <c r="P4674">
        <v>46143</v>
      </c>
      <c r="Q4674">
        <v>8460</v>
      </c>
      <c r="R4674" t="s">
        <v>23</v>
      </c>
      <c r="S4674" s="1" t="s">
        <v>34218</v>
      </c>
    </row>
    <row r="4675" spans="1:19" x14ac:dyDescent="0.25">
      <c r="A4675">
        <v>101365508</v>
      </c>
      <c r="B4675" t="s">
        <v>5753</v>
      </c>
      <c r="C4675" t="s">
        <v>11843</v>
      </c>
      <c r="F4675" t="str">
        <f>"5303543839"</f>
        <v>5303543839</v>
      </c>
      <c r="G4675" t="s">
        <v>11844</v>
      </c>
      <c r="H4675" t="s">
        <v>121</v>
      </c>
      <c r="I4675" t="s">
        <v>22</v>
      </c>
      <c r="J4675">
        <v>95926</v>
      </c>
      <c r="K4675">
        <v>5132</v>
      </c>
      <c r="L4675" t="s">
        <v>23</v>
      </c>
      <c r="M4675" t="s">
        <v>11844</v>
      </c>
      <c r="N4675" t="s">
        <v>121</v>
      </c>
      <c r="O4675" t="s">
        <v>22</v>
      </c>
      <c r="P4675">
        <v>95926</v>
      </c>
      <c r="Q4675">
        <v>5132</v>
      </c>
      <c r="R4675" t="s">
        <v>23</v>
      </c>
      <c r="S4675" s="1" t="s">
        <v>34218</v>
      </c>
    </row>
    <row r="4676" spans="1:19" x14ac:dyDescent="0.25">
      <c r="A4676">
        <v>101300264</v>
      </c>
      <c r="B4676" t="s">
        <v>11845</v>
      </c>
      <c r="C4676" t="s">
        <v>2151</v>
      </c>
      <c r="F4676" t="str">
        <f>"3109700172"</f>
        <v>3109700172</v>
      </c>
      <c r="G4676" t="s">
        <v>11846</v>
      </c>
      <c r="H4676" t="s">
        <v>11847</v>
      </c>
      <c r="I4676" t="s">
        <v>22</v>
      </c>
      <c r="J4676">
        <v>90250</v>
      </c>
      <c r="K4676">
        <v>7384</v>
      </c>
      <c r="L4676" t="s">
        <v>23</v>
      </c>
      <c r="M4676" t="s">
        <v>11846</v>
      </c>
      <c r="N4676" t="s">
        <v>11847</v>
      </c>
      <c r="O4676" t="s">
        <v>22</v>
      </c>
      <c r="P4676">
        <v>90250</v>
      </c>
      <c r="Q4676">
        <v>7384</v>
      </c>
      <c r="R4676" t="s">
        <v>23</v>
      </c>
      <c r="S4676" s="1" t="s">
        <v>34218</v>
      </c>
    </row>
    <row r="4677" spans="1:19" x14ac:dyDescent="0.25">
      <c r="A4677">
        <v>101299250</v>
      </c>
      <c r="B4677" t="s">
        <v>11848</v>
      </c>
      <c r="C4677" t="s">
        <v>286</v>
      </c>
      <c r="F4677" t="str">
        <f>"7754253176"</f>
        <v>7754253176</v>
      </c>
      <c r="G4677" t="s">
        <v>11849</v>
      </c>
      <c r="H4677" t="s">
        <v>1626</v>
      </c>
      <c r="I4677" t="s">
        <v>702</v>
      </c>
      <c r="J4677">
        <v>89441</v>
      </c>
      <c r="K4677">
        <v>9298</v>
      </c>
      <c r="L4677" t="s">
        <v>23</v>
      </c>
      <c r="M4677" t="s">
        <v>11849</v>
      </c>
      <c r="N4677" t="s">
        <v>1626</v>
      </c>
      <c r="O4677" t="s">
        <v>702</v>
      </c>
      <c r="P4677">
        <v>89441</v>
      </c>
      <c r="Q4677">
        <v>9298</v>
      </c>
      <c r="R4677" t="s">
        <v>23</v>
      </c>
      <c r="S4677" s="1" t="s">
        <v>34218</v>
      </c>
    </row>
    <row r="4678" spans="1:19" x14ac:dyDescent="0.25">
      <c r="A4678">
        <v>101301021</v>
      </c>
      <c r="B4678" t="s">
        <v>1449</v>
      </c>
      <c r="C4678" t="s">
        <v>11850</v>
      </c>
      <c r="F4678" t="str">
        <f>"2032541175"</f>
        <v>2032541175</v>
      </c>
      <c r="G4678" t="s">
        <v>11851</v>
      </c>
      <c r="H4678" t="s">
        <v>3680</v>
      </c>
      <c r="I4678" t="s">
        <v>161</v>
      </c>
      <c r="J4678">
        <v>6825</v>
      </c>
      <c r="K4678">
        <v>2543</v>
      </c>
      <c r="L4678" t="s">
        <v>23</v>
      </c>
      <c r="M4678" t="s">
        <v>11851</v>
      </c>
      <c r="N4678" t="s">
        <v>3680</v>
      </c>
      <c r="O4678" t="s">
        <v>161</v>
      </c>
      <c r="P4678">
        <v>6825</v>
      </c>
      <c r="Q4678">
        <v>2543</v>
      </c>
      <c r="R4678" t="s">
        <v>23</v>
      </c>
      <c r="S4678" s="1" t="s">
        <v>34218</v>
      </c>
    </row>
    <row r="4679" spans="1:19" x14ac:dyDescent="0.25">
      <c r="A4679">
        <v>101298653</v>
      </c>
      <c r="B4679" t="s">
        <v>11852</v>
      </c>
      <c r="C4679" t="s">
        <v>11853</v>
      </c>
      <c r="F4679" t="str">
        <f>"8179138003"</f>
        <v>8179138003</v>
      </c>
      <c r="G4679" t="s">
        <v>11854</v>
      </c>
      <c r="H4679" t="s">
        <v>2769</v>
      </c>
      <c r="I4679" t="s">
        <v>52</v>
      </c>
      <c r="J4679">
        <v>34105</v>
      </c>
      <c r="K4679">
        <v>2280</v>
      </c>
      <c r="L4679" t="s">
        <v>23</v>
      </c>
      <c r="M4679" t="s">
        <v>11854</v>
      </c>
      <c r="N4679" t="s">
        <v>2769</v>
      </c>
      <c r="O4679" t="s">
        <v>52</v>
      </c>
      <c r="P4679">
        <v>34105</v>
      </c>
      <c r="Q4679">
        <v>2280</v>
      </c>
      <c r="R4679" t="s">
        <v>23</v>
      </c>
      <c r="S4679" s="1" t="s">
        <v>34218</v>
      </c>
    </row>
    <row r="4680" spans="1:19" x14ac:dyDescent="0.25">
      <c r="A4680">
        <v>101300085</v>
      </c>
      <c r="B4680" t="s">
        <v>11855</v>
      </c>
      <c r="C4680" t="s">
        <v>2127</v>
      </c>
      <c r="F4680" t="str">
        <f>"2018686410"</f>
        <v>2018686410</v>
      </c>
      <c r="G4680" t="s">
        <v>11856</v>
      </c>
      <c r="H4680" t="s">
        <v>7744</v>
      </c>
      <c r="I4680" t="s">
        <v>250</v>
      </c>
      <c r="J4680">
        <v>7047</v>
      </c>
      <c r="K4680">
        <v>4125</v>
      </c>
      <c r="L4680" t="s">
        <v>23</v>
      </c>
      <c r="M4680" t="s">
        <v>11856</v>
      </c>
      <c r="N4680" t="s">
        <v>7744</v>
      </c>
      <c r="O4680" t="s">
        <v>250</v>
      </c>
      <c r="P4680">
        <v>7047</v>
      </c>
      <c r="Q4680">
        <v>4125</v>
      </c>
      <c r="R4680" t="s">
        <v>23</v>
      </c>
      <c r="S4680" s="1" t="s">
        <v>34218</v>
      </c>
    </row>
    <row r="4681" spans="1:19" x14ac:dyDescent="0.25">
      <c r="A4681">
        <v>101095200</v>
      </c>
      <c r="B4681" t="s">
        <v>11857</v>
      </c>
      <c r="C4681" t="s">
        <v>4969</v>
      </c>
      <c r="F4681" t="str">
        <f>"4404885088"</f>
        <v>4404885088</v>
      </c>
      <c r="G4681" t="s">
        <v>11858</v>
      </c>
      <c r="H4681" t="s">
        <v>11859</v>
      </c>
      <c r="I4681" t="s">
        <v>178</v>
      </c>
      <c r="J4681">
        <v>44040</v>
      </c>
      <c r="K4681">
        <v>9804</v>
      </c>
      <c r="L4681" t="s">
        <v>23</v>
      </c>
      <c r="M4681" t="s">
        <v>11858</v>
      </c>
      <c r="N4681" t="s">
        <v>11859</v>
      </c>
      <c r="O4681" t="s">
        <v>178</v>
      </c>
      <c r="P4681">
        <v>44040</v>
      </c>
      <c r="Q4681">
        <v>9804</v>
      </c>
      <c r="R4681" t="s">
        <v>23</v>
      </c>
      <c r="S4681" s="1" t="s">
        <v>34218</v>
      </c>
    </row>
    <row r="4682" spans="1:19" x14ac:dyDescent="0.25">
      <c r="A4682">
        <v>101142875</v>
      </c>
      <c r="B4682" t="s">
        <v>10280</v>
      </c>
      <c r="C4682" t="s">
        <v>648</v>
      </c>
      <c r="F4682" t="str">
        <f>"3029938017"</f>
        <v>3029938017</v>
      </c>
      <c r="G4682" t="s">
        <v>11860</v>
      </c>
      <c r="H4682" t="s">
        <v>2309</v>
      </c>
      <c r="I4682" t="s">
        <v>2310</v>
      </c>
      <c r="J4682">
        <v>19804</v>
      </c>
      <c r="K4682">
        <v>3505</v>
      </c>
      <c r="L4682" t="s">
        <v>23</v>
      </c>
      <c r="M4682" t="s">
        <v>11860</v>
      </c>
      <c r="N4682" t="s">
        <v>2309</v>
      </c>
      <c r="O4682" t="s">
        <v>2310</v>
      </c>
      <c r="P4682">
        <v>19804</v>
      </c>
      <c r="Q4682">
        <v>3505</v>
      </c>
      <c r="R4682" t="s">
        <v>23</v>
      </c>
      <c r="S4682" s="1" t="s">
        <v>34218</v>
      </c>
    </row>
    <row r="4683" spans="1:19" x14ac:dyDescent="0.25">
      <c r="A4683">
        <v>101229828</v>
      </c>
      <c r="B4683" t="s">
        <v>11861</v>
      </c>
      <c r="C4683" t="s">
        <v>1588</v>
      </c>
      <c r="F4683" t="str">
        <f>"9128768786"</f>
        <v>9128768786</v>
      </c>
      <c r="G4683" t="s">
        <v>11862</v>
      </c>
      <c r="H4683" t="s">
        <v>1439</v>
      </c>
      <c r="I4683" t="s">
        <v>365</v>
      </c>
      <c r="J4683">
        <v>85739</v>
      </c>
      <c r="K4683">
        <v>9528</v>
      </c>
      <c r="L4683" t="s">
        <v>23</v>
      </c>
      <c r="M4683" t="s">
        <v>11862</v>
      </c>
      <c r="N4683" t="s">
        <v>1439</v>
      </c>
      <c r="O4683" t="s">
        <v>365</v>
      </c>
      <c r="P4683">
        <v>85739</v>
      </c>
      <c r="Q4683">
        <v>9528</v>
      </c>
      <c r="R4683" t="s">
        <v>23</v>
      </c>
      <c r="S4683" s="1" t="s">
        <v>34218</v>
      </c>
    </row>
    <row r="4684" spans="1:19" x14ac:dyDescent="0.25">
      <c r="A4684">
        <v>101321913</v>
      </c>
      <c r="B4684" t="s">
        <v>11863</v>
      </c>
      <c r="C4684" t="s">
        <v>382</v>
      </c>
      <c r="F4684" t="str">
        <f>"2137004465"</f>
        <v>2137004465</v>
      </c>
      <c r="G4684" t="s">
        <v>11864</v>
      </c>
      <c r="H4684" t="s">
        <v>299</v>
      </c>
      <c r="I4684" t="s">
        <v>22</v>
      </c>
      <c r="J4684">
        <v>90046</v>
      </c>
      <c r="K4684">
        <v>3606</v>
      </c>
      <c r="L4684" t="s">
        <v>23</v>
      </c>
      <c r="M4684" t="s">
        <v>11864</v>
      </c>
      <c r="N4684" t="s">
        <v>299</v>
      </c>
      <c r="O4684" t="s">
        <v>22</v>
      </c>
      <c r="P4684">
        <v>90046</v>
      </c>
      <c r="Q4684">
        <v>3606</v>
      </c>
      <c r="R4684" t="s">
        <v>23</v>
      </c>
      <c r="S4684" s="1" t="s">
        <v>34218</v>
      </c>
    </row>
    <row r="4685" spans="1:19" x14ac:dyDescent="0.25">
      <c r="A4685">
        <v>101320703</v>
      </c>
      <c r="B4685" t="s">
        <v>10672</v>
      </c>
      <c r="C4685" t="s">
        <v>644</v>
      </c>
      <c r="F4685" t="str">
        <f>"3014724722"</f>
        <v>3014724722</v>
      </c>
      <c r="G4685" t="s">
        <v>11865</v>
      </c>
      <c r="H4685" t="s">
        <v>11866</v>
      </c>
      <c r="I4685" t="s">
        <v>148</v>
      </c>
      <c r="J4685">
        <v>20622</v>
      </c>
      <c r="K4685">
        <v>3141</v>
      </c>
      <c r="L4685" t="s">
        <v>23</v>
      </c>
      <c r="M4685" t="s">
        <v>11865</v>
      </c>
      <c r="N4685" t="s">
        <v>11866</v>
      </c>
      <c r="O4685" t="s">
        <v>148</v>
      </c>
      <c r="P4685">
        <v>20622</v>
      </c>
      <c r="Q4685">
        <v>3141</v>
      </c>
      <c r="R4685" t="s">
        <v>23</v>
      </c>
      <c r="S4685" s="1" t="s">
        <v>34218</v>
      </c>
    </row>
    <row r="4686" spans="1:19" x14ac:dyDescent="0.25">
      <c r="A4686">
        <v>101229006</v>
      </c>
      <c r="B4686" t="s">
        <v>11867</v>
      </c>
      <c r="C4686" t="s">
        <v>406</v>
      </c>
      <c r="F4686" t="str">
        <f>"6517755206"</f>
        <v>6517755206</v>
      </c>
      <c r="G4686" t="s">
        <v>11868</v>
      </c>
      <c r="H4686" t="s">
        <v>1405</v>
      </c>
      <c r="I4686" t="s">
        <v>187</v>
      </c>
      <c r="J4686">
        <v>55118</v>
      </c>
      <c r="K4686">
        <v>5008</v>
      </c>
      <c r="L4686" t="s">
        <v>23</v>
      </c>
      <c r="M4686" t="s">
        <v>11868</v>
      </c>
      <c r="N4686" t="s">
        <v>1405</v>
      </c>
      <c r="O4686" t="s">
        <v>187</v>
      </c>
      <c r="P4686">
        <v>55118</v>
      </c>
      <c r="Q4686">
        <v>5008</v>
      </c>
      <c r="R4686" t="s">
        <v>23</v>
      </c>
      <c r="S4686" s="1" t="s">
        <v>34218</v>
      </c>
    </row>
    <row r="4687" spans="1:19" x14ac:dyDescent="0.25">
      <c r="A4687">
        <v>101244126</v>
      </c>
      <c r="B4687" t="s">
        <v>11869</v>
      </c>
      <c r="C4687" t="s">
        <v>11870</v>
      </c>
      <c r="F4687" t="str">
        <f>"8082361628"</f>
        <v>8082361628</v>
      </c>
      <c r="G4687" t="s">
        <v>11871</v>
      </c>
      <c r="H4687" t="s">
        <v>7369</v>
      </c>
      <c r="I4687" t="s">
        <v>984</v>
      </c>
      <c r="J4687">
        <v>96744</v>
      </c>
      <c r="K4687">
        <v>2543</v>
      </c>
      <c r="L4687" t="s">
        <v>23</v>
      </c>
      <c r="M4687" t="s">
        <v>11871</v>
      </c>
      <c r="N4687" t="s">
        <v>7369</v>
      </c>
      <c r="O4687" t="s">
        <v>984</v>
      </c>
      <c r="P4687">
        <v>96744</v>
      </c>
      <c r="Q4687">
        <v>2543</v>
      </c>
      <c r="R4687" t="s">
        <v>23</v>
      </c>
      <c r="S4687" s="1" t="s">
        <v>34218</v>
      </c>
    </row>
    <row r="4688" spans="1:19" x14ac:dyDescent="0.25">
      <c r="A4688">
        <v>101246512</v>
      </c>
      <c r="B4688" t="s">
        <v>11872</v>
      </c>
      <c r="C4688" t="s">
        <v>547</v>
      </c>
      <c r="F4688" t="str">
        <f>"8122325259"</f>
        <v>8122325259</v>
      </c>
      <c r="G4688" t="s">
        <v>11873</v>
      </c>
      <c r="H4688" t="s">
        <v>768</v>
      </c>
      <c r="I4688" t="s">
        <v>57</v>
      </c>
      <c r="J4688">
        <v>47803</v>
      </c>
      <c r="K4688">
        <v>2374</v>
      </c>
      <c r="L4688" t="s">
        <v>23</v>
      </c>
      <c r="M4688" t="s">
        <v>11873</v>
      </c>
      <c r="N4688" t="s">
        <v>768</v>
      </c>
      <c r="O4688" t="s">
        <v>57</v>
      </c>
      <c r="P4688">
        <v>47803</v>
      </c>
      <c r="Q4688">
        <v>2374</v>
      </c>
      <c r="R4688" t="s">
        <v>23</v>
      </c>
      <c r="S4688" s="1" t="s">
        <v>34218</v>
      </c>
    </row>
    <row r="4689" spans="1:19" x14ac:dyDescent="0.25">
      <c r="A4689">
        <v>100559664</v>
      </c>
      <c r="B4689" t="s">
        <v>880</v>
      </c>
      <c r="C4689" t="s">
        <v>90</v>
      </c>
      <c r="F4689" t="str">
        <f>"9169631449"</f>
        <v>9169631449</v>
      </c>
      <c r="G4689" t="s">
        <v>11874</v>
      </c>
      <c r="H4689" t="s">
        <v>11875</v>
      </c>
      <c r="I4689" t="s">
        <v>22</v>
      </c>
      <c r="J4689" t="s">
        <v>11876</v>
      </c>
      <c r="K4689">
        <v>7206</v>
      </c>
      <c r="L4689" t="s">
        <v>23</v>
      </c>
      <c r="M4689" t="s">
        <v>11874</v>
      </c>
      <c r="N4689" t="s">
        <v>11875</v>
      </c>
      <c r="O4689" t="s">
        <v>22</v>
      </c>
      <c r="P4689" t="s">
        <v>11876</v>
      </c>
      <c r="Q4689">
        <v>7206</v>
      </c>
      <c r="R4689" t="s">
        <v>23</v>
      </c>
      <c r="S4689" s="1" t="s">
        <v>34218</v>
      </c>
    </row>
    <row r="4690" spans="1:19" x14ac:dyDescent="0.25">
      <c r="A4690">
        <v>100534600</v>
      </c>
      <c r="B4690" t="s">
        <v>1326</v>
      </c>
      <c r="C4690" t="s">
        <v>803</v>
      </c>
      <c r="F4690" t="str">
        <f>"4153593365"</f>
        <v>4153593365</v>
      </c>
      <c r="G4690" t="s">
        <v>11877</v>
      </c>
      <c r="H4690" t="s">
        <v>1766</v>
      </c>
      <c r="I4690" t="s">
        <v>22</v>
      </c>
      <c r="J4690" t="s">
        <v>11878</v>
      </c>
      <c r="K4690">
        <v>4013</v>
      </c>
      <c r="L4690" t="s">
        <v>23</v>
      </c>
      <c r="M4690" t="s">
        <v>11877</v>
      </c>
      <c r="N4690" t="s">
        <v>1766</v>
      </c>
      <c r="O4690" t="s">
        <v>22</v>
      </c>
      <c r="P4690" t="s">
        <v>11878</v>
      </c>
      <c r="Q4690">
        <v>4013</v>
      </c>
      <c r="R4690" t="s">
        <v>23</v>
      </c>
      <c r="S4690" s="1" t="s">
        <v>34218</v>
      </c>
    </row>
    <row r="4691" spans="1:19" x14ac:dyDescent="0.25">
      <c r="A4691">
        <v>101363023</v>
      </c>
      <c r="B4691" t="s">
        <v>11879</v>
      </c>
      <c r="C4691" t="s">
        <v>1873</v>
      </c>
      <c r="F4691" t="str">
        <f>"7195910236"</f>
        <v>7195910236</v>
      </c>
      <c r="G4691" t="s">
        <v>11880</v>
      </c>
      <c r="H4691" t="s">
        <v>1985</v>
      </c>
      <c r="I4691" t="s">
        <v>71</v>
      </c>
      <c r="J4691" t="s">
        <v>11881</v>
      </c>
      <c r="K4691">
        <v>3644</v>
      </c>
      <c r="L4691" t="s">
        <v>23</v>
      </c>
      <c r="M4691" t="s">
        <v>11880</v>
      </c>
      <c r="N4691" t="s">
        <v>1985</v>
      </c>
      <c r="O4691" t="s">
        <v>71</v>
      </c>
      <c r="P4691" t="s">
        <v>11881</v>
      </c>
      <c r="Q4691">
        <v>3644</v>
      </c>
      <c r="R4691" t="s">
        <v>23</v>
      </c>
      <c r="S4691" s="1" t="s">
        <v>34218</v>
      </c>
    </row>
    <row r="4692" spans="1:19" x14ac:dyDescent="0.25">
      <c r="A4692">
        <v>100987289</v>
      </c>
      <c r="B4692" t="s">
        <v>11882</v>
      </c>
      <c r="C4692" t="s">
        <v>9026</v>
      </c>
      <c r="F4692" t="str">
        <f>"5706752131"</f>
        <v>5706752131</v>
      </c>
      <c r="G4692" t="s">
        <v>11883</v>
      </c>
      <c r="H4692" t="s">
        <v>380</v>
      </c>
      <c r="I4692" t="s">
        <v>33</v>
      </c>
      <c r="J4692">
        <v>18612</v>
      </c>
      <c r="K4692">
        <v>7752</v>
      </c>
      <c r="L4692" t="s">
        <v>23</v>
      </c>
      <c r="M4692" t="s">
        <v>11883</v>
      </c>
      <c r="N4692" t="s">
        <v>380</v>
      </c>
      <c r="O4692" t="s">
        <v>33</v>
      </c>
      <c r="P4692">
        <v>18612</v>
      </c>
      <c r="Q4692">
        <v>7752</v>
      </c>
      <c r="R4692" t="s">
        <v>23</v>
      </c>
      <c r="S4692" s="1" t="s">
        <v>34218</v>
      </c>
    </row>
    <row r="4693" spans="1:19" x14ac:dyDescent="0.25">
      <c r="A4693">
        <v>101312337</v>
      </c>
      <c r="B4693" t="s">
        <v>11884</v>
      </c>
      <c r="C4693" t="s">
        <v>1218</v>
      </c>
      <c r="F4693" t="str">
        <f>"8609068088"</f>
        <v>8609068088</v>
      </c>
      <c r="G4693" t="s">
        <v>11885</v>
      </c>
      <c r="H4693" t="s">
        <v>573</v>
      </c>
      <c r="I4693" t="s">
        <v>33</v>
      </c>
      <c r="J4693">
        <v>19139</v>
      </c>
      <c r="K4693">
        <v>4232</v>
      </c>
      <c r="L4693" t="s">
        <v>23</v>
      </c>
      <c r="M4693" t="s">
        <v>11885</v>
      </c>
      <c r="N4693" t="s">
        <v>573</v>
      </c>
      <c r="O4693" t="s">
        <v>33</v>
      </c>
      <c r="P4693">
        <v>19139</v>
      </c>
      <c r="Q4693">
        <v>4232</v>
      </c>
      <c r="R4693" t="s">
        <v>23</v>
      </c>
      <c r="S4693" s="1" t="s">
        <v>34218</v>
      </c>
    </row>
    <row r="4694" spans="1:19" x14ac:dyDescent="0.25">
      <c r="A4694">
        <v>101435188</v>
      </c>
      <c r="B4694" t="s">
        <v>11886</v>
      </c>
      <c r="C4694" t="s">
        <v>1886</v>
      </c>
      <c r="F4694" t="str">
        <f>"3014908033"</f>
        <v>3014908033</v>
      </c>
      <c r="G4694" t="s">
        <v>11887</v>
      </c>
      <c r="H4694" t="s">
        <v>2056</v>
      </c>
      <c r="I4694" t="s">
        <v>148</v>
      </c>
      <c r="J4694">
        <v>20723</v>
      </c>
      <c r="K4694">
        <v>1688</v>
      </c>
      <c r="L4694" t="s">
        <v>23</v>
      </c>
      <c r="M4694" t="s">
        <v>11887</v>
      </c>
      <c r="N4694" t="s">
        <v>2056</v>
      </c>
      <c r="O4694" t="s">
        <v>148</v>
      </c>
      <c r="P4694">
        <v>20723</v>
      </c>
      <c r="Q4694">
        <v>1688</v>
      </c>
      <c r="R4694" t="s">
        <v>23</v>
      </c>
      <c r="S4694" s="1" t="s">
        <v>34218</v>
      </c>
    </row>
    <row r="4695" spans="1:19" x14ac:dyDescent="0.25">
      <c r="A4695">
        <v>100632482</v>
      </c>
      <c r="B4695" t="s">
        <v>11888</v>
      </c>
      <c r="C4695" t="s">
        <v>865</v>
      </c>
      <c r="F4695" t="str">
        <f>"7078299178"</f>
        <v>7078299178</v>
      </c>
      <c r="G4695" t="s">
        <v>11889</v>
      </c>
      <c r="H4695" t="s">
        <v>1431</v>
      </c>
      <c r="I4695" t="s">
        <v>639</v>
      </c>
      <c r="J4695">
        <v>87505</v>
      </c>
      <c r="K4695">
        <v>3342</v>
      </c>
      <c r="L4695" t="s">
        <v>23</v>
      </c>
      <c r="M4695" t="s">
        <v>11889</v>
      </c>
      <c r="N4695" t="s">
        <v>1431</v>
      </c>
      <c r="O4695" t="s">
        <v>639</v>
      </c>
      <c r="P4695">
        <v>87505</v>
      </c>
      <c r="Q4695">
        <v>3342</v>
      </c>
      <c r="R4695" t="s">
        <v>23</v>
      </c>
      <c r="S4695" s="1" t="s">
        <v>34218</v>
      </c>
    </row>
    <row r="4696" spans="1:19" x14ac:dyDescent="0.25">
      <c r="A4696">
        <v>101097841</v>
      </c>
      <c r="B4696" t="s">
        <v>208</v>
      </c>
      <c r="C4696" t="s">
        <v>286</v>
      </c>
      <c r="F4696" t="str">
        <f>"7022756173"</f>
        <v>7022756173</v>
      </c>
      <c r="G4696" t="s">
        <v>11890</v>
      </c>
      <c r="H4696" t="s">
        <v>3302</v>
      </c>
      <c r="I4696" t="s">
        <v>22</v>
      </c>
      <c r="J4696">
        <v>92543</v>
      </c>
      <c r="K4696">
        <v>2033</v>
      </c>
      <c r="L4696" t="s">
        <v>23</v>
      </c>
      <c r="M4696" t="s">
        <v>11890</v>
      </c>
      <c r="N4696" t="s">
        <v>3302</v>
      </c>
      <c r="O4696" t="s">
        <v>22</v>
      </c>
      <c r="P4696">
        <v>92543</v>
      </c>
      <c r="Q4696">
        <v>2033</v>
      </c>
      <c r="R4696" t="s">
        <v>23</v>
      </c>
      <c r="S4696" s="1" t="s">
        <v>34218</v>
      </c>
    </row>
    <row r="4697" spans="1:19" x14ac:dyDescent="0.25">
      <c r="A4697">
        <v>101173176</v>
      </c>
      <c r="B4697" t="s">
        <v>11891</v>
      </c>
      <c r="C4697" t="s">
        <v>11892</v>
      </c>
      <c r="F4697" t="str">
        <f>"8313595931"</f>
        <v>8313595931</v>
      </c>
      <c r="H4697" t="s">
        <v>1293</v>
      </c>
      <c r="I4697" t="s">
        <v>22</v>
      </c>
      <c r="J4697">
        <v>95062</v>
      </c>
      <c r="L4697" t="s">
        <v>23</v>
      </c>
      <c r="N4697" t="s">
        <v>1293</v>
      </c>
      <c r="O4697" t="s">
        <v>22</v>
      </c>
      <c r="P4697">
        <v>95062</v>
      </c>
      <c r="R4697" t="s">
        <v>23</v>
      </c>
      <c r="S4697" s="1" t="s">
        <v>34218</v>
      </c>
    </row>
    <row r="4698" spans="1:19" x14ac:dyDescent="0.25">
      <c r="A4698">
        <v>100776241</v>
      </c>
      <c r="B4698" t="s">
        <v>11893</v>
      </c>
      <c r="C4698" t="s">
        <v>4702</v>
      </c>
      <c r="F4698" t="str">
        <f>"2125822342"</f>
        <v>2125822342</v>
      </c>
      <c r="G4698" t="s">
        <v>11894</v>
      </c>
      <c r="H4698" t="s">
        <v>130</v>
      </c>
      <c r="I4698" t="s">
        <v>22</v>
      </c>
      <c r="J4698">
        <v>94121</v>
      </c>
      <c r="K4698">
        <v>2819</v>
      </c>
      <c r="L4698" t="s">
        <v>23</v>
      </c>
      <c r="M4698" t="s">
        <v>11894</v>
      </c>
      <c r="N4698" t="s">
        <v>130</v>
      </c>
      <c r="O4698" t="s">
        <v>22</v>
      </c>
      <c r="P4698">
        <v>94121</v>
      </c>
      <c r="Q4698">
        <v>2819</v>
      </c>
      <c r="R4698" t="s">
        <v>23</v>
      </c>
      <c r="S4698" s="1" t="s">
        <v>34218</v>
      </c>
    </row>
    <row r="4699" spans="1:19" x14ac:dyDescent="0.25">
      <c r="A4699">
        <v>101415129</v>
      </c>
      <c r="B4699" t="s">
        <v>4727</v>
      </c>
      <c r="C4699" t="s">
        <v>286</v>
      </c>
      <c r="F4699" t="str">
        <f>"7079284176"</f>
        <v>7079284176</v>
      </c>
      <c r="G4699" t="s">
        <v>11895</v>
      </c>
      <c r="H4699" t="s">
        <v>6222</v>
      </c>
      <c r="I4699" t="s">
        <v>22</v>
      </c>
      <c r="J4699">
        <v>95426</v>
      </c>
      <c r="L4699" t="s">
        <v>23</v>
      </c>
      <c r="M4699" t="s">
        <v>11895</v>
      </c>
      <c r="N4699" t="s">
        <v>6222</v>
      </c>
      <c r="O4699" t="s">
        <v>22</v>
      </c>
      <c r="P4699">
        <v>95426</v>
      </c>
      <c r="R4699" t="s">
        <v>23</v>
      </c>
      <c r="S4699" s="1" t="s">
        <v>34218</v>
      </c>
    </row>
    <row r="4700" spans="1:19" x14ac:dyDescent="0.25">
      <c r="A4700">
        <v>101193791</v>
      </c>
      <c r="B4700" t="s">
        <v>11896</v>
      </c>
      <c r="C4700" t="s">
        <v>8130</v>
      </c>
      <c r="F4700" t="str">
        <f>"8129999999"</f>
        <v>8129999999</v>
      </c>
      <c r="G4700" t="s">
        <v>11897</v>
      </c>
      <c r="H4700" t="s">
        <v>3686</v>
      </c>
      <c r="I4700" t="s">
        <v>57</v>
      </c>
      <c r="J4700" t="s">
        <v>11898</v>
      </c>
      <c r="K4700">
        <v>3725</v>
      </c>
      <c r="L4700" t="s">
        <v>23</v>
      </c>
      <c r="M4700" t="s">
        <v>11897</v>
      </c>
      <c r="N4700" t="s">
        <v>3686</v>
      </c>
      <c r="O4700" t="s">
        <v>57</v>
      </c>
      <c r="P4700" t="s">
        <v>11898</v>
      </c>
      <c r="Q4700">
        <v>3725</v>
      </c>
      <c r="R4700" t="s">
        <v>23</v>
      </c>
      <c r="S4700" s="1" t="s">
        <v>34218</v>
      </c>
    </row>
    <row r="4701" spans="1:19" x14ac:dyDescent="0.25">
      <c r="A4701">
        <v>101245886</v>
      </c>
      <c r="B4701" t="s">
        <v>11899</v>
      </c>
      <c r="C4701" t="s">
        <v>274</v>
      </c>
      <c r="F4701" t="str">
        <f>"7279387679"</f>
        <v>7279387679</v>
      </c>
      <c r="G4701" t="s">
        <v>11900</v>
      </c>
      <c r="H4701" t="s">
        <v>7595</v>
      </c>
      <c r="I4701" t="s">
        <v>52</v>
      </c>
      <c r="J4701">
        <v>34689</v>
      </c>
      <c r="L4701" t="s">
        <v>23</v>
      </c>
      <c r="M4701" t="s">
        <v>11900</v>
      </c>
      <c r="N4701" t="s">
        <v>7595</v>
      </c>
      <c r="O4701" t="s">
        <v>52</v>
      </c>
      <c r="P4701">
        <v>34689</v>
      </c>
      <c r="R4701" t="s">
        <v>23</v>
      </c>
      <c r="S4701" s="1" t="s">
        <v>34218</v>
      </c>
    </row>
    <row r="4702" spans="1:19" x14ac:dyDescent="0.25">
      <c r="A4702">
        <v>100694602</v>
      </c>
      <c r="B4702" t="s">
        <v>11901</v>
      </c>
      <c r="C4702" t="s">
        <v>440</v>
      </c>
      <c r="F4702" t="str">
        <f>"8082830039"</f>
        <v>8082830039</v>
      </c>
      <c r="G4702" t="s">
        <v>11902</v>
      </c>
      <c r="H4702" t="s">
        <v>10089</v>
      </c>
      <c r="I4702" t="s">
        <v>984</v>
      </c>
      <c r="J4702">
        <v>96779</v>
      </c>
      <c r="L4702" t="s">
        <v>23</v>
      </c>
      <c r="M4702" t="s">
        <v>11902</v>
      </c>
      <c r="N4702" t="s">
        <v>10089</v>
      </c>
      <c r="O4702" t="s">
        <v>984</v>
      </c>
      <c r="P4702">
        <v>96779</v>
      </c>
      <c r="R4702" t="s">
        <v>23</v>
      </c>
      <c r="S4702" s="1" t="s">
        <v>34218</v>
      </c>
    </row>
    <row r="4703" spans="1:19" x14ac:dyDescent="0.25">
      <c r="A4703">
        <v>101284974</v>
      </c>
      <c r="B4703" t="s">
        <v>11903</v>
      </c>
      <c r="C4703" t="s">
        <v>11904</v>
      </c>
      <c r="F4703" t="str">
        <f>"8484484315"</f>
        <v>8484484315</v>
      </c>
      <c r="H4703" t="s">
        <v>5876</v>
      </c>
      <c r="I4703" t="s">
        <v>52</v>
      </c>
      <c r="J4703">
        <v>48911</v>
      </c>
      <c r="L4703" t="s">
        <v>23</v>
      </c>
      <c r="N4703" t="s">
        <v>5876</v>
      </c>
      <c r="O4703" t="s">
        <v>52</v>
      </c>
      <c r="P4703">
        <v>48911</v>
      </c>
      <c r="R4703" t="s">
        <v>23</v>
      </c>
      <c r="S4703" s="1" t="s">
        <v>34218</v>
      </c>
    </row>
    <row r="4704" spans="1:19" x14ac:dyDescent="0.25">
      <c r="A4704">
        <v>100642821</v>
      </c>
      <c r="B4704" t="s">
        <v>11905</v>
      </c>
      <c r="C4704" t="s">
        <v>11906</v>
      </c>
      <c r="F4704" t="str">
        <f>"9713863514"</f>
        <v>9713863514</v>
      </c>
      <c r="G4704" t="s">
        <v>11907</v>
      </c>
      <c r="H4704" t="s">
        <v>227</v>
      </c>
      <c r="I4704" t="s">
        <v>43</v>
      </c>
      <c r="J4704" t="s">
        <v>11908</v>
      </c>
      <c r="K4704">
        <v>3464</v>
      </c>
      <c r="L4704" t="s">
        <v>23</v>
      </c>
      <c r="M4704" t="s">
        <v>11907</v>
      </c>
      <c r="N4704" t="s">
        <v>227</v>
      </c>
      <c r="O4704" t="s">
        <v>43</v>
      </c>
      <c r="P4704" t="s">
        <v>11908</v>
      </c>
      <c r="Q4704">
        <v>3464</v>
      </c>
      <c r="R4704" t="s">
        <v>23</v>
      </c>
      <c r="S4704" s="1" t="s">
        <v>34218</v>
      </c>
    </row>
    <row r="4705" spans="1:19" x14ac:dyDescent="0.25">
      <c r="A4705">
        <v>100707617</v>
      </c>
      <c r="B4705" t="s">
        <v>11909</v>
      </c>
      <c r="C4705" t="s">
        <v>1327</v>
      </c>
      <c r="F4705" t="str">
        <f>"5127367366"</f>
        <v>5127367366</v>
      </c>
      <c r="G4705" t="s">
        <v>11910</v>
      </c>
      <c r="H4705" t="s">
        <v>602</v>
      </c>
      <c r="I4705" t="s">
        <v>71</v>
      </c>
      <c r="J4705">
        <v>80234</v>
      </c>
      <c r="K4705">
        <v>4627</v>
      </c>
      <c r="L4705" t="s">
        <v>23</v>
      </c>
      <c r="M4705" t="s">
        <v>11910</v>
      </c>
      <c r="N4705" t="s">
        <v>602</v>
      </c>
      <c r="O4705" t="s">
        <v>71</v>
      </c>
      <c r="P4705">
        <v>80234</v>
      </c>
      <c r="Q4705">
        <v>4627</v>
      </c>
      <c r="R4705" t="s">
        <v>23</v>
      </c>
      <c r="S4705" s="1" t="s">
        <v>34218</v>
      </c>
    </row>
    <row r="4706" spans="1:19" x14ac:dyDescent="0.25">
      <c r="A4706">
        <v>100881383</v>
      </c>
      <c r="B4706" t="s">
        <v>11911</v>
      </c>
      <c r="C4706" t="s">
        <v>2151</v>
      </c>
      <c r="F4706" t="str">
        <f>"7076963072"</f>
        <v>7076963072</v>
      </c>
      <c r="G4706" t="s">
        <v>11912</v>
      </c>
      <c r="H4706" t="s">
        <v>380</v>
      </c>
      <c r="I4706" t="s">
        <v>43</v>
      </c>
      <c r="J4706">
        <v>97338</v>
      </c>
      <c r="K4706">
        <v>1186</v>
      </c>
      <c r="L4706" t="s">
        <v>23</v>
      </c>
      <c r="M4706" t="s">
        <v>11912</v>
      </c>
      <c r="N4706" t="s">
        <v>380</v>
      </c>
      <c r="O4706" t="s">
        <v>43</v>
      </c>
      <c r="P4706">
        <v>97338</v>
      </c>
      <c r="Q4706">
        <v>1186</v>
      </c>
      <c r="R4706" t="s">
        <v>23</v>
      </c>
      <c r="S4706" s="1" t="s">
        <v>34218</v>
      </c>
    </row>
    <row r="4707" spans="1:19" x14ac:dyDescent="0.25">
      <c r="A4707">
        <v>101086909</v>
      </c>
      <c r="B4707" t="s">
        <v>11913</v>
      </c>
      <c r="C4707" t="s">
        <v>9569</v>
      </c>
      <c r="F4707" t="str">
        <f>"3476543356"</f>
        <v>3476543356</v>
      </c>
      <c r="G4707" t="s">
        <v>11914</v>
      </c>
      <c r="H4707" t="s">
        <v>6192</v>
      </c>
      <c r="I4707" t="s">
        <v>117</v>
      </c>
      <c r="J4707">
        <v>11355</v>
      </c>
      <c r="K4707">
        <v>1541</v>
      </c>
      <c r="L4707" t="s">
        <v>23</v>
      </c>
      <c r="M4707" t="s">
        <v>11914</v>
      </c>
      <c r="N4707" t="s">
        <v>6192</v>
      </c>
      <c r="O4707" t="s">
        <v>117</v>
      </c>
      <c r="P4707">
        <v>11355</v>
      </c>
      <c r="Q4707">
        <v>1541</v>
      </c>
      <c r="R4707" t="s">
        <v>23</v>
      </c>
      <c r="S4707" s="1" t="s">
        <v>34218</v>
      </c>
    </row>
    <row r="4708" spans="1:19" x14ac:dyDescent="0.25">
      <c r="A4708">
        <v>100957013</v>
      </c>
      <c r="B4708" t="s">
        <v>11915</v>
      </c>
      <c r="C4708" t="s">
        <v>11843</v>
      </c>
      <c r="F4708" t="str">
        <f>"8154591529"</f>
        <v>8154591529</v>
      </c>
      <c r="G4708">
        <v>60012</v>
      </c>
      <c r="H4708" t="s">
        <v>2208</v>
      </c>
      <c r="I4708" t="s">
        <v>135</v>
      </c>
      <c r="J4708">
        <v>60012</v>
      </c>
      <c r="L4708" t="s">
        <v>23</v>
      </c>
      <c r="M4708">
        <v>60012</v>
      </c>
      <c r="N4708" t="s">
        <v>2208</v>
      </c>
      <c r="O4708" t="s">
        <v>135</v>
      </c>
      <c r="P4708">
        <v>60012</v>
      </c>
      <c r="R4708" t="s">
        <v>23</v>
      </c>
      <c r="S4708" s="1" t="s">
        <v>34218</v>
      </c>
    </row>
    <row r="4709" spans="1:19" x14ac:dyDescent="0.25">
      <c r="A4709">
        <v>100624808</v>
      </c>
      <c r="B4709" t="s">
        <v>11916</v>
      </c>
      <c r="C4709" t="s">
        <v>11917</v>
      </c>
      <c r="F4709" t="str">
        <f>"8169424913"</f>
        <v>8169424913</v>
      </c>
      <c r="G4709" t="s">
        <v>11918</v>
      </c>
      <c r="H4709" t="s">
        <v>10220</v>
      </c>
      <c r="I4709" t="s">
        <v>126</v>
      </c>
      <c r="J4709">
        <v>63376</v>
      </c>
      <c r="K4709">
        <v>1243</v>
      </c>
      <c r="L4709" t="s">
        <v>23</v>
      </c>
      <c r="M4709" t="s">
        <v>11918</v>
      </c>
      <c r="N4709" t="s">
        <v>10220</v>
      </c>
      <c r="O4709" t="s">
        <v>126</v>
      </c>
      <c r="P4709">
        <v>63376</v>
      </c>
      <c r="Q4709">
        <v>1243</v>
      </c>
      <c r="R4709" t="s">
        <v>23</v>
      </c>
      <c r="S4709" s="1" t="s">
        <v>34218</v>
      </c>
    </row>
    <row r="4710" spans="1:19" x14ac:dyDescent="0.25">
      <c r="A4710">
        <v>101393481</v>
      </c>
      <c r="B4710" t="s">
        <v>11919</v>
      </c>
      <c r="C4710" t="s">
        <v>11529</v>
      </c>
      <c r="F4710" t="str">
        <f>"5035047244"</f>
        <v>5035047244</v>
      </c>
      <c r="G4710" t="s">
        <v>11920</v>
      </c>
      <c r="H4710" t="s">
        <v>227</v>
      </c>
      <c r="I4710" t="s">
        <v>43</v>
      </c>
      <c r="J4710">
        <v>97267</v>
      </c>
      <c r="K4710">
        <v>2245</v>
      </c>
      <c r="L4710" t="s">
        <v>23</v>
      </c>
      <c r="M4710" t="s">
        <v>11920</v>
      </c>
      <c r="N4710" t="s">
        <v>227</v>
      </c>
      <c r="O4710" t="s">
        <v>43</v>
      </c>
      <c r="P4710">
        <v>97267</v>
      </c>
      <c r="Q4710">
        <v>2245</v>
      </c>
      <c r="R4710" t="s">
        <v>23</v>
      </c>
      <c r="S4710" s="1" t="s">
        <v>34218</v>
      </c>
    </row>
    <row r="4711" spans="1:19" x14ac:dyDescent="0.25">
      <c r="A4711">
        <v>101307623</v>
      </c>
      <c r="B4711" t="s">
        <v>11921</v>
      </c>
      <c r="C4711" t="s">
        <v>1239</v>
      </c>
      <c r="F4711" t="str">
        <f>"8187056976"</f>
        <v>8187056976</v>
      </c>
      <c r="G4711" t="s">
        <v>11922</v>
      </c>
      <c r="H4711" t="s">
        <v>5290</v>
      </c>
      <c r="I4711" t="s">
        <v>22</v>
      </c>
      <c r="J4711">
        <v>91356</v>
      </c>
      <c r="K4711">
        <v>1971</v>
      </c>
      <c r="L4711" t="s">
        <v>23</v>
      </c>
      <c r="M4711" t="s">
        <v>11922</v>
      </c>
      <c r="N4711" t="s">
        <v>5290</v>
      </c>
      <c r="O4711" t="s">
        <v>22</v>
      </c>
      <c r="P4711">
        <v>91356</v>
      </c>
      <c r="Q4711">
        <v>1971</v>
      </c>
      <c r="R4711" t="s">
        <v>23</v>
      </c>
      <c r="S4711" s="1" t="s">
        <v>34218</v>
      </c>
    </row>
    <row r="4712" spans="1:19" x14ac:dyDescent="0.25">
      <c r="A4712">
        <v>101095422</v>
      </c>
      <c r="B4712" t="s">
        <v>11923</v>
      </c>
      <c r="C4712" t="s">
        <v>102</v>
      </c>
      <c r="F4712" t="str">
        <f>"5555555555"</f>
        <v>5555555555</v>
      </c>
      <c r="G4712" t="s">
        <v>11924</v>
      </c>
      <c r="H4712" t="s">
        <v>4021</v>
      </c>
      <c r="I4712" t="s">
        <v>22</v>
      </c>
      <c r="J4712" t="s">
        <v>11925</v>
      </c>
      <c r="K4712">
        <v>3020</v>
      </c>
      <c r="L4712" t="s">
        <v>23</v>
      </c>
      <c r="M4712" t="s">
        <v>11924</v>
      </c>
      <c r="N4712" t="s">
        <v>4021</v>
      </c>
      <c r="O4712" t="s">
        <v>22</v>
      </c>
      <c r="P4712" t="s">
        <v>11925</v>
      </c>
      <c r="Q4712">
        <v>3020</v>
      </c>
      <c r="R4712" t="s">
        <v>23</v>
      </c>
      <c r="S4712" s="1" t="s">
        <v>34218</v>
      </c>
    </row>
    <row r="4713" spans="1:19" x14ac:dyDescent="0.25">
      <c r="A4713">
        <v>101370792</v>
      </c>
      <c r="B4713" t="s">
        <v>11926</v>
      </c>
      <c r="C4713" t="s">
        <v>644</v>
      </c>
      <c r="F4713" t="str">
        <f>"2603162132"</f>
        <v>2603162132</v>
      </c>
      <c r="G4713" t="s">
        <v>11927</v>
      </c>
      <c r="H4713" t="s">
        <v>3183</v>
      </c>
      <c r="I4713" t="s">
        <v>178</v>
      </c>
      <c r="J4713" t="s">
        <v>11928</v>
      </c>
      <c r="K4713">
        <v>6096</v>
      </c>
      <c r="L4713" t="s">
        <v>23</v>
      </c>
      <c r="M4713" t="s">
        <v>11927</v>
      </c>
      <c r="N4713" t="s">
        <v>3183</v>
      </c>
      <c r="O4713" t="s">
        <v>178</v>
      </c>
      <c r="P4713" t="s">
        <v>11928</v>
      </c>
      <c r="Q4713">
        <v>6096</v>
      </c>
      <c r="R4713" t="s">
        <v>23</v>
      </c>
      <c r="S4713" s="1" t="s">
        <v>34218</v>
      </c>
    </row>
    <row r="4714" spans="1:19" x14ac:dyDescent="0.25">
      <c r="A4714">
        <v>100674967</v>
      </c>
      <c r="B4714" t="s">
        <v>2125</v>
      </c>
      <c r="C4714" t="s">
        <v>2557</v>
      </c>
      <c r="F4714" t="str">
        <f>"9735092497"</f>
        <v>9735092497</v>
      </c>
      <c r="G4714" t="s">
        <v>11929</v>
      </c>
      <c r="H4714" t="s">
        <v>3840</v>
      </c>
      <c r="I4714" t="s">
        <v>33</v>
      </c>
      <c r="J4714">
        <v>18626</v>
      </c>
      <c r="L4714" t="s">
        <v>23</v>
      </c>
      <c r="M4714" t="s">
        <v>11929</v>
      </c>
      <c r="N4714" t="s">
        <v>3840</v>
      </c>
      <c r="O4714" t="s">
        <v>33</v>
      </c>
      <c r="P4714">
        <v>18626</v>
      </c>
      <c r="R4714" t="s">
        <v>23</v>
      </c>
      <c r="S4714" s="1" t="s">
        <v>34218</v>
      </c>
    </row>
    <row r="4715" spans="1:19" x14ac:dyDescent="0.25">
      <c r="A4715">
        <v>100900466</v>
      </c>
      <c r="B4715" t="s">
        <v>11930</v>
      </c>
      <c r="C4715" t="s">
        <v>1239</v>
      </c>
      <c r="F4715" t="str">
        <f>"5418621234"</f>
        <v>5418621234</v>
      </c>
      <c r="G4715" t="s">
        <v>11931</v>
      </c>
      <c r="H4715" t="s">
        <v>11932</v>
      </c>
      <c r="I4715" t="s">
        <v>43</v>
      </c>
      <c r="J4715">
        <v>97222</v>
      </c>
      <c r="K4715">
        <v>3440</v>
      </c>
      <c r="L4715" t="s">
        <v>23</v>
      </c>
      <c r="M4715" t="s">
        <v>11931</v>
      </c>
      <c r="N4715" t="s">
        <v>11932</v>
      </c>
      <c r="O4715" t="s">
        <v>43</v>
      </c>
      <c r="P4715">
        <v>97222</v>
      </c>
      <c r="Q4715">
        <v>3440</v>
      </c>
      <c r="R4715" t="s">
        <v>23</v>
      </c>
      <c r="S4715" s="1" t="s">
        <v>34218</v>
      </c>
    </row>
    <row r="4716" spans="1:19" x14ac:dyDescent="0.25">
      <c r="A4716">
        <v>100968535</v>
      </c>
      <c r="B4716" t="s">
        <v>11933</v>
      </c>
      <c r="C4716" t="s">
        <v>11934</v>
      </c>
      <c r="F4716" t="str">
        <f>"6464131889"</f>
        <v>6464131889</v>
      </c>
      <c r="G4716" t="s">
        <v>11935</v>
      </c>
      <c r="H4716" t="s">
        <v>1105</v>
      </c>
      <c r="I4716" t="s">
        <v>117</v>
      </c>
      <c r="J4716">
        <v>10454</v>
      </c>
      <c r="K4716">
        <v>1106</v>
      </c>
      <c r="L4716" t="s">
        <v>23</v>
      </c>
      <c r="M4716" t="s">
        <v>11935</v>
      </c>
      <c r="N4716" t="s">
        <v>1105</v>
      </c>
      <c r="O4716" t="s">
        <v>117</v>
      </c>
      <c r="P4716">
        <v>10454</v>
      </c>
      <c r="Q4716">
        <v>1106</v>
      </c>
      <c r="R4716" t="s">
        <v>23</v>
      </c>
      <c r="S4716" s="1" t="s">
        <v>34218</v>
      </c>
    </row>
    <row r="4717" spans="1:19" x14ac:dyDescent="0.25">
      <c r="A4717">
        <v>101251099</v>
      </c>
      <c r="B4717" t="s">
        <v>11936</v>
      </c>
      <c r="C4717" t="s">
        <v>535</v>
      </c>
      <c r="F4717" t="str">
        <f>"9712184572"</f>
        <v>9712184572</v>
      </c>
      <c r="G4717" t="s">
        <v>11937</v>
      </c>
      <c r="H4717" t="s">
        <v>2378</v>
      </c>
      <c r="I4717" t="s">
        <v>43</v>
      </c>
      <c r="J4717" t="s">
        <v>11938</v>
      </c>
      <c r="K4717">
        <v>9800</v>
      </c>
      <c r="L4717" t="s">
        <v>23</v>
      </c>
      <c r="M4717" t="s">
        <v>11937</v>
      </c>
      <c r="N4717" t="s">
        <v>2378</v>
      </c>
      <c r="O4717" t="s">
        <v>43</v>
      </c>
      <c r="P4717" t="s">
        <v>11938</v>
      </c>
      <c r="Q4717">
        <v>9800</v>
      </c>
      <c r="R4717" t="s">
        <v>23</v>
      </c>
      <c r="S4717" s="1" t="s">
        <v>34218</v>
      </c>
    </row>
    <row r="4718" spans="1:19" x14ac:dyDescent="0.25">
      <c r="A4718">
        <v>100900395</v>
      </c>
      <c r="B4718" t="s">
        <v>11939</v>
      </c>
      <c r="C4718" t="s">
        <v>172</v>
      </c>
      <c r="F4718" t="str">
        <f>"7273192099"</f>
        <v>7273192099</v>
      </c>
      <c r="G4718" t="s">
        <v>11940</v>
      </c>
      <c r="H4718" t="s">
        <v>11941</v>
      </c>
      <c r="I4718" t="s">
        <v>250</v>
      </c>
      <c r="J4718" t="s">
        <v>11942</v>
      </c>
      <c r="K4718">
        <v>2435</v>
      </c>
      <c r="L4718" t="s">
        <v>23</v>
      </c>
      <c r="M4718" t="s">
        <v>11940</v>
      </c>
      <c r="N4718" t="s">
        <v>11941</v>
      </c>
      <c r="O4718" t="s">
        <v>250</v>
      </c>
      <c r="P4718" t="s">
        <v>11942</v>
      </c>
      <c r="Q4718">
        <v>2435</v>
      </c>
      <c r="R4718" t="s">
        <v>23</v>
      </c>
      <c r="S4718" s="1" t="s">
        <v>34218</v>
      </c>
    </row>
    <row r="4719" spans="1:19" x14ac:dyDescent="0.25">
      <c r="A4719">
        <v>100611953</v>
      </c>
      <c r="B4719" t="s">
        <v>4475</v>
      </c>
      <c r="C4719" t="s">
        <v>1107</v>
      </c>
      <c r="F4719" t="str">
        <f>"4123667024"</f>
        <v>4123667024</v>
      </c>
      <c r="G4719" t="s">
        <v>11943</v>
      </c>
      <c r="H4719" t="s">
        <v>3363</v>
      </c>
      <c r="I4719" t="s">
        <v>33</v>
      </c>
      <c r="J4719" t="s">
        <v>11944</v>
      </c>
      <c r="K4719">
        <v>1033</v>
      </c>
      <c r="L4719" t="s">
        <v>23</v>
      </c>
      <c r="M4719" t="s">
        <v>11943</v>
      </c>
      <c r="N4719" t="s">
        <v>3363</v>
      </c>
      <c r="O4719" t="s">
        <v>33</v>
      </c>
      <c r="P4719" t="s">
        <v>11944</v>
      </c>
      <c r="Q4719">
        <v>1033</v>
      </c>
      <c r="R4719" t="s">
        <v>23</v>
      </c>
      <c r="S4719" s="1" t="s">
        <v>34218</v>
      </c>
    </row>
    <row r="4720" spans="1:19" x14ac:dyDescent="0.25">
      <c r="A4720">
        <v>101131719</v>
      </c>
      <c r="B4720" t="s">
        <v>11945</v>
      </c>
      <c r="C4720" t="s">
        <v>274</v>
      </c>
      <c r="F4720" t="str">
        <f>"3604591087"</f>
        <v>3604591087</v>
      </c>
      <c r="G4720" t="s">
        <v>11946</v>
      </c>
      <c r="H4720" t="s">
        <v>1765</v>
      </c>
      <c r="I4720" t="s">
        <v>84</v>
      </c>
      <c r="J4720" t="s">
        <v>11947</v>
      </c>
      <c r="K4720">
        <v>1061</v>
      </c>
      <c r="L4720" t="s">
        <v>23</v>
      </c>
      <c r="M4720" t="s">
        <v>11946</v>
      </c>
      <c r="N4720" t="s">
        <v>1765</v>
      </c>
      <c r="O4720" t="s">
        <v>84</v>
      </c>
      <c r="P4720" t="s">
        <v>11947</v>
      </c>
      <c r="Q4720">
        <v>1061</v>
      </c>
      <c r="R4720" t="s">
        <v>23</v>
      </c>
      <c r="S4720" s="1" t="s">
        <v>34218</v>
      </c>
    </row>
    <row r="4721" spans="1:19" x14ac:dyDescent="0.25">
      <c r="A4721">
        <v>101233016</v>
      </c>
      <c r="B4721" t="s">
        <v>1204</v>
      </c>
      <c r="C4721" t="s">
        <v>1120</v>
      </c>
      <c r="F4721" t="str">
        <f>"2699645741"</f>
        <v>2699645741</v>
      </c>
      <c r="G4721" t="s">
        <v>11948</v>
      </c>
      <c r="H4721" t="s">
        <v>9968</v>
      </c>
      <c r="I4721" t="s">
        <v>140</v>
      </c>
      <c r="J4721">
        <v>49285</v>
      </c>
      <c r="K4721">
        <v>63</v>
      </c>
      <c r="L4721" t="s">
        <v>23</v>
      </c>
      <c r="M4721" t="s">
        <v>11948</v>
      </c>
      <c r="N4721" t="s">
        <v>9968</v>
      </c>
      <c r="O4721" t="s">
        <v>140</v>
      </c>
      <c r="P4721">
        <v>49285</v>
      </c>
      <c r="Q4721">
        <v>63</v>
      </c>
      <c r="R4721" t="s">
        <v>23</v>
      </c>
      <c r="S4721" s="1" t="s">
        <v>34218</v>
      </c>
    </row>
    <row r="4722" spans="1:19" x14ac:dyDescent="0.25">
      <c r="A4722">
        <v>101158689</v>
      </c>
      <c r="B4722" t="s">
        <v>11949</v>
      </c>
      <c r="C4722" t="s">
        <v>3670</v>
      </c>
      <c r="F4722" t="str">
        <f>"2069321625"</f>
        <v>2069321625</v>
      </c>
      <c r="G4722" t="s">
        <v>11950</v>
      </c>
      <c r="H4722" t="s">
        <v>11122</v>
      </c>
      <c r="I4722" t="s">
        <v>84</v>
      </c>
      <c r="J4722" t="s">
        <v>11951</v>
      </c>
      <c r="K4722">
        <v>5329</v>
      </c>
      <c r="L4722" t="s">
        <v>23</v>
      </c>
      <c r="M4722" t="s">
        <v>11950</v>
      </c>
      <c r="N4722" t="s">
        <v>11122</v>
      </c>
      <c r="O4722" t="s">
        <v>84</v>
      </c>
      <c r="P4722" t="s">
        <v>11951</v>
      </c>
      <c r="Q4722">
        <v>5329</v>
      </c>
      <c r="R4722" t="s">
        <v>23</v>
      </c>
      <c r="S4722" s="1" t="s">
        <v>34218</v>
      </c>
    </row>
    <row r="4723" spans="1:19" x14ac:dyDescent="0.25">
      <c r="A4723">
        <v>100913436</v>
      </c>
      <c r="B4723" t="s">
        <v>11952</v>
      </c>
      <c r="C4723" t="s">
        <v>1208</v>
      </c>
      <c r="F4723" t="str">
        <f>"2189983145"</f>
        <v>2189983145</v>
      </c>
      <c r="G4723" t="s">
        <v>11953</v>
      </c>
      <c r="H4723" t="s">
        <v>11954</v>
      </c>
      <c r="I4723" t="s">
        <v>187</v>
      </c>
      <c r="J4723">
        <v>56537</v>
      </c>
      <c r="K4723">
        <v>2164</v>
      </c>
      <c r="L4723" t="s">
        <v>23</v>
      </c>
      <c r="M4723" t="s">
        <v>11953</v>
      </c>
      <c r="N4723" t="s">
        <v>11954</v>
      </c>
      <c r="O4723" t="s">
        <v>187</v>
      </c>
      <c r="P4723">
        <v>56537</v>
      </c>
      <c r="Q4723">
        <v>2164</v>
      </c>
      <c r="R4723" t="s">
        <v>23</v>
      </c>
      <c r="S4723" s="1" t="s">
        <v>34218</v>
      </c>
    </row>
    <row r="4724" spans="1:19" x14ac:dyDescent="0.25">
      <c r="A4724">
        <v>101001364</v>
      </c>
      <c r="B4724" t="s">
        <v>3956</v>
      </c>
      <c r="C4724" t="s">
        <v>7569</v>
      </c>
      <c r="F4724" t="str">
        <f>"8704462491"</f>
        <v>8704462491</v>
      </c>
      <c r="G4724" t="s">
        <v>11955</v>
      </c>
      <c r="H4724" t="s">
        <v>11956</v>
      </c>
      <c r="I4724" t="s">
        <v>2537</v>
      </c>
      <c r="J4724">
        <v>72666</v>
      </c>
      <c r="K4724">
        <v>5047</v>
      </c>
      <c r="L4724" t="s">
        <v>23</v>
      </c>
      <c r="M4724" t="s">
        <v>11955</v>
      </c>
      <c r="N4724" t="s">
        <v>11956</v>
      </c>
      <c r="O4724" t="s">
        <v>2537</v>
      </c>
      <c r="P4724">
        <v>72666</v>
      </c>
      <c r="Q4724">
        <v>5047</v>
      </c>
      <c r="R4724" t="s">
        <v>23</v>
      </c>
      <c r="S4724" s="1" t="s">
        <v>34218</v>
      </c>
    </row>
    <row r="4725" spans="1:19" x14ac:dyDescent="0.25">
      <c r="A4725">
        <v>100689757</v>
      </c>
      <c r="B4725" t="s">
        <v>11957</v>
      </c>
      <c r="C4725" t="s">
        <v>77</v>
      </c>
      <c r="F4725" t="str">
        <f>"6022650101"</f>
        <v>6022650101</v>
      </c>
      <c r="G4725" t="s">
        <v>11958</v>
      </c>
      <c r="H4725" t="s">
        <v>682</v>
      </c>
      <c r="I4725" t="s">
        <v>365</v>
      </c>
      <c r="J4725">
        <v>85014</v>
      </c>
      <c r="K4725">
        <v>5620</v>
      </c>
      <c r="L4725" t="s">
        <v>23</v>
      </c>
      <c r="M4725" t="s">
        <v>11958</v>
      </c>
      <c r="N4725" t="s">
        <v>682</v>
      </c>
      <c r="O4725" t="s">
        <v>365</v>
      </c>
      <c r="P4725">
        <v>85014</v>
      </c>
      <c r="Q4725">
        <v>5620</v>
      </c>
      <c r="R4725" t="s">
        <v>23</v>
      </c>
      <c r="S4725" s="1" t="s">
        <v>34218</v>
      </c>
    </row>
    <row r="4726" spans="1:19" x14ac:dyDescent="0.25">
      <c r="A4726">
        <v>100719207</v>
      </c>
      <c r="B4726" t="s">
        <v>11959</v>
      </c>
      <c r="C4726" t="s">
        <v>3643</v>
      </c>
      <c r="F4726" t="str">
        <f>"9092897678"</f>
        <v>9092897678</v>
      </c>
      <c r="G4726" t="s">
        <v>11960</v>
      </c>
      <c r="H4726" t="s">
        <v>11961</v>
      </c>
      <c r="I4726" t="s">
        <v>22</v>
      </c>
      <c r="J4726">
        <v>92375</v>
      </c>
      <c r="K4726">
        <v>7114</v>
      </c>
      <c r="L4726" t="s">
        <v>23</v>
      </c>
      <c r="M4726" t="s">
        <v>11960</v>
      </c>
      <c r="N4726" t="s">
        <v>11961</v>
      </c>
      <c r="O4726" t="s">
        <v>22</v>
      </c>
      <c r="P4726">
        <v>92375</v>
      </c>
      <c r="Q4726">
        <v>7114</v>
      </c>
      <c r="R4726" t="s">
        <v>23</v>
      </c>
      <c r="S4726" s="1" t="s">
        <v>34218</v>
      </c>
    </row>
    <row r="4727" spans="1:19" x14ac:dyDescent="0.25">
      <c r="A4727">
        <v>101075910</v>
      </c>
      <c r="B4727" t="s">
        <v>11962</v>
      </c>
      <c r="C4727" t="s">
        <v>8266</v>
      </c>
      <c r="F4727" t="str">
        <f>"3167332869"</f>
        <v>3167332869</v>
      </c>
      <c r="G4727" t="s">
        <v>11963</v>
      </c>
      <c r="H4727" t="s">
        <v>340</v>
      </c>
      <c r="I4727" t="s">
        <v>241</v>
      </c>
      <c r="J4727" t="s">
        <v>11964</v>
      </c>
      <c r="K4727">
        <v>3122</v>
      </c>
      <c r="L4727" t="s">
        <v>23</v>
      </c>
      <c r="M4727" t="s">
        <v>11963</v>
      </c>
      <c r="N4727" t="s">
        <v>340</v>
      </c>
      <c r="O4727" t="s">
        <v>241</v>
      </c>
      <c r="P4727" t="s">
        <v>11964</v>
      </c>
      <c r="Q4727">
        <v>3122</v>
      </c>
      <c r="R4727" t="s">
        <v>23</v>
      </c>
      <c r="S4727" s="1" t="s">
        <v>34218</v>
      </c>
    </row>
    <row r="4728" spans="1:19" x14ac:dyDescent="0.25">
      <c r="A4728">
        <v>101086310</v>
      </c>
      <c r="B4728" t="s">
        <v>11965</v>
      </c>
      <c r="C4728" t="s">
        <v>1933</v>
      </c>
      <c r="F4728" t="str">
        <f>"6305059695"</f>
        <v>6305059695</v>
      </c>
      <c r="G4728" t="s">
        <v>11966</v>
      </c>
      <c r="H4728" t="s">
        <v>694</v>
      </c>
      <c r="I4728" t="s">
        <v>135</v>
      </c>
      <c r="J4728">
        <v>60563</v>
      </c>
      <c r="L4728" t="s">
        <v>23</v>
      </c>
      <c r="M4728" t="s">
        <v>11966</v>
      </c>
      <c r="N4728" t="s">
        <v>694</v>
      </c>
      <c r="O4728" t="s">
        <v>135</v>
      </c>
      <c r="P4728">
        <v>60563</v>
      </c>
      <c r="R4728" t="s">
        <v>23</v>
      </c>
      <c r="S4728" s="1" t="s">
        <v>34218</v>
      </c>
    </row>
    <row r="4729" spans="1:19" x14ac:dyDescent="0.25">
      <c r="A4729">
        <v>101125393</v>
      </c>
      <c r="B4729" t="s">
        <v>11967</v>
      </c>
      <c r="C4729" t="s">
        <v>11968</v>
      </c>
      <c r="F4729" t="str">
        <f>"8156855284"</f>
        <v>8156855284</v>
      </c>
      <c r="G4729" t="s">
        <v>11969</v>
      </c>
      <c r="H4729" t="s">
        <v>134</v>
      </c>
      <c r="I4729" t="s">
        <v>135</v>
      </c>
      <c r="J4729">
        <v>60625</v>
      </c>
      <c r="K4729">
        <v>2005</v>
      </c>
      <c r="L4729" t="s">
        <v>23</v>
      </c>
      <c r="M4729" t="s">
        <v>11969</v>
      </c>
      <c r="N4729" t="s">
        <v>134</v>
      </c>
      <c r="O4729" t="s">
        <v>135</v>
      </c>
      <c r="P4729">
        <v>60625</v>
      </c>
      <c r="Q4729">
        <v>2005</v>
      </c>
      <c r="R4729" t="s">
        <v>23</v>
      </c>
      <c r="S4729" s="1" t="s">
        <v>34218</v>
      </c>
    </row>
    <row r="4730" spans="1:19" x14ac:dyDescent="0.25">
      <c r="A4730">
        <v>100589931</v>
      </c>
      <c r="B4730" t="s">
        <v>9483</v>
      </c>
      <c r="C4730" t="s">
        <v>119</v>
      </c>
      <c r="F4730" t="str">
        <f>"5039016585"</f>
        <v>5039016585</v>
      </c>
      <c r="G4730" t="s">
        <v>11970</v>
      </c>
      <c r="H4730" t="s">
        <v>11932</v>
      </c>
      <c r="I4730" t="s">
        <v>43</v>
      </c>
      <c r="J4730">
        <v>97222</v>
      </c>
      <c r="K4730">
        <v>8626</v>
      </c>
      <c r="L4730" t="s">
        <v>23</v>
      </c>
      <c r="M4730" t="s">
        <v>11970</v>
      </c>
      <c r="N4730" t="s">
        <v>11932</v>
      </c>
      <c r="O4730" t="s">
        <v>43</v>
      </c>
      <c r="P4730">
        <v>97222</v>
      </c>
      <c r="Q4730">
        <v>8626</v>
      </c>
      <c r="R4730" t="s">
        <v>23</v>
      </c>
      <c r="S4730" s="1" t="s">
        <v>34218</v>
      </c>
    </row>
    <row r="4731" spans="1:19" x14ac:dyDescent="0.25">
      <c r="A4731">
        <v>100519115</v>
      </c>
      <c r="B4731" t="s">
        <v>11971</v>
      </c>
      <c r="C4731" t="s">
        <v>11972</v>
      </c>
      <c r="F4731" t="str">
        <f>"2532880516"</f>
        <v>2532880516</v>
      </c>
      <c r="G4731" t="s">
        <v>11973</v>
      </c>
      <c r="H4731" t="s">
        <v>4062</v>
      </c>
      <c r="I4731" t="s">
        <v>84</v>
      </c>
      <c r="J4731">
        <v>98354</v>
      </c>
      <c r="K4731">
        <v>655</v>
      </c>
      <c r="L4731" t="s">
        <v>23</v>
      </c>
      <c r="M4731" t="s">
        <v>11973</v>
      </c>
      <c r="N4731" t="s">
        <v>4062</v>
      </c>
      <c r="O4731" t="s">
        <v>84</v>
      </c>
      <c r="P4731">
        <v>98354</v>
      </c>
      <c r="Q4731">
        <v>655</v>
      </c>
      <c r="R4731" t="s">
        <v>23</v>
      </c>
      <c r="S4731" s="1" t="s">
        <v>34218</v>
      </c>
    </row>
    <row r="4732" spans="1:19" x14ac:dyDescent="0.25">
      <c r="A4732">
        <v>100686015</v>
      </c>
      <c r="B4732" t="s">
        <v>11974</v>
      </c>
      <c r="C4732" t="s">
        <v>1422</v>
      </c>
      <c r="F4732" t="str">
        <f>"6099216629"</f>
        <v>6099216629</v>
      </c>
      <c r="G4732" t="s">
        <v>11975</v>
      </c>
      <c r="H4732" t="s">
        <v>4044</v>
      </c>
      <c r="I4732" t="s">
        <v>250</v>
      </c>
      <c r="J4732" t="s">
        <v>11976</v>
      </c>
      <c r="K4732">
        <v>3803</v>
      </c>
      <c r="L4732" t="s">
        <v>23</v>
      </c>
      <c r="M4732" t="s">
        <v>11975</v>
      </c>
      <c r="N4732" t="s">
        <v>4044</v>
      </c>
      <c r="O4732" t="s">
        <v>250</v>
      </c>
      <c r="P4732" t="s">
        <v>11976</v>
      </c>
      <c r="Q4732">
        <v>3803</v>
      </c>
      <c r="R4732" t="s">
        <v>23</v>
      </c>
      <c r="S4732" s="1" t="s">
        <v>34218</v>
      </c>
    </row>
    <row r="4733" spans="1:19" x14ac:dyDescent="0.25">
      <c r="A4733">
        <v>100732475</v>
      </c>
      <c r="B4733" t="s">
        <v>11977</v>
      </c>
      <c r="C4733" t="s">
        <v>1698</v>
      </c>
      <c r="F4733" t="str">
        <f>"8888888888"</f>
        <v>8888888888</v>
      </c>
      <c r="G4733" t="s">
        <v>11978</v>
      </c>
      <c r="H4733" t="s">
        <v>4142</v>
      </c>
      <c r="I4733" t="s">
        <v>140</v>
      </c>
      <c r="J4733">
        <v>49837</v>
      </c>
      <c r="L4733" t="s">
        <v>23</v>
      </c>
      <c r="M4733" t="s">
        <v>11978</v>
      </c>
      <c r="N4733" t="s">
        <v>4142</v>
      </c>
      <c r="O4733" t="s">
        <v>140</v>
      </c>
      <c r="P4733">
        <v>49837</v>
      </c>
      <c r="R4733" t="s">
        <v>23</v>
      </c>
      <c r="S4733" s="1" t="s">
        <v>34218</v>
      </c>
    </row>
    <row r="4734" spans="1:19" x14ac:dyDescent="0.25">
      <c r="A4734">
        <v>100968139</v>
      </c>
      <c r="B4734" t="s">
        <v>2176</v>
      </c>
      <c r="C4734" t="s">
        <v>2653</v>
      </c>
      <c r="F4734" t="str">
        <f>"5415121459"</f>
        <v>5415121459</v>
      </c>
      <c r="G4734" t="s">
        <v>11979</v>
      </c>
      <c r="H4734" t="s">
        <v>11980</v>
      </c>
      <c r="I4734" t="s">
        <v>43</v>
      </c>
      <c r="J4734">
        <v>97540</v>
      </c>
      <c r="K4734">
        <v>6658</v>
      </c>
      <c r="L4734" t="s">
        <v>23</v>
      </c>
      <c r="M4734" t="s">
        <v>11979</v>
      </c>
      <c r="N4734" t="s">
        <v>11980</v>
      </c>
      <c r="O4734" t="s">
        <v>43</v>
      </c>
      <c r="P4734">
        <v>97540</v>
      </c>
      <c r="Q4734">
        <v>6658</v>
      </c>
      <c r="R4734" t="s">
        <v>23</v>
      </c>
      <c r="S4734" s="1" t="s">
        <v>34218</v>
      </c>
    </row>
    <row r="4735" spans="1:19" x14ac:dyDescent="0.25">
      <c r="A4735">
        <v>101415103</v>
      </c>
      <c r="B4735" t="s">
        <v>11981</v>
      </c>
      <c r="C4735" t="s">
        <v>11982</v>
      </c>
      <c r="F4735" t="str">
        <f>"5036977311"</f>
        <v>5036977311</v>
      </c>
      <c r="G4735" t="s">
        <v>11983</v>
      </c>
      <c r="H4735" t="s">
        <v>11984</v>
      </c>
      <c r="I4735" t="s">
        <v>43</v>
      </c>
      <c r="J4735">
        <v>97035</v>
      </c>
      <c r="K4735">
        <v>5770</v>
      </c>
      <c r="L4735" t="s">
        <v>23</v>
      </c>
      <c r="M4735" t="s">
        <v>11983</v>
      </c>
      <c r="N4735" t="s">
        <v>11984</v>
      </c>
      <c r="O4735" t="s">
        <v>43</v>
      </c>
      <c r="P4735">
        <v>97035</v>
      </c>
      <c r="Q4735">
        <v>5770</v>
      </c>
      <c r="R4735" t="s">
        <v>23</v>
      </c>
      <c r="S4735" s="1" t="s">
        <v>34218</v>
      </c>
    </row>
    <row r="4736" spans="1:19" x14ac:dyDescent="0.25">
      <c r="A4736">
        <v>101217914</v>
      </c>
      <c r="B4736" t="s">
        <v>3997</v>
      </c>
      <c r="C4736" t="s">
        <v>11985</v>
      </c>
      <c r="F4736" t="str">
        <f>"3014906860"</f>
        <v>3014906860</v>
      </c>
      <c r="G4736" t="s">
        <v>11986</v>
      </c>
      <c r="H4736" t="s">
        <v>2056</v>
      </c>
      <c r="I4736" t="s">
        <v>148</v>
      </c>
      <c r="J4736">
        <v>20708</v>
      </c>
      <c r="K4736">
        <v>1832</v>
      </c>
      <c r="L4736" t="s">
        <v>23</v>
      </c>
      <c r="M4736" t="s">
        <v>11986</v>
      </c>
      <c r="N4736" t="s">
        <v>2056</v>
      </c>
      <c r="O4736" t="s">
        <v>148</v>
      </c>
      <c r="P4736">
        <v>20708</v>
      </c>
      <c r="Q4736">
        <v>1832</v>
      </c>
      <c r="R4736" t="s">
        <v>23</v>
      </c>
      <c r="S4736" s="1" t="s">
        <v>34218</v>
      </c>
    </row>
    <row r="4737" spans="1:19" x14ac:dyDescent="0.25">
      <c r="A4737">
        <v>101169959</v>
      </c>
      <c r="B4737" t="s">
        <v>11987</v>
      </c>
      <c r="C4737" t="s">
        <v>1933</v>
      </c>
      <c r="F4737" t="str">
        <f>"2485889591"</f>
        <v>2485889591</v>
      </c>
      <c r="G4737" t="s">
        <v>11988</v>
      </c>
      <c r="H4737" t="s">
        <v>1705</v>
      </c>
      <c r="I4737" t="s">
        <v>140</v>
      </c>
      <c r="J4737">
        <v>48073</v>
      </c>
      <c r="L4737" t="s">
        <v>23</v>
      </c>
      <c r="M4737" t="s">
        <v>11988</v>
      </c>
      <c r="N4737" t="s">
        <v>1705</v>
      </c>
      <c r="O4737" t="s">
        <v>140</v>
      </c>
      <c r="P4737">
        <v>48073</v>
      </c>
      <c r="R4737" t="s">
        <v>23</v>
      </c>
      <c r="S4737" s="1" t="s">
        <v>34218</v>
      </c>
    </row>
    <row r="4738" spans="1:19" x14ac:dyDescent="0.25">
      <c r="A4738">
        <v>101299033</v>
      </c>
      <c r="B4738" t="s">
        <v>11989</v>
      </c>
      <c r="C4738" t="s">
        <v>4188</v>
      </c>
      <c r="F4738" t="str">
        <f>"7204359500"</f>
        <v>7204359500</v>
      </c>
      <c r="G4738" t="s">
        <v>11990</v>
      </c>
      <c r="H4738" t="s">
        <v>1439</v>
      </c>
      <c r="I4738" t="s">
        <v>365</v>
      </c>
      <c r="J4738">
        <v>85719</v>
      </c>
      <c r="K4738">
        <v>6900</v>
      </c>
      <c r="L4738" t="s">
        <v>23</v>
      </c>
      <c r="M4738" t="s">
        <v>11990</v>
      </c>
      <c r="N4738" t="s">
        <v>1439</v>
      </c>
      <c r="O4738" t="s">
        <v>365</v>
      </c>
      <c r="P4738">
        <v>85719</v>
      </c>
      <c r="Q4738">
        <v>6900</v>
      </c>
      <c r="R4738" t="s">
        <v>23</v>
      </c>
      <c r="S4738" s="1" t="s">
        <v>34218</v>
      </c>
    </row>
    <row r="4739" spans="1:19" x14ac:dyDescent="0.25">
      <c r="A4739">
        <v>101257512</v>
      </c>
      <c r="B4739" t="s">
        <v>11991</v>
      </c>
      <c r="C4739" t="s">
        <v>11992</v>
      </c>
      <c r="F4739" t="str">
        <f>"4086097752"</f>
        <v>4086097752</v>
      </c>
      <c r="G4739" t="s">
        <v>11993</v>
      </c>
      <c r="H4739" t="s">
        <v>481</v>
      </c>
      <c r="I4739" t="s">
        <v>22</v>
      </c>
      <c r="J4739">
        <v>95127</v>
      </c>
      <c r="K4739">
        <v>1858</v>
      </c>
      <c r="L4739" t="s">
        <v>23</v>
      </c>
      <c r="M4739" t="s">
        <v>11993</v>
      </c>
      <c r="N4739" t="s">
        <v>481</v>
      </c>
      <c r="O4739" t="s">
        <v>22</v>
      </c>
      <c r="P4739">
        <v>95127</v>
      </c>
      <c r="Q4739">
        <v>1858</v>
      </c>
      <c r="R4739" t="s">
        <v>23</v>
      </c>
      <c r="S4739" s="1" t="s">
        <v>34218</v>
      </c>
    </row>
    <row r="4740" spans="1:19" x14ac:dyDescent="0.25">
      <c r="A4740">
        <v>100969738</v>
      </c>
      <c r="B4740" t="s">
        <v>11994</v>
      </c>
      <c r="C4740" t="s">
        <v>6606</v>
      </c>
      <c r="D4740" t="s">
        <v>11995</v>
      </c>
      <c r="F4740" t="str">
        <f>"5057479609"</f>
        <v>5057479609</v>
      </c>
      <c r="G4740" t="s">
        <v>11996</v>
      </c>
      <c r="H4740" t="s">
        <v>11997</v>
      </c>
      <c r="I4740" t="s">
        <v>639</v>
      </c>
      <c r="J4740">
        <v>87549</v>
      </c>
      <c r="L4740" t="s">
        <v>23</v>
      </c>
      <c r="M4740" t="s">
        <v>11996</v>
      </c>
      <c r="N4740" t="s">
        <v>11997</v>
      </c>
      <c r="O4740" t="s">
        <v>639</v>
      </c>
      <c r="P4740">
        <v>87549</v>
      </c>
      <c r="R4740" t="s">
        <v>23</v>
      </c>
      <c r="S4740" s="1" t="s">
        <v>34218</v>
      </c>
    </row>
    <row r="4741" spans="1:19" x14ac:dyDescent="0.25">
      <c r="A4741">
        <v>101301063</v>
      </c>
      <c r="B4741" t="s">
        <v>11998</v>
      </c>
      <c r="C4741" t="s">
        <v>406</v>
      </c>
      <c r="F4741" t="str">
        <f>"9194368671"</f>
        <v>9194368671</v>
      </c>
      <c r="G4741" t="s">
        <v>11999</v>
      </c>
      <c r="H4741" t="s">
        <v>2792</v>
      </c>
      <c r="I4741" t="s">
        <v>446</v>
      </c>
      <c r="J4741">
        <v>27513</v>
      </c>
      <c r="K4741">
        <v>5342</v>
      </c>
      <c r="L4741" t="s">
        <v>23</v>
      </c>
      <c r="M4741" t="s">
        <v>11999</v>
      </c>
      <c r="N4741" t="s">
        <v>2792</v>
      </c>
      <c r="O4741" t="s">
        <v>446</v>
      </c>
      <c r="P4741">
        <v>27513</v>
      </c>
      <c r="Q4741">
        <v>5342</v>
      </c>
      <c r="R4741" t="s">
        <v>23</v>
      </c>
      <c r="S4741" s="1" t="s">
        <v>34218</v>
      </c>
    </row>
    <row r="4742" spans="1:19" x14ac:dyDescent="0.25">
      <c r="A4742">
        <v>101242512</v>
      </c>
      <c r="B4742" t="s">
        <v>12000</v>
      </c>
      <c r="C4742" t="s">
        <v>12001</v>
      </c>
      <c r="F4742" t="str">
        <f>"2537618066"</f>
        <v>2537618066</v>
      </c>
      <c r="G4742" t="s">
        <v>12002</v>
      </c>
      <c r="H4742" t="s">
        <v>3169</v>
      </c>
      <c r="I4742" t="s">
        <v>84</v>
      </c>
      <c r="J4742">
        <v>98406</v>
      </c>
      <c r="L4742" t="s">
        <v>23</v>
      </c>
      <c r="M4742" t="s">
        <v>12002</v>
      </c>
      <c r="N4742" t="s">
        <v>3169</v>
      </c>
      <c r="O4742" t="s">
        <v>84</v>
      </c>
      <c r="P4742">
        <v>98406</v>
      </c>
      <c r="R4742" t="s">
        <v>23</v>
      </c>
      <c r="S4742" s="1" t="s">
        <v>34218</v>
      </c>
    </row>
    <row r="4743" spans="1:19" x14ac:dyDescent="0.25">
      <c r="A4743">
        <v>100586215</v>
      </c>
      <c r="B4743" t="s">
        <v>12003</v>
      </c>
      <c r="C4743" t="s">
        <v>49</v>
      </c>
      <c r="F4743" t="str">
        <f>"9707713135"</f>
        <v>9707713135</v>
      </c>
      <c r="G4743" t="s">
        <v>12004</v>
      </c>
      <c r="H4743" t="s">
        <v>12005</v>
      </c>
      <c r="I4743" t="s">
        <v>71</v>
      </c>
      <c r="J4743">
        <v>80424</v>
      </c>
      <c r="L4743" t="s">
        <v>23</v>
      </c>
      <c r="M4743" t="s">
        <v>12004</v>
      </c>
      <c r="N4743" t="s">
        <v>12005</v>
      </c>
      <c r="O4743" t="s">
        <v>71</v>
      </c>
      <c r="P4743">
        <v>80424</v>
      </c>
      <c r="R4743" t="s">
        <v>23</v>
      </c>
      <c r="S4743" s="1" t="s">
        <v>34218</v>
      </c>
    </row>
    <row r="4744" spans="1:19" x14ac:dyDescent="0.25">
      <c r="A4744">
        <v>100885239</v>
      </c>
      <c r="B4744" t="s">
        <v>1690</v>
      </c>
      <c r="C4744" t="s">
        <v>2127</v>
      </c>
      <c r="F4744" t="str">
        <f>"5555555555"</f>
        <v>5555555555</v>
      </c>
      <c r="G4744" t="s">
        <v>12006</v>
      </c>
      <c r="H4744" t="s">
        <v>75</v>
      </c>
      <c r="I4744" t="s">
        <v>22</v>
      </c>
      <c r="J4744">
        <v>94559</v>
      </c>
      <c r="L4744" t="s">
        <v>23</v>
      </c>
      <c r="M4744" t="s">
        <v>12006</v>
      </c>
      <c r="N4744" t="s">
        <v>75</v>
      </c>
      <c r="O4744" t="s">
        <v>22</v>
      </c>
      <c r="P4744">
        <v>94559</v>
      </c>
      <c r="R4744" t="s">
        <v>23</v>
      </c>
      <c r="S4744" s="1" t="s">
        <v>34218</v>
      </c>
    </row>
    <row r="4745" spans="1:19" x14ac:dyDescent="0.25">
      <c r="A4745">
        <v>100652714</v>
      </c>
      <c r="B4745" t="s">
        <v>12007</v>
      </c>
      <c r="C4745" t="s">
        <v>1054</v>
      </c>
      <c r="F4745" t="str">
        <f>"5058502960"</f>
        <v>5058502960</v>
      </c>
      <c r="G4745" t="s">
        <v>12008</v>
      </c>
      <c r="H4745" t="s">
        <v>2313</v>
      </c>
      <c r="I4745" t="s">
        <v>639</v>
      </c>
      <c r="J4745" t="s">
        <v>12009</v>
      </c>
      <c r="K4745">
        <v>2543</v>
      </c>
      <c r="L4745" t="s">
        <v>23</v>
      </c>
      <c r="M4745" t="s">
        <v>12008</v>
      </c>
      <c r="N4745" t="s">
        <v>2313</v>
      </c>
      <c r="O4745" t="s">
        <v>639</v>
      </c>
      <c r="P4745" t="s">
        <v>12009</v>
      </c>
      <c r="Q4745">
        <v>2543</v>
      </c>
      <c r="R4745" t="s">
        <v>23</v>
      </c>
      <c r="S4745" s="1" t="s">
        <v>34218</v>
      </c>
    </row>
    <row r="4746" spans="1:19" x14ac:dyDescent="0.25">
      <c r="A4746">
        <v>101234596</v>
      </c>
      <c r="B4746" t="s">
        <v>12010</v>
      </c>
      <c r="C4746" t="s">
        <v>810</v>
      </c>
      <c r="F4746" t="str">
        <f>"5617460741"</f>
        <v>5617460741</v>
      </c>
      <c r="G4746" t="s">
        <v>12011</v>
      </c>
      <c r="H4746" t="s">
        <v>11550</v>
      </c>
      <c r="I4746" t="s">
        <v>52</v>
      </c>
      <c r="J4746" t="s">
        <v>12012</v>
      </c>
      <c r="K4746">
        <v>6204</v>
      </c>
      <c r="L4746" t="s">
        <v>23</v>
      </c>
      <c r="M4746" t="s">
        <v>12011</v>
      </c>
      <c r="N4746" t="s">
        <v>11550</v>
      </c>
      <c r="O4746" t="s">
        <v>52</v>
      </c>
      <c r="P4746" t="s">
        <v>12012</v>
      </c>
      <c r="Q4746">
        <v>6204</v>
      </c>
      <c r="R4746" t="s">
        <v>23</v>
      </c>
      <c r="S4746" s="1" t="s">
        <v>34218</v>
      </c>
    </row>
    <row r="4747" spans="1:19" x14ac:dyDescent="0.25">
      <c r="A4747">
        <v>101154583</v>
      </c>
      <c r="B4747" t="s">
        <v>12013</v>
      </c>
      <c r="C4747" t="s">
        <v>11558</v>
      </c>
      <c r="F4747" t="str">
        <f>"5023610622"</f>
        <v>5023610622</v>
      </c>
      <c r="H4747" t="s">
        <v>1096</v>
      </c>
      <c r="I4747" t="s">
        <v>1097</v>
      </c>
      <c r="J4747">
        <v>40224</v>
      </c>
      <c r="L4747" t="s">
        <v>23</v>
      </c>
      <c r="N4747" t="s">
        <v>1096</v>
      </c>
      <c r="O4747" t="s">
        <v>1097</v>
      </c>
      <c r="P4747">
        <v>40224</v>
      </c>
      <c r="R4747" t="s">
        <v>23</v>
      </c>
      <c r="S4747" s="1" t="s">
        <v>34218</v>
      </c>
    </row>
    <row r="4748" spans="1:19" x14ac:dyDescent="0.25">
      <c r="A4748">
        <v>101010309</v>
      </c>
      <c r="B4748" t="s">
        <v>12014</v>
      </c>
      <c r="C4748" t="s">
        <v>305</v>
      </c>
      <c r="F4748" t="str">
        <f>"4844310551"</f>
        <v>4844310551</v>
      </c>
      <c r="G4748" t="s">
        <v>9301</v>
      </c>
      <c r="H4748" t="s">
        <v>2591</v>
      </c>
      <c r="I4748" t="s">
        <v>33</v>
      </c>
      <c r="J4748" t="s">
        <v>12015</v>
      </c>
      <c r="K4748">
        <v>343</v>
      </c>
      <c r="L4748" t="s">
        <v>23</v>
      </c>
      <c r="M4748" t="s">
        <v>9301</v>
      </c>
      <c r="N4748" t="s">
        <v>2591</v>
      </c>
      <c r="O4748" t="s">
        <v>33</v>
      </c>
      <c r="P4748" t="s">
        <v>12015</v>
      </c>
      <c r="Q4748">
        <v>343</v>
      </c>
      <c r="R4748" t="s">
        <v>23</v>
      </c>
      <c r="S4748" s="1" t="s">
        <v>34218</v>
      </c>
    </row>
    <row r="4749" spans="1:19" x14ac:dyDescent="0.25">
      <c r="A4749">
        <v>101329139</v>
      </c>
      <c r="B4749" t="s">
        <v>3869</v>
      </c>
      <c r="C4749" t="s">
        <v>11141</v>
      </c>
      <c r="F4749" t="str">
        <f>"9043471003"</f>
        <v>9043471003</v>
      </c>
      <c r="G4749" t="s">
        <v>12016</v>
      </c>
      <c r="H4749" t="s">
        <v>3262</v>
      </c>
      <c r="I4749" t="s">
        <v>52</v>
      </c>
      <c r="J4749">
        <v>32086</v>
      </c>
      <c r="K4749">
        <v>4322</v>
      </c>
      <c r="L4749" t="s">
        <v>23</v>
      </c>
      <c r="M4749" t="s">
        <v>12016</v>
      </c>
      <c r="N4749" t="s">
        <v>3262</v>
      </c>
      <c r="O4749" t="s">
        <v>52</v>
      </c>
      <c r="P4749">
        <v>32086</v>
      </c>
      <c r="Q4749">
        <v>4322</v>
      </c>
      <c r="R4749" t="s">
        <v>23</v>
      </c>
      <c r="S4749" s="1" t="s">
        <v>34218</v>
      </c>
    </row>
    <row r="4750" spans="1:19" x14ac:dyDescent="0.25">
      <c r="A4750">
        <v>100841557</v>
      </c>
      <c r="B4750" t="s">
        <v>636</v>
      </c>
      <c r="C4750" t="s">
        <v>1992</v>
      </c>
      <c r="F4750" t="str">
        <f>"9195538612"</f>
        <v>9195538612</v>
      </c>
      <c r="G4750" t="s">
        <v>12017</v>
      </c>
      <c r="H4750" t="s">
        <v>12018</v>
      </c>
      <c r="I4750" t="s">
        <v>446</v>
      </c>
      <c r="J4750">
        <v>27540</v>
      </c>
      <c r="K4750">
        <v>7670</v>
      </c>
      <c r="L4750" t="s">
        <v>23</v>
      </c>
      <c r="M4750" t="s">
        <v>12017</v>
      </c>
      <c r="N4750" t="s">
        <v>12018</v>
      </c>
      <c r="O4750" t="s">
        <v>446</v>
      </c>
      <c r="P4750">
        <v>27540</v>
      </c>
      <c r="Q4750">
        <v>7670</v>
      </c>
      <c r="R4750" t="s">
        <v>23</v>
      </c>
      <c r="S4750" s="1" t="s">
        <v>34218</v>
      </c>
    </row>
    <row r="4751" spans="1:19" x14ac:dyDescent="0.25">
      <c r="A4751">
        <v>100868668</v>
      </c>
      <c r="B4751" t="s">
        <v>12019</v>
      </c>
      <c r="C4751" t="s">
        <v>12020</v>
      </c>
      <c r="F4751" t="str">
        <f>"6316653412"</f>
        <v>6316653412</v>
      </c>
      <c r="G4751" t="s">
        <v>12021</v>
      </c>
      <c r="H4751" t="s">
        <v>12022</v>
      </c>
      <c r="I4751" t="s">
        <v>117</v>
      </c>
      <c r="J4751" t="s">
        <v>12023</v>
      </c>
      <c r="K4751">
        <v>8530</v>
      </c>
      <c r="L4751" t="s">
        <v>23</v>
      </c>
      <c r="M4751" t="s">
        <v>12021</v>
      </c>
      <c r="N4751" t="s">
        <v>12022</v>
      </c>
      <c r="O4751" t="s">
        <v>117</v>
      </c>
      <c r="P4751" t="s">
        <v>12023</v>
      </c>
      <c r="Q4751">
        <v>8530</v>
      </c>
      <c r="R4751" t="s">
        <v>23</v>
      </c>
      <c r="S4751" s="1" t="s">
        <v>34218</v>
      </c>
    </row>
    <row r="4752" spans="1:19" x14ac:dyDescent="0.25">
      <c r="A4752">
        <v>101069929</v>
      </c>
      <c r="B4752" t="s">
        <v>12024</v>
      </c>
      <c r="C4752" t="s">
        <v>12025</v>
      </c>
      <c r="F4752" t="str">
        <f>"9106326812"</f>
        <v>9106326812</v>
      </c>
      <c r="G4752" t="s">
        <v>12026</v>
      </c>
      <c r="H4752" t="s">
        <v>12027</v>
      </c>
      <c r="I4752" t="s">
        <v>446</v>
      </c>
      <c r="J4752">
        <v>28461</v>
      </c>
      <c r="K4752">
        <v>7870</v>
      </c>
      <c r="L4752" t="s">
        <v>23</v>
      </c>
      <c r="M4752" t="s">
        <v>12026</v>
      </c>
      <c r="N4752" t="s">
        <v>12027</v>
      </c>
      <c r="O4752" t="s">
        <v>446</v>
      </c>
      <c r="P4752">
        <v>28461</v>
      </c>
      <c r="Q4752">
        <v>7870</v>
      </c>
      <c r="R4752" t="s">
        <v>23</v>
      </c>
      <c r="S4752" s="1" t="s">
        <v>34218</v>
      </c>
    </row>
    <row r="4753" spans="1:19" x14ac:dyDescent="0.25">
      <c r="A4753">
        <v>101408407</v>
      </c>
      <c r="B4753" t="s">
        <v>12028</v>
      </c>
      <c r="C4753" t="s">
        <v>1933</v>
      </c>
      <c r="F4753" t="str">
        <f>"9739231923"</f>
        <v>9739231923</v>
      </c>
      <c r="G4753" t="s">
        <v>12029</v>
      </c>
      <c r="H4753" t="s">
        <v>12030</v>
      </c>
      <c r="I4753" t="s">
        <v>250</v>
      </c>
      <c r="J4753">
        <v>7205</v>
      </c>
      <c r="K4753">
        <v>1601</v>
      </c>
      <c r="L4753" t="s">
        <v>23</v>
      </c>
      <c r="M4753" t="s">
        <v>12029</v>
      </c>
      <c r="N4753" t="s">
        <v>12030</v>
      </c>
      <c r="O4753" t="s">
        <v>250</v>
      </c>
      <c r="P4753">
        <v>7205</v>
      </c>
      <c r="Q4753">
        <v>1601</v>
      </c>
      <c r="R4753" t="s">
        <v>23</v>
      </c>
      <c r="S4753" s="1" t="s">
        <v>34218</v>
      </c>
    </row>
    <row r="4754" spans="1:19" x14ac:dyDescent="0.25">
      <c r="A4754">
        <v>101231079</v>
      </c>
      <c r="B4754" t="s">
        <v>8425</v>
      </c>
      <c r="C4754" t="s">
        <v>699</v>
      </c>
      <c r="F4754" t="str">
        <f>"8505439387"</f>
        <v>8505439387</v>
      </c>
      <c r="G4754" t="s">
        <v>12031</v>
      </c>
      <c r="H4754" t="s">
        <v>12032</v>
      </c>
      <c r="I4754" t="s">
        <v>914</v>
      </c>
      <c r="J4754">
        <v>37708</v>
      </c>
      <c r="K4754">
        <v>6628</v>
      </c>
      <c r="L4754" t="s">
        <v>23</v>
      </c>
      <c r="M4754" t="s">
        <v>12031</v>
      </c>
      <c r="N4754" t="s">
        <v>12032</v>
      </c>
      <c r="O4754" t="s">
        <v>914</v>
      </c>
      <c r="P4754">
        <v>37708</v>
      </c>
      <c r="Q4754">
        <v>6628</v>
      </c>
      <c r="R4754" t="s">
        <v>23</v>
      </c>
      <c r="S4754" s="1" t="s">
        <v>34218</v>
      </c>
    </row>
    <row r="4755" spans="1:19" x14ac:dyDescent="0.25">
      <c r="A4755">
        <v>100561229</v>
      </c>
      <c r="B4755" t="s">
        <v>12033</v>
      </c>
      <c r="C4755" t="s">
        <v>1542</v>
      </c>
      <c r="F4755" t="str">
        <f>"9177493126"</f>
        <v>9177493126</v>
      </c>
      <c r="G4755" t="s">
        <v>12034</v>
      </c>
      <c r="H4755" t="s">
        <v>653</v>
      </c>
      <c r="I4755" t="s">
        <v>117</v>
      </c>
      <c r="J4755" t="s">
        <v>12035</v>
      </c>
      <c r="K4755">
        <v>6742</v>
      </c>
      <c r="L4755" t="s">
        <v>23</v>
      </c>
      <c r="M4755" t="s">
        <v>12034</v>
      </c>
      <c r="N4755" t="s">
        <v>653</v>
      </c>
      <c r="O4755" t="s">
        <v>117</v>
      </c>
      <c r="P4755" t="s">
        <v>12035</v>
      </c>
      <c r="Q4755">
        <v>6742</v>
      </c>
      <c r="R4755" t="s">
        <v>23</v>
      </c>
      <c r="S4755" s="1" t="s">
        <v>34218</v>
      </c>
    </row>
    <row r="4756" spans="1:19" x14ac:dyDescent="0.25">
      <c r="A4756">
        <v>101423501</v>
      </c>
      <c r="B4756" t="s">
        <v>276</v>
      </c>
      <c r="C4756" t="s">
        <v>1050</v>
      </c>
      <c r="F4756" t="str">
        <f>"5032878005"</f>
        <v>5032878005</v>
      </c>
      <c r="G4756" t="s">
        <v>12036</v>
      </c>
      <c r="H4756" t="s">
        <v>227</v>
      </c>
      <c r="I4756" t="s">
        <v>43</v>
      </c>
      <c r="J4756" t="s">
        <v>12037</v>
      </c>
      <c r="K4756">
        <v>2167</v>
      </c>
      <c r="L4756" t="s">
        <v>23</v>
      </c>
      <c r="M4756" t="s">
        <v>12036</v>
      </c>
      <c r="N4756" t="s">
        <v>227</v>
      </c>
      <c r="O4756" t="s">
        <v>43</v>
      </c>
      <c r="P4756" t="s">
        <v>12037</v>
      </c>
      <c r="Q4756">
        <v>2167</v>
      </c>
      <c r="R4756" t="s">
        <v>23</v>
      </c>
      <c r="S4756" s="1" t="s">
        <v>34218</v>
      </c>
    </row>
    <row r="4757" spans="1:19" x14ac:dyDescent="0.25">
      <c r="A4757">
        <v>101067348</v>
      </c>
      <c r="B4757" t="s">
        <v>2891</v>
      </c>
      <c r="C4757" t="s">
        <v>12038</v>
      </c>
      <c r="F4757" t="str">
        <f>"8025852651"</f>
        <v>8025852651</v>
      </c>
      <c r="G4757" t="s">
        <v>12039</v>
      </c>
      <c r="H4757" t="s">
        <v>8460</v>
      </c>
      <c r="I4757" t="s">
        <v>307</v>
      </c>
      <c r="J4757">
        <v>5672</v>
      </c>
      <c r="K4757">
        <v>4998</v>
      </c>
      <c r="L4757" t="s">
        <v>23</v>
      </c>
      <c r="M4757" t="s">
        <v>12039</v>
      </c>
      <c r="N4757" t="s">
        <v>8460</v>
      </c>
      <c r="O4757" t="s">
        <v>307</v>
      </c>
      <c r="P4757">
        <v>5672</v>
      </c>
      <c r="Q4757">
        <v>4998</v>
      </c>
      <c r="R4757" t="s">
        <v>23</v>
      </c>
      <c r="S4757" s="1" t="s">
        <v>34218</v>
      </c>
    </row>
    <row r="4758" spans="1:19" x14ac:dyDescent="0.25">
      <c r="A4758">
        <v>100651419</v>
      </c>
      <c r="B4758" t="s">
        <v>12040</v>
      </c>
      <c r="C4758" t="s">
        <v>2232</v>
      </c>
      <c r="F4758" t="str">
        <f>"9014905995"</f>
        <v>9014905995</v>
      </c>
      <c r="G4758" t="s">
        <v>12041</v>
      </c>
      <c r="H4758" t="s">
        <v>5998</v>
      </c>
      <c r="I4758" t="s">
        <v>914</v>
      </c>
      <c r="J4758">
        <v>38120</v>
      </c>
      <c r="K4758">
        <v>4034</v>
      </c>
      <c r="L4758" t="s">
        <v>23</v>
      </c>
      <c r="M4758" t="s">
        <v>12041</v>
      </c>
      <c r="N4758" t="s">
        <v>5998</v>
      </c>
      <c r="O4758" t="s">
        <v>914</v>
      </c>
      <c r="P4758">
        <v>38120</v>
      </c>
      <c r="Q4758">
        <v>4034</v>
      </c>
      <c r="R4758" t="s">
        <v>23</v>
      </c>
      <c r="S4758" s="1" t="s">
        <v>34218</v>
      </c>
    </row>
    <row r="4759" spans="1:19" x14ac:dyDescent="0.25">
      <c r="A4759">
        <v>101334114</v>
      </c>
      <c r="B4759" t="s">
        <v>12042</v>
      </c>
      <c r="C4759" t="s">
        <v>3361</v>
      </c>
      <c r="F4759" t="str">
        <f>"5419282856"</f>
        <v>5419282856</v>
      </c>
      <c r="G4759" t="s">
        <v>12043</v>
      </c>
      <c r="H4759" t="s">
        <v>1052</v>
      </c>
      <c r="I4759" t="s">
        <v>43</v>
      </c>
      <c r="J4759">
        <v>97321</v>
      </c>
      <c r="L4759" t="s">
        <v>23</v>
      </c>
      <c r="M4759" t="s">
        <v>12043</v>
      </c>
      <c r="N4759" t="s">
        <v>1052</v>
      </c>
      <c r="O4759" t="s">
        <v>43</v>
      </c>
      <c r="P4759">
        <v>97321</v>
      </c>
      <c r="R4759" t="s">
        <v>23</v>
      </c>
      <c r="S4759" s="1" t="s">
        <v>34218</v>
      </c>
    </row>
    <row r="4760" spans="1:19" x14ac:dyDescent="0.25">
      <c r="A4760">
        <v>101294004</v>
      </c>
      <c r="B4760" t="s">
        <v>1800</v>
      </c>
      <c r="C4760" t="s">
        <v>1463</v>
      </c>
      <c r="F4760" t="str">
        <f>"9032386212"</f>
        <v>9032386212</v>
      </c>
      <c r="G4760" t="s">
        <v>12044</v>
      </c>
      <c r="H4760" t="s">
        <v>12045</v>
      </c>
      <c r="I4760" t="s">
        <v>38</v>
      </c>
      <c r="J4760">
        <v>75604</v>
      </c>
      <c r="K4760">
        <v>1544</v>
      </c>
      <c r="L4760" t="s">
        <v>23</v>
      </c>
      <c r="M4760" t="s">
        <v>12044</v>
      </c>
      <c r="N4760" t="s">
        <v>12045</v>
      </c>
      <c r="O4760" t="s">
        <v>38</v>
      </c>
      <c r="P4760">
        <v>75604</v>
      </c>
      <c r="Q4760">
        <v>1544</v>
      </c>
      <c r="R4760" t="s">
        <v>23</v>
      </c>
      <c r="S4760" s="1" t="s">
        <v>34218</v>
      </c>
    </row>
    <row r="4761" spans="1:19" x14ac:dyDescent="0.25">
      <c r="A4761">
        <v>100723025</v>
      </c>
      <c r="B4761" t="s">
        <v>12046</v>
      </c>
      <c r="C4761" t="s">
        <v>1065</v>
      </c>
      <c r="F4761" t="str">
        <f>"2034942257"</f>
        <v>2034942257</v>
      </c>
      <c r="G4761" t="s">
        <v>12047</v>
      </c>
      <c r="H4761" t="s">
        <v>2434</v>
      </c>
      <c r="I4761" t="s">
        <v>161</v>
      </c>
      <c r="J4761">
        <v>6515</v>
      </c>
      <c r="L4761" t="s">
        <v>23</v>
      </c>
      <c r="M4761" t="s">
        <v>12047</v>
      </c>
      <c r="N4761" t="s">
        <v>2434</v>
      </c>
      <c r="O4761" t="s">
        <v>161</v>
      </c>
      <c r="P4761">
        <v>6515</v>
      </c>
      <c r="R4761" t="s">
        <v>23</v>
      </c>
      <c r="S4761" s="1" t="s">
        <v>34218</v>
      </c>
    </row>
    <row r="4762" spans="1:19" x14ac:dyDescent="0.25">
      <c r="A4762">
        <v>101076507</v>
      </c>
      <c r="B4762" t="s">
        <v>3840</v>
      </c>
      <c r="C4762" t="s">
        <v>1906</v>
      </c>
      <c r="F4762" t="str">
        <f>"5038677050"</f>
        <v>5038677050</v>
      </c>
      <c r="G4762" t="s">
        <v>12048</v>
      </c>
      <c r="H4762" t="s">
        <v>227</v>
      </c>
      <c r="I4762" t="s">
        <v>43</v>
      </c>
      <c r="J4762">
        <v>97223</v>
      </c>
      <c r="L4762" t="s">
        <v>23</v>
      </c>
      <c r="M4762" t="s">
        <v>12048</v>
      </c>
      <c r="N4762" t="s">
        <v>227</v>
      </c>
      <c r="O4762" t="s">
        <v>43</v>
      </c>
      <c r="P4762">
        <v>97223</v>
      </c>
      <c r="R4762" t="s">
        <v>23</v>
      </c>
      <c r="S4762" s="1" t="s">
        <v>34218</v>
      </c>
    </row>
    <row r="4763" spans="1:19" x14ac:dyDescent="0.25">
      <c r="A4763">
        <v>101033960</v>
      </c>
      <c r="B4763" t="s">
        <v>12049</v>
      </c>
      <c r="C4763" t="s">
        <v>6084</v>
      </c>
      <c r="F4763" t="str">
        <f>"7739348745"</f>
        <v>7739348745</v>
      </c>
      <c r="G4763" t="s">
        <v>12050</v>
      </c>
      <c r="H4763" t="s">
        <v>134</v>
      </c>
      <c r="I4763" t="s">
        <v>135</v>
      </c>
      <c r="J4763">
        <v>60618</v>
      </c>
      <c r="K4763">
        <v>4804</v>
      </c>
      <c r="L4763" t="s">
        <v>23</v>
      </c>
      <c r="M4763" t="s">
        <v>12050</v>
      </c>
      <c r="N4763" t="s">
        <v>134</v>
      </c>
      <c r="O4763" t="s">
        <v>135</v>
      </c>
      <c r="P4763">
        <v>60618</v>
      </c>
      <c r="Q4763">
        <v>4804</v>
      </c>
      <c r="R4763" t="s">
        <v>23</v>
      </c>
      <c r="S4763" s="1" t="s">
        <v>34218</v>
      </c>
    </row>
    <row r="4764" spans="1:19" x14ac:dyDescent="0.25">
      <c r="A4764">
        <v>101137697</v>
      </c>
      <c r="B4764" t="s">
        <v>12051</v>
      </c>
      <c r="C4764" t="s">
        <v>3511</v>
      </c>
      <c r="F4764" t="str">
        <f>"5555555555"</f>
        <v>5555555555</v>
      </c>
      <c r="G4764" t="s">
        <v>12052</v>
      </c>
      <c r="H4764" t="s">
        <v>1857</v>
      </c>
      <c r="I4764" t="s">
        <v>702</v>
      </c>
      <c r="J4764">
        <v>89523</v>
      </c>
      <c r="L4764" t="s">
        <v>23</v>
      </c>
      <c r="M4764" t="s">
        <v>12052</v>
      </c>
      <c r="N4764" t="s">
        <v>1857</v>
      </c>
      <c r="O4764" t="s">
        <v>702</v>
      </c>
      <c r="P4764">
        <v>89523</v>
      </c>
      <c r="R4764" t="s">
        <v>23</v>
      </c>
      <c r="S4764" s="1" t="s">
        <v>34218</v>
      </c>
    </row>
    <row r="4765" spans="1:19" x14ac:dyDescent="0.25">
      <c r="A4765">
        <v>100913260</v>
      </c>
      <c r="B4765" t="s">
        <v>5505</v>
      </c>
      <c r="C4765" t="s">
        <v>4103</v>
      </c>
      <c r="F4765" t="str">
        <f>"5106654209"</f>
        <v>5106654209</v>
      </c>
      <c r="G4765" t="s">
        <v>12053</v>
      </c>
      <c r="H4765" t="s">
        <v>66</v>
      </c>
      <c r="I4765" t="s">
        <v>22</v>
      </c>
      <c r="J4765">
        <v>94704</v>
      </c>
      <c r="K4765">
        <v>2848</v>
      </c>
      <c r="L4765" t="s">
        <v>23</v>
      </c>
      <c r="M4765" t="s">
        <v>12053</v>
      </c>
      <c r="N4765" t="s">
        <v>66</v>
      </c>
      <c r="O4765" t="s">
        <v>22</v>
      </c>
      <c r="P4765">
        <v>94704</v>
      </c>
      <c r="Q4765">
        <v>2848</v>
      </c>
      <c r="R4765" t="s">
        <v>23</v>
      </c>
      <c r="S4765" s="1" t="s">
        <v>34218</v>
      </c>
    </row>
    <row r="4766" spans="1:19" x14ac:dyDescent="0.25">
      <c r="A4766">
        <v>101301108</v>
      </c>
      <c r="B4766" t="s">
        <v>9536</v>
      </c>
      <c r="C4766" t="s">
        <v>2715</v>
      </c>
      <c r="F4766" t="str">
        <f>"4158893707"</f>
        <v>4158893707</v>
      </c>
      <c r="G4766" t="s">
        <v>12054</v>
      </c>
      <c r="H4766" t="s">
        <v>130</v>
      </c>
      <c r="I4766" t="s">
        <v>22</v>
      </c>
      <c r="J4766">
        <v>94115</v>
      </c>
      <c r="K4766">
        <v>2016</v>
      </c>
      <c r="L4766" t="s">
        <v>23</v>
      </c>
      <c r="M4766" t="s">
        <v>12054</v>
      </c>
      <c r="N4766" t="s">
        <v>130</v>
      </c>
      <c r="O4766" t="s">
        <v>22</v>
      </c>
      <c r="P4766">
        <v>94115</v>
      </c>
      <c r="Q4766">
        <v>2016</v>
      </c>
      <c r="R4766" t="s">
        <v>23</v>
      </c>
      <c r="S4766" s="1" t="s">
        <v>34218</v>
      </c>
    </row>
    <row r="4767" spans="1:19" x14ac:dyDescent="0.25">
      <c r="A4767">
        <v>101236125</v>
      </c>
      <c r="B4767" t="s">
        <v>1726</v>
      </c>
      <c r="C4767" t="s">
        <v>1120</v>
      </c>
      <c r="F4767" t="str">
        <f>"4087339659"</f>
        <v>4087339659</v>
      </c>
      <c r="G4767" t="s">
        <v>12055</v>
      </c>
      <c r="H4767" t="s">
        <v>5386</v>
      </c>
      <c r="I4767" t="s">
        <v>52</v>
      </c>
      <c r="J4767">
        <v>34787</v>
      </c>
      <c r="K4767">
        <v>4824</v>
      </c>
      <c r="L4767" t="s">
        <v>23</v>
      </c>
      <c r="M4767" t="s">
        <v>12055</v>
      </c>
      <c r="N4767" t="s">
        <v>5386</v>
      </c>
      <c r="O4767" t="s">
        <v>52</v>
      </c>
      <c r="P4767">
        <v>34787</v>
      </c>
      <c r="Q4767">
        <v>4824</v>
      </c>
      <c r="R4767" t="s">
        <v>23</v>
      </c>
      <c r="S4767" s="1" t="s">
        <v>34218</v>
      </c>
    </row>
    <row r="4768" spans="1:19" x14ac:dyDescent="0.25">
      <c r="A4768">
        <v>101008087</v>
      </c>
      <c r="B4768" t="s">
        <v>1831</v>
      </c>
      <c r="C4768" t="s">
        <v>475</v>
      </c>
      <c r="F4768" t="str">
        <f>"3029983995"</f>
        <v>3029983995</v>
      </c>
      <c r="G4768" t="s">
        <v>12056</v>
      </c>
      <c r="H4768" t="s">
        <v>2309</v>
      </c>
      <c r="I4768" t="s">
        <v>2310</v>
      </c>
      <c r="J4768">
        <v>19804</v>
      </c>
      <c r="K4768">
        <v>2343</v>
      </c>
      <c r="L4768" t="s">
        <v>23</v>
      </c>
      <c r="M4768" t="s">
        <v>12056</v>
      </c>
      <c r="N4768" t="s">
        <v>2309</v>
      </c>
      <c r="O4768" t="s">
        <v>2310</v>
      </c>
      <c r="P4768">
        <v>19804</v>
      </c>
      <c r="Q4768">
        <v>2343</v>
      </c>
      <c r="R4768" t="s">
        <v>23</v>
      </c>
      <c r="S4768" s="1" t="s">
        <v>34218</v>
      </c>
    </row>
    <row r="4769" spans="1:19" x14ac:dyDescent="0.25">
      <c r="A4769">
        <v>101335139</v>
      </c>
      <c r="B4769" t="s">
        <v>3184</v>
      </c>
      <c r="C4769" t="s">
        <v>77</v>
      </c>
      <c r="F4769" t="str">
        <f>"9518057684"</f>
        <v>9518057684</v>
      </c>
      <c r="G4769" t="s">
        <v>12057</v>
      </c>
      <c r="H4769" t="s">
        <v>1086</v>
      </c>
      <c r="I4769" t="s">
        <v>446</v>
      </c>
      <c r="J4769">
        <v>28278</v>
      </c>
      <c r="K4769">
        <v>145</v>
      </c>
      <c r="L4769" t="s">
        <v>23</v>
      </c>
      <c r="M4769" t="s">
        <v>12057</v>
      </c>
      <c r="N4769" t="s">
        <v>1086</v>
      </c>
      <c r="O4769" t="s">
        <v>446</v>
      </c>
      <c r="P4769">
        <v>28278</v>
      </c>
      <c r="Q4769">
        <v>145</v>
      </c>
      <c r="R4769" t="s">
        <v>23</v>
      </c>
      <c r="S4769" s="1" t="s">
        <v>34218</v>
      </c>
    </row>
    <row r="4770" spans="1:19" x14ac:dyDescent="0.25">
      <c r="A4770">
        <v>101303364</v>
      </c>
      <c r="B4770" t="s">
        <v>10326</v>
      </c>
      <c r="C4770" t="s">
        <v>2677</v>
      </c>
      <c r="F4770" t="str">
        <f>"2673713812"</f>
        <v>2673713812</v>
      </c>
      <c r="G4770" t="s">
        <v>12058</v>
      </c>
      <c r="H4770" t="s">
        <v>12059</v>
      </c>
      <c r="I4770" t="s">
        <v>33</v>
      </c>
      <c r="J4770" t="s">
        <v>12060</v>
      </c>
      <c r="K4770">
        <v>9786</v>
      </c>
      <c r="L4770" t="s">
        <v>23</v>
      </c>
      <c r="M4770" t="s">
        <v>12058</v>
      </c>
      <c r="N4770" t="s">
        <v>12059</v>
      </c>
      <c r="O4770" t="s">
        <v>33</v>
      </c>
      <c r="P4770" t="s">
        <v>12060</v>
      </c>
      <c r="Q4770">
        <v>9786</v>
      </c>
      <c r="R4770" t="s">
        <v>23</v>
      </c>
      <c r="S4770" s="1" t="s">
        <v>34218</v>
      </c>
    </row>
    <row r="4771" spans="1:19" x14ac:dyDescent="0.25">
      <c r="A4771">
        <v>100907183</v>
      </c>
      <c r="B4771" t="s">
        <v>12061</v>
      </c>
      <c r="C4771" t="s">
        <v>9687</v>
      </c>
      <c r="F4771" t="str">
        <f>"7577878804"</f>
        <v>7577878804</v>
      </c>
      <c r="G4771" t="s">
        <v>12062</v>
      </c>
      <c r="H4771" t="s">
        <v>2446</v>
      </c>
      <c r="I4771" t="s">
        <v>255</v>
      </c>
      <c r="J4771">
        <v>23401</v>
      </c>
      <c r="L4771" t="s">
        <v>23</v>
      </c>
      <c r="M4771" t="s">
        <v>12062</v>
      </c>
      <c r="N4771" t="s">
        <v>2446</v>
      </c>
      <c r="O4771" t="s">
        <v>255</v>
      </c>
      <c r="P4771">
        <v>23401</v>
      </c>
      <c r="R4771" t="s">
        <v>23</v>
      </c>
      <c r="S4771" s="1" t="s">
        <v>34218</v>
      </c>
    </row>
    <row r="4772" spans="1:19" x14ac:dyDescent="0.25">
      <c r="A4772">
        <v>100778959</v>
      </c>
      <c r="B4772" t="s">
        <v>927</v>
      </c>
      <c r="C4772" t="s">
        <v>12063</v>
      </c>
      <c r="F4772" t="str">
        <f>"7082391873"</f>
        <v>7082391873</v>
      </c>
      <c r="G4772" t="s">
        <v>12064</v>
      </c>
      <c r="H4772" t="s">
        <v>12065</v>
      </c>
      <c r="I4772" t="s">
        <v>135</v>
      </c>
      <c r="J4772">
        <v>61802</v>
      </c>
      <c r="K4772">
        <v>9434</v>
      </c>
      <c r="L4772" t="s">
        <v>23</v>
      </c>
      <c r="M4772" t="s">
        <v>12064</v>
      </c>
      <c r="N4772" t="s">
        <v>12065</v>
      </c>
      <c r="O4772" t="s">
        <v>135</v>
      </c>
      <c r="P4772">
        <v>61802</v>
      </c>
      <c r="Q4772">
        <v>9434</v>
      </c>
      <c r="R4772" t="s">
        <v>23</v>
      </c>
      <c r="S4772" s="1" t="s">
        <v>34218</v>
      </c>
    </row>
    <row r="4773" spans="1:19" x14ac:dyDescent="0.25">
      <c r="A4773">
        <v>101059068</v>
      </c>
      <c r="B4773" t="s">
        <v>1164</v>
      </c>
      <c r="C4773" t="s">
        <v>575</v>
      </c>
      <c r="F4773" t="str">
        <f>"8885551212"</f>
        <v>8885551212</v>
      </c>
      <c r="G4773" t="s">
        <v>12066</v>
      </c>
      <c r="H4773" t="s">
        <v>591</v>
      </c>
      <c r="I4773" t="s">
        <v>84</v>
      </c>
      <c r="J4773" t="s">
        <v>12067</v>
      </c>
      <c r="K4773">
        <v>4427</v>
      </c>
      <c r="L4773" t="s">
        <v>23</v>
      </c>
      <c r="M4773" t="s">
        <v>12066</v>
      </c>
      <c r="N4773" t="s">
        <v>591</v>
      </c>
      <c r="O4773" t="s">
        <v>84</v>
      </c>
      <c r="P4773" t="s">
        <v>12067</v>
      </c>
      <c r="Q4773">
        <v>4427</v>
      </c>
      <c r="R4773" t="s">
        <v>23</v>
      </c>
      <c r="S4773" s="1" t="s">
        <v>34218</v>
      </c>
    </row>
    <row r="4774" spans="1:19" x14ac:dyDescent="0.25">
      <c r="A4774">
        <v>100519037</v>
      </c>
      <c r="B4774" t="s">
        <v>11825</v>
      </c>
      <c r="C4774" t="s">
        <v>1622</v>
      </c>
      <c r="F4774" t="str">
        <f>"6306530538"</f>
        <v>6306530538</v>
      </c>
      <c r="G4774" t="s">
        <v>12068</v>
      </c>
      <c r="H4774" t="s">
        <v>2974</v>
      </c>
      <c r="I4774" t="s">
        <v>135</v>
      </c>
      <c r="J4774" t="s">
        <v>12069</v>
      </c>
      <c r="K4774">
        <v>7020</v>
      </c>
      <c r="L4774" t="s">
        <v>23</v>
      </c>
      <c r="M4774" t="s">
        <v>12068</v>
      </c>
      <c r="N4774" t="s">
        <v>2974</v>
      </c>
      <c r="O4774" t="s">
        <v>135</v>
      </c>
      <c r="P4774" t="s">
        <v>12069</v>
      </c>
      <c r="Q4774">
        <v>7020</v>
      </c>
      <c r="R4774" t="s">
        <v>23</v>
      </c>
      <c r="S4774" s="1" t="s">
        <v>34218</v>
      </c>
    </row>
    <row r="4775" spans="1:19" x14ac:dyDescent="0.25">
      <c r="A4775">
        <v>100781100</v>
      </c>
      <c r="B4775" t="s">
        <v>11746</v>
      </c>
      <c r="C4775" t="s">
        <v>30</v>
      </c>
      <c r="F4775" t="str">
        <f>"2672615919"</f>
        <v>2672615919</v>
      </c>
      <c r="G4775" t="s">
        <v>12070</v>
      </c>
      <c r="H4775" t="s">
        <v>6211</v>
      </c>
      <c r="I4775" t="s">
        <v>33</v>
      </c>
      <c r="J4775">
        <v>18902</v>
      </c>
      <c r="L4775" t="s">
        <v>23</v>
      </c>
      <c r="M4775" t="s">
        <v>12070</v>
      </c>
      <c r="N4775" t="s">
        <v>6211</v>
      </c>
      <c r="O4775" t="s">
        <v>33</v>
      </c>
      <c r="P4775">
        <v>18902</v>
      </c>
      <c r="R4775" t="s">
        <v>23</v>
      </c>
      <c r="S4775" s="1" t="s">
        <v>34218</v>
      </c>
    </row>
    <row r="4776" spans="1:19" x14ac:dyDescent="0.25">
      <c r="A4776">
        <v>101415343</v>
      </c>
      <c r="B4776" t="s">
        <v>7177</v>
      </c>
      <c r="C4776" t="s">
        <v>959</v>
      </c>
      <c r="F4776" t="str">
        <f>"9177966123"</f>
        <v>9177966123</v>
      </c>
      <c r="G4776" t="s">
        <v>12071</v>
      </c>
      <c r="H4776" t="s">
        <v>653</v>
      </c>
      <c r="I4776" t="s">
        <v>117</v>
      </c>
      <c r="J4776">
        <v>10023</v>
      </c>
      <c r="K4776">
        <v>6296</v>
      </c>
      <c r="L4776" t="s">
        <v>23</v>
      </c>
      <c r="M4776" t="s">
        <v>12071</v>
      </c>
      <c r="N4776" t="s">
        <v>653</v>
      </c>
      <c r="O4776" t="s">
        <v>117</v>
      </c>
      <c r="P4776">
        <v>10023</v>
      </c>
      <c r="Q4776">
        <v>6296</v>
      </c>
      <c r="R4776" t="s">
        <v>23</v>
      </c>
      <c r="S4776" s="1" t="s">
        <v>34218</v>
      </c>
    </row>
    <row r="4777" spans="1:19" x14ac:dyDescent="0.25">
      <c r="A4777">
        <v>101277264</v>
      </c>
      <c r="B4777" t="s">
        <v>12072</v>
      </c>
      <c r="C4777" t="s">
        <v>579</v>
      </c>
      <c r="F4777" t="str">
        <f>"4106797339"</f>
        <v>4106797339</v>
      </c>
      <c r="G4777" t="s">
        <v>12073</v>
      </c>
      <c r="H4777" t="s">
        <v>12074</v>
      </c>
      <c r="I4777" t="s">
        <v>148</v>
      </c>
      <c r="J4777">
        <v>21085</v>
      </c>
      <c r="K4777">
        <v>4610</v>
      </c>
      <c r="L4777" t="s">
        <v>23</v>
      </c>
      <c r="M4777" t="s">
        <v>12073</v>
      </c>
      <c r="N4777" t="s">
        <v>12074</v>
      </c>
      <c r="O4777" t="s">
        <v>148</v>
      </c>
      <c r="P4777">
        <v>21085</v>
      </c>
      <c r="Q4777">
        <v>4610</v>
      </c>
      <c r="R4777" t="s">
        <v>23</v>
      </c>
      <c r="S4777" s="1" t="s">
        <v>34218</v>
      </c>
    </row>
    <row r="4778" spans="1:19" x14ac:dyDescent="0.25">
      <c r="A4778">
        <v>100816422</v>
      </c>
      <c r="B4778" t="s">
        <v>12075</v>
      </c>
      <c r="C4778" t="s">
        <v>137</v>
      </c>
      <c r="F4778" t="str">
        <f>"6615057367"</f>
        <v>6615057367</v>
      </c>
      <c r="G4778" t="s">
        <v>12076</v>
      </c>
      <c r="H4778" t="s">
        <v>12077</v>
      </c>
      <c r="I4778" t="s">
        <v>22</v>
      </c>
      <c r="J4778">
        <v>91384</v>
      </c>
      <c r="K4778">
        <v>2515</v>
      </c>
      <c r="L4778" t="s">
        <v>23</v>
      </c>
      <c r="M4778" t="s">
        <v>12076</v>
      </c>
      <c r="N4778" t="s">
        <v>12077</v>
      </c>
      <c r="O4778" t="s">
        <v>22</v>
      </c>
      <c r="P4778">
        <v>91384</v>
      </c>
      <c r="Q4778">
        <v>2515</v>
      </c>
      <c r="R4778" t="s">
        <v>23</v>
      </c>
      <c r="S4778" s="1" t="s">
        <v>34218</v>
      </c>
    </row>
    <row r="4779" spans="1:19" x14ac:dyDescent="0.25">
      <c r="A4779">
        <v>100853819</v>
      </c>
      <c r="B4779" t="s">
        <v>9212</v>
      </c>
      <c r="C4779" t="s">
        <v>40</v>
      </c>
      <c r="F4779" t="str">
        <f>"5167646164"</f>
        <v>5167646164</v>
      </c>
      <c r="G4779" t="s">
        <v>12078</v>
      </c>
      <c r="H4779" t="s">
        <v>12079</v>
      </c>
      <c r="I4779" t="s">
        <v>117</v>
      </c>
      <c r="J4779">
        <v>11570</v>
      </c>
      <c r="K4779">
        <v>3619</v>
      </c>
      <c r="L4779" t="s">
        <v>23</v>
      </c>
      <c r="M4779" t="s">
        <v>12078</v>
      </c>
      <c r="N4779" t="s">
        <v>12079</v>
      </c>
      <c r="O4779" t="s">
        <v>117</v>
      </c>
      <c r="P4779">
        <v>11570</v>
      </c>
      <c r="Q4779">
        <v>3619</v>
      </c>
      <c r="R4779" t="s">
        <v>23</v>
      </c>
      <c r="S4779" s="1" t="s">
        <v>34218</v>
      </c>
    </row>
    <row r="4780" spans="1:19" x14ac:dyDescent="0.25">
      <c r="A4780">
        <v>101334023</v>
      </c>
      <c r="B4780" t="s">
        <v>12080</v>
      </c>
      <c r="C4780" t="s">
        <v>12081</v>
      </c>
      <c r="F4780" t="str">
        <f>"7072902039"</f>
        <v>7072902039</v>
      </c>
      <c r="G4780" t="s">
        <v>12082</v>
      </c>
      <c r="H4780" t="s">
        <v>75</v>
      </c>
      <c r="I4780" t="s">
        <v>22</v>
      </c>
      <c r="J4780">
        <v>94559</v>
      </c>
      <c r="K4780">
        <v>1107</v>
      </c>
      <c r="L4780" t="s">
        <v>23</v>
      </c>
      <c r="M4780" t="s">
        <v>12082</v>
      </c>
      <c r="N4780" t="s">
        <v>75</v>
      </c>
      <c r="O4780" t="s">
        <v>22</v>
      </c>
      <c r="P4780">
        <v>94559</v>
      </c>
      <c r="Q4780">
        <v>1107</v>
      </c>
      <c r="R4780" t="s">
        <v>23</v>
      </c>
      <c r="S4780" s="1" t="s">
        <v>34218</v>
      </c>
    </row>
    <row r="4781" spans="1:19" x14ac:dyDescent="0.25">
      <c r="A4781">
        <v>100822473</v>
      </c>
      <c r="B4781" t="s">
        <v>12083</v>
      </c>
      <c r="C4781" t="s">
        <v>432</v>
      </c>
      <c r="F4781" t="str">
        <f>"8313728491"</f>
        <v>8313728491</v>
      </c>
      <c r="G4781" t="s">
        <v>12084</v>
      </c>
      <c r="H4781" t="s">
        <v>2601</v>
      </c>
      <c r="I4781" t="s">
        <v>22</v>
      </c>
      <c r="J4781">
        <v>93940</v>
      </c>
      <c r="L4781" t="s">
        <v>23</v>
      </c>
      <c r="M4781" t="s">
        <v>12084</v>
      </c>
      <c r="N4781" t="s">
        <v>2601</v>
      </c>
      <c r="O4781" t="s">
        <v>22</v>
      </c>
      <c r="P4781">
        <v>93940</v>
      </c>
      <c r="R4781" t="s">
        <v>23</v>
      </c>
      <c r="S4781" s="1" t="s">
        <v>34218</v>
      </c>
    </row>
    <row r="4782" spans="1:19" x14ac:dyDescent="0.25">
      <c r="A4782">
        <v>100830977</v>
      </c>
      <c r="B4782" t="s">
        <v>3123</v>
      </c>
      <c r="C4782" t="s">
        <v>12085</v>
      </c>
      <c r="F4782" t="str">
        <f>"4258379643"</f>
        <v>4258379643</v>
      </c>
      <c r="G4782" t="s">
        <v>12086</v>
      </c>
      <c r="H4782" t="s">
        <v>9016</v>
      </c>
      <c r="I4782" t="s">
        <v>84</v>
      </c>
      <c r="J4782">
        <v>98029</v>
      </c>
      <c r="K4782">
        <v>6315</v>
      </c>
      <c r="L4782" t="s">
        <v>23</v>
      </c>
      <c r="M4782" t="s">
        <v>12086</v>
      </c>
      <c r="N4782" t="s">
        <v>9016</v>
      </c>
      <c r="O4782" t="s">
        <v>84</v>
      </c>
      <c r="P4782">
        <v>98029</v>
      </c>
      <c r="Q4782">
        <v>6315</v>
      </c>
      <c r="R4782" t="s">
        <v>23</v>
      </c>
      <c r="S4782" s="1" t="s">
        <v>34218</v>
      </c>
    </row>
    <row r="4783" spans="1:19" x14ac:dyDescent="0.25">
      <c r="A4783">
        <v>101147512</v>
      </c>
      <c r="B4783" t="s">
        <v>7881</v>
      </c>
      <c r="C4783" t="s">
        <v>12087</v>
      </c>
      <c r="F4783" t="str">
        <f>"2484770632"</f>
        <v>2484770632</v>
      </c>
      <c r="G4783" t="s">
        <v>12088</v>
      </c>
      <c r="H4783" t="s">
        <v>1897</v>
      </c>
      <c r="I4783" t="s">
        <v>140</v>
      </c>
      <c r="J4783">
        <v>49615</v>
      </c>
      <c r="K4783">
        <v>9621</v>
      </c>
      <c r="L4783" t="s">
        <v>23</v>
      </c>
      <c r="M4783" t="s">
        <v>12088</v>
      </c>
      <c r="N4783" t="s">
        <v>1897</v>
      </c>
      <c r="O4783" t="s">
        <v>140</v>
      </c>
      <c r="P4783">
        <v>49615</v>
      </c>
      <c r="Q4783">
        <v>9621</v>
      </c>
      <c r="R4783" t="s">
        <v>23</v>
      </c>
      <c r="S4783" s="1" t="s">
        <v>34218</v>
      </c>
    </row>
    <row r="4784" spans="1:19" x14ac:dyDescent="0.25">
      <c r="A4784">
        <v>101154584</v>
      </c>
      <c r="B4784" t="s">
        <v>11226</v>
      </c>
      <c r="C4784" t="s">
        <v>1327</v>
      </c>
      <c r="F4784" t="str">
        <f>"5085555555"</f>
        <v>5085555555</v>
      </c>
      <c r="G4784">
        <v>7</v>
      </c>
      <c r="H4784" t="s">
        <v>11229</v>
      </c>
      <c r="I4784" t="s">
        <v>236</v>
      </c>
      <c r="J4784">
        <v>2356</v>
      </c>
      <c r="L4784" t="s">
        <v>23</v>
      </c>
      <c r="M4784">
        <v>7</v>
      </c>
      <c r="N4784" t="s">
        <v>11229</v>
      </c>
      <c r="O4784" t="s">
        <v>236</v>
      </c>
      <c r="P4784">
        <v>2356</v>
      </c>
      <c r="R4784" t="s">
        <v>23</v>
      </c>
      <c r="S4784" s="1" t="s">
        <v>34218</v>
      </c>
    </row>
    <row r="4785" spans="1:19" x14ac:dyDescent="0.25">
      <c r="A4785">
        <v>101101947</v>
      </c>
      <c r="B4785" t="s">
        <v>12089</v>
      </c>
      <c r="C4785" t="s">
        <v>916</v>
      </c>
      <c r="F4785" t="str">
        <f>"7747222701"</f>
        <v>7747222701</v>
      </c>
      <c r="G4785" t="s">
        <v>12090</v>
      </c>
      <c r="H4785" t="s">
        <v>2046</v>
      </c>
      <c r="I4785" t="s">
        <v>446</v>
      </c>
      <c r="J4785">
        <v>27703</v>
      </c>
      <c r="K4785">
        <v>315</v>
      </c>
      <c r="L4785" t="s">
        <v>23</v>
      </c>
      <c r="M4785" t="s">
        <v>12090</v>
      </c>
      <c r="N4785" t="s">
        <v>2046</v>
      </c>
      <c r="O4785" t="s">
        <v>446</v>
      </c>
      <c r="P4785">
        <v>27703</v>
      </c>
      <c r="Q4785">
        <v>315</v>
      </c>
      <c r="R4785" t="s">
        <v>23</v>
      </c>
      <c r="S4785" s="1" t="s">
        <v>34218</v>
      </c>
    </row>
    <row r="4786" spans="1:19" x14ac:dyDescent="0.25">
      <c r="A4786">
        <v>101170890</v>
      </c>
      <c r="B4786" t="s">
        <v>12091</v>
      </c>
      <c r="C4786" t="s">
        <v>959</v>
      </c>
      <c r="F4786" t="str">
        <f>"9202934455"</f>
        <v>9202934455</v>
      </c>
      <c r="G4786" t="s">
        <v>12092</v>
      </c>
      <c r="H4786" t="s">
        <v>12093</v>
      </c>
      <c r="I4786" t="s">
        <v>100</v>
      </c>
      <c r="J4786">
        <v>54960</v>
      </c>
      <c r="L4786" t="s">
        <v>23</v>
      </c>
      <c r="M4786" t="s">
        <v>12092</v>
      </c>
      <c r="N4786" t="s">
        <v>12093</v>
      </c>
      <c r="O4786" t="s">
        <v>100</v>
      </c>
      <c r="P4786">
        <v>54960</v>
      </c>
      <c r="R4786" t="s">
        <v>23</v>
      </c>
      <c r="S4786" s="1" t="s">
        <v>34218</v>
      </c>
    </row>
    <row r="4787" spans="1:19" x14ac:dyDescent="0.25">
      <c r="A4787">
        <v>100885185</v>
      </c>
      <c r="B4787" t="s">
        <v>12094</v>
      </c>
      <c r="C4787" t="s">
        <v>119</v>
      </c>
      <c r="F4787" t="str">
        <f>"3103932497"</f>
        <v>3103932497</v>
      </c>
      <c r="G4787" t="s">
        <v>12095</v>
      </c>
      <c r="H4787" t="s">
        <v>726</v>
      </c>
      <c r="I4787" t="s">
        <v>22</v>
      </c>
      <c r="J4787">
        <v>90402</v>
      </c>
      <c r="L4787" t="s">
        <v>23</v>
      </c>
      <c r="M4787" t="s">
        <v>12095</v>
      </c>
      <c r="N4787" t="s">
        <v>726</v>
      </c>
      <c r="O4787" t="s">
        <v>22</v>
      </c>
      <c r="P4787">
        <v>90402</v>
      </c>
      <c r="R4787" t="s">
        <v>23</v>
      </c>
      <c r="S4787" s="1" t="s">
        <v>34218</v>
      </c>
    </row>
    <row r="4788" spans="1:19" x14ac:dyDescent="0.25">
      <c r="A4788">
        <v>101065508</v>
      </c>
      <c r="B4788" t="s">
        <v>12096</v>
      </c>
      <c r="C4788" t="s">
        <v>12097</v>
      </c>
      <c r="F4788" t="str">
        <f>"6174966558"</f>
        <v>6174966558</v>
      </c>
      <c r="G4788" t="s">
        <v>12098</v>
      </c>
      <c r="H4788" t="s">
        <v>2514</v>
      </c>
      <c r="I4788" t="s">
        <v>236</v>
      </c>
      <c r="J4788">
        <v>2134</v>
      </c>
      <c r="K4788">
        <v>1625</v>
      </c>
      <c r="L4788" t="s">
        <v>23</v>
      </c>
      <c r="M4788" t="s">
        <v>12098</v>
      </c>
      <c r="N4788" t="s">
        <v>2514</v>
      </c>
      <c r="O4788" t="s">
        <v>236</v>
      </c>
      <c r="P4788">
        <v>2134</v>
      </c>
      <c r="Q4788">
        <v>1625</v>
      </c>
      <c r="R4788" t="s">
        <v>23</v>
      </c>
      <c r="S4788" s="1" t="s">
        <v>34218</v>
      </c>
    </row>
    <row r="4789" spans="1:19" x14ac:dyDescent="0.25">
      <c r="A4789">
        <v>100660794</v>
      </c>
      <c r="B4789" t="s">
        <v>12099</v>
      </c>
      <c r="C4789" t="s">
        <v>1955</v>
      </c>
      <c r="F4789" t="str">
        <f>"5132401419"</f>
        <v>5132401419</v>
      </c>
      <c r="G4789" t="s">
        <v>12100</v>
      </c>
      <c r="H4789" t="s">
        <v>12101</v>
      </c>
      <c r="I4789" t="s">
        <v>57</v>
      </c>
      <c r="J4789">
        <v>47040</v>
      </c>
      <c r="L4789" t="s">
        <v>23</v>
      </c>
      <c r="M4789" t="s">
        <v>12100</v>
      </c>
      <c r="N4789" t="s">
        <v>12101</v>
      </c>
      <c r="O4789" t="s">
        <v>57</v>
      </c>
      <c r="P4789">
        <v>47040</v>
      </c>
      <c r="R4789" t="s">
        <v>23</v>
      </c>
      <c r="S4789" s="1" t="s">
        <v>34218</v>
      </c>
    </row>
    <row r="4790" spans="1:19" x14ac:dyDescent="0.25">
      <c r="A4790">
        <v>100790985</v>
      </c>
      <c r="B4790" t="s">
        <v>12102</v>
      </c>
      <c r="C4790" t="s">
        <v>763</v>
      </c>
      <c r="F4790" t="str">
        <f>"7853428620"</f>
        <v>7853428620</v>
      </c>
      <c r="G4790" t="s">
        <v>12103</v>
      </c>
      <c r="H4790" t="s">
        <v>2079</v>
      </c>
      <c r="I4790" t="s">
        <v>22</v>
      </c>
      <c r="J4790">
        <v>95006</v>
      </c>
      <c r="K4790">
        <v>579</v>
      </c>
      <c r="L4790" t="s">
        <v>23</v>
      </c>
      <c r="M4790" t="s">
        <v>12103</v>
      </c>
      <c r="N4790" t="s">
        <v>2079</v>
      </c>
      <c r="O4790" t="s">
        <v>22</v>
      </c>
      <c r="P4790">
        <v>95006</v>
      </c>
      <c r="Q4790">
        <v>579</v>
      </c>
      <c r="R4790" t="s">
        <v>23</v>
      </c>
      <c r="S4790" s="1" t="s">
        <v>34218</v>
      </c>
    </row>
    <row r="4791" spans="1:19" x14ac:dyDescent="0.25">
      <c r="A4791">
        <v>101454436</v>
      </c>
      <c r="B4791" t="s">
        <v>4982</v>
      </c>
      <c r="C4791" t="s">
        <v>483</v>
      </c>
      <c r="F4791" t="str">
        <f>"5752249430"</f>
        <v>5752249430</v>
      </c>
      <c r="G4791" t="s">
        <v>12104</v>
      </c>
      <c r="H4791" t="s">
        <v>1200</v>
      </c>
      <c r="I4791" t="s">
        <v>639</v>
      </c>
      <c r="J4791">
        <v>87529</v>
      </c>
      <c r="L4791" t="s">
        <v>23</v>
      </c>
      <c r="M4791" t="s">
        <v>12104</v>
      </c>
      <c r="N4791" t="s">
        <v>1200</v>
      </c>
      <c r="O4791" t="s">
        <v>639</v>
      </c>
      <c r="P4791">
        <v>87529</v>
      </c>
      <c r="R4791" t="s">
        <v>23</v>
      </c>
      <c r="S4791" s="1" t="s">
        <v>34218</v>
      </c>
    </row>
    <row r="4792" spans="1:19" x14ac:dyDescent="0.25">
      <c r="A4792">
        <v>100835278</v>
      </c>
      <c r="B4792" t="s">
        <v>12105</v>
      </c>
      <c r="C4792" t="s">
        <v>30</v>
      </c>
      <c r="F4792" t="str">
        <f>"9512774597"</f>
        <v>9512774597</v>
      </c>
      <c r="G4792" t="s">
        <v>12106</v>
      </c>
      <c r="H4792" t="s">
        <v>3214</v>
      </c>
      <c r="I4792" t="s">
        <v>22</v>
      </c>
      <c r="J4792">
        <v>91362</v>
      </c>
      <c r="K4792">
        <v>2904</v>
      </c>
      <c r="L4792" t="s">
        <v>23</v>
      </c>
      <c r="M4792" t="s">
        <v>12106</v>
      </c>
      <c r="N4792" t="s">
        <v>3214</v>
      </c>
      <c r="O4792" t="s">
        <v>22</v>
      </c>
      <c r="P4792">
        <v>91362</v>
      </c>
      <c r="Q4792">
        <v>2904</v>
      </c>
      <c r="R4792" t="s">
        <v>23</v>
      </c>
      <c r="S4792" s="1" t="s">
        <v>34218</v>
      </c>
    </row>
    <row r="4793" spans="1:19" x14ac:dyDescent="0.25">
      <c r="A4793">
        <v>101349476</v>
      </c>
      <c r="B4793" t="s">
        <v>12107</v>
      </c>
      <c r="C4793" t="s">
        <v>1444</v>
      </c>
      <c r="F4793" t="str">
        <f>"9148304277"</f>
        <v>9148304277</v>
      </c>
      <c r="G4793" t="s">
        <v>12108</v>
      </c>
      <c r="H4793" t="s">
        <v>393</v>
      </c>
      <c r="I4793" t="s">
        <v>71</v>
      </c>
      <c r="J4793">
        <v>80218</v>
      </c>
      <c r="K4793">
        <v>3118</v>
      </c>
      <c r="L4793" t="s">
        <v>23</v>
      </c>
      <c r="M4793" t="s">
        <v>12108</v>
      </c>
      <c r="N4793" t="s">
        <v>393</v>
      </c>
      <c r="O4793" t="s">
        <v>71</v>
      </c>
      <c r="P4793">
        <v>80218</v>
      </c>
      <c r="Q4793">
        <v>3118</v>
      </c>
      <c r="R4793" t="s">
        <v>23</v>
      </c>
      <c r="S4793" s="1" t="s">
        <v>34218</v>
      </c>
    </row>
    <row r="4794" spans="1:19" x14ac:dyDescent="0.25">
      <c r="A4794">
        <v>100622747</v>
      </c>
      <c r="B4794" t="s">
        <v>12109</v>
      </c>
      <c r="C4794" t="s">
        <v>1793</v>
      </c>
      <c r="F4794" t="str">
        <f>"7737797635"</f>
        <v>7737797635</v>
      </c>
      <c r="G4794" t="s">
        <v>12110</v>
      </c>
      <c r="H4794" t="s">
        <v>134</v>
      </c>
      <c r="I4794" t="s">
        <v>135</v>
      </c>
      <c r="J4794">
        <v>60643</v>
      </c>
      <c r="L4794" t="s">
        <v>23</v>
      </c>
      <c r="M4794" t="s">
        <v>12110</v>
      </c>
      <c r="N4794" t="s">
        <v>134</v>
      </c>
      <c r="O4794" t="s">
        <v>135</v>
      </c>
      <c r="P4794">
        <v>60643</v>
      </c>
      <c r="R4794" t="s">
        <v>23</v>
      </c>
      <c r="S4794" s="1" t="s">
        <v>34218</v>
      </c>
    </row>
    <row r="4795" spans="1:19" x14ac:dyDescent="0.25">
      <c r="A4795">
        <v>101091533</v>
      </c>
      <c r="B4795" t="s">
        <v>12111</v>
      </c>
      <c r="C4795" t="s">
        <v>1873</v>
      </c>
      <c r="F4795" t="str">
        <f>"3014521052"</f>
        <v>3014521052</v>
      </c>
      <c r="G4795" t="s">
        <v>12112</v>
      </c>
      <c r="H4795" t="s">
        <v>165</v>
      </c>
      <c r="I4795" t="s">
        <v>148</v>
      </c>
      <c r="J4795" t="s">
        <v>12113</v>
      </c>
      <c r="K4795">
        <v>6294</v>
      </c>
      <c r="L4795" t="s">
        <v>23</v>
      </c>
      <c r="M4795" t="s">
        <v>12112</v>
      </c>
      <c r="N4795" t="s">
        <v>165</v>
      </c>
      <c r="O4795" t="s">
        <v>148</v>
      </c>
      <c r="P4795" t="s">
        <v>12113</v>
      </c>
      <c r="Q4795">
        <v>6294</v>
      </c>
      <c r="R4795" t="s">
        <v>23</v>
      </c>
      <c r="S4795" s="1" t="s">
        <v>34218</v>
      </c>
    </row>
    <row r="4796" spans="1:19" x14ac:dyDescent="0.25">
      <c r="A4796">
        <v>100788305</v>
      </c>
      <c r="B4796" t="s">
        <v>12114</v>
      </c>
      <c r="C4796" t="s">
        <v>621</v>
      </c>
      <c r="F4796" t="str">
        <f>"8157869707"</f>
        <v>8157869707</v>
      </c>
      <c r="G4796" t="s">
        <v>12115</v>
      </c>
      <c r="H4796" t="s">
        <v>7221</v>
      </c>
      <c r="I4796" t="s">
        <v>135</v>
      </c>
      <c r="J4796">
        <v>60548</v>
      </c>
      <c r="K4796">
        <v>7029</v>
      </c>
      <c r="L4796" t="s">
        <v>23</v>
      </c>
      <c r="M4796" t="s">
        <v>12115</v>
      </c>
      <c r="N4796" t="s">
        <v>7221</v>
      </c>
      <c r="O4796" t="s">
        <v>135</v>
      </c>
      <c r="P4796">
        <v>60548</v>
      </c>
      <c r="Q4796">
        <v>7029</v>
      </c>
      <c r="R4796" t="s">
        <v>23</v>
      </c>
      <c r="S4796" s="1" t="s">
        <v>34218</v>
      </c>
    </row>
    <row r="4797" spans="1:19" x14ac:dyDescent="0.25">
      <c r="A4797">
        <v>101192908</v>
      </c>
      <c r="B4797" t="s">
        <v>12116</v>
      </c>
      <c r="C4797" t="s">
        <v>90</v>
      </c>
      <c r="F4797" t="str">
        <f>"6082567247"</f>
        <v>6082567247</v>
      </c>
      <c r="G4797" t="s">
        <v>12117</v>
      </c>
      <c r="H4797" t="s">
        <v>2375</v>
      </c>
      <c r="I4797" t="s">
        <v>100</v>
      </c>
      <c r="J4797">
        <v>53713</v>
      </c>
      <c r="K4797">
        <v>1023</v>
      </c>
      <c r="L4797" t="s">
        <v>23</v>
      </c>
      <c r="M4797" t="s">
        <v>12117</v>
      </c>
      <c r="N4797" t="s">
        <v>2375</v>
      </c>
      <c r="O4797" t="s">
        <v>100</v>
      </c>
      <c r="P4797">
        <v>53713</v>
      </c>
      <c r="Q4797">
        <v>1023</v>
      </c>
      <c r="R4797" t="s">
        <v>23</v>
      </c>
      <c r="S4797" s="1" t="s">
        <v>34218</v>
      </c>
    </row>
    <row r="4798" spans="1:19" x14ac:dyDescent="0.25">
      <c r="A4798">
        <v>101205122</v>
      </c>
      <c r="B4798" t="s">
        <v>12118</v>
      </c>
      <c r="C4798" t="s">
        <v>11904</v>
      </c>
      <c r="F4798" t="str">
        <f>"5055555555"</f>
        <v>5055555555</v>
      </c>
      <c r="G4798" t="s">
        <v>12119</v>
      </c>
      <c r="H4798" t="s">
        <v>1431</v>
      </c>
      <c r="I4798" t="s">
        <v>639</v>
      </c>
      <c r="J4798">
        <v>87505</v>
      </c>
      <c r="K4798">
        <v>960</v>
      </c>
      <c r="L4798" t="s">
        <v>23</v>
      </c>
      <c r="M4798" t="s">
        <v>12119</v>
      </c>
      <c r="N4798" t="s">
        <v>1431</v>
      </c>
      <c r="O4798" t="s">
        <v>639</v>
      </c>
      <c r="P4798">
        <v>87505</v>
      </c>
      <c r="Q4798">
        <v>960</v>
      </c>
      <c r="R4798" t="s">
        <v>23</v>
      </c>
      <c r="S4798" s="1" t="s">
        <v>34218</v>
      </c>
    </row>
    <row r="4799" spans="1:19" x14ac:dyDescent="0.25">
      <c r="A4799">
        <v>101210525</v>
      </c>
      <c r="B4799" t="s">
        <v>1986</v>
      </c>
      <c r="C4799" t="s">
        <v>12120</v>
      </c>
      <c r="F4799" t="str">
        <f>"6155451975"</f>
        <v>6155451975</v>
      </c>
      <c r="G4799" t="s">
        <v>12121</v>
      </c>
      <c r="H4799" t="s">
        <v>913</v>
      </c>
      <c r="I4799" t="s">
        <v>914</v>
      </c>
      <c r="J4799">
        <v>37214</v>
      </c>
      <c r="K4799">
        <v>2118</v>
      </c>
      <c r="L4799" t="s">
        <v>23</v>
      </c>
      <c r="M4799" t="s">
        <v>12121</v>
      </c>
      <c r="N4799" t="s">
        <v>913</v>
      </c>
      <c r="O4799" t="s">
        <v>914</v>
      </c>
      <c r="P4799">
        <v>37214</v>
      </c>
      <c r="Q4799">
        <v>2118</v>
      </c>
      <c r="R4799" t="s">
        <v>23</v>
      </c>
      <c r="S4799" s="1" t="s">
        <v>34218</v>
      </c>
    </row>
    <row r="4800" spans="1:19" x14ac:dyDescent="0.25">
      <c r="A4800">
        <v>101217454</v>
      </c>
      <c r="B4800" t="s">
        <v>12122</v>
      </c>
      <c r="C4800" t="s">
        <v>579</v>
      </c>
      <c r="F4800" t="str">
        <f>"7323976407"</f>
        <v>7323976407</v>
      </c>
      <c r="G4800" t="s">
        <v>12123</v>
      </c>
      <c r="H4800" t="s">
        <v>12124</v>
      </c>
      <c r="I4800" t="s">
        <v>250</v>
      </c>
      <c r="J4800">
        <v>7701</v>
      </c>
      <c r="K4800">
        <v>2522</v>
      </c>
      <c r="L4800" t="s">
        <v>23</v>
      </c>
      <c r="M4800" t="s">
        <v>12123</v>
      </c>
      <c r="N4800" t="s">
        <v>12124</v>
      </c>
      <c r="O4800" t="s">
        <v>250</v>
      </c>
      <c r="P4800">
        <v>7701</v>
      </c>
      <c r="Q4800">
        <v>2522</v>
      </c>
      <c r="R4800" t="s">
        <v>23</v>
      </c>
      <c r="S4800" s="1" t="s">
        <v>34218</v>
      </c>
    </row>
    <row r="4801" spans="1:19" x14ac:dyDescent="0.25">
      <c r="A4801">
        <v>101157193</v>
      </c>
      <c r="B4801" t="s">
        <v>12125</v>
      </c>
      <c r="C4801" t="s">
        <v>114</v>
      </c>
      <c r="F4801" t="str">
        <f>"4156415702"</f>
        <v>4156415702</v>
      </c>
      <c r="G4801">
        <v>94110</v>
      </c>
      <c r="H4801" t="s">
        <v>130</v>
      </c>
      <c r="I4801" t="s">
        <v>22</v>
      </c>
      <c r="J4801">
        <v>94110</v>
      </c>
      <c r="L4801" t="s">
        <v>23</v>
      </c>
      <c r="M4801">
        <v>94110</v>
      </c>
      <c r="N4801" t="s">
        <v>130</v>
      </c>
      <c r="O4801" t="s">
        <v>22</v>
      </c>
      <c r="P4801">
        <v>94110</v>
      </c>
      <c r="R4801" t="s">
        <v>23</v>
      </c>
      <c r="S4801" s="1" t="s">
        <v>34218</v>
      </c>
    </row>
    <row r="4802" spans="1:19" x14ac:dyDescent="0.25">
      <c r="A4802">
        <v>100658340</v>
      </c>
      <c r="B4802" t="s">
        <v>9198</v>
      </c>
      <c r="C4802" t="s">
        <v>483</v>
      </c>
      <c r="F4802" t="str">
        <f>"5555555555"</f>
        <v>5555555555</v>
      </c>
      <c r="G4802" t="s">
        <v>12126</v>
      </c>
      <c r="H4802" t="s">
        <v>12127</v>
      </c>
      <c r="I4802" t="s">
        <v>52</v>
      </c>
      <c r="J4802">
        <v>34684</v>
      </c>
      <c r="K4802">
        <v>1615</v>
      </c>
      <c r="L4802" t="s">
        <v>23</v>
      </c>
      <c r="M4802" t="s">
        <v>12126</v>
      </c>
      <c r="N4802" t="s">
        <v>12127</v>
      </c>
      <c r="O4802" t="s">
        <v>52</v>
      </c>
      <c r="P4802">
        <v>34684</v>
      </c>
      <c r="Q4802">
        <v>1615</v>
      </c>
      <c r="R4802" t="s">
        <v>23</v>
      </c>
      <c r="S4802" s="1" t="s">
        <v>34218</v>
      </c>
    </row>
    <row r="4803" spans="1:19" x14ac:dyDescent="0.25">
      <c r="A4803">
        <v>100643036</v>
      </c>
      <c r="B4803" t="s">
        <v>12128</v>
      </c>
      <c r="C4803" t="s">
        <v>102</v>
      </c>
      <c r="F4803" t="str">
        <f>"3019161186"</f>
        <v>3019161186</v>
      </c>
      <c r="G4803" t="s">
        <v>12129</v>
      </c>
      <c r="H4803" t="s">
        <v>6664</v>
      </c>
      <c r="I4803" t="s">
        <v>148</v>
      </c>
      <c r="J4803">
        <v>20874</v>
      </c>
      <c r="K4803">
        <v>1153</v>
      </c>
      <c r="L4803" t="s">
        <v>23</v>
      </c>
      <c r="M4803" t="s">
        <v>12129</v>
      </c>
      <c r="N4803" t="s">
        <v>6664</v>
      </c>
      <c r="O4803" t="s">
        <v>148</v>
      </c>
      <c r="P4803">
        <v>20874</v>
      </c>
      <c r="Q4803">
        <v>1153</v>
      </c>
      <c r="R4803" t="s">
        <v>23</v>
      </c>
      <c r="S4803" s="1" t="s">
        <v>34218</v>
      </c>
    </row>
    <row r="4804" spans="1:19" x14ac:dyDescent="0.25">
      <c r="A4804">
        <v>101013444</v>
      </c>
      <c r="B4804" t="s">
        <v>12130</v>
      </c>
      <c r="C4804" t="s">
        <v>12131</v>
      </c>
      <c r="F4804" t="str">
        <f>"4804049090"</f>
        <v>4804049090</v>
      </c>
      <c r="G4804" t="s">
        <v>12132</v>
      </c>
      <c r="H4804" t="s">
        <v>3766</v>
      </c>
      <c r="I4804" t="s">
        <v>365</v>
      </c>
      <c r="J4804">
        <v>85224</v>
      </c>
      <c r="K4804">
        <v>3978</v>
      </c>
      <c r="L4804" t="s">
        <v>23</v>
      </c>
      <c r="M4804" t="s">
        <v>12132</v>
      </c>
      <c r="N4804" t="s">
        <v>3766</v>
      </c>
      <c r="O4804" t="s">
        <v>365</v>
      </c>
      <c r="P4804">
        <v>85224</v>
      </c>
      <c r="Q4804">
        <v>3978</v>
      </c>
      <c r="R4804" t="s">
        <v>23</v>
      </c>
      <c r="S4804" s="1" t="s">
        <v>34218</v>
      </c>
    </row>
    <row r="4805" spans="1:19" x14ac:dyDescent="0.25">
      <c r="A4805">
        <v>100577453</v>
      </c>
      <c r="B4805" t="s">
        <v>12133</v>
      </c>
      <c r="C4805" t="s">
        <v>54</v>
      </c>
      <c r="F4805" t="str">
        <f>"8088668783"</f>
        <v>8088668783</v>
      </c>
      <c r="G4805" t="s">
        <v>12134</v>
      </c>
      <c r="H4805" t="s">
        <v>8296</v>
      </c>
      <c r="I4805" t="s">
        <v>984</v>
      </c>
      <c r="J4805">
        <v>96753</v>
      </c>
      <c r="K4805">
        <v>9232</v>
      </c>
      <c r="L4805" t="s">
        <v>23</v>
      </c>
      <c r="M4805" t="s">
        <v>12134</v>
      </c>
      <c r="N4805" t="s">
        <v>8296</v>
      </c>
      <c r="O4805" t="s">
        <v>984</v>
      </c>
      <c r="P4805">
        <v>96753</v>
      </c>
      <c r="Q4805">
        <v>9232</v>
      </c>
      <c r="R4805" t="s">
        <v>23</v>
      </c>
      <c r="S4805" s="1" t="s">
        <v>34218</v>
      </c>
    </row>
    <row r="4806" spans="1:19" x14ac:dyDescent="0.25">
      <c r="A4806">
        <v>101249659</v>
      </c>
      <c r="B4806" t="s">
        <v>12135</v>
      </c>
      <c r="C4806" t="s">
        <v>12136</v>
      </c>
      <c r="F4806" t="str">
        <f>"4807044425"</f>
        <v>4807044425</v>
      </c>
      <c r="G4806" t="s">
        <v>12137</v>
      </c>
      <c r="H4806" t="s">
        <v>625</v>
      </c>
      <c r="I4806" t="s">
        <v>365</v>
      </c>
      <c r="J4806" t="s">
        <v>12138</v>
      </c>
      <c r="K4806">
        <v>5766</v>
      </c>
      <c r="L4806" t="s">
        <v>23</v>
      </c>
      <c r="M4806" t="s">
        <v>12137</v>
      </c>
      <c r="N4806" t="s">
        <v>625</v>
      </c>
      <c r="O4806" t="s">
        <v>365</v>
      </c>
      <c r="P4806" t="s">
        <v>12138</v>
      </c>
      <c r="Q4806">
        <v>5766</v>
      </c>
      <c r="R4806" t="s">
        <v>23</v>
      </c>
      <c r="S4806" s="1" t="s">
        <v>34218</v>
      </c>
    </row>
    <row r="4807" spans="1:19" x14ac:dyDescent="0.25">
      <c r="A4807">
        <v>101201409</v>
      </c>
      <c r="B4807" t="s">
        <v>12139</v>
      </c>
      <c r="C4807" t="s">
        <v>4949</v>
      </c>
      <c r="F4807" t="str">
        <f>"3048220555"</f>
        <v>3048220555</v>
      </c>
      <c r="G4807" t="s">
        <v>12140</v>
      </c>
      <c r="H4807" t="s">
        <v>1630</v>
      </c>
      <c r="I4807" t="s">
        <v>327</v>
      </c>
      <c r="J4807">
        <v>26757</v>
      </c>
      <c r="L4807" t="s">
        <v>23</v>
      </c>
      <c r="M4807" t="s">
        <v>12140</v>
      </c>
      <c r="N4807" t="s">
        <v>1630</v>
      </c>
      <c r="O4807" t="s">
        <v>327</v>
      </c>
      <c r="P4807">
        <v>26757</v>
      </c>
      <c r="R4807" t="s">
        <v>23</v>
      </c>
      <c r="S4807" s="1" t="s">
        <v>34218</v>
      </c>
    </row>
    <row r="4808" spans="1:19" x14ac:dyDescent="0.25">
      <c r="A4808">
        <v>100937121</v>
      </c>
      <c r="B4808" t="s">
        <v>12141</v>
      </c>
      <c r="C4808" t="s">
        <v>846</v>
      </c>
      <c r="F4808" t="str">
        <f>"5033051744"</f>
        <v>5033051744</v>
      </c>
      <c r="G4808" t="s">
        <v>12142</v>
      </c>
      <c r="H4808" t="s">
        <v>227</v>
      </c>
      <c r="I4808" t="s">
        <v>43</v>
      </c>
      <c r="J4808" t="s">
        <v>12143</v>
      </c>
      <c r="K4808">
        <v>2325</v>
      </c>
      <c r="L4808" t="s">
        <v>23</v>
      </c>
      <c r="M4808" t="s">
        <v>12142</v>
      </c>
      <c r="N4808" t="s">
        <v>227</v>
      </c>
      <c r="O4808" t="s">
        <v>43</v>
      </c>
      <c r="P4808" t="s">
        <v>12143</v>
      </c>
      <c r="Q4808">
        <v>2325</v>
      </c>
      <c r="R4808" t="s">
        <v>23</v>
      </c>
      <c r="S4808" s="1" t="s">
        <v>34218</v>
      </c>
    </row>
    <row r="4809" spans="1:19" x14ac:dyDescent="0.25">
      <c r="A4809">
        <v>100854299</v>
      </c>
      <c r="B4809" t="s">
        <v>12144</v>
      </c>
      <c r="C4809" t="s">
        <v>11995</v>
      </c>
      <c r="F4809" t="str">
        <f>"4076780691"</f>
        <v>4076780691</v>
      </c>
      <c r="G4809" t="s">
        <v>12145</v>
      </c>
      <c r="H4809" t="s">
        <v>12146</v>
      </c>
      <c r="I4809" t="s">
        <v>52</v>
      </c>
      <c r="J4809">
        <v>32751</v>
      </c>
      <c r="K4809">
        <v>6028</v>
      </c>
      <c r="L4809" t="s">
        <v>23</v>
      </c>
      <c r="M4809" t="s">
        <v>12145</v>
      </c>
      <c r="N4809" t="s">
        <v>12146</v>
      </c>
      <c r="O4809" t="s">
        <v>52</v>
      </c>
      <c r="P4809">
        <v>32751</v>
      </c>
      <c r="Q4809">
        <v>6028</v>
      </c>
      <c r="R4809" t="s">
        <v>23</v>
      </c>
      <c r="S4809" s="1" t="s">
        <v>34218</v>
      </c>
    </row>
    <row r="4810" spans="1:19" x14ac:dyDescent="0.25">
      <c r="A4810">
        <v>101455601</v>
      </c>
      <c r="B4810" t="s">
        <v>12147</v>
      </c>
      <c r="C4810" t="s">
        <v>1157</v>
      </c>
      <c r="F4810" t="str">
        <f>"2407313232"</f>
        <v>2407313232</v>
      </c>
      <c r="G4810" t="s">
        <v>12148</v>
      </c>
      <c r="H4810" t="s">
        <v>12149</v>
      </c>
      <c r="I4810" t="s">
        <v>148</v>
      </c>
      <c r="J4810">
        <v>21054</v>
      </c>
      <c r="K4810">
        <v>1820</v>
      </c>
      <c r="L4810" t="s">
        <v>23</v>
      </c>
      <c r="M4810" t="s">
        <v>12148</v>
      </c>
      <c r="N4810" t="s">
        <v>12149</v>
      </c>
      <c r="O4810" t="s">
        <v>148</v>
      </c>
      <c r="P4810">
        <v>21054</v>
      </c>
      <c r="Q4810">
        <v>1820</v>
      </c>
      <c r="R4810" t="s">
        <v>23</v>
      </c>
      <c r="S4810" s="1" t="s">
        <v>34218</v>
      </c>
    </row>
    <row r="4811" spans="1:19" x14ac:dyDescent="0.25">
      <c r="A4811">
        <v>101333139</v>
      </c>
      <c r="B4811" t="s">
        <v>4966</v>
      </c>
      <c r="C4811" t="s">
        <v>9784</v>
      </c>
      <c r="F4811" t="str">
        <f>"7075791036"</f>
        <v>7075791036</v>
      </c>
      <c r="G4811" t="s">
        <v>12150</v>
      </c>
      <c r="H4811" t="s">
        <v>21</v>
      </c>
      <c r="I4811" t="s">
        <v>22</v>
      </c>
      <c r="J4811">
        <v>95407</v>
      </c>
      <c r="K4811">
        <v>7335</v>
      </c>
      <c r="L4811" t="s">
        <v>23</v>
      </c>
      <c r="M4811" t="s">
        <v>12150</v>
      </c>
      <c r="N4811" t="s">
        <v>21</v>
      </c>
      <c r="O4811" t="s">
        <v>22</v>
      </c>
      <c r="P4811">
        <v>95407</v>
      </c>
      <c r="Q4811">
        <v>7335</v>
      </c>
      <c r="R4811" t="s">
        <v>23</v>
      </c>
      <c r="S4811" s="1" t="s">
        <v>34218</v>
      </c>
    </row>
    <row r="4812" spans="1:19" x14ac:dyDescent="0.25">
      <c r="A4812">
        <v>101325097</v>
      </c>
      <c r="B4812" t="s">
        <v>12151</v>
      </c>
      <c r="C4812" t="s">
        <v>10389</v>
      </c>
      <c r="F4812" t="str">
        <f>"2015908440"</f>
        <v>2015908440</v>
      </c>
      <c r="G4812" t="s">
        <v>12152</v>
      </c>
      <c r="H4812" t="s">
        <v>12153</v>
      </c>
      <c r="I4812" t="s">
        <v>250</v>
      </c>
      <c r="J4812">
        <v>7601</v>
      </c>
      <c r="K4812">
        <v>2255</v>
      </c>
      <c r="L4812" t="s">
        <v>23</v>
      </c>
      <c r="M4812" t="s">
        <v>12152</v>
      </c>
      <c r="N4812" t="s">
        <v>12153</v>
      </c>
      <c r="O4812" t="s">
        <v>250</v>
      </c>
      <c r="P4812">
        <v>7601</v>
      </c>
      <c r="Q4812">
        <v>2255</v>
      </c>
      <c r="R4812" t="s">
        <v>23</v>
      </c>
      <c r="S4812" s="1" t="s">
        <v>34218</v>
      </c>
    </row>
    <row r="4813" spans="1:19" x14ac:dyDescent="0.25">
      <c r="A4813">
        <v>100986112</v>
      </c>
      <c r="B4813" t="s">
        <v>12154</v>
      </c>
      <c r="C4813" t="s">
        <v>1873</v>
      </c>
      <c r="F4813" t="str">
        <f>"7604203873"</f>
        <v>7604203873</v>
      </c>
      <c r="G4813" t="s">
        <v>12155</v>
      </c>
      <c r="H4813" t="s">
        <v>2468</v>
      </c>
      <c r="I4813" t="s">
        <v>22</v>
      </c>
      <c r="J4813">
        <v>92081</v>
      </c>
      <c r="L4813" t="s">
        <v>23</v>
      </c>
      <c r="M4813" t="s">
        <v>12155</v>
      </c>
      <c r="N4813" t="s">
        <v>2468</v>
      </c>
      <c r="O4813" t="s">
        <v>22</v>
      </c>
      <c r="P4813">
        <v>92081</v>
      </c>
      <c r="R4813" t="s">
        <v>23</v>
      </c>
      <c r="S4813" s="1" t="s">
        <v>34218</v>
      </c>
    </row>
    <row r="4814" spans="1:19" x14ac:dyDescent="0.25">
      <c r="A4814">
        <v>100561427</v>
      </c>
      <c r="B4814" t="s">
        <v>12156</v>
      </c>
      <c r="C4814" t="s">
        <v>810</v>
      </c>
      <c r="F4814" t="str">
        <f>"6092968219"</f>
        <v>6092968219</v>
      </c>
      <c r="G4814" t="s">
        <v>12157</v>
      </c>
      <c r="H4814" t="s">
        <v>12158</v>
      </c>
      <c r="I4814" t="s">
        <v>250</v>
      </c>
      <c r="J4814">
        <v>8224</v>
      </c>
      <c r="L4814" t="s">
        <v>23</v>
      </c>
      <c r="M4814" t="s">
        <v>12157</v>
      </c>
      <c r="N4814" t="s">
        <v>12158</v>
      </c>
      <c r="O4814" t="s">
        <v>250</v>
      </c>
      <c r="P4814">
        <v>8224</v>
      </c>
      <c r="R4814" t="s">
        <v>23</v>
      </c>
      <c r="S4814" s="1" t="s">
        <v>34218</v>
      </c>
    </row>
    <row r="4815" spans="1:19" x14ac:dyDescent="0.25">
      <c r="A4815">
        <v>100976990</v>
      </c>
      <c r="B4815" t="s">
        <v>4966</v>
      </c>
      <c r="C4815" t="s">
        <v>90</v>
      </c>
      <c r="F4815" t="str">
        <f>"9082399085"</f>
        <v>9082399085</v>
      </c>
      <c r="G4815" t="s">
        <v>12159</v>
      </c>
      <c r="H4815" t="s">
        <v>2274</v>
      </c>
      <c r="I4815" t="s">
        <v>250</v>
      </c>
      <c r="J4815">
        <v>8807</v>
      </c>
      <c r="L4815" t="s">
        <v>23</v>
      </c>
      <c r="M4815" t="s">
        <v>12159</v>
      </c>
      <c r="N4815" t="s">
        <v>2274</v>
      </c>
      <c r="O4815" t="s">
        <v>250</v>
      </c>
      <c r="P4815">
        <v>8807</v>
      </c>
      <c r="R4815" t="s">
        <v>23</v>
      </c>
      <c r="S4815" s="1" t="s">
        <v>34218</v>
      </c>
    </row>
    <row r="4816" spans="1:19" x14ac:dyDescent="0.25">
      <c r="A4816">
        <v>101456338</v>
      </c>
      <c r="B4816" t="s">
        <v>11308</v>
      </c>
      <c r="C4816" t="s">
        <v>763</v>
      </c>
      <c r="F4816" t="str">
        <f>"4145740297"</f>
        <v>4145740297</v>
      </c>
      <c r="G4816" t="s">
        <v>12160</v>
      </c>
      <c r="H4816" t="s">
        <v>12161</v>
      </c>
      <c r="I4816" t="s">
        <v>100</v>
      </c>
      <c r="J4816">
        <v>53172</v>
      </c>
      <c r="K4816">
        <v>2219</v>
      </c>
      <c r="L4816" t="s">
        <v>23</v>
      </c>
      <c r="M4816" t="s">
        <v>12160</v>
      </c>
      <c r="N4816" t="s">
        <v>12161</v>
      </c>
      <c r="O4816" t="s">
        <v>100</v>
      </c>
      <c r="P4816">
        <v>53172</v>
      </c>
      <c r="Q4816">
        <v>2219</v>
      </c>
      <c r="R4816" t="s">
        <v>23</v>
      </c>
      <c r="S4816" s="1" t="s">
        <v>34218</v>
      </c>
    </row>
    <row r="4817" spans="1:19" x14ac:dyDescent="0.25">
      <c r="A4817">
        <v>100637615</v>
      </c>
      <c r="B4817" t="s">
        <v>12162</v>
      </c>
      <c r="C4817" t="s">
        <v>123</v>
      </c>
      <c r="F4817" t="str">
        <f>"9047032204"</f>
        <v>9047032204</v>
      </c>
      <c r="G4817" t="s">
        <v>12163</v>
      </c>
      <c r="H4817" t="s">
        <v>227</v>
      </c>
      <c r="I4817" t="s">
        <v>914</v>
      </c>
      <c r="J4817" t="s">
        <v>12164</v>
      </c>
      <c r="K4817">
        <v>1733</v>
      </c>
      <c r="L4817" t="s">
        <v>23</v>
      </c>
      <c r="M4817" t="s">
        <v>12163</v>
      </c>
      <c r="N4817" t="s">
        <v>227</v>
      </c>
      <c r="O4817" t="s">
        <v>914</v>
      </c>
      <c r="P4817" t="s">
        <v>12164</v>
      </c>
      <c r="Q4817">
        <v>1733</v>
      </c>
      <c r="R4817" t="s">
        <v>23</v>
      </c>
      <c r="S4817" s="1" t="s">
        <v>34218</v>
      </c>
    </row>
    <row r="4818" spans="1:19" x14ac:dyDescent="0.25">
      <c r="A4818">
        <v>101309794</v>
      </c>
      <c r="B4818" t="s">
        <v>12165</v>
      </c>
      <c r="C4818" t="s">
        <v>1176</v>
      </c>
      <c r="F4818" t="str">
        <f>"7603731928"</f>
        <v>7603731928</v>
      </c>
      <c r="G4818" t="s">
        <v>12166</v>
      </c>
      <c r="H4818" t="s">
        <v>12167</v>
      </c>
      <c r="I4818" t="s">
        <v>22</v>
      </c>
      <c r="J4818" t="s">
        <v>12168</v>
      </c>
      <c r="K4818">
        <v>682</v>
      </c>
      <c r="L4818" t="s">
        <v>23</v>
      </c>
      <c r="M4818" t="s">
        <v>12166</v>
      </c>
      <c r="N4818" t="s">
        <v>12167</v>
      </c>
      <c r="O4818" t="s">
        <v>22</v>
      </c>
      <c r="P4818" t="s">
        <v>12168</v>
      </c>
      <c r="Q4818">
        <v>682</v>
      </c>
      <c r="R4818" t="s">
        <v>23</v>
      </c>
      <c r="S4818" s="1" t="s">
        <v>34218</v>
      </c>
    </row>
    <row r="4819" spans="1:19" x14ac:dyDescent="0.25">
      <c r="A4819">
        <v>100620721</v>
      </c>
      <c r="B4819" t="s">
        <v>12169</v>
      </c>
      <c r="C4819" t="s">
        <v>6653</v>
      </c>
      <c r="F4819" t="str">
        <f>"9195464109"</f>
        <v>9195464109</v>
      </c>
      <c r="G4819" t="s">
        <v>12170</v>
      </c>
      <c r="H4819" t="s">
        <v>1276</v>
      </c>
      <c r="I4819" t="s">
        <v>446</v>
      </c>
      <c r="J4819" t="s">
        <v>12171</v>
      </c>
      <c r="K4819">
        <v>4371</v>
      </c>
      <c r="L4819" t="s">
        <v>23</v>
      </c>
      <c r="M4819" t="s">
        <v>12170</v>
      </c>
      <c r="N4819" t="s">
        <v>1276</v>
      </c>
      <c r="O4819" t="s">
        <v>446</v>
      </c>
      <c r="P4819" t="s">
        <v>12171</v>
      </c>
      <c r="Q4819">
        <v>4371</v>
      </c>
      <c r="R4819" t="s">
        <v>23</v>
      </c>
      <c r="S4819" s="1" t="s">
        <v>34218</v>
      </c>
    </row>
    <row r="4820" spans="1:19" x14ac:dyDescent="0.25">
      <c r="A4820">
        <v>101292269</v>
      </c>
      <c r="B4820" t="s">
        <v>12172</v>
      </c>
      <c r="C4820" t="s">
        <v>49</v>
      </c>
      <c r="F4820" t="str">
        <f>"3124098752"</f>
        <v>3124098752</v>
      </c>
      <c r="G4820" t="s">
        <v>12173</v>
      </c>
      <c r="H4820" t="s">
        <v>134</v>
      </c>
      <c r="I4820" t="s">
        <v>135</v>
      </c>
      <c r="J4820">
        <v>60611</v>
      </c>
      <c r="K4820">
        <v>1779</v>
      </c>
      <c r="L4820" t="s">
        <v>23</v>
      </c>
      <c r="M4820" t="s">
        <v>12173</v>
      </c>
      <c r="N4820" t="s">
        <v>134</v>
      </c>
      <c r="O4820" t="s">
        <v>135</v>
      </c>
      <c r="P4820">
        <v>60611</v>
      </c>
      <c r="Q4820">
        <v>1779</v>
      </c>
      <c r="R4820" t="s">
        <v>23</v>
      </c>
      <c r="S4820" s="1" t="s">
        <v>34218</v>
      </c>
    </row>
    <row r="4821" spans="1:19" x14ac:dyDescent="0.25">
      <c r="A4821">
        <v>101262731</v>
      </c>
      <c r="B4821" t="s">
        <v>12174</v>
      </c>
      <c r="C4821" t="s">
        <v>579</v>
      </c>
      <c r="F4821" t="str">
        <f>"4086257648"</f>
        <v>4086257648</v>
      </c>
      <c r="G4821" t="s">
        <v>12175</v>
      </c>
      <c r="H4821" t="s">
        <v>1052</v>
      </c>
      <c r="I4821" t="s">
        <v>22</v>
      </c>
      <c r="J4821">
        <v>94706</v>
      </c>
      <c r="K4821">
        <v>2322</v>
      </c>
      <c r="L4821" t="s">
        <v>23</v>
      </c>
      <c r="M4821" t="s">
        <v>12175</v>
      </c>
      <c r="N4821" t="s">
        <v>1052</v>
      </c>
      <c r="O4821" t="s">
        <v>22</v>
      </c>
      <c r="P4821">
        <v>94706</v>
      </c>
      <c r="Q4821">
        <v>2322</v>
      </c>
      <c r="R4821" t="s">
        <v>23</v>
      </c>
      <c r="S4821" s="1" t="s">
        <v>34218</v>
      </c>
    </row>
    <row r="4822" spans="1:19" x14ac:dyDescent="0.25">
      <c r="A4822">
        <v>101205164</v>
      </c>
      <c r="B4822" t="s">
        <v>12176</v>
      </c>
      <c r="C4822" t="s">
        <v>2287</v>
      </c>
      <c r="F4822" t="str">
        <f>"5035551212"</f>
        <v>5035551212</v>
      </c>
      <c r="G4822" t="s">
        <v>12177</v>
      </c>
      <c r="H4822" t="s">
        <v>227</v>
      </c>
      <c r="I4822" t="s">
        <v>43</v>
      </c>
      <c r="J4822">
        <v>97214</v>
      </c>
      <c r="L4822" t="s">
        <v>23</v>
      </c>
      <c r="M4822" t="s">
        <v>12177</v>
      </c>
      <c r="N4822" t="s">
        <v>227</v>
      </c>
      <c r="O4822" t="s">
        <v>43</v>
      </c>
      <c r="P4822">
        <v>97214</v>
      </c>
      <c r="R4822" t="s">
        <v>23</v>
      </c>
      <c r="S4822" s="1" t="s">
        <v>34218</v>
      </c>
    </row>
    <row r="4823" spans="1:19" x14ac:dyDescent="0.25">
      <c r="A4823">
        <v>101262770</v>
      </c>
      <c r="B4823" t="s">
        <v>12178</v>
      </c>
      <c r="C4823" t="s">
        <v>10601</v>
      </c>
      <c r="F4823" t="str">
        <f>"4153837120"</f>
        <v>4153837120</v>
      </c>
      <c r="G4823" t="s">
        <v>12179</v>
      </c>
      <c r="H4823" t="s">
        <v>2684</v>
      </c>
      <c r="I4823" t="s">
        <v>22</v>
      </c>
      <c r="J4823">
        <v>94903</v>
      </c>
      <c r="K4823">
        <v>2902</v>
      </c>
      <c r="L4823" t="s">
        <v>23</v>
      </c>
      <c r="M4823" t="s">
        <v>12179</v>
      </c>
      <c r="N4823" t="s">
        <v>2684</v>
      </c>
      <c r="O4823" t="s">
        <v>22</v>
      </c>
      <c r="P4823">
        <v>94903</v>
      </c>
      <c r="Q4823">
        <v>2902</v>
      </c>
      <c r="R4823" t="s">
        <v>23</v>
      </c>
      <c r="S4823" s="1" t="s">
        <v>34218</v>
      </c>
    </row>
    <row r="4824" spans="1:19" x14ac:dyDescent="0.25">
      <c r="A4824">
        <v>100960975</v>
      </c>
      <c r="B4824" t="s">
        <v>12180</v>
      </c>
      <c r="C4824" t="s">
        <v>1124</v>
      </c>
      <c r="F4824" t="str">
        <f>"9737595867"</f>
        <v>9737595867</v>
      </c>
      <c r="G4824" t="s">
        <v>12181</v>
      </c>
      <c r="H4824" t="s">
        <v>12182</v>
      </c>
      <c r="I4824" t="s">
        <v>250</v>
      </c>
      <c r="J4824">
        <v>7950</v>
      </c>
      <c r="K4824">
        <v>3431</v>
      </c>
      <c r="L4824" t="s">
        <v>23</v>
      </c>
      <c r="M4824" t="s">
        <v>12181</v>
      </c>
      <c r="N4824" t="s">
        <v>12182</v>
      </c>
      <c r="O4824" t="s">
        <v>250</v>
      </c>
      <c r="P4824">
        <v>7950</v>
      </c>
      <c r="Q4824">
        <v>3431</v>
      </c>
      <c r="R4824" t="s">
        <v>23</v>
      </c>
      <c r="S4824" s="1" t="s">
        <v>34218</v>
      </c>
    </row>
    <row r="4825" spans="1:19" x14ac:dyDescent="0.25">
      <c r="A4825">
        <v>101261653</v>
      </c>
      <c r="B4825" t="s">
        <v>756</v>
      </c>
      <c r="C4825" t="s">
        <v>12183</v>
      </c>
      <c r="F4825" t="str">
        <f>"8452649909"</f>
        <v>8452649909</v>
      </c>
      <c r="G4825" t="s">
        <v>12184</v>
      </c>
      <c r="H4825" t="s">
        <v>12185</v>
      </c>
      <c r="I4825" t="s">
        <v>117</v>
      </c>
      <c r="J4825">
        <v>14424</v>
      </c>
      <c r="K4825">
        <v>8530</v>
      </c>
      <c r="L4825" t="s">
        <v>23</v>
      </c>
      <c r="M4825" t="s">
        <v>12184</v>
      </c>
      <c r="N4825" t="s">
        <v>12185</v>
      </c>
      <c r="O4825" t="s">
        <v>117</v>
      </c>
      <c r="P4825">
        <v>14424</v>
      </c>
      <c r="Q4825">
        <v>8530</v>
      </c>
      <c r="R4825" t="s">
        <v>23</v>
      </c>
      <c r="S4825" s="1" t="s">
        <v>34218</v>
      </c>
    </row>
    <row r="4826" spans="1:19" x14ac:dyDescent="0.25">
      <c r="A4826">
        <v>100788624</v>
      </c>
      <c r="B4826" t="s">
        <v>1726</v>
      </c>
      <c r="C4826" t="s">
        <v>5868</v>
      </c>
      <c r="F4826" t="str">
        <f>"5055556987"</f>
        <v>5055556987</v>
      </c>
      <c r="G4826" t="s">
        <v>12186</v>
      </c>
      <c r="H4826" t="s">
        <v>5700</v>
      </c>
      <c r="I4826" t="s">
        <v>28</v>
      </c>
      <c r="J4826">
        <v>30188</v>
      </c>
      <c r="K4826">
        <v>3859</v>
      </c>
      <c r="L4826" t="s">
        <v>23</v>
      </c>
      <c r="M4826" t="s">
        <v>12186</v>
      </c>
      <c r="N4826" t="s">
        <v>5700</v>
      </c>
      <c r="O4826" t="s">
        <v>28</v>
      </c>
      <c r="P4826">
        <v>30188</v>
      </c>
      <c r="Q4826">
        <v>3859</v>
      </c>
      <c r="R4826" t="s">
        <v>23</v>
      </c>
      <c r="S4826" s="1" t="s">
        <v>34218</v>
      </c>
    </row>
    <row r="4827" spans="1:19" x14ac:dyDescent="0.25">
      <c r="A4827">
        <v>101198832</v>
      </c>
      <c r="B4827" t="s">
        <v>465</v>
      </c>
      <c r="C4827" t="s">
        <v>12187</v>
      </c>
      <c r="F4827" t="str">
        <f>"6197090483"</f>
        <v>6197090483</v>
      </c>
      <c r="G4827" t="s">
        <v>12188</v>
      </c>
      <c r="H4827" t="s">
        <v>198</v>
      </c>
      <c r="I4827" t="s">
        <v>22</v>
      </c>
      <c r="J4827">
        <v>92126</v>
      </c>
      <c r="K4827">
        <v>5553</v>
      </c>
      <c r="L4827" t="s">
        <v>23</v>
      </c>
      <c r="M4827" t="s">
        <v>12188</v>
      </c>
      <c r="N4827" t="s">
        <v>198</v>
      </c>
      <c r="O4827" t="s">
        <v>22</v>
      </c>
      <c r="P4827">
        <v>92126</v>
      </c>
      <c r="Q4827">
        <v>5553</v>
      </c>
      <c r="R4827" t="s">
        <v>23</v>
      </c>
      <c r="S4827" s="1" t="s">
        <v>34218</v>
      </c>
    </row>
    <row r="4828" spans="1:19" x14ac:dyDescent="0.25">
      <c r="A4828">
        <v>101301059</v>
      </c>
      <c r="B4828" t="s">
        <v>12189</v>
      </c>
      <c r="C4828" t="s">
        <v>406</v>
      </c>
      <c r="F4828" t="str">
        <f>"5032477530"</f>
        <v>5032477530</v>
      </c>
      <c r="G4828" t="s">
        <v>12190</v>
      </c>
      <c r="H4828" t="s">
        <v>227</v>
      </c>
      <c r="I4828" t="s">
        <v>43</v>
      </c>
      <c r="J4828" t="s">
        <v>12191</v>
      </c>
      <c r="K4828">
        <v>8218</v>
      </c>
      <c r="L4828" t="s">
        <v>23</v>
      </c>
      <c r="M4828" t="s">
        <v>12190</v>
      </c>
      <c r="N4828" t="s">
        <v>227</v>
      </c>
      <c r="O4828" t="s">
        <v>43</v>
      </c>
      <c r="P4828" t="s">
        <v>12191</v>
      </c>
      <c r="Q4828">
        <v>8218</v>
      </c>
      <c r="R4828" t="s">
        <v>23</v>
      </c>
      <c r="S4828" s="1" t="s">
        <v>34218</v>
      </c>
    </row>
    <row r="4829" spans="1:19" x14ac:dyDescent="0.25">
      <c r="A4829">
        <v>100898963</v>
      </c>
      <c r="B4829" t="s">
        <v>12192</v>
      </c>
      <c r="C4829" t="s">
        <v>846</v>
      </c>
      <c r="F4829" t="str">
        <f>"7062186410"</f>
        <v>7062186410</v>
      </c>
      <c r="G4829" t="s">
        <v>12193</v>
      </c>
      <c r="H4829" t="s">
        <v>1210</v>
      </c>
      <c r="I4829" t="s">
        <v>28</v>
      </c>
      <c r="J4829" t="s">
        <v>12194</v>
      </c>
      <c r="K4829">
        <v>8415</v>
      </c>
      <c r="L4829" t="s">
        <v>23</v>
      </c>
      <c r="M4829" t="s">
        <v>12193</v>
      </c>
      <c r="N4829" t="s">
        <v>1210</v>
      </c>
      <c r="O4829" t="s">
        <v>28</v>
      </c>
      <c r="P4829" t="s">
        <v>12194</v>
      </c>
      <c r="Q4829">
        <v>8415</v>
      </c>
      <c r="R4829" t="s">
        <v>23</v>
      </c>
      <c r="S4829" s="1" t="s">
        <v>34218</v>
      </c>
    </row>
    <row r="4830" spans="1:19" x14ac:dyDescent="0.25">
      <c r="A4830">
        <v>100973019</v>
      </c>
      <c r="B4830" t="s">
        <v>12195</v>
      </c>
      <c r="C4830" t="s">
        <v>155</v>
      </c>
      <c r="F4830" t="str">
        <f>"7175458833"</f>
        <v>7175458833</v>
      </c>
      <c r="G4830" t="s">
        <v>12196</v>
      </c>
      <c r="H4830" t="s">
        <v>12197</v>
      </c>
      <c r="I4830" t="s">
        <v>33</v>
      </c>
      <c r="J4830" t="s">
        <v>12198</v>
      </c>
      <c r="K4830">
        <v>4679</v>
      </c>
      <c r="L4830" t="s">
        <v>23</v>
      </c>
      <c r="M4830" t="s">
        <v>12196</v>
      </c>
      <c r="N4830" t="s">
        <v>12197</v>
      </c>
      <c r="O4830" t="s">
        <v>33</v>
      </c>
      <c r="P4830" t="s">
        <v>12198</v>
      </c>
      <c r="Q4830">
        <v>4679</v>
      </c>
      <c r="R4830" t="s">
        <v>23</v>
      </c>
      <c r="S4830" s="1" t="s">
        <v>34218</v>
      </c>
    </row>
    <row r="4831" spans="1:19" x14ac:dyDescent="0.25">
      <c r="A4831">
        <v>101059882</v>
      </c>
      <c r="B4831" t="s">
        <v>12199</v>
      </c>
      <c r="C4831" t="s">
        <v>7445</v>
      </c>
      <c r="F4831" t="str">
        <f>"8565895488"</f>
        <v>8565895488</v>
      </c>
      <c r="G4831" t="s">
        <v>12200</v>
      </c>
      <c r="H4831" t="s">
        <v>12201</v>
      </c>
      <c r="I4831" t="s">
        <v>250</v>
      </c>
      <c r="J4831">
        <v>8071</v>
      </c>
      <c r="L4831" t="s">
        <v>23</v>
      </c>
      <c r="M4831" t="s">
        <v>12200</v>
      </c>
      <c r="N4831" t="s">
        <v>12201</v>
      </c>
      <c r="O4831" t="s">
        <v>250</v>
      </c>
      <c r="P4831">
        <v>8071</v>
      </c>
      <c r="R4831" t="s">
        <v>23</v>
      </c>
      <c r="S4831" s="1" t="s">
        <v>34218</v>
      </c>
    </row>
    <row r="4832" spans="1:19" x14ac:dyDescent="0.25">
      <c r="A4832">
        <v>100812120</v>
      </c>
      <c r="B4832" t="s">
        <v>12202</v>
      </c>
      <c r="C4832" t="s">
        <v>1327</v>
      </c>
      <c r="F4832" t="str">
        <f>"6312618163"</f>
        <v>6312618163</v>
      </c>
      <c r="G4832" t="s">
        <v>12203</v>
      </c>
      <c r="H4832" t="s">
        <v>12204</v>
      </c>
      <c r="I4832" t="s">
        <v>117</v>
      </c>
      <c r="J4832">
        <v>11749</v>
      </c>
      <c r="L4832" t="s">
        <v>23</v>
      </c>
      <c r="M4832" t="s">
        <v>12203</v>
      </c>
      <c r="N4832" t="s">
        <v>12204</v>
      </c>
      <c r="O4832" t="s">
        <v>117</v>
      </c>
      <c r="P4832">
        <v>11749</v>
      </c>
      <c r="R4832" t="s">
        <v>23</v>
      </c>
      <c r="S4832" s="1" t="s">
        <v>34218</v>
      </c>
    </row>
    <row r="4833" spans="1:19" x14ac:dyDescent="0.25">
      <c r="A4833">
        <v>100623499</v>
      </c>
      <c r="B4833" t="s">
        <v>12205</v>
      </c>
      <c r="C4833" t="s">
        <v>916</v>
      </c>
      <c r="F4833" t="str">
        <f>"4159557758"</f>
        <v>4159557758</v>
      </c>
      <c r="G4833" t="s">
        <v>12206</v>
      </c>
      <c r="H4833" t="s">
        <v>1439</v>
      </c>
      <c r="I4833" t="s">
        <v>365</v>
      </c>
      <c r="J4833">
        <v>85718</v>
      </c>
      <c r="K4833">
        <v>3366</v>
      </c>
      <c r="L4833" t="s">
        <v>23</v>
      </c>
      <c r="M4833" t="s">
        <v>12206</v>
      </c>
      <c r="N4833" t="s">
        <v>1439</v>
      </c>
      <c r="O4833" t="s">
        <v>365</v>
      </c>
      <c r="P4833">
        <v>85718</v>
      </c>
      <c r="Q4833">
        <v>3366</v>
      </c>
      <c r="R4833" t="s">
        <v>23</v>
      </c>
      <c r="S4833" s="1" t="s">
        <v>34218</v>
      </c>
    </row>
    <row r="4834" spans="1:19" x14ac:dyDescent="0.25">
      <c r="A4834">
        <v>100934732</v>
      </c>
      <c r="B4834" t="s">
        <v>1156</v>
      </c>
      <c r="C4834" t="s">
        <v>12207</v>
      </c>
      <c r="F4834" t="str">
        <f>"8128538996"</f>
        <v>8128538996</v>
      </c>
      <c r="G4834" t="s">
        <v>12208</v>
      </c>
      <c r="H4834" t="s">
        <v>12209</v>
      </c>
      <c r="I4834" t="s">
        <v>71</v>
      </c>
      <c r="J4834">
        <v>81612</v>
      </c>
      <c r="L4834" t="s">
        <v>23</v>
      </c>
      <c r="M4834" t="s">
        <v>12208</v>
      </c>
      <c r="N4834" t="s">
        <v>12209</v>
      </c>
      <c r="O4834" t="s">
        <v>71</v>
      </c>
      <c r="P4834">
        <v>81612</v>
      </c>
      <c r="R4834" t="s">
        <v>23</v>
      </c>
      <c r="S4834" s="1" t="s">
        <v>34218</v>
      </c>
    </row>
    <row r="4835" spans="1:19" x14ac:dyDescent="0.25">
      <c r="A4835">
        <v>101206051</v>
      </c>
      <c r="B4835" t="s">
        <v>34</v>
      </c>
      <c r="C4835" t="s">
        <v>2463</v>
      </c>
      <c r="F4835" t="str">
        <f>"2222222222"</f>
        <v>2222222222</v>
      </c>
      <c r="G4835" t="s">
        <v>12210</v>
      </c>
      <c r="H4835" t="s">
        <v>380</v>
      </c>
      <c r="I4835" t="s">
        <v>38</v>
      </c>
      <c r="J4835">
        <v>75204</v>
      </c>
      <c r="K4835">
        <v>3473</v>
      </c>
      <c r="L4835" t="s">
        <v>23</v>
      </c>
      <c r="M4835" t="s">
        <v>12210</v>
      </c>
      <c r="N4835" t="s">
        <v>380</v>
      </c>
      <c r="O4835" t="s">
        <v>38</v>
      </c>
      <c r="P4835">
        <v>75204</v>
      </c>
      <c r="Q4835">
        <v>3473</v>
      </c>
      <c r="R4835" t="s">
        <v>23</v>
      </c>
      <c r="S4835" s="1" t="s">
        <v>34218</v>
      </c>
    </row>
    <row r="4836" spans="1:19" x14ac:dyDescent="0.25">
      <c r="A4836">
        <v>101336505</v>
      </c>
      <c r="B4836" t="s">
        <v>12211</v>
      </c>
      <c r="C4836" t="s">
        <v>367</v>
      </c>
      <c r="F4836" t="str">
        <f>"2482170479"</f>
        <v>2482170479</v>
      </c>
      <c r="G4836" t="s">
        <v>12212</v>
      </c>
      <c r="H4836" t="s">
        <v>8206</v>
      </c>
      <c r="I4836" t="s">
        <v>140</v>
      </c>
      <c r="J4836">
        <v>48381</v>
      </c>
      <c r="K4836">
        <v>3517</v>
      </c>
      <c r="L4836" t="s">
        <v>23</v>
      </c>
      <c r="M4836" t="s">
        <v>12212</v>
      </c>
      <c r="N4836" t="s">
        <v>8206</v>
      </c>
      <c r="O4836" t="s">
        <v>140</v>
      </c>
      <c r="P4836">
        <v>48381</v>
      </c>
      <c r="Q4836">
        <v>3517</v>
      </c>
      <c r="R4836" t="s">
        <v>23</v>
      </c>
      <c r="S4836" s="1" t="s">
        <v>34218</v>
      </c>
    </row>
    <row r="4837" spans="1:19" x14ac:dyDescent="0.25">
      <c r="A4837">
        <v>101347925</v>
      </c>
      <c r="B4837" t="s">
        <v>12213</v>
      </c>
      <c r="C4837" t="s">
        <v>12214</v>
      </c>
      <c r="F4837" t="str">
        <f>"8183437726"</f>
        <v>8183437726</v>
      </c>
      <c r="G4837" t="s">
        <v>12215</v>
      </c>
      <c r="H4837" t="s">
        <v>5290</v>
      </c>
      <c r="I4837" t="s">
        <v>22</v>
      </c>
      <c r="J4837">
        <v>91356</v>
      </c>
      <c r="L4837" t="s">
        <v>23</v>
      </c>
      <c r="M4837" t="s">
        <v>12215</v>
      </c>
      <c r="N4837" t="s">
        <v>5290</v>
      </c>
      <c r="O4837" t="s">
        <v>22</v>
      </c>
      <c r="P4837">
        <v>91356</v>
      </c>
      <c r="R4837" t="s">
        <v>23</v>
      </c>
      <c r="S4837" s="1" t="s">
        <v>34218</v>
      </c>
    </row>
    <row r="4838" spans="1:19" x14ac:dyDescent="0.25">
      <c r="A4838">
        <v>100878559</v>
      </c>
      <c r="B4838" t="s">
        <v>3177</v>
      </c>
      <c r="C4838" t="s">
        <v>12216</v>
      </c>
      <c r="F4838" t="str">
        <f>"7347879294"</f>
        <v>7347879294</v>
      </c>
      <c r="G4838" t="s">
        <v>12217</v>
      </c>
      <c r="H4838" t="s">
        <v>12218</v>
      </c>
      <c r="I4838" t="s">
        <v>140</v>
      </c>
      <c r="J4838">
        <v>48111</v>
      </c>
      <c r="K4838">
        <v>3416</v>
      </c>
      <c r="L4838" t="s">
        <v>23</v>
      </c>
      <c r="M4838" t="s">
        <v>12217</v>
      </c>
      <c r="N4838" t="s">
        <v>12218</v>
      </c>
      <c r="O4838" t="s">
        <v>140</v>
      </c>
      <c r="P4838">
        <v>48111</v>
      </c>
      <c r="Q4838">
        <v>3416</v>
      </c>
      <c r="R4838" t="s">
        <v>23</v>
      </c>
      <c r="S4838" s="1" t="s">
        <v>34218</v>
      </c>
    </row>
    <row r="4839" spans="1:19" x14ac:dyDescent="0.25">
      <c r="A4839">
        <v>101126603</v>
      </c>
      <c r="B4839" t="s">
        <v>12219</v>
      </c>
      <c r="C4839" t="s">
        <v>367</v>
      </c>
      <c r="F4839" t="str">
        <f>"9494883780"</f>
        <v>9494883780</v>
      </c>
      <c r="G4839" t="s">
        <v>12220</v>
      </c>
      <c r="H4839" t="s">
        <v>12221</v>
      </c>
      <c r="I4839" t="s">
        <v>22</v>
      </c>
      <c r="J4839">
        <v>92629</v>
      </c>
      <c r="K4839">
        <v>2901</v>
      </c>
      <c r="L4839" t="s">
        <v>23</v>
      </c>
      <c r="M4839" t="s">
        <v>12220</v>
      </c>
      <c r="N4839" t="s">
        <v>12221</v>
      </c>
      <c r="O4839" t="s">
        <v>22</v>
      </c>
      <c r="P4839">
        <v>92629</v>
      </c>
      <c r="Q4839">
        <v>2901</v>
      </c>
      <c r="R4839" t="s">
        <v>23</v>
      </c>
      <c r="S4839" s="1" t="s">
        <v>34218</v>
      </c>
    </row>
    <row r="4840" spans="1:19" x14ac:dyDescent="0.25">
      <c r="A4840">
        <v>101064145</v>
      </c>
      <c r="B4840" t="s">
        <v>12222</v>
      </c>
      <c r="C4840" t="s">
        <v>5613</v>
      </c>
      <c r="F4840" t="str">
        <f>"5413430145"</f>
        <v>5413430145</v>
      </c>
      <c r="G4840" t="s">
        <v>12223</v>
      </c>
      <c r="H4840" t="s">
        <v>3144</v>
      </c>
      <c r="I4840" t="s">
        <v>43</v>
      </c>
      <c r="J4840">
        <v>97448</v>
      </c>
      <c r="K4840">
        <v>8536</v>
      </c>
      <c r="L4840" t="s">
        <v>23</v>
      </c>
      <c r="M4840" t="s">
        <v>12223</v>
      </c>
      <c r="N4840" t="s">
        <v>3144</v>
      </c>
      <c r="O4840" t="s">
        <v>43</v>
      </c>
      <c r="P4840">
        <v>97448</v>
      </c>
      <c r="Q4840">
        <v>8536</v>
      </c>
      <c r="R4840" t="s">
        <v>23</v>
      </c>
      <c r="S4840" s="1" t="s">
        <v>34218</v>
      </c>
    </row>
    <row r="4841" spans="1:19" x14ac:dyDescent="0.25">
      <c r="A4841">
        <v>100885977</v>
      </c>
      <c r="B4841" t="s">
        <v>12224</v>
      </c>
      <c r="C4841" t="s">
        <v>3171</v>
      </c>
      <c r="F4841" t="str">
        <f>"6512725142"</f>
        <v>6512725142</v>
      </c>
      <c r="G4841" t="s">
        <v>12225</v>
      </c>
      <c r="H4841" t="s">
        <v>2857</v>
      </c>
      <c r="I4841" t="s">
        <v>187</v>
      </c>
      <c r="J4841">
        <v>55079</v>
      </c>
      <c r="K4841">
        <v>9485</v>
      </c>
      <c r="L4841" t="s">
        <v>23</v>
      </c>
      <c r="M4841" t="s">
        <v>12225</v>
      </c>
      <c r="N4841" t="s">
        <v>2857</v>
      </c>
      <c r="O4841" t="s">
        <v>187</v>
      </c>
      <c r="P4841">
        <v>55079</v>
      </c>
      <c r="Q4841">
        <v>9485</v>
      </c>
      <c r="R4841" t="s">
        <v>23</v>
      </c>
      <c r="S4841" s="1" t="s">
        <v>34218</v>
      </c>
    </row>
    <row r="4842" spans="1:19" x14ac:dyDescent="0.25">
      <c r="A4842">
        <v>100885706</v>
      </c>
      <c r="B4842" t="s">
        <v>12226</v>
      </c>
      <c r="C4842" t="s">
        <v>2557</v>
      </c>
      <c r="F4842" t="str">
        <f>"5035403024"</f>
        <v>5035403024</v>
      </c>
      <c r="G4842" t="s">
        <v>12227</v>
      </c>
      <c r="H4842" t="s">
        <v>37</v>
      </c>
      <c r="I4842" t="s">
        <v>38</v>
      </c>
      <c r="J4842">
        <v>78704</v>
      </c>
      <c r="K4842">
        <v>5198</v>
      </c>
      <c r="L4842" t="s">
        <v>23</v>
      </c>
      <c r="M4842" t="s">
        <v>12227</v>
      </c>
      <c r="N4842" t="s">
        <v>37</v>
      </c>
      <c r="O4842" t="s">
        <v>38</v>
      </c>
      <c r="P4842">
        <v>78704</v>
      </c>
      <c r="Q4842">
        <v>5198</v>
      </c>
      <c r="R4842" t="s">
        <v>23</v>
      </c>
      <c r="S4842" s="1" t="s">
        <v>34218</v>
      </c>
    </row>
    <row r="4843" spans="1:19" x14ac:dyDescent="0.25">
      <c r="A4843">
        <v>101050343</v>
      </c>
      <c r="B4843" t="s">
        <v>5612</v>
      </c>
      <c r="C4843" t="s">
        <v>11488</v>
      </c>
      <c r="F4843" t="str">
        <f>"2143257086"</f>
        <v>2143257086</v>
      </c>
      <c r="G4843" t="s">
        <v>12228</v>
      </c>
      <c r="H4843" t="s">
        <v>380</v>
      </c>
      <c r="I4843" t="s">
        <v>38</v>
      </c>
      <c r="J4843">
        <v>75248</v>
      </c>
      <c r="K4843">
        <v>2949</v>
      </c>
      <c r="L4843" t="s">
        <v>23</v>
      </c>
      <c r="M4843" t="s">
        <v>12228</v>
      </c>
      <c r="N4843" t="s">
        <v>380</v>
      </c>
      <c r="O4843" t="s">
        <v>38</v>
      </c>
      <c r="P4843">
        <v>75248</v>
      </c>
      <c r="Q4843">
        <v>2949</v>
      </c>
      <c r="R4843" t="s">
        <v>23</v>
      </c>
      <c r="S4843" s="1" t="s">
        <v>34218</v>
      </c>
    </row>
    <row r="4844" spans="1:19" x14ac:dyDescent="0.25">
      <c r="A4844">
        <v>100978662</v>
      </c>
      <c r="B4844" t="s">
        <v>12229</v>
      </c>
      <c r="C4844" t="s">
        <v>2518</v>
      </c>
      <c r="F4844" t="str">
        <f>"5555555555"</f>
        <v>5555555555</v>
      </c>
      <c r="G4844" t="s">
        <v>12230</v>
      </c>
      <c r="H4844" t="s">
        <v>4741</v>
      </c>
      <c r="I4844" t="s">
        <v>250</v>
      </c>
      <c r="J4844">
        <v>7071</v>
      </c>
      <c r="K4844">
        <v>1817</v>
      </c>
      <c r="L4844" t="s">
        <v>23</v>
      </c>
      <c r="M4844" t="s">
        <v>12230</v>
      </c>
      <c r="N4844" t="s">
        <v>4741</v>
      </c>
      <c r="O4844" t="s">
        <v>250</v>
      </c>
      <c r="P4844">
        <v>7071</v>
      </c>
      <c r="Q4844">
        <v>1817</v>
      </c>
      <c r="R4844" t="s">
        <v>23</v>
      </c>
      <c r="S4844" s="1" t="s">
        <v>34218</v>
      </c>
    </row>
    <row r="4845" spans="1:19" x14ac:dyDescent="0.25">
      <c r="A4845">
        <v>101065082</v>
      </c>
      <c r="B4845" t="s">
        <v>12231</v>
      </c>
      <c r="C4845" t="s">
        <v>2151</v>
      </c>
      <c r="G4845" t="s">
        <v>12232</v>
      </c>
      <c r="H4845" t="s">
        <v>5037</v>
      </c>
      <c r="I4845" t="s">
        <v>236</v>
      </c>
      <c r="J4845">
        <v>2478</v>
      </c>
      <c r="K4845">
        <v>3425</v>
      </c>
      <c r="L4845" t="s">
        <v>23</v>
      </c>
      <c r="M4845" t="s">
        <v>12232</v>
      </c>
      <c r="N4845" t="s">
        <v>5037</v>
      </c>
      <c r="O4845" t="s">
        <v>236</v>
      </c>
      <c r="P4845">
        <v>2478</v>
      </c>
      <c r="Q4845">
        <v>3425</v>
      </c>
      <c r="R4845" t="s">
        <v>23</v>
      </c>
      <c r="S4845" s="1" t="s">
        <v>34218</v>
      </c>
    </row>
    <row r="4846" spans="1:19" x14ac:dyDescent="0.25">
      <c r="A4846">
        <v>101066612</v>
      </c>
      <c r="B4846" t="s">
        <v>3159</v>
      </c>
      <c r="C4846" t="s">
        <v>286</v>
      </c>
      <c r="G4846" t="s">
        <v>12233</v>
      </c>
      <c r="H4846" t="s">
        <v>2139</v>
      </c>
      <c r="I4846" t="s">
        <v>135</v>
      </c>
      <c r="J4846">
        <v>60062</v>
      </c>
      <c r="K4846">
        <v>7623</v>
      </c>
      <c r="L4846" t="s">
        <v>23</v>
      </c>
      <c r="M4846" t="s">
        <v>12233</v>
      </c>
      <c r="N4846" t="s">
        <v>2139</v>
      </c>
      <c r="O4846" t="s">
        <v>135</v>
      </c>
      <c r="P4846">
        <v>60062</v>
      </c>
      <c r="Q4846">
        <v>7623</v>
      </c>
      <c r="R4846" t="s">
        <v>23</v>
      </c>
      <c r="S4846" s="1" t="s">
        <v>34218</v>
      </c>
    </row>
    <row r="4847" spans="1:19" x14ac:dyDescent="0.25">
      <c r="A4847">
        <v>101272286</v>
      </c>
      <c r="B4847" t="s">
        <v>985</v>
      </c>
      <c r="C4847" t="s">
        <v>1135</v>
      </c>
      <c r="F4847" t="str">
        <f>"2022882958"</f>
        <v>2022882958</v>
      </c>
      <c r="G4847" t="s">
        <v>12234</v>
      </c>
      <c r="H4847" t="s">
        <v>4929</v>
      </c>
      <c r="I4847" t="s">
        <v>71</v>
      </c>
      <c r="J4847">
        <v>81620</v>
      </c>
      <c r="K4847">
        <v>365</v>
      </c>
      <c r="L4847" t="s">
        <v>23</v>
      </c>
      <c r="M4847" t="s">
        <v>12234</v>
      </c>
      <c r="N4847" t="s">
        <v>4929</v>
      </c>
      <c r="O4847" t="s">
        <v>71</v>
      </c>
      <c r="P4847">
        <v>81620</v>
      </c>
      <c r="Q4847">
        <v>365</v>
      </c>
      <c r="R4847" t="s">
        <v>23</v>
      </c>
      <c r="S4847" s="1" t="s">
        <v>34218</v>
      </c>
    </row>
    <row r="4848" spans="1:19" x14ac:dyDescent="0.25">
      <c r="A4848">
        <v>101268359</v>
      </c>
      <c r="B4848" t="s">
        <v>2891</v>
      </c>
      <c r="C4848" t="s">
        <v>1588</v>
      </c>
      <c r="F4848" t="str">
        <f>"3186035443"</f>
        <v>3186035443</v>
      </c>
      <c r="G4848" t="s">
        <v>12235</v>
      </c>
      <c r="H4848" t="s">
        <v>12236</v>
      </c>
      <c r="I4848" t="s">
        <v>153</v>
      </c>
      <c r="J4848">
        <v>71129</v>
      </c>
      <c r="K4848">
        <v>4430</v>
      </c>
      <c r="L4848" t="s">
        <v>23</v>
      </c>
      <c r="M4848" t="s">
        <v>12235</v>
      </c>
      <c r="N4848" t="s">
        <v>12236</v>
      </c>
      <c r="O4848" t="s">
        <v>153</v>
      </c>
      <c r="P4848">
        <v>71129</v>
      </c>
      <c r="Q4848">
        <v>4430</v>
      </c>
      <c r="R4848" t="s">
        <v>23</v>
      </c>
      <c r="S4848" s="1" t="s">
        <v>34218</v>
      </c>
    </row>
    <row r="4849" spans="1:19" x14ac:dyDescent="0.25">
      <c r="A4849">
        <v>101268395</v>
      </c>
      <c r="B4849" t="s">
        <v>12237</v>
      </c>
      <c r="C4849" t="s">
        <v>12238</v>
      </c>
      <c r="F4849" t="str">
        <f>"6035285504"</f>
        <v>6035285504</v>
      </c>
      <c r="G4849" t="s">
        <v>12239</v>
      </c>
      <c r="H4849" t="s">
        <v>12240</v>
      </c>
      <c r="I4849" t="s">
        <v>353</v>
      </c>
      <c r="J4849">
        <v>3246</v>
      </c>
      <c r="K4849">
        <v>2721</v>
      </c>
      <c r="L4849" t="s">
        <v>23</v>
      </c>
      <c r="M4849" t="s">
        <v>12239</v>
      </c>
      <c r="N4849" t="s">
        <v>12240</v>
      </c>
      <c r="O4849" t="s">
        <v>353</v>
      </c>
      <c r="P4849">
        <v>3246</v>
      </c>
      <c r="Q4849">
        <v>2721</v>
      </c>
      <c r="R4849" t="s">
        <v>23</v>
      </c>
      <c r="S4849" s="1" t="s">
        <v>34218</v>
      </c>
    </row>
    <row r="4850" spans="1:19" x14ac:dyDescent="0.25">
      <c r="A4850">
        <v>101277067</v>
      </c>
      <c r="B4850" t="s">
        <v>1671</v>
      </c>
      <c r="C4850" t="s">
        <v>644</v>
      </c>
      <c r="G4850" t="s">
        <v>12241</v>
      </c>
      <c r="H4850" t="s">
        <v>12242</v>
      </c>
      <c r="I4850" t="s">
        <v>140</v>
      </c>
      <c r="J4850">
        <v>48451</v>
      </c>
      <c r="K4850">
        <v>8746</v>
      </c>
      <c r="L4850" t="s">
        <v>23</v>
      </c>
      <c r="M4850" t="s">
        <v>12241</v>
      </c>
      <c r="N4850" t="s">
        <v>12242</v>
      </c>
      <c r="O4850" t="s">
        <v>140</v>
      </c>
      <c r="P4850">
        <v>48451</v>
      </c>
      <c r="Q4850">
        <v>8746</v>
      </c>
      <c r="R4850" t="s">
        <v>23</v>
      </c>
      <c r="S4850" s="1" t="s">
        <v>34218</v>
      </c>
    </row>
    <row r="4851" spans="1:19" x14ac:dyDescent="0.25">
      <c r="A4851">
        <v>101277008</v>
      </c>
      <c r="B4851" t="s">
        <v>12243</v>
      </c>
      <c r="C4851" t="s">
        <v>8472</v>
      </c>
      <c r="G4851" t="s">
        <v>12244</v>
      </c>
      <c r="H4851" t="s">
        <v>5838</v>
      </c>
      <c r="I4851" t="s">
        <v>914</v>
      </c>
      <c r="J4851">
        <v>37415</v>
      </c>
      <c r="K4851">
        <v>3963</v>
      </c>
      <c r="L4851" t="s">
        <v>23</v>
      </c>
      <c r="M4851" t="s">
        <v>12244</v>
      </c>
      <c r="N4851" t="s">
        <v>5838</v>
      </c>
      <c r="O4851" t="s">
        <v>914</v>
      </c>
      <c r="P4851">
        <v>37415</v>
      </c>
      <c r="Q4851">
        <v>3963</v>
      </c>
      <c r="R4851" t="s">
        <v>23</v>
      </c>
      <c r="S4851" s="1" t="s">
        <v>34218</v>
      </c>
    </row>
    <row r="4852" spans="1:19" x14ac:dyDescent="0.25">
      <c r="A4852">
        <v>101279741</v>
      </c>
      <c r="B4852" t="s">
        <v>3096</v>
      </c>
      <c r="C4852" t="s">
        <v>158</v>
      </c>
      <c r="F4852" t="str">
        <f>"7325512770"</f>
        <v>7325512770</v>
      </c>
      <c r="G4852" t="s">
        <v>12245</v>
      </c>
      <c r="H4852" t="s">
        <v>11103</v>
      </c>
      <c r="I4852" t="s">
        <v>250</v>
      </c>
      <c r="J4852">
        <v>8722</v>
      </c>
      <c r="K4852">
        <v>3408</v>
      </c>
      <c r="L4852" t="s">
        <v>23</v>
      </c>
      <c r="M4852" t="s">
        <v>12245</v>
      </c>
      <c r="N4852" t="s">
        <v>11103</v>
      </c>
      <c r="O4852" t="s">
        <v>250</v>
      </c>
      <c r="P4852">
        <v>8722</v>
      </c>
      <c r="Q4852">
        <v>3408</v>
      </c>
      <c r="R4852" t="s">
        <v>23</v>
      </c>
      <c r="S4852" s="1" t="s">
        <v>34218</v>
      </c>
    </row>
    <row r="4853" spans="1:19" x14ac:dyDescent="0.25">
      <c r="A4853">
        <v>101269468</v>
      </c>
      <c r="B4853" t="s">
        <v>2685</v>
      </c>
      <c r="C4853" t="s">
        <v>6375</v>
      </c>
      <c r="F4853" t="str">
        <f>"7742258272"</f>
        <v>7742258272</v>
      </c>
      <c r="G4853" t="s">
        <v>12246</v>
      </c>
      <c r="H4853" t="s">
        <v>12247</v>
      </c>
      <c r="I4853" t="s">
        <v>662</v>
      </c>
      <c r="J4853">
        <v>2816</v>
      </c>
      <c r="K4853">
        <v>7227</v>
      </c>
      <c r="L4853" t="s">
        <v>23</v>
      </c>
      <c r="M4853" t="s">
        <v>12246</v>
      </c>
      <c r="N4853" t="s">
        <v>12247</v>
      </c>
      <c r="O4853" t="s">
        <v>662</v>
      </c>
      <c r="P4853">
        <v>2816</v>
      </c>
      <c r="Q4853">
        <v>7227</v>
      </c>
      <c r="R4853" t="s">
        <v>23</v>
      </c>
      <c r="S4853" s="1" t="s">
        <v>34218</v>
      </c>
    </row>
    <row r="4854" spans="1:19" x14ac:dyDescent="0.25">
      <c r="A4854">
        <v>101269611</v>
      </c>
      <c r="B4854" t="s">
        <v>12248</v>
      </c>
      <c r="C4854" t="s">
        <v>579</v>
      </c>
      <c r="G4854" t="s">
        <v>12249</v>
      </c>
      <c r="H4854" t="s">
        <v>5190</v>
      </c>
      <c r="I4854" t="s">
        <v>255</v>
      </c>
      <c r="J4854">
        <v>22030</v>
      </c>
      <c r="K4854">
        <v>4437</v>
      </c>
      <c r="L4854" t="s">
        <v>23</v>
      </c>
      <c r="M4854" t="s">
        <v>12249</v>
      </c>
      <c r="N4854" t="s">
        <v>5190</v>
      </c>
      <c r="O4854" t="s">
        <v>255</v>
      </c>
      <c r="P4854">
        <v>22030</v>
      </c>
      <c r="Q4854">
        <v>4437</v>
      </c>
      <c r="R4854" t="s">
        <v>23</v>
      </c>
      <c r="S4854" s="1" t="s">
        <v>34218</v>
      </c>
    </row>
    <row r="4855" spans="1:19" x14ac:dyDescent="0.25">
      <c r="A4855">
        <v>101269626</v>
      </c>
      <c r="B4855" t="s">
        <v>3590</v>
      </c>
      <c r="C4855" t="s">
        <v>3954</v>
      </c>
      <c r="G4855" t="s">
        <v>12250</v>
      </c>
      <c r="H4855" t="s">
        <v>134</v>
      </c>
      <c r="I4855" t="s">
        <v>135</v>
      </c>
      <c r="J4855">
        <v>60610</v>
      </c>
      <c r="K4855">
        <v>7491</v>
      </c>
      <c r="L4855" t="s">
        <v>23</v>
      </c>
      <c r="M4855" t="s">
        <v>12250</v>
      </c>
      <c r="N4855" t="s">
        <v>134</v>
      </c>
      <c r="O4855" t="s">
        <v>135</v>
      </c>
      <c r="P4855">
        <v>60610</v>
      </c>
      <c r="Q4855">
        <v>7491</v>
      </c>
      <c r="R4855" t="s">
        <v>23</v>
      </c>
      <c r="S4855" s="1" t="s">
        <v>34218</v>
      </c>
    </row>
    <row r="4856" spans="1:19" x14ac:dyDescent="0.25">
      <c r="A4856">
        <v>101270135</v>
      </c>
      <c r="B4856" t="s">
        <v>12251</v>
      </c>
      <c r="C4856" t="s">
        <v>803</v>
      </c>
      <c r="G4856" t="s">
        <v>12252</v>
      </c>
      <c r="H4856" t="s">
        <v>2894</v>
      </c>
      <c r="I4856" t="s">
        <v>178</v>
      </c>
      <c r="J4856">
        <v>43615</v>
      </c>
      <c r="K4856">
        <v>6786</v>
      </c>
      <c r="L4856" t="s">
        <v>23</v>
      </c>
      <c r="M4856" t="s">
        <v>12252</v>
      </c>
      <c r="N4856" t="s">
        <v>2894</v>
      </c>
      <c r="O4856" t="s">
        <v>178</v>
      </c>
      <c r="P4856">
        <v>43615</v>
      </c>
      <c r="Q4856">
        <v>6786</v>
      </c>
      <c r="R4856" t="s">
        <v>23</v>
      </c>
      <c r="S4856" s="1" t="s">
        <v>34218</v>
      </c>
    </row>
    <row r="4857" spans="1:19" x14ac:dyDescent="0.25">
      <c r="A4857">
        <v>101277985</v>
      </c>
      <c r="B4857" t="s">
        <v>12253</v>
      </c>
      <c r="C4857" t="s">
        <v>4318</v>
      </c>
      <c r="G4857" t="s">
        <v>12254</v>
      </c>
      <c r="H4857" t="s">
        <v>3183</v>
      </c>
      <c r="I4857" t="s">
        <v>178</v>
      </c>
      <c r="J4857">
        <v>45440</v>
      </c>
      <c r="K4857">
        <v>1304</v>
      </c>
      <c r="L4857" t="s">
        <v>23</v>
      </c>
      <c r="M4857" t="s">
        <v>12254</v>
      </c>
      <c r="N4857" t="s">
        <v>3183</v>
      </c>
      <c r="O4857" t="s">
        <v>178</v>
      </c>
      <c r="P4857">
        <v>45440</v>
      </c>
      <c r="Q4857">
        <v>1304</v>
      </c>
      <c r="R4857" t="s">
        <v>23</v>
      </c>
      <c r="S4857" s="1" t="s">
        <v>34218</v>
      </c>
    </row>
    <row r="4858" spans="1:19" x14ac:dyDescent="0.25">
      <c r="A4858">
        <v>101286095</v>
      </c>
      <c r="B4858" t="s">
        <v>9807</v>
      </c>
      <c r="C4858" t="s">
        <v>90</v>
      </c>
      <c r="G4858" t="s">
        <v>12255</v>
      </c>
      <c r="H4858" t="s">
        <v>12256</v>
      </c>
      <c r="I4858" t="s">
        <v>348</v>
      </c>
      <c r="J4858">
        <v>83858</v>
      </c>
      <c r="K4858">
        <v>6976</v>
      </c>
      <c r="L4858" t="s">
        <v>23</v>
      </c>
      <c r="M4858" t="s">
        <v>12255</v>
      </c>
      <c r="N4858" t="s">
        <v>12256</v>
      </c>
      <c r="O4858" t="s">
        <v>348</v>
      </c>
      <c r="P4858">
        <v>83858</v>
      </c>
      <c r="Q4858">
        <v>6976</v>
      </c>
      <c r="R4858" t="s">
        <v>23</v>
      </c>
      <c r="S4858" s="1" t="s">
        <v>34218</v>
      </c>
    </row>
    <row r="4859" spans="1:19" x14ac:dyDescent="0.25">
      <c r="A4859">
        <v>101286065</v>
      </c>
      <c r="B4859" t="s">
        <v>8109</v>
      </c>
      <c r="C4859" t="s">
        <v>262</v>
      </c>
      <c r="G4859" t="s">
        <v>12255</v>
      </c>
      <c r="H4859" t="s">
        <v>12256</v>
      </c>
      <c r="I4859" t="s">
        <v>348</v>
      </c>
      <c r="J4859">
        <v>83858</v>
      </c>
      <c r="K4859">
        <v>6976</v>
      </c>
      <c r="L4859" t="s">
        <v>23</v>
      </c>
      <c r="M4859" t="s">
        <v>12255</v>
      </c>
      <c r="N4859" t="s">
        <v>12256</v>
      </c>
      <c r="O4859" t="s">
        <v>348</v>
      </c>
      <c r="P4859">
        <v>83858</v>
      </c>
      <c r="Q4859">
        <v>6976</v>
      </c>
      <c r="R4859" t="s">
        <v>23</v>
      </c>
      <c r="S4859" s="1" t="s">
        <v>34218</v>
      </c>
    </row>
    <row r="4860" spans="1:19" x14ac:dyDescent="0.25">
      <c r="A4860">
        <v>101284212</v>
      </c>
      <c r="B4860" t="s">
        <v>12257</v>
      </c>
      <c r="C4860" t="s">
        <v>233</v>
      </c>
      <c r="G4860" t="s">
        <v>12258</v>
      </c>
      <c r="H4860" t="s">
        <v>1877</v>
      </c>
      <c r="I4860" t="s">
        <v>43</v>
      </c>
      <c r="J4860">
        <v>97301</v>
      </c>
      <c r="K4860">
        <v>2547</v>
      </c>
      <c r="L4860" t="s">
        <v>23</v>
      </c>
      <c r="M4860" t="s">
        <v>12258</v>
      </c>
      <c r="N4860" t="s">
        <v>1877</v>
      </c>
      <c r="O4860" t="s">
        <v>43</v>
      </c>
      <c r="P4860">
        <v>97301</v>
      </c>
      <c r="Q4860">
        <v>2547</v>
      </c>
      <c r="R4860" t="s">
        <v>23</v>
      </c>
      <c r="S4860" s="1" t="s">
        <v>34218</v>
      </c>
    </row>
    <row r="4861" spans="1:19" x14ac:dyDescent="0.25">
      <c r="A4861">
        <v>101287113</v>
      </c>
      <c r="B4861" t="s">
        <v>12259</v>
      </c>
      <c r="C4861" t="s">
        <v>1239</v>
      </c>
      <c r="G4861" t="s">
        <v>12260</v>
      </c>
      <c r="H4861" t="s">
        <v>9696</v>
      </c>
      <c r="I4861" t="s">
        <v>28</v>
      </c>
      <c r="J4861">
        <v>31211</v>
      </c>
      <c r="K4861">
        <v>1760</v>
      </c>
      <c r="L4861" t="s">
        <v>23</v>
      </c>
      <c r="M4861" t="s">
        <v>12260</v>
      </c>
      <c r="N4861" t="s">
        <v>9696</v>
      </c>
      <c r="O4861" t="s">
        <v>28</v>
      </c>
      <c r="P4861">
        <v>31211</v>
      </c>
      <c r="Q4861">
        <v>1760</v>
      </c>
      <c r="R4861" t="s">
        <v>23</v>
      </c>
      <c r="S4861" s="1" t="s">
        <v>34218</v>
      </c>
    </row>
    <row r="4862" spans="1:19" x14ac:dyDescent="0.25">
      <c r="A4862">
        <v>101067120</v>
      </c>
      <c r="B4862" t="s">
        <v>12261</v>
      </c>
      <c r="C4862" t="s">
        <v>5507</v>
      </c>
      <c r="G4862" t="s">
        <v>12262</v>
      </c>
      <c r="H4862" t="s">
        <v>723</v>
      </c>
      <c r="I4862" t="s">
        <v>365</v>
      </c>
      <c r="J4862">
        <v>86305</v>
      </c>
      <c r="K4862">
        <v>7402</v>
      </c>
      <c r="L4862" t="s">
        <v>23</v>
      </c>
      <c r="M4862" t="s">
        <v>12262</v>
      </c>
      <c r="N4862" t="s">
        <v>723</v>
      </c>
      <c r="O4862" t="s">
        <v>365</v>
      </c>
      <c r="P4862">
        <v>86305</v>
      </c>
      <c r="Q4862">
        <v>7402</v>
      </c>
      <c r="R4862" t="s">
        <v>23</v>
      </c>
      <c r="S4862" s="1" t="s">
        <v>34218</v>
      </c>
    </row>
    <row r="4863" spans="1:19" x14ac:dyDescent="0.25">
      <c r="A4863">
        <v>101069938</v>
      </c>
      <c r="B4863" t="s">
        <v>12263</v>
      </c>
      <c r="C4863" t="s">
        <v>110</v>
      </c>
      <c r="G4863" t="s">
        <v>12264</v>
      </c>
      <c r="H4863" t="s">
        <v>577</v>
      </c>
      <c r="I4863" t="s">
        <v>84</v>
      </c>
      <c r="J4863">
        <v>98642</v>
      </c>
      <c r="L4863" t="s">
        <v>23</v>
      </c>
      <c r="M4863" t="s">
        <v>12264</v>
      </c>
      <c r="N4863" t="s">
        <v>577</v>
      </c>
      <c r="O4863" t="s">
        <v>84</v>
      </c>
      <c r="P4863">
        <v>98642</v>
      </c>
      <c r="R4863" t="s">
        <v>23</v>
      </c>
      <c r="S4863" s="1" t="s">
        <v>34218</v>
      </c>
    </row>
    <row r="4864" spans="1:19" x14ac:dyDescent="0.25">
      <c r="A4864">
        <v>101262763</v>
      </c>
      <c r="B4864" t="s">
        <v>12265</v>
      </c>
      <c r="C4864" t="s">
        <v>12266</v>
      </c>
      <c r="G4864" t="s">
        <v>12267</v>
      </c>
      <c r="H4864" t="s">
        <v>5179</v>
      </c>
      <c r="I4864" t="s">
        <v>236</v>
      </c>
      <c r="J4864">
        <v>2144</v>
      </c>
      <c r="K4864">
        <v>1911</v>
      </c>
      <c r="L4864" t="s">
        <v>23</v>
      </c>
      <c r="M4864" t="s">
        <v>12267</v>
      </c>
      <c r="N4864" t="s">
        <v>5179</v>
      </c>
      <c r="O4864" t="s">
        <v>236</v>
      </c>
      <c r="P4864">
        <v>2144</v>
      </c>
      <c r="Q4864">
        <v>1911</v>
      </c>
      <c r="R4864" t="s">
        <v>23</v>
      </c>
      <c r="S4864" s="1" t="s">
        <v>34218</v>
      </c>
    </row>
    <row r="4865" spans="1:19" x14ac:dyDescent="0.25">
      <c r="A4865">
        <v>101279860</v>
      </c>
      <c r="B4865" t="s">
        <v>12268</v>
      </c>
      <c r="C4865" t="s">
        <v>110</v>
      </c>
      <c r="G4865" t="s">
        <v>12269</v>
      </c>
      <c r="H4865" t="s">
        <v>12270</v>
      </c>
      <c r="I4865" t="s">
        <v>100</v>
      </c>
      <c r="J4865">
        <v>53211</v>
      </c>
      <c r="K4865">
        <v>1553</v>
      </c>
      <c r="L4865" t="s">
        <v>23</v>
      </c>
      <c r="M4865" t="s">
        <v>12269</v>
      </c>
      <c r="N4865" t="s">
        <v>12270</v>
      </c>
      <c r="O4865" t="s">
        <v>100</v>
      </c>
      <c r="P4865">
        <v>53211</v>
      </c>
      <c r="Q4865">
        <v>1553</v>
      </c>
      <c r="R4865" t="s">
        <v>23</v>
      </c>
      <c r="S4865" s="1" t="s">
        <v>34218</v>
      </c>
    </row>
    <row r="4866" spans="1:19" x14ac:dyDescent="0.25">
      <c r="A4866">
        <v>101280939</v>
      </c>
      <c r="B4866" t="s">
        <v>12271</v>
      </c>
      <c r="C4866" t="s">
        <v>7894</v>
      </c>
      <c r="G4866" t="s">
        <v>12272</v>
      </c>
      <c r="H4866" t="s">
        <v>393</v>
      </c>
      <c r="I4866" t="s">
        <v>71</v>
      </c>
      <c r="J4866">
        <v>80212</v>
      </c>
      <c r="K4866">
        <v>1124</v>
      </c>
      <c r="L4866" t="s">
        <v>23</v>
      </c>
      <c r="M4866" t="s">
        <v>12272</v>
      </c>
      <c r="N4866" t="s">
        <v>393</v>
      </c>
      <c r="O4866" t="s">
        <v>71</v>
      </c>
      <c r="P4866">
        <v>80212</v>
      </c>
      <c r="Q4866">
        <v>1124</v>
      </c>
      <c r="R4866" t="s">
        <v>23</v>
      </c>
      <c r="S4866" s="1" t="s">
        <v>34218</v>
      </c>
    </row>
    <row r="4867" spans="1:19" x14ac:dyDescent="0.25">
      <c r="A4867">
        <v>101269008</v>
      </c>
      <c r="B4867" t="s">
        <v>247</v>
      </c>
      <c r="C4867" t="s">
        <v>123</v>
      </c>
      <c r="G4867" t="s">
        <v>12273</v>
      </c>
      <c r="H4867" t="s">
        <v>9901</v>
      </c>
      <c r="I4867" t="s">
        <v>57</v>
      </c>
      <c r="J4867">
        <v>46112</v>
      </c>
      <c r="K4867">
        <v>8631</v>
      </c>
      <c r="L4867" t="s">
        <v>23</v>
      </c>
      <c r="M4867" t="s">
        <v>12273</v>
      </c>
      <c r="N4867" t="s">
        <v>9901</v>
      </c>
      <c r="O4867" t="s">
        <v>57</v>
      </c>
      <c r="P4867">
        <v>46112</v>
      </c>
      <c r="Q4867">
        <v>8631</v>
      </c>
      <c r="R4867" t="s">
        <v>23</v>
      </c>
      <c r="S4867" s="1" t="s">
        <v>34218</v>
      </c>
    </row>
    <row r="4868" spans="1:19" x14ac:dyDescent="0.25">
      <c r="A4868">
        <v>101283970</v>
      </c>
      <c r="B4868" t="s">
        <v>12274</v>
      </c>
      <c r="C4868" t="s">
        <v>10698</v>
      </c>
      <c r="G4868" t="s">
        <v>12275</v>
      </c>
      <c r="H4868" t="s">
        <v>481</v>
      </c>
      <c r="I4868" t="s">
        <v>22</v>
      </c>
      <c r="J4868">
        <v>95112</v>
      </c>
      <c r="K4868">
        <v>2229</v>
      </c>
      <c r="L4868" t="s">
        <v>23</v>
      </c>
      <c r="M4868" t="s">
        <v>12275</v>
      </c>
      <c r="N4868" t="s">
        <v>481</v>
      </c>
      <c r="O4868" t="s">
        <v>22</v>
      </c>
      <c r="P4868">
        <v>95112</v>
      </c>
      <c r="Q4868">
        <v>2229</v>
      </c>
      <c r="R4868" t="s">
        <v>23</v>
      </c>
      <c r="S4868" s="1" t="s">
        <v>34218</v>
      </c>
    </row>
    <row r="4869" spans="1:19" x14ac:dyDescent="0.25">
      <c r="A4869">
        <v>101284015</v>
      </c>
      <c r="B4869" t="s">
        <v>12276</v>
      </c>
      <c r="C4869" t="s">
        <v>208</v>
      </c>
      <c r="F4869" t="str">
        <f>"8124226917"</f>
        <v>8124226917</v>
      </c>
      <c r="G4869" t="s">
        <v>12277</v>
      </c>
      <c r="H4869" t="s">
        <v>3686</v>
      </c>
      <c r="I4869" t="s">
        <v>57</v>
      </c>
      <c r="J4869">
        <v>47714</v>
      </c>
      <c r="K4869">
        <v>401</v>
      </c>
      <c r="L4869" t="s">
        <v>23</v>
      </c>
      <c r="M4869" t="s">
        <v>12277</v>
      </c>
      <c r="N4869" t="s">
        <v>3686</v>
      </c>
      <c r="O4869" t="s">
        <v>57</v>
      </c>
      <c r="P4869">
        <v>47714</v>
      </c>
      <c r="Q4869">
        <v>401</v>
      </c>
      <c r="R4869" t="s">
        <v>23</v>
      </c>
      <c r="S4869" s="1" t="s">
        <v>34218</v>
      </c>
    </row>
    <row r="4870" spans="1:19" x14ac:dyDescent="0.25">
      <c r="A4870">
        <v>101285495</v>
      </c>
      <c r="B4870" t="s">
        <v>6897</v>
      </c>
      <c r="C4870" t="s">
        <v>803</v>
      </c>
      <c r="G4870" t="s">
        <v>12278</v>
      </c>
      <c r="H4870" t="s">
        <v>169</v>
      </c>
      <c r="I4870" t="s">
        <v>170</v>
      </c>
      <c r="J4870">
        <v>20009</v>
      </c>
      <c r="K4870">
        <v>4420</v>
      </c>
      <c r="L4870" t="s">
        <v>23</v>
      </c>
      <c r="M4870" t="s">
        <v>12278</v>
      </c>
      <c r="N4870" t="s">
        <v>169</v>
      </c>
      <c r="O4870" t="s">
        <v>170</v>
      </c>
      <c r="P4870">
        <v>20009</v>
      </c>
      <c r="Q4870">
        <v>4420</v>
      </c>
      <c r="R4870" t="s">
        <v>23</v>
      </c>
      <c r="S4870" s="1" t="s">
        <v>34218</v>
      </c>
    </row>
    <row r="4871" spans="1:19" x14ac:dyDescent="0.25">
      <c r="A4871">
        <v>101281615</v>
      </c>
      <c r="B4871" t="s">
        <v>12279</v>
      </c>
      <c r="C4871" t="s">
        <v>1036</v>
      </c>
      <c r="G4871" t="s">
        <v>12280</v>
      </c>
      <c r="H4871" t="s">
        <v>2218</v>
      </c>
      <c r="I4871" t="s">
        <v>22</v>
      </c>
      <c r="J4871">
        <v>93517</v>
      </c>
      <c r="K4871">
        <v>211</v>
      </c>
      <c r="L4871" t="s">
        <v>23</v>
      </c>
      <c r="M4871" t="s">
        <v>12280</v>
      </c>
      <c r="N4871" t="s">
        <v>2218</v>
      </c>
      <c r="O4871" t="s">
        <v>22</v>
      </c>
      <c r="P4871">
        <v>93517</v>
      </c>
      <c r="Q4871">
        <v>211</v>
      </c>
      <c r="R4871" t="s">
        <v>23</v>
      </c>
      <c r="S4871" s="1" t="s">
        <v>34218</v>
      </c>
    </row>
    <row r="4872" spans="1:19" x14ac:dyDescent="0.25">
      <c r="A4872">
        <v>101287218</v>
      </c>
      <c r="B4872" t="s">
        <v>12281</v>
      </c>
      <c r="C4872" t="s">
        <v>123</v>
      </c>
      <c r="G4872" t="s">
        <v>12282</v>
      </c>
      <c r="H4872" t="s">
        <v>3129</v>
      </c>
      <c r="I4872" t="s">
        <v>84</v>
      </c>
      <c r="J4872">
        <v>99201</v>
      </c>
      <c r="K4872">
        <v>5408</v>
      </c>
      <c r="L4872" t="s">
        <v>23</v>
      </c>
      <c r="M4872" t="s">
        <v>12282</v>
      </c>
      <c r="N4872" t="s">
        <v>3129</v>
      </c>
      <c r="O4872" t="s">
        <v>84</v>
      </c>
      <c r="P4872">
        <v>99201</v>
      </c>
      <c r="Q4872">
        <v>5408</v>
      </c>
      <c r="R4872" t="s">
        <v>23</v>
      </c>
      <c r="S4872" s="1" t="s">
        <v>34218</v>
      </c>
    </row>
    <row r="4873" spans="1:19" x14ac:dyDescent="0.25">
      <c r="A4873">
        <v>101284843</v>
      </c>
      <c r="B4873" t="s">
        <v>7234</v>
      </c>
      <c r="C4873" t="s">
        <v>102</v>
      </c>
      <c r="G4873" t="s">
        <v>12283</v>
      </c>
      <c r="H4873" t="s">
        <v>12284</v>
      </c>
      <c r="I4873" t="s">
        <v>52</v>
      </c>
      <c r="J4873">
        <v>32757</v>
      </c>
      <c r="K4873">
        <v>3270</v>
      </c>
      <c r="L4873" t="s">
        <v>23</v>
      </c>
      <c r="M4873" t="s">
        <v>12283</v>
      </c>
      <c r="N4873" t="s">
        <v>12284</v>
      </c>
      <c r="O4873" t="s">
        <v>52</v>
      </c>
      <c r="P4873">
        <v>32757</v>
      </c>
      <c r="Q4873">
        <v>3270</v>
      </c>
      <c r="R4873" t="s">
        <v>23</v>
      </c>
      <c r="S4873" s="1" t="s">
        <v>34218</v>
      </c>
    </row>
    <row r="4874" spans="1:19" x14ac:dyDescent="0.25">
      <c r="A4874">
        <v>101282735</v>
      </c>
      <c r="B4874" t="s">
        <v>4802</v>
      </c>
      <c r="C4874" t="s">
        <v>2193</v>
      </c>
      <c r="F4874" t="str">
        <f>"3202246831"</f>
        <v>3202246831</v>
      </c>
      <c r="G4874" t="s">
        <v>12285</v>
      </c>
      <c r="H4874" t="s">
        <v>12286</v>
      </c>
      <c r="I4874" t="s">
        <v>187</v>
      </c>
      <c r="J4874">
        <v>55063</v>
      </c>
      <c r="K4874">
        <v>9084</v>
      </c>
      <c r="L4874" t="s">
        <v>23</v>
      </c>
      <c r="M4874" t="s">
        <v>12285</v>
      </c>
      <c r="N4874" t="s">
        <v>12286</v>
      </c>
      <c r="O4874" t="s">
        <v>187</v>
      </c>
      <c r="P4874">
        <v>55063</v>
      </c>
      <c r="Q4874">
        <v>9084</v>
      </c>
      <c r="R4874" t="s">
        <v>23</v>
      </c>
      <c r="S4874" s="1" t="s">
        <v>34218</v>
      </c>
    </row>
    <row r="4875" spans="1:19" x14ac:dyDescent="0.25">
      <c r="A4875">
        <v>101286406</v>
      </c>
      <c r="B4875" t="s">
        <v>12287</v>
      </c>
      <c r="C4875" t="s">
        <v>12288</v>
      </c>
      <c r="G4875" t="s">
        <v>12289</v>
      </c>
      <c r="H4875" t="s">
        <v>1396</v>
      </c>
      <c r="I4875" t="s">
        <v>191</v>
      </c>
      <c r="J4875">
        <v>4210</v>
      </c>
      <c r="K4875">
        <v>4742</v>
      </c>
      <c r="L4875" t="s">
        <v>23</v>
      </c>
      <c r="M4875" t="s">
        <v>12289</v>
      </c>
      <c r="N4875" t="s">
        <v>1396</v>
      </c>
      <c r="O4875" t="s">
        <v>191</v>
      </c>
      <c r="P4875">
        <v>4210</v>
      </c>
      <c r="Q4875">
        <v>4742</v>
      </c>
      <c r="R4875" t="s">
        <v>23</v>
      </c>
      <c r="S4875" s="1" t="s">
        <v>34218</v>
      </c>
    </row>
    <row r="4876" spans="1:19" x14ac:dyDescent="0.25">
      <c r="A4876">
        <v>101281953</v>
      </c>
      <c r="B4876" t="s">
        <v>12290</v>
      </c>
      <c r="C4876" t="s">
        <v>12291</v>
      </c>
      <c r="G4876" t="s">
        <v>12292</v>
      </c>
      <c r="H4876" t="s">
        <v>9605</v>
      </c>
      <c r="I4876" t="s">
        <v>22</v>
      </c>
      <c r="J4876">
        <v>90272</v>
      </c>
      <c r="K4876">
        <v>2830</v>
      </c>
      <c r="L4876" t="s">
        <v>23</v>
      </c>
      <c r="M4876" t="s">
        <v>12292</v>
      </c>
      <c r="N4876" t="s">
        <v>9605</v>
      </c>
      <c r="O4876" t="s">
        <v>22</v>
      </c>
      <c r="P4876">
        <v>90272</v>
      </c>
      <c r="Q4876">
        <v>2830</v>
      </c>
      <c r="R4876" t="s">
        <v>23</v>
      </c>
      <c r="S4876" s="1" t="s">
        <v>34218</v>
      </c>
    </row>
    <row r="4877" spans="1:19" x14ac:dyDescent="0.25">
      <c r="A4877">
        <v>101289297</v>
      </c>
      <c r="B4877" t="s">
        <v>6058</v>
      </c>
      <c r="C4877" t="s">
        <v>1239</v>
      </c>
      <c r="G4877" t="s">
        <v>12293</v>
      </c>
      <c r="H4877" t="s">
        <v>10784</v>
      </c>
      <c r="I4877" t="s">
        <v>22</v>
      </c>
      <c r="J4877">
        <v>91311</v>
      </c>
      <c r="K4877">
        <v>3608</v>
      </c>
      <c r="L4877" t="s">
        <v>23</v>
      </c>
      <c r="M4877" t="s">
        <v>12293</v>
      </c>
      <c r="N4877" t="s">
        <v>10784</v>
      </c>
      <c r="O4877" t="s">
        <v>22</v>
      </c>
      <c r="P4877">
        <v>91311</v>
      </c>
      <c r="Q4877">
        <v>3608</v>
      </c>
      <c r="R4877" t="s">
        <v>23</v>
      </c>
      <c r="S4877" s="1" t="s">
        <v>34218</v>
      </c>
    </row>
    <row r="4878" spans="1:19" x14ac:dyDescent="0.25">
      <c r="A4878">
        <v>101289223</v>
      </c>
      <c r="B4878" t="s">
        <v>12294</v>
      </c>
      <c r="C4878" t="s">
        <v>1588</v>
      </c>
      <c r="G4878" t="s">
        <v>12295</v>
      </c>
      <c r="H4878" t="s">
        <v>12296</v>
      </c>
      <c r="I4878" t="s">
        <v>38</v>
      </c>
      <c r="J4878">
        <v>76448</v>
      </c>
      <c r="K4878">
        <v>5121</v>
      </c>
      <c r="L4878" t="s">
        <v>23</v>
      </c>
      <c r="M4878" t="s">
        <v>12295</v>
      </c>
      <c r="N4878" t="s">
        <v>12296</v>
      </c>
      <c r="O4878" t="s">
        <v>38</v>
      </c>
      <c r="P4878">
        <v>76448</v>
      </c>
      <c r="Q4878">
        <v>5121</v>
      </c>
      <c r="R4878" t="s">
        <v>23</v>
      </c>
      <c r="S4878" s="1" t="s">
        <v>34218</v>
      </c>
    </row>
    <row r="4879" spans="1:19" x14ac:dyDescent="0.25">
      <c r="A4879">
        <v>101290252</v>
      </c>
      <c r="B4879" t="s">
        <v>12130</v>
      </c>
      <c r="C4879" t="s">
        <v>531</v>
      </c>
      <c r="G4879" t="s">
        <v>12297</v>
      </c>
      <c r="H4879" t="s">
        <v>2582</v>
      </c>
      <c r="I4879" t="s">
        <v>84</v>
      </c>
      <c r="J4879">
        <v>98332</v>
      </c>
      <c r="K4879">
        <v>8679</v>
      </c>
      <c r="L4879" t="s">
        <v>23</v>
      </c>
      <c r="M4879" t="s">
        <v>12297</v>
      </c>
      <c r="N4879" t="s">
        <v>2582</v>
      </c>
      <c r="O4879" t="s">
        <v>84</v>
      </c>
      <c r="P4879">
        <v>98332</v>
      </c>
      <c r="Q4879">
        <v>8679</v>
      </c>
      <c r="R4879" t="s">
        <v>23</v>
      </c>
      <c r="S4879" s="1" t="s">
        <v>34218</v>
      </c>
    </row>
    <row r="4880" spans="1:19" x14ac:dyDescent="0.25">
      <c r="A4880">
        <v>101291631</v>
      </c>
      <c r="B4880" t="s">
        <v>1800</v>
      </c>
      <c r="C4880" t="s">
        <v>12298</v>
      </c>
      <c r="G4880" t="s">
        <v>12299</v>
      </c>
      <c r="H4880" t="s">
        <v>1780</v>
      </c>
      <c r="I4880" t="s">
        <v>22</v>
      </c>
      <c r="J4880">
        <v>92024</v>
      </c>
      <c r="K4880">
        <v>4231</v>
      </c>
      <c r="L4880" t="s">
        <v>23</v>
      </c>
      <c r="M4880" t="s">
        <v>12299</v>
      </c>
      <c r="N4880" t="s">
        <v>1780</v>
      </c>
      <c r="O4880" t="s">
        <v>22</v>
      </c>
      <c r="P4880">
        <v>92024</v>
      </c>
      <c r="Q4880">
        <v>4231</v>
      </c>
      <c r="R4880" t="s">
        <v>23</v>
      </c>
      <c r="S4880" s="1" t="s">
        <v>34218</v>
      </c>
    </row>
    <row r="4881" spans="1:19" x14ac:dyDescent="0.25">
      <c r="A4881">
        <v>101289431</v>
      </c>
      <c r="B4881" t="s">
        <v>12300</v>
      </c>
      <c r="C4881" t="s">
        <v>90</v>
      </c>
      <c r="G4881" t="s">
        <v>12301</v>
      </c>
      <c r="H4881" t="s">
        <v>10686</v>
      </c>
      <c r="I4881" t="s">
        <v>914</v>
      </c>
      <c r="J4881">
        <v>38572</v>
      </c>
      <c r="K4881">
        <v>7325</v>
      </c>
      <c r="L4881" t="s">
        <v>23</v>
      </c>
      <c r="M4881" t="s">
        <v>12301</v>
      </c>
      <c r="N4881" t="s">
        <v>10686</v>
      </c>
      <c r="O4881" t="s">
        <v>914</v>
      </c>
      <c r="P4881">
        <v>38572</v>
      </c>
      <c r="Q4881">
        <v>7325</v>
      </c>
      <c r="R4881" t="s">
        <v>23</v>
      </c>
      <c r="S4881" s="1" t="s">
        <v>34218</v>
      </c>
    </row>
    <row r="4882" spans="1:19" x14ac:dyDescent="0.25">
      <c r="A4882">
        <v>101078796</v>
      </c>
      <c r="B4882" t="s">
        <v>1330</v>
      </c>
      <c r="C4882" t="s">
        <v>410</v>
      </c>
      <c r="G4882" t="s">
        <v>12302</v>
      </c>
      <c r="H4882" t="s">
        <v>1787</v>
      </c>
      <c r="I4882" t="s">
        <v>702</v>
      </c>
      <c r="J4882">
        <v>89118</v>
      </c>
      <c r="K4882">
        <v>1293</v>
      </c>
      <c r="L4882" t="s">
        <v>23</v>
      </c>
      <c r="M4882" t="s">
        <v>12302</v>
      </c>
      <c r="N4882" t="s">
        <v>1787</v>
      </c>
      <c r="O4882" t="s">
        <v>702</v>
      </c>
      <c r="P4882">
        <v>89118</v>
      </c>
      <c r="Q4882">
        <v>1293</v>
      </c>
      <c r="R4882" t="s">
        <v>23</v>
      </c>
      <c r="S4882" s="1" t="s">
        <v>34218</v>
      </c>
    </row>
    <row r="4883" spans="1:19" x14ac:dyDescent="0.25">
      <c r="A4883">
        <v>101075988</v>
      </c>
      <c r="B4883" t="s">
        <v>12303</v>
      </c>
      <c r="C4883" t="s">
        <v>155</v>
      </c>
      <c r="G4883" t="s">
        <v>12304</v>
      </c>
      <c r="H4883" t="s">
        <v>12305</v>
      </c>
      <c r="I4883" t="s">
        <v>43</v>
      </c>
      <c r="J4883">
        <v>97487</v>
      </c>
      <c r="K4883">
        <v>9688</v>
      </c>
      <c r="L4883" t="s">
        <v>23</v>
      </c>
      <c r="M4883" t="s">
        <v>12304</v>
      </c>
      <c r="N4883" t="s">
        <v>12305</v>
      </c>
      <c r="O4883" t="s">
        <v>43</v>
      </c>
      <c r="P4883">
        <v>97487</v>
      </c>
      <c r="Q4883">
        <v>9688</v>
      </c>
      <c r="R4883" t="s">
        <v>23</v>
      </c>
      <c r="S4883" s="1" t="s">
        <v>34218</v>
      </c>
    </row>
    <row r="4884" spans="1:19" x14ac:dyDescent="0.25">
      <c r="A4884">
        <v>101078419</v>
      </c>
      <c r="B4884" t="s">
        <v>12306</v>
      </c>
      <c r="C4884" t="s">
        <v>1161</v>
      </c>
      <c r="G4884" t="s">
        <v>12307</v>
      </c>
      <c r="H4884" t="s">
        <v>924</v>
      </c>
      <c r="I4884" t="s">
        <v>135</v>
      </c>
      <c r="J4884">
        <v>60025</v>
      </c>
      <c r="K4884">
        <v>2774</v>
      </c>
      <c r="L4884" t="s">
        <v>23</v>
      </c>
      <c r="M4884" t="s">
        <v>12307</v>
      </c>
      <c r="N4884" t="s">
        <v>924</v>
      </c>
      <c r="O4884" t="s">
        <v>135</v>
      </c>
      <c r="P4884">
        <v>60025</v>
      </c>
      <c r="Q4884">
        <v>2774</v>
      </c>
      <c r="R4884" t="s">
        <v>23</v>
      </c>
      <c r="S4884" s="1" t="s">
        <v>34218</v>
      </c>
    </row>
    <row r="4885" spans="1:19" x14ac:dyDescent="0.25">
      <c r="A4885">
        <v>101084338</v>
      </c>
      <c r="B4885" t="s">
        <v>12308</v>
      </c>
      <c r="C4885" t="s">
        <v>9860</v>
      </c>
      <c r="G4885" t="s">
        <v>12309</v>
      </c>
      <c r="H4885" t="s">
        <v>761</v>
      </c>
      <c r="I4885" t="s">
        <v>353</v>
      </c>
      <c r="J4885">
        <v>3301</v>
      </c>
      <c r="K4885">
        <v>5228</v>
      </c>
      <c r="L4885" t="s">
        <v>23</v>
      </c>
      <c r="M4885" t="s">
        <v>12309</v>
      </c>
      <c r="N4885" t="s">
        <v>761</v>
      </c>
      <c r="O4885" t="s">
        <v>353</v>
      </c>
      <c r="P4885">
        <v>3301</v>
      </c>
      <c r="Q4885">
        <v>5228</v>
      </c>
      <c r="R4885" t="s">
        <v>23</v>
      </c>
      <c r="S4885" s="1" t="s">
        <v>34218</v>
      </c>
    </row>
    <row r="4886" spans="1:19" x14ac:dyDescent="0.25">
      <c r="A4886">
        <v>101085090</v>
      </c>
      <c r="B4886" t="s">
        <v>276</v>
      </c>
      <c r="C4886" t="s">
        <v>575</v>
      </c>
      <c r="G4886" t="s">
        <v>12310</v>
      </c>
      <c r="H4886" t="s">
        <v>12311</v>
      </c>
      <c r="I4886" t="s">
        <v>236</v>
      </c>
      <c r="J4886">
        <v>2653</v>
      </c>
      <c r="K4886">
        <v>387</v>
      </c>
      <c r="L4886" t="s">
        <v>23</v>
      </c>
      <c r="M4886" t="s">
        <v>12310</v>
      </c>
      <c r="N4886" t="s">
        <v>12311</v>
      </c>
      <c r="O4886" t="s">
        <v>236</v>
      </c>
      <c r="P4886">
        <v>2653</v>
      </c>
      <c r="Q4886">
        <v>387</v>
      </c>
      <c r="R4886" t="s">
        <v>23</v>
      </c>
      <c r="S4886" s="1" t="s">
        <v>34218</v>
      </c>
    </row>
    <row r="4887" spans="1:19" x14ac:dyDescent="0.25">
      <c r="A4887">
        <v>101086237</v>
      </c>
      <c r="B4887" t="s">
        <v>1505</v>
      </c>
      <c r="C4887" t="s">
        <v>911</v>
      </c>
      <c r="G4887" t="s">
        <v>12312</v>
      </c>
      <c r="H4887" t="s">
        <v>1667</v>
      </c>
      <c r="I4887" t="s">
        <v>250</v>
      </c>
      <c r="J4887">
        <v>8691</v>
      </c>
      <c r="K4887">
        <v>4198</v>
      </c>
      <c r="L4887" t="s">
        <v>23</v>
      </c>
      <c r="M4887" t="s">
        <v>12312</v>
      </c>
      <c r="N4887" t="s">
        <v>1667</v>
      </c>
      <c r="O4887" t="s">
        <v>250</v>
      </c>
      <c r="P4887">
        <v>8691</v>
      </c>
      <c r="Q4887">
        <v>4198</v>
      </c>
      <c r="R4887" t="s">
        <v>23</v>
      </c>
      <c r="S4887" s="1" t="s">
        <v>34218</v>
      </c>
    </row>
    <row r="4888" spans="1:19" x14ac:dyDescent="0.25">
      <c r="A4888">
        <v>101088392</v>
      </c>
      <c r="B4888" t="s">
        <v>12313</v>
      </c>
      <c r="C4888" t="s">
        <v>12314</v>
      </c>
      <c r="G4888" t="s">
        <v>12315</v>
      </c>
      <c r="H4888" t="s">
        <v>2031</v>
      </c>
      <c r="I4888" t="s">
        <v>22</v>
      </c>
      <c r="J4888">
        <v>94061</v>
      </c>
      <c r="K4888">
        <v>1269</v>
      </c>
      <c r="L4888" t="s">
        <v>23</v>
      </c>
      <c r="M4888" t="s">
        <v>12315</v>
      </c>
      <c r="N4888" t="s">
        <v>2031</v>
      </c>
      <c r="O4888" t="s">
        <v>22</v>
      </c>
      <c r="P4888">
        <v>94061</v>
      </c>
      <c r="Q4888">
        <v>1269</v>
      </c>
      <c r="R4888" t="s">
        <v>23</v>
      </c>
      <c r="S4888" s="1" t="s">
        <v>34218</v>
      </c>
    </row>
    <row r="4889" spans="1:19" x14ac:dyDescent="0.25">
      <c r="A4889">
        <v>101085839</v>
      </c>
      <c r="B4889" t="s">
        <v>12316</v>
      </c>
      <c r="C4889" t="s">
        <v>1218</v>
      </c>
      <c r="G4889" t="s">
        <v>12317</v>
      </c>
      <c r="H4889" t="s">
        <v>380</v>
      </c>
      <c r="I4889" t="s">
        <v>38</v>
      </c>
      <c r="J4889">
        <v>75229</v>
      </c>
      <c r="K4889">
        <v>2633</v>
      </c>
      <c r="L4889" t="s">
        <v>23</v>
      </c>
      <c r="M4889" t="s">
        <v>12317</v>
      </c>
      <c r="N4889" t="s">
        <v>380</v>
      </c>
      <c r="O4889" t="s">
        <v>38</v>
      </c>
      <c r="P4889">
        <v>75229</v>
      </c>
      <c r="Q4889">
        <v>2633</v>
      </c>
      <c r="R4889" t="s">
        <v>23</v>
      </c>
      <c r="S4889" s="1" t="s">
        <v>34218</v>
      </c>
    </row>
    <row r="4890" spans="1:19" x14ac:dyDescent="0.25">
      <c r="A4890">
        <v>101091932</v>
      </c>
      <c r="B4890" t="s">
        <v>12318</v>
      </c>
      <c r="C4890" t="s">
        <v>90</v>
      </c>
      <c r="G4890" t="s">
        <v>12319</v>
      </c>
      <c r="H4890" t="s">
        <v>37</v>
      </c>
      <c r="I4890" t="s">
        <v>38</v>
      </c>
      <c r="J4890">
        <v>78726</v>
      </c>
      <c r="K4890">
        <v>1024</v>
      </c>
      <c r="L4890" t="s">
        <v>23</v>
      </c>
      <c r="M4890" t="s">
        <v>12319</v>
      </c>
      <c r="N4890" t="s">
        <v>37</v>
      </c>
      <c r="O4890" t="s">
        <v>38</v>
      </c>
      <c r="P4890">
        <v>78726</v>
      </c>
      <c r="Q4890">
        <v>1024</v>
      </c>
      <c r="R4890" t="s">
        <v>23</v>
      </c>
      <c r="S4890" s="1" t="s">
        <v>34218</v>
      </c>
    </row>
    <row r="4891" spans="1:19" x14ac:dyDescent="0.25">
      <c r="A4891">
        <v>101091622</v>
      </c>
      <c r="B4891" t="s">
        <v>1164</v>
      </c>
      <c r="C4891" t="s">
        <v>1179</v>
      </c>
      <c r="G4891" t="s">
        <v>12320</v>
      </c>
      <c r="H4891" t="s">
        <v>7459</v>
      </c>
      <c r="I4891" t="s">
        <v>140</v>
      </c>
      <c r="J4891">
        <v>48309</v>
      </c>
      <c r="K4891">
        <v>4737</v>
      </c>
      <c r="L4891" t="s">
        <v>23</v>
      </c>
      <c r="M4891" t="s">
        <v>12320</v>
      </c>
      <c r="N4891" t="s">
        <v>7459</v>
      </c>
      <c r="O4891" t="s">
        <v>140</v>
      </c>
      <c r="P4891">
        <v>48309</v>
      </c>
      <c r="Q4891">
        <v>4737</v>
      </c>
      <c r="R4891" t="s">
        <v>23</v>
      </c>
      <c r="S4891" s="1" t="s">
        <v>34218</v>
      </c>
    </row>
    <row r="4892" spans="1:19" x14ac:dyDescent="0.25">
      <c r="A4892">
        <v>101097176</v>
      </c>
      <c r="B4892" t="s">
        <v>12321</v>
      </c>
      <c r="C4892" t="s">
        <v>12322</v>
      </c>
      <c r="G4892" t="s">
        <v>12323</v>
      </c>
      <c r="H4892" t="s">
        <v>12324</v>
      </c>
      <c r="I4892" t="s">
        <v>140</v>
      </c>
      <c r="J4892">
        <v>49664</v>
      </c>
      <c r="K4892">
        <v>9708</v>
      </c>
      <c r="L4892" t="s">
        <v>23</v>
      </c>
      <c r="M4892" t="s">
        <v>12323</v>
      </c>
      <c r="N4892" t="s">
        <v>12324</v>
      </c>
      <c r="O4892" t="s">
        <v>140</v>
      </c>
      <c r="P4892">
        <v>49664</v>
      </c>
      <c r="Q4892">
        <v>9708</v>
      </c>
      <c r="R4892" t="s">
        <v>23</v>
      </c>
      <c r="S4892" s="1" t="s">
        <v>34218</v>
      </c>
    </row>
    <row r="4893" spans="1:19" x14ac:dyDescent="0.25">
      <c r="A4893">
        <v>101309068</v>
      </c>
      <c r="B4893" t="s">
        <v>7884</v>
      </c>
      <c r="C4893" t="s">
        <v>40</v>
      </c>
      <c r="F4893" t="str">
        <f>"2033334444"</f>
        <v>2033334444</v>
      </c>
      <c r="G4893" t="s">
        <v>12325</v>
      </c>
      <c r="H4893" t="s">
        <v>2218</v>
      </c>
      <c r="I4893" t="s">
        <v>161</v>
      </c>
      <c r="J4893">
        <v>6606</v>
      </c>
      <c r="K4893">
        <v>3941</v>
      </c>
      <c r="L4893" t="s">
        <v>23</v>
      </c>
      <c r="M4893" t="s">
        <v>12325</v>
      </c>
      <c r="N4893" t="s">
        <v>2218</v>
      </c>
      <c r="O4893" t="s">
        <v>161</v>
      </c>
      <c r="P4893">
        <v>6606</v>
      </c>
      <c r="Q4893">
        <v>3941</v>
      </c>
      <c r="R4893" t="s">
        <v>23</v>
      </c>
      <c r="S4893" s="1" t="s">
        <v>34218</v>
      </c>
    </row>
    <row r="4894" spans="1:19" x14ac:dyDescent="0.25">
      <c r="A4894">
        <v>101312374</v>
      </c>
      <c r="B4894" t="s">
        <v>9355</v>
      </c>
      <c r="C4894" t="s">
        <v>119</v>
      </c>
      <c r="G4894" t="s">
        <v>12326</v>
      </c>
      <c r="H4894" t="s">
        <v>488</v>
      </c>
      <c r="I4894" t="s">
        <v>100</v>
      </c>
      <c r="J4894">
        <v>53005</v>
      </c>
      <c r="K4894">
        <v>1415</v>
      </c>
      <c r="L4894" t="s">
        <v>23</v>
      </c>
      <c r="M4894" t="s">
        <v>12326</v>
      </c>
      <c r="N4894" t="s">
        <v>488</v>
      </c>
      <c r="O4894" t="s">
        <v>100</v>
      </c>
      <c r="P4894">
        <v>53005</v>
      </c>
      <c r="Q4894">
        <v>1415</v>
      </c>
      <c r="R4894" t="s">
        <v>23</v>
      </c>
      <c r="S4894" s="1" t="s">
        <v>34218</v>
      </c>
    </row>
    <row r="4895" spans="1:19" x14ac:dyDescent="0.25">
      <c r="A4895">
        <v>101303693</v>
      </c>
      <c r="B4895" t="s">
        <v>6949</v>
      </c>
      <c r="C4895" t="s">
        <v>865</v>
      </c>
      <c r="G4895" t="s">
        <v>12327</v>
      </c>
      <c r="H4895" t="s">
        <v>3373</v>
      </c>
      <c r="I4895" t="s">
        <v>178</v>
      </c>
      <c r="J4895">
        <v>44119</v>
      </c>
      <c r="K4895">
        <v>3059</v>
      </c>
      <c r="L4895" t="s">
        <v>23</v>
      </c>
      <c r="M4895" t="s">
        <v>12327</v>
      </c>
      <c r="N4895" t="s">
        <v>3373</v>
      </c>
      <c r="O4895" t="s">
        <v>178</v>
      </c>
      <c r="P4895">
        <v>44119</v>
      </c>
      <c r="Q4895">
        <v>3059</v>
      </c>
      <c r="R4895" t="s">
        <v>23</v>
      </c>
      <c r="S4895" s="1" t="s">
        <v>34218</v>
      </c>
    </row>
    <row r="4896" spans="1:19" x14ac:dyDescent="0.25">
      <c r="A4896">
        <v>101302323</v>
      </c>
      <c r="B4896" t="s">
        <v>12328</v>
      </c>
      <c r="C4896" t="s">
        <v>12329</v>
      </c>
      <c r="G4896" t="s">
        <v>12330</v>
      </c>
      <c r="H4896" t="s">
        <v>6727</v>
      </c>
      <c r="I4896" t="s">
        <v>52</v>
      </c>
      <c r="J4896">
        <v>33415</v>
      </c>
      <c r="K4896">
        <v>2427</v>
      </c>
      <c r="L4896" t="s">
        <v>23</v>
      </c>
      <c r="M4896" t="s">
        <v>12330</v>
      </c>
      <c r="N4896" t="s">
        <v>6727</v>
      </c>
      <c r="O4896" t="s">
        <v>52</v>
      </c>
      <c r="P4896">
        <v>33415</v>
      </c>
      <c r="Q4896">
        <v>2427</v>
      </c>
      <c r="R4896" t="s">
        <v>23</v>
      </c>
      <c r="S4896" s="1" t="s">
        <v>34218</v>
      </c>
    </row>
    <row r="4897" spans="1:19" x14ac:dyDescent="0.25">
      <c r="A4897">
        <v>101306729</v>
      </c>
      <c r="B4897" t="s">
        <v>12331</v>
      </c>
      <c r="C4897" t="s">
        <v>180</v>
      </c>
      <c r="G4897" t="s">
        <v>12332</v>
      </c>
      <c r="H4897" t="s">
        <v>6324</v>
      </c>
      <c r="I4897" t="s">
        <v>117</v>
      </c>
      <c r="J4897">
        <v>12020</v>
      </c>
      <c r="K4897">
        <v>4309</v>
      </c>
      <c r="L4897" t="s">
        <v>23</v>
      </c>
      <c r="M4897" t="s">
        <v>12332</v>
      </c>
      <c r="N4897" t="s">
        <v>6324</v>
      </c>
      <c r="O4897" t="s">
        <v>117</v>
      </c>
      <c r="P4897">
        <v>12020</v>
      </c>
      <c r="Q4897">
        <v>4309</v>
      </c>
      <c r="R4897" t="s">
        <v>23</v>
      </c>
      <c r="S4897" s="1" t="s">
        <v>34218</v>
      </c>
    </row>
    <row r="4898" spans="1:19" x14ac:dyDescent="0.25">
      <c r="A4898">
        <v>101316451</v>
      </c>
      <c r="B4898" t="s">
        <v>12333</v>
      </c>
      <c r="C4898" t="s">
        <v>1212</v>
      </c>
      <c r="G4898" t="s">
        <v>12334</v>
      </c>
      <c r="H4898" t="s">
        <v>12335</v>
      </c>
      <c r="I4898" t="s">
        <v>365</v>
      </c>
      <c r="J4898">
        <v>86040</v>
      </c>
      <c r="K4898">
        <v>4763</v>
      </c>
      <c r="L4898" t="s">
        <v>23</v>
      </c>
      <c r="M4898" t="s">
        <v>12334</v>
      </c>
      <c r="N4898" t="s">
        <v>12335</v>
      </c>
      <c r="O4898" t="s">
        <v>365</v>
      </c>
      <c r="P4898">
        <v>86040</v>
      </c>
      <c r="Q4898">
        <v>4763</v>
      </c>
      <c r="R4898" t="s">
        <v>23</v>
      </c>
      <c r="S4898" s="1" t="s">
        <v>34218</v>
      </c>
    </row>
    <row r="4899" spans="1:19" x14ac:dyDescent="0.25">
      <c r="A4899">
        <v>101316385</v>
      </c>
      <c r="B4899" t="s">
        <v>12336</v>
      </c>
      <c r="C4899" t="s">
        <v>432</v>
      </c>
      <c r="G4899" t="s">
        <v>12337</v>
      </c>
      <c r="H4899" t="s">
        <v>12338</v>
      </c>
      <c r="I4899" t="s">
        <v>236</v>
      </c>
      <c r="J4899">
        <v>1581</v>
      </c>
      <c r="K4899">
        <v>3207</v>
      </c>
      <c r="L4899" t="s">
        <v>23</v>
      </c>
      <c r="M4899" t="s">
        <v>12337</v>
      </c>
      <c r="N4899" t="s">
        <v>12338</v>
      </c>
      <c r="O4899" t="s">
        <v>236</v>
      </c>
      <c r="P4899">
        <v>1581</v>
      </c>
      <c r="Q4899">
        <v>3207</v>
      </c>
      <c r="R4899" t="s">
        <v>23</v>
      </c>
      <c r="S4899" s="1" t="s">
        <v>34218</v>
      </c>
    </row>
    <row r="4900" spans="1:19" x14ac:dyDescent="0.25">
      <c r="A4900">
        <v>101306938</v>
      </c>
      <c r="B4900" t="s">
        <v>12339</v>
      </c>
      <c r="C4900" t="s">
        <v>221</v>
      </c>
      <c r="G4900" t="s">
        <v>12340</v>
      </c>
      <c r="H4900" t="s">
        <v>12341</v>
      </c>
      <c r="I4900" t="s">
        <v>33</v>
      </c>
      <c r="J4900">
        <v>19078</v>
      </c>
      <c r="K4900">
        <v>1729</v>
      </c>
      <c r="L4900" t="s">
        <v>23</v>
      </c>
      <c r="M4900" t="s">
        <v>12340</v>
      </c>
      <c r="N4900" t="s">
        <v>12341</v>
      </c>
      <c r="O4900" t="s">
        <v>33</v>
      </c>
      <c r="P4900">
        <v>19078</v>
      </c>
      <c r="Q4900">
        <v>1729</v>
      </c>
      <c r="R4900" t="s">
        <v>23</v>
      </c>
      <c r="S4900" s="1" t="s">
        <v>34218</v>
      </c>
    </row>
    <row r="4901" spans="1:19" x14ac:dyDescent="0.25">
      <c r="A4901">
        <v>101307115</v>
      </c>
      <c r="B4901" t="s">
        <v>12342</v>
      </c>
      <c r="C4901" t="s">
        <v>1778</v>
      </c>
      <c r="G4901" t="s">
        <v>12343</v>
      </c>
      <c r="H4901" t="s">
        <v>12344</v>
      </c>
      <c r="I4901" t="s">
        <v>117</v>
      </c>
      <c r="J4901">
        <v>14032</v>
      </c>
      <c r="K4901">
        <v>9108</v>
      </c>
      <c r="L4901" t="s">
        <v>23</v>
      </c>
      <c r="M4901" t="s">
        <v>12343</v>
      </c>
      <c r="N4901" t="s">
        <v>12344</v>
      </c>
      <c r="O4901" t="s">
        <v>117</v>
      </c>
      <c r="P4901">
        <v>14032</v>
      </c>
      <c r="Q4901">
        <v>9108</v>
      </c>
      <c r="R4901" t="s">
        <v>23</v>
      </c>
      <c r="S4901" s="1" t="s">
        <v>34218</v>
      </c>
    </row>
    <row r="4902" spans="1:19" x14ac:dyDescent="0.25">
      <c r="A4902">
        <v>101315632</v>
      </c>
      <c r="B4902" t="s">
        <v>6175</v>
      </c>
      <c r="C4902" t="s">
        <v>12345</v>
      </c>
      <c r="G4902" t="s">
        <v>12346</v>
      </c>
      <c r="H4902" t="s">
        <v>454</v>
      </c>
      <c r="I4902" t="s">
        <v>22</v>
      </c>
      <c r="J4902">
        <v>93065</v>
      </c>
      <c r="K4902">
        <v>5726</v>
      </c>
      <c r="L4902" t="s">
        <v>23</v>
      </c>
      <c r="M4902" t="s">
        <v>12346</v>
      </c>
      <c r="N4902" t="s">
        <v>454</v>
      </c>
      <c r="O4902" t="s">
        <v>22</v>
      </c>
      <c r="P4902">
        <v>93065</v>
      </c>
      <c r="Q4902">
        <v>5726</v>
      </c>
      <c r="R4902" t="s">
        <v>23</v>
      </c>
      <c r="S4902" s="1" t="s">
        <v>34218</v>
      </c>
    </row>
    <row r="4903" spans="1:19" x14ac:dyDescent="0.25">
      <c r="A4903">
        <v>101318263</v>
      </c>
      <c r="B4903" t="s">
        <v>2061</v>
      </c>
      <c r="C4903" t="s">
        <v>2776</v>
      </c>
      <c r="F4903" t="str">
        <f>"4804786650"</f>
        <v>4804786650</v>
      </c>
      <c r="G4903" t="s">
        <v>12347</v>
      </c>
      <c r="H4903" t="s">
        <v>12348</v>
      </c>
      <c r="I4903" t="s">
        <v>365</v>
      </c>
      <c r="J4903">
        <v>85143</v>
      </c>
      <c r="K4903">
        <v>4243</v>
      </c>
      <c r="L4903" t="s">
        <v>23</v>
      </c>
      <c r="M4903" t="s">
        <v>12347</v>
      </c>
      <c r="N4903" t="s">
        <v>12348</v>
      </c>
      <c r="O4903" t="s">
        <v>365</v>
      </c>
      <c r="P4903">
        <v>85143</v>
      </c>
      <c r="Q4903">
        <v>4243</v>
      </c>
      <c r="R4903" t="s">
        <v>23</v>
      </c>
      <c r="S4903" s="1" t="s">
        <v>34218</v>
      </c>
    </row>
    <row r="4904" spans="1:19" x14ac:dyDescent="0.25">
      <c r="A4904">
        <v>100969254</v>
      </c>
      <c r="B4904" t="s">
        <v>12349</v>
      </c>
      <c r="C4904" t="s">
        <v>2610</v>
      </c>
      <c r="G4904" t="s">
        <v>12350</v>
      </c>
      <c r="H4904" t="s">
        <v>1405</v>
      </c>
      <c r="I4904" t="s">
        <v>187</v>
      </c>
      <c r="J4904">
        <v>55105</v>
      </c>
      <c r="K4904">
        <v>3205</v>
      </c>
      <c r="L4904" t="s">
        <v>23</v>
      </c>
      <c r="M4904" t="s">
        <v>12350</v>
      </c>
      <c r="N4904" t="s">
        <v>1405</v>
      </c>
      <c r="O4904" t="s">
        <v>187</v>
      </c>
      <c r="P4904">
        <v>55105</v>
      </c>
      <c r="Q4904">
        <v>3205</v>
      </c>
      <c r="R4904" t="s">
        <v>23</v>
      </c>
      <c r="S4904" s="1" t="s">
        <v>34218</v>
      </c>
    </row>
    <row r="4905" spans="1:19" x14ac:dyDescent="0.25">
      <c r="A4905">
        <v>100979395</v>
      </c>
      <c r="B4905" t="s">
        <v>9307</v>
      </c>
      <c r="C4905" t="s">
        <v>155</v>
      </c>
      <c r="F4905" t="str">
        <f>"7146399280"</f>
        <v>7146399280</v>
      </c>
      <c r="G4905" t="s">
        <v>12351</v>
      </c>
      <c r="H4905" t="s">
        <v>6273</v>
      </c>
      <c r="I4905" t="s">
        <v>22</v>
      </c>
      <c r="J4905">
        <v>92869</v>
      </c>
      <c r="K4905">
        <v>4907</v>
      </c>
      <c r="L4905" t="s">
        <v>23</v>
      </c>
      <c r="M4905" t="s">
        <v>12351</v>
      </c>
      <c r="N4905" t="s">
        <v>6273</v>
      </c>
      <c r="O4905" t="s">
        <v>22</v>
      </c>
      <c r="P4905">
        <v>92869</v>
      </c>
      <c r="Q4905">
        <v>4907</v>
      </c>
      <c r="R4905" t="s">
        <v>23</v>
      </c>
      <c r="S4905" s="1" t="s">
        <v>34218</v>
      </c>
    </row>
    <row r="4906" spans="1:19" x14ac:dyDescent="0.25">
      <c r="A4906">
        <v>100974521</v>
      </c>
      <c r="B4906" t="s">
        <v>12352</v>
      </c>
      <c r="C4906" t="s">
        <v>410</v>
      </c>
      <c r="G4906" t="s">
        <v>12353</v>
      </c>
      <c r="H4906" t="s">
        <v>12354</v>
      </c>
      <c r="I4906" t="s">
        <v>365</v>
      </c>
      <c r="J4906">
        <v>85138</v>
      </c>
      <c r="K4906">
        <v>3299</v>
      </c>
      <c r="L4906" t="s">
        <v>23</v>
      </c>
      <c r="M4906" t="s">
        <v>12353</v>
      </c>
      <c r="N4906" t="s">
        <v>12354</v>
      </c>
      <c r="O4906" t="s">
        <v>365</v>
      </c>
      <c r="P4906">
        <v>85138</v>
      </c>
      <c r="Q4906">
        <v>3299</v>
      </c>
      <c r="R4906" t="s">
        <v>23</v>
      </c>
      <c r="S4906" s="1" t="s">
        <v>34218</v>
      </c>
    </row>
    <row r="4907" spans="1:19" x14ac:dyDescent="0.25">
      <c r="A4907">
        <v>100977892</v>
      </c>
      <c r="B4907" t="s">
        <v>12355</v>
      </c>
      <c r="C4907" t="s">
        <v>1555</v>
      </c>
      <c r="G4907" t="s">
        <v>12356</v>
      </c>
      <c r="H4907" t="s">
        <v>825</v>
      </c>
      <c r="I4907" t="s">
        <v>236</v>
      </c>
      <c r="J4907">
        <v>1033</v>
      </c>
      <c r="K4907">
        <v>9549</v>
      </c>
      <c r="L4907" t="s">
        <v>23</v>
      </c>
      <c r="M4907" t="s">
        <v>12356</v>
      </c>
      <c r="N4907" t="s">
        <v>825</v>
      </c>
      <c r="O4907" t="s">
        <v>236</v>
      </c>
      <c r="P4907">
        <v>1033</v>
      </c>
      <c r="Q4907">
        <v>9549</v>
      </c>
      <c r="R4907" t="s">
        <v>23</v>
      </c>
      <c r="S4907" s="1" t="s">
        <v>34218</v>
      </c>
    </row>
    <row r="4908" spans="1:19" x14ac:dyDescent="0.25">
      <c r="A4908">
        <v>100979497</v>
      </c>
      <c r="B4908" t="s">
        <v>4586</v>
      </c>
      <c r="C4908" t="s">
        <v>436</v>
      </c>
      <c r="G4908" t="s">
        <v>12357</v>
      </c>
      <c r="H4908" t="s">
        <v>12358</v>
      </c>
      <c r="I4908" t="s">
        <v>28</v>
      </c>
      <c r="J4908">
        <v>30107</v>
      </c>
      <c r="K4908">
        <v>7806</v>
      </c>
      <c r="L4908" t="s">
        <v>23</v>
      </c>
      <c r="M4908" t="s">
        <v>12357</v>
      </c>
      <c r="N4908" t="s">
        <v>12358</v>
      </c>
      <c r="O4908" t="s">
        <v>28</v>
      </c>
      <c r="P4908">
        <v>30107</v>
      </c>
      <c r="Q4908">
        <v>7806</v>
      </c>
      <c r="R4908" t="s">
        <v>23</v>
      </c>
      <c r="S4908" s="1" t="s">
        <v>34218</v>
      </c>
    </row>
    <row r="4909" spans="1:19" x14ac:dyDescent="0.25">
      <c r="A4909">
        <v>100984693</v>
      </c>
      <c r="B4909" t="s">
        <v>12359</v>
      </c>
      <c r="C4909" t="s">
        <v>274</v>
      </c>
      <c r="G4909" t="s">
        <v>12360</v>
      </c>
      <c r="H4909" t="s">
        <v>6661</v>
      </c>
      <c r="I4909" t="s">
        <v>236</v>
      </c>
      <c r="J4909">
        <v>2043</v>
      </c>
      <c r="K4909">
        <v>1872</v>
      </c>
      <c r="L4909" t="s">
        <v>23</v>
      </c>
      <c r="M4909" t="s">
        <v>12360</v>
      </c>
      <c r="N4909" t="s">
        <v>6661</v>
      </c>
      <c r="O4909" t="s">
        <v>236</v>
      </c>
      <c r="P4909">
        <v>2043</v>
      </c>
      <c r="Q4909">
        <v>1872</v>
      </c>
      <c r="R4909" t="s">
        <v>23</v>
      </c>
      <c r="S4909" s="1" t="s">
        <v>34218</v>
      </c>
    </row>
    <row r="4910" spans="1:19" x14ac:dyDescent="0.25">
      <c r="A4910">
        <v>100980099</v>
      </c>
      <c r="B4910" t="s">
        <v>1941</v>
      </c>
      <c r="C4910" t="s">
        <v>621</v>
      </c>
      <c r="G4910" t="s">
        <v>12361</v>
      </c>
      <c r="H4910" t="s">
        <v>3382</v>
      </c>
      <c r="I4910" t="s">
        <v>33</v>
      </c>
      <c r="J4910">
        <v>19512</v>
      </c>
      <c r="K4910">
        <v>8428</v>
      </c>
      <c r="L4910" t="s">
        <v>23</v>
      </c>
      <c r="M4910" t="s">
        <v>12361</v>
      </c>
      <c r="N4910" t="s">
        <v>3382</v>
      </c>
      <c r="O4910" t="s">
        <v>33</v>
      </c>
      <c r="P4910">
        <v>19512</v>
      </c>
      <c r="Q4910">
        <v>8428</v>
      </c>
      <c r="R4910" t="s">
        <v>23</v>
      </c>
      <c r="S4910" s="1" t="s">
        <v>34218</v>
      </c>
    </row>
    <row r="4911" spans="1:19" x14ac:dyDescent="0.25">
      <c r="A4911">
        <v>100983731</v>
      </c>
      <c r="B4911" t="s">
        <v>6618</v>
      </c>
      <c r="C4911" t="s">
        <v>30</v>
      </c>
      <c r="F4911" t="str">
        <f>"9142495171"</f>
        <v>9142495171</v>
      </c>
      <c r="G4911" t="s">
        <v>12362</v>
      </c>
      <c r="H4911" t="s">
        <v>488</v>
      </c>
      <c r="I4911" t="s">
        <v>161</v>
      </c>
      <c r="J4911">
        <v>6804</v>
      </c>
      <c r="K4911">
        <v>1719</v>
      </c>
      <c r="L4911" t="s">
        <v>23</v>
      </c>
      <c r="M4911" t="s">
        <v>12362</v>
      </c>
      <c r="N4911" t="s">
        <v>488</v>
      </c>
      <c r="O4911" t="s">
        <v>161</v>
      </c>
      <c r="P4911">
        <v>6804</v>
      </c>
      <c r="Q4911">
        <v>1719</v>
      </c>
      <c r="R4911" t="s">
        <v>23</v>
      </c>
      <c r="S4911" s="1" t="s">
        <v>34218</v>
      </c>
    </row>
    <row r="4912" spans="1:19" x14ac:dyDescent="0.25">
      <c r="A4912">
        <v>100983813</v>
      </c>
      <c r="B4912" t="s">
        <v>7691</v>
      </c>
      <c r="C4912" t="s">
        <v>613</v>
      </c>
      <c r="G4912" t="s">
        <v>12363</v>
      </c>
      <c r="H4912" t="s">
        <v>8751</v>
      </c>
      <c r="I4912" t="s">
        <v>140</v>
      </c>
      <c r="J4912">
        <v>48823</v>
      </c>
      <c r="K4912">
        <v>1751</v>
      </c>
      <c r="L4912" t="s">
        <v>23</v>
      </c>
      <c r="M4912" t="s">
        <v>12363</v>
      </c>
      <c r="N4912" t="s">
        <v>8751</v>
      </c>
      <c r="O4912" t="s">
        <v>140</v>
      </c>
      <c r="P4912">
        <v>48823</v>
      </c>
      <c r="Q4912">
        <v>1751</v>
      </c>
      <c r="R4912" t="s">
        <v>23</v>
      </c>
      <c r="S4912" s="1" t="s">
        <v>34218</v>
      </c>
    </row>
    <row r="4913" spans="1:19" x14ac:dyDescent="0.25">
      <c r="A4913">
        <v>101180551</v>
      </c>
      <c r="B4913" t="s">
        <v>8906</v>
      </c>
      <c r="C4913" t="s">
        <v>2557</v>
      </c>
      <c r="G4913" t="s">
        <v>12364</v>
      </c>
      <c r="H4913" t="s">
        <v>12365</v>
      </c>
      <c r="I4913" t="s">
        <v>236</v>
      </c>
      <c r="J4913">
        <v>1760</v>
      </c>
      <c r="K4913">
        <v>1633</v>
      </c>
      <c r="L4913" t="s">
        <v>23</v>
      </c>
      <c r="M4913" t="s">
        <v>12364</v>
      </c>
      <c r="N4913" t="s">
        <v>12365</v>
      </c>
      <c r="O4913" t="s">
        <v>236</v>
      </c>
      <c r="P4913">
        <v>1760</v>
      </c>
      <c r="Q4913">
        <v>1633</v>
      </c>
      <c r="R4913" t="s">
        <v>23</v>
      </c>
      <c r="S4913" s="1" t="s">
        <v>34218</v>
      </c>
    </row>
    <row r="4914" spans="1:19" x14ac:dyDescent="0.25">
      <c r="A4914">
        <v>101185055</v>
      </c>
      <c r="B4914" t="s">
        <v>12366</v>
      </c>
      <c r="C4914" t="s">
        <v>575</v>
      </c>
      <c r="G4914" t="s">
        <v>12367</v>
      </c>
      <c r="H4914" t="s">
        <v>481</v>
      </c>
      <c r="I4914" t="s">
        <v>22</v>
      </c>
      <c r="J4914">
        <v>95148</v>
      </c>
      <c r="K4914">
        <v>4374</v>
      </c>
      <c r="L4914" t="s">
        <v>23</v>
      </c>
      <c r="M4914" t="s">
        <v>12367</v>
      </c>
      <c r="N4914" t="s">
        <v>481</v>
      </c>
      <c r="O4914" t="s">
        <v>22</v>
      </c>
      <c r="P4914">
        <v>95148</v>
      </c>
      <c r="Q4914">
        <v>4374</v>
      </c>
      <c r="R4914" t="s">
        <v>23</v>
      </c>
      <c r="S4914" s="1" t="s">
        <v>34218</v>
      </c>
    </row>
    <row r="4915" spans="1:19" x14ac:dyDescent="0.25">
      <c r="A4915">
        <v>101182825</v>
      </c>
      <c r="B4915" t="s">
        <v>12368</v>
      </c>
      <c r="C4915" t="s">
        <v>180</v>
      </c>
      <c r="G4915" t="s">
        <v>12369</v>
      </c>
      <c r="H4915" t="s">
        <v>1733</v>
      </c>
      <c r="I4915" t="s">
        <v>22</v>
      </c>
      <c r="J4915">
        <v>92675</v>
      </c>
      <c r="K4915">
        <v>3823</v>
      </c>
      <c r="L4915" t="s">
        <v>23</v>
      </c>
      <c r="M4915" t="s">
        <v>12369</v>
      </c>
      <c r="N4915" t="s">
        <v>1733</v>
      </c>
      <c r="O4915" t="s">
        <v>22</v>
      </c>
      <c r="P4915">
        <v>92675</v>
      </c>
      <c r="Q4915">
        <v>3823</v>
      </c>
      <c r="R4915" t="s">
        <v>23</v>
      </c>
      <c r="S4915" s="1" t="s">
        <v>34218</v>
      </c>
    </row>
    <row r="4916" spans="1:19" x14ac:dyDescent="0.25">
      <c r="A4916">
        <v>101179090</v>
      </c>
      <c r="B4916" t="s">
        <v>12370</v>
      </c>
      <c r="C4916" t="s">
        <v>233</v>
      </c>
      <c r="G4916" t="s">
        <v>12371</v>
      </c>
      <c r="H4916" t="s">
        <v>12372</v>
      </c>
      <c r="I4916" t="s">
        <v>348</v>
      </c>
      <c r="J4916">
        <v>83642</v>
      </c>
      <c r="K4916">
        <v>6744</v>
      </c>
      <c r="L4916" t="s">
        <v>23</v>
      </c>
      <c r="M4916" t="s">
        <v>12371</v>
      </c>
      <c r="N4916" t="s">
        <v>12372</v>
      </c>
      <c r="O4916" t="s">
        <v>348</v>
      </c>
      <c r="P4916">
        <v>83642</v>
      </c>
      <c r="Q4916">
        <v>6744</v>
      </c>
      <c r="R4916" t="s">
        <v>23</v>
      </c>
      <c r="S4916" s="1" t="s">
        <v>34218</v>
      </c>
    </row>
    <row r="4917" spans="1:19" x14ac:dyDescent="0.25">
      <c r="A4917">
        <v>101185264</v>
      </c>
      <c r="B4917" t="s">
        <v>1034</v>
      </c>
      <c r="C4917" t="s">
        <v>3843</v>
      </c>
      <c r="G4917" t="s">
        <v>12373</v>
      </c>
      <c r="H4917" t="s">
        <v>1972</v>
      </c>
      <c r="I4917" t="s">
        <v>100</v>
      </c>
      <c r="J4917">
        <v>54481</v>
      </c>
      <c r="K4917">
        <v>5235</v>
      </c>
      <c r="L4917" t="s">
        <v>23</v>
      </c>
      <c r="M4917" t="s">
        <v>12373</v>
      </c>
      <c r="N4917" t="s">
        <v>1972</v>
      </c>
      <c r="O4917" t="s">
        <v>100</v>
      </c>
      <c r="P4917">
        <v>54481</v>
      </c>
      <c r="Q4917">
        <v>5235</v>
      </c>
      <c r="R4917" t="s">
        <v>23</v>
      </c>
      <c r="S4917" s="1" t="s">
        <v>34218</v>
      </c>
    </row>
    <row r="4918" spans="1:19" x14ac:dyDescent="0.25">
      <c r="A4918">
        <v>101183131</v>
      </c>
      <c r="B4918" t="s">
        <v>141</v>
      </c>
      <c r="C4918" t="s">
        <v>2762</v>
      </c>
      <c r="G4918" t="s">
        <v>12374</v>
      </c>
      <c r="H4918" t="s">
        <v>688</v>
      </c>
      <c r="I4918" t="s">
        <v>117</v>
      </c>
      <c r="J4918">
        <v>14609</v>
      </c>
      <c r="K4918">
        <v>7155</v>
      </c>
      <c r="L4918" t="s">
        <v>23</v>
      </c>
      <c r="M4918" t="s">
        <v>12374</v>
      </c>
      <c r="N4918" t="s">
        <v>688</v>
      </c>
      <c r="O4918" t="s">
        <v>117</v>
      </c>
      <c r="P4918">
        <v>14609</v>
      </c>
      <c r="Q4918">
        <v>7155</v>
      </c>
      <c r="R4918" t="s">
        <v>23</v>
      </c>
      <c r="S4918" s="1" t="s">
        <v>34218</v>
      </c>
    </row>
    <row r="4919" spans="1:19" x14ac:dyDescent="0.25">
      <c r="A4919">
        <v>101190641</v>
      </c>
      <c r="B4919" t="s">
        <v>12375</v>
      </c>
      <c r="C4919" t="s">
        <v>1933</v>
      </c>
      <c r="G4919" t="s">
        <v>12376</v>
      </c>
      <c r="H4919" t="s">
        <v>227</v>
      </c>
      <c r="I4919" t="s">
        <v>43</v>
      </c>
      <c r="J4919">
        <v>97210</v>
      </c>
      <c r="K4919">
        <v>5242</v>
      </c>
      <c r="L4919" t="s">
        <v>23</v>
      </c>
      <c r="M4919" t="s">
        <v>12376</v>
      </c>
      <c r="N4919" t="s">
        <v>227</v>
      </c>
      <c r="O4919" t="s">
        <v>43</v>
      </c>
      <c r="P4919">
        <v>97210</v>
      </c>
      <c r="Q4919">
        <v>5242</v>
      </c>
      <c r="R4919" t="s">
        <v>23</v>
      </c>
      <c r="S4919" s="1" t="s">
        <v>34218</v>
      </c>
    </row>
    <row r="4920" spans="1:19" x14ac:dyDescent="0.25">
      <c r="A4920">
        <v>101288505</v>
      </c>
      <c r="B4920" t="s">
        <v>12377</v>
      </c>
      <c r="C4920" t="s">
        <v>128</v>
      </c>
      <c r="F4920" t="str">
        <f>"4106670025"</f>
        <v>4106670025</v>
      </c>
      <c r="G4920" t="s">
        <v>12378</v>
      </c>
      <c r="H4920" t="s">
        <v>12379</v>
      </c>
      <c r="I4920" t="s">
        <v>148</v>
      </c>
      <c r="J4920">
        <v>21030</v>
      </c>
      <c r="K4920">
        <v>2821</v>
      </c>
      <c r="L4920" t="s">
        <v>23</v>
      </c>
      <c r="M4920" t="s">
        <v>12378</v>
      </c>
      <c r="N4920" t="s">
        <v>12379</v>
      </c>
      <c r="O4920" t="s">
        <v>148</v>
      </c>
      <c r="P4920">
        <v>21030</v>
      </c>
      <c r="Q4920">
        <v>2821</v>
      </c>
      <c r="R4920" t="s">
        <v>23</v>
      </c>
      <c r="S4920" s="1" t="s">
        <v>34218</v>
      </c>
    </row>
    <row r="4921" spans="1:19" x14ac:dyDescent="0.25">
      <c r="A4921">
        <v>101288454</v>
      </c>
      <c r="B4921" t="s">
        <v>12380</v>
      </c>
      <c r="C4921" t="s">
        <v>12381</v>
      </c>
      <c r="G4921" t="s">
        <v>12382</v>
      </c>
      <c r="H4921" t="s">
        <v>401</v>
      </c>
      <c r="I4921" t="s">
        <v>52</v>
      </c>
      <c r="J4921">
        <v>34667</v>
      </c>
      <c r="K4921">
        <v>8405</v>
      </c>
      <c r="L4921" t="s">
        <v>23</v>
      </c>
      <c r="M4921" t="s">
        <v>12382</v>
      </c>
      <c r="N4921" t="s">
        <v>401</v>
      </c>
      <c r="O4921" t="s">
        <v>52</v>
      </c>
      <c r="P4921">
        <v>34667</v>
      </c>
      <c r="Q4921">
        <v>8405</v>
      </c>
      <c r="R4921" t="s">
        <v>23</v>
      </c>
      <c r="S4921" s="1" t="s">
        <v>34218</v>
      </c>
    </row>
    <row r="4922" spans="1:19" x14ac:dyDescent="0.25">
      <c r="A4922">
        <v>101281989</v>
      </c>
      <c r="B4922" t="s">
        <v>12383</v>
      </c>
      <c r="C4922" t="s">
        <v>12384</v>
      </c>
      <c r="G4922" t="s">
        <v>12385</v>
      </c>
      <c r="H4922" t="s">
        <v>12386</v>
      </c>
      <c r="I4922" t="s">
        <v>22</v>
      </c>
      <c r="J4922">
        <v>95670</v>
      </c>
      <c r="K4922">
        <v>8301</v>
      </c>
      <c r="L4922" t="s">
        <v>23</v>
      </c>
      <c r="M4922" t="s">
        <v>12385</v>
      </c>
      <c r="N4922" t="s">
        <v>12386</v>
      </c>
      <c r="O4922" t="s">
        <v>22</v>
      </c>
      <c r="P4922">
        <v>95670</v>
      </c>
      <c r="Q4922">
        <v>8301</v>
      </c>
      <c r="R4922" t="s">
        <v>23</v>
      </c>
      <c r="S4922" s="1" t="s">
        <v>34218</v>
      </c>
    </row>
    <row r="4923" spans="1:19" x14ac:dyDescent="0.25">
      <c r="A4923">
        <v>101284815</v>
      </c>
      <c r="B4923" t="s">
        <v>12387</v>
      </c>
      <c r="C4923" t="s">
        <v>3121</v>
      </c>
      <c r="G4923" t="s">
        <v>12388</v>
      </c>
      <c r="H4923" t="s">
        <v>1045</v>
      </c>
      <c r="I4923" t="s">
        <v>52</v>
      </c>
      <c r="J4923">
        <v>33325</v>
      </c>
      <c r="K4923">
        <v>4007</v>
      </c>
      <c r="L4923" t="s">
        <v>23</v>
      </c>
      <c r="M4923" t="s">
        <v>12388</v>
      </c>
      <c r="N4923" t="s">
        <v>1045</v>
      </c>
      <c r="O4923" t="s">
        <v>52</v>
      </c>
      <c r="P4923">
        <v>33325</v>
      </c>
      <c r="Q4923">
        <v>4007</v>
      </c>
      <c r="R4923" t="s">
        <v>23</v>
      </c>
      <c r="S4923" s="1" t="s">
        <v>34218</v>
      </c>
    </row>
    <row r="4924" spans="1:19" x14ac:dyDescent="0.25">
      <c r="A4924">
        <v>101289206</v>
      </c>
      <c r="B4924" t="s">
        <v>3946</v>
      </c>
      <c r="C4924" t="s">
        <v>579</v>
      </c>
      <c r="G4924" t="s">
        <v>12389</v>
      </c>
      <c r="H4924" t="s">
        <v>5908</v>
      </c>
      <c r="I4924" t="s">
        <v>52</v>
      </c>
      <c r="J4924">
        <v>32967</v>
      </c>
      <c r="K4924">
        <v>6839</v>
      </c>
      <c r="L4924" t="s">
        <v>23</v>
      </c>
      <c r="M4924" t="s">
        <v>12389</v>
      </c>
      <c r="N4924" t="s">
        <v>5908</v>
      </c>
      <c r="O4924" t="s">
        <v>52</v>
      </c>
      <c r="P4924">
        <v>32967</v>
      </c>
      <c r="Q4924">
        <v>6839</v>
      </c>
      <c r="R4924" t="s">
        <v>23</v>
      </c>
      <c r="S4924" s="1" t="s">
        <v>34218</v>
      </c>
    </row>
    <row r="4925" spans="1:19" x14ac:dyDescent="0.25">
      <c r="A4925">
        <v>101293328</v>
      </c>
      <c r="B4925" t="s">
        <v>12390</v>
      </c>
      <c r="C4925" t="s">
        <v>229</v>
      </c>
      <c r="G4925" t="s">
        <v>12391</v>
      </c>
      <c r="H4925" t="s">
        <v>12392</v>
      </c>
      <c r="I4925" t="s">
        <v>22</v>
      </c>
      <c r="J4925">
        <v>94019</v>
      </c>
      <c r="K4925">
        <v>5107</v>
      </c>
      <c r="L4925" t="s">
        <v>23</v>
      </c>
      <c r="M4925" t="s">
        <v>12391</v>
      </c>
      <c r="N4925" t="s">
        <v>12392</v>
      </c>
      <c r="O4925" t="s">
        <v>22</v>
      </c>
      <c r="P4925">
        <v>94019</v>
      </c>
      <c r="Q4925">
        <v>5107</v>
      </c>
      <c r="R4925" t="s">
        <v>23</v>
      </c>
      <c r="S4925" s="1" t="s">
        <v>34218</v>
      </c>
    </row>
    <row r="4926" spans="1:19" x14ac:dyDescent="0.25">
      <c r="A4926">
        <v>101288308</v>
      </c>
      <c r="B4926" t="s">
        <v>12393</v>
      </c>
      <c r="C4926" t="s">
        <v>1463</v>
      </c>
      <c r="G4926" t="s">
        <v>12394</v>
      </c>
      <c r="H4926" t="s">
        <v>12395</v>
      </c>
      <c r="I4926" t="s">
        <v>38</v>
      </c>
      <c r="J4926">
        <v>77345</v>
      </c>
      <c r="K4926">
        <v>2123</v>
      </c>
      <c r="L4926" t="s">
        <v>23</v>
      </c>
      <c r="M4926" t="s">
        <v>12394</v>
      </c>
      <c r="N4926" t="s">
        <v>12395</v>
      </c>
      <c r="O4926" t="s">
        <v>38</v>
      </c>
      <c r="P4926">
        <v>77345</v>
      </c>
      <c r="Q4926">
        <v>2123</v>
      </c>
      <c r="R4926" t="s">
        <v>23</v>
      </c>
      <c r="S4926" s="1" t="s">
        <v>34218</v>
      </c>
    </row>
    <row r="4927" spans="1:19" x14ac:dyDescent="0.25">
      <c r="A4927">
        <v>101292250</v>
      </c>
      <c r="B4927" t="s">
        <v>4401</v>
      </c>
      <c r="C4927" t="s">
        <v>403</v>
      </c>
      <c r="G4927" t="s">
        <v>12396</v>
      </c>
      <c r="H4927" t="s">
        <v>9018</v>
      </c>
      <c r="I4927" t="s">
        <v>22</v>
      </c>
      <c r="J4927">
        <v>92677</v>
      </c>
      <c r="K4927">
        <v>2104</v>
      </c>
      <c r="L4927" t="s">
        <v>23</v>
      </c>
      <c r="M4927" t="s">
        <v>12396</v>
      </c>
      <c r="N4927" t="s">
        <v>9018</v>
      </c>
      <c r="O4927" t="s">
        <v>22</v>
      </c>
      <c r="P4927">
        <v>92677</v>
      </c>
      <c r="Q4927">
        <v>2104</v>
      </c>
      <c r="R4927" t="s">
        <v>23</v>
      </c>
      <c r="S4927" s="1" t="s">
        <v>34218</v>
      </c>
    </row>
    <row r="4928" spans="1:19" x14ac:dyDescent="0.25">
      <c r="A4928">
        <v>101291182</v>
      </c>
      <c r="B4928" t="s">
        <v>12397</v>
      </c>
      <c r="C4928" t="s">
        <v>627</v>
      </c>
      <c r="G4928" t="s">
        <v>12398</v>
      </c>
      <c r="H4928" t="s">
        <v>650</v>
      </c>
      <c r="I4928" t="s">
        <v>22</v>
      </c>
      <c r="J4928">
        <v>95833</v>
      </c>
      <c r="K4928">
        <v>9788</v>
      </c>
      <c r="L4928" t="s">
        <v>23</v>
      </c>
      <c r="M4928" t="s">
        <v>12398</v>
      </c>
      <c r="N4928" t="s">
        <v>650</v>
      </c>
      <c r="O4928" t="s">
        <v>22</v>
      </c>
      <c r="P4928">
        <v>95833</v>
      </c>
      <c r="Q4928">
        <v>9788</v>
      </c>
      <c r="R4928" t="s">
        <v>23</v>
      </c>
      <c r="S4928" s="1" t="s">
        <v>34218</v>
      </c>
    </row>
    <row r="4929" spans="1:19" x14ac:dyDescent="0.25">
      <c r="A4929">
        <v>101088737</v>
      </c>
      <c r="B4929" t="s">
        <v>1671</v>
      </c>
      <c r="C4929" t="s">
        <v>4416</v>
      </c>
      <c r="G4929" t="s">
        <v>12399</v>
      </c>
      <c r="H4929" t="s">
        <v>4675</v>
      </c>
      <c r="I4929" t="s">
        <v>984</v>
      </c>
      <c r="J4929">
        <v>96708</v>
      </c>
      <c r="K4929">
        <v>5446</v>
      </c>
      <c r="L4929" t="s">
        <v>23</v>
      </c>
      <c r="M4929" t="s">
        <v>12399</v>
      </c>
      <c r="N4929" t="s">
        <v>4675</v>
      </c>
      <c r="O4929" t="s">
        <v>984</v>
      </c>
      <c r="P4929">
        <v>96708</v>
      </c>
      <c r="Q4929">
        <v>5446</v>
      </c>
      <c r="R4929" t="s">
        <v>23</v>
      </c>
      <c r="S4929" s="1" t="s">
        <v>34218</v>
      </c>
    </row>
    <row r="4930" spans="1:19" x14ac:dyDescent="0.25">
      <c r="A4930">
        <v>101095240</v>
      </c>
      <c r="B4930" t="s">
        <v>1291</v>
      </c>
      <c r="C4930" t="s">
        <v>1933</v>
      </c>
      <c r="G4930" t="s">
        <v>12400</v>
      </c>
      <c r="H4930" t="s">
        <v>2069</v>
      </c>
      <c r="I4930" t="s">
        <v>22</v>
      </c>
      <c r="J4930">
        <v>95472</v>
      </c>
      <c r="K4930">
        <v>9416</v>
      </c>
      <c r="L4930" t="s">
        <v>23</v>
      </c>
      <c r="M4930" t="s">
        <v>12400</v>
      </c>
      <c r="N4930" t="s">
        <v>2069</v>
      </c>
      <c r="O4930" t="s">
        <v>22</v>
      </c>
      <c r="P4930">
        <v>95472</v>
      </c>
      <c r="Q4930">
        <v>9416</v>
      </c>
      <c r="R4930" t="s">
        <v>23</v>
      </c>
      <c r="S4930" s="1" t="s">
        <v>34218</v>
      </c>
    </row>
    <row r="4931" spans="1:19" x14ac:dyDescent="0.25">
      <c r="A4931">
        <v>101306446</v>
      </c>
      <c r="B4931" t="s">
        <v>4388</v>
      </c>
      <c r="C4931" t="s">
        <v>40</v>
      </c>
      <c r="G4931" t="s">
        <v>12401</v>
      </c>
      <c r="H4931" t="s">
        <v>12402</v>
      </c>
      <c r="I4931" t="s">
        <v>241</v>
      </c>
      <c r="J4931">
        <v>66701</v>
      </c>
      <c r="K4931">
        <v>7798</v>
      </c>
      <c r="L4931" t="s">
        <v>23</v>
      </c>
      <c r="M4931" t="s">
        <v>12401</v>
      </c>
      <c r="N4931" t="s">
        <v>12402</v>
      </c>
      <c r="O4931" t="s">
        <v>241</v>
      </c>
      <c r="P4931">
        <v>66701</v>
      </c>
      <c r="Q4931">
        <v>7798</v>
      </c>
      <c r="R4931" t="s">
        <v>23</v>
      </c>
      <c r="S4931" s="1" t="s">
        <v>34218</v>
      </c>
    </row>
    <row r="4932" spans="1:19" x14ac:dyDescent="0.25">
      <c r="A4932">
        <v>101313512</v>
      </c>
      <c r="B4932" t="s">
        <v>12403</v>
      </c>
      <c r="C4932" t="s">
        <v>3643</v>
      </c>
      <c r="G4932" t="s">
        <v>12404</v>
      </c>
      <c r="H4932" t="s">
        <v>4186</v>
      </c>
      <c r="I4932" t="s">
        <v>84</v>
      </c>
      <c r="J4932">
        <v>98052</v>
      </c>
      <c r="K4932">
        <v>2785</v>
      </c>
      <c r="L4932" t="s">
        <v>23</v>
      </c>
      <c r="M4932" t="s">
        <v>12404</v>
      </c>
      <c r="N4932" t="s">
        <v>4186</v>
      </c>
      <c r="O4932" t="s">
        <v>84</v>
      </c>
      <c r="P4932">
        <v>98052</v>
      </c>
      <c r="Q4932">
        <v>2785</v>
      </c>
      <c r="R4932" t="s">
        <v>23</v>
      </c>
      <c r="S4932" s="1" t="s">
        <v>34218</v>
      </c>
    </row>
    <row r="4933" spans="1:19" x14ac:dyDescent="0.25">
      <c r="A4933">
        <v>101302751</v>
      </c>
      <c r="B4933" t="s">
        <v>2427</v>
      </c>
      <c r="C4933" t="s">
        <v>123</v>
      </c>
      <c r="G4933" t="s">
        <v>12405</v>
      </c>
      <c r="H4933" t="s">
        <v>758</v>
      </c>
      <c r="I4933" t="s">
        <v>148</v>
      </c>
      <c r="J4933">
        <v>20902</v>
      </c>
      <c r="K4933">
        <v>1443</v>
      </c>
      <c r="L4933" t="s">
        <v>23</v>
      </c>
      <c r="M4933" t="s">
        <v>12405</v>
      </c>
      <c r="N4933" t="s">
        <v>758</v>
      </c>
      <c r="O4933" t="s">
        <v>148</v>
      </c>
      <c r="P4933">
        <v>20902</v>
      </c>
      <c r="Q4933">
        <v>1443</v>
      </c>
      <c r="R4933" t="s">
        <v>23</v>
      </c>
      <c r="S4933" s="1" t="s">
        <v>34218</v>
      </c>
    </row>
    <row r="4934" spans="1:19" x14ac:dyDescent="0.25">
      <c r="A4934">
        <v>101310755</v>
      </c>
      <c r="B4934" t="s">
        <v>12406</v>
      </c>
      <c r="C4934" t="s">
        <v>1658</v>
      </c>
      <c r="G4934" t="s">
        <v>12407</v>
      </c>
      <c r="H4934" t="s">
        <v>8649</v>
      </c>
      <c r="I4934" t="s">
        <v>52</v>
      </c>
      <c r="J4934">
        <v>32132</v>
      </c>
      <c r="K4934">
        <v>2366</v>
      </c>
      <c r="L4934" t="s">
        <v>23</v>
      </c>
      <c r="M4934" t="s">
        <v>12407</v>
      </c>
      <c r="N4934" t="s">
        <v>8649</v>
      </c>
      <c r="O4934" t="s">
        <v>52</v>
      </c>
      <c r="P4934">
        <v>32132</v>
      </c>
      <c r="Q4934">
        <v>2366</v>
      </c>
      <c r="R4934" t="s">
        <v>23</v>
      </c>
      <c r="S4934" s="1" t="s">
        <v>34218</v>
      </c>
    </row>
    <row r="4935" spans="1:19" x14ac:dyDescent="0.25">
      <c r="A4935">
        <v>101316371</v>
      </c>
      <c r="B4935" t="s">
        <v>12408</v>
      </c>
      <c r="C4935" t="s">
        <v>1327</v>
      </c>
      <c r="F4935" t="str">
        <f>"8047461648"</f>
        <v>8047461648</v>
      </c>
      <c r="G4935" t="s">
        <v>12409</v>
      </c>
      <c r="H4935" t="s">
        <v>5975</v>
      </c>
      <c r="I4935" t="s">
        <v>255</v>
      </c>
      <c r="J4935">
        <v>23116</v>
      </c>
      <c r="K4935">
        <v>3974</v>
      </c>
      <c r="L4935" t="s">
        <v>23</v>
      </c>
      <c r="M4935" t="s">
        <v>12409</v>
      </c>
      <c r="N4935" t="s">
        <v>5975</v>
      </c>
      <c r="O4935" t="s">
        <v>255</v>
      </c>
      <c r="P4935">
        <v>23116</v>
      </c>
      <c r="Q4935">
        <v>3974</v>
      </c>
      <c r="R4935" t="s">
        <v>23</v>
      </c>
      <c r="S4935" s="1" t="s">
        <v>34218</v>
      </c>
    </row>
    <row r="4936" spans="1:19" x14ac:dyDescent="0.25">
      <c r="A4936">
        <v>101308629</v>
      </c>
      <c r="B4936" t="s">
        <v>12410</v>
      </c>
      <c r="C4936" t="s">
        <v>301</v>
      </c>
      <c r="F4936" t="str">
        <f>"3194324117"</f>
        <v>3194324117</v>
      </c>
      <c r="G4936" t="s">
        <v>12411</v>
      </c>
      <c r="H4936" t="s">
        <v>4521</v>
      </c>
      <c r="I4936" t="s">
        <v>565</v>
      </c>
      <c r="J4936">
        <v>52227</v>
      </c>
      <c r="K4936">
        <v>9586</v>
      </c>
      <c r="L4936" t="s">
        <v>23</v>
      </c>
      <c r="M4936" t="s">
        <v>12411</v>
      </c>
      <c r="N4936" t="s">
        <v>4521</v>
      </c>
      <c r="O4936" t="s">
        <v>565</v>
      </c>
      <c r="P4936">
        <v>52227</v>
      </c>
      <c r="Q4936">
        <v>9586</v>
      </c>
      <c r="R4936" t="s">
        <v>23</v>
      </c>
      <c r="S4936" s="1" t="s">
        <v>34218</v>
      </c>
    </row>
    <row r="4937" spans="1:19" x14ac:dyDescent="0.25">
      <c r="A4937">
        <v>101316401</v>
      </c>
      <c r="B4937" t="s">
        <v>93</v>
      </c>
      <c r="C4937" t="s">
        <v>1309</v>
      </c>
      <c r="G4937" t="s">
        <v>12412</v>
      </c>
      <c r="H4937" t="s">
        <v>12413</v>
      </c>
      <c r="I4937" t="s">
        <v>565</v>
      </c>
      <c r="J4937">
        <v>52241</v>
      </c>
      <c r="K4937">
        <v>1010</v>
      </c>
      <c r="L4937" t="s">
        <v>23</v>
      </c>
      <c r="M4937" t="s">
        <v>12412</v>
      </c>
      <c r="N4937" t="s">
        <v>12413</v>
      </c>
      <c r="O4937" t="s">
        <v>565</v>
      </c>
      <c r="P4937">
        <v>52241</v>
      </c>
      <c r="Q4937">
        <v>1010</v>
      </c>
      <c r="R4937" t="s">
        <v>23</v>
      </c>
      <c r="S4937" s="1" t="s">
        <v>34218</v>
      </c>
    </row>
    <row r="4938" spans="1:19" x14ac:dyDescent="0.25">
      <c r="A4938">
        <v>101315399</v>
      </c>
      <c r="B4938" t="s">
        <v>2037</v>
      </c>
      <c r="C4938" t="s">
        <v>1487</v>
      </c>
      <c r="G4938" t="s">
        <v>12414</v>
      </c>
      <c r="H4938" t="s">
        <v>8055</v>
      </c>
      <c r="I4938" t="s">
        <v>191</v>
      </c>
      <c r="J4938">
        <v>4032</v>
      </c>
      <c r="K4938">
        <v>6029</v>
      </c>
      <c r="L4938" t="s">
        <v>23</v>
      </c>
      <c r="M4938" t="s">
        <v>12414</v>
      </c>
      <c r="N4938" t="s">
        <v>8055</v>
      </c>
      <c r="O4938" t="s">
        <v>191</v>
      </c>
      <c r="P4938">
        <v>4032</v>
      </c>
      <c r="Q4938">
        <v>6029</v>
      </c>
      <c r="R4938" t="s">
        <v>23</v>
      </c>
      <c r="S4938" s="1" t="s">
        <v>34218</v>
      </c>
    </row>
    <row r="4939" spans="1:19" x14ac:dyDescent="0.25">
      <c r="A4939">
        <v>101313707</v>
      </c>
      <c r="B4939" t="s">
        <v>12415</v>
      </c>
      <c r="C4939" t="s">
        <v>4103</v>
      </c>
      <c r="G4939" t="s">
        <v>12416</v>
      </c>
      <c r="H4939" t="s">
        <v>177</v>
      </c>
      <c r="I4939" t="s">
        <v>353</v>
      </c>
      <c r="J4939">
        <v>3217</v>
      </c>
      <c r="K4939">
        <v>4404</v>
      </c>
      <c r="L4939" t="s">
        <v>23</v>
      </c>
      <c r="M4939" t="s">
        <v>12416</v>
      </c>
      <c r="N4939" t="s">
        <v>177</v>
      </c>
      <c r="O4939" t="s">
        <v>353</v>
      </c>
      <c r="P4939">
        <v>3217</v>
      </c>
      <c r="Q4939">
        <v>4404</v>
      </c>
      <c r="R4939" t="s">
        <v>23</v>
      </c>
      <c r="S4939" s="1" t="s">
        <v>34218</v>
      </c>
    </row>
    <row r="4940" spans="1:19" x14ac:dyDescent="0.25">
      <c r="A4940">
        <v>101320836</v>
      </c>
      <c r="B4940" t="s">
        <v>12417</v>
      </c>
      <c r="C4940" t="s">
        <v>1241</v>
      </c>
      <c r="F4940" t="str">
        <f>"9164893864"</f>
        <v>9164893864</v>
      </c>
      <c r="G4940" t="s">
        <v>12418</v>
      </c>
      <c r="H4940" t="s">
        <v>650</v>
      </c>
      <c r="I4940" t="s">
        <v>22</v>
      </c>
      <c r="J4940">
        <v>95821</v>
      </c>
      <c r="K4940">
        <v>3128</v>
      </c>
      <c r="L4940" t="s">
        <v>23</v>
      </c>
      <c r="M4940" t="s">
        <v>12418</v>
      </c>
      <c r="N4940" t="s">
        <v>650</v>
      </c>
      <c r="O4940" t="s">
        <v>22</v>
      </c>
      <c r="P4940">
        <v>95821</v>
      </c>
      <c r="Q4940">
        <v>3128</v>
      </c>
      <c r="R4940" t="s">
        <v>23</v>
      </c>
      <c r="S4940" s="1" t="s">
        <v>34218</v>
      </c>
    </row>
    <row r="4941" spans="1:19" x14ac:dyDescent="0.25">
      <c r="A4941">
        <v>101318291</v>
      </c>
      <c r="B4941" t="s">
        <v>12419</v>
      </c>
      <c r="C4941" t="s">
        <v>12420</v>
      </c>
      <c r="G4941" t="s">
        <v>12421</v>
      </c>
      <c r="H4941" t="s">
        <v>1367</v>
      </c>
      <c r="I4941" t="s">
        <v>38</v>
      </c>
      <c r="J4941">
        <v>76021</v>
      </c>
      <c r="K4941">
        <v>4335</v>
      </c>
      <c r="L4941" t="s">
        <v>23</v>
      </c>
      <c r="M4941" t="s">
        <v>12421</v>
      </c>
      <c r="N4941" t="s">
        <v>1367</v>
      </c>
      <c r="O4941" t="s">
        <v>38</v>
      </c>
      <c r="P4941">
        <v>76021</v>
      </c>
      <c r="Q4941">
        <v>4335</v>
      </c>
      <c r="R4941" t="s">
        <v>23</v>
      </c>
      <c r="S4941" s="1" t="s">
        <v>34218</v>
      </c>
    </row>
    <row r="4942" spans="1:19" x14ac:dyDescent="0.25">
      <c r="A4942">
        <v>101318192</v>
      </c>
      <c r="B4942" t="s">
        <v>465</v>
      </c>
      <c r="C4942" t="s">
        <v>707</v>
      </c>
      <c r="F4942" t="str">
        <f>"6269154734"</f>
        <v>6269154734</v>
      </c>
      <c r="G4942" t="s">
        <v>12422</v>
      </c>
      <c r="H4942" t="s">
        <v>11446</v>
      </c>
      <c r="I4942" t="s">
        <v>22</v>
      </c>
      <c r="J4942">
        <v>91723</v>
      </c>
      <c r="K4942">
        <v>3167</v>
      </c>
      <c r="L4942" t="s">
        <v>23</v>
      </c>
      <c r="M4942" t="s">
        <v>12422</v>
      </c>
      <c r="N4942" t="s">
        <v>11446</v>
      </c>
      <c r="O4942" t="s">
        <v>22</v>
      </c>
      <c r="P4942">
        <v>91723</v>
      </c>
      <c r="Q4942">
        <v>3167</v>
      </c>
      <c r="R4942" t="s">
        <v>23</v>
      </c>
      <c r="S4942" s="1" t="s">
        <v>34218</v>
      </c>
    </row>
    <row r="4943" spans="1:19" x14ac:dyDescent="0.25">
      <c r="A4943">
        <v>101320985</v>
      </c>
      <c r="B4943" t="s">
        <v>5270</v>
      </c>
      <c r="C4943" t="s">
        <v>350</v>
      </c>
      <c r="G4943" t="s">
        <v>12423</v>
      </c>
      <c r="H4943" t="s">
        <v>1439</v>
      </c>
      <c r="I4943" t="s">
        <v>365</v>
      </c>
      <c r="J4943">
        <v>85742</v>
      </c>
      <c r="K4943">
        <v>1146</v>
      </c>
      <c r="L4943" t="s">
        <v>23</v>
      </c>
      <c r="M4943" t="s">
        <v>12423</v>
      </c>
      <c r="N4943" t="s">
        <v>1439</v>
      </c>
      <c r="O4943" t="s">
        <v>365</v>
      </c>
      <c r="P4943">
        <v>85742</v>
      </c>
      <c r="Q4943">
        <v>1146</v>
      </c>
      <c r="R4943" t="s">
        <v>23</v>
      </c>
      <c r="S4943" s="1" t="s">
        <v>34218</v>
      </c>
    </row>
    <row r="4944" spans="1:19" x14ac:dyDescent="0.25">
      <c r="A4944">
        <v>101322259</v>
      </c>
      <c r="B4944" t="s">
        <v>12424</v>
      </c>
      <c r="C4944" t="s">
        <v>12425</v>
      </c>
      <c r="G4944" t="s">
        <v>12426</v>
      </c>
      <c r="H4944" t="s">
        <v>1985</v>
      </c>
      <c r="I4944" t="s">
        <v>71</v>
      </c>
      <c r="J4944">
        <v>80905</v>
      </c>
      <c r="K4944">
        <v>4460</v>
      </c>
      <c r="L4944" t="s">
        <v>23</v>
      </c>
      <c r="M4944" t="s">
        <v>12426</v>
      </c>
      <c r="N4944" t="s">
        <v>1985</v>
      </c>
      <c r="O4944" t="s">
        <v>71</v>
      </c>
      <c r="P4944">
        <v>80905</v>
      </c>
      <c r="Q4944">
        <v>4460</v>
      </c>
      <c r="R4944" t="s">
        <v>23</v>
      </c>
      <c r="S4944" s="1" t="s">
        <v>34218</v>
      </c>
    </row>
    <row r="4945" spans="1:19" x14ac:dyDescent="0.25">
      <c r="A4945">
        <v>101312560</v>
      </c>
      <c r="B4945" t="s">
        <v>12427</v>
      </c>
      <c r="C4945" t="s">
        <v>554</v>
      </c>
      <c r="G4945" t="s">
        <v>12428</v>
      </c>
      <c r="H4945" t="s">
        <v>1276</v>
      </c>
      <c r="I4945" t="s">
        <v>446</v>
      </c>
      <c r="J4945">
        <v>27516</v>
      </c>
      <c r="K4945">
        <v>5827</v>
      </c>
      <c r="L4945" t="s">
        <v>23</v>
      </c>
      <c r="M4945" t="s">
        <v>12428</v>
      </c>
      <c r="N4945" t="s">
        <v>1276</v>
      </c>
      <c r="O4945" t="s">
        <v>446</v>
      </c>
      <c r="P4945">
        <v>27516</v>
      </c>
      <c r="Q4945">
        <v>5827</v>
      </c>
      <c r="R4945" t="s">
        <v>23</v>
      </c>
      <c r="S4945" s="1" t="s">
        <v>34218</v>
      </c>
    </row>
    <row r="4946" spans="1:19" x14ac:dyDescent="0.25">
      <c r="A4946">
        <v>101325361</v>
      </c>
      <c r="B4946" t="s">
        <v>8051</v>
      </c>
      <c r="C4946" t="s">
        <v>2127</v>
      </c>
      <c r="G4946" t="s">
        <v>12429</v>
      </c>
      <c r="H4946" t="s">
        <v>11122</v>
      </c>
      <c r="I4946" t="s">
        <v>178</v>
      </c>
      <c r="J4946">
        <v>44256</v>
      </c>
      <c r="K4946">
        <v>7825</v>
      </c>
      <c r="L4946" t="s">
        <v>23</v>
      </c>
      <c r="M4946" t="s">
        <v>12429</v>
      </c>
      <c r="N4946" t="s">
        <v>11122</v>
      </c>
      <c r="O4946" t="s">
        <v>178</v>
      </c>
      <c r="P4946">
        <v>44256</v>
      </c>
      <c r="Q4946">
        <v>7825</v>
      </c>
      <c r="R4946" t="s">
        <v>23</v>
      </c>
      <c r="S4946" s="1" t="s">
        <v>34218</v>
      </c>
    </row>
    <row r="4947" spans="1:19" x14ac:dyDescent="0.25">
      <c r="A4947">
        <v>101320302</v>
      </c>
      <c r="B4947" t="s">
        <v>2253</v>
      </c>
      <c r="C4947" t="s">
        <v>266</v>
      </c>
      <c r="G4947" t="s">
        <v>12430</v>
      </c>
      <c r="H4947" t="s">
        <v>9173</v>
      </c>
      <c r="I4947" t="s">
        <v>52</v>
      </c>
      <c r="J4947">
        <v>32233</v>
      </c>
      <c r="K4947">
        <v>4020</v>
      </c>
      <c r="L4947" t="s">
        <v>23</v>
      </c>
      <c r="M4947" t="s">
        <v>12430</v>
      </c>
      <c r="N4947" t="s">
        <v>9173</v>
      </c>
      <c r="O4947" t="s">
        <v>52</v>
      </c>
      <c r="P4947">
        <v>32233</v>
      </c>
      <c r="Q4947">
        <v>4020</v>
      </c>
      <c r="R4947" t="s">
        <v>23</v>
      </c>
      <c r="S4947" s="1" t="s">
        <v>34218</v>
      </c>
    </row>
    <row r="4948" spans="1:19" x14ac:dyDescent="0.25">
      <c r="A4948">
        <v>101319116</v>
      </c>
      <c r="B4948" t="s">
        <v>654</v>
      </c>
      <c r="C4948" t="s">
        <v>12431</v>
      </c>
      <c r="G4948" t="s">
        <v>12432</v>
      </c>
      <c r="H4948" t="s">
        <v>12433</v>
      </c>
      <c r="I4948" t="s">
        <v>140</v>
      </c>
      <c r="J4948">
        <v>49038</v>
      </c>
      <c r="K4948">
        <v>9638</v>
      </c>
      <c r="L4948" t="s">
        <v>23</v>
      </c>
      <c r="M4948" t="s">
        <v>12432</v>
      </c>
      <c r="N4948" t="s">
        <v>12433</v>
      </c>
      <c r="O4948" t="s">
        <v>140</v>
      </c>
      <c r="P4948">
        <v>49038</v>
      </c>
      <c r="Q4948">
        <v>9638</v>
      </c>
      <c r="R4948" t="s">
        <v>23</v>
      </c>
      <c r="S4948" s="1" t="s">
        <v>34218</v>
      </c>
    </row>
    <row r="4949" spans="1:19" x14ac:dyDescent="0.25">
      <c r="A4949">
        <v>101319103</v>
      </c>
      <c r="B4949" t="s">
        <v>1533</v>
      </c>
      <c r="C4949" t="s">
        <v>12434</v>
      </c>
      <c r="F4949" t="str">
        <f>"3604815611"</f>
        <v>3604815611</v>
      </c>
      <c r="G4949" t="s">
        <v>12435</v>
      </c>
      <c r="H4949" t="s">
        <v>10560</v>
      </c>
      <c r="I4949" t="s">
        <v>84</v>
      </c>
      <c r="J4949">
        <v>98512</v>
      </c>
      <c r="K4949">
        <v>7842</v>
      </c>
      <c r="L4949" t="s">
        <v>23</v>
      </c>
      <c r="M4949" t="s">
        <v>12435</v>
      </c>
      <c r="N4949" t="s">
        <v>10560</v>
      </c>
      <c r="O4949" t="s">
        <v>84</v>
      </c>
      <c r="P4949">
        <v>98512</v>
      </c>
      <c r="Q4949">
        <v>7842</v>
      </c>
      <c r="R4949" t="s">
        <v>23</v>
      </c>
      <c r="S4949" s="1" t="s">
        <v>34218</v>
      </c>
    </row>
    <row r="4950" spans="1:19" x14ac:dyDescent="0.25">
      <c r="A4950">
        <v>101321881</v>
      </c>
      <c r="B4950" t="s">
        <v>208</v>
      </c>
      <c r="C4950" t="s">
        <v>217</v>
      </c>
      <c r="G4950" t="s">
        <v>12436</v>
      </c>
      <c r="H4950" t="s">
        <v>27</v>
      </c>
      <c r="I4950" t="s">
        <v>28</v>
      </c>
      <c r="J4950">
        <v>30310</v>
      </c>
      <c r="K4950">
        <v>4933</v>
      </c>
      <c r="L4950" t="s">
        <v>23</v>
      </c>
      <c r="M4950" t="s">
        <v>12436</v>
      </c>
      <c r="N4950" t="s">
        <v>27</v>
      </c>
      <c r="O4950" t="s">
        <v>28</v>
      </c>
      <c r="P4950">
        <v>30310</v>
      </c>
      <c r="Q4950">
        <v>4933</v>
      </c>
      <c r="R4950" t="s">
        <v>23</v>
      </c>
      <c r="S4950" s="1" t="s">
        <v>34218</v>
      </c>
    </row>
    <row r="4951" spans="1:19" x14ac:dyDescent="0.25">
      <c r="A4951">
        <v>101322886</v>
      </c>
      <c r="B4951" t="s">
        <v>1164</v>
      </c>
      <c r="C4951" t="s">
        <v>846</v>
      </c>
      <c r="G4951" t="s">
        <v>12437</v>
      </c>
      <c r="H4951" t="s">
        <v>3608</v>
      </c>
      <c r="I4951" t="s">
        <v>140</v>
      </c>
      <c r="J4951">
        <v>49424</v>
      </c>
      <c r="K4951">
        <v>6373</v>
      </c>
      <c r="L4951" t="s">
        <v>23</v>
      </c>
      <c r="M4951" t="s">
        <v>12437</v>
      </c>
      <c r="N4951" t="s">
        <v>3608</v>
      </c>
      <c r="O4951" t="s">
        <v>140</v>
      </c>
      <c r="P4951">
        <v>49424</v>
      </c>
      <c r="Q4951">
        <v>6373</v>
      </c>
      <c r="R4951" t="s">
        <v>23</v>
      </c>
      <c r="S4951" s="1" t="s">
        <v>34218</v>
      </c>
    </row>
    <row r="4952" spans="1:19" x14ac:dyDescent="0.25">
      <c r="A4952">
        <v>101332726</v>
      </c>
      <c r="B4952" t="s">
        <v>8717</v>
      </c>
      <c r="C4952" t="s">
        <v>718</v>
      </c>
      <c r="G4952" t="s">
        <v>12438</v>
      </c>
      <c r="H4952" t="s">
        <v>1287</v>
      </c>
      <c r="I4952" t="s">
        <v>22</v>
      </c>
      <c r="J4952">
        <v>94062</v>
      </c>
      <c r="K4952">
        <v>2345</v>
      </c>
      <c r="L4952" t="s">
        <v>23</v>
      </c>
      <c r="M4952" t="s">
        <v>12438</v>
      </c>
      <c r="N4952" t="s">
        <v>1287</v>
      </c>
      <c r="O4952" t="s">
        <v>22</v>
      </c>
      <c r="P4952">
        <v>94062</v>
      </c>
      <c r="Q4952">
        <v>2345</v>
      </c>
      <c r="R4952" t="s">
        <v>23</v>
      </c>
      <c r="S4952" s="1" t="s">
        <v>34218</v>
      </c>
    </row>
    <row r="4953" spans="1:19" x14ac:dyDescent="0.25">
      <c r="A4953">
        <v>101336834</v>
      </c>
      <c r="B4953" t="s">
        <v>12439</v>
      </c>
      <c r="C4953" t="s">
        <v>1444</v>
      </c>
      <c r="G4953" t="s">
        <v>12440</v>
      </c>
      <c r="H4953" t="s">
        <v>12441</v>
      </c>
      <c r="I4953" t="s">
        <v>52</v>
      </c>
      <c r="J4953">
        <v>33462</v>
      </c>
      <c r="K4953">
        <v>7212</v>
      </c>
      <c r="L4953" t="s">
        <v>23</v>
      </c>
      <c r="M4953" t="s">
        <v>12440</v>
      </c>
      <c r="N4953" t="s">
        <v>12441</v>
      </c>
      <c r="O4953" t="s">
        <v>52</v>
      </c>
      <c r="P4953">
        <v>33462</v>
      </c>
      <c r="Q4953">
        <v>7212</v>
      </c>
      <c r="R4953" t="s">
        <v>23</v>
      </c>
      <c r="S4953" s="1" t="s">
        <v>34218</v>
      </c>
    </row>
    <row r="4954" spans="1:19" x14ac:dyDescent="0.25">
      <c r="A4954">
        <v>101329223</v>
      </c>
      <c r="B4954" t="s">
        <v>12442</v>
      </c>
      <c r="C4954" t="s">
        <v>641</v>
      </c>
      <c r="F4954" t="str">
        <f>"2063285667"</f>
        <v>2063285667</v>
      </c>
      <c r="G4954" t="s">
        <v>12443</v>
      </c>
      <c r="H4954" t="s">
        <v>1531</v>
      </c>
      <c r="I4954" t="s">
        <v>84</v>
      </c>
      <c r="J4954">
        <v>98102</v>
      </c>
      <c r="K4954">
        <v>6201</v>
      </c>
      <c r="L4954" t="s">
        <v>23</v>
      </c>
      <c r="M4954" t="s">
        <v>12443</v>
      </c>
      <c r="N4954" t="s">
        <v>1531</v>
      </c>
      <c r="O4954" t="s">
        <v>84</v>
      </c>
      <c r="P4954">
        <v>98102</v>
      </c>
      <c r="Q4954">
        <v>6201</v>
      </c>
      <c r="R4954" t="s">
        <v>23</v>
      </c>
      <c r="S4954" s="1" t="s">
        <v>34218</v>
      </c>
    </row>
    <row r="4955" spans="1:19" x14ac:dyDescent="0.25">
      <c r="A4955">
        <v>101335394</v>
      </c>
      <c r="B4955" t="s">
        <v>12444</v>
      </c>
      <c r="C4955" t="s">
        <v>305</v>
      </c>
      <c r="G4955" t="s">
        <v>12445</v>
      </c>
      <c r="H4955" t="s">
        <v>12446</v>
      </c>
      <c r="I4955" t="s">
        <v>984</v>
      </c>
      <c r="J4955">
        <v>96783</v>
      </c>
      <c r="K4955">
        <v>1058</v>
      </c>
      <c r="L4955" t="s">
        <v>23</v>
      </c>
      <c r="M4955" t="s">
        <v>12445</v>
      </c>
      <c r="N4955" t="s">
        <v>12446</v>
      </c>
      <c r="O4955" t="s">
        <v>984</v>
      </c>
      <c r="P4955">
        <v>96783</v>
      </c>
      <c r="Q4955">
        <v>1058</v>
      </c>
      <c r="R4955" t="s">
        <v>23</v>
      </c>
      <c r="S4955" s="1" t="s">
        <v>34218</v>
      </c>
    </row>
    <row r="4956" spans="1:19" x14ac:dyDescent="0.25">
      <c r="A4956">
        <v>101108205</v>
      </c>
      <c r="B4956" t="s">
        <v>12447</v>
      </c>
      <c r="C4956" t="s">
        <v>4245</v>
      </c>
      <c r="G4956" t="s">
        <v>12448</v>
      </c>
      <c r="H4956" t="s">
        <v>3262</v>
      </c>
      <c r="I4956" t="s">
        <v>52</v>
      </c>
      <c r="J4956">
        <v>32084</v>
      </c>
      <c r="K4956">
        <v>3228</v>
      </c>
      <c r="L4956" t="s">
        <v>23</v>
      </c>
      <c r="M4956" t="s">
        <v>12448</v>
      </c>
      <c r="N4956" t="s">
        <v>3262</v>
      </c>
      <c r="O4956" t="s">
        <v>52</v>
      </c>
      <c r="P4956">
        <v>32084</v>
      </c>
      <c r="Q4956">
        <v>3228</v>
      </c>
      <c r="R4956" t="s">
        <v>23</v>
      </c>
      <c r="S4956" s="1" t="s">
        <v>34218</v>
      </c>
    </row>
    <row r="4957" spans="1:19" x14ac:dyDescent="0.25">
      <c r="A4957">
        <v>101111700</v>
      </c>
      <c r="B4957" t="s">
        <v>1124</v>
      </c>
      <c r="C4957" t="s">
        <v>294</v>
      </c>
      <c r="G4957" t="s">
        <v>12449</v>
      </c>
      <c r="H4957" t="s">
        <v>125</v>
      </c>
      <c r="I4957" t="s">
        <v>126</v>
      </c>
      <c r="J4957">
        <v>63116</v>
      </c>
      <c r="K4957">
        <v>1911</v>
      </c>
      <c r="L4957" t="s">
        <v>23</v>
      </c>
      <c r="M4957" t="s">
        <v>12449</v>
      </c>
      <c r="N4957" t="s">
        <v>125</v>
      </c>
      <c r="O4957" t="s">
        <v>126</v>
      </c>
      <c r="P4957">
        <v>63116</v>
      </c>
      <c r="Q4957">
        <v>1911</v>
      </c>
      <c r="R4957" t="s">
        <v>23</v>
      </c>
      <c r="S4957" s="1" t="s">
        <v>34218</v>
      </c>
    </row>
    <row r="4958" spans="1:19" x14ac:dyDescent="0.25">
      <c r="A4958">
        <v>101114563</v>
      </c>
      <c r="B4958" t="s">
        <v>12450</v>
      </c>
      <c r="C4958" t="s">
        <v>403</v>
      </c>
      <c r="G4958" t="s">
        <v>12451</v>
      </c>
      <c r="H4958" t="s">
        <v>3646</v>
      </c>
      <c r="I4958" t="s">
        <v>22</v>
      </c>
      <c r="J4958">
        <v>96094</v>
      </c>
      <c r="K4958">
        <v>2801</v>
      </c>
      <c r="L4958" t="s">
        <v>23</v>
      </c>
      <c r="M4958" t="s">
        <v>12451</v>
      </c>
      <c r="N4958" t="s">
        <v>3646</v>
      </c>
      <c r="O4958" t="s">
        <v>22</v>
      </c>
      <c r="P4958">
        <v>96094</v>
      </c>
      <c r="Q4958">
        <v>2801</v>
      </c>
      <c r="R4958" t="s">
        <v>23</v>
      </c>
      <c r="S4958" s="1" t="s">
        <v>34218</v>
      </c>
    </row>
    <row r="4959" spans="1:19" x14ac:dyDescent="0.25">
      <c r="A4959">
        <v>101114913</v>
      </c>
      <c r="B4959" t="s">
        <v>12452</v>
      </c>
      <c r="C4959" t="s">
        <v>4982</v>
      </c>
      <c r="G4959" t="s">
        <v>12453</v>
      </c>
      <c r="H4959" t="s">
        <v>789</v>
      </c>
      <c r="I4959" t="s">
        <v>38</v>
      </c>
      <c r="J4959">
        <v>78633</v>
      </c>
      <c r="K4959">
        <v>9443</v>
      </c>
      <c r="L4959" t="s">
        <v>23</v>
      </c>
      <c r="M4959" t="s">
        <v>12453</v>
      </c>
      <c r="N4959" t="s">
        <v>789</v>
      </c>
      <c r="O4959" t="s">
        <v>38</v>
      </c>
      <c r="P4959">
        <v>78633</v>
      </c>
      <c r="Q4959">
        <v>9443</v>
      </c>
      <c r="R4959" t="s">
        <v>23</v>
      </c>
      <c r="S4959" s="1" t="s">
        <v>34218</v>
      </c>
    </row>
    <row r="4960" spans="1:19" x14ac:dyDescent="0.25">
      <c r="A4960">
        <v>101112801</v>
      </c>
      <c r="B4960" t="s">
        <v>12454</v>
      </c>
      <c r="C4960" t="s">
        <v>3714</v>
      </c>
      <c r="G4960" t="s">
        <v>12455</v>
      </c>
      <c r="H4960" t="s">
        <v>12456</v>
      </c>
      <c r="I4960" t="s">
        <v>178</v>
      </c>
      <c r="J4960">
        <v>44074</v>
      </c>
      <c r="K4960">
        <v>1902</v>
      </c>
      <c r="L4960" t="s">
        <v>23</v>
      </c>
      <c r="M4960" t="s">
        <v>12455</v>
      </c>
      <c r="N4960" t="s">
        <v>12456</v>
      </c>
      <c r="O4960" t="s">
        <v>178</v>
      </c>
      <c r="P4960">
        <v>44074</v>
      </c>
      <c r="Q4960">
        <v>1902</v>
      </c>
      <c r="R4960" t="s">
        <v>23</v>
      </c>
      <c r="S4960" s="1" t="s">
        <v>34218</v>
      </c>
    </row>
    <row r="4961" spans="1:19" x14ac:dyDescent="0.25">
      <c r="A4961">
        <v>101118266</v>
      </c>
      <c r="B4961" t="s">
        <v>293</v>
      </c>
      <c r="C4961" t="s">
        <v>579</v>
      </c>
      <c r="G4961" t="s">
        <v>12457</v>
      </c>
      <c r="H4961" t="s">
        <v>976</v>
      </c>
      <c r="I4961" t="s">
        <v>140</v>
      </c>
      <c r="J4961">
        <v>48103</v>
      </c>
      <c r="K4961">
        <v>9683</v>
      </c>
      <c r="L4961" t="s">
        <v>23</v>
      </c>
      <c r="M4961" t="s">
        <v>12457</v>
      </c>
      <c r="N4961" t="s">
        <v>976</v>
      </c>
      <c r="O4961" t="s">
        <v>140</v>
      </c>
      <c r="P4961">
        <v>48103</v>
      </c>
      <c r="Q4961">
        <v>9683</v>
      </c>
      <c r="R4961" t="s">
        <v>23</v>
      </c>
      <c r="S4961" s="1" t="s">
        <v>34218</v>
      </c>
    </row>
    <row r="4962" spans="1:19" x14ac:dyDescent="0.25">
      <c r="A4962">
        <v>101117700</v>
      </c>
      <c r="B4962" t="s">
        <v>12458</v>
      </c>
      <c r="C4962" t="s">
        <v>1179</v>
      </c>
      <c r="G4962" t="s">
        <v>12459</v>
      </c>
      <c r="H4962" t="s">
        <v>1657</v>
      </c>
      <c r="I4962" t="s">
        <v>28</v>
      </c>
      <c r="J4962">
        <v>30179</v>
      </c>
      <c r="K4962">
        <v>2045</v>
      </c>
      <c r="L4962" t="s">
        <v>23</v>
      </c>
      <c r="M4962" t="s">
        <v>12459</v>
      </c>
      <c r="N4962" t="s">
        <v>1657</v>
      </c>
      <c r="O4962" t="s">
        <v>28</v>
      </c>
      <c r="P4962">
        <v>30179</v>
      </c>
      <c r="Q4962">
        <v>2045</v>
      </c>
      <c r="R4962" t="s">
        <v>23</v>
      </c>
      <c r="S4962" s="1" t="s">
        <v>34218</v>
      </c>
    </row>
    <row r="4963" spans="1:19" x14ac:dyDescent="0.25">
      <c r="A4963">
        <v>101121476</v>
      </c>
      <c r="B4963" t="s">
        <v>12460</v>
      </c>
      <c r="C4963" t="s">
        <v>266</v>
      </c>
      <c r="G4963" t="s">
        <v>12461</v>
      </c>
      <c r="H4963" t="s">
        <v>12462</v>
      </c>
      <c r="I4963" t="s">
        <v>327</v>
      </c>
      <c r="J4963">
        <v>26411</v>
      </c>
      <c r="K4963">
        <v>6239</v>
      </c>
      <c r="L4963" t="s">
        <v>23</v>
      </c>
      <c r="M4963" t="s">
        <v>12461</v>
      </c>
      <c r="N4963" t="s">
        <v>12462</v>
      </c>
      <c r="O4963" t="s">
        <v>327</v>
      </c>
      <c r="P4963">
        <v>26411</v>
      </c>
      <c r="Q4963">
        <v>6239</v>
      </c>
      <c r="R4963" t="s">
        <v>23</v>
      </c>
      <c r="S4963" s="1" t="s">
        <v>34218</v>
      </c>
    </row>
    <row r="4964" spans="1:19" x14ac:dyDescent="0.25">
      <c r="A4964">
        <v>101348934</v>
      </c>
      <c r="B4964" t="s">
        <v>12463</v>
      </c>
      <c r="C4964" t="s">
        <v>12464</v>
      </c>
      <c r="G4964" t="s">
        <v>11030</v>
      </c>
      <c r="H4964" t="s">
        <v>12465</v>
      </c>
      <c r="I4964" t="s">
        <v>117</v>
      </c>
      <c r="J4964">
        <v>12724</v>
      </c>
      <c r="K4964">
        <v>391</v>
      </c>
      <c r="L4964" t="s">
        <v>23</v>
      </c>
      <c r="M4964" t="s">
        <v>11030</v>
      </c>
      <c r="N4964" t="s">
        <v>12465</v>
      </c>
      <c r="O4964" t="s">
        <v>117</v>
      </c>
      <c r="P4964">
        <v>12724</v>
      </c>
      <c r="Q4964">
        <v>391</v>
      </c>
      <c r="R4964" t="s">
        <v>23</v>
      </c>
      <c r="S4964" s="1" t="s">
        <v>34218</v>
      </c>
    </row>
    <row r="4965" spans="1:19" x14ac:dyDescent="0.25">
      <c r="A4965">
        <v>101352167</v>
      </c>
      <c r="B4965" t="s">
        <v>826</v>
      </c>
      <c r="C4965" t="s">
        <v>1107</v>
      </c>
      <c r="G4965" t="s">
        <v>12466</v>
      </c>
      <c r="H4965" t="s">
        <v>1431</v>
      </c>
      <c r="I4965" t="s">
        <v>639</v>
      </c>
      <c r="J4965">
        <v>87501</v>
      </c>
      <c r="K4965">
        <v>6233</v>
      </c>
      <c r="L4965" t="s">
        <v>23</v>
      </c>
      <c r="M4965" t="s">
        <v>12466</v>
      </c>
      <c r="N4965" t="s">
        <v>1431</v>
      </c>
      <c r="O4965" t="s">
        <v>639</v>
      </c>
      <c r="P4965">
        <v>87501</v>
      </c>
      <c r="Q4965">
        <v>6233</v>
      </c>
      <c r="R4965" t="s">
        <v>23</v>
      </c>
      <c r="S4965" s="1" t="s">
        <v>34218</v>
      </c>
    </row>
    <row r="4966" spans="1:19" x14ac:dyDescent="0.25">
      <c r="A4966">
        <v>101348098</v>
      </c>
      <c r="B4966" t="s">
        <v>1007</v>
      </c>
      <c r="C4966" t="s">
        <v>180</v>
      </c>
      <c r="G4966" t="s">
        <v>12467</v>
      </c>
      <c r="H4966" t="s">
        <v>1626</v>
      </c>
      <c r="I4966" t="s">
        <v>702</v>
      </c>
      <c r="J4966">
        <v>89434</v>
      </c>
      <c r="K4966">
        <v>8827</v>
      </c>
      <c r="L4966" t="s">
        <v>23</v>
      </c>
      <c r="M4966" t="s">
        <v>12467</v>
      </c>
      <c r="N4966" t="s">
        <v>1626</v>
      </c>
      <c r="O4966" t="s">
        <v>702</v>
      </c>
      <c r="P4966">
        <v>89434</v>
      </c>
      <c r="Q4966">
        <v>8827</v>
      </c>
      <c r="R4966" t="s">
        <v>23</v>
      </c>
      <c r="S4966" s="1" t="s">
        <v>34218</v>
      </c>
    </row>
    <row r="4967" spans="1:19" x14ac:dyDescent="0.25">
      <c r="A4967">
        <v>101348733</v>
      </c>
      <c r="B4967" t="s">
        <v>12468</v>
      </c>
      <c r="C4967" t="s">
        <v>123</v>
      </c>
      <c r="G4967" t="s">
        <v>12469</v>
      </c>
      <c r="H4967" t="s">
        <v>682</v>
      </c>
      <c r="I4967" t="s">
        <v>365</v>
      </c>
      <c r="J4967">
        <v>85044</v>
      </c>
      <c r="K4967">
        <v>1112</v>
      </c>
      <c r="L4967" t="s">
        <v>23</v>
      </c>
      <c r="M4967" t="s">
        <v>12469</v>
      </c>
      <c r="N4967" t="s">
        <v>682</v>
      </c>
      <c r="O4967" t="s">
        <v>365</v>
      </c>
      <c r="P4967">
        <v>85044</v>
      </c>
      <c r="Q4967">
        <v>1112</v>
      </c>
      <c r="R4967" t="s">
        <v>23</v>
      </c>
      <c r="S4967" s="1" t="s">
        <v>34218</v>
      </c>
    </row>
    <row r="4968" spans="1:19" x14ac:dyDescent="0.25">
      <c r="A4968">
        <v>101355907</v>
      </c>
      <c r="B4968" t="s">
        <v>12470</v>
      </c>
      <c r="C4968" t="s">
        <v>3633</v>
      </c>
      <c r="G4968" t="s">
        <v>12471</v>
      </c>
      <c r="H4968" t="s">
        <v>653</v>
      </c>
      <c r="I4968" t="s">
        <v>117</v>
      </c>
      <c r="J4968">
        <v>10023</v>
      </c>
      <c r="K4968">
        <v>5410</v>
      </c>
      <c r="L4968" t="s">
        <v>23</v>
      </c>
      <c r="M4968" t="s">
        <v>12471</v>
      </c>
      <c r="N4968" t="s">
        <v>653</v>
      </c>
      <c r="O4968" t="s">
        <v>117</v>
      </c>
      <c r="P4968">
        <v>10023</v>
      </c>
      <c r="Q4968">
        <v>5410</v>
      </c>
      <c r="R4968" t="s">
        <v>23</v>
      </c>
      <c r="S4968" s="1" t="s">
        <v>34218</v>
      </c>
    </row>
    <row r="4969" spans="1:19" x14ac:dyDescent="0.25">
      <c r="A4969">
        <v>101359712</v>
      </c>
      <c r="B4969" t="s">
        <v>2074</v>
      </c>
      <c r="C4969" t="s">
        <v>12472</v>
      </c>
      <c r="G4969" t="s">
        <v>12473</v>
      </c>
      <c r="H4969" t="s">
        <v>12474</v>
      </c>
      <c r="I4969" t="s">
        <v>135</v>
      </c>
      <c r="J4969">
        <v>60411</v>
      </c>
      <c r="K4969">
        <v>8200</v>
      </c>
      <c r="L4969" t="s">
        <v>23</v>
      </c>
      <c r="M4969" t="s">
        <v>12473</v>
      </c>
      <c r="N4969" t="s">
        <v>12474</v>
      </c>
      <c r="O4969" t="s">
        <v>135</v>
      </c>
      <c r="P4969">
        <v>60411</v>
      </c>
      <c r="Q4969">
        <v>8200</v>
      </c>
      <c r="R4969" t="s">
        <v>23</v>
      </c>
      <c r="S4969" s="1" t="s">
        <v>34218</v>
      </c>
    </row>
    <row r="4970" spans="1:19" x14ac:dyDescent="0.25">
      <c r="A4970">
        <v>101360318</v>
      </c>
      <c r="B4970" t="s">
        <v>12475</v>
      </c>
      <c r="C4970" t="s">
        <v>838</v>
      </c>
      <c r="G4970" t="s">
        <v>12476</v>
      </c>
      <c r="H4970" t="s">
        <v>12477</v>
      </c>
      <c r="I4970" t="s">
        <v>353</v>
      </c>
      <c r="J4970">
        <v>3602</v>
      </c>
      <c r="K4970">
        <v>891</v>
      </c>
      <c r="L4970" t="s">
        <v>23</v>
      </c>
      <c r="M4970" t="s">
        <v>12476</v>
      </c>
      <c r="N4970" t="s">
        <v>12477</v>
      </c>
      <c r="O4970" t="s">
        <v>353</v>
      </c>
      <c r="P4970">
        <v>3602</v>
      </c>
      <c r="Q4970">
        <v>891</v>
      </c>
      <c r="R4970" t="s">
        <v>23</v>
      </c>
      <c r="S4970" s="1" t="s">
        <v>34218</v>
      </c>
    </row>
    <row r="4971" spans="1:19" x14ac:dyDescent="0.25">
      <c r="A4971">
        <v>101356479</v>
      </c>
      <c r="B4971" t="s">
        <v>12478</v>
      </c>
      <c r="C4971" t="s">
        <v>12479</v>
      </c>
      <c r="G4971" t="s">
        <v>12480</v>
      </c>
      <c r="H4971" t="s">
        <v>1477</v>
      </c>
      <c r="I4971" t="s">
        <v>84</v>
      </c>
      <c r="J4971">
        <v>98059</v>
      </c>
      <c r="K4971">
        <v>4116</v>
      </c>
      <c r="L4971" t="s">
        <v>23</v>
      </c>
      <c r="M4971" t="s">
        <v>12480</v>
      </c>
      <c r="N4971" t="s">
        <v>1477</v>
      </c>
      <c r="O4971" t="s">
        <v>84</v>
      </c>
      <c r="P4971">
        <v>98059</v>
      </c>
      <c r="Q4971">
        <v>4116</v>
      </c>
      <c r="R4971" t="s">
        <v>23</v>
      </c>
      <c r="S4971" s="1" t="s">
        <v>34218</v>
      </c>
    </row>
    <row r="4972" spans="1:19" x14ac:dyDescent="0.25">
      <c r="A4972">
        <v>101364237</v>
      </c>
      <c r="B4972" t="s">
        <v>12481</v>
      </c>
      <c r="C4972" t="s">
        <v>2497</v>
      </c>
      <c r="G4972" t="s">
        <v>12482</v>
      </c>
      <c r="H4972" t="s">
        <v>12483</v>
      </c>
      <c r="I4972" t="s">
        <v>33</v>
      </c>
      <c r="J4972">
        <v>19343</v>
      </c>
      <c r="K4972">
        <v>1300</v>
      </c>
      <c r="L4972" t="s">
        <v>23</v>
      </c>
      <c r="M4972" t="s">
        <v>12482</v>
      </c>
      <c r="N4972" t="s">
        <v>12483</v>
      </c>
      <c r="O4972" t="s">
        <v>33</v>
      </c>
      <c r="P4972">
        <v>19343</v>
      </c>
      <c r="Q4972">
        <v>1300</v>
      </c>
      <c r="R4972" t="s">
        <v>23</v>
      </c>
      <c r="S4972" s="1" t="s">
        <v>34218</v>
      </c>
    </row>
    <row r="4973" spans="1:19" x14ac:dyDescent="0.25">
      <c r="A4973">
        <v>101361969</v>
      </c>
      <c r="B4973" t="s">
        <v>6345</v>
      </c>
      <c r="C4973" t="s">
        <v>155</v>
      </c>
      <c r="F4973" t="str">
        <f>"3236323813"</f>
        <v>3236323813</v>
      </c>
      <c r="G4973" t="s">
        <v>12484</v>
      </c>
      <c r="H4973" t="s">
        <v>299</v>
      </c>
      <c r="I4973" t="s">
        <v>22</v>
      </c>
      <c r="J4973">
        <v>90043</v>
      </c>
      <c r="K4973">
        <v>5117</v>
      </c>
      <c r="L4973" t="s">
        <v>23</v>
      </c>
      <c r="M4973" t="s">
        <v>12484</v>
      </c>
      <c r="N4973" t="s">
        <v>299</v>
      </c>
      <c r="O4973" t="s">
        <v>22</v>
      </c>
      <c r="P4973">
        <v>90043</v>
      </c>
      <c r="Q4973">
        <v>5117</v>
      </c>
      <c r="R4973" t="s">
        <v>23</v>
      </c>
      <c r="S4973" s="1" t="s">
        <v>34218</v>
      </c>
    </row>
    <row r="4974" spans="1:19" x14ac:dyDescent="0.25">
      <c r="A4974">
        <v>101374051</v>
      </c>
      <c r="B4974" t="s">
        <v>6555</v>
      </c>
      <c r="C4974" t="s">
        <v>2127</v>
      </c>
      <c r="G4974" t="s">
        <v>12485</v>
      </c>
      <c r="H4974" t="s">
        <v>12486</v>
      </c>
      <c r="I4974" t="s">
        <v>22</v>
      </c>
      <c r="J4974">
        <v>92256</v>
      </c>
      <c r="K4974">
        <v>626</v>
      </c>
      <c r="L4974" t="s">
        <v>23</v>
      </c>
      <c r="M4974" t="s">
        <v>12485</v>
      </c>
      <c r="N4974" t="s">
        <v>12486</v>
      </c>
      <c r="O4974" t="s">
        <v>22</v>
      </c>
      <c r="P4974">
        <v>92256</v>
      </c>
      <c r="Q4974">
        <v>626</v>
      </c>
      <c r="R4974" t="s">
        <v>23</v>
      </c>
      <c r="S4974" s="1" t="s">
        <v>34218</v>
      </c>
    </row>
    <row r="4975" spans="1:19" x14ac:dyDescent="0.25">
      <c r="A4975">
        <v>101364130</v>
      </c>
      <c r="B4975" t="s">
        <v>3373</v>
      </c>
      <c r="C4975" t="s">
        <v>1492</v>
      </c>
      <c r="G4975" t="s">
        <v>12487</v>
      </c>
      <c r="H4975" t="s">
        <v>8166</v>
      </c>
      <c r="I4975" t="s">
        <v>33</v>
      </c>
      <c r="J4975">
        <v>17022</v>
      </c>
      <c r="K4975">
        <v>9334</v>
      </c>
      <c r="L4975" t="s">
        <v>23</v>
      </c>
      <c r="M4975" t="s">
        <v>12487</v>
      </c>
      <c r="N4975" t="s">
        <v>8166</v>
      </c>
      <c r="O4975" t="s">
        <v>33</v>
      </c>
      <c r="P4975">
        <v>17022</v>
      </c>
      <c r="Q4975">
        <v>9334</v>
      </c>
      <c r="R4975" t="s">
        <v>23</v>
      </c>
      <c r="S4975" s="1" t="s">
        <v>34218</v>
      </c>
    </row>
    <row r="4976" spans="1:19" x14ac:dyDescent="0.25">
      <c r="A4976">
        <v>101378781</v>
      </c>
      <c r="B4976" t="s">
        <v>12488</v>
      </c>
      <c r="C4976" t="s">
        <v>12489</v>
      </c>
      <c r="G4976" t="s">
        <v>12490</v>
      </c>
      <c r="H4976" t="s">
        <v>573</v>
      </c>
      <c r="I4976" t="s">
        <v>33</v>
      </c>
      <c r="J4976">
        <v>19148</v>
      </c>
      <c r="K4976">
        <v>1226</v>
      </c>
      <c r="L4976" t="s">
        <v>23</v>
      </c>
      <c r="M4976" t="s">
        <v>12490</v>
      </c>
      <c r="N4976" t="s">
        <v>573</v>
      </c>
      <c r="O4976" t="s">
        <v>33</v>
      </c>
      <c r="P4976">
        <v>19148</v>
      </c>
      <c r="Q4976">
        <v>1226</v>
      </c>
      <c r="R4976" t="s">
        <v>23</v>
      </c>
      <c r="S4976" s="1" t="s">
        <v>34218</v>
      </c>
    </row>
    <row r="4977" spans="1:19" x14ac:dyDescent="0.25">
      <c r="A4977">
        <v>100863872</v>
      </c>
      <c r="B4977" t="s">
        <v>1330</v>
      </c>
      <c r="C4977" t="s">
        <v>1463</v>
      </c>
      <c r="G4977" t="s">
        <v>12491</v>
      </c>
      <c r="H4977" t="s">
        <v>1254</v>
      </c>
      <c r="I4977" t="s">
        <v>52</v>
      </c>
      <c r="J4977">
        <v>33467</v>
      </c>
      <c r="K4977">
        <v>2748</v>
      </c>
      <c r="L4977" t="s">
        <v>23</v>
      </c>
      <c r="M4977" t="s">
        <v>12491</v>
      </c>
      <c r="N4977" t="s">
        <v>1254</v>
      </c>
      <c r="O4977" t="s">
        <v>52</v>
      </c>
      <c r="P4977">
        <v>33467</v>
      </c>
      <c r="Q4977">
        <v>2748</v>
      </c>
      <c r="R4977" t="s">
        <v>23</v>
      </c>
      <c r="S4977" s="1" t="s">
        <v>34218</v>
      </c>
    </row>
    <row r="4978" spans="1:19" x14ac:dyDescent="0.25">
      <c r="A4978">
        <v>100611909</v>
      </c>
      <c r="B4978" t="s">
        <v>12492</v>
      </c>
      <c r="C4978" t="s">
        <v>25</v>
      </c>
      <c r="G4978" t="s">
        <v>12493</v>
      </c>
      <c r="H4978" t="s">
        <v>12494</v>
      </c>
      <c r="I4978" t="s">
        <v>332</v>
      </c>
      <c r="J4978">
        <v>84339</v>
      </c>
      <c r="K4978">
        <v>9635</v>
      </c>
      <c r="L4978" t="s">
        <v>23</v>
      </c>
      <c r="M4978" t="s">
        <v>12493</v>
      </c>
      <c r="N4978" t="s">
        <v>12494</v>
      </c>
      <c r="O4978" t="s">
        <v>332</v>
      </c>
      <c r="P4978">
        <v>84339</v>
      </c>
      <c r="Q4978">
        <v>9635</v>
      </c>
      <c r="R4978" t="s">
        <v>23</v>
      </c>
      <c r="S4978" s="1" t="s">
        <v>34218</v>
      </c>
    </row>
    <row r="4979" spans="1:19" x14ac:dyDescent="0.25">
      <c r="A4979">
        <v>100617546</v>
      </c>
      <c r="B4979" t="s">
        <v>12495</v>
      </c>
      <c r="C4979" t="s">
        <v>3922</v>
      </c>
      <c r="G4979" t="s">
        <v>12496</v>
      </c>
      <c r="H4979" t="s">
        <v>130</v>
      </c>
      <c r="I4979" t="s">
        <v>22</v>
      </c>
      <c r="J4979">
        <v>94122</v>
      </c>
      <c r="K4979">
        <v>3812</v>
      </c>
      <c r="L4979" t="s">
        <v>23</v>
      </c>
      <c r="M4979" t="s">
        <v>12496</v>
      </c>
      <c r="N4979" t="s">
        <v>130</v>
      </c>
      <c r="O4979" t="s">
        <v>22</v>
      </c>
      <c r="P4979">
        <v>94122</v>
      </c>
      <c r="Q4979">
        <v>3812</v>
      </c>
      <c r="R4979" t="s">
        <v>23</v>
      </c>
      <c r="S4979" s="1" t="s">
        <v>34218</v>
      </c>
    </row>
    <row r="4980" spans="1:19" x14ac:dyDescent="0.25">
      <c r="A4980">
        <v>100617295</v>
      </c>
      <c r="B4980" t="s">
        <v>12497</v>
      </c>
      <c r="C4980" t="s">
        <v>12498</v>
      </c>
      <c r="G4980" t="s">
        <v>12499</v>
      </c>
      <c r="H4980" t="s">
        <v>650</v>
      </c>
      <c r="I4980" t="s">
        <v>22</v>
      </c>
      <c r="J4980">
        <v>95821</v>
      </c>
      <c r="K4980">
        <v>5841</v>
      </c>
      <c r="L4980" t="s">
        <v>23</v>
      </c>
      <c r="M4980" t="s">
        <v>12499</v>
      </c>
      <c r="N4980" t="s">
        <v>650</v>
      </c>
      <c r="O4980" t="s">
        <v>22</v>
      </c>
      <c r="P4980">
        <v>95821</v>
      </c>
      <c r="Q4980">
        <v>5841</v>
      </c>
      <c r="R4980" t="s">
        <v>23</v>
      </c>
      <c r="S4980" s="1" t="s">
        <v>34218</v>
      </c>
    </row>
    <row r="4981" spans="1:19" x14ac:dyDescent="0.25">
      <c r="A4981">
        <v>100624190</v>
      </c>
      <c r="B4981" t="s">
        <v>11212</v>
      </c>
      <c r="C4981" t="s">
        <v>4184</v>
      </c>
      <c r="G4981" t="s">
        <v>12500</v>
      </c>
      <c r="H4981" t="s">
        <v>3147</v>
      </c>
      <c r="I4981" t="s">
        <v>117</v>
      </c>
      <c r="J4981">
        <v>11747</v>
      </c>
      <c r="K4981">
        <v>1712</v>
      </c>
      <c r="L4981" t="s">
        <v>23</v>
      </c>
      <c r="M4981" t="s">
        <v>12500</v>
      </c>
      <c r="N4981" t="s">
        <v>3147</v>
      </c>
      <c r="O4981" t="s">
        <v>117</v>
      </c>
      <c r="P4981">
        <v>11747</v>
      </c>
      <c r="Q4981">
        <v>1712</v>
      </c>
      <c r="R4981" t="s">
        <v>23</v>
      </c>
      <c r="S4981" s="1" t="s">
        <v>34218</v>
      </c>
    </row>
    <row r="4982" spans="1:19" x14ac:dyDescent="0.25">
      <c r="A4982">
        <v>100623250</v>
      </c>
      <c r="B4982" t="s">
        <v>12501</v>
      </c>
      <c r="C4982" t="s">
        <v>1298</v>
      </c>
      <c r="G4982" t="s">
        <v>12502</v>
      </c>
      <c r="H4982" t="s">
        <v>134</v>
      </c>
      <c r="I4982" t="s">
        <v>135</v>
      </c>
      <c r="J4982">
        <v>60642</v>
      </c>
      <c r="K4982">
        <v>5792</v>
      </c>
      <c r="L4982" t="s">
        <v>23</v>
      </c>
      <c r="M4982" t="s">
        <v>12502</v>
      </c>
      <c r="N4982" t="s">
        <v>134</v>
      </c>
      <c r="O4982" t="s">
        <v>135</v>
      </c>
      <c r="P4982">
        <v>60642</v>
      </c>
      <c r="Q4982">
        <v>5792</v>
      </c>
      <c r="R4982" t="s">
        <v>23</v>
      </c>
      <c r="S4982" s="1" t="s">
        <v>34218</v>
      </c>
    </row>
    <row r="4983" spans="1:19" x14ac:dyDescent="0.25">
      <c r="A4983">
        <v>100802621</v>
      </c>
      <c r="B4983" t="s">
        <v>6060</v>
      </c>
      <c r="C4983" t="s">
        <v>11921</v>
      </c>
      <c r="G4983" t="s">
        <v>12503</v>
      </c>
      <c r="H4983" t="s">
        <v>12504</v>
      </c>
      <c r="I4983" t="s">
        <v>22</v>
      </c>
      <c r="J4983">
        <v>94547</v>
      </c>
      <c r="K4983">
        <v>3640</v>
      </c>
      <c r="L4983" t="s">
        <v>23</v>
      </c>
      <c r="M4983" t="s">
        <v>12503</v>
      </c>
      <c r="N4983" t="s">
        <v>12504</v>
      </c>
      <c r="O4983" t="s">
        <v>22</v>
      </c>
      <c r="P4983">
        <v>94547</v>
      </c>
      <c r="Q4983">
        <v>3640</v>
      </c>
      <c r="R4983" t="s">
        <v>23</v>
      </c>
      <c r="S4983" s="1" t="s">
        <v>34218</v>
      </c>
    </row>
    <row r="4984" spans="1:19" x14ac:dyDescent="0.25">
      <c r="A4984">
        <v>100813691</v>
      </c>
      <c r="B4984" t="s">
        <v>5585</v>
      </c>
      <c r="C4984" t="s">
        <v>12505</v>
      </c>
      <c r="G4984" t="s">
        <v>12506</v>
      </c>
      <c r="H4984" t="s">
        <v>12507</v>
      </c>
      <c r="I4984" t="s">
        <v>84</v>
      </c>
      <c r="J4984">
        <v>98908</v>
      </c>
      <c r="K4984">
        <v>1154</v>
      </c>
      <c r="L4984" t="s">
        <v>23</v>
      </c>
      <c r="M4984" t="s">
        <v>12506</v>
      </c>
      <c r="N4984" t="s">
        <v>12507</v>
      </c>
      <c r="O4984" t="s">
        <v>84</v>
      </c>
      <c r="P4984">
        <v>98908</v>
      </c>
      <c r="Q4984">
        <v>1154</v>
      </c>
      <c r="R4984" t="s">
        <v>23</v>
      </c>
      <c r="S4984" s="1" t="s">
        <v>34218</v>
      </c>
    </row>
    <row r="4985" spans="1:19" x14ac:dyDescent="0.25">
      <c r="A4985">
        <v>101477445</v>
      </c>
      <c r="B4985" t="s">
        <v>654</v>
      </c>
      <c r="C4985" t="s">
        <v>12508</v>
      </c>
      <c r="G4985" t="s">
        <v>12509</v>
      </c>
      <c r="H4985" t="s">
        <v>1857</v>
      </c>
      <c r="I4985" t="s">
        <v>702</v>
      </c>
      <c r="J4985">
        <v>89521</v>
      </c>
      <c r="L4985" t="s">
        <v>23</v>
      </c>
      <c r="M4985" t="s">
        <v>12509</v>
      </c>
      <c r="N4985" t="s">
        <v>1857</v>
      </c>
      <c r="O4985" t="s">
        <v>702</v>
      </c>
      <c r="P4985">
        <v>89521</v>
      </c>
      <c r="R4985" t="s">
        <v>23</v>
      </c>
      <c r="S4985" s="1" t="s">
        <v>34218</v>
      </c>
    </row>
    <row r="4986" spans="1:19" x14ac:dyDescent="0.25">
      <c r="A4986">
        <v>100656188</v>
      </c>
      <c r="B4986" t="s">
        <v>3779</v>
      </c>
      <c r="C4986" t="s">
        <v>2269</v>
      </c>
      <c r="G4986" t="s">
        <v>12510</v>
      </c>
      <c r="H4986" t="s">
        <v>445</v>
      </c>
      <c r="I4986" t="s">
        <v>446</v>
      </c>
      <c r="J4986">
        <v>28801</v>
      </c>
      <c r="K4986">
        <v>1356</v>
      </c>
      <c r="L4986" t="s">
        <v>23</v>
      </c>
      <c r="M4986" t="s">
        <v>12510</v>
      </c>
      <c r="N4986" t="s">
        <v>445</v>
      </c>
      <c r="O4986" t="s">
        <v>446</v>
      </c>
      <c r="P4986">
        <v>28801</v>
      </c>
      <c r="Q4986">
        <v>1356</v>
      </c>
      <c r="R4986" t="s">
        <v>23</v>
      </c>
      <c r="S4986" s="1" t="s">
        <v>34218</v>
      </c>
    </row>
    <row r="4987" spans="1:19" x14ac:dyDescent="0.25">
      <c r="A4987">
        <v>100657760</v>
      </c>
      <c r="B4987" t="s">
        <v>12511</v>
      </c>
      <c r="C4987" t="s">
        <v>4502</v>
      </c>
      <c r="G4987" t="s">
        <v>12512</v>
      </c>
      <c r="H4987" t="s">
        <v>12513</v>
      </c>
      <c r="I4987" t="s">
        <v>353</v>
      </c>
      <c r="J4987">
        <v>3263</v>
      </c>
      <c r="K4987">
        <v>3705</v>
      </c>
      <c r="L4987" t="s">
        <v>23</v>
      </c>
      <c r="M4987" t="s">
        <v>12512</v>
      </c>
      <c r="N4987" t="s">
        <v>12513</v>
      </c>
      <c r="O4987" t="s">
        <v>353</v>
      </c>
      <c r="P4987">
        <v>3263</v>
      </c>
      <c r="Q4987">
        <v>3705</v>
      </c>
      <c r="R4987" t="s">
        <v>23</v>
      </c>
      <c r="S4987" s="1" t="s">
        <v>34218</v>
      </c>
    </row>
    <row r="4988" spans="1:19" x14ac:dyDescent="0.25">
      <c r="A4988">
        <v>100658140</v>
      </c>
      <c r="B4988" t="s">
        <v>5929</v>
      </c>
      <c r="C4988" t="s">
        <v>155</v>
      </c>
      <c r="G4988" t="s">
        <v>12514</v>
      </c>
      <c r="H4988" t="s">
        <v>8692</v>
      </c>
      <c r="I4988" t="s">
        <v>28</v>
      </c>
      <c r="J4988">
        <v>30033</v>
      </c>
      <c r="K4988">
        <v>2425</v>
      </c>
      <c r="L4988" t="s">
        <v>23</v>
      </c>
      <c r="M4988" t="s">
        <v>12514</v>
      </c>
      <c r="N4988" t="s">
        <v>8692</v>
      </c>
      <c r="O4988" t="s">
        <v>28</v>
      </c>
      <c r="P4988">
        <v>30033</v>
      </c>
      <c r="Q4988">
        <v>2425</v>
      </c>
      <c r="R4988" t="s">
        <v>23</v>
      </c>
      <c r="S4988" s="1" t="s">
        <v>34218</v>
      </c>
    </row>
    <row r="4989" spans="1:19" x14ac:dyDescent="0.25">
      <c r="A4989">
        <v>100657538</v>
      </c>
      <c r="B4989" t="s">
        <v>12515</v>
      </c>
      <c r="C4989" t="s">
        <v>575</v>
      </c>
      <c r="G4989" t="s">
        <v>12516</v>
      </c>
      <c r="H4989" t="s">
        <v>2375</v>
      </c>
      <c r="I4989" t="s">
        <v>100</v>
      </c>
      <c r="J4989">
        <v>53713</v>
      </c>
      <c r="K4989">
        <v>3414</v>
      </c>
      <c r="L4989" t="s">
        <v>23</v>
      </c>
      <c r="M4989" t="s">
        <v>12516</v>
      </c>
      <c r="N4989" t="s">
        <v>2375</v>
      </c>
      <c r="O4989" t="s">
        <v>100</v>
      </c>
      <c r="P4989">
        <v>53713</v>
      </c>
      <c r="Q4989">
        <v>3414</v>
      </c>
      <c r="R4989" t="s">
        <v>23</v>
      </c>
      <c r="S4989" s="1" t="s">
        <v>34218</v>
      </c>
    </row>
    <row r="4990" spans="1:19" x14ac:dyDescent="0.25">
      <c r="A4990">
        <v>100667478</v>
      </c>
      <c r="B4990" t="s">
        <v>654</v>
      </c>
      <c r="C4990" t="s">
        <v>664</v>
      </c>
      <c r="G4990" t="s">
        <v>12517</v>
      </c>
      <c r="H4990" t="s">
        <v>11550</v>
      </c>
      <c r="I4990" t="s">
        <v>52</v>
      </c>
      <c r="J4990">
        <v>33458</v>
      </c>
      <c r="K4990">
        <v>2402</v>
      </c>
      <c r="L4990" t="s">
        <v>23</v>
      </c>
      <c r="M4990" t="s">
        <v>12517</v>
      </c>
      <c r="N4990" t="s">
        <v>11550</v>
      </c>
      <c r="O4990" t="s">
        <v>52</v>
      </c>
      <c r="P4990">
        <v>33458</v>
      </c>
      <c r="Q4990">
        <v>2402</v>
      </c>
      <c r="R4990" t="s">
        <v>23</v>
      </c>
      <c r="S4990" s="1" t="s">
        <v>34218</v>
      </c>
    </row>
    <row r="4991" spans="1:19" x14ac:dyDescent="0.25">
      <c r="A4991">
        <v>100660363</v>
      </c>
      <c r="B4991" t="s">
        <v>4551</v>
      </c>
      <c r="C4991" t="s">
        <v>1463</v>
      </c>
      <c r="G4991" t="s">
        <v>12518</v>
      </c>
      <c r="H4991" t="s">
        <v>11343</v>
      </c>
      <c r="I4991" t="s">
        <v>662</v>
      </c>
      <c r="J4991">
        <v>2889</v>
      </c>
      <c r="K4991">
        <v>5719</v>
      </c>
      <c r="L4991" t="s">
        <v>23</v>
      </c>
      <c r="M4991" t="s">
        <v>12518</v>
      </c>
      <c r="N4991" t="s">
        <v>11343</v>
      </c>
      <c r="O4991" t="s">
        <v>662</v>
      </c>
      <c r="P4991">
        <v>2889</v>
      </c>
      <c r="Q4991">
        <v>5719</v>
      </c>
      <c r="R4991" t="s">
        <v>23</v>
      </c>
      <c r="S4991" s="1" t="s">
        <v>34218</v>
      </c>
    </row>
    <row r="4992" spans="1:19" x14ac:dyDescent="0.25">
      <c r="A4992">
        <v>100672768</v>
      </c>
      <c r="B4992" t="s">
        <v>497</v>
      </c>
      <c r="C4992" t="s">
        <v>290</v>
      </c>
      <c r="G4992" t="s">
        <v>12519</v>
      </c>
      <c r="H4992" t="s">
        <v>134</v>
      </c>
      <c r="I4992" t="s">
        <v>135</v>
      </c>
      <c r="J4992">
        <v>60660</v>
      </c>
      <c r="K4992">
        <v>4716</v>
      </c>
      <c r="L4992" t="s">
        <v>23</v>
      </c>
      <c r="M4992" t="s">
        <v>12519</v>
      </c>
      <c r="N4992" t="s">
        <v>134</v>
      </c>
      <c r="O4992" t="s">
        <v>135</v>
      </c>
      <c r="P4992">
        <v>60660</v>
      </c>
      <c r="Q4992">
        <v>4716</v>
      </c>
      <c r="R4992" t="s">
        <v>23</v>
      </c>
      <c r="S4992" s="1" t="s">
        <v>34218</v>
      </c>
    </row>
    <row r="4993" spans="1:19" x14ac:dyDescent="0.25">
      <c r="A4993">
        <v>100666959</v>
      </c>
      <c r="B4993" t="s">
        <v>29</v>
      </c>
      <c r="C4993" t="s">
        <v>2599</v>
      </c>
      <c r="G4993" t="s">
        <v>12520</v>
      </c>
      <c r="H4993" t="s">
        <v>6234</v>
      </c>
      <c r="I4993" t="s">
        <v>135</v>
      </c>
      <c r="J4993">
        <v>62040</v>
      </c>
      <c r="K4993">
        <v>3604</v>
      </c>
      <c r="L4993" t="s">
        <v>23</v>
      </c>
      <c r="M4993" t="s">
        <v>12520</v>
      </c>
      <c r="N4993" t="s">
        <v>6234</v>
      </c>
      <c r="O4993" t="s">
        <v>135</v>
      </c>
      <c r="P4993">
        <v>62040</v>
      </c>
      <c r="Q4993">
        <v>3604</v>
      </c>
      <c r="R4993" t="s">
        <v>23</v>
      </c>
      <c r="S4993" s="1" t="s">
        <v>34218</v>
      </c>
    </row>
    <row r="4994" spans="1:19" x14ac:dyDescent="0.25">
      <c r="A4994">
        <v>100674161</v>
      </c>
      <c r="B4994" t="s">
        <v>12521</v>
      </c>
      <c r="C4994" t="s">
        <v>1588</v>
      </c>
      <c r="G4994" t="s">
        <v>12522</v>
      </c>
      <c r="H4994" t="s">
        <v>6761</v>
      </c>
      <c r="I4994" t="s">
        <v>370</v>
      </c>
      <c r="J4994">
        <v>68763</v>
      </c>
      <c r="K4994">
        <v>2230</v>
      </c>
      <c r="L4994" t="s">
        <v>23</v>
      </c>
      <c r="M4994" t="s">
        <v>12522</v>
      </c>
      <c r="N4994" t="s">
        <v>6761</v>
      </c>
      <c r="O4994" t="s">
        <v>370</v>
      </c>
      <c r="P4994">
        <v>68763</v>
      </c>
      <c r="Q4994">
        <v>2230</v>
      </c>
      <c r="R4994" t="s">
        <v>23</v>
      </c>
      <c r="S4994" s="1" t="s">
        <v>34218</v>
      </c>
    </row>
    <row r="4995" spans="1:19" x14ac:dyDescent="0.25">
      <c r="A4995">
        <v>100678599</v>
      </c>
      <c r="B4995" t="s">
        <v>12523</v>
      </c>
      <c r="C4995" t="s">
        <v>3618</v>
      </c>
      <c r="G4995" t="s">
        <v>12524</v>
      </c>
      <c r="H4995" t="s">
        <v>4264</v>
      </c>
      <c r="I4995" t="s">
        <v>33</v>
      </c>
      <c r="J4995">
        <v>18510</v>
      </c>
      <c r="K4995">
        <v>1902</v>
      </c>
      <c r="L4995" t="s">
        <v>23</v>
      </c>
      <c r="M4995" t="s">
        <v>12524</v>
      </c>
      <c r="N4995" t="s">
        <v>4264</v>
      </c>
      <c r="O4995" t="s">
        <v>33</v>
      </c>
      <c r="P4995">
        <v>18510</v>
      </c>
      <c r="Q4995">
        <v>1902</v>
      </c>
      <c r="R4995" t="s">
        <v>23</v>
      </c>
      <c r="S4995" s="1" t="s">
        <v>34218</v>
      </c>
    </row>
    <row r="4996" spans="1:19" x14ac:dyDescent="0.25">
      <c r="A4996">
        <v>100862113</v>
      </c>
      <c r="B4996" t="s">
        <v>390</v>
      </c>
      <c r="C4996" t="s">
        <v>12525</v>
      </c>
      <c r="F4996" t="str">
        <f>"2062959388"</f>
        <v>2062959388</v>
      </c>
      <c r="G4996" t="s">
        <v>12526</v>
      </c>
      <c r="H4996" t="s">
        <v>12527</v>
      </c>
      <c r="I4996" t="s">
        <v>84</v>
      </c>
      <c r="J4996">
        <v>98271</v>
      </c>
      <c r="K4996">
        <v>9135</v>
      </c>
      <c r="L4996" t="s">
        <v>23</v>
      </c>
      <c r="M4996" t="s">
        <v>12526</v>
      </c>
      <c r="N4996" t="s">
        <v>12527</v>
      </c>
      <c r="O4996" t="s">
        <v>84</v>
      </c>
      <c r="P4996">
        <v>98271</v>
      </c>
      <c r="Q4996">
        <v>9135</v>
      </c>
      <c r="R4996" t="s">
        <v>23</v>
      </c>
      <c r="S4996" s="1" t="s">
        <v>34218</v>
      </c>
    </row>
    <row r="4997" spans="1:19" x14ac:dyDescent="0.25">
      <c r="A4997">
        <v>100869057</v>
      </c>
      <c r="B4997" t="s">
        <v>12528</v>
      </c>
      <c r="C4997" t="s">
        <v>155</v>
      </c>
      <c r="G4997" t="s">
        <v>12529</v>
      </c>
      <c r="H4997" t="s">
        <v>6616</v>
      </c>
      <c r="I4997" t="s">
        <v>33</v>
      </c>
      <c r="J4997">
        <v>19006</v>
      </c>
      <c r="K4997">
        <v>4050</v>
      </c>
      <c r="L4997" t="s">
        <v>23</v>
      </c>
      <c r="M4997" t="s">
        <v>12529</v>
      </c>
      <c r="N4997" t="s">
        <v>6616</v>
      </c>
      <c r="O4997" t="s">
        <v>33</v>
      </c>
      <c r="P4997">
        <v>19006</v>
      </c>
      <c r="Q4997">
        <v>4050</v>
      </c>
      <c r="R4997" t="s">
        <v>23</v>
      </c>
      <c r="S4997" s="1" t="s">
        <v>34218</v>
      </c>
    </row>
    <row r="4998" spans="1:19" x14ac:dyDescent="0.25">
      <c r="A4998">
        <v>100867293</v>
      </c>
      <c r="B4998" t="s">
        <v>2074</v>
      </c>
      <c r="C4998" t="s">
        <v>12530</v>
      </c>
      <c r="G4998" t="s">
        <v>12531</v>
      </c>
      <c r="H4998" t="s">
        <v>818</v>
      </c>
      <c r="I4998" t="s">
        <v>43</v>
      </c>
      <c r="J4998">
        <v>97007</v>
      </c>
      <c r="K4998">
        <v>7619</v>
      </c>
      <c r="L4998" t="s">
        <v>23</v>
      </c>
      <c r="M4998" t="s">
        <v>12531</v>
      </c>
      <c r="N4998" t="s">
        <v>818</v>
      </c>
      <c r="O4998" t="s">
        <v>43</v>
      </c>
      <c r="P4998">
        <v>97007</v>
      </c>
      <c r="Q4998">
        <v>7619</v>
      </c>
      <c r="R4998" t="s">
        <v>23</v>
      </c>
      <c r="S4998" s="1" t="s">
        <v>34218</v>
      </c>
    </row>
    <row r="4999" spans="1:19" x14ac:dyDescent="0.25">
      <c r="A4999">
        <v>100870298</v>
      </c>
      <c r="B4999" t="s">
        <v>12532</v>
      </c>
      <c r="C4999" t="s">
        <v>102</v>
      </c>
      <c r="G4999" t="s">
        <v>12533</v>
      </c>
      <c r="H4999" t="s">
        <v>12534</v>
      </c>
      <c r="I4999" t="s">
        <v>332</v>
      </c>
      <c r="J4999">
        <v>84005</v>
      </c>
      <c r="K4999">
        <v>4628</v>
      </c>
      <c r="L4999" t="s">
        <v>23</v>
      </c>
      <c r="M4999" t="s">
        <v>12533</v>
      </c>
      <c r="N4999" t="s">
        <v>12534</v>
      </c>
      <c r="O4999" t="s">
        <v>332</v>
      </c>
      <c r="P4999">
        <v>84005</v>
      </c>
      <c r="Q4999">
        <v>4628</v>
      </c>
      <c r="R4999" t="s">
        <v>23</v>
      </c>
      <c r="S4999" s="1" t="s">
        <v>34218</v>
      </c>
    </row>
    <row r="5000" spans="1:19" x14ac:dyDescent="0.25">
      <c r="A5000">
        <v>100865295</v>
      </c>
      <c r="B5000" t="s">
        <v>12535</v>
      </c>
      <c r="C5000" t="s">
        <v>1107</v>
      </c>
      <c r="F5000" t="str">
        <f>"5419265157"</f>
        <v>5419265157</v>
      </c>
      <c r="G5000" t="s">
        <v>12536</v>
      </c>
      <c r="H5000" t="s">
        <v>5966</v>
      </c>
      <c r="I5000" t="s">
        <v>43</v>
      </c>
      <c r="J5000">
        <v>97524</v>
      </c>
      <c r="K5000">
        <v>5626</v>
      </c>
      <c r="L5000" t="s">
        <v>23</v>
      </c>
      <c r="M5000" t="s">
        <v>12536</v>
      </c>
      <c r="N5000" t="s">
        <v>5966</v>
      </c>
      <c r="O5000" t="s">
        <v>43</v>
      </c>
      <c r="P5000">
        <v>97524</v>
      </c>
      <c r="Q5000">
        <v>5626</v>
      </c>
      <c r="R5000" t="s">
        <v>23</v>
      </c>
      <c r="S5000" s="1" t="s">
        <v>34218</v>
      </c>
    </row>
    <row r="5001" spans="1:19" x14ac:dyDescent="0.25">
      <c r="A5001">
        <v>100868475</v>
      </c>
      <c r="B5001" t="s">
        <v>12537</v>
      </c>
      <c r="C5001" t="s">
        <v>12538</v>
      </c>
      <c r="G5001" t="s">
        <v>12539</v>
      </c>
      <c r="H5001" t="s">
        <v>12540</v>
      </c>
      <c r="I5001" t="s">
        <v>38</v>
      </c>
      <c r="J5001">
        <v>78109</v>
      </c>
      <c r="K5001">
        <v>2783</v>
      </c>
      <c r="L5001" t="s">
        <v>23</v>
      </c>
      <c r="M5001" t="s">
        <v>12539</v>
      </c>
      <c r="N5001" t="s">
        <v>12540</v>
      </c>
      <c r="O5001" t="s">
        <v>38</v>
      </c>
      <c r="P5001">
        <v>78109</v>
      </c>
      <c r="Q5001">
        <v>2783</v>
      </c>
      <c r="R5001" t="s">
        <v>23</v>
      </c>
      <c r="S5001" s="1" t="s">
        <v>34218</v>
      </c>
    </row>
    <row r="5002" spans="1:19" x14ac:dyDescent="0.25">
      <c r="A5002">
        <v>100872356</v>
      </c>
      <c r="B5002" t="s">
        <v>12541</v>
      </c>
      <c r="C5002" t="s">
        <v>627</v>
      </c>
      <c r="F5002" t="str">
        <f>"3012623150"</f>
        <v>3012623150</v>
      </c>
      <c r="G5002" t="s">
        <v>12542</v>
      </c>
      <c r="H5002" t="s">
        <v>12543</v>
      </c>
      <c r="I5002" t="s">
        <v>148</v>
      </c>
      <c r="J5002">
        <v>20720</v>
      </c>
      <c r="K5002">
        <v>4800</v>
      </c>
      <c r="L5002" t="s">
        <v>23</v>
      </c>
      <c r="M5002" t="s">
        <v>12542</v>
      </c>
      <c r="N5002" t="s">
        <v>12543</v>
      </c>
      <c r="O5002" t="s">
        <v>148</v>
      </c>
      <c r="P5002">
        <v>20720</v>
      </c>
      <c r="Q5002">
        <v>4800</v>
      </c>
      <c r="R5002" t="s">
        <v>23</v>
      </c>
      <c r="S5002" s="1" t="s">
        <v>34218</v>
      </c>
    </row>
    <row r="5003" spans="1:19" x14ac:dyDescent="0.25">
      <c r="A5003">
        <v>100872453</v>
      </c>
      <c r="B5003" t="s">
        <v>12544</v>
      </c>
      <c r="C5003" t="s">
        <v>1374</v>
      </c>
      <c r="G5003" t="s">
        <v>12545</v>
      </c>
      <c r="H5003" t="s">
        <v>12546</v>
      </c>
      <c r="I5003" t="s">
        <v>38</v>
      </c>
      <c r="J5003">
        <v>78501</v>
      </c>
      <c r="K5003">
        <v>4321</v>
      </c>
      <c r="L5003" t="s">
        <v>23</v>
      </c>
      <c r="M5003" t="s">
        <v>12545</v>
      </c>
      <c r="N5003" t="s">
        <v>12546</v>
      </c>
      <c r="O5003" t="s">
        <v>38</v>
      </c>
      <c r="P5003">
        <v>78501</v>
      </c>
      <c r="Q5003">
        <v>4321</v>
      </c>
      <c r="R5003" t="s">
        <v>23</v>
      </c>
      <c r="S5003" s="1" t="s">
        <v>34218</v>
      </c>
    </row>
    <row r="5004" spans="1:19" x14ac:dyDescent="0.25">
      <c r="A5004">
        <v>100872433</v>
      </c>
      <c r="B5004" t="s">
        <v>12547</v>
      </c>
      <c r="C5004" t="s">
        <v>12548</v>
      </c>
      <c r="G5004" t="s">
        <v>12549</v>
      </c>
      <c r="H5004" t="s">
        <v>2743</v>
      </c>
      <c r="I5004" t="s">
        <v>984</v>
      </c>
      <c r="J5004">
        <v>96761</v>
      </c>
      <c r="K5004">
        <v>1113</v>
      </c>
      <c r="L5004" t="s">
        <v>23</v>
      </c>
      <c r="M5004" t="s">
        <v>12549</v>
      </c>
      <c r="N5004" t="s">
        <v>2743</v>
      </c>
      <c r="O5004" t="s">
        <v>984</v>
      </c>
      <c r="P5004">
        <v>96761</v>
      </c>
      <c r="Q5004">
        <v>1113</v>
      </c>
      <c r="R5004" t="s">
        <v>23</v>
      </c>
      <c r="S5004" s="1" t="s">
        <v>34218</v>
      </c>
    </row>
    <row r="5005" spans="1:19" x14ac:dyDescent="0.25">
      <c r="A5005">
        <v>100870498</v>
      </c>
      <c r="B5005" t="s">
        <v>12550</v>
      </c>
      <c r="C5005" t="s">
        <v>1086</v>
      </c>
      <c r="G5005" t="s">
        <v>12551</v>
      </c>
      <c r="H5005" t="s">
        <v>1229</v>
      </c>
      <c r="I5005" t="s">
        <v>38</v>
      </c>
      <c r="J5005">
        <v>78209</v>
      </c>
      <c r="K5005">
        <v>4940</v>
      </c>
      <c r="L5005" t="s">
        <v>23</v>
      </c>
      <c r="M5005" t="s">
        <v>12551</v>
      </c>
      <c r="N5005" t="s">
        <v>1229</v>
      </c>
      <c r="O5005" t="s">
        <v>38</v>
      </c>
      <c r="P5005">
        <v>78209</v>
      </c>
      <c r="Q5005">
        <v>4940</v>
      </c>
      <c r="R5005" t="s">
        <v>23</v>
      </c>
      <c r="S5005" s="1" t="s">
        <v>34218</v>
      </c>
    </row>
    <row r="5006" spans="1:19" x14ac:dyDescent="0.25">
      <c r="A5006">
        <v>100870006</v>
      </c>
      <c r="B5006" t="s">
        <v>12552</v>
      </c>
      <c r="C5006" t="s">
        <v>1933</v>
      </c>
      <c r="G5006" t="s">
        <v>12553</v>
      </c>
      <c r="H5006" t="s">
        <v>12554</v>
      </c>
      <c r="I5006" t="s">
        <v>984</v>
      </c>
      <c r="J5006">
        <v>96755</v>
      </c>
      <c r="K5006">
        <v>1272</v>
      </c>
      <c r="L5006" t="s">
        <v>23</v>
      </c>
      <c r="M5006" t="s">
        <v>12553</v>
      </c>
      <c r="N5006" t="s">
        <v>12554</v>
      </c>
      <c r="O5006" t="s">
        <v>984</v>
      </c>
      <c r="P5006">
        <v>96755</v>
      </c>
      <c r="Q5006">
        <v>1272</v>
      </c>
      <c r="R5006" t="s">
        <v>23</v>
      </c>
      <c r="S5006" s="1" t="s">
        <v>34218</v>
      </c>
    </row>
    <row r="5007" spans="1:19" x14ac:dyDescent="0.25">
      <c r="A5007">
        <v>100874702</v>
      </c>
      <c r="B5007" t="s">
        <v>12555</v>
      </c>
      <c r="C5007" t="s">
        <v>221</v>
      </c>
      <c r="G5007" t="s">
        <v>12556</v>
      </c>
      <c r="H5007" t="s">
        <v>130</v>
      </c>
      <c r="I5007" t="s">
        <v>22</v>
      </c>
      <c r="J5007">
        <v>94118</v>
      </c>
      <c r="K5007">
        <v>1069</v>
      </c>
      <c r="L5007" t="s">
        <v>23</v>
      </c>
      <c r="M5007" t="s">
        <v>12556</v>
      </c>
      <c r="N5007" t="s">
        <v>130</v>
      </c>
      <c r="O5007" t="s">
        <v>22</v>
      </c>
      <c r="P5007">
        <v>94118</v>
      </c>
      <c r="Q5007">
        <v>1069</v>
      </c>
      <c r="R5007" t="s">
        <v>23</v>
      </c>
      <c r="S5007" s="1" t="s">
        <v>34218</v>
      </c>
    </row>
    <row r="5008" spans="1:19" x14ac:dyDescent="0.25">
      <c r="A5008">
        <v>100873864</v>
      </c>
      <c r="B5008" t="s">
        <v>11628</v>
      </c>
      <c r="C5008" t="s">
        <v>12557</v>
      </c>
      <c r="G5008" t="s">
        <v>12558</v>
      </c>
      <c r="H5008" t="s">
        <v>12559</v>
      </c>
      <c r="I5008" t="s">
        <v>38</v>
      </c>
      <c r="J5008">
        <v>75503</v>
      </c>
      <c r="K5008">
        <v>1434</v>
      </c>
      <c r="L5008" t="s">
        <v>23</v>
      </c>
      <c r="M5008" t="s">
        <v>12558</v>
      </c>
      <c r="N5008" t="s">
        <v>12559</v>
      </c>
      <c r="O5008" t="s">
        <v>38</v>
      </c>
      <c r="P5008">
        <v>75503</v>
      </c>
      <c r="Q5008">
        <v>1434</v>
      </c>
      <c r="R5008" t="s">
        <v>23</v>
      </c>
      <c r="S5008" s="1" t="s">
        <v>34218</v>
      </c>
    </row>
    <row r="5009" spans="1:19" x14ac:dyDescent="0.25">
      <c r="A5009">
        <v>100876636</v>
      </c>
      <c r="B5009" t="s">
        <v>12560</v>
      </c>
      <c r="C5009" t="s">
        <v>12561</v>
      </c>
      <c r="G5009" t="s">
        <v>12562</v>
      </c>
      <c r="H5009" t="s">
        <v>2375</v>
      </c>
      <c r="I5009" t="s">
        <v>100</v>
      </c>
      <c r="J5009">
        <v>53705</v>
      </c>
      <c r="K5009">
        <v>3174</v>
      </c>
      <c r="L5009" t="s">
        <v>23</v>
      </c>
      <c r="M5009" t="s">
        <v>12562</v>
      </c>
      <c r="N5009" t="s">
        <v>2375</v>
      </c>
      <c r="O5009" t="s">
        <v>100</v>
      </c>
      <c r="P5009">
        <v>53705</v>
      </c>
      <c r="Q5009">
        <v>3174</v>
      </c>
      <c r="R5009" t="s">
        <v>23</v>
      </c>
      <c r="S5009" s="1" t="s">
        <v>34218</v>
      </c>
    </row>
    <row r="5010" spans="1:19" x14ac:dyDescent="0.25">
      <c r="A5010">
        <v>100876695</v>
      </c>
      <c r="B5010" t="s">
        <v>303</v>
      </c>
      <c r="C5010" t="s">
        <v>403</v>
      </c>
      <c r="G5010" t="s">
        <v>12563</v>
      </c>
      <c r="H5010" t="s">
        <v>12564</v>
      </c>
      <c r="I5010" t="s">
        <v>446</v>
      </c>
      <c r="J5010">
        <v>27455</v>
      </c>
      <c r="K5010">
        <v>969</v>
      </c>
      <c r="L5010" t="s">
        <v>23</v>
      </c>
      <c r="M5010" t="s">
        <v>12563</v>
      </c>
      <c r="N5010" t="s">
        <v>12564</v>
      </c>
      <c r="O5010" t="s">
        <v>446</v>
      </c>
      <c r="P5010">
        <v>27455</v>
      </c>
      <c r="Q5010">
        <v>969</v>
      </c>
      <c r="R5010" t="s">
        <v>23</v>
      </c>
      <c r="S5010" s="1" t="s">
        <v>34218</v>
      </c>
    </row>
    <row r="5011" spans="1:19" x14ac:dyDescent="0.25">
      <c r="A5011">
        <v>100876725</v>
      </c>
      <c r="B5011" t="s">
        <v>12565</v>
      </c>
      <c r="C5011" t="s">
        <v>30</v>
      </c>
      <c r="G5011" t="s">
        <v>12566</v>
      </c>
      <c r="H5011" t="s">
        <v>653</v>
      </c>
      <c r="I5011" t="s">
        <v>117</v>
      </c>
      <c r="J5011">
        <v>10024</v>
      </c>
      <c r="K5011">
        <v>1142</v>
      </c>
      <c r="L5011" t="s">
        <v>23</v>
      </c>
      <c r="M5011" t="s">
        <v>12566</v>
      </c>
      <c r="N5011" t="s">
        <v>653</v>
      </c>
      <c r="O5011" t="s">
        <v>117</v>
      </c>
      <c r="P5011">
        <v>10024</v>
      </c>
      <c r="Q5011">
        <v>1142</v>
      </c>
      <c r="R5011" t="s">
        <v>23</v>
      </c>
      <c r="S5011" s="1" t="s">
        <v>34218</v>
      </c>
    </row>
    <row r="5012" spans="1:19" x14ac:dyDescent="0.25">
      <c r="A5012">
        <v>100876234</v>
      </c>
      <c r="B5012" t="s">
        <v>12567</v>
      </c>
      <c r="C5012" t="s">
        <v>313</v>
      </c>
      <c r="G5012" t="s">
        <v>12568</v>
      </c>
      <c r="H5012" t="s">
        <v>37</v>
      </c>
      <c r="I5012" t="s">
        <v>38</v>
      </c>
      <c r="J5012">
        <v>78759</v>
      </c>
      <c r="K5012">
        <v>4117</v>
      </c>
      <c r="L5012" t="s">
        <v>23</v>
      </c>
      <c r="M5012" t="s">
        <v>12568</v>
      </c>
      <c r="N5012" t="s">
        <v>37</v>
      </c>
      <c r="O5012" t="s">
        <v>38</v>
      </c>
      <c r="P5012">
        <v>78759</v>
      </c>
      <c r="Q5012">
        <v>4117</v>
      </c>
      <c r="R5012" t="s">
        <v>23</v>
      </c>
      <c r="S5012" s="1" t="s">
        <v>34218</v>
      </c>
    </row>
    <row r="5013" spans="1:19" x14ac:dyDescent="0.25">
      <c r="A5013">
        <v>100875588</v>
      </c>
      <c r="B5013" t="s">
        <v>12569</v>
      </c>
      <c r="C5013" t="s">
        <v>938</v>
      </c>
      <c r="G5013" t="s">
        <v>12570</v>
      </c>
      <c r="H5013" t="s">
        <v>12571</v>
      </c>
      <c r="I5013" t="s">
        <v>178</v>
      </c>
      <c r="J5013">
        <v>44130</v>
      </c>
      <c r="K5013">
        <v>5742</v>
      </c>
      <c r="L5013" t="s">
        <v>23</v>
      </c>
      <c r="M5013" t="s">
        <v>12570</v>
      </c>
      <c r="N5013" t="s">
        <v>12571</v>
      </c>
      <c r="O5013" t="s">
        <v>178</v>
      </c>
      <c r="P5013">
        <v>44130</v>
      </c>
      <c r="Q5013">
        <v>5742</v>
      </c>
      <c r="R5013" t="s">
        <v>23</v>
      </c>
      <c r="S5013" s="1" t="s">
        <v>34218</v>
      </c>
    </row>
    <row r="5014" spans="1:19" x14ac:dyDescent="0.25">
      <c r="A5014">
        <v>101283712</v>
      </c>
      <c r="B5014" t="s">
        <v>1164</v>
      </c>
      <c r="C5014" t="s">
        <v>475</v>
      </c>
      <c r="G5014" t="s">
        <v>12572</v>
      </c>
      <c r="H5014" t="s">
        <v>653</v>
      </c>
      <c r="I5014" t="s">
        <v>117</v>
      </c>
      <c r="J5014">
        <v>10024</v>
      </c>
      <c r="K5014">
        <v>4953</v>
      </c>
      <c r="L5014" t="s">
        <v>23</v>
      </c>
      <c r="M5014" t="s">
        <v>12572</v>
      </c>
      <c r="N5014" t="s">
        <v>653</v>
      </c>
      <c r="O5014" t="s">
        <v>117</v>
      </c>
      <c r="P5014">
        <v>10024</v>
      </c>
      <c r="Q5014">
        <v>4953</v>
      </c>
      <c r="R5014" t="s">
        <v>23</v>
      </c>
      <c r="S5014" s="1" t="s">
        <v>34218</v>
      </c>
    </row>
    <row r="5015" spans="1:19" x14ac:dyDescent="0.25">
      <c r="A5015">
        <v>101088680</v>
      </c>
      <c r="B5015" t="s">
        <v>76</v>
      </c>
      <c r="C5015" t="s">
        <v>145</v>
      </c>
      <c r="G5015" t="s">
        <v>12573</v>
      </c>
      <c r="H5015" t="s">
        <v>5023</v>
      </c>
      <c r="I5015" t="s">
        <v>22</v>
      </c>
      <c r="J5015">
        <v>95010</v>
      </c>
      <c r="K5015">
        <v>281</v>
      </c>
      <c r="L5015" t="s">
        <v>23</v>
      </c>
      <c r="M5015" t="s">
        <v>12573</v>
      </c>
      <c r="N5015" t="s">
        <v>5023</v>
      </c>
      <c r="O5015" t="s">
        <v>22</v>
      </c>
      <c r="P5015">
        <v>95010</v>
      </c>
      <c r="Q5015">
        <v>281</v>
      </c>
      <c r="R5015" t="s">
        <v>23</v>
      </c>
      <c r="S5015" s="1" t="s">
        <v>34218</v>
      </c>
    </row>
    <row r="5016" spans="1:19" x14ac:dyDescent="0.25">
      <c r="A5016">
        <v>100532194</v>
      </c>
      <c r="B5016" t="s">
        <v>12574</v>
      </c>
      <c r="C5016" t="s">
        <v>12575</v>
      </c>
      <c r="G5016" t="s">
        <v>12576</v>
      </c>
      <c r="H5016" t="s">
        <v>12577</v>
      </c>
      <c r="I5016" t="s">
        <v>639</v>
      </c>
      <c r="J5016">
        <v>88049</v>
      </c>
      <c r="K5016">
        <v>573</v>
      </c>
      <c r="L5016" t="s">
        <v>23</v>
      </c>
      <c r="M5016" t="s">
        <v>12576</v>
      </c>
      <c r="N5016" t="s">
        <v>12577</v>
      </c>
      <c r="O5016" t="s">
        <v>639</v>
      </c>
      <c r="P5016">
        <v>88049</v>
      </c>
      <c r="Q5016">
        <v>573</v>
      </c>
      <c r="R5016" t="s">
        <v>23</v>
      </c>
      <c r="S5016" s="1" t="s">
        <v>34218</v>
      </c>
    </row>
    <row r="5017" spans="1:19" x14ac:dyDescent="0.25">
      <c r="A5017">
        <v>101021057</v>
      </c>
      <c r="B5017" t="s">
        <v>3828</v>
      </c>
      <c r="C5017" t="s">
        <v>12578</v>
      </c>
      <c r="G5017" t="s">
        <v>12579</v>
      </c>
      <c r="H5017" t="s">
        <v>12580</v>
      </c>
      <c r="I5017" t="s">
        <v>135</v>
      </c>
      <c r="J5017">
        <v>62025</v>
      </c>
      <c r="K5017">
        <v>1510</v>
      </c>
      <c r="L5017" t="s">
        <v>23</v>
      </c>
      <c r="M5017" t="s">
        <v>12579</v>
      </c>
      <c r="N5017" t="s">
        <v>12580</v>
      </c>
      <c r="O5017" t="s">
        <v>135</v>
      </c>
      <c r="P5017">
        <v>62025</v>
      </c>
      <c r="Q5017">
        <v>1510</v>
      </c>
      <c r="R5017" t="s">
        <v>23</v>
      </c>
      <c r="S5017" s="1" t="s">
        <v>34218</v>
      </c>
    </row>
    <row r="5018" spans="1:19" x14ac:dyDescent="0.25">
      <c r="A5018">
        <v>100536182</v>
      </c>
      <c r="B5018" t="s">
        <v>12581</v>
      </c>
      <c r="C5018" t="s">
        <v>1906</v>
      </c>
      <c r="G5018" t="s">
        <v>12582</v>
      </c>
      <c r="H5018" t="s">
        <v>12583</v>
      </c>
      <c r="I5018" t="s">
        <v>702</v>
      </c>
      <c r="J5018">
        <v>89005</v>
      </c>
      <c r="K5018">
        <v>3721</v>
      </c>
      <c r="L5018" t="s">
        <v>23</v>
      </c>
      <c r="M5018" t="s">
        <v>12582</v>
      </c>
      <c r="N5018" t="s">
        <v>12583</v>
      </c>
      <c r="O5018" t="s">
        <v>702</v>
      </c>
      <c r="P5018">
        <v>89005</v>
      </c>
      <c r="Q5018">
        <v>3721</v>
      </c>
      <c r="R5018" t="s">
        <v>23</v>
      </c>
      <c r="S5018" s="1" t="s">
        <v>34218</v>
      </c>
    </row>
    <row r="5019" spans="1:19" x14ac:dyDescent="0.25">
      <c r="A5019">
        <v>100537518</v>
      </c>
      <c r="B5019" t="s">
        <v>12584</v>
      </c>
      <c r="C5019" t="s">
        <v>90</v>
      </c>
      <c r="G5019" t="s">
        <v>12585</v>
      </c>
      <c r="H5019" t="s">
        <v>12586</v>
      </c>
      <c r="I5019" t="s">
        <v>22</v>
      </c>
      <c r="J5019">
        <v>92071</v>
      </c>
      <c r="K5019">
        <v>2252</v>
      </c>
      <c r="L5019" t="s">
        <v>23</v>
      </c>
      <c r="M5019" t="s">
        <v>12585</v>
      </c>
      <c r="N5019" t="s">
        <v>12586</v>
      </c>
      <c r="O5019" t="s">
        <v>22</v>
      </c>
      <c r="P5019">
        <v>92071</v>
      </c>
      <c r="Q5019">
        <v>2252</v>
      </c>
      <c r="R5019" t="s">
        <v>23</v>
      </c>
      <c r="S5019" s="1" t="s">
        <v>34218</v>
      </c>
    </row>
    <row r="5020" spans="1:19" x14ac:dyDescent="0.25">
      <c r="A5020">
        <v>100537710</v>
      </c>
      <c r="B5020" t="s">
        <v>12587</v>
      </c>
      <c r="C5020" t="s">
        <v>329</v>
      </c>
      <c r="G5020" t="s">
        <v>12588</v>
      </c>
      <c r="H5020" t="s">
        <v>177</v>
      </c>
      <c r="I5020" t="s">
        <v>255</v>
      </c>
      <c r="J5020">
        <v>23005</v>
      </c>
      <c r="K5020">
        <v>7121</v>
      </c>
      <c r="L5020" t="s">
        <v>23</v>
      </c>
      <c r="M5020" t="s">
        <v>12588</v>
      </c>
      <c r="N5020" t="s">
        <v>177</v>
      </c>
      <c r="O5020" t="s">
        <v>255</v>
      </c>
      <c r="P5020">
        <v>23005</v>
      </c>
      <c r="Q5020">
        <v>7121</v>
      </c>
      <c r="R5020" t="s">
        <v>23</v>
      </c>
      <c r="S5020" s="1" t="s">
        <v>34218</v>
      </c>
    </row>
    <row r="5021" spans="1:19" x14ac:dyDescent="0.25">
      <c r="A5021">
        <v>101114965</v>
      </c>
      <c r="B5021" t="s">
        <v>6058</v>
      </c>
      <c r="C5021" t="s">
        <v>208</v>
      </c>
      <c r="G5021">
        <v>93433</v>
      </c>
      <c r="H5021" t="s">
        <v>12589</v>
      </c>
      <c r="I5021" t="s">
        <v>22</v>
      </c>
      <c r="J5021">
        <v>93433</v>
      </c>
      <c r="L5021" t="s">
        <v>23</v>
      </c>
      <c r="M5021">
        <v>93433</v>
      </c>
      <c r="N5021" t="s">
        <v>12589</v>
      </c>
      <c r="O5021" t="s">
        <v>22</v>
      </c>
      <c r="P5021">
        <v>93433</v>
      </c>
      <c r="R5021" t="s">
        <v>23</v>
      </c>
      <c r="S5021" s="1" t="s">
        <v>34218</v>
      </c>
    </row>
    <row r="5022" spans="1:19" x14ac:dyDescent="0.25">
      <c r="A5022">
        <v>100537746</v>
      </c>
      <c r="B5022" t="s">
        <v>1204</v>
      </c>
      <c r="C5022" t="s">
        <v>1124</v>
      </c>
      <c r="G5022" t="s">
        <v>12590</v>
      </c>
      <c r="H5022" t="s">
        <v>12591</v>
      </c>
      <c r="I5022" t="s">
        <v>117</v>
      </c>
      <c r="J5022">
        <v>11753</v>
      </c>
      <c r="K5022">
        <v>1528</v>
      </c>
      <c r="L5022" t="s">
        <v>23</v>
      </c>
      <c r="M5022" t="s">
        <v>12590</v>
      </c>
      <c r="N5022" t="s">
        <v>12591</v>
      </c>
      <c r="O5022" t="s">
        <v>117</v>
      </c>
      <c r="P5022">
        <v>11753</v>
      </c>
      <c r="Q5022">
        <v>1528</v>
      </c>
      <c r="R5022" t="s">
        <v>23</v>
      </c>
      <c r="S5022" s="1" t="s">
        <v>34218</v>
      </c>
    </row>
    <row r="5023" spans="1:19" x14ac:dyDescent="0.25">
      <c r="A5023">
        <v>101174918</v>
      </c>
      <c r="B5023" t="s">
        <v>7130</v>
      </c>
      <c r="C5023" t="s">
        <v>1036</v>
      </c>
      <c r="H5023" t="s">
        <v>12592</v>
      </c>
      <c r="J5023">
        <v>33711</v>
      </c>
      <c r="L5023" t="s">
        <v>22</v>
      </c>
      <c r="N5023" t="s">
        <v>12592</v>
      </c>
      <c r="P5023">
        <v>33711</v>
      </c>
      <c r="R5023" t="s">
        <v>22</v>
      </c>
      <c r="S5023" s="1" t="s">
        <v>34218</v>
      </c>
    </row>
    <row r="5024" spans="1:19" x14ac:dyDescent="0.25">
      <c r="A5024">
        <v>100545269</v>
      </c>
      <c r="B5024" t="s">
        <v>12593</v>
      </c>
      <c r="C5024" t="s">
        <v>7569</v>
      </c>
      <c r="G5024" t="s">
        <v>12594</v>
      </c>
      <c r="H5024" t="s">
        <v>438</v>
      </c>
      <c r="I5024" t="s">
        <v>71</v>
      </c>
      <c r="J5024">
        <v>80503</v>
      </c>
      <c r="K5024">
        <v>6438</v>
      </c>
      <c r="L5024" t="s">
        <v>23</v>
      </c>
      <c r="M5024" t="s">
        <v>12594</v>
      </c>
      <c r="N5024" t="s">
        <v>438</v>
      </c>
      <c r="O5024" t="s">
        <v>71</v>
      </c>
      <c r="P5024">
        <v>80503</v>
      </c>
      <c r="Q5024">
        <v>6438</v>
      </c>
      <c r="R5024" t="s">
        <v>23</v>
      </c>
      <c r="S5024" s="1" t="s">
        <v>34218</v>
      </c>
    </row>
    <row r="5025" spans="1:19" x14ac:dyDescent="0.25">
      <c r="A5025">
        <v>100540882</v>
      </c>
      <c r="B5025" t="s">
        <v>12595</v>
      </c>
      <c r="C5025" t="s">
        <v>11308</v>
      </c>
      <c r="G5025" t="s">
        <v>12596</v>
      </c>
      <c r="H5025" t="s">
        <v>2391</v>
      </c>
      <c r="I5025" t="s">
        <v>43</v>
      </c>
      <c r="J5025">
        <v>97703</v>
      </c>
      <c r="K5025">
        <v>2113</v>
      </c>
      <c r="L5025" t="s">
        <v>23</v>
      </c>
      <c r="M5025" t="s">
        <v>12596</v>
      </c>
      <c r="N5025" t="s">
        <v>2391</v>
      </c>
      <c r="O5025" t="s">
        <v>43</v>
      </c>
      <c r="P5025">
        <v>97703</v>
      </c>
      <c r="Q5025">
        <v>2113</v>
      </c>
      <c r="R5025" t="s">
        <v>23</v>
      </c>
      <c r="S5025" s="1" t="s">
        <v>34218</v>
      </c>
    </row>
    <row r="5026" spans="1:19" x14ac:dyDescent="0.25">
      <c r="A5026">
        <v>100544078</v>
      </c>
      <c r="B5026" t="s">
        <v>12597</v>
      </c>
      <c r="C5026" t="s">
        <v>90</v>
      </c>
      <c r="G5026" t="s">
        <v>12598</v>
      </c>
      <c r="H5026" t="s">
        <v>7642</v>
      </c>
      <c r="I5026" t="s">
        <v>255</v>
      </c>
      <c r="J5026">
        <v>23188</v>
      </c>
      <c r="K5026">
        <v>5209</v>
      </c>
      <c r="L5026" t="s">
        <v>23</v>
      </c>
      <c r="M5026" t="s">
        <v>12598</v>
      </c>
      <c r="N5026" t="s">
        <v>7642</v>
      </c>
      <c r="O5026" t="s">
        <v>255</v>
      </c>
      <c r="P5026">
        <v>23188</v>
      </c>
      <c r="Q5026">
        <v>5209</v>
      </c>
      <c r="R5026" t="s">
        <v>23</v>
      </c>
      <c r="S5026" s="1" t="s">
        <v>34218</v>
      </c>
    </row>
    <row r="5027" spans="1:19" x14ac:dyDescent="0.25">
      <c r="A5027">
        <v>100542127</v>
      </c>
      <c r="B5027" t="s">
        <v>12599</v>
      </c>
      <c r="C5027" t="s">
        <v>2776</v>
      </c>
      <c r="G5027" t="s">
        <v>12600</v>
      </c>
      <c r="H5027" t="s">
        <v>12601</v>
      </c>
      <c r="I5027" t="s">
        <v>84</v>
      </c>
      <c r="J5027">
        <v>98524</v>
      </c>
      <c r="K5027">
        <v>8779</v>
      </c>
      <c r="L5027" t="s">
        <v>23</v>
      </c>
      <c r="M5027" t="s">
        <v>12600</v>
      </c>
      <c r="N5027" t="s">
        <v>12601</v>
      </c>
      <c r="O5027" t="s">
        <v>84</v>
      </c>
      <c r="P5027">
        <v>98524</v>
      </c>
      <c r="Q5027">
        <v>8779</v>
      </c>
      <c r="R5027" t="s">
        <v>23</v>
      </c>
      <c r="S5027" s="1" t="s">
        <v>34218</v>
      </c>
    </row>
    <row r="5028" spans="1:19" x14ac:dyDescent="0.25">
      <c r="A5028">
        <v>100551372</v>
      </c>
      <c r="B5028" t="s">
        <v>966</v>
      </c>
      <c r="C5028" t="s">
        <v>6420</v>
      </c>
      <c r="G5028" t="s">
        <v>12602</v>
      </c>
      <c r="H5028" t="s">
        <v>12603</v>
      </c>
      <c r="I5028" t="s">
        <v>52</v>
      </c>
      <c r="J5028">
        <v>32958</v>
      </c>
      <c r="K5028">
        <v>8152</v>
      </c>
      <c r="L5028" t="s">
        <v>23</v>
      </c>
      <c r="M5028" t="s">
        <v>12602</v>
      </c>
      <c r="N5028" t="s">
        <v>12603</v>
      </c>
      <c r="O5028" t="s">
        <v>52</v>
      </c>
      <c r="P5028">
        <v>32958</v>
      </c>
      <c r="Q5028">
        <v>8152</v>
      </c>
      <c r="R5028" t="s">
        <v>23</v>
      </c>
      <c r="S5028" s="1" t="s">
        <v>34218</v>
      </c>
    </row>
    <row r="5029" spans="1:19" x14ac:dyDescent="0.25">
      <c r="A5029">
        <v>100547146</v>
      </c>
      <c r="B5029" t="s">
        <v>12604</v>
      </c>
      <c r="C5029" t="s">
        <v>30</v>
      </c>
      <c r="G5029" t="s">
        <v>12605</v>
      </c>
      <c r="H5029" t="s">
        <v>412</v>
      </c>
      <c r="I5029" t="s">
        <v>117</v>
      </c>
      <c r="J5029">
        <v>11215</v>
      </c>
      <c r="K5029">
        <v>2203</v>
      </c>
      <c r="L5029" t="s">
        <v>23</v>
      </c>
      <c r="M5029" t="s">
        <v>12605</v>
      </c>
      <c r="N5029" t="s">
        <v>412</v>
      </c>
      <c r="O5029" t="s">
        <v>117</v>
      </c>
      <c r="P5029">
        <v>11215</v>
      </c>
      <c r="Q5029">
        <v>2203</v>
      </c>
      <c r="R5029" t="s">
        <v>23</v>
      </c>
      <c r="S5029" s="1" t="s">
        <v>34218</v>
      </c>
    </row>
    <row r="5030" spans="1:19" x14ac:dyDescent="0.25">
      <c r="A5030">
        <v>100740442</v>
      </c>
      <c r="B5030" t="s">
        <v>1528</v>
      </c>
      <c r="C5030" t="s">
        <v>12606</v>
      </c>
      <c r="G5030" t="s">
        <v>12607</v>
      </c>
      <c r="H5030" t="s">
        <v>8681</v>
      </c>
      <c r="I5030" t="s">
        <v>236</v>
      </c>
      <c r="J5030">
        <v>1040</v>
      </c>
      <c r="K5030">
        <v>1711</v>
      </c>
      <c r="L5030" t="s">
        <v>23</v>
      </c>
      <c r="M5030" t="s">
        <v>12607</v>
      </c>
      <c r="N5030" t="s">
        <v>8681</v>
      </c>
      <c r="O5030" t="s">
        <v>236</v>
      </c>
      <c r="P5030">
        <v>1040</v>
      </c>
      <c r="Q5030">
        <v>1711</v>
      </c>
      <c r="R5030" t="s">
        <v>23</v>
      </c>
      <c r="S5030" s="1" t="s">
        <v>34218</v>
      </c>
    </row>
    <row r="5031" spans="1:19" x14ac:dyDescent="0.25">
      <c r="A5031">
        <v>100737852</v>
      </c>
      <c r="B5031" t="s">
        <v>10318</v>
      </c>
      <c r="C5031" t="s">
        <v>12608</v>
      </c>
      <c r="G5031" t="s">
        <v>12609</v>
      </c>
      <c r="H5031" t="s">
        <v>147</v>
      </c>
      <c r="I5031" t="s">
        <v>22</v>
      </c>
      <c r="J5031">
        <v>91105</v>
      </c>
      <c r="K5031">
        <v>2822</v>
      </c>
      <c r="L5031" t="s">
        <v>23</v>
      </c>
      <c r="M5031" t="s">
        <v>12609</v>
      </c>
      <c r="N5031" t="s">
        <v>147</v>
      </c>
      <c r="O5031" t="s">
        <v>22</v>
      </c>
      <c r="P5031">
        <v>91105</v>
      </c>
      <c r="Q5031">
        <v>2822</v>
      </c>
      <c r="R5031" t="s">
        <v>23</v>
      </c>
      <c r="S5031" s="1" t="s">
        <v>34218</v>
      </c>
    </row>
    <row r="5032" spans="1:19" x14ac:dyDescent="0.25">
      <c r="A5032">
        <v>100737971</v>
      </c>
      <c r="B5032" t="s">
        <v>8268</v>
      </c>
      <c r="C5032" t="s">
        <v>1933</v>
      </c>
      <c r="G5032" t="s">
        <v>12610</v>
      </c>
      <c r="H5032" t="s">
        <v>198</v>
      </c>
      <c r="I5032" t="s">
        <v>22</v>
      </c>
      <c r="J5032">
        <v>92117</v>
      </c>
      <c r="K5032">
        <v>5746</v>
      </c>
      <c r="L5032" t="s">
        <v>23</v>
      </c>
      <c r="M5032" t="s">
        <v>12610</v>
      </c>
      <c r="N5032" t="s">
        <v>198</v>
      </c>
      <c r="O5032" t="s">
        <v>22</v>
      </c>
      <c r="P5032">
        <v>92117</v>
      </c>
      <c r="Q5032">
        <v>5746</v>
      </c>
      <c r="R5032" t="s">
        <v>23</v>
      </c>
      <c r="S5032" s="1" t="s">
        <v>34218</v>
      </c>
    </row>
    <row r="5033" spans="1:19" x14ac:dyDescent="0.25">
      <c r="A5033">
        <v>100745119</v>
      </c>
      <c r="B5033" t="s">
        <v>12611</v>
      </c>
      <c r="C5033" t="s">
        <v>2044</v>
      </c>
      <c r="G5033" t="s">
        <v>12612</v>
      </c>
      <c r="H5033" t="s">
        <v>134</v>
      </c>
      <c r="I5033" t="s">
        <v>135</v>
      </c>
      <c r="J5033">
        <v>60646</v>
      </c>
      <c r="K5033">
        <v>5013</v>
      </c>
      <c r="L5033" t="s">
        <v>23</v>
      </c>
      <c r="M5033" t="s">
        <v>12612</v>
      </c>
      <c r="N5033" t="s">
        <v>134</v>
      </c>
      <c r="O5033" t="s">
        <v>135</v>
      </c>
      <c r="P5033">
        <v>60646</v>
      </c>
      <c r="Q5033">
        <v>5013</v>
      </c>
      <c r="R5033" t="s">
        <v>23</v>
      </c>
      <c r="S5033" s="1" t="s">
        <v>34218</v>
      </c>
    </row>
    <row r="5034" spans="1:19" x14ac:dyDescent="0.25">
      <c r="A5034">
        <v>100740993</v>
      </c>
      <c r="B5034" t="s">
        <v>11500</v>
      </c>
      <c r="C5034" t="s">
        <v>2232</v>
      </c>
      <c r="F5034" t="str">
        <f>"9709869245"</f>
        <v>9709869245</v>
      </c>
      <c r="G5034" t="s">
        <v>12613</v>
      </c>
      <c r="H5034" t="s">
        <v>4764</v>
      </c>
      <c r="I5034" t="s">
        <v>71</v>
      </c>
      <c r="J5034">
        <v>81501</v>
      </c>
      <c r="K5034">
        <v>3445</v>
      </c>
      <c r="L5034" t="s">
        <v>23</v>
      </c>
      <c r="M5034" t="s">
        <v>12613</v>
      </c>
      <c r="N5034" t="s">
        <v>4764</v>
      </c>
      <c r="O5034" t="s">
        <v>71</v>
      </c>
      <c r="P5034">
        <v>81501</v>
      </c>
      <c r="Q5034">
        <v>3445</v>
      </c>
      <c r="R5034" t="s">
        <v>23</v>
      </c>
      <c r="S5034" s="1" t="s">
        <v>34218</v>
      </c>
    </row>
    <row r="5035" spans="1:19" x14ac:dyDescent="0.25">
      <c r="A5035">
        <v>100741954</v>
      </c>
      <c r="B5035" t="s">
        <v>12614</v>
      </c>
      <c r="C5035" t="s">
        <v>12615</v>
      </c>
      <c r="G5035" t="s">
        <v>12616</v>
      </c>
      <c r="H5035" t="s">
        <v>12617</v>
      </c>
      <c r="I5035" t="s">
        <v>353</v>
      </c>
      <c r="J5035">
        <v>3440</v>
      </c>
      <c r="K5035">
        <v>3200</v>
      </c>
      <c r="L5035" t="s">
        <v>23</v>
      </c>
      <c r="M5035" t="s">
        <v>12616</v>
      </c>
      <c r="N5035" t="s">
        <v>12617</v>
      </c>
      <c r="O5035" t="s">
        <v>353</v>
      </c>
      <c r="P5035">
        <v>3440</v>
      </c>
      <c r="Q5035">
        <v>3200</v>
      </c>
      <c r="R5035" t="s">
        <v>23</v>
      </c>
      <c r="S5035" s="1" t="s">
        <v>34218</v>
      </c>
    </row>
    <row r="5036" spans="1:19" x14ac:dyDescent="0.25">
      <c r="A5036">
        <v>100753153</v>
      </c>
      <c r="B5036" t="s">
        <v>12618</v>
      </c>
      <c r="C5036" t="s">
        <v>7979</v>
      </c>
      <c r="F5036" t="str">
        <f>"8586732038"</f>
        <v>8586732038</v>
      </c>
      <c r="G5036" t="s">
        <v>12619</v>
      </c>
      <c r="H5036" t="s">
        <v>198</v>
      </c>
      <c r="I5036" t="s">
        <v>22</v>
      </c>
      <c r="J5036">
        <v>92128</v>
      </c>
      <c r="K5036">
        <v>2608</v>
      </c>
      <c r="L5036" t="s">
        <v>23</v>
      </c>
      <c r="M5036" t="s">
        <v>12619</v>
      </c>
      <c r="N5036" t="s">
        <v>198</v>
      </c>
      <c r="O5036" t="s">
        <v>22</v>
      </c>
      <c r="P5036">
        <v>92128</v>
      </c>
      <c r="Q5036">
        <v>2608</v>
      </c>
      <c r="R5036" t="s">
        <v>23</v>
      </c>
      <c r="S5036" s="1" t="s">
        <v>34218</v>
      </c>
    </row>
    <row r="5037" spans="1:19" x14ac:dyDescent="0.25">
      <c r="A5037">
        <v>100747679</v>
      </c>
      <c r="B5037" t="s">
        <v>12620</v>
      </c>
      <c r="C5037" t="s">
        <v>1327</v>
      </c>
      <c r="G5037" t="s">
        <v>12621</v>
      </c>
      <c r="H5037" t="s">
        <v>12622</v>
      </c>
      <c r="I5037" t="s">
        <v>33</v>
      </c>
      <c r="J5037">
        <v>18444</v>
      </c>
      <c r="K5037">
        <v>7834</v>
      </c>
      <c r="L5037" t="s">
        <v>23</v>
      </c>
      <c r="M5037" t="s">
        <v>12621</v>
      </c>
      <c r="N5037" t="s">
        <v>12622</v>
      </c>
      <c r="O5037" t="s">
        <v>33</v>
      </c>
      <c r="P5037">
        <v>18444</v>
      </c>
      <c r="Q5037">
        <v>7834</v>
      </c>
      <c r="R5037" t="s">
        <v>23</v>
      </c>
      <c r="S5037" s="1" t="s">
        <v>34218</v>
      </c>
    </row>
    <row r="5038" spans="1:19" x14ac:dyDescent="0.25">
      <c r="A5038">
        <v>100753360</v>
      </c>
      <c r="B5038" t="s">
        <v>4064</v>
      </c>
      <c r="C5038" t="s">
        <v>12623</v>
      </c>
      <c r="G5038" t="s">
        <v>12624</v>
      </c>
      <c r="H5038" t="s">
        <v>12625</v>
      </c>
      <c r="I5038" t="s">
        <v>117</v>
      </c>
      <c r="J5038">
        <v>10562</v>
      </c>
      <c r="K5038">
        <v>1619</v>
      </c>
      <c r="L5038" t="s">
        <v>23</v>
      </c>
      <c r="M5038" t="s">
        <v>12624</v>
      </c>
      <c r="N5038" t="s">
        <v>12625</v>
      </c>
      <c r="O5038" t="s">
        <v>117</v>
      </c>
      <c r="P5038">
        <v>10562</v>
      </c>
      <c r="Q5038">
        <v>1619</v>
      </c>
      <c r="R5038" t="s">
        <v>23</v>
      </c>
      <c r="S5038" s="1" t="s">
        <v>34218</v>
      </c>
    </row>
    <row r="5039" spans="1:19" x14ac:dyDescent="0.25">
      <c r="A5039">
        <v>100753802</v>
      </c>
      <c r="B5039" t="s">
        <v>12626</v>
      </c>
      <c r="C5039" t="s">
        <v>40</v>
      </c>
      <c r="G5039" t="s">
        <v>12627</v>
      </c>
      <c r="H5039" t="s">
        <v>8441</v>
      </c>
      <c r="I5039" t="s">
        <v>22</v>
      </c>
      <c r="J5039">
        <v>91024</v>
      </c>
      <c r="K5039">
        <v>2383</v>
      </c>
      <c r="L5039" t="s">
        <v>23</v>
      </c>
      <c r="M5039" t="s">
        <v>12627</v>
      </c>
      <c r="N5039" t="s">
        <v>8441</v>
      </c>
      <c r="O5039" t="s">
        <v>22</v>
      </c>
      <c r="P5039">
        <v>91024</v>
      </c>
      <c r="Q5039">
        <v>2383</v>
      </c>
      <c r="R5039" t="s">
        <v>23</v>
      </c>
      <c r="S5039" s="1" t="s">
        <v>34218</v>
      </c>
    </row>
    <row r="5040" spans="1:19" x14ac:dyDescent="0.25">
      <c r="A5040">
        <v>100754987</v>
      </c>
      <c r="B5040" t="s">
        <v>3462</v>
      </c>
      <c r="C5040" t="s">
        <v>699</v>
      </c>
      <c r="G5040" t="s">
        <v>12628</v>
      </c>
      <c r="H5040" t="s">
        <v>638</v>
      </c>
      <c r="I5040" t="s">
        <v>639</v>
      </c>
      <c r="J5040">
        <v>87113</v>
      </c>
      <c r="K5040">
        <v>2128</v>
      </c>
      <c r="L5040" t="s">
        <v>23</v>
      </c>
      <c r="M5040" t="s">
        <v>12628</v>
      </c>
      <c r="N5040" t="s">
        <v>638</v>
      </c>
      <c r="O5040" t="s">
        <v>639</v>
      </c>
      <c r="P5040">
        <v>87113</v>
      </c>
      <c r="Q5040">
        <v>2128</v>
      </c>
      <c r="R5040" t="s">
        <v>23</v>
      </c>
      <c r="S5040" s="1" t="s">
        <v>34218</v>
      </c>
    </row>
    <row r="5041" spans="1:19" x14ac:dyDescent="0.25">
      <c r="A5041">
        <v>100944515</v>
      </c>
      <c r="B5041" t="s">
        <v>12629</v>
      </c>
      <c r="C5041" t="s">
        <v>1363</v>
      </c>
      <c r="G5041" t="s">
        <v>12630</v>
      </c>
      <c r="H5041" t="s">
        <v>12631</v>
      </c>
      <c r="I5041" t="s">
        <v>33</v>
      </c>
      <c r="J5041">
        <v>19063</v>
      </c>
      <c r="K5041">
        <v>4201</v>
      </c>
      <c r="L5041" t="s">
        <v>23</v>
      </c>
      <c r="M5041" t="s">
        <v>12630</v>
      </c>
      <c r="N5041" t="s">
        <v>12631</v>
      </c>
      <c r="O5041" t="s">
        <v>33</v>
      </c>
      <c r="P5041">
        <v>19063</v>
      </c>
      <c r="Q5041">
        <v>4201</v>
      </c>
      <c r="R5041" t="s">
        <v>23</v>
      </c>
      <c r="S5041" s="1" t="s">
        <v>34218</v>
      </c>
    </row>
    <row r="5042" spans="1:19" x14ac:dyDescent="0.25">
      <c r="A5042">
        <v>100941244</v>
      </c>
      <c r="B5042" t="s">
        <v>12632</v>
      </c>
      <c r="C5042" t="s">
        <v>554</v>
      </c>
      <c r="F5042" t="str">
        <f>"2075047857"</f>
        <v>2075047857</v>
      </c>
      <c r="G5042" t="s">
        <v>12633</v>
      </c>
      <c r="H5042" t="s">
        <v>2749</v>
      </c>
      <c r="I5042" t="s">
        <v>191</v>
      </c>
      <c r="J5042">
        <v>4011</v>
      </c>
      <c r="K5042">
        <v>2124</v>
      </c>
      <c r="L5042" t="s">
        <v>23</v>
      </c>
      <c r="M5042" t="s">
        <v>12633</v>
      </c>
      <c r="N5042" t="s">
        <v>2749</v>
      </c>
      <c r="O5042" t="s">
        <v>191</v>
      </c>
      <c r="P5042">
        <v>4011</v>
      </c>
      <c r="Q5042">
        <v>2124</v>
      </c>
      <c r="R5042" t="s">
        <v>23</v>
      </c>
      <c r="S5042" s="1" t="s">
        <v>34218</v>
      </c>
    </row>
    <row r="5043" spans="1:19" x14ac:dyDescent="0.25">
      <c r="A5043">
        <v>100523231</v>
      </c>
      <c r="B5043" t="s">
        <v>12634</v>
      </c>
      <c r="C5043" t="s">
        <v>286</v>
      </c>
      <c r="G5043" t="s">
        <v>12635</v>
      </c>
      <c r="H5043" t="s">
        <v>12636</v>
      </c>
      <c r="I5043" t="s">
        <v>22</v>
      </c>
      <c r="J5043">
        <v>94515</v>
      </c>
      <c r="K5043">
        <v>9785</v>
      </c>
      <c r="L5043" t="s">
        <v>23</v>
      </c>
      <c r="M5043" t="s">
        <v>12635</v>
      </c>
      <c r="N5043" t="s">
        <v>12636</v>
      </c>
      <c r="O5043" t="s">
        <v>22</v>
      </c>
      <c r="P5043">
        <v>94515</v>
      </c>
      <c r="Q5043">
        <v>9785</v>
      </c>
      <c r="R5043" t="s">
        <v>23</v>
      </c>
      <c r="S5043" s="1" t="s">
        <v>34218</v>
      </c>
    </row>
    <row r="5044" spans="1:19" x14ac:dyDescent="0.25">
      <c r="A5044">
        <v>100518641</v>
      </c>
      <c r="B5044" t="s">
        <v>6027</v>
      </c>
      <c r="C5044" t="s">
        <v>1212</v>
      </c>
      <c r="G5044" t="s">
        <v>12637</v>
      </c>
      <c r="H5044" t="s">
        <v>7211</v>
      </c>
      <c r="I5044" t="s">
        <v>33</v>
      </c>
      <c r="J5044">
        <v>19454</v>
      </c>
      <c r="K5044">
        <v>3676</v>
      </c>
      <c r="L5044" t="s">
        <v>23</v>
      </c>
      <c r="M5044" t="s">
        <v>12637</v>
      </c>
      <c r="N5044" t="s">
        <v>7211</v>
      </c>
      <c r="O5044" t="s">
        <v>33</v>
      </c>
      <c r="P5044">
        <v>19454</v>
      </c>
      <c r="Q5044">
        <v>3676</v>
      </c>
      <c r="R5044" t="s">
        <v>23</v>
      </c>
      <c r="S5044" s="1" t="s">
        <v>34218</v>
      </c>
    </row>
    <row r="5045" spans="1:19" x14ac:dyDescent="0.25">
      <c r="A5045">
        <v>100520468</v>
      </c>
      <c r="B5045" t="s">
        <v>12638</v>
      </c>
      <c r="C5045" t="s">
        <v>1036</v>
      </c>
      <c r="G5045" t="s">
        <v>12639</v>
      </c>
      <c r="H5045" t="s">
        <v>4235</v>
      </c>
      <c r="I5045" t="s">
        <v>984</v>
      </c>
      <c r="J5045">
        <v>96822</v>
      </c>
      <c r="K5045">
        <v>4024</v>
      </c>
      <c r="L5045" t="s">
        <v>23</v>
      </c>
      <c r="M5045" t="s">
        <v>12639</v>
      </c>
      <c r="N5045" t="s">
        <v>4235</v>
      </c>
      <c r="O5045" t="s">
        <v>984</v>
      </c>
      <c r="P5045">
        <v>96822</v>
      </c>
      <c r="Q5045">
        <v>4024</v>
      </c>
      <c r="R5045" t="s">
        <v>23</v>
      </c>
      <c r="S5045" s="1" t="s">
        <v>34218</v>
      </c>
    </row>
    <row r="5046" spans="1:19" x14ac:dyDescent="0.25">
      <c r="A5046">
        <v>100522525</v>
      </c>
      <c r="B5046" t="s">
        <v>2151</v>
      </c>
      <c r="C5046" t="s">
        <v>252</v>
      </c>
      <c r="G5046" t="s">
        <v>12640</v>
      </c>
      <c r="H5046" t="s">
        <v>688</v>
      </c>
      <c r="I5046" t="s">
        <v>117</v>
      </c>
      <c r="J5046">
        <v>14618</v>
      </c>
      <c r="K5046">
        <v>1607</v>
      </c>
      <c r="L5046" t="s">
        <v>23</v>
      </c>
      <c r="M5046" t="s">
        <v>12640</v>
      </c>
      <c r="N5046" t="s">
        <v>688</v>
      </c>
      <c r="O5046" t="s">
        <v>117</v>
      </c>
      <c r="P5046">
        <v>14618</v>
      </c>
      <c r="Q5046">
        <v>1607</v>
      </c>
      <c r="R5046" t="s">
        <v>23</v>
      </c>
      <c r="S5046" s="1" t="s">
        <v>34218</v>
      </c>
    </row>
    <row r="5047" spans="1:19" x14ac:dyDescent="0.25">
      <c r="A5047">
        <v>100517591</v>
      </c>
      <c r="B5047" t="s">
        <v>12641</v>
      </c>
      <c r="C5047" t="s">
        <v>1036</v>
      </c>
      <c r="F5047" t="str">
        <f>"5705873206"</f>
        <v>5705873206</v>
      </c>
      <c r="G5047" t="s">
        <v>12642</v>
      </c>
      <c r="H5047" t="s">
        <v>12643</v>
      </c>
      <c r="I5047" t="s">
        <v>33</v>
      </c>
      <c r="J5047">
        <v>18411</v>
      </c>
      <c r="K5047">
        <v>9650</v>
      </c>
      <c r="L5047" t="s">
        <v>23</v>
      </c>
      <c r="M5047" t="s">
        <v>12642</v>
      </c>
      <c r="N5047" t="s">
        <v>12643</v>
      </c>
      <c r="O5047" t="s">
        <v>33</v>
      </c>
      <c r="P5047">
        <v>18411</v>
      </c>
      <c r="Q5047">
        <v>9650</v>
      </c>
      <c r="R5047" t="s">
        <v>23</v>
      </c>
      <c r="S5047" s="1" t="s">
        <v>34218</v>
      </c>
    </row>
    <row r="5048" spans="1:19" x14ac:dyDescent="0.25">
      <c r="A5048">
        <v>100521626</v>
      </c>
      <c r="B5048" t="s">
        <v>12644</v>
      </c>
      <c r="C5048" t="s">
        <v>329</v>
      </c>
      <c r="G5048" t="s">
        <v>12645</v>
      </c>
      <c r="H5048" t="s">
        <v>11379</v>
      </c>
      <c r="I5048" t="s">
        <v>2566</v>
      </c>
      <c r="J5048">
        <v>99516</v>
      </c>
      <c r="K5048">
        <v>3150</v>
      </c>
      <c r="L5048" t="s">
        <v>23</v>
      </c>
      <c r="M5048" t="s">
        <v>12645</v>
      </c>
      <c r="N5048" t="s">
        <v>11379</v>
      </c>
      <c r="O5048" t="s">
        <v>2566</v>
      </c>
      <c r="P5048">
        <v>99516</v>
      </c>
      <c r="Q5048">
        <v>3150</v>
      </c>
      <c r="R5048" t="s">
        <v>23</v>
      </c>
      <c r="S5048" s="1" t="s">
        <v>34218</v>
      </c>
    </row>
    <row r="5049" spans="1:19" x14ac:dyDescent="0.25">
      <c r="A5049">
        <v>100707913</v>
      </c>
      <c r="B5049" t="s">
        <v>12646</v>
      </c>
      <c r="C5049" t="s">
        <v>158</v>
      </c>
      <c r="G5049" t="s">
        <v>12647</v>
      </c>
      <c r="H5049" t="s">
        <v>21</v>
      </c>
      <c r="I5049" t="s">
        <v>22</v>
      </c>
      <c r="J5049">
        <v>95405</v>
      </c>
      <c r="K5049">
        <v>7551</v>
      </c>
      <c r="L5049" t="s">
        <v>23</v>
      </c>
      <c r="M5049" t="s">
        <v>12647</v>
      </c>
      <c r="N5049" t="s">
        <v>21</v>
      </c>
      <c r="O5049" t="s">
        <v>22</v>
      </c>
      <c r="P5049">
        <v>95405</v>
      </c>
      <c r="Q5049">
        <v>7551</v>
      </c>
      <c r="R5049" t="s">
        <v>23</v>
      </c>
      <c r="S5049" s="1" t="s">
        <v>34218</v>
      </c>
    </row>
    <row r="5050" spans="1:19" x14ac:dyDescent="0.25">
      <c r="A5050">
        <v>100716652</v>
      </c>
      <c r="B5050" t="s">
        <v>12648</v>
      </c>
      <c r="C5050" t="s">
        <v>12649</v>
      </c>
      <c r="G5050" t="s">
        <v>12650</v>
      </c>
      <c r="H5050" t="s">
        <v>12651</v>
      </c>
      <c r="I5050" t="s">
        <v>191</v>
      </c>
      <c r="J5050">
        <v>4497</v>
      </c>
      <c r="K5050">
        <v>6014</v>
      </c>
      <c r="L5050" t="s">
        <v>23</v>
      </c>
      <c r="M5050" t="s">
        <v>12650</v>
      </c>
      <c r="N5050" t="s">
        <v>12651</v>
      </c>
      <c r="O5050" t="s">
        <v>191</v>
      </c>
      <c r="P5050">
        <v>4497</v>
      </c>
      <c r="Q5050">
        <v>6014</v>
      </c>
      <c r="R5050" t="s">
        <v>23</v>
      </c>
      <c r="S5050" s="1" t="s">
        <v>34218</v>
      </c>
    </row>
    <row r="5051" spans="1:19" x14ac:dyDescent="0.25">
      <c r="A5051">
        <v>100714180</v>
      </c>
      <c r="B5051" t="s">
        <v>12652</v>
      </c>
      <c r="C5051" t="s">
        <v>1555</v>
      </c>
      <c r="G5051" t="s">
        <v>12653</v>
      </c>
      <c r="H5051" t="s">
        <v>2798</v>
      </c>
      <c r="I5051" t="s">
        <v>307</v>
      </c>
      <c r="J5051">
        <v>5401</v>
      </c>
      <c r="K5051">
        <v>8606</v>
      </c>
      <c r="L5051" t="s">
        <v>23</v>
      </c>
      <c r="M5051" t="s">
        <v>12653</v>
      </c>
      <c r="N5051" t="s">
        <v>2798</v>
      </c>
      <c r="O5051" t="s">
        <v>307</v>
      </c>
      <c r="P5051">
        <v>5401</v>
      </c>
      <c r="Q5051">
        <v>8606</v>
      </c>
      <c r="R5051" t="s">
        <v>23</v>
      </c>
      <c r="S5051" s="1" t="s">
        <v>34218</v>
      </c>
    </row>
    <row r="5052" spans="1:19" x14ac:dyDescent="0.25">
      <c r="A5052">
        <v>100717257</v>
      </c>
      <c r="B5052" t="s">
        <v>12654</v>
      </c>
      <c r="C5052" t="s">
        <v>3622</v>
      </c>
      <c r="G5052" t="s">
        <v>12655</v>
      </c>
      <c r="H5052" t="s">
        <v>12656</v>
      </c>
      <c r="I5052" t="s">
        <v>140</v>
      </c>
      <c r="J5052">
        <v>49009</v>
      </c>
      <c r="K5052">
        <v>8547</v>
      </c>
      <c r="L5052" t="s">
        <v>23</v>
      </c>
      <c r="M5052" t="s">
        <v>12655</v>
      </c>
      <c r="N5052" t="s">
        <v>12656</v>
      </c>
      <c r="O5052" t="s">
        <v>140</v>
      </c>
      <c r="P5052">
        <v>49009</v>
      </c>
      <c r="Q5052">
        <v>8547</v>
      </c>
      <c r="R5052" t="s">
        <v>23</v>
      </c>
      <c r="S5052" s="1" t="s">
        <v>34218</v>
      </c>
    </row>
    <row r="5053" spans="1:19" x14ac:dyDescent="0.25">
      <c r="A5053">
        <v>100715205</v>
      </c>
      <c r="B5053" t="s">
        <v>4982</v>
      </c>
      <c r="C5053" t="s">
        <v>3633</v>
      </c>
      <c r="G5053" t="s">
        <v>12657</v>
      </c>
      <c r="H5053" t="s">
        <v>12658</v>
      </c>
      <c r="I5053" t="s">
        <v>178</v>
      </c>
      <c r="J5053">
        <v>45324</v>
      </c>
      <c r="K5053">
        <v>2375</v>
      </c>
      <c r="L5053" t="s">
        <v>23</v>
      </c>
      <c r="M5053" t="s">
        <v>12657</v>
      </c>
      <c r="N5053" t="s">
        <v>12658</v>
      </c>
      <c r="O5053" t="s">
        <v>178</v>
      </c>
      <c r="P5053">
        <v>45324</v>
      </c>
      <c r="Q5053">
        <v>2375</v>
      </c>
      <c r="R5053" t="s">
        <v>23</v>
      </c>
      <c r="S5053" s="1" t="s">
        <v>34218</v>
      </c>
    </row>
    <row r="5054" spans="1:19" x14ac:dyDescent="0.25">
      <c r="A5054">
        <v>100722606</v>
      </c>
      <c r="B5054" t="s">
        <v>3562</v>
      </c>
      <c r="C5054" t="s">
        <v>838</v>
      </c>
      <c r="G5054" t="s">
        <v>12659</v>
      </c>
      <c r="H5054" t="s">
        <v>3668</v>
      </c>
      <c r="I5054" t="s">
        <v>148</v>
      </c>
      <c r="J5054">
        <v>21218</v>
      </c>
      <c r="K5054">
        <v>2516</v>
      </c>
      <c r="L5054" t="s">
        <v>23</v>
      </c>
      <c r="M5054" t="s">
        <v>12659</v>
      </c>
      <c r="N5054" t="s">
        <v>3668</v>
      </c>
      <c r="O5054" t="s">
        <v>148</v>
      </c>
      <c r="P5054">
        <v>21218</v>
      </c>
      <c r="Q5054">
        <v>2516</v>
      </c>
      <c r="R5054" t="s">
        <v>23</v>
      </c>
      <c r="S5054" s="1" t="s">
        <v>34218</v>
      </c>
    </row>
    <row r="5055" spans="1:19" x14ac:dyDescent="0.25">
      <c r="A5055">
        <v>100724802</v>
      </c>
      <c r="B5055" t="s">
        <v>1144</v>
      </c>
      <c r="C5055" t="s">
        <v>45</v>
      </c>
      <c r="G5055" t="s">
        <v>12660</v>
      </c>
      <c r="H5055" t="s">
        <v>12661</v>
      </c>
      <c r="I5055" t="s">
        <v>38</v>
      </c>
      <c r="J5055">
        <v>77520</v>
      </c>
      <c r="K5055">
        <v>6315</v>
      </c>
      <c r="L5055" t="s">
        <v>23</v>
      </c>
      <c r="M5055" t="s">
        <v>12660</v>
      </c>
      <c r="N5055" t="s">
        <v>12661</v>
      </c>
      <c r="O5055" t="s">
        <v>38</v>
      </c>
      <c r="P5055">
        <v>77520</v>
      </c>
      <c r="Q5055">
        <v>6315</v>
      </c>
      <c r="R5055" t="s">
        <v>23</v>
      </c>
      <c r="S5055" s="1" t="s">
        <v>34218</v>
      </c>
    </row>
    <row r="5056" spans="1:19" x14ac:dyDescent="0.25">
      <c r="A5056">
        <v>100732928</v>
      </c>
      <c r="B5056" t="s">
        <v>12662</v>
      </c>
      <c r="C5056" t="s">
        <v>1208</v>
      </c>
      <c r="G5056" t="s">
        <v>12663</v>
      </c>
      <c r="H5056" t="s">
        <v>331</v>
      </c>
      <c r="I5056" t="s">
        <v>332</v>
      </c>
      <c r="J5056">
        <v>84106</v>
      </c>
      <c r="K5056">
        <v>1819</v>
      </c>
      <c r="L5056" t="s">
        <v>23</v>
      </c>
      <c r="M5056" t="s">
        <v>12663</v>
      </c>
      <c r="N5056" t="s">
        <v>331</v>
      </c>
      <c r="O5056" t="s">
        <v>332</v>
      </c>
      <c r="P5056">
        <v>84106</v>
      </c>
      <c r="Q5056">
        <v>1819</v>
      </c>
      <c r="R5056" t="s">
        <v>23</v>
      </c>
      <c r="S5056" s="1" t="s">
        <v>34218</v>
      </c>
    </row>
    <row r="5057" spans="1:19" x14ac:dyDescent="0.25">
      <c r="A5057">
        <v>100915426</v>
      </c>
      <c r="B5057" t="s">
        <v>12664</v>
      </c>
      <c r="C5057" t="s">
        <v>1906</v>
      </c>
      <c r="G5057" t="s">
        <v>12665</v>
      </c>
      <c r="H5057" t="s">
        <v>2335</v>
      </c>
      <c r="I5057" t="s">
        <v>22</v>
      </c>
      <c r="J5057">
        <v>92612</v>
      </c>
      <c r="K5057">
        <v>2127</v>
      </c>
      <c r="L5057" t="s">
        <v>23</v>
      </c>
      <c r="M5057" t="s">
        <v>12665</v>
      </c>
      <c r="N5057" t="s">
        <v>2335</v>
      </c>
      <c r="O5057" t="s">
        <v>22</v>
      </c>
      <c r="P5057">
        <v>92612</v>
      </c>
      <c r="Q5057">
        <v>2127</v>
      </c>
      <c r="R5057" t="s">
        <v>23</v>
      </c>
      <c r="S5057" s="1" t="s">
        <v>34218</v>
      </c>
    </row>
    <row r="5058" spans="1:19" x14ac:dyDescent="0.25">
      <c r="A5058">
        <v>100915384</v>
      </c>
      <c r="B5058" t="s">
        <v>686</v>
      </c>
      <c r="C5058" t="s">
        <v>1598</v>
      </c>
      <c r="G5058" t="s">
        <v>12666</v>
      </c>
      <c r="H5058" t="s">
        <v>21</v>
      </c>
      <c r="I5058" t="s">
        <v>22</v>
      </c>
      <c r="J5058">
        <v>95403</v>
      </c>
      <c r="K5058">
        <v>9498</v>
      </c>
      <c r="L5058" t="s">
        <v>23</v>
      </c>
      <c r="M5058" t="s">
        <v>12666</v>
      </c>
      <c r="N5058" t="s">
        <v>21</v>
      </c>
      <c r="O5058" t="s">
        <v>22</v>
      </c>
      <c r="P5058">
        <v>95403</v>
      </c>
      <c r="Q5058">
        <v>9498</v>
      </c>
      <c r="R5058" t="s">
        <v>23</v>
      </c>
      <c r="S5058" s="1" t="s">
        <v>34218</v>
      </c>
    </row>
    <row r="5059" spans="1:19" x14ac:dyDescent="0.25">
      <c r="A5059">
        <v>100911537</v>
      </c>
      <c r="B5059" t="s">
        <v>12667</v>
      </c>
      <c r="C5059" t="s">
        <v>1444</v>
      </c>
      <c r="G5059" t="s">
        <v>12668</v>
      </c>
      <c r="H5059" t="s">
        <v>2046</v>
      </c>
      <c r="I5059" t="s">
        <v>446</v>
      </c>
      <c r="J5059">
        <v>27707</v>
      </c>
      <c r="K5059">
        <v>1360</v>
      </c>
      <c r="L5059" t="s">
        <v>23</v>
      </c>
      <c r="M5059" t="s">
        <v>12668</v>
      </c>
      <c r="N5059" t="s">
        <v>2046</v>
      </c>
      <c r="O5059" t="s">
        <v>446</v>
      </c>
      <c r="P5059">
        <v>27707</v>
      </c>
      <c r="Q5059">
        <v>1360</v>
      </c>
      <c r="R5059" t="s">
        <v>23</v>
      </c>
      <c r="S5059" s="1" t="s">
        <v>34218</v>
      </c>
    </row>
    <row r="5060" spans="1:19" x14ac:dyDescent="0.25">
      <c r="A5060">
        <v>100917474</v>
      </c>
      <c r="B5060" t="s">
        <v>12669</v>
      </c>
      <c r="C5060" t="s">
        <v>1933</v>
      </c>
      <c r="G5060" t="s">
        <v>12670</v>
      </c>
      <c r="H5060" t="s">
        <v>12671</v>
      </c>
      <c r="I5060" t="s">
        <v>140</v>
      </c>
      <c r="J5060">
        <v>48827</v>
      </c>
      <c r="K5060">
        <v>9105</v>
      </c>
      <c r="L5060" t="s">
        <v>23</v>
      </c>
      <c r="M5060" t="s">
        <v>12670</v>
      </c>
      <c r="N5060" t="s">
        <v>12671</v>
      </c>
      <c r="O5060" t="s">
        <v>140</v>
      </c>
      <c r="P5060">
        <v>48827</v>
      </c>
      <c r="Q5060">
        <v>9105</v>
      </c>
      <c r="R5060" t="s">
        <v>23</v>
      </c>
      <c r="S5060" s="1" t="s">
        <v>34218</v>
      </c>
    </row>
    <row r="5061" spans="1:19" x14ac:dyDescent="0.25">
      <c r="A5061">
        <v>100922537</v>
      </c>
      <c r="B5061" t="s">
        <v>12672</v>
      </c>
      <c r="C5061" t="s">
        <v>2062</v>
      </c>
      <c r="G5061" t="s">
        <v>12673</v>
      </c>
      <c r="H5061" t="s">
        <v>340</v>
      </c>
      <c r="I5061" t="s">
        <v>241</v>
      </c>
      <c r="J5061">
        <v>67207</v>
      </c>
      <c r="K5061">
        <v>2245</v>
      </c>
      <c r="L5061" t="s">
        <v>23</v>
      </c>
      <c r="M5061" t="s">
        <v>12673</v>
      </c>
      <c r="N5061" t="s">
        <v>340</v>
      </c>
      <c r="O5061" t="s">
        <v>241</v>
      </c>
      <c r="P5061">
        <v>67207</v>
      </c>
      <c r="Q5061">
        <v>2245</v>
      </c>
      <c r="R5061" t="s">
        <v>23</v>
      </c>
      <c r="S5061" s="1" t="s">
        <v>34218</v>
      </c>
    </row>
    <row r="5062" spans="1:19" x14ac:dyDescent="0.25">
      <c r="A5062">
        <v>100926086</v>
      </c>
      <c r="B5062" t="s">
        <v>4062</v>
      </c>
      <c r="C5062" t="s">
        <v>5599</v>
      </c>
      <c r="G5062" t="s">
        <v>12674</v>
      </c>
      <c r="H5062" t="s">
        <v>276</v>
      </c>
      <c r="I5062" t="s">
        <v>22</v>
      </c>
      <c r="J5062">
        <v>95616</v>
      </c>
      <c r="K5062">
        <v>3058</v>
      </c>
      <c r="L5062" t="s">
        <v>23</v>
      </c>
      <c r="M5062" t="s">
        <v>12674</v>
      </c>
      <c r="N5062" t="s">
        <v>276</v>
      </c>
      <c r="O5062" t="s">
        <v>22</v>
      </c>
      <c r="P5062">
        <v>95616</v>
      </c>
      <c r="Q5062">
        <v>3058</v>
      </c>
      <c r="R5062" t="s">
        <v>23</v>
      </c>
      <c r="S5062" s="1" t="s">
        <v>34218</v>
      </c>
    </row>
    <row r="5063" spans="1:19" x14ac:dyDescent="0.25">
      <c r="A5063">
        <v>100927928</v>
      </c>
      <c r="B5063" t="s">
        <v>208</v>
      </c>
      <c r="C5063" t="s">
        <v>12675</v>
      </c>
      <c r="G5063" t="s">
        <v>12676</v>
      </c>
      <c r="H5063" t="s">
        <v>299</v>
      </c>
      <c r="I5063" t="s">
        <v>22</v>
      </c>
      <c r="J5063">
        <v>90039</v>
      </c>
      <c r="K5063">
        <v>1347</v>
      </c>
      <c r="L5063" t="s">
        <v>23</v>
      </c>
      <c r="M5063" t="s">
        <v>12676</v>
      </c>
      <c r="N5063" t="s">
        <v>299</v>
      </c>
      <c r="O5063" t="s">
        <v>22</v>
      </c>
      <c r="P5063">
        <v>90039</v>
      </c>
      <c r="Q5063">
        <v>1347</v>
      </c>
      <c r="R5063" t="s">
        <v>23</v>
      </c>
      <c r="S5063" s="1" t="s">
        <v>34218</v>
      </c>
    </row>
    <row r="5064" spans="1:19" x14ac:dyDescent="0.25">
      <c r="A5064">
        <v>100929920</v>
      </c>
      <c r="B5064" t="s">
        <v>417</v>
      </c>
      <c r="C5064" t="s">
        <v>1463</v>
      </c>
      <c r="G5064" t="s">
        <v>12677</v>
      </c>
      <c r="H5064" t="s">
        <v>6973</v>
      </c>
      <c r="I5064" t="s">
        <v>2566</v>
      </c>
      <c r="J5064">
        <v>99835</v>
      </c>
      <c r="K5064">
        <v>7322</v>
      </c>
      <c r="L5064" t="s">
        <v>23</v>
      </c>
      <c r="M5064" t="s">
        <v>12677</v>
      </c>
      <c r="N5064" t="s">
        <v>6973</v>
      </c>
      <c r="O5064" t="s">
        <v>2566</v>
      </c>
      <c r="P5064">
        <v>99835</v>
      </c>
      <c r="Q5064">
        <v>7322</v>
      </c>
      <c r="R5064" t="s">
        <v>23</v>
      </c>
      <c r="S5064" s="1" t="s">
        <v>34218</v>
      </c>
    </row>
    <row r="5065" spans="1:19" x14ac:dyDescent="0.25">
      <c r="A5065">
        <v>101190646</v>
      </c>
      <c r="B5065" t="s">
        <v>12678</v>
      </c>
      <c r="C5065" t="s">
        <v>432</v>
      </c>
      <c r="G5065" t="s">
        <v>12679</v>
      </c>
      <c r="H5065" t="s">
        <v>726</v>
      </c>
      <c r="I5065" t="s">
        <v>22</v>
      </c>
      <c r="J5065">
        <v>90402</v>
      </c>
      <c r="K5065">
        <v>2921</v>
      </c>
      <c r="L5065" t="s">
        <v>23</v>
      </c>
      <c r="M5065" t="s">
        <v>12679</v>
      </c>
      <c r="N5065" t="s">
        <v>726</v>
      </c>
      <c r="O5065" t="s">
        <v>22</v>
      </c>
      <c r="P5065">
        <v>90402</v>
      </c>
      <c r="Q5065">
        <v>2921</v>
      </c>
      <c r="R5065" t="s">
        <v>23</v>
      </c>
      <c r="S5065" s="1" t="s">
        <v>34218</v>
      </c>
    </row>
    <row r="5066" spans="1:19" x14ac:dyDescent="0.25">
      <c r="A5066">
        <v>101187313</v>
      </c>
      <c r="B5066" t="s">
        <v>7475</v>
      </c>
      <c r="C5066" t="s">
        <v>25</v>
      </c>
      <c r="G5066" t="s">
        <v>12680</v>
      </c>
      <c r="H5066" t="s">
        <v>3972</v>
      </c>
      <c r="I5066" t="s">
        <v>1387</v>
      </c>
      <c r="J5066">
        <v>35213</v>
      </c>
      <c r="K5066">
        <v>2854</v>
      </c>
      <c r="L5066" t="s">
        <v>23</v>
      </c>
      <c r="M5066" t="s">
        <v>12680</v>
      </c>
      <c r="N5066" t="s">
        <v>3972</v>
      </c>
      <c r="O5066" t="s">
        <v>1387</v>
      </c>
      <c r="P5066">
        <v>35213</v>
      </c>
      <c r="Q5066">
        <v>2854</v>
      </c>
      <c r="R5066" t="s">
        <v>23</v>
      </c>
      <c r="S5066" s="1" t="s">
        <v>34218</v>
      </c>
    </row>
    <row r="5067" spans="1:19" x14ac:dyDescent="0.25">
      <c r="A5067">
        <v>101186312</v>
      </c>
      <c r="B5067" t="s">
        <v>12681</v>
      </c>
      <c r="C5067" t="s">
        <v>5009</v>
      </c>
      <c r="G5067" t="s">
        <v>12682</v>
      </c>
      <c r="H5067" t="s">
        <v>1396</v>
      </c>
      <c r="I5067" t="s">
        <v>236</v>
      </c>
      <c r="J5067">
        <v>1501</v>
      </c>
      <c r="K5067">
        <v>3313</v>
      </c>
      <c r="L5067" t="s">
        <v>23</v>
      </c>
      <c r="M5067" t="s">
        <v>12682</v>
      </c>
      <c r="N5067" t="s">
        <v>1396</v>
      </c>
      <c r="O5067" t="s">
        <v>236</v>
      </c>
      <c r="P5067">
        <v>1501</v>
      </c>
      <c r="Q5067">
        <v>3313</v>
      </c>
      <c r="R5067" t="s">
        <v>23</v>
      </c>
      <c r="S5067" s="1" t="s">
        <v>34218</v>
      </c>
    </row>
    <row r="5068" spans="1:19" x14ac:dyDescent="0.25">
      <c r="A5068">
        <v>101192751</v>
      </c>
      <c r="B5068" t="s">
        <v>12683</v>
      </c>
      <c r="C5068" t="s">
        <v>1363</v>
      </c>
      <c r="G5068" t="s">
        <v>12684</v>
      </c>
      <c r="H5068" t="s">
        <v>4832</v>
      </c>
      <c r="I5068" t="s">
        <v>1482</v>
      </c>
      <c r="J5068">
        <v>29657</v>
      </c>
      <c r="K5068">
        <v>9602</v>
      </c>
      <c r="L5068" t="s">
        <v>23</v>
      </c>
      <c r="M5068" t="s">
        <v>12684</v>
      </c>
      <c r="N5068" t="s">
        <v>4832</v>
      </c>
      <c r="O5068" t="s">
        <v>1482</v>
      </c>
      <c r="P5068">
        <v>29657</v>
      </c>
      <c r="Q5068">
        <v>9602</v>
      </c>
      <c r="R5068" t="s">
        <v>23</v>
      </c>
      <c r="S5068" s="1" t="s">
        <v>34218</v>
      </c>
    </row>
    <row r="5069" spans="1:19" x14ac:dyDescent="0.25">
      <c r="A5069">
        <v>101191101</v>
      </c>
      <c r="B5069" t="s">
        <v>12685</v>
      </c>
      <c r="C5069" t="s">
        <v>2151</v>
      </c>
      <c r="G5069" t="s">
        <v>12686</v>
      </c>
      <c r="H5069" t="s">
        <v>4580</v>
      </c>
      <c r="I5069" t="s">
        <v>117</v>
      </c>
      <c r="J5069">
        <v>12477</v>
      </c>
      <c r="K5069">
        <v>2306</v>
      </c>
      <c r="L5069" t="s">
        <v>23</v>
      </c>
      <c r="M5069" t="s">
        <v>12686</v>
      </c>
      <c r="N5069" t="s">
        <v>4580</v>
      </c>
      <c r="O5069" t="s">
        <v>117</v>
      </c>
      <c r="P5069">
        <v>12477</v>
      </c>
      <c r="Q5069">
        <v>2306</v>
      </c>
      <c r="R5069" t="s">
        <v>23</v>
      </c>
      <c r="S5069" s="1" t="s">
        <v>34218</v>
      </c>
    </row>
    <row r="5070" spans="1:19" x14ac:dyDescent="0.25">
      <c r="A5070">
        <v>101192085</v>
      </c>
      <c r="B5070" t="s">
        <v>12687</v>
      </c>
      <c r="C5070" t="s">
        <v>1658</v>
      </c>
      <c r="G5070" t="s">
        <v>12688</v>
      </c>
      <c r="H5070" t="s">
        <v>12689</v>
      </c>
      <c r="I5070" t="s">
        <v>161</v>
      </c>
      <c r="J5070">
        <v>6371</v>
      </c>
      <c r="K5070">
        <v>369</v>
      </c>
      <c r="L5070" t="s">
        <v>23</v>
      </c>
      <c r="M5070" t="s">
        <v>12688</v>
      </c>
      <c r="N5070" t="s">
        <v>12689</v>
      </c>
      <c r="O5070" t="s">
        <v>161</v>
      </c>
      <c r="P5070">
        <v>6371</v>
      </c>
      <c r="Q5070">
        <v>369</v>
      </c>
      <c r="R5070" t="s">
        <v>23</v>
      </c>
      <c r="S5070" s="1" t="s">
        <v>34218</v>
      </c>
    </row>
    <row r="5071" spans="1:19" x14ac:dyDescent="0.25">
      <c r="A5071">
        <v>101199839</v>
      </c>
      <c r="B5071" t="s">
        <v>12690</v>
      </c>
      <c r="C5071" t="s">
        <v>305</v>
      </c>
      <c r="G5071" t="s">
        <v>12691</v>
      </c>
      <c r="H5071" t="s">
        <v>12692</v>
      </c>
      <c r="I5071" t="s">
        <v>28</v>
      </c>
      <c r="J5071">
        <v>30004</v>
      </c>
      <c r="K5071">
        <v>6671</v>
      </c>
      <c r="L5071" t="s">
        <v>23</v>
      </c>
      <c r="M5071" t="s">
        <v>12691</v>
      </c>
      <c r="N5071" t="s">
        <v>12692</v>
      </c>
      <c r="O5071" t="s">
        <v>28</v>
      </c>
      <c r="P5071">
        <v>30004</v>
      </c>
      <c r="Q5071">
        <v>6671</v>
      </c>
      <c r="R5071" t="s">
        <v>23</v>
      </c>
      <c r="S5071" s="1" t="s">
        <v>34218</v>
      </c>
    </row>
    <row r="5072" spans="1:19" x14ac:dyDescent="0.25">
      <c r="A5072">
        <v>101202449</v>
      </c>
      <c r="B5072" t="s">
        <v>12693</v>
      </c>
      <c r="C5072" t="s">
        <v>5500</v>
      </c>
      <c r="G5072" t="s">
        <v>12694</v>
      </c>
      <c r="H5072" t="s">
        <v>3680</v>
      </c>
      <c r="I5072" t="s">
        <v>565</v>
      </c>
      <c r="J5072">
        <v>52556</v>
      </c>
      <c r="K5072">
        <v>2077</v>
      </c>
      <c r="L5072" t="s">
        <v>23</v>
      </c>
      <c r="M5072" t="s">
        <v>12694</v>
      </c>
      <c r="N5072" t="s">
        <v>3680</v>
      </c>
      <c r="O5072" t="s">
        <v>565</v>
      </c>
      <c r="P5072">
        <v>52556</v>
      </c>
      <c r="Q5072">
        <v>2077</v>
      </c>
      <c r="R5072" t="s">
        <v>23</v>
      </c>
      <c r="S5072" s="1" t="s">
        <v>34218</v>
      </c>
    </row>
    <row r="5073" spans="1:19" x14ac:dyDescent="0.25">
      <c r="A5073">
        <v>101350377</v>
      </c>
      <c r="B5073" t="s">
        <v>12695</v>
      </c>
      <c r="C5073" t="s">
        <v>1588</v>
      </c>
      <c r="G5073" t="s">
        <v>1893</v>
      </c>
      <c r="H5073" t="s">
        <v>7649</v>
      </c>
      <c r="I5073" t="s">
        <v>57</v>
      </c>
      <c r="J5073" t="s">
        <v>12696</v>
      </c>
      <c r="K5073">
        <v>5507</v>
      </c>
      <c r="L5073" t="s">
        <v>23</v>
      </c>
      <c r="M5073" t="s">
        <v>1893</v>
      </c>
      <c r="N5073" t="s">
        <v>7649</v>
      </c>
      <c r="O5073" t="s">
        <v>57</v>
      </c>
      <c r="P5073" t="s">
        <v>12696</v>
      </c>
      <c r="Q5073">
        <v>5507</v>
      </c>
      <c r="R5073" t="s">
        <v>23</v>
      </c>
      <c r="S5073" s="1" t="s">
        <v>34218</v>
      </c>
    </row>
    <row r="5074" spans="1:19" x14ac:dyDescent="0.25">
      <c r="A5074">
        <v>101051474</v>
      </c>
      <c r="B5074" t="s">
        <v>12697</v>
      </c>
      <c r="C5074" t="s">
        <v>30</v>
      </c>
      <c r="G5074" t="s">
        <v>12698</v>
      </c>
      <c r="H5074" t="s">
        <v>9237</v>
      </c>
      <c r="I5074" t="s">
        <v>353</v>
      </c>
      <c r="J5074" t="s">
        <v>12699</v>
      </c>
      <c r="K5074">
        <v>5500</v>
      </c>
      <c r="L5074" t="s">
        <v>23</v>
      </c>
      <c r="M5074" t="s">
        <v>12698</v>
      </c>
      <c r="N5074" t="s">
        <v>9237</v>
      </c>
      <c r="O5074" t="s">
        <v>353</v>
      </c>
      <c r="P5074" t="s">
        <v>12699</v>
      </c>
      <c r="Q5074">
        <v>5500</v>
      </c>
      <c r="R5074" t="s">
        <v>23</v>
      </c>
      <c r="S5074" s="1" t="s">
        <v>34218</v>
      </c>
    </row>
    <row r="5075" spans="1:19" x14ac:dyDescent="0.25">
      <c r="A5075">
        <v>101058962</v>
      </c>
      <c r="B5075" t="s">
        <v>12700</v>
      </c>
      <c r="C5075" t="s">
        <v>1043</v>
      </c>
      <c r="G5075" t="s">
        <v>12701</v>
      </c>
      <c r="H5075" t="s">
        <v>5225</v>
      </c>
      <c r="I5075" t="s">
        <v>914</v>
      </c>
      <c r="J5075" t="s">
        <v>12702</v>
      </c>
      <c r="K5075">
        <v>4021</v>
      </c>
      <c r="L5075" t="s">
        <v>23</v>
      </c>
      <c r="M5075" t="s">
        <v>12701</v>
      </c>
      <c r="N5075" t="s">
        <v>5225</v>
      </c>
      <c r="O5075" t="s">
        <v>914</v>
      </c>
      <c r="P5075" t="s">
        <v>12702</v>
      </c>
      <c r="Q5075">
        <v>4021</v>
      </c>
      <c r="R5075" t="s">
        <v>23</v>
      </c>
      <c r="S5075" s="1" t="s">
        <v>34218</v>
      </c>
    </row>
    <row r="5076" spans="1:19" x14ac:dyDescent="0.25">
      <c r="A5076">
        <v>101224740</v>
      </c>
      <c r="B5076" t="s">
        <v>12703</v>
      </c>
      <c r="C5076" t="s">
        <v>557</v>
      </c>
      <c r="G5076" t="s">
        <v>12704</v>
      </c>
      <c r="H5076" t="s">
        <v>12705</v>
      </c>
      <c r="I5076" t="s">
        <v>191</v>
      </c>
      <c r="J5076" t="s">
        <v>12706</v>
      </c>
      <c r="K5076">
        <v>1219</v>
      </c>
      <c r="L5076" t="s">
        <v>23</v>
      </c>
      <c r="M5076" t="s">
        <v>12704</v>
      </c>
      <c r="N5076" t="s">
        <v>12705</v>
      </c>
      <c r="O5076" t="s">
        <v>191</v>
      </c>
      <c r="P5076" t="s">
        <v>12706</v>
      </c>
      <c r="Q5076">
        <v>1219</v>
      </c>
      <c r="R5076" t="s">
        <v>23</v>
      </c>
      <c r="S5076" s="1" t="s">
        <v>34218</v>
      </c>
    </row>
    <row r="5077" spans="1:19" x14ac:dyDescent="0.25">
      <c r="A5077">
        <v>101247237</v>
      </c>
      <c r="B5077" t="s">
        <v>3011</v>
      </c>
      <c r="C5077" t="s">
        <v>2892</v>
      </c>
      <c r="G5077" t="s">
        <v>12707</v>
      </c>
      <c r="H5077" t="s">
        <v>323</v>
      </c>
      <c r="I5077" t="s">
        <v>22</v>
      </c>
      <c r="J5077" t="s">
        <v>12708</v>
      </c>
      <c r="K5077">
        <v>4933</v>
      </c>
      <c r="L5077" t="s">
        <v>23</v>
      </c>
      <c r="M5077" t="s">
        <v>12707</v>
      </c>
      <c r="N5077" t="s">
        <v>323</v>
      </c>
      <c r="O5077" t="s">
        <v>22</v>
      </c>
      <c r="P5077" t="s">
        <v>12708</v>
      </c>
      <c r="Q5077">
        <v>4933</v>
      </c>
      <c r="R5077" t="s">
        <v>23</v>
      </c>
      <c r="S5077" s="1" t="s">
        <v>34218</v>
      </c>
    </row>
    <row r="5078" spans="1:19" x14ac:dyDescent="0.25">
      <c r="A5078">
        <v>100863836</v>
      </c>
      <c r="B5078" t="s">
        <v>7066</v>
      </c>
      <c r="C5078" t="s">
        <v>12709</v>
      </c>
      <c r="G5078" t="s">
        <v>12710</v>
      </c>
      <c r="H5078" t="s">
        <v>591</v>
      </c>
      <c r="I5078" t="s">
        <v>84</v>
      </c>
      <c r="J5078" t="s">
        <v>12711</v>
      </c>
      <c r="K5078">
        <v>6147</v>
      </c>
      <c r="L5078" t="s">
        <v>23</v>
      </c>
      <c r="M5078" t="s">
        <v>12710</v>
      </c>
      <c r="N5078" t="s">
        <v>591</v>
      </c>
      <c r="O5078" t="s">
        <v>84</v>
      </c>
      <c r="P5078" t="s">
        <v>12711</v>
      </c>
      <c r="Q5078">
        <v>6147</v>
      </c>
      <c r="R5078" t="s">
        <v>23</v>
      </c>
      <c r="S5078" s="1" t="s">
        <v>34218</v>
      </c>
    </row>
    <row r="5079" spans="1:19" x14ac:dyDescent="0.25">
      <c r="A5079">
        <v>100666036</v>
      </c>
      <c r="B5079" t="s">
        <v>12712</v>
      </c>
      <c r="C5079" t="s">
        <v>11232</v>
      </c>
      <c r="G5079" t="s">
        <v>12713</v>
      </c>
      <c r="H5079" t="s">
        <v>174</v>
      </c>
      <c r="I5079" t="s">
        <v>22</v>
      </c>
      <c r="J5079" t="s">
        <v>12714</v>
      </c>
      <c r="K5079">
        <v>2718</v>
      </c>
      <c r="L5079" t="s">
        <v>23</v>
      </c>
      <c r="M5079" t="s">
        <v>12713</v>
      </c>
      <c r="N5079" t="s">
        <v>174</v>
      </c>
      <c r="O5079" t="s">
        <v>22</v>
      </c>
      <c r="P5079" t="s">
        <v>12714</v>
      </c>
      <c r="Q5079">
        <v>2718</v>
      </c>
      <c r="R5079" t="s">
        <v>23</v>
      </c>
      <c r="S5079" s="1" t="s">
        <v>34218</v>
      </c>
    </row>
    <row r="5080" spans="1:19" x14ac:dyDescent="0.25">
      <c r="A5080">
        <v>100940254</v>
      </c>
      <c r="B5080" t="s">
        <v>12715</v>
      </c>
      <c r="C5080" t="s">
        <v>3633</v>
      </c>
      <c r="G5080" t="s">
        <v>12716</v>
      </c>
      <c r="H5080" t="s">
        <v>3498</v>
      </c>
      <c r="I5080" t="s">
        <v>43</v>
      </c>
      <c r="J5080">
        <v>97330</v>
      </c>
      <c r="K5080">
        <v>6128</v>
      </c>
      <c r="L5080" t="s">
        <v>23</v>
      </c>
      <c r="M5080" t="s">
        <v>12716</v>
      </c>
      <c r="N5080" t="s">
        <v>3498</v>
      </c>
      <c r="O5080" t="s">
        <v>43</v>
      </c>
      <c r="P5080">
        <v>97330</v>
      </c>
      <c r="Q5080">
        <v>6128</v>
      </c>
      <c r="R5080" t="s">
        <v>23</v>
      </c>
      <c r="S5080" s="1" t="s">
        <v>34218</v>
      </c>
    </row>
    <row r="5081" spans="1:19" x14ac:dyDescent="0.25">
      <c r="A5081">
        <v>100949263</v>
      </c>
      <c r="B5081" t="s">
        <v>1333</v>
      </c>
      <c r="C5081" t="s">
        <v>4103</v>
      </c>
      <c r="G5081" t="s">
        <v>12717</v>
      </c>
      <c r="H5081" t="s">
        <v>12718</v>
      </c>
      <c r="I5081" t="s">
        <v>135</v>
      </c>
      <c r="J5081">
        <v>60044</v>
      </c>
      <c r="K5081">
        <v>1426</v>
      </c>
      <c r="L5081" t="s">
        <v>23</v>
      </c>
      <c r="M5081" t="s">
        <v>12717</v>
      </c>
      <c r="N5081" t="s">
        <v>12718</v>
      </c>
      <c r="O5081" t="s">
        <v>135</v>
      </c>
      <c r="P5081">
        <v>60044</v>
      </c>
      <c r="Q5081">
        <v>1426</v>
      </c>
      <c r="R5081" t="s">
        <v>23</v>
      </c>
      <c r="S5081" s="1" t="s">
        <v>34218</v>
      </c>
    </row>
    <row r="5082" spans="1:19" x14ac:dyDescent="0.25">
      <c r="A5082">
        <v>100949191</v>
      </c>
      <c r="B5082" t="s">
        <v>12719</v>
      </c>
      <c r="C5082" t="s">
        <v>7358</v>
      </c>
      <c r="G5082" t="s">
        <v>12720</v>
      </c>
      <c r="H5082" t="s">
        <v>1311</v>
      </c>
      <c r="I5082" t="s">
        <v>126</v>
      </c>
      <c r="J5082">
        <v>64093</v>
      </c>
      <c r="K5082">
        <v>7544</v>
      </c>
      <c r="L5082" t="s">
        <v>23</v>
      </c>
      <c r="M5082" t="s">
        <v>12720</v>
      </c>
      <c r="N5082" t="s">
        <v>1311</v>
      </c>
      <c r="O5082" t="s">
        <v>126</v>
      </c>
      <c r="P5082">
        <v>64093</v>
      </c>
      <c r="Q5082">
        <v>7544</v>
      </c>
      <c r="R5082" t="s">
        <v>23</v>
      </c>
      <c r="S5082" s="1" t="s">
        <v>34218</v>
      </c>
    </row>
    <row r="5083" spans="1:19" x14ac:dyDescent="0.25">
      <c r="A5083">
        <v>100945133</v>
      </c>
      <c r="B5083" t="s">
        <v>12721</v>
      </c>
      <c r="C5083" t="s">
        <v>12722</v>
      </c>
      <c r="G5083" t="s">
        <v>12723</v>
      </c>
      <c r="H5083" t="s">
        <v>12724</v>
      </c>
      <c r="I5083" t="s">
        <v>250</v>
      </c>
      <c r="J5083">
        <v>7722</v>
      </c>
      <c r="K5083">
        <v>1026</v>
      </c>
      <c r="L5083" t="s">
        <v>23</v>
      </c>
      <c r="M5083" t="s">
        <v>12723</v>
      </c>
      <c r="N5083" t="s">
        <v>12724</v>
      </c>
      <c r="O5083" t="s">
        <v>250</v>
      </c>
      <c r="P5083">
        <v>7722</v>
      </c>
      <c r="Q5083">
        <v>1026</v>
      </c>
      <c r="R5083" t="s">
        <v>23</v>
      </c>
      <c r="S5083" s="1" t="s">
        <v>34218</v>
      </c>
    </row>
    <row r="5084" spans="1:19" x14ac:dyDescent="0.25">
      <c r="A5084">
        <v>100949619</v>
      </c>
      <c r="B5084" t="s">
        <v>1650</v>
      </c>
      <c r="C5084" t="s">
        <v>1239</v>
      </c>
      <c r="G5084" t="s">
        <v>12725</v>
      </c>
      <c r="H5084" t="s">
        <v>12726</v>
      </c>
      <c r="I5084" t="s">
        <v>100</v>
      </c>
      <c r="J5084">
        <v>53142</v>
      </c>
      <c r="K5084">
        <v>7853</v>
      </c>
      <c r="L5084" t="s">
        <v>23</v>
      </c>
      <c r="M5084" t="s">
        <v>12725</v>
      </c>
      <c r="N5084" t="s">
        <v>12726</v>
      </c>
      <c r="O5084" t="s">
        <v>100</v>
      </c>
      <c r="P5084">
        <v>53142</v>
      </c>
      <c r="Q5084">
        <v>7853</v>
      </c>
      <c r="R5084" t="s">
        <v>23</v>
      </c>
      <c r="S5084" s="1" t="s">
        <v>34218</v>
      </c>
    </row>
    <row r="5085" spans="1:19" x14ac:dyDescent="0.25">
      <c r="A5085">
        <v>100947051</v>
      </c>
      <c r="B5085" t="s">
        <v>12727</v>
      </c>
      <c r="C5085" t="s">
        <v>2343</v>
      </c>
      <c r="G5085" t="s">
        <v>12728</v>
      </c>
      <c r="H5085" t="s">
        <v>88</v>
      </c>
      <c r="I5085" t="s">
        <v>22</v>
      </c>
      <c r="J5085">
        <v>94611</v>
      </c>
      <c r="K5085">
        <v>2534</v>
      </c>
      <c r="L5085" t="s">
        <v>23</v>
      </c>
      <c r="M5085" t="s">
        <v>12728</v>
      </c>
      <c r="N5085" t="s">
        <v>88</v>
      </c>
      <c r="O5085" t="s">
        <v>22</v>
      </c>
      <c r="P5085">
        <v>94611</v>
      </c>
      <c r="Q5085">
        <v>2534</v>
      </c>
      <c r="R5085" t="s">
        <v>23</v>
      </c>
      <c r="S5085" s="1" t="s">
        <v>34218</v>
      </c>
    </row>
    <row r="5086" spans="1:19" x14ac:dyDescent="0.25">
      <c r="A5086">
        <v>100955788</v>
      </c>
      <c r="B5086" t="s">
        <v>12729</v>
      </c>
      <c r="C5086" t="s">
        <v>6315</v>
      </c>
      <c r="G5086" t="s">
        <v>12730</v>
      </c>
      <c r="H5086" t="s">
        <v>913</v>
      </c>
      <c r="I5086" t="s">
        <v>914</v>
      </c>
      <c r="J5086">
        <v>37209</v>
      </c>
      <c r="K5086">
        <v>5621</v>
      </c>
      <c r="L5086" t="s">
        <v>23</v>
      </c>
      <c r="M5086" t="s">
        <v>12730</v>
      </c>
      <c r="N5086" t="s">
        <v>913</v>
      </c>
      <c r="O5086" t="s">
        <v>914</v>
      </c>
      <c r="P5086">
        <v>37209</v>
      </c>
      <c r="Q5086">
        <v>5621</v>
      </c>
      <c r="R5086" t="s">
        <v>23</v>
      </c>
      <c r="S5086" s="1" t="s">
        <v>34218</v>
      </c>
    </row>
    <row r="5087" spans="1:19" x14ac:dyDescent="0.25">
      <c r="A5087">
        <v>100959512</v>
      </c>
      <c r="B5087" t="s">
        <v>3881</v>
      </c>
      <c r="C5087" t="s">
        <v>2365</v>
      </c>
      <c r="G5087" t="s">
        <v>12731</v>
      </c>
      <c r="H5087" t="s">
        <v>12732</v>
      </c>
      <c r="I5087" t="s">
        <v>135</v>
      </c>
      <c r="J5087">
        <v>60015</v>
      </c>
      <c r="K5087">
        <v>4745</v>
      </c>
      <c r="L5087" t="s">
        <v>23</v>
      </c>
      <c r="M5087" t="s">
        <v>12731</v>
      </c>
      <c r="N5087" t="s">
        <v>12732</v>
      </c>
      <c r="O5087" t="s">
        <v>135</v>
      </c>
      <c r="P5087">
        <v>60015</v>
      </c>
      <c r="Q5087">
        <v>4745</v>
      </c>
      <c r="R5087" t="s">
        <v>23</v>
      </c>
      <c r="S5087" s="1" t="s">
        <v>34218</v>
      </c>
    </row>
    <row r="5088" spans="1:19" x14ac:dyDescent="0.25">
      <c r="A5088">
        <v>100961180</v>
      </c>
      <c r="B5088" t="s">
        <v>9809</v>
      </c>
      <c r="C5088" t="s">
        <v>2127</v>
      </c>
      <c r="G5088" t="s">
        <v>12733</v>
      </c>
      <c r="H5088" t="s">
        <v>2434</v>
      </c>
      <c r="I5088" t="s">
        <v>161</v>
      </c>
      <c r="J5088">
        <v>6515</v>
      </c>
      <c r="L5088" t="s">
        <v>23</v>
      </c>
      <c r="M5088" t="s">
        <v>12733</v>
      </c>
      <c r="N5088" t="s">
        <v>2434</v>
      </c>
      <c r="O5088" t="s">
        <v>161</v>
      </c>
      <c r="P5088">
        <v>6515</v>
      </c>
      <c r="R5088" t="s">
        <v>23</v>
      </c>
      <c r="S5088" s="1" t="s">
        <v>34218</v>
      </c>
    </row>
    <row r="5089" spans="1:19" x14ac:dyDescent="0.25">
      <c r="A5089">
        <v>101151916</v>
      </c>
      <c r="B5089" t="s">
        <v>12734</v>
      </c>
      <c r="C5089" t="s">
        <v>1384</v>
      </c>
      <c r="G5089" t="s">
        <v>12735</v>
      </c>
      <c r="H5089" t="s">
        <v>12736</v>
      </c>
      <c r="I5089" t="s">
        <v>38</v>
      </c>
      <c r="J5089">
        <v>75032</v>
      </c>
      <c r="K5089">
        <v>6377</v>
      </c>
      <c r="L5089" t="s">
        <v>23</v>
      </c>
      <c r="M5089" t="s">
        <v>12735</v>
      </c>
      <c r="N5089" t="s">
        <v>12736</v>
      </c>
      <c r="O5089" t="s">
        <v>38</v>
      </c>
      <c r="P5089">
        <v>75032</v>
      </c>
      <c r="Q5089">
        <v>6377</v>
      </c>
      <c r="R5089" t="s">
        <v>23</v>
      </c>
      <c r="S5089" s="1" t="s">
        <v>34218</v>
      </c>
    </row>
    <row r="5090" spans="1:19" x14ac:dyDescent="0.25">
      <c r="A5090">
        <v>101151262</v>
      </c>
      <c r="B5090" t="s">
        <v>12737</v>
      </c>
      <c r="C5090" t="s">
        <v>12738</v>
      </c>
      <c r="G5090" t="s">
        <v>12739</v>
      </c>
      <c r="H5090" t="s">
        <v>299</v>
      </c>
      <c r="I5090" t="s">
        <v>22</v>
      </c>
      <c r="J5090">
        <v>90066</v>
      </c>
      <c r="K5090">
        <v>2731</v>
      </c>
      <c r="L5090" t="s">
        <v>23</v>
      </c>
      <c r="M5090" t="s">
        <v>12739</v>
      </c>
      <c r="N5090" t="s">
        <v>299</v>
      </c>
      <c r="O5090" t="s">
        <v>22</v>
      </c>
      <c r="P5090">
        <v>90066</v>
      </c>
      <c r="Q5090">
        <v>2731</v>
      </c>
      <c r="R5090" t="s">
        <v>23</v>
      </c>
      <c r="S5090" s="1" t="s">
        <v>34218</v>
      </c>
    </row>
    <row r="5091" spans="1:19" x14ac:dyDescent="0.25">
      <c r="A5091">
        <v>101154030</v>
      </c>
      <c r="B5091" t="s">
        <v>12740</v>
      </c>
      <c r="C5091" t="s">
        <v>890</v>
      </c>
      <c r="F5091" t="str">
        <f>"4122211769"</f>
        <v>4122211769</v>
      </c>
      <c r="G5091" t="s">
        <v>12741</v>
      </c>
      <c r="H5091" t="s">
        <v>3363</v>
      </c>
      <c r="I5091" t="s">
        <v>33</v>
      </c>
      <c r="J5091">
        <v>15241</v>
      </c>
      <c r="K5091">
        <v>3506</v>
      </c>
      <c r="L5091" t="s">
        <v>23</v>
      </c>
      <c r="M5091" t="s">
        <v>12741</v>
      </c>
      <c r="N5091" t="s">
        <v>3363</v>
      </c>
      <c r="O5091" t="s">
        <v>33</v>
      </c>
      <c r="P5091">
        <v>15241</v>
      </c>
      <c r="Q5091">
        <v>3506</v>
      </c>
      <c r="R5091" t="s">
        <v>23</v>
      </c>
      <c r="S5091" s="1" t="s">
        <v>34218</v>
      </c>
    </row>
    <row r="5092" spans="1:19" x14ac:dyDescent="0.25">
      <c r="A5092">
        <v>101162879</v>
      </c>
      <c r="B5092" t="s">
        <v>3089</v>
      </c>
      <c r="C5092" t="s">
        <v>12742</v>
      </c>
      <c r="G5092" t="s">
        <v>12743</v>
      </c>
      <c r="H5092" t="s">
        <v>12744</v>
      </c>
      <c r="I5092" t="s">
        <v>365</v>
      </c>
      <c r="J5092">
        <v>85351</v>
      </c>
      <c r="K5092">
        <v>1422</v>
      </c>
      <c r="L5092" t="s">
        <v>23</v>
      </c>
      <c r="M5092" t="s">
        <v>12743</v>
      </c>
      <c r="N5092" t="s">
        <v>12744</v>
      </c>
      <c r="O5092" t="s">
        <v>365</v>
      </c>
      <c r="P5092">
        <v>85351</v>
      </c>
      <c r="Q5092">
        <v>1422</v>
      </c>
      <c r="R5092" t="s">
        <v>23</v>
      </c>
      <c r="S5092" s="1" t="s">
        <v>34218</v>
      </c>
    </row>
    <row r="5093" spans="1:19" x14ac:dyDescent="0.25">
      <c r="A5093">
        <v>101158924</v>
      </c>
      <c r="B5093" t="s">
        <v>10712</v>
      </c>
      <c r="C5093" t="s">
        <v>12745</v>
      </c>
      <c r="G5093" t="s">
        <v>12746</v>
      </c>
      <c r="H5093" t="s">
        <v>2701</v>
      </c>
      <c r="I5093" t="s">
        <v>914</v>
      </c>
      <c r="J5093">
        <v>37064</v>
      </c>
      <c r="K5093">
        <v>4904</v>
      </c>
      <c r="L5093" t="s">
        <v>23</v>
      </c>
      <c r="M5093" t="s">
        <v>12746</v>
      </c>
      <c r="N5093" t="s">
        <v>2701</v>
      </c>
      <c r="O5093" t="s">
        <v>914</v>
      </c>
      <c r="P5093">
        <v>37064</v>
      </c>
      <c r="Q5093">
        <v>4904</v>
      </c>
      <c r="R5093" t="s">
        <v>23</v>
      </c>
      <c r="S5093" s="1" t="s">
        <v>34218</v>
      </c>
    </row>
    <row r="5094" spans="1:19" x14ac:dyDescent="0.25">
      <c r="A5094">
        <v>100515990</v>
      </c>
      <c r="B5094" t="s">
        <v>12747</v>
      </c>
      <c r="C5094" t="s">
        <v>12748</v>
      </c>
      <c r="G5094" t="s">
        <v>12749</v>
      </c>
      <c r="H5094" t="s">
        <v>12750</v>
      </c>
      <c r="I5094" t="s">
        <v>365</v>
      </c>
      <c r="J5094">
        <v>86327</v>
      </c>
      <c r="K5094">
        <v>4521</v>
      </c>
      <c r="L5094" t="s">
        <v>23</v>
      </c>
      <c r="M5094" t="s">
        <v>12749</v>
      </c>
      <c r="N5094" t="s">
        <v>12750</v>
      </c>
      <c r="O5094" t="s">
        <v>365</v>
      </c>
      <c r="P5094">
        <v>86327</v>
      </c>
      <c r="Q5094">
        <v>4521</v>
      </c>
      <c r="R5094" t="s">
        <v>23</v>
      </c>
      <c r="S5094" s="1" t="s">
        <v>34218</v>
      </c>
    </row>
    <row r="5095" spans="1:19" x14ac:dyDescent="0.25">
      <c r="A5095">
        <v>100964781</v>
      </c>
      <c r="B5095" t="s">
        <v>12751</v>
      </c>
      <c r="C5095" t="s">
        <v>2687</v>
      </c>
      <c r="G5095" t="s">
        <v>12752</v>
      </c>
      <c r="H5095" t="s">
        <v>12753</v>
      </c>
      <c r="I5095" t="s">
        <v>22</v>
      </c>
      <c r="J5095">
        <v>95348</v>
      </c>
      <c r="K5095">
        <v>2374</v>
      </c>
      <c r="L5095" t="s">
        <v>23</v>
      </c>
      <c r="M5095" t="s">
        <v>12752</v>
      </c>
      <c r="N5095" t="s">
        <v>12753</v>
      </c>
      <c r="O5095" t="s">
        <v>22</v>
      </c>
      <c r="P5095">
        <v>95348</v>
      </c>
      <c r="Q5095">
        <v>2374</v>
      </c>
      <c r="R5095" t="s">
        <v>23</v>
      </c>
      <c r="S5095" s="1" t="s">
        <v>34218</v>
      </c>
    </row>
    <row r="5096" spans="1:19" x14ac:dyDescent="0.25">
      <c r="A5096">
        <v>101226217</v>
      </c>
      <c r="B5096" t="s">
        <v>12754</v>
      </c>
      <c r="C5096" t="s">
        <v>12755</v>
      </c>
      <c r="G5096" t="s">
        <v>12756</v>
      </c>
      <c r="H5096" t="s">
        <v>12757</v>
      </c>
      <c r="I5096" t="s">
        <v>43</v>
      </c>
      <c r="J5096">
        <v>0</v>
      </c>
      <c r="L5096" t="s">
        <v>23</v>
      </c>
      <c r="M5096" t="s">
        <v>12756</v>
      </c>
      <c r="N5096" t="s">
        <v>12757</v>
      </c>
      <c r="O5096" t="s">
        <v>43</v>
      </c>
      <c r="P5096">
        <v>0</v>
      </c>
      <c r="R5096" t="s">
        <v>23</v>
      </c>
      <c r="S5096" s="1" t="s">
        <v>34218</v>
      </c>
    </row>
    <row r="5097" spans="1:19" x14ac:dyDescent="0.25">
      <c r="A5097">
        <v>101472053</v>
      </c>
      <c r="B5097" t="s">
        <v>12758</v>
      </c>
      <c r="C5097" t="s">
        <v>1906</v>
      </c>
      <c r="G5097" t="s">
        <v>12759</v>
      </c>
      <c r="H5097" t="s">
        <v>653</v>
      </c>
      <c r="I5097" t="s">
        <v>117</v>
      </c>
      <c r="J5097">
        <v>10024</v>
      </c>
      <c r="K5097">
        <v>3114</v>
      </c>
      <c r="L5097" t="s">
        <v>23</v>
      </c>
      <c r="M5097" t="s">
        <v>12759</v>
      </c>
      <c r="N5097" t="s">
        <v>653</v>
      </c>
      <c r="O5097" t="s">
        <v>117</v>
      </c>
      <c r="P5097">
        <v>10024</v>
      </c>
      <c r="Q5097">
        <v>3114</v>
      </c>
      <c r="R5097" t="s">
        <v>23</v>
      </c>
      <c r="S5097" s="1" t="s">
        <v>34218</v>
      </c>
    </row>
    <row r="5098" spans="1:19" x14ac:dyDescent="0.25">
      <c r="A5098">
        <v>101176878</v>
      </c>
      <c r="B5098" t="s">
        <v>12760</v>
      </c>
      <c r="C5098" t="s">
        <v>803</v>
      </c>
      <c r="G5098" t="s">
        <v>12761</v>
      </c>
      <c r="H5098" t="s">
        <v>12762</v>
      </c>
      <c r="I5098" t="s">
        <v>117</v>
      </c>
      <c r="J5098">
        <v>14217</v>
      </c>
      <c r="K5098">
        <v>2831</v>
      </c>
      <c r="L5098" t="s">
        <v>23</v>
      </c>
      <c r="M5098" t="s">
        <v>12761</v>
      </c>
      <c r="N5098" t="s">
        <v>12762</v>
      </c>
      <c r="O5098" t="s">
        <v>117</v>
      </c>
      <c r="P5098">
        <v>14217</v>
      </c>
      <c r="Q5098">
        <v>2831</v>
      </c>
      <c r="R5098" t="s">
        <v>23</v>
      </c>
      <c r="S5098" s="1" t="s">
        <v>34218</v>
      </c>
    </row>
    <row r="5099" spans="1:19" x14ac:dyDescent="0.25">
      <c r="A5099">
        <v>101265702</v>
      </c>
      <c r="B5099" t="s">
        <v>12763</v>
      </c>
      <c r="C5099" t="s">
        <v>2436</v>
      </c>
      <c r="G5099" t="s">
        <v>12764</v>
      </c>
      <c r="H5099" t="s">
        <v>2514</v>
      </c>
      <c r="I5099" t="s">
        <v>236</v>
      </c>
      <c r="J5099">
        <v>2115</v>
      </c>
      <c r="K5099">
        <v>4810</v>
      </c>
      <c r="L5099" t="s">
        <v>23</v>
      </c>
      <c r="M5099" t="s">
        <v>12764</v>
      </c>
      <c r="N5099" t="s">
        <v>2514</v>
      </c>
      <c r="O5099" t="s">
        <v>236</v>
      </c>
      <c r="P5099">
        <v>2115</v>
      </c>
      <c r="Q5099">
        <v>4810</v>
      </c>
      <c r="R5099" t="s">
        <v>23</v>
      </c>
      <c r="S5099" s="1" t="s">
        <v>34218</v>
      </c>
    </row>
    <row r="5100" spans="1:19" x14ac:dyDescent="0.25">
      <c r="A5100">
        <v>101255866</v>
      </c>
      <c r="B5100" t="s">
        <v>12765</v>
      </c>
      <c r="C5100" t="s">
        <v>12766</v>
      </c>
      <c r="G5100" t="s">
        <v>12767</v>
      </c>
      <c r="H5100" t="s">
        <v>529</v>
      </c>
      <c r="I5100" t="s">
        <v>71</v>
      </c>
      <c r="J5100">
        <v>80537</v>
      </c>
      <c r="K5100">
        <v>3593</v>
      </c>
      <c r="L5100" t="s">
        <v>23</v>
      </c>
      <c r="M5100" t="s">
        <v>12767</v>
      </c>
      <c r="N5100" t="s">
        <v>529</v>
      </c>
      <c r="O5100" t="s">
        <v>71</v>
      </c>
      <c r="P5100">
        <v>80537</v>
      </c>
      <c r="Q5100">
        <v>3593</v>
      </c>
      <c r="R5100" t="s">
        <v>23</v>
      </c>
      <c r="S5100" s="1" t="s">
        <v>34218</v>
      </c>
    </row>
    <row r="5101" spans="1:19" x14ac:dyDescent="0.25">
      <c r="A5101">
        <v>100660918</v>
      </c>
      <c r="B5101" t="s">
        <v>12768</v>
      </c>
      <c r="C5101" t="s">
        <v>3747</v>
      </c>
      <c r="G5101" t="s">
        <v>12769</v>
      </c>
      <c r="H5101" t="s">
        <v>130</v>
      </c>
      <c r="I5101" t="s">
        <v>22</v>
      </c>
      <c r="J5101">
        <v>94121</v>
      </c>
      <c r="L5101" t="s">
        <v>23</v>
      </c>
      <c r="M5101" t="s">
        <v>12769</v>
      </c>
      <c r="N5101" t="s">
        <v>130</v>
      </c>
      <c r="O5101" t="s">
        <v>22</v>
      </c>
      <c r="P5101">
        <v>94121</v>
      </c>
      <c r="R5101" t="s">
        <v>23</v>
      </c>
      <c r="S5101" s="1" t="s">
        <v>34218</v>
      </c>
    </row>
    <row r="5102" spans="1:19" x14ac:dyDescent="0.25">
      <c r="A5102">
        <v>100794969</v>
      </c>
      <c r="B5102" t="s">
        <v>12770</v>
      </c>
      <c r="C5102" t="s">
        <v>4895</v>
      </c>
      <c r="G5102" t="s">
        <v>12771</v>
      </c>
      <c r="H5102" t="s">
        <v>66</v>
      </c>
      <c r="I5102" t="s">
        <v>22</v>
      </c>
      <c r="J5102">
        <v>94709</v>
      </c>
      <c r="K5102">
        <v>1616</v>
      </c>
      <c r="L5102" t="s">
        <v>23</v>
      </c>
      <c r="M5102" t="s">
        <v>12771</v>
      </c>
      <c r="N5102" t="s">
        <v>66</v>
      </c>
      <c r="O5102" t="s">
        <v>22</v>
      </c>
      <c r="P5102">
        <v>94709</v>
      </c>
      <c r="Q5102">
        <v>1616</v>
      </c>
      <c r="R5102" t="s">
        <v>23</v>
      </c>
      <c r="S5102" s="1" t="s">
        <v>34218</v>
      </c>
    </row>
    <row r="5103" spans="1:19" x14ac:dyDescent="0.25">
      <c r="A5103">
        <v>101066314</v>
      </c>
      <c r="B5103" t="s">
        <v>10838</v>
      </c>
      <c r="C5103" t="s">
        <v>1086</v>
      </c>
      <c r="G5103" t="s">
        <v>12772</v>
      </c>
      <c r="H5103" t="s">
        <v>12773</v>
      </c>
      <c r="I5103" t="s">
        <v>43</v>
      </c>
      <c r="J5103">
        <v>97492</v>
      </c>
      <c r="K5103">
        <v>9744</v>
      </c>
      <c r="L5103" t="s">
        <v>23</v>
      </c>
      <c r="M5103" t="s">
        <v>12772</v>
      </c>
      <c r="N5103" t="s">
        <v>12773</v>
      </c>
      <c r="O5103" t="s">
        <v>43</v>
      </c>
      <c r="P5103">
        <v>97492</v>
      </c>
      <c r="Q5103">
        <v>9744</v>
      </c>
      <c r="R5103" t="s">
        <v>23</v>
      </c>
      <c r="S5103" s="1" t="s">
        <v>34218</v>
      </c>
    </row>
    <row r="5104" spans="1:19" x14ac:dyDescent="0.25">
      <c r="A5104">
        <v>101475012</v>
      </c>
      <c r="B5104" t="s">
        <v>880</v>
      </c>
      <c r="C5104" t="s">
        <v>579</v>
      </c>
      <c r="G5104" t="s">
        <v>12774</v>
      </c>
      <c r="H5104" t="s">
        <v>4514</v>
      </c>
      <c r="I5104" t="s">
        <v>28</v>
      </c>
      <c r="J5104">
        <v>30215</v>
      </c>
      <c r="K5104">
        <v>2964</v>
      </c>
      <c r="L5104" t="s">
        <v>23</v>
      </c>
      <c r="M5104" t="s">
        <v>12774</v>
      </c>
      <c r="N5104" t="s">
        <v>4514</v>
      </c>
      <c r="O5104" t="s">
        <v>28</v>
      </c>
      <c r="P5104">
        <v>30215</v>
      </c>
      <c r="Q5104">
        <v>2964</v>
      </c>
      <c r="R5104" t="s">
        <v>23</v>
      </c>
      <c r="S5104" s="1" t="s">
        <v>34218</v>
      </c>
    </row>
    <row r="5105" spans="1:19" x14ac:dyDescent="0.25">
      <c r="A5105">
        <v>101402147</v>
      </c>
      <c r="B5105" t="s">
        <v>2300</v>
      </c>
      <c r="C5105" t="s">
        <v>25</v>
      </c>
      <c r="G5105" t="s">
        <v>12775</v>
      </c>
      <c r="H5105" t="s">
        <v>12776</v>
      </c>
      <c r="I5105" t="s">
        <v>135</v>
      </c>
      <c r="J5105">
        <v>62047</v>
      </c>
      <c r="K5105">
        <v>9801</v>
      </c>
      <c r="L5105" t="s">
        <v>23</v>
      </c>
      <c r="M5105" t="s">
        <v>12775</v>
      </c>
      <c r="N5105" t="s">
        <v>12776</v>
      </c>
      <c r="O5105" t="s">
        <v>135</v>
      </c>
      <c r="P5105">
        <v>62047</v>
      </c>
      <c r="Q5105">
        <v>9801</v>
      </c>
      <c r="R5105" t="s">
        <v>23</v>
      </c>
      <c r="S5105" s="1" t="s">
        <v>34218</v>
      </c>
    </row>
    <row r="5106" spans="1:19" x14ac:dyDescent="0.25">
      <c r="A5106">
        <v>101044936</v>
      </c>
      <c r="B5106" t="s">
        <v>12777</v>
      </c>
      <c r="C5106" t="s">
        <v>4407</v>
      </c>
      <c r="G5106" t="s">
        <v>12778</v>
      </c>
      <c r="H5106" t="s">
        <v>12779</v>
      </c>
      <c r="I5106" t="s">
        <v>148</v>
      </c>
      <c r="J5106">
        <v>20855</v>
      </c>
      <c r="K5106">
        <v>1141</v>
      </c>
      <c r="L5106" t="s">
        <v>23</v>
      </c>
      <c r="M5106" t="s">
        <v>12778</v>
      </c>
      <c r="N5106" t="s">
        <v>12779</v>
      </c>
      <c r="O5106" t="s">
        <v>148</v>
      </c>
      <c r="P5106">
        <v>20855</v>
      </c>
      <c r="Q5106">
        <v>1141</v>
      </c>
      <c r="R5106" t="s">
        <v>23</v>
      </c>
      <c r="S5106" s="1" t="s">
        <v>34218</v>
      </c>
    </row>
    <row r="5107" spans="1:19" x14ac:dyDescent="0.25">
      <c r="A5107">
        <v>100542070</v>
      </c>
      <c r="B5107" t="s">
        <v>12780</v>
      </c>
      <c r="C5107" t="s">
        <v>641</v>
      </c>
      <c r="G5107" t="s">
        <v>12781</v>
      </c>
      <c r="H5107" t="s">
        <v>1452</v>
      </c>
      <c r="I5107" t="s">
        <v>43</v>
      </c>
      <c r="J5107">
        <v>97408</v>
      </c>
      <c r="K5107">
        <v>1791</v>
      </c>
      <c r="L5107" t="s">
        <v>23</v>
      </c>
      <c r="M5107" t="s">
        <v>12781</v>
      </c>
      <c r="N5107" t="s">
        <v>1452</v>
      </c>
      <c r="O5107" t="s">
        <v>43</v>
      </c>
      <c r="P5107">
        <v>97408</v>
      </c>
      <c r="Q5107">
        <v>1791</v>
      </c>
      <c r="R5107" t="s">
        <v>23</v>
      </c>
      <c r="S5107" s="1" t="s">
        <v>34218</v>
      </c>
    </row>
    <row r="5108" spans="1:19" x14ac:dyDescent="0.25">
      <c r="A5108">
        <v>100605267</v>
      </c>
      <c r="B5108" t="s">
        <v>12782</v>
      </c>
      <c r="C5108" t="s">
        <v>119</v>
      </c>
      <c r="G5108" t="s">
        <v>12783</v>
      </c>
      <c r="H5108" t="s">
        <v>12784</v>
      </c>
      <c r="I5108" t="s">
        <v>62</v>
      </c>
      <c r="J5108">
        <v>73521</v>
      </c>
      <c r="K5108">
        <v>1158</v>
      </c>
      <c r="L5108" t="s">
        <v>23</v>
      </c>
      <c r="M5108" t="s">
        <v>12783</v>
      </c>
      <c r="N5108" t="s">
        <v>12784</v>
      </c>
      <c r="O5108" t="s">
        <v>62</v>
      </c>
      <c r="P5108">
        <v>73521</v>
      </c>
      <c r="Q5108">
        <v>1158</v>
      </c>
      <c r="R5108" t="s">
        <v>23</v>
      </c>
      <c r="S5108" s="1" t="s">
        <v>34218</v>
      </c>
    </row>
    <row r="5109" spans="1:19" x14ac:dyDescent="0.25">
      <c r="A5109">
        <v>100605229</v>
      </c>
      <c r="B5109" t="s">
        <v>12785</v>
      </c>
      <c r="C5109" t="s">
        <v>1588</v>
      </c>
      <c r="G5109" t="s">
        <v>12786</v>
      </c>
      <c r="H5109" t="s">
        <v>3363</v>
      </c>
      <c r="I5109" t="s">
        <v>33</v>
      </c>
      <c r="J5109">
        <v>15228</v>
      </c>
      <c r="K5109">
        <v>1217</v>
      </c>
      <c r="L5109" t="s">
        <v>23</v>
      </c>
      <c r="M5109" t="s">
        <v>12786</v>
      </c>
      <c r="N5109" t="s">
        <v>3363</v>
      </c>
      <c r="O5109" t="s">
        <v>33</v>
      </c>
      <c r="P5109">
        <v>15228</v>
      </c>
      <c r="Q5109">
        <v>1217</v>
      </c>
      <c r="R5109" t="s">
        <v>23</v>
      </c>
      <c r="S5109" s="1" t="s">
        <v>34218</v>
      </c>
    </row>
    <row r="5110" spans="1:19" x14ac:dyDescent="0.25">
      <c r="A5110">
        <v>100603712</v>
      </c>
      <c r="B5110" t="s">
        <v>786</v>
      </c>
      <c r="C5110" t="s">
        <v>432</v>
      </c>
      <c r="G5110" t="s">
        <v>12787</v>
      </c>
      <c r="H5110" t="s">
        <v>3473</v>
      </c>
      <c r="I5110" t="s">
        <v>353</v>
      </c>
      <c r="J5110">
        <v>3102</v>
      </c>
      <c r="K5110">
        <v>1446</v>
      </c>
      <c r="L5110" t="s">
        <v>23</v>
      </c>
      <c r="M5110" t="s">
        <v>12787</v>
      </c>
      <c r="N5110" t="s">
        <v>3473</v>
      </c>
      <c r="O5110" t="s">
        <v>353</v>
      </c>
      <c r="P5110">
        <v>3102</v>
      </c>
      <c r="Q5110">
        <v>1446</v>
      </c>
      <c r="R5110" t="s">
        <v>23</v>
      </c>
      <c r="S5110" s="1" t="s">
        <v>34218</v>
      </c>
    </row>
    <row r="5111" spans="1:19" x14ac:dyDescent="0.25">
      <c r="A5111">
        <v>100607693</v>
      </c>
      <c r="B5111" t="s">
        <v>4966</v>
      </c>
      <c r="C5111" t="s">
        <v>40</v>
      </c>
      <c r="G5111" t="s">
        <v>12788</v>
      </c>
      <c r="H5111" t="s">
        <v>1452</v>
      </c>
      <c r="I5111" t="s">
        <v>43</v>
      </c>
      <c r="J5111">
        <v>97402</v>
      </c>
      <c r="K5111">
        <v>9447</v>
      </c>
      <c r="L5111" t="s">
        <v>23</v>
      </c>
      <c r="M5111" t="s">
        <v>12788</v>
      </c>
      <c r="N5111" t="s">
        <v>1452</v>
      </c>
      <c r="O5111" t="s">
        <v>43</v>
      </c>
      <c r="P5111">
        <v>97402</v>
      </c>
      <c r="Q5111">
        <v>9447</v>
      </c>
      <c r="R5111" t="s">
        <v>23</v>
      </c>
      <c r="S5111" s="1" t="s">
        <v>34218</v>
      </c>
    </row>
    <row r="5112" spans="1:19" x14ac:dyDescent="0.25">
      <c r="A5112">
        <v>100592535</v>
      </c>
      <c r="B5112" t="s">
        <v>12789</v>
      </c>
      <c r="C5112" t="s">
        <v>2010</v>
      </c>
      <c r="G5112" t="s">
        <v>12790</v>
      </c>
      <c r="H5112" t="s">
        <v>4971</v>
      </c>
      <c r="I5112" t="s">
        <v>914</v>
      </c>
      <c r="J5112">
        <v>37840</v>
      </c>
      <c r="K5112">
        <v>2810</v>
      </c>
      <c r="L5112" t="s">
        <v>23</v>
      </c>
      <c r="M5112" t="s">
        <v>12790</v>
      </c>
      <c r="N5112" t="s">
        <v>4971</v>
      </c>
      <c r="O5112" t="s">
        <v>914</v>
      </c>
      <c r="P5112">
        <v>37840</v>
      </c>
      <c r="Q5112">
        <v>2810</v>
      </c>
      <c r="R5112" t="s">
        <v>23</v>
      </c>
      <c r="S5112" s="1" t="s">
        <v>34218</v>
      </c>
    </row>
    <row r="5113" spans="1:19" x14ac:dyDescent="0.25">
      <c r="A5113">
        <v>100607171</v>
      </c>
      <c r="B5113" t="s">
        <v>12791</v>
      </c>
      <c r="C5113" t="s">
        <v>12792</v>
      </c>
      <c r="G5113" t="s">
        <v>12793</v>
      </c>
      <c r="H5113" t="s">
        <v>3847</v>
      </c>
      <c r="I5113" t="s">
        <v>22</v>
      </c>
      <c r="J5113">
        <v>92649</v>
      </c>
      <c r="K5113">
        <v>2363</v>
      </c>
      <c r="L5113" t="s">
        <v>23</v>
      </c>
      <c r="M5113" t="s">
        <v>12793</v>
      </c>
      <c r="N5113" t="s">
        <v>3847</v>
      </c>
      <c r="O5113" t="s">
        <v>22</v>
      </c>
      <c r="P5113">
        <v>92649</v>
      </c>
      <c r="Q5113">
        <v>2363</v>
      </c>
      <c r="R5113" t="s">
        <v>23</v>
      </c>
      <c r="S5113" s="1" t="s">
        <v>34218</v>
      </c>
    </row>
    <row r="5114" spans="1:19" x14ac:dyDescent="0.25">
      <c r="A5114">
        <v>100614417</v>
      </c>
      <c r="B5114" t="s">
        <v>3828</v>
      </c>
      <c r="C5114" t="s">
        <v>208</v>
      </c>
      <c r="G5114" t="s">
        <v>12794</v>
      </c>
      <c r="H5114" t="s">
        <v>2349</v>
      </c>
      <c r="I5114" t="s">
        <v>117</v>
      </c>
      <c r="J5114">
        <v>13778</v>
      </c>
      <c r="K5114">
        <v>1029</v>
      </c>
      <c r="L5114" t="s">
        <v>23</v>
      </c>
      <c r="M5114" t="s">
        <v>12794</v>
      </c>
      <c r="N5114" t="s">
        <v>2349</v>
      </c>
      <c r="O5114" t="s">
        <v>117</v>
      </c>
      <c r="P5114">
        <v>13778</v>
      </c>
      <c r="Q5114">
        <v>1029</v>
      </c>
      <c r="R5114" t="s">
        <v>23</v>
      </c>
      <c r="S5114" s="1" t="s">
        <v>34218</v>
      </c>
    </row>
    <row r="5115" spans="1:19" x14ac:dyDescent="0.25">
      <c r="A5115">
        <v>100609017</v>
      </c>
      <c r="B5115" t="s">
        <v>12795</v>
      </c>
      <c r="C5115" t="s">
        <v>329</v>
      </c>
      <c r="G5115" t="s">
        <v>12796</v>
      </c>
      <c r="H5115" t="s">
        <v>5335</v>
      </c>
      <c r="I5115" t="s">
        <v>446</v>
      </c>
      <c r="J5115">
        <v>28078</v>
      </c>
      <c r="K5115">
        <v>4824</v>
      </c>
      <c r="L5115" t="s">
        <v>23</v>
      </c>
      <c r="M5115" t="s">
        <v>12796</v>
      </c>
      <c r="N5115" t="s">
        <v>5335</v>
      </c>
      <c r="O5115" t="s">
        <v>446</v>
      </c>
      <c r="P5115">
        <v>28078</v>
      </c>
      <c r="Q5115">
        <v>4824</v>
      </c>
      <c r="R5115" t="s">
        <v>23</v>
      </c>
      <c r="S5115" s="1" t="s">
        <v>34218</v>
      </c>
    </row>
    <row r="5116" spans="1:19" x14ac:dyDescent="0.25">
      <c r="A5116">
        <v>100616656</v>
      </c>
      <c r="B5116" t="s">
        <v>12797</v>
      </c>
      <c r="C5116" t="s">
        <v>12798</v>
      </c>
      <c r="G5116" t="s">
        <v>12799</v>
      </c>
      <c r="H5116" t="s">
        <v>11180</v>
      </c>
      <c r="I5116" t="s">
        <v>117</v>
      </c>
      <c r="J5116">
        <v>14127</v>
      </c>
      <c r="K5116">
        <v>3715</v>
      </c>
      <c r="L5116" t="s">
        <v>23</v>
      </c>
      <c r="M5116" t="s">
        <v>12799</v>
      </c>
      <c r="N5116" t="s">
        <v>11180</v>
      </c>
      <c r="O5116" t="s">
        <v>117</v>
      </c>
      <c r="P5116">
        <v>14127</v>
      </c>
      <c r="Q5116">
        <v>3715</v>
      </c>
      <c r="R5116" t="s">
        <v>23</v>
      </c>
      <c r="S5116" s="1" t="s">
        <v>34218</v>
      </c>
    </row>
    <row r="5117" spans="1:19" x14ac:dyDescent="0.25">
      <c r="A5117">
        <v>100612921</v>
      </c>
      <c r="B5117" t="s">
        <v>12800</v>
      </c>
      <c r="C5117" t="s">
        <v>102</v>
      </c>
      <c r="G5117" t="s">
        <v>12801</v>
      </c>
      <c r="H5117" t="s">
        <v>12802</v>
      </c>
      <c r="I5117" t="s">
        <v>178</v>
      </c>
      <c r="J5117">
        <v>45107</v>
      </c>
      <c r="K5117">
        <v>8405</v>
      </c>
      <c r="L5117" t="s">
        <v>23</v>
      </c>
      <c r="M5117" t="s">
        <v>12801</v>
      </c>
      <c r="N5117" t="s">
        <v>12802</v>
      </c>
      <c r="O5117" t="s">
        <v>178</v>
      </c>
      <c r="P5117">
        <v>45107</v>
      </c>
      <c r="Q5117">
        <v>8405</v>
      </c>
      <c r="R5117" t="s">
        <v>23</v>
      </c>
      <c r="S5117" s="1" t="s">
        <v>34218</v>
      </c>
    </row>
    <row r="5118" spans="1:19" x14ac:dyDescent="0.25">
      <c r="A5118">
        <v>100620678</v>
      </c>
      <c r="B5118" t="s">
        <v>1291</v>
      </c>
      <c r="C5118" t="s">
        <v>266</v>
      </c>
      <c r="F5118" t="str">
        <f>"8056821035"</f>
        <v>8056821035</v>
      </c>
      <c r="G5118" t="s">
        <v>12803</v>
      </c>
      <c r="H5118" t="s">
        <v>174</v>
      </c>
      <c r="I5118" t="s">
        <v>22</v>
      </c>
      <c r="J5118">
        <v>93103</v>
      </c>
      <c r="K5118">
        <v>1745</v>
      </c>
      <c r="L5118" t="s">
        <v>23</v>
      </c>
      <c r="M5118" t="s">
        <v>12803</v>
      </c>
      <c r="N5118" t="s">
        <v>174</v>
      </c>
      <c r="O5118" t="s">
        <v>22</v>
      </c>
      <c r="P5118">
        <v>93103</v>
      </c>
      <c r="Q5118">
        <v>1745</v>
      </c>
      <c r="R5118" t="s">
        <v>23</v>
      </c>
      <c r="S5118" s="1" t="s">
        <v>34218</v>
      </c>
    </row>
    <row r="5119" spans="1:19" x14ac:dyDescent="0.25">
      <c r="A5119">
        <v>100621033</v>
      </c>
      <c r="B5119" t="s">
        <v>12804</v>
      </c>
      <c r="C5119" t="s">
        <v>1212</v>
      </c>
      <c r="G5119" t="s">
        <v>12805</v>
      </c>
      <c r="H5119" t="s">
        <v>1439</v>
      </c>
      <c r="I5119" t="s">
        <v>365</v>
      </c>
      <c r="J5119">
        <v>85750</v>
      </c>
      <c r="K5119">
        <v>6351</v>
      </c>
      <c r="L5119" t="s">
        <v>23</v>
      </c>
      <c r="M5119" t="s">
        <v>12805</v>
      </c>
      <c r="N5119" t="s">
        <v>1439</v>
      </c>
      <c r="O5119" t="s">
        <v>365</v>
      </c>
      <c r="P5119">
        <v>85750</v>
      </c>
      <c r="Q5119">
        <v>6351</v>
      </c>
      <c r="R5119" t="s">
        <v>23</v>
      </c>
      <c r="S5119" s="1" t="s">
        <v>34218</v>
      </c>
    </row>
    <row r="5120" spans="1:19" x14ac:dyDescent="0.25">
      <c r="A5120">
        <v>100622690</v>
      </c>
      <c r="B5120" t="s">
        <v>8824</v>
      </c>
      <c r="C5120" t="s">
        <v>77</v>
      </c>
      <c r="G5120" t="s">
        <v>12806</v>
      </c>
      <c r="H5120" t="s">
        <v>1985</v>
      </c>
      <c r="I5120" t="s">
        <v>71</v>
      </c>
      <c r="J5120">
        <v>80921</v>
      </c>
      <c r="K5120">
        <v>7010</v>
      </c>
      <c r="L5120" t="s">
        <v>23</v>
      </c>
      <c r="M5120" t="s">
        <v>12806</v>
      </c>
      <c r="N5120" t="s">
        <v>1985</v>
      </c>
      <c r="O5120" t="s">
        <v>71</v>
      </c>
      <c r="P5120">
        <v>80921</v>
      </c>
      <c r="Q5120">
        <v>7010</v>
      </c>
      <c r="R5120" t="s">
        <v>23</v>
      </c>
      <c r="S5120" s="1" t="s">
        <v>34218</v>
      </c>
    </row>
    <row r="5121" spans="1:19" x14ac:dyDescent="0.25">
      <c r="A5121">
        <v>100624789</v>
      </c>
      <c r="B5121" t="s">
        <v>12807</v>
      </c>
      <c r="C5121" t="s">
        <v>25</v>
      </c>
      <c r="G5121" t="s">
        <v>12808</v>
      </c>
      <c r="H5121" t="s">
        <v>299</v>
      </c>
      <c r="I5121" t="s">
        <v>22</v>
      </c>
      <c r="J5121">
        <v>90046</v>
      </c>
      <c r="K5121">
        <v>6810</v>
      </c>
      <c r="L5121" t="s">
        <v>23</v>
      </c>
      <c r="M5121" t="s">
        <v>12808</v>
      </c>
      <c r="N5121" t="s">
        <v>299</v>
      </c>
      <c r="O5121" t="s">
        <v>22</v>
      </c>
      <c r="P5121">
        <v>90046</v>
      </c>
      <c r="Q5121">
        <v>6810</v>
      </c>
      <c r="R5121" t="s">
        <v>23</v>
      </c>
      <c r="S5121" s="1" t="s">
        <v>34218</v>
      </c>
    </row>
    <row r="5122" spans="1:19" x14ac:dyDescent="0.25">
      <c r="A5122">
        <v>100627384</v>
      </c>
      <c r="B5122" t="s">
        <v>12450</v>
      </c>
      <c r="C5122" t="s">
        <v>12809</v>
      </c>
      <c r="G5122" t="s">
        <v>12451</v>
      </c>
      <c r="H5122" t="s">
        <v>3646</v>
      </c>
      <c r="I5122" t="s">
        <v>22</v>
      </c>
      <c r="J5122">
        <v>96094</v>
      </c>
      <c r="K5122">
        <v>2801</v>
      </c>
      <c r="L5122" t="s">
        <v>23</v>
      </c>
      <c r="M5122" t="s">
        <v>12451</v>
      </c>
      <c r="N5122" t="s">
        <v>3646</v>
      </c>
      <c r="O5122" t="s">
        <v>22</v>
      </c>
      <c r="P5122">
        <v>96094</v>
      </c>
      <c r="Q5122">
        <v>2801</v>
      </c>
      <c r="R5122" t="s">
        <v>23</v>
      </c>
      <c r="S5122" s="1" t="s">
        <v>34218</v>
      </c>
    </row>
    <row r="5123" spans="1:19" x14ac:dyDescent="0.25">
      <c r="A5123">
        <v>100810313</v>
      </c>
      <c r="B5123" t="s">
        <v>12810</v>
      </c>
      <c r="C5123" t="s">
        <v>1036</v>
      </c>
      <c r="F5123" t="str">
        <f>"9494150552"</f>
        <v>9494150552</v>
      </c>
      <c r="G5123" t="s">
        <v>12811</v>
      </c>
      <c r="H5123" t="s">
        <v>434</v>
      </c>
      <c r="I5123" t="s">
        <v>22</v>
      </c>
      <c r="J5123">
        <v>92651</v>
      </c>
      <c r="K5123">
        <v>3816</v>
      </c>
      <c r="L5123" t="s">
        <v>23</v>
      </c>
      <c r="M5123" t="s">
        <v>12811</v>
      </c>
      <c r="N5123" t="s">
        <v>434</v>
      </c>
      <c r="O5123" t="s">
        <v>22</v>
      </c>
      <c r="P5123">
        <v>92651</v>
      </c>
      <c r="Q5123">
        <v>3816</v>
      </c>
      <c r="R5123" t="s">
        <v>23</v>
      </c>
      <c r="S5123" s="1" t="s">
        <v>34218</v>
      </c>
    </row>
    <row r="5124" spans="1:19" x14ac:dyDescent="0.25">
      <c r="A5124">
        <v>101287944</v>
      </c>
      <c r="B5124" t="s">
        <v>11128</v>
      </c>
      <c r="C5124" t="s">
        <v>2417</v>
      </c>
      <c r="G5124">
        <v>7610</v>
      </c>
      <c r="H5124" t="s">
        <v>12812</v>
      </c>
      <c r="I5124" t="s">
        <v>178</v>
      </c>
      <c r="J5124">
        <v>44004</v>
      </c>
      <c r="L5124" t="s">
        <v>23</v>
      </c>
      <c r="M5124">
        <v>7610</v>
      </c>
      <c r="N5124" t="s">
        <v>12812</v>
      </c>
      <c r="O5124" t="s">
        <v>178</v>
      </c>
      <c r="P5124">
        <v>44004</v>
      </c>
      <c r="R5124" t="s">
        <v>23</v>
      </c>
      <c r="S5124" s="1" t="s">
        <v>34218</v>
      </c>
    </row>
    <row r="5125" spans="1:19" x14ac:dyDescent="0.25">
      <c r="A5125">
        <v>100549823</v>
      </c>
      <c r="B5125" t="s">
        <v>12813</v>
      </c>
      <c r="C5125" t="s">
        <v>123</v>
      </c>
      <c r="G5125" t="s">
        <v>12814</v>
      </c>
      <c r="H5125" t="s">
        <v>11588</v>
      </c>
      <c r="I5125" t="s">
        <v>33</v>
      </c>
      <c r="J5125">
        <v>15642</v>
      </c>
      <c r="K5125">
        <v>9131</v>
      </c>
      <c r="L5125" t="s">
        <v>23</v>
      </c>
      <c r="M5125" t="s">
        <v>12814</v>
      </c>
      <c r="N5125" t="s">
        <v>11588</v>
      </c>
      <c r="O5125" t="s">
        <v>33</v>
      </c>
      <c r="P5125">
        <v>15642</v>
      </c>
      <c r="Q5125">
        <v>9131</v>
      </c>
      <c r="R5125" t="s">
        <v>23</v>
      </c>
      <c r="S5125" s="1" t="s">
        <v>34218</v>
      </c>
    </row>
    <row r="5126" spans="1:19" x14ac:dyDescent="0.25">
      <c r="A5126">
        <v>100556411</v>
      </c>
      <c r="B5126" t="s">
        <v>2870</v>
      </c>
      <c r="C5126" t="s">
        <v>641</v>
      </c>
      <c r="G5126" t="s">
        <v>12815</v>
      </c>
      <c r="H5126" t="s">
        <v>1456</v>
      </c>
      <c r="I5126" t="s">
        <v>84</v>
      </c>
      <c r="J5126">
        <v>98011</v>
      </c>
      <c r="K5126">
        <v>2233</v>
      </c>
      <c r="L5126" t="s">
        <v>23</v>
      </c>
      <c r="M5126" t="s">
        <v>12815</v>
      </c>
      <c r="N5126" t="s">
        <v>1456</v>
      </c>
      <c r="O5126" t="s">
        <v>84</v>
      </c>
      <c r="P5126">
        <v>98011</v>
      </c>
      <c r="Q5126">
        <v>2233</v>
      </c>
      <c r="R5126" t="s">
        <v>23</v>
      </c>
      <c r="S5126" s="1" t="s">
        <v>34218</v>
      </c>
    </row>
    <row r="5127" spans="1:19" x14ac:dyDescent="0.25">
      <c r="A5127">
        <v>100556473</v>
      </c>
      <c r="B5127" t="s">
        <v>12816</v>
      </c>
      <c r="C5127" t="s">
        <v>1906</v>
      </c>
      <c r="G5127" t="s">
        <v>12817</v>
      </c>
      <c r="H5127" t="s">
        <v>4235</v>
      </c>
      <c r="I5127" t="s">
        <v>984</v>
      </c>
      <c r="J5127">
        <v>96816</v>
      </c>
      <c r="K5127">
        <v>2109</v>
      </c>
      <c r="L5127" t="s">
        <v>23</v>
      </c>
      <c r="M5127" t="s">
        <v>12817</v>
      </c>
      <c r="N5127" t="s">
        <v>4235</v>
      </c>
      <c r="O5127" t="s">
        <v>984</v>
      </c>
      <c r="P5127">
        <v>96816</v>
      </c>
      <c r="Q5127">
        <v>2109</v>
      </c>
      <c r="R5127" t="s">
        <v>23</v>
      </c>
      <c r="S5127" s="1" t="s">
        <v>34218</v>
      </c>
    </row>
    <row r="5128" spans="1:19" x14ac:dyDescent="0.25">
      <c r="A5128">
        <v>100554419</v>
      </c>
      <c r="B5128" t="s">
        <v>12818</v>
      </c>
      <c r="C5128" t="s">
        <v>158</v>
      </c>
      <c r="G5128" t="s">
        <v>12819</v>
      </c>
      <c r="H5128" t="s">
        <v>12820</v>
      </c>
      <c r="I5128" t="s">
        <v>161</v>
      </c>
      <c r="J5128">
        <v>6830</v>
      </c>
      <c r="K5128">
        <v>5631</v>
      </c>
      <c r="L5128" t="s">
        <v>23</v>
      </c>
      <c r="M5128" t="s">
        <v>12819</v>
      </c>
      <c r="N5128" t="s">
        <v>12820</v>
      </c>
      <c r="O5128" t="s">
        <v>161</v>
      </c>
      <c r="P5128">
        <v>6830</v>
      </c>
      <c r="Q5128">
        <v>5631</v>
      </c>
      <c r="R5128" t="s">
        <v>23</v>
      </c>
      <c r="S5128" s="1" t="s">
        <v>34218</v>
      </c>
    </row>
    <row r="5129" spans="1:19" x14ac:dyDescent="0.25">
      <c r="A5129">
        <v>100557173</v>
      </c>
      <c r="B5129" t="s">
        <v>2151</v>
      </c>
      <c r="C5129" t="s">
        <v>12821</v>
      </c>
      <c r="G5129" t="s">
        <v>12822</v>
      </c>
      <c r="H5129" t="s">
        <v>438</v>
      </c>
      <c r="I5129" t="s">
        <v>71</v>
      </c>
      <c r="J5129">
        <v>80501</v>
      </c>
      <c r="K5129">
        <v>5043</v>
      </c>
      <c r="L5129" t="s">
        <v>23</v>
      </c>
      <c r="M5129" t="s">
        <v>12822</v>
      </c>
      <c r="N5129" t="s">
        <v>438</v>
      </c>
      <c r="O5129" t="s">
        <v>71</v>
      </c>
      <c r="P5129">
        <v>80501</v>
      </c>
      <c r="Q5129">
        <v>5043</v>
      </c>
      <c r="R5129" t="s">
        <v>23</v>
      </c>
      <c r="S5129" s="1" t="s">
        <v>34218</v>
      </c>
    </row>
    <row r="5130" spans="1:19" x14ac:dyDescent="0.25">
      <c r="A5130">
        <v>100565253</v>
      </c>
      <c r="B5130" t="s">
        <v>12823</v>
      </c>
      <c r="C5130" t="s">
        <v>12824</v>
      </c>
      <c r="G5130" t="s">
        <v>12825</v>
      </c>
      <c r="H5130" t="s">
        <v>2859</v>
      </c>
      <c r="I5130" t="s">
        <v>33</v>
      </c>
      <c r="J5130">
        <v>19602</v>
      </c>
      <c r="K5130">
        <v>1251</v>
      </c>
      <c r="L5130" t="s">
        <v>23</v>
      </c>
      <c r="M5130" t="s">
        <v>12825</v>
      </c>
      <c r="N5130" t="s">
        <v>2859</v>
      </c>
      <c r="O5130" t="s">
        <v>33</v>
      </c>
      <c r="P5130">
        <v>19602</v>
      </c>
      <c r="Q5130">
        <v>1251</v>
      </c>
      <c r="R5130" t="s">
        <v>23</v>
      </c>
      <c r="S5130" s="1" t="s">
        <v>34218</v>
      </c>
    </row>
    <row r="5131" spans="1:19" x14ac:dyDescent="0.25">
      <c r="A5131">
        <v>100567365</v>
      </c>
      <c r="B5131" t="s">
        <v>6658</v>
      </c>
      <c r="C5131" t="s">
        <v>102</v>
      </c>
      <c r="F5131" t="str">
        <f>"5414556139"</f>
        <v>5414556139</v>
      </c>
      <c r="G5131" t="s">
        <v>12826</v>
      </c>
      <c r="H5131" t="s">
        <v>177</v>
      </c>
      <c r="I5131" t="s">
        <v>43</v>
      </c>
      <c r="J5131">
        <v>97520</v>
      </c>
      <c r="K5131">
        <v>2336</v>
      </c>
      <c r="L5131" t="s">
        <v>23</v>
      </c>
      <c r="M5131" t="s">
        <v>12826</v>
      </c>
      <c r="N5131" t="s">
        <v>177</v>
      </c>
      <c r="O5131" t="s">
        <v>43</v>
      </c>
      <c r="P5131">
        <v>97520</v>
      </c>
      <c r="Q5131">
        <v>2336</v>
      </c>
      <c r="R5131" t="s">
        <v>23</v>
      </c>
      <c r="S5131" s="1" t="s">
        <v>34218</v>
      </c>
    </row>
    <row r="5132" spans="1:19" x14ac:dyDescent="0.25">
      <c r="A5132">
        <v>100568029</v>
      </c>
      <c r="B5132" t="s">
        <v>12827</v>
      </c>
      <c r="C5132" t="s">
        <v>4184</v>
      </c>
      <c r="G5132" t="s">
        <v>12828</v>
      </c>
      <c r="H5132" t="s">
        <v>10653</v>
      </c>
      <c r="I5132" t="s">
        <v>135</v>
      </c>
      <c r="J5132">
        <v>60091</v>
      </c>
      <c r="K5132">
        <v>2756</v>
      </c>
      <c r="L5132" t="s">
        <v>23</v>
      </c>
      <c r="M5132" t="s">
        <v>12828</v>
      </c>
      <c r="N5132" t="s">
        <v>10653</v>
      </c>
      <c r="O5132" t="s">
        <v>135</v>
      </c>
      <c r="P5132">
        <v>60091</v>
      </c>
      <c r="Q5132">
        <v>2756</v>
      </c>
      <c r="R5132" t="s">
        <v>23</v>
      </c>
      <c r="S5132" s="1" t="s">
        <v>34218</v>
      </c>
    </row>
    <row r="5133" spans="1:19" x14ac:dyDescent="0.25">
      <c r="A5133">
        <v>100570128</v>
      </c>
      <c r="B5133" t="s">
        <v>4139</v>
      </c>
      <c r="C5133" t="s">
        <v>12829</v>
      </c>
      <c r="G5133" t="s">
        <v>12830</v>
      </c>
      <c r="H5133" t="s">
        <v>12831</v>
      </c>
      <c r="I5133" t="s">
        <v>84</v>
      </c>
      <c r="J5133">
        <v>98576</v>
      </c>
      <c r="K5133">
        <v>777</v>
      </c>
      <c r="L5133" t="s">
        <v>23</v>
      </c>
      <c r="M5133" t="s">
        <v>12830</v>
      </c>
      <c r="N5133" t="s">
        <v>12831</v>
      </c>
      <c r="O5133" t="s">
        <v>84</v>
      </c>
      <c r="P5133">
        <v>98576</v>
      </c>
      <c r="Q5133">
        <v>777</v>
      </c>
      <c r="R5133" t="s">
        <v>23</v>
      </c>
      <c r="S5133" s="1" t="s">
        <v>34218</v>
      </c>
    </row>
    <row r="5134" spans="1:19" x14ac:dyDescent="0.25">
      <c r="A5134">
        <v>100761475</v>
      </c>
      <c r="B5134" t="s">
        <v>2080</v>
      </c>
      <c r="C5134" t="s">
        <v>4188</v>
      </c>
      <c r="G5134" t="s">
        <v>12832</v>
      </c>
      <c r="H5134" t="s">
        <v>12833</v>
      </c>
      <c r="I5134" t="s">
        <v>43</v>
      </c>
      <c r="J5134">
        <v>97467</v>
      </c>
      <c r="K5134">
        <v>1115</v>
      </c>
      <c r="L5134" t="s">
        <v>23</v>
      </c>
      <c r="M5134" t="s">
        <v>12832</v>
      </c>
      <c r="N5134" t="s">
        <v>12833</v>
      </c>
      <c r="O5134" t="s">
        <v>43</v>
      </c>
      <c r="P5134">
        <v>97467</v>
      </c>
      <c r="Q5134">
        <v>1115</v>
      </c>
      <c r="R5134" t="s">
        <v>23</v>
      </c>
      <c r="S5134" s="1" t="s">
        <v>34218</v>
      </c>
    </row>
    <row r="5135" spans="1:19" x14ac:dyDescent="0.25">
      <c r="A5135">
        <v>100760672</v>
      </c>
      <c r="B5135" t="s">
        <v>12834</v>
      </c>
      <c r="C5135" t="s">
        <v>81</v>
      </c>
      <c r="G5135" t="s">
        <v>12835</v>
      </c>
      <c r="H5135" t="s">
        <v>4142</v>
      </c>
      <c r="I5135" t="s">
        <v>43</v>
      </c>
      <c r="J5135">
        <v>97027</v>
      </c>
      <c r="K5135">
        <v>1932</v>
      </c>
      <c r="L5135" t="s">
        <v>23</v>
      </c>
      <c r="M5135" t="s">
        <v>12835</v>
      </c>
      <c r="N5135" t="s">
        <v>4142</v>
      </c>
      <c r="O5135" t="s">
        <v>43</v>
      </c>
      <c r="P5135">
        <v>97027</v>
      </c>
      <c r="Q5135">
        <v>1932</v>
      </c>
      <c r="R5135" t="s">
        <v>23</v>
      </c>
      <c r="S5135" s="1" t="s">
        <v>34218</v>
      </c>
    </row>
    <row r="5136" spans="1:19" x14ac:dyDescent="0.25">
      <c r="A5136">
        <v>100764528</v>
      </c>
      <c r="B5136" t="s">
        <v>12836</v>
      </c>
      <c r="C5136" t="s">
        <v>2132</v>
      </c>
      <c r="G5136" t="s">
        <v>12837</v>
      </c>
      <c r="H5136" t="s">
        <v>12838</v>
      </c>
      <c r="I5136" t="s">
        <v>178</v>
      </c>
      <c r="J5136">
        <v>44017</v>
      </c>
      <c r="K5136">
        <v>2561</v>
      </c>
      <c r="L5136" t="s">
        <v>23</v>
      </c>
      <c r="M5136" t="s">
        <v>12837</v>
      </c>
      <c r="N5136" t="s">
        <v>12838</v>
      </c>
      <c r="O5136" t="s">
        <v>178</v>
      </c>
      <c r="P5136">
        <v>44017</v>
      </c>
      <c r="Q5136">
        <v>2561</v>
      </c>
      <c r="R5136" t="s">
        <v>23</v>
      </c>
      <c r="S5136" s="1" t="s">
        <v>34218</v>
      </c>
    </row>
    <row r="5137" spans="1:19" x14ac:dyDescent="0.25">
      <c r="A5137">
        <v>100757803</v>
      </c>
      <c r="B5137" t="s">
        <v>141</v>
      </c>
      <c r="C5137" t="s">
        <v>12839</v>
      </c>
      <c r="G5137" t="s">
        <v>12840</v>
      </c>
      <c r="H5137" t="s">
        <v>6064</v>
      </c>
      <c r="I5137" t="s">
        <v>984</v>
      </c>
      <c r="J5137">
        <v>96746</v>
      </c>
      <c r="K5137">
        <v>8824</v>
      </c>
      <c r="L5137" t="s">
        <v>23</v>
      </c>
      <c r="M5137" t="s">
        <v>12840</v>
      </c>
      <c r="N5137" t="s">
        <v>6064</v>
      </c>
      <c r="O5137" t="s">
        <v>984</v>
      </c>
      <c r="P5137">
        <v>96746</v>
      </c>
      <c r="Q5137">
        <v>8824</v>
      </c>
      <c r="R5137" t="s">
        <v>23</v>
      </c>
      <c r="S5137" s="1" t="s">
        <v>34218</v>
      </c>
    </row>
    <row r="5138" spans="1:19" x14ac:dyDescent="0.25">
      <c r="A5138">
        <v>100765957</v>
      </c>
      <c r="B5138" t="s">
        <v>12841</v>
      </c>
      <c r="C5138" t="s">
        <v>12842</v>
      </c>
      <c r="G5138" t="s">
        <v>12843</v>
      </c>
      <c r="H5138" t="s">
        <v>1096</v>
      </c>
      <c r="I5138" t="s">
        <v>1097</v>
      </c>
      <c r="J5138">
        <v>40205</v>
      </c>
      <c r="K5138">
        <v>2470</v>
      </c>
      <c r="L5138" t="s">
        <v>23</v>
      </c>
      <c r="M5138" t="s">
        <v>12843</v>
      </c>
      <c r="N5138" t="s">
        <v>1096</v>
      </c>
      <c r="O5138" t="s">
        <v>1097</v>
      </c>
      <c r="P5138">
        <v>40205</v>
      </c>
      <c r="Q5138">
        <v>2470</v>
      </c>
      <c r="R5138" t="s">
        <v>23</v>
      </c>
      <c r="S5138" s="1" t="s">
        <v>34218</v>
      </c>
    </row>
    <row r="5139" spans="1:19" x14ac:dyDescent="0.25">
      <c r="A5139">
        <v>100772231</v>
      </c>
      <c r="B5139" t="s">
        <v>3650</v>
      </c>
      <c r="C5139" t="s">
        <v>498</v>
      </c>
      <c r="G5139" t="s">
        <v>12844</v>
      </c>
      <c r="H5139" t="s">
        <v>1765</v>
      </c>
      <c r="I5139" t="s">
        <v>84</v>
      </c>
      <c r="J5139">
        <v>98516</v>
      </c>
      <c r="K5139">
        <v>1408</v>
      </c>
      <c r="L5139" t="s">
        <v>23</v>
      </c>
      <c r="M5139" t="s">
        <v>12844</v>
      </c>
      <c r="N5139" t="s">
        <v>1765</v>
      </c>
      <c r="O5139" t="s">
        <v>84</v>
      </c>
      <c r="P5139">
        <v>98516</v>
      </c>
      <c r="Q5139">
        <v>1408</v>
      </c>
      <c r="R5139" t="s">
        <v>23</v>
      </c>
      <c r="S5139" s="1" t="s">
        <v>34218</v>
      </c>
    </row>
    <row r="5140" spans="1:19" x14ac:dyDescent="0.25">
      <c r="A5140">
        <v>100771316</v>
      </c>
      <c r="B5140" t="s">
        <v>12845</v>
      </c>
      <c r="C5140" t="s">
        <v>12846</v>
      </c>
      <c r="G5140" t="s">
        <v>12847</v>
      </c>
      <c r="H5140" t="s">
        <v>1803</v>
      </c>
      <c r="I5140" t="s">
        <v>135</v>
      </c>
      <c r="J5140">
        <v>60124</v>
      </c>
      <c r="K5140">
        <v>8326</v>
      </c>
      <c r="L5140" t="s">
        <v>23</v>
      </c>
      <c r="M5140" t="s">
        <v>12847</v>
      </c>
      <c r="N5140" t="s">
        <v>1803</v>
      </c>
      <c r="O5140" t="s">
        <v>135</v>
      </c>
      <c r="P5140">
        <v>60124</v>
      </c>
      <c r="Q5140">
        <v>8326</v>
      </c>
      <c r="R5140" t="s">
        <v>23</v>
      </c>
      <c r="S5140" s="1" t="s">
        <v>34218</v>
      </c>
    </row>
    <row r="5141" spans="1:19" x14ac:dyDescent="0.25">
      <c r="A5141">
        <v>100771366</v>
      </c>
      <c r="B5141" t="s">
        <v>12848</v>
      </c>
      <c r="C5141" t="s">
        <v>30</v>
      </c>
      <c r="G5141" t="s">
        <v>12849</v>
      </c>
      <c r="H5141" t="s">
        <v>12850</v>
      </c>
      <c r="I5141" t="s">
        <v>191</v>
      </c>
      <c r="J5141">
        <v>4988</v>
      </c>
      <c r="K5141">
        <v>3414</v>
      </c>
      <c r="L5141" t="s">
        <v>23</v>
      </c>
      <c r="M5141" t="s">
        <v>12849</v>
      </c>
      <c r="N5141" t="s">
        <v>12850</v>
      </c>
      <c r="O5141" t="s">
        <v>191</v>
      </c>
      <c r="P5141">
        <v>4988</v>
      </c>
      <c r="Q5141">
        <v>3414</v>
      </c>
      <c r="R5141" t="s">
        <v>23</v>
      </c>
      <c r="S5141" s="1" t="s">
        <v>34218</v>
      </c>
    </row>
    <row r="5142" spans="1:19" x14ac:dyDescent="0.25">
      <c r="A5142">
        <v>100771685</v>
      </c>
      <c r="B5142" t="s">
        <v>320</v>
      </c>
      <c r="C5142" t="s">
        <v>12851</v>
      </c>
      <c r="F5142" t="str">
        <f>"8314381036"</f>
        <v>8314381036</v>
      </c>
      <c r="G5142" t="s">
        <v>12852</v>
      </c>
      <c r="H5142" t="s">
        <v>1207</v>
      </c>
      <c r="I5142" t="s">
        <v>22</v>
      </c>
      <c r="J5142">
        <v>95066</v>
      </c>
      <c r="K5142">
        <v>2645</v>
      </c>
      <c r="L5142" t="s">
        <v>23</v>
      </c>
      <c r="M5142" t="s">
        <v>12852</v>
      </c>
      <c r="N5142" t="s">
        <v>1207</v>
      </c>
      <c r="O5142" t="s">
        <v>22</v>
      </c>
      <c r="P5142">
        <v>95066</v>
      </c>
      <c r="Q5142">
        <v>2645</v>
      </c>
      <c r="R5142" t="s">
        <v>23</v>
      </c>
      <c r="S5142" s="1" t="s">
        <v>34218</v>
      </c>
    </row>
    <row r="5143" spans="1:19" x14ac:dyDescent="0.25">
      <c r="A5143">
        <v>100778887</v>
      </c>
      <c r="B5143" t="s">
        <v>12853</v>
      </c>
      <c r="C5143" t="s">
        <v>12854</v>
      </c>
      <c r="G5143" t="s">
        <v>12855</v>
      </c>
      <c r="H5143" t="s">
        <v>3056</v>
      </c>
      <c r="I5143" t="s">
        <v>662</v>
      </c>
      <c r="J5143">
        <v>2879</v>
      </c>
      <c r="K5143">
        <v>8261</v>
      </c>
      <c r="L5143" t="s">
        <v>23</v>
      </c>
      <c r="M5143" t="s">
        <v>12855</v>
      </c>
      <c r="N5143" t="s">
        <v>3056</v>
      </c>
      <c r="O5143" t="s">
        <v>662</v>
      </c>
      <c r="P5143">
        <v>2879</v>
      </c>
      <c r="Q5143">
        <v>8261</v>
      </c>
      <c r="R5143" t="s">
        <v>23</v>
      </c>
      <c r="S5143" s="1" t="s">
        <v>34218</v>
      </c>
    </row>
    <row r="5144" spans="1:19" x14ac:dyDescent="0.25">
      <c r="A5144">
        <v>100783194</v>
      </c>
      <c r="B5144" t="s">
        <v>12856</v>
      </c>
      <c r="C5144" t="s">
        <v>5868</v>
      </c>
      <c r="G5144" t="s">
        <v>12857</v>
      </c>
      <c r="H5144" t="s">
        <v>125</v>
      </c>
      <c r="I5144" t="s">
        <v>126</v>
      </c>
      <c r="J5144">
        <v>63118</v>
      </c>
      <c r="K5144">
        <v>2412</v>
      </c>
      <c r="L5144" t="s">
        <v>23</v>
      </c>
      <c r="M5144" t="s">
        <v>12857</v>
      </c>
      <c r="N5144" t="s">
        <v>125</v>
      </c>
      <c r="O5144" t="s">
        <v>126</v>
      </c>
      <c r="P5144">
        <v>63118</v>
      </c>
      <c r="Q5144">
        <v>2412</v>
      </c>
      <c r="R5144" t="s">
        <v>23</v>
      </c>
      <c r="S5144" s="1" t="s">
        <v>34218</v>
      </c>
    </row>
    <row r="5145" spans="1:19" x14ac:dyDescent="0.25">
      <c r="A5145">
        <v>100778656</v>
      </c>
      <c r="B5145" t="s">
        <v>7463</v>
      </c>
      <c r="C5145" t="s">
        <v>1331</v>
      </c>
      <c r="G5145" t="s">
        <v>12858</v>
      </c>
      <c r="H5145" t="s">
        <v>8665</v>
      </c>
      <c r="I5145" t="s">
        <v>22</v>
      </c>
      <c r="J5145">
        <v>90069</v>
      </c>
      <c r="K5145">
        <v>2703</v>
      </c>
      <c r="L5145" t="s">
        <v>23</v>
      </c>
      <c r="M5145" t="s">
        <v>12858</v>
      </c>
      <c r="N5145" t="s">
        <v>8665</v>
      </c>
      <c r="O5145" t="s">
        <v>22</v>
      </c>
      <c r="P5145">
        <v>90069</v>
      </c>
      <c r="Q5145">
        <v>2703</v>
      </c>
      <c r="R5145" t="s">
        <v>23</v>
      </c>
      <c r="S5145" s="1" t="s">
        <v>34218</v>
      </c>
    </row>
    <row r="5146" spans="1:19" x14ac:dyDescent="0.25">
      <c r="A5146">
        <v>100778499</v>
      </c>
      <c r="B5146" t="s">
        <v>5434</v>
      </c>
      <c r="C5146" t="s">
        <v>102</v>
      </c>
      <c r="G5146" t="s">
        <v>12859</v>
      </c>
      <c r="H5146" t="s">
        <v>4033</v>
      </c>
      <c r="I5146" t="s">
        <v>250</v>
      </c>
      <c r="J5146">
        <v>8818</v>
      </c>
      <c r="K5146">
        <v>706</v>
      </c>
      <c r="L5146" t="s">
        <v>23</v>
      </c>
      <c r="M5146" t="s">
        <v>12859</v>
      </c>
      <c r="N5146" t="s">
        <v>4033</v>
      </c>
      <c r="O5146" t="s">
        <v>250</v>
      </c>
      <c r="P5146">
        <v>8818</v>
      </c>
      <c r="Q5146">
        <v>706</v>
      </c>
      <c r="R5146" t="s">
        <v>23</v>
      </c>
      <c r="S5146" s="1" t="s">
        <v>34218</v>
      </c>
    </row>
    <row r="5147" spans="1:19" x14ac:dyDescent="0.25">
      <c r="A5147">
        <v>100783343</v>
      </c>
      <c r="B5147" t="s">
        <v>12860</v>
      </c>
      <c r="C5147" t="s">
        <v>7058</v>
      </c>
      <c r="G5147" t="s">
        <v>12861</v>
      </c>
      <c r="H5147" t="s">
        <v>130</v>
      </c>
      <c r="I5147" t="s">
        <v>22</v>
      </c>
      <c r="J5147">
        <v>94131</v>
      </c>
      <c r="K5147">
        <v>2221</v>
      </c>
      <c r="L5147" t="s">
        <v>23</v>
      </c>
      <c r="M5147" t="s">
        <v>12861</v>
      </c>
      <c r="N5147" t="s">
        <v>130</v>
      </c>
      <c r="O5147" t="s">
        <v>22</v>
      </c>
      <c r="P5147">
        <v>94131</v>
      </c>
      <c r="Q5147">
        <v>2221</v>
      </c>
      <c r="R5147" t="s">
        <v>23</v>
      </c>
      <c r="S5147" s="1" t="s">
        <v>34218</v>
      </c>
    </row>
    <row r="5148" spans="1:19" x14ac:dyDescent="0.25">
      <c r="A5148">
        <v>100783473</v>
      </c>
      <c r="B5148" t="s">
        <v>12862</v>
      </c>
      <c r="C5148" t="s">
        <v>1933</v>
      </c>
      <c r="F5148" t="str">
        <f>"6036423118"</f>
        <v>6036423118</v>
      </c>
      <c r="G5148" t="s">
        <v>12863</v>
      </c>
      <c r="H5148" t="s">
        <v>3449</v>
      </c>
      <c r="I5148" t="s">
        <v>353</v>
      </c>
      <c r="J5148">
        <v>3848</v>
      </c>
      <c r="K5148">
        <v>3031</v>
      </c>
      <c r="L5148" t="s">
        <v>23</v>
      </c>
      <c r="M5148" t="s">
        <v>12863</v>
      </c>
      <c r="N5148" t="s">
        <v>3449</v>
      </c>
      <c r="O5148" t="s">
        <v>353</v>
      </c>
      <c r="P5148">
        <v>3848</v>
      </c>
      <c r="Q5148">
        <v>3031</v>
      </c>
      <c r="R5148" t="s">
        <v>23</v>
      </c>
      <c r="S5148" s="1" t="s">
        <v>34218</v>
      </c>
    </row>
    <row r="5149" spans="1:19" x14ac:dyDescent="0.25">
      <c r="A5149">
        <v>100788183</v>
      </c>
      <c r="B5149" t="s">
        <v>12864</v>
      </c>
      <c r="C5149" t="s">
        <v>286</v>
      </c>
      <c r="G5149" t="s">
        <v>12865</v>
      </c>
      <c r="H5149" t="s">
        <v>869</v>
      </c>
      <c r="I5149" t="s">
        <v>52</v>
      </c>
      <c r="J5149">
        <v>33125</v>
      </c>
      <c r="K5149">
        <v>1072</v>
      </c>
      <c r="L5149" t="s">
        <v>23</v>
      </c>
      <c r="M5149" t="s">
        <v>12865</v>
      </c>
      <c r="N5149" t="s">
        <v>869</v>
      </c>
      <c r="O5149" t="s">
        <v>52</v>
      </c>
      <c r="P5149">
        <v>33125</v>
      </c>
      <c r="Q5149">
        <v>1072</v>
      </c>
      <c r="R5149" t="s">
        <v>23</v>
      </c>
      <c r="S5149" s="1" t="s">
        <v>34218</v>
      </c>
    </row>
    <row r="5150" spans="1:19" x14ac:dyDescent="0.25">
      <c r="A5150">
        <v>100966478</v>
      </c>
      <c r="B5150" t="s">
        <v>12866</v>
      </c>
      <c r="C5150" t="s">
        <v>5787</v>
      </c>
      <c r="G5150" t="s">
        <v>12867</v>
      </c>
      <c r="H5150" t="s">
        <v>6192</v>
      </c>
      <c r="I5150" t="s">
        <v>117</v>
      </c>
      <c r="J5150">
        <v>11355</v>
      </c>
      <c r="K5150">
        <v>1541</v>
      </c>
      <c r="L5150" t="s">
        <v>23</v>
      </c>
      <c r="M5150" t="s">
        <v>12867</v>
      </c>
      <c r="N5150" t="s">
        <v>6192</v>
      </c>
      <c r="O5150" t="s">
        <v>117</v>
      </c>
      <c r="P5150">
        <v>11355</v>
      </c>
      <c r="Q5150">
        <v>1541</v>
      </c>
      <c r="R5150" t="s">
        <v>23</v>
      </c>
      <c r="S5150" s="1" t="s">
        <v>34218</v>
      </c>
    </row>
    <row r="5151" spans="1:19" x14ac:dyDescent="0.25">
      <c r="A5151">
        <v>100964777</v>
      </c>
      <c r="B5151" t="s">
        <v>2130</v>
      </c>
      <c r="C5151" t="s">
        <v>1616</v>
      </c>
      <c r="G5151" t="s">
        <v>12868</v>
      </c>
      <c r="H5151" t="s">
        <v>11550</v>
      </c>
      <c r="I5151" t="s">
        <v>52</v>
      </c>
      <c r="J5151">
        <v>33469</v>
      </c>
      <c r="K5151">
        <v>2590</v>
      </c>
      <c r="L5151" t="s">
        <v>23</v>
      </c>
      <c r="M5151" t="s">
        <v>12868</v>
      </c>
      <c r="N5151" t="s">
        <v>11550</v>
      </c>
      <c r="O5151" t="s">
        <v>52</v>
      </c>
      <c r="P5151">
        <v>33469</v>
      </c>
      <c r="Q5151">
        <v>2590</v>
      </c>
      <c r="R5151" t="s">
        <v>23</v>
      </c>
      <c r="S5151" s="1" t="s">
        <v>34218</v>
      </c>
    </row>
    <row r="5152" spans="1:19" x14ac:dyDescent="0.25">
      <c r="A5152">
        <v>100968639</v>
      </c>
      <c r="B5152" t="s">
        <v>3123</v>
      </c>
      <c r="C5152" t="s">
        <v>390</v>
      </c>
      <c r="G5152" t="s">
        <v>12869</v>
      </c>
      <c r="H5152" t="s">
        <v>4856</v>
      </c>
      <c r="I5152" t="s">
        <v>22</v>
      </c>
      <c r="J5152">
        <v>92065</v>
      </c>
      <c r="K5152">
        <v>6813</v>
      </c>
      <c r="L5152" t="s">
        <v>23</v>
      </c>
      <c r="M5152" t="s">
        <v>12869</v>
      </c>
      <c r="N5152" t="s">
        <v>4856</v>
      </c>
      <c r="O5152" t="s">
        <v>22</v>
      </c>
      <c r="P5152">
        <v>92065</v>
      </c>
      <c r="Q5152">
        <v>6813</v>
      </c>
      <c r="R5152" t="s">
        <v>23</v>
      </c>
      <c r="S5152" s="1" t="s">
        <v>34218</v>
      </c>
    </row>
    <row r="5153" spans="1:19" x14ac:dyDescent="0.25">
      <c r="A5153">
        <v>100964748</v>
      </c>
      <c r="B5153" t="s">
        <v>12870</v>
      </c>
      <c r="C5153" t="s">
        <v>3954</v>
      </c>
      <c r="G5153" t="s">
        <v>12871</v>
      </c>
      <c r="H5153" t="s">
        <v>1787</v>
      </c>
      <c r="I5153" t="s">
        <v>702</v>
      </c>
      <c r="J5153">
        <v>89103</v>
      </c>
      <c r="K5153">
        <v>2221</v>
      </c>
      <c r="L5153" t="s">
        <v>23</v>
      </c>
      <c r="M5153" t="s">
        <v>12871</v>
      </c>
      <c r="N5153" t="s">
        <v>1787</v>
      </c>
      <c r="O5153" t="s">
        <v>702</v>
      </c>
      <c r="P5153">
        <v>89103</v>
      </c>
      <c r="Q5153">
        <v>2221</v>
      </c>
      <c r="R5153" t="s">
        <v>23</v>
      </c>
      <c r="S5153" s="1" t="s">
        <v>34218</v>
      </c>
    </row>
    <row r="5154" spans="1:19" x14ac:dyDescent="0.25">
      <c r="A5154">
        <v>100968752</v>
      </c>
      <c r="B5154" t="s">
        <v>1171</v>
      </c>
      <c r="C5154" t="s">
        <v>1153</v>
      </c>
      <c r="G5154" t="s">
        <v>12872</v>
      </c>
      <c r="H5154" t="s">
        <v>9778</v>
      </c>
      <c r="I5154" t="s">
        <v>22</v>
      </c>
      <c r="J5154">
        <v>95560</v>
      </c>
      <c r="K5154">
        <v>9709</v>
      </c>
      <c r="L5154" t="s">
        <v>23</v>
      </c>
      <c r="M5154" t="s">
        <v>12872</v>
      </c>
      <c r="N5154" t="s">
        <v>9778</v>
      </c>
      <c r="O5154" t="s">
        <v>22</v>
      </c>
      <c r="P5154">
        <v>95560</v>
      </c>
      <c r="Q5154">
        <v>9709</v>
      </c>
      <c r="R5154" t="s">
        <v>23</v>
      </c>
      <c r="S5154" s="1" t="s">
        <v>34218</v>
      </c>
    </row>
    <row r="5155" spans="1:19" x14ac:dyDescent="0.25">
      <c r="A5155">
        <v>101381619</v>
      </c>
      <c r="B5155" t="s">
        <v>12873</v>
      </c>
      <c r="C5155" t="s">
        <v>1157</v>
      </c>
      <c r="G5155" t="s">
        <v>12874</v>
      </c>
      <c r="H5155" t="s">
        <v>653</v>
      </c>
      <c r="I5155" t="s">
        <v>117</v>
      </c>
      <c r="J5155">
        <v>10028</v>
      </c>
      <c r="K5155">
        <v>1130</v>
      </c>
      <c r="L5155" t="s">
        <v>23</v>
      </c>
      <c r="M5155" t="s">
        <v>12874</v>
      </c>
      <c r="N5155" t="s">
        <v>653</v>
      </c>
      <c r="O5155" t="s">
        <v>117</v>
      </c>
      <c r="P5155">
        <v>10028</v>
      </c>
      <c r="Q5155">
        <v>1130</v>
      </c>
      <c r="R5155" t="s">
        <v>23</v>
      </c>
      <c r="S5155" s="1" t="s">
        <v>34218</v>
      </c>
    </row>
    <row r="5156" spans="1:19" x14ac:dyDescent="0.25">
      <c r="A5156">
        <v>101286863</v>
      </c>
      <c r="B5156" t="s">
        <v>11893</v>
      </c>
      <c r="C5156" t="s">
        <v>7615</v>
      </c>
      <c r="G5156" t="s">
        <v>12875</v>
      </c>
      <c r="H5156" t="s">
        <v>11343</v>
      </c>
      <c r="I5156" t="s">
        <v>662</v>
      </c>
      <c r="J5156">
        <v>2889</v>
      </c>
      <c r="K5156">
        <v>2641</v>
      </c>
      <c r="L5156" t="s">
        <v>23</v>
      </c>
      <c r="M5156" t="s">
        <v>12875</v>
      </c>
      <c r="N5156" t="s">
        <v>11343</v>
      </c>
      <c r="O5156" t="s">
        <v>662</v>
      </c>
      <c r="P5156">
        <v>2889</v>
      </c>
      <c r="Q5156">
        <v>2641</v>
      </c>
      <c r="R5156" t="s">
        <v>23</v>
      </c>
      <c r="S5156" s="1" t="s">
        <v>34218</v>
      </c>
    </row>
    <row r="5157" spans="1:19" x14ac:dyDescent="0.25">
      <c r="A5157">
        <v>101431386</v>
      </c>
      <c r="B5157" t="s">
        <v>37</v>
      </c>
      <c r="C5157" t="s">
        <v>12876</v>
      </c>
      <c r="G5157" t="s">
        <v>12877</v>
      </c>
      <c r="H5157" t="s">
        <v>1217</v>
      </c>
      <c r="I5157" t="s">
        <v>332</v>
      </c>
      <c r="J5157">
        <v>84401</v>
      </c>
      <c r="K5157">
        <v>3666</v>
      </c>
      <c r="L5157" t="s">
        <v>23</v>
      </c>
      <c r="M5157" t="s">
        <v>12877</v>
      </c>
      <c r="N5157" t="s">
        <v>1217</v>
      </c>
      <c r="O5157" t="s">
        <v>332</v>
      </c>
      <c r="P5157">
        <v>84401</v>
      </c>
      <c r="Q5157">
        <v>3666</v>
      </c>
      <c r="R5157" t="s">
        <v>23</v>
      </c>
      <c r="S5157" s="1" t="s">
        <v>34218</v>
      </c>
    </row>
    <row r="5158" spans="1:19" x14ac:dyDescent="0.25">
      <c r="A5158">
        <v>100899421</v>
      </c>
      <c r="B5158" t="s">
        <v>3159</v>
      </c>
      <c r="C5158" t="s">
        <v>1746</v>
      </c>
      <c r="G5158" t="s">
        <v>12878</v>
      </c>
      <c r="H5158" t="s">
        <v>7002</v>
      </c>
      <c r="I5158" t="s">
        <v>117</v>
      </c>
      <c r="J5158">
        <v>11743</v>
      </c>
      <c r="K5158">
        <v>2769</v>
      </c>
      <c r="L5158" t="s">
        <v>23</v>
      </c>
      <c r="M5158" t="s">
        <v>12878</v>
      </c>
      <c r="N5158" t="s">
        <v>7002</v>
      </c>
      <c r="O5158" t="s">
        <v>117</v>
      </c>
      <c r="P5158">
        <v>11743</v>
      </c>
      <c r="Q5158">
        <v>2769</v>
      </c>
      <c r="R5158" t="s">
        <v>23</v>
      </c>
      <c r="S5158" s="1" t="s">
        <v>34218</v>
      </c>
    </row>
    <row r="5159" spans="1:19" x14ac:dyDescent="0.25">
      <c r="A5159">
        <v>100660942</v>
      </c>
      <c r="B5159" t="s">
        <v>10785</v>
      </c>
      <c r="C5159" t="s">
        <v>12879</v>
      </c>
      <c r="G5159" t="s">
        <v>12880</v>
      </c>
      <c r="H5159" t="s">
        <v>638</v>
      </c>
      <c r="I5159" t="s">
        <v>639</v>
      </c>
      <c r="J5159">
        <v>87113</v>
      </c>
      <c r="K5159">
        <v>2229</v>
      </c>
      <c r="L5159" t="s">
        <v>23</v>
      </c>
      <c r="M5159" t="s">
        <v>12880</v>
      </c>
      <c r="N5159" t="s">
        <v>638</v>
      </c>
      <c r="O5159" t="s">
        <v>639</v>
      </c>
      <c r="P5159">
        <v>87113</v>
      </c>
      <c r="Q5159">
        <v>2229</v>
      </c>
      <c r="R5159" t="s">
        <v>23</v>
      </c>
      <c r="S5159" s="1" t="s">
        <v>34218</v>
      </c>
    </row>
    <row r="5160" spans="1:19" x14ac:dyDescent="0.25">
      <c r="A5160">
        <v>100662422</v>
      </c>
      <c r="B5160" t="s">
        <v>12881</v>
      </c>
      <c r="C5160" t="s">
        <v>12882</v>
      </c>
      <c r="G5160" t="s">
        <v>12883</v>
      </c>
      <c r="H5160" t="s">
        <v>3071</v>
      </c>
      <c r="I5160" t="s">
        <v>148</v>
      </c>
      <c r="J5160">
        <v>21244</v>
      </c>
      <c r="K5160">
        <v>1477</v>
      </c>
      <c r="L5160" t="s">
        <v>23</v>
      </c>
      <c r="M5160" t="s">
        <v>12883</v>
      </c>
      <c r="N5160" t="s">
        <v>3071</v>
      </c>
      <c r="O5160" t="s">
        <v>148</v>
      </c>
      <c r="P5160">
        <v>21244</v>
      </c>
      <c r="Q5160">
        <v>1477</v>
      </c>
      <c r="R5160" t="s">
        <v>23</v>
      </c>
      <c r="S5160" s="1" t="s">
        <v>34218</v>
      </c>
    </row>
    <row r="5161" spans="1:19" x14ac:dyDescent="0.25">
      <c r="A5161">
        <v>100666213</v>
      </c>
      <c r="B5161" t="s">
        <v>12884</v>
      </c>
      <c r="C5161" t="s">
        <v>1161</v>
      </c>
      <c r="G5161" t="s">
        <v>12885</v>
      </c>
      <c r="H5161" t="s">
        <v>88</v>
      </c>
      <c r="I5161" t="s">
        <v>22</v>
      </c>
      <c r="J5161">
        <v>94610</v>
      </c>
      <c r="K5161">
        <v>1922</v>
      </c>
      <c r="L5161" t="s">
        <v>23</v>
      </c>
      <c r="M5161" t="s">
        <v>12885</v>
      </c>
      <c r="N5161" t="s">
        <v>88</v>
      </c>
      <c r="O5161" t="s">
        <v>22</v>
      </c>
      <c r="P5161">
        <v>94610</v>
      </c>
      <c r="Q5161">
        <v>1922</v>
      </c>
      <c r="R5161" t="s">
        <v>23</v>
      </c>
      <c r="S5161" s="1" t="s">
        <v>34218</v>
      </c>
    </row>
    <row r="5162" spans="1:19" x14ac:dyDescent="0.25">
      <c r="A5162">
        <v>100667841</v>
      </c>
      <c r="B5162" t="s">
        <v>12886</v>
      </c>
      <c r="C5162" t="s">
        <v>505</v>
      </c>
      <c r="G5162" t="s">
        <v>12887</v>
      </c>
      <c r="H5162" t="s">
        <v>12888</v>
      </c>
      <c r="I5162" t="s">
        <v>250</v>
      </c>
      <c r="J5162">
        <v>8836</v>
      </c>
      <c r="K5162">
        <v>2262</v>
      </c>
      <c r="L5162" t="s">
        <v>23</v>
      </c>
      <c r="M5162" t="s">
        <v>12887</v>
      </c>
      <c r="N5162" t="s">
        <v>12888</v>
      </c>
      <c r="O5162" t="s">
        <v>250</v>
      </c>
      <c r="P5162">
        <v>8836</v>
      </c>
      <c r="Q5162">
        <v>2262</v>
      </c>
      <c r="R5162" t="s">
        <v>23</v>
      </c>
      <c r="S5162" s="1" t="s">
        <v>34218</v>
      </c>
    </row>
    <row r="5163" spans="1:19" x14ac:dyDescent="0.25">
      <c r="A5163">
        <v>100666522</v>
      </c>
      <c r="B5163" t="s">
        <v>12889</v>
      </c>
      <c r="C5163" t="s">
        <v>7584</v>
      </c>
      <c r="G5163" t="s">
        <v>12890</v>
      </c>
      <c r="H5163" t="s">
        <v>8491</v>
      </c>
      <c r="I5163" t="s">
        <v>52</v>
      </c>
      <c r="J5163">
        <v>34986</v>
      </c>
      <c r="K5163">
        <v>3119</v>
      </c>
      <c r="L5163" t="s">
        <v>23</v>
      </c>
      <c r="M5163" t="s">
        <v>12890</v>
      </c>
      <c r="N5163" t="s">
        <v>8491</v>
      </c>
      <c r="O5163" t="s">
        <v>52</v>
      </c>
      <c r="P5163">
        <v>34986</v>
      </c>
      <c r="Q5163">
        <v>3119</v>
      </c>
      <c r="R5163" t="s">
        <v>23</v>
      </c>
      <c r="S5163" s="1" t="s">
        <v>34218</v>
      </c>
    </row>
    <row r="5164" spans="1:19" x14ac:dyDescent="0.25">
      <c r="A5164">
        <v>100674334</v>
      </c>
      <c r="B5164" t="s">
        <v>12891</v>
      </c>
      <c r="C5164" t="s">
        <v>3171</v>
      </c>
      <c r="G5164" t="s">
        <v>12892</v>
      </c>
      <c r="H5164" t="s">
        <v>1287</v>
      </c>
      <c r="I5164" t="s">
        <v>22</v>
      </c>
      <c r="J5164">
        <v>94062</v>
      </c>
      <c r="K5164">
        <v>3519</v>
      </c>
      <c r="L5164" t="s">
        <v>23</v>
      </c>
      <c r="M5164" t="s">
        <v>12892</v>
      </c>
      <c r="N5164" t="s">
        <v>1287</v>
      </c>
      <c r="O5164" t="s">
        <v>22</v>
      </c>
      <c r="P5164">
        <v>94062</v>
      </c>
      <c r="Q5164">
        <v>3519</v>
      </c>
      <c r="R5164" t="s">
        <v>23</v>
      </c>
      <c r="S5164" s="1" t="s">
        <v>34218</v>
      </c>
    </row>
    <row r="5165" spans="1:19" x14ac:dyDescent="0.25">
      <c r="A5165">
        <v>100675198</v>
      </c>
      <c r="B5165" t="s">
        <v>12893</v>
      </c>
      <c r="C5165" t="s">
        <v>12894</v>
      </c>
      <c r="G5165" t="s">
        <v>12895</v>
      </c>
      <c r="H5165" t="s">
        <v>139</v>
      </c>
      <c r="I5165" t="s">
        <v>446</v>
      </c>
      <c r="J5165">
        <v>28716</v>
      </c>
      <c r="K5165">
        <v>4005</v>
      </c>
      <c r="L5165" t="s">
        <v>23</v>
      </c>
      <c r="M5165" t="s">
        <v>12895</v>
      </c>
      <c r="N5165" t="s">
        <v>139</v>
      </c>
      <c r="O5165" t="s">
        <v>446</v>
      </c>
      <c r="P5165">
        <v>28716</v>
      </c>
      <c r="Q5165">
        <v>4005</v>
      </c>
      <c r="R5165" t="s">
        <v>23</v>
      </c>
      <c r="S5165" s="1" t="s">
        <v>34218</v>
      </c>
    </row>
    <row r="5166" spans="1:19" x14ac:dyDescent="0.25">
      <c r="A5166">
        <v>100679690</v>
      </c>
      <c r="B5166" t="s">
        <v>12896</v>
      </c>
      <c r="C5166" t="s">
        <v>1422</v>
      </c>
      <c r="G5166" t="s">
        <v>12897</v>
      </c>
      <c r="H5166" t="s">
        <v>2132</v>
      </c>
      <c r="I5166" t="s">
        <v>662</v>
      </c>
      <c r="J5166">
        <v>2885</v>
      </c>
      <c r="K5166">
        <v>2212</v>
      </c>
      <c r="L5166" t="s">
        <v>23</v>
      </c>
      <c r="M5166" t="s">
        <v>12897</v>
      </c>
      <c r="N5166" t="s">
        <v>2132</v>
      </c>
      <c r="O5166" t="s">
        <v>662</v>
      </c>
      <c r="P5166">
        <v>2885</v>
      </c>
      <c r="Q5166">
        <v>2212</v>
      </c>
      <c r="R5166" t="s">
        <v>23</v>
      </c>
      <c r="S5166" s="1" t="s">
        <v>34218</v>
      </c>
    </row>
    <row r="5167" spans="1:19" x14ac:dyDescent="0.25">
      <c r="A5167">
        <v>100683612</v>
      </c>
      <c r="B5167" t="s">
        <v>12898</v>
      </c>
      <c r="C5167" t="s">
        <v>2642</v>
      </c>
      <c r="F5167" t="str">
        <f>"9706690819"</f>
        <v>9706690819</v>
      </c>
      <c r="G5167" t="s">
        <v>12899</v>
      </c>
      <c r="H5167" t="s">
        <v>529</v>
      </c>
      <c r="I5167" t="s">
        <v>71</v>
      </c>
      <c r="J5167">
        <v>80537</v>
      </c>
      <c r="K5167">
        <v>4617</v>
      </c>
      <c r="L5167" t="s">
        <v>23</v>
      </c>
      <c r="M5167" t="s">
        <v>12899</v>
      </c>
      <c r="N5167" t="s">
        <v>529</v>
      </c>
      <c r="O5167" t="s">
        <v>71</v>
      </c>
      <c r="P5167">
        <v>80537</v>
      </c>
      <c r="Q5167">
        <v>4617</v>
      </c>
      <c r="R5167" t="s">
        <v>23</v>
      </c>
      <c r="S5167" s="1" t="s">
        <v>34218</v>
      </c>
    </row>
    <row r="5168" spans="1:19" x14ac:dyDescent="0.25">
      <c r="A5168">
        <v>100866846</v>
      </c>
      <c r="B5168" t="s">
        <v>12900</v>
      </c>
      <c r="C5168" t="s">
        <v>1492</v>
      </c>
      <c r="G5168" t="s">
        <v>12901</v>
      </c>
      <c r="H5168" t="s">
        <v>4220</v>
      </c>
      <c r="I5168" t="s">
        <v>662</v>
      </c>
      <c r="J5168">
        <v>2835</v>
      </c>
      <c r="K5168">
        <v>1327</v>
      </c>
      <c r="L5168" t="s">
        <v>23</v>
      </c>
      <c r="M5168" t="s">
        <v>12901</v>
      </c>
      <c r="N5168" t="s">
        <v>4220</v>
      </c>
      <c r="O5168" t="s">
        <v>662</v>
      </c>
      <c r="P5168">
        <v>2835</v>
      </c>
      <c r="Q5168">
        <v>1327</v>
      </c>
      <c r="R5168" t="s">
        <v>23</v>
      </c>
      <c r="S5168" s="1" t="s">
        <v>34218</v>
      </c>
    </row>
    <row r="5169" spans="1:19" x14ac:dyDescent="0.25">
      <c r="A5169">
        <v>100869164</v>
      </c>
      <c r="B5169" t="s">
        <v>12902</v>
      </c>
      <c r="C5169" t="s">
        <v>158</v>
      </c>
      <c r="G5169" t="s">
        <v>12903</v>
      </c>
      <c r="H5169" t="s">
        <v>12904</v>
      </c>
      <c r="I5169" t="s">
        <v>250</v>
      </c>
      <c r="J5169">
        <v>8037</v>
      </c>
      <c r="K5169">
        <v>1327</v>
      </c>
      <c r="L5169" t="s">
        <v>23</v>
      </c>
      <c r="M5169" t="s">
        <v>12903</v>
      </c>
      <c r="N5169" t="s">
        <v>12904</v>
      </c>
      <c r="O5169" t="s">
        <v>250</v>
      </c>
      <c r="P5169">
        <v>8037</v>
      </c>
      <c r="Q5169">
        <v>1327</v>
      </c>
      <c r="R5169" t="s">
        <v>23</v>
      </c>
      <c r="S5169" s="1" t="s">
        <v>34218</v>
      </c>
    </row>
    <row r="5170" spans="1:19" x14ac:dyDescent="0.25">
      <c r="A5170">
        <v>100870096</v>
      </c>
      <c r="B5170" t="s">
        <v>12905</v>
      </c>
      <c r="C5170" t="s">
        <v>1415</v>
      </c>
      <c r="G5170" t="s">
        <v>12906</v>
      </c>
      <c r="H5170" t="s">
        <v>12907</v>
      </c>
      <c r="I5170" t="s">
        <v>161</v>
      </c>
      <c r="J5170">
        <v>6611</v>
      </c>
      <c r="K5170">
        <v>3663</v>
      </c>
      <c r="L5170" t="s">
        <v>23</v>
      </c>
      <c r="M5170" t="s">
        <v>12906</v>
      </c>
      <c r="N5170" t="s">
        <v>12907</v>
      </c>
      <c r="O5170" t="s">
        <v>161</v>
      </c>
      <c r="P5170">
        <v>6611</v>
      </c>
      <c r="Q5170">
        <v>3663</v>
      </c>
      <c r="R5170" t="s">
        <v>23</v>
      </c>
      <c r="S5170" s="1" t="s">
        <v>34218</v>
      </c>
    </row>
    <row r="5171" spans="1:19" x14ac:dyDescent="0.25">
      <c r="A5171">
        <v>100872551</v>
      </c>
      <c r="B5171" t="s">
        <v>1412</v>
      </c>
      <c r="C5171" t="s">
        <v>11115</v>
      </c>
      <c r="G5171" t="s">
        <v>12908</v>
      </c>
      <c r="H5171" t="s">
        <v>12909</v>
      </c>
      <c r="I5171" t="s">
        <v>135</v>
      </c>
      <c r="J5171">
        <v>60532</v>
      </c>
      <c r="K5171">
        <v>1249</v>
      </c>
      <c r="L5171" t="s">
        <v>23</v>
      </c>
      <c r="M5171" t="s">
        <v>12908</v>
      </c>
      <c r="N5171" t="s">
        <v>12909</v>
      </c>
      <c r="O5171" t="s">
        <v>135</v>
      </c>
      <c r="P5171">
        <v>60532</v>
      </c>
      <c r="Q5171">
        <v>1249</v>
      </c>
      <c r="R5171" t="s">
        <v>23</v>
      </c>
      <c r="S5171" s="1" t="s">
        <v>34218</v>
      </c>
    </row>
    <row r="5172" spans="1:19" x14ac:dyDescent="0.25">
      <c r="A5172">
        <v>100873685</v>
      </c>
      <c r="B5172" t="s">
        <v>3049</v>
      </c>
      <c r="C5172" t="s">
        <v>2018</v>
      </c>
      <c r="G5172" t="s">
        <v>12910</v>
      </c>
      <c r="H5172" t="s">
        <v>12911</v>
      </c>
      <c r="I5172" t="s">
        <v>365</v>
      </c>
      <c r="J5172">
        <v>86409</v>
      </c>
      <c r="K5172">
        <v>556</v>
      </c>
      <c r="L5172" t="s">
        <v>23</v>
      </c>
      <c r="M5172" t="s">
        <v>12910</v>
      </c>
      <c r="N5172" t="s">
        <v>12911</v>
      </c>
      <c r="O5172" t="s">
        <v>365</v>
      </c>
      <c r="P5172">
        <v>86409</v>
      </c>
      <c r="Q5172">
        <v>556</v>
      </c>
      <c r="R5172" t="s">
        <v>23</v>
      </c>
      <c r="S5172" s="1" t="s">
        <v>34218</v>
      </c>
    </row>
    <row r="5173" spans="1:19" x14ac:dyDescent="0.25">
      <c r="A5173">
        <v>100873947</v>
      </c>
      <c r="B5173" t="s">
        <v>6810</v>
      </c>
      <c r="C5173" t="s">
        <v>403</v>
      </c>
      <c r="G5173" t="s">
        <v>12912</v>
      </c>
      <c r="H5173" t="s">
        <v>2957</v>
      </c>
      <c r="I5173" t="s">
        <v>178</v>
      </c>
      <c r="J5173">
        <v>44512</v>
      </c>
      <c r="K5173">
        <v>8010</v>
      </c>
      <c r="L5173" t="s">
        <v>23</v>
      </c>
      <c r="M5173" t="s">
        <v>12912</v>
      </c>
      <c r="N5173" t="s">
        <v>2957</v>
      </c>
      <c r="O5173" t="s">
        <v>178</v>
      </c>
      <c r="P5173">
        <v>44512</v>
      </c>
      <c r="Q5173">
        <v>8010</v>
      </c>
      <c r="R5173" t="s">
        <v>23</v>
      </c>
      <c r="S5173" s="1" t="s">
        <v>34218</v>
      </c>
    </row>
    <row r="5174" spans="1:19" x14ac:dyDescent="0.25">
      <c r="A5174">
        <v>100878696</v>
      </c>
      <c r="B5174" t="s">
        <v>3113</v>
      </c>
      <c r="C5174" t="s">
        <v>3171</v>
      </c>
      <c r="G5174" t="s">
        <v>12913</v>
      </c>
      <c r="H5174" t="s">
        <v>254</v>
      </c>
      <c r="I5174" t="s">
        <v>255</v>
      </c>
      <c r="J5174">
        <v>22902</v>
      </c>
      <c r="K5174">
        <v>8111</v>
      </c>
      <c r="L5174" t="s">
        <v>23</v>
      </c>
      <c r="M5174" t="s">
        <v>12913</v>
      </c>
      <c r="N5174" t="s">
        <v>254</v>
      </c>
      <c r="O5174" t="s">
        <v>255</v>
      </c>
      <c r="P5174">
        <v>22902</v>
      </c>
      <c r="Q5174">
        <v>8111</v>
      </c>
      <c r="R5174" t="s">
        <v>23</v>
      </c>
      <c r="S5174" s="1" t="s">
        <v>34218</v>
      </c>
    </row>
    <row r="5175" spans="1:19" x14ac:dyDescent="0.25">
      <c r="A5175">
        <v>100875497</v>
      </c>
      <c r="B5175" t="s">
        <v>12914</v>
      </c>
      <c r="C5175" t="s">
        <v>5274</v>
      </c>
      <c r="F5175" t="str">
        <f>"3108266688"</f>
        <v>3108266688</v>
      </c>
      <c r="G5175" t="s">
        <v>12915</v>
      </c>
      <c r="H5175" t="s">
        <v>299</v>
      </c>
      <c r="I5175" t="s">
        <v>22</v>
      </c>
      <c r="J5175">
        <v>90049</v>
      </c>
      <c r="K5175">
        <v>5214</v>
      </c>
      <c r="L5175" t="s">
        <v>23</v>
      </c>
      <c r="M5175" t="s">
        <v>12915</v>
      </c>
      <c r="N5175" t="s">
        <v>299</v>
      </c>
      <c r="O5175" t="s">
        <v>22</v>
      </c>
      <c r="P5175">
        <v>90049</v>
      </c>
      <c r="Q5175">
        <v>5214</v>
      </c>
      <c r="R5175" t="s">
        <v>23</v>
      </c>
      <c r="S5175" s="1" t="s">
        <v>34218</v>
      </c>
    </row>
    <row r="5176" spans="1:19" x14ac:dyDescent="0.25">
      <c r="A5176">
        <v>100883874</v>
      </c>
      <c r="B5176" t="s">
        <v>12916</v>
      </c>
      <c r="C5176" t="s">
        <v>12917</v>
      </c>
      <c r="G5176" t="s">
        <v>12918</v>
      </c>
      <c r="H5176" t="s">
        <v>1439</v>
      </c>
      <c r="I5176" t="s">
        <v>365</v>
      </c>
      <c r="J5176">
        <v>85710</v>
      </c>
      <c r="K5176">
        <v>2207</v>
      </c>
      <c r="L5176" t="s">
        <v>23</v>
      </c>
      <c r="M5176" t="s">
        <v>12918</v>
      </c>
      <c r="N5176" t="s">
        <v>1439</v>
      </c>
      <c r="O5176" t="s">
        <v>365</v>
      </c>
      <c r="P5176">
        <v>85710</v>
      </c>
      <c r="Q5176">
        <v>2207</v>
      </c>
      <c r="R5176" t="s">
        <v>23</v>
      </c>
      <c r="S5176" s="1" t="s">
        <v>34218</v>
      </c>
    </row>
    <row r="5177" spans="1:19" x14ac:dyDescent="0.25">
      <c r="A5177">
        <v>100877253</v>
      </c>
      <c r="B5177" t="s">
        <v>2043</v>
      </c>
      <c r="C5177" t="s">
        <v>1036</v>
      </c>
      <c r="F5177" t="str">
        <f>"7075668799"</f>
        <v>7075668799</v>
      </c>
      <c r="G5177" t="s">
        <v>12919</v>
      </c>
      <c r="H5177" t="s">
        <v>21</v>
      </c>
      <c r="I5177" t="s">
        <v>22</v>
      </c>
      <c r="J5177">
        <v>95401</v>
      </c>
      <c r="K5177">
        <v>9137</v>
      </c>
      <c r="L5177" t="s">
        <v>23</v>
      </c>
      <c r="M5177" t="s">
        <v>12919</v>
      </c>
      <c r="N5177" t="s">
        <v>21</v>
      </c>
      <c r="O5177" t="s">
        <v>22</v>
      </c>
      <c r="P5177">
        <v>95401</v>
      </c>
      <c r="Q5177">
        <v>9137</v>
      </c>
      <c r="R5177" t="s">
        <v>23</v>
      </c>
      <c r="S5177" s="1" t="s">
        <v>34218</v>
      </c>
    </row>
    <row r="5178" spans="1:19" x14ac:dyDescent="0.25">
      <c r="A5178">
        <v>100881345</v>
      </c>
      <c r="B5178" t="s">
        <v>12920</v>
      </c>
      <c r="C5178" t="s">
        <v>1588</v>
      </c>
      <c r="G5178" t="s">
        <v>12921</v>
      </c>
      <c r="H5178" t="s">
        <v>12922</v>
      </c>
      <c r="I5178" t="s">
        <v>187</v>
      </c>
      <c r="J5178">
        <v>55609</v>
      </c>
      <c r="K5178">
        <v>251</v>
      </c>
      <c r="L5178" t="s">
        <v>23</v>
      </c>
      <c r="M5178" t="s">
        <v>12921</v>
      </c>
      <c r="N5178" t="s">
        <v>12922</v>
      </c>
      <c r="O5178" t="s">
        <v>187</v>
      </c>
      <c r="P5178">
        <v>55609</v>
      </c>
      <c r="Q5178">
        <v>251</v>
      </c>
      <c r="R5178" t="s">
        <v>23</v>
      </c>
      <c r="S5178" s="1" t="s">
        <v>34218</v>
      </c>
    </row>
    <row r="5179" spans="1:19" x14ac:dyDescent="0.25">
      <c r="A5179">
        <v>101041807</v>
      </c>
      <c r="B5179" t="s">
        <v>12923</v>
      </c>
      <c r="C5179" t="s">
        <v>180</v>
      </c>
      <c r="G5179" t="s">
        <v>12924</v>
      </c>
      <c r="H5179" t="s">
        <v>66</v>
      </c>
      <c r="I5179" t="s">
        <v>22</v>
      </c>
      <c r="J5179">
        <v>94708</v>
      </c>
      <c r="K5179">
        <v>2058</v>
      </c>
      <c r="L5179" t="s">
        <v>23</v>
      </c>
      <c r="M5179" t="s">
        <v>12924</v>
      </c>
      <c r="N5179" t="s">
        <v>66</v>
      </c>
      <c r="O5179" t="s">
        <v>22</v>
      </c>
      <c r="P5179">
        <v>94708</v>
      </c>
      <c r="Q5179">
        <v>2058</v>
      </c>
      <c r="R5179" t="s">
        <v>23</v>
      </c>
      <c r="S5179" s="1" t="s">
        <v>34218</v>
      </c>
    </row>
    <row r="5180" spans="1:19" x14ac:dyDescent="0.25">
      <c r="A5180">
        <v>101042009</v>
      </c>
      <c r="B5180" t="s">
        <v>1595</v>
      </c>
      <c r="C5180" t="s">
        <v>579</v>
      </c>
      <c r="G5180" t="s">
        <v>12925</v>
      </c>
      <c r="H5180" t="s">
        <v>12926</v>
      </c>
      <c r="I5180" t="s">
        <v>84</v>
      </c>
      <c r="J5180">
        <v>98270</v>
      </c>
      <c r="K5180">
        <v>4158</v>
      </c>
      <c r="L5180" t="s">
        <v>23</v>
      </c>
      <c r="M5180" t="s">
        <v>12925</v>
      </c>
      <c r="N5180" t="s">
        <v>12926</v>
      </c>
      <c r="O5180" t="s">
        <v>84</v>
      </c>
      <c r="P5180">
        <v>98270</v>
      </c>
      <c r="Q5180">
        <v>4158</v>
      </c>
      <c r="R5180" t="s">
        <v>23</v>
      </c>
      <c r="S5180" s="1" t="s">
        <v>34218</v>
      </c>
    </row>
    <row r="5181" spans="1:19" x14ac:dyDescent="0.25">
      <c r="A5181">
        <v>101045779</v>
      </c>
      <c r="B5181" t="s">
        <v>2080</v>
      </c>
      <c r="C5181" t="s">
        <v>12927</v>
      </c>
      <c r="G5181" t="s">
        <v>12928</v>
      </c>
      <c r="H5181" t="s">
        <v>12929</v>
      </c>
      <c r="I5181" t="s">
        <v>28</v>
      </c>
      <c r="J5181">
        <v>30127</v>
      </c>
      <c r="K5181">
        <v>4974</v>
      </c>
      <c r="L5181" t="s">
        <v>23</v>
      </c>
      <c r="M5181" t="s">
        <v>12928</v>
      </c>
      <c r="N5181" t="s">
        <v>12929</v>
      </c>
      <c r="O5181" t="s">
        <v>28</v>
      </c>
      <c r="P5181">
        <v>30127</v>
      </c>
      <c r="Q5181">
        <v>4974</v>
      </c>
      <c r="R5181" t="s">
        <v>23</v>
      </c>
      <c r="S5181" s="1" t="s">
        <v>34218</v>
      </c>
    </row>
    <row r="5182" spans="1:19" x14ac:dyDescent="0.25">
      <c r="A5182">
        <v>101048608</v>
      </c>
      <c r="B5182" t="s">
        <v>465</v>
      </c>
      <c r="C5182" t="s">
        <v>286</v>
      </c>
      <c r="G5182" t="s">
        <v>12930</v>
      </c>
      <c r="H5182" t="s">
        <v>8037</v>
      </c>
      <c r="I5182" t="s">
        <v>22</v>
      </c>
      <c r="J5182">
        <v>92881</v>
      </c>
      <c r="K5182">
        <v>966</v>
      </c>
      <c r="L5182" t="s">
        <v>23</v>
      </c>
      <c r="M5182" t="s">
        <v>12930</v>
      </c>
      <c r="N5182" t="s">
        <v>8037</v>
      </c>
      <c r="O5182" t="s">
        <v>22</v>
      </c>
      <c r="P5182">
        <v>92881</v>
      </c>
      <c r="Q5182">
        <v>966</v>
      </c>
      <c r="R5182" t="s">
        <v>23</v>
      </c>
      <c r="S5182" s="1" t="s">
        <v>34218</v>
      </c>
    </row>
    <row r="5183" spans="1:19" x14ac:dyDescent="0.25">
      <c r="A5183">
        <v>101054507</v>
      </c>
      <c r="B5183" t="s">
        <v>2162</v>
      </c>
      <c r="C5183" t="s">
        <v>1161</v>
      </c>
      <c r="G5183" t="s">
        <v>12931</v>
      </c>
      <c r="H5183" t="s">
        <v>848</v>
      </c>
      <c r="I5183" t="s">
        <v>140</v>
      </c>
      <c r="J5183">
        <v>48302</v>
      </c>
      <c r="K5183">
        <v>2202</v>
      </c>
      <c r="L5183" t="s">
        <v>23</v>
      </c>
      <c r="M5183" t="s">
        <v>12931</v>
      </c>
      <c r="N5183" t="s">
        <v>848</v>
      </c>
      <c r="O5183" t="s">
        <v>140</v>
      </c>
      <c r="P5183">
        <v>48302</v>
      </c>
      <c r="Q5183">
        <v>2202</v>
      </c>
      <c r="R5183" t="s">
        <v>23</v>
      </c>
      <c r="S5183" s="1" t="s">
        <v>34218</v>
      </c>
    </row>
    <row r="5184" spans="1:19" x14ac:dyDescent="0.25">
      <c r="A5184">
        <v>101055189</v>
      </c>
      <c r="B5184" t="s">
        <v>9373</v>
      </c>
      <c r="C5184" t="s">
        <v>45</v>
      </c>
      <c r="G5184" t="s">
        <v>12932</v>
      </c>
      <c r="H5184" t="s">
        <v>7232</v>
      </c>
      <c r="I5184" t="s">
        <v>71</v>
      </c>
      <c r="J5184">
        <v>80439</v>
      </c>
      <c r="K5184">
        <v>7344</v>
      </c>
      <c r="L5184" t="s">
        <v>23</v>
      </c>
      <c r="M5184" t="s">
        <v>12932</v>
      </c>
      <c r="N5184" t="s">
        <v>7232</v>
      </c>
      <c r="O5184" t="s">
        <v>71</v>
      </c>
      <c r="P5184">
        <v>80439</v>
      </c>
      <c r="Q5184">
        <v>7344</v>
      </c>
      <c r="R5184" t="s">
        <v>23</v>
      </c>
      <c r="S5184" s="1" t="s">
        <v>34218</v>
      </c>
    </row>
    <row r="5185" spans="1:19" x14ac:dyDescent="0.25">
      <c r="A5185">
        <v>100628028</v>
      </c>
      <c r="B5185" t="s">
        <v>12933</v>
      </c>
      <c r="C5185" t="s">
        <v>11362</v>
      </c>
      <c r="G5185" t="s">
        <v>12934</v>
      </c>
      <c r="H5185" t="s">
        <v>12935</v>
      </c>
      <c r="I5185" t="s">
        <v>140</v>
      </c>
      <c r="J5185">
        <v>48169</v>
      </c>
      <c r="K5185">
        <v>9057</v>
      </c>
      <c r="L5185" t="s">
        <v>23</v>
      </c>
      <c r="M5185" t="s">
        <v>12934</v>
      </c>
      <c r="N5185" t="s">
        <v>12935</v>
      </c>
      <c r="O5185" t="s">
        <v>140</v>
      </c>
      <c r="P5185">
        <v>48169</v>
      </c>
      <c r="Q5185">
        <v>9057</v>
      </c>
      <c r="R5185" t="s">
        <v>23</v>
      </c>
      <c r="S5185" s="1" t="s">
        <v>34218</v>
      </c>
    </row>
    <row r="5186" spans="1:19" x14ac:dyDescent="0.25">
      <c r="A5186">
        <v>100630038</v>
      </c>
      <c r="B5186" t="s">
        <v>12936</v>
      </c>
      <c r="C5186" t="s">
        <v>3954</v>
      </c>
      <c r="G5186" t="s">
        <v>12937</v>
      </c>
      <c r="H5186" t="s">
        <v>1052</v>
      </c>
      <c r="I5186" t="s">
        <v>117</v>
      </c>
      <c r="J5186">
        <v>12206</v>
      </c>
      <c r="K5186">
        <v>2120</v>
      </c>
      <c r="L5186" t="s">
        <v>23</v>
      </c>
      <c r="M5186" t="s">
        <v>12937</v>
      </c>
      <c r="N5186" t="s">
        <v>1052</v>
      </c>
      <c r="O5186" t="s">
        <v>117</v>
      </c>
      <c r="P5186">
        <v>12206</v>
      </c>
      <c r="Q5186">
        <v>2120</v>
      </c>
      <c r="R5186" t="s">
        <v>23</v>
      </c>
      <c r="S5186" s="1" t="s">
        <v>34218</v>
      </c>
    </row>
    <row r="5187" spans="1:19" x14ac:dyDescent="0.25">
      <c r="A5187">
        <v>100634104</v>
      </c>
      <c r="B5187" t="s">
        <v>12938</v>
      </c>
      <c r="C5187" t="s">
        <v>4184</v>
      </c>
      <c r="G5187" t="s">
        <v>12939</v>
      </c>
      <c r="H5187" t="s">
        <v>139</v>
      </c>
      <c r="I5187" t="s">
        <v>28</v>
      </c>
      <c r="J5187">
        <v>30114</v>
      </c>
      <c r="K5187">
        <v>9776</v>
      </c>
      <c r="L5187" t="s">
        <v>23</v>
      </c>
      <c r="M5187" t="s">
        <v>12939</v>
      </c>
      <c r="N5187" t="s">
        <v>139</v>
      </c>
      <c r="O5187" t="s">
        <v>28</v>
      </c>
      <c r="P5187">
        <v>30114</v>
      </c>
      <c r="Q5187">
        <v>9776</v>
      </c>
      <c r="R5187" t="s">
        <v>23</v>
      </c>
      <c r="S5187" s="1" t="s">
        <v>34218</v>
      </c>
    </row>
    <row r="5188" spans="1:19" x14ac:dyDescent="0.25">
      <c r="A5188">
        <v>100637927</v>
      </c>
      <c r="B5188" t="s">
        <v>12940</v>
      </c>
      <c r="C5188" t="s">
        <v>535</v>
      </c>
      <c r="G5188" t="s">
        <v>12941</v>
      </c>
      <c r="H5188" t="s">
        <v>276</v>
      </c>
      <c r="I5188" t="s">
        <v>22</v>
      </c>
      <c r="J5188">
        <v>95616</v>
      </c>
      <c r="K5188">
        <v>2667</v>
      </c>
      <c r="L5188" t="s">
        <v>23</v>
      </c>
      <c r="M5188" t="s">
        <v>12941</v>
      </c>
      <c r="N5188" t="s">
        <v>276</v>
      </c>
      <c r="O5188" t="s">
        <v>22</v>
      </c>
      <c r="P5188">
        <v>95616</v>
      </c>
      <c r="Q5188">
        <v>2667</v>
      </c>
      <c r="R5188" t="s">
        <v>23</v>
      </c>
      <c r="S5188" s="1" t="s">
        <v>34218</v>
      </c>
    </row>
    <row r="5189" spans="1:19" x14ac:dyDescent="0.25">
      <c r="A5189">
        <v>100632604</v>
      </c>
      <c r="B5189" t="s">
        <v>12942</v>
      </c>
      <c r="C5189" t="s">
        <v>627</v>
      </c>
      <c r="G5189" t="s">
        <v>12943</v>
      </c>
      <c r="H5189" t="s">
        <v>12944</v>
      </c>
      <c r="I5189" t="s">
        <v>22</v>
      </c>
      <c r="J5189">
        <v>95418</v>
      </c>
      <c r="K5189">
        <v>44</v>
      </c>
      <c r="L5189" t="s">
        <v>23</v>
      </c>
      <c r="M5189" t="s">
        <v>12943</v>
      </c>
      <c r="N5189" t="s">
        <v>12944</v>
      </c>
      <c r="O5189" t="s">
        <v>22</v>
      </c>
      <c r="P5189">
        <v>95418</v>
      </c>
      <c r="Q5189">
        <v>44</v>
      </c>
      <c r="R5189" t="s">
        <v>23</v>
      </c>
      <c r="S5189" s="1" t="s">
        <v>34218</v>
      </c>
    </row>
    <row r="5190" spans="1:19" x14ac:dyDescent="0.25">
      <c r="A5190">
        <v>100643614</v>
      </c>
      <c r="B5190" t="s">
        <v>12945</v>
      </c>
      <c r="C5190" t="s">
        <v>575</v>
      </c>
      <c r="G5190" t="s">
        <v>12946</v>
      </c>
      <c r="H5190" t="s">
        <v>12947</v>
      </c>
      <c r="I5190" t="s">
        <v>446</v>
      </c>
      <c r="J5190">
        <v>28081</v>
      </c>
      <c r="K5190">
        <v>3449</v>
      </c>
      <c r="L5190" t="s">
        <v>23</v>
      </c>
      <c r="M5190" t="s">
        <v>12946</v>
      </c>
      <c r="N5190" t="s">
        <v>12947</v>
      </c>
      <c r="O5190" t="s">
        <v>446</v>
      </c>
      <c r="P5190">
        <v>28081</v>
      </c>
      <c r="Q5190">
        <v>3449</v>
      </c>
      <c r="R5190" t="s">
        <v>23</v>
      </c>
      <c r="S5190" s="1" t="s">
        <v>34218</v>
      </c>
    </row>
    <row r="5191" spans="1:19" x14ac:dyDescent="0.25">
      <c r="A5191">
        <v>100642011</v>
      </c>
      <c r="B5191" t="s">
        <v>3629</v>
      </c>
      <c r="C5191" t="s">
        <v>49</v>
      </c>
      <c r="G5191" t="s">
        <v>12948</v>
      </c>
      <c r="H5191" t="s">
        <v>2086</v>
      </c>
      <c r="I5191" t="s">
        <v>178</v>
      </c>
      <c r="J5191">
        <v>45239</v>
      </c>
      <c r="K5191">
        <v>4871</v>
      </c>
      <c r="L5191" t="s">
        <v>23</v>
      </c>
      <c r="M5191" t="s">
        <v>12948</v>
      </c>
      <c r="N5191" t="s">
        <v>2086</v>
      </c>
      <c r="O5191" t="s">
        <v>178</v>
      </c>
      <c r="P5191">
        <v>45239</v>
      </c>
      <c r="Q5191">
        <v>4871</v>
      </c>
      <c r="R5191" t="s">
        <v>23</v>
      </c>
      <c r="S5191" s="1" t="s">
        <v>34218</v>
      </c>
    </row>
    <row r="5192" spans="1:19" x14ac:dyDescent="0.25">
      <c r="A5192">
        <v>100641966</v>
      </c>
      <c r="B5192" t="s">
        <v>12949</v>
      </c>
      <c r="C5192" t="s">
        <v>90</v>
      </c>
      <c r="G5192" t="s">
        <v>12950</v>
      </c>
      <c r="H5192" t="s">
        <v>12951</v>
      </c>
      <c r="I5192" t="s">
        <v>100</v>
      </c>
      <c r="J5192">
        <v>54456</v>
      </c>
      <c r="K5192">
        <v>9031</v>
      </c>
      <c r="L5192" t="s">
        <v>23</v>
      </c>
      <c r="M5192" t="s">
        <v>12950</v>
      </c>
      <c r="N5192" t="s">
        <v>12951</v>
      </c>
      <c r="O5192" t="s">
        <v>100</v>
      </c>
      <c r="P5192">
        <v>54456</v>
      </c>
      <c r="Q5192">
        <v>9031</v>
      </c>
      <c r="R5192" t="s">
        <v>23</v>
      </c>
      <c r="S5192" s="1" t="s">
        <v>34218</v>
      </c>
    </row>
    <row r="5193" spans="1:19" x14ac:dyDescent="0.25">
      <c r="A5193">
        <v>100645005</v>
      </c>
      <c r="B5193" t="s">
        <v>12952</v>
      </c>
      <c r="C5193" t="s">
        <v>10601</v>
      </c>
      <c r="G5193" t="s">
        <v>12953</v>
      </c>
      <c r="H5193" t="s">
        <v>3721</v>
      </c>
      <c r="I5193" t="s">
        <v>117</v>
      </c>
      <c r="J5193">
        <v>11021</v>
      </c>
      <c r="K5193">
        <v>3646</v>
      </c>
      <c r="L5193" t="s">
        <v>23</v>
      </c>
      <c r="M5193" t="s">
        <v>12953</v>
      </c>
      <c r="N5193" t="s">
        <v>3721</v>
      </c>
      <c r="O5193" t="s">
        <v>117</v>
      </c>
      <c r="P5193">
        <v>11021</v>
      </c>
      <c r="Q5193">
        <v>3646</v>
      </c>
      <c r="R5193" t="s">
        <v>23</v>
      </c>
      <c r="S5193" s="1" t="s">
        <v>34218</v>
      </c>
    </row>
    <row r="5194" spans="1:19" x14ac:dyDescent="0.25">
      <c r="A5194">
        <v>100644084</v>
      </c>
      <c r="B5194" t="s">
        <v>5299</v>
      </c>
      <c r="C5194" t="s">
        <v>838</v>
      </c>
      <c r="G5194" t="s">
        <v>12954</v>
      </c>
      <c r="H5194" t="s">
        <v>12955</v>
      </c>
      <c r="I5194" t="s">
        <v>250</v>
      </c>
      <c r="J5194">
        <v>8872</v>
      </c>
      <c r="K5194">
        <v>1371</v>
      </c>
      <c r="L5194" t="s">
        <v>23</v>
      </c>
      <c r="M5194" t="s">
        <v>12954</v>
      </c>
      <c r="N5194" t="s">
        <v>12955</v>
      </c>
      <c r="O5194" t="s">
        <v>250</v>
      </c>
      <c r="P5194">
        <v>8872</v>
      </c>
      <c r="Q5194">
        <v>1371</v>
      </c>
      <c r="R5194" t="s">
        <v>23</v>
      </c>
      <c r="S5194" s="1" t="s">
        <v>34218</v>
      </c>
    </row>
    <row r="5195" spans="1:19" x14ac:dyDescent="0.25">
      <c r="A5195">
        <v>100652704</v>
      </c>
      <c r="B5195" t="s">
        <v>5127</v>
      </c>
      <c r="C5195" t="s">
        <v>1327</v>
      </c>
      <c r="G5195" t="s">
        <v>12956</v>
      </c>
      <c r="H5195" t="s">
        <v>12957</v>
      </c>
      <c r="I5195" t="s">
        <v>250</v>
      </c>
      <c r="J5195">
        <v>7836</v>
      </c>
      <c r="K5195">
        <v>7108</v>
      </c>
      <c r="L5195" t="s">
        <v>23</v>
      </c>
      <c r="M5195" t="s">
        <v>12956</v>
      </c>
      <c r="N5195" t="s">
        <v>12957</v>
      </c>
      <c r="O5195" t="s">
        <v>250</v>
      </c>
      <c r="P5195">
        <v>7836</v>
      </c>
      <c r="Q5195">
        <v>7108</v>
      </c>
      <c r="R5195" t="s">
        <v>23</v>
      </c>
      <c r="S5195" s="1" t="s">
        <v>34218</v>
      </c>
    </row>
    <row r="5196" spans="1:19" x14ac:dyDescent="0.25">
      <c r="A5196">
        <v>100841826</v>
      </c>
      <c r="B5196" t="s">
        <v>6279</v>
      </c>
      <c r="C5196" t="s">
        <v>329</v>
      </c>
      <c r="G5196" t="s">
        <v>12958</v>
      </c>
      <c r="H5196" t="s">
        <v>2279</v>
      </c>
      <c r="I5196" t="s">
        <v>52</v>
      </c>
      <c r="J5196">
        <v>33624</v>
      </c>
      <c r="K5196">
        <v>1808</v>
      </c>
      <c r="L5196" t="s">
        <v>23</v>
      </c>
      <c r="M5196" t="s">
        <v>12958</v>
      </c>
      <c r="N5196" t="s">
        <v>2279</v>
      </c>
      <c r="O5196" t="s">
        <v>52</v>
      </c>
      <c r="P5196">
        <v>33624</v>
      </c>
      <c r="Q5196">
        <v>1808</v>
      </c>
      <c r="R5196" t="s">
        <v>23</v>
      </c>
      <c r="S5196" s="1" t="s">
        <v>34218</v>
      </c>
    </row>
    <row r="5197" spans="1:19" x14ac:dyDescent="0.25">
      <c r="A5197">
        <v>100846683</v>
      </c>
      <c r="B5197" t="s">
        <v>12959</v>
      </c>
      <c r="C5197" t="s">
        <v>12960</v>
      </c>
      <c r="G5197" t="s">
        <v>12961</v>
      </c>
      <c r="H5197" t="s">
        <v>12962</v>
      </c>
      <c r="I5197" t="s">
        <v>38</v>
      </c>
      <c r="J5197">
        <v>75501</v>
      </c>
      <c r="K5197">
        <v>5865</v>
      </c>
      <c r="L5197" t="s">
        <v>23</v>
      </c>
      <c r="M5197" t="s">
        <v>12961</v>
      </c>
      <c r="N5197" t="s">
        <v>12962</v>
      </c>
      <c r="O5197" t="s">
        <v>38</v>
      </c>
      <c r="P5197">
        <v>75501</v>
      </c>
      <c r="Q5197">
        <v>5865</v>
      </c>
      <c r="R5197" t="s">
        <v>23</v>
      </c>
      <c r="S5197" s="1" t="s">
        <v>34218</v>
      </c>
    </row>
    <row r="5198" spans="1:19" x14ac:dyDescent="0.25">
      <c r="A5198">
        <v>100852227</v>
      </c>
      <c r="B5198" t="s">
        <v>12963</v>
      </c>
      <c r="C5198" t="s">
        <v>1616</v>
      </c>
      <c r="G5198" t="s">
        <v>12964</v>
      </c>
      <c r="H5198" t="s">
        <v>972</v>
      </c>
      <c r="I5198" t="s">
        <v>135</v>
      </c>
      <c r="J5198">
        <v>60068</v>
      </c>
      <c r="K5198">
        <v>3561</v>
      </c>
      <c r="L5198" t="s">
        <v>23</v>
      </c>
      <c r="M5198" t="s">
        <v>12964</v>
      </c>
      <c r="N5198" t="s">
        <v>972</v>
      </c>
      <c r="O5198" t="s">
        <v>135</v>
      </c>
      <c r="P5198">
        <v>60068</v>
      </c>
      <c r="Q5198">
        <v>3561</v>
      </c>
      <c r="R5198" t="s">
        <v>23</v>
      </c>
      <c r="S5198" s="1" t="s">
        <v>34218</v>
      </c>
    </row>
    <row r="5199" spans="1:19" x14ac:dyDescent="0.25">
      <c r="A5199">
        <v>100847921</v>
      </c>
      <c r="B5199" t="s">
        <v>12965</v>
      </c>
      <c r="C5199" t="s">
        <v>305</v>
      </c>
      <c r="G5199" t="s">
        <v>12966</v>
      </c>
      <c r="H5199" t="s">
        <v>12967</v>
      </c>
      <c r="I5199" t="s">
        <v>117</v>
      </c>
      <c r="J5199">
        <v>11545</v>
      </c>
      <c r="K5199">
        <v>2506</v>
      </c>
      <c r="L5199" t="s">
        <v>23</v>
      </c>
      <c r="M5199" t="s">
        <v>12966</v>
      </c>
      <c r="N5199" t="s">
        <v>12967</v>
      </c>
      <c r="O5199" t="s">
        <v>117</v>
      </c>
      <c r="P5199">
        <v>11545</v>
      </c>
      <c r="Q5199">
        <v>2506</v>
      </c>
      <c r="R5199" t="s">
        <v>23</v>
      </c>
      <c r="S5199" s="1" t="s">
        <v>34218</v>
      </c>
    </row>
    <row r="5200" spans="1:19" x14ac:dyDescent="0.25">
      <c r="A5200">
        <v>100848109</v>
      </c>
      <c r="B5200" t="s">
        <v>928</v>
      </c>
      <c r="C5200" t="s">
        <v>403</v>
      </c>
      <c r="G5200" t="s">
        <v>12968</v>
      </c>
      <c r="H5200" t="s">
        <v>12969</v>
      </c>
      <c r="I5200" t="s">
        <v>446</v>
      </c>
      <c r="J5200">
        <v>28571</v>
      </c>
      <c r="K5200">
        <v>9315</v>
      </c>
      <c r="L5200" t="s">
        <v>23</v>
      </c>
      <c r="M5200" t="s">
        <v>12968</v>
      </c>
      <c r="N5200" t="s">
        <v>12969</v>
      </c>
      <c r="O5200" t="s">
        <v>446</v>
      </c>
      <c r="P5200">
        <v>28571</v>
      </c>
      <c r="Q5200">
        <v>9315</v>
      </c>
      <c r="R5200" t="s">
        <v>23</v>
      </c>
      <c r="S5200" s="1" t="s">
        <v>34218</v>
      </c>
    </row>
    <row r="5201" spans="1:19" x14ac:dyDescent="0.25">
      <c r="A5201">
        <v>100861348</v>
      </c>
      <c r="B5201" t="s">
        <v>2150</v>
      </c>
      <c r="C5201" t="s">
        <v>4284</v>
      </c>
      <c r="G5201" t="s">
        <v>12970</v>
      </c>
      <c r="H5201" t="s">
        <v>3385</v>
      </c>
      <c r="I5201" t="s">
        <v>307</v>
      </c>
      <c r="J5201">
        <v>5444</v>
      </c>
      <c r="K5201">
        <v>9860</v>
      </c>
      <c r="L5201" t="s">
        <v>23</v>
      </c>
      <c r="M5201" t="s">
        <v>12970</v>
      </c>
      <c r="N5201" t="s">
        <v>3385</v>
      </c>
      <c r="O5201" t="s">
        <v>307</v>
      </c>
      <c r="P5201">
        <v>5444</v>
      </c>
      <c r="Q5201">
        <v>9860</v>
      </c>
      <c r="R5201" t="s">
        <v>23</v>
      </c>
      <c r="S5201" s="1" t="s">
        <v>34218</v>
      </c>
    </row>
    <row r="5202" spans="1:19" x14ac:dyDescent="0.25">
      <c r="A5202">
        <v>100862249</v>
      </c>
      <c r="B5202" t="s">
        <v>12971</v>
      </c>
      <c r="C5202" t="s">
        <v>90</v>
      </c>
      <c r="F5202" t="str">
        <f>"5302923701"</f>
        <v>5302923701</v>
      </c>
      <c r="G5202" t="s">
        <v>12972</v>
      </c>
      <c r="H5202" t="s">
        <v>3230</v>
      </c>
      <c r="I5202" t="s">
        <v>22</v>
      </c>
      <c r="J5202">
        <v>95959</v>
      </c>
      <c r="K5202">
        <v>8515</v>
      </c>
      <c r="L5202" t="s">
        <v>23</v>
      </c>
      <c r="M5202" t="s">
        <v>12972</v>
      </c>
      <c r="N5202" t="s">
        <v>3230</v>
      </c>
      <c r="O5202" t="s">
        <v>22</v>
      </c>
      <c r="P5202">
        <v>95959</v>
      </c>
      <c r="Q5202">
        <v>8515</v>
      </c>
      <c r="R5202" t="s">
        <v>23</v>
      </c>
      <c r="S5202" s="1" t="s">
        <v>34218</v>
      </c>
    </row>
    <row r="5203" spans="1:19" x14ac:dyDescent="0.25">
      <c r="A5203">
        <v>100861624</v>
      </c>
      <c r="B5203" t="s">
        <v>734</v>
      </c>
      <c r="C5203" t="s">
        <v>102</v>
      </c>
      <c r="G5203" t="s">
        <v>12973</v>
      </c>
      <c r="H5203" t="s">
        <v>2341</v>
      </c>
      <c r="I5203" t="s">
        <v>100</v>
      </c>
      <c r="J5203">
        <v>53083</v>
      </c>
      <c r="K5203">
        <v>2159</v>
      </c>
      <c r="L5203" t="s">
        <v>23</v>
      </c>
      <c r="M5203" t="s">
        <v>12973</v>
      </c>
      <c r="N5203" t="s">
        <v>2341</v>
      </c>
      <c r="O5203" t="s">
        <v>100</v>
      </c>
      <c r="P5203">
        <v>53083</v>
      </c>
      <c r="Q5203">
        <v>2159</v>
      </c>
      <c r="R5203" t="s">
        <v>23</v>
      </c>
      <c r="S5203" s="1" t="s">
        <v>34218</v>
      </c>
    </row>
    <row r="5204" spans="1:19" x14ac:dyDescent="0.25">
      <c r="A5204">
        <v>101067456</v>
      </c>
      <c r="B5204" t="s">
        <v>2457</v>
      </c>
      <c r="C5204" t="s">
        <v>158</v>
      </c>
      <c r="G5204" t="s">
        <v>12974</v>
      </c>
      <c r="H5204" t="s">
        <v>653</v>
      </c>
      <c r="I5204" t="s">
        <v>117</v>
      </c>
      <c r="J5204">
        <v>10017</v>
      </c>
      <c r="K5204">
        <v>6813</v>
      </c>
      <c r="L5204" t="s">
        <v>23</v>
      </c>
      <c r="M5204" t="s">
        <v>12974</v>
      </c>
      <c r="N5204" t="s">
        <v>653</v>
      </c>
      <c r="O5204" t="s">
        <v>117</v>
      </c>
      <c r="P5204">
        <v>10017</v>
      </c>
      <c r="Q5204">
        <v>6813</v>
      </c>
      <c r="R5204" t="s">
        <v>23</v>
      </c>
      <c r="S5204" s="1" t="s">
        <v>34218</v>
      </c>
    </row>
    <row r="5205" spans="1:19" x14ac:dyDescent="0.25">
      <c r="A5205">
        <v>101069999</v>
      </c>
      <c r="B5205" t="s">
        <v>1657</v>
      </c>
      <c r="C5205" t="s">
        <v>3027</v>
      </c>
      <c r="G5205" t="s">
        <v>12975</v>
      </c>
      <c r="H5205" t="s">
        <v>27</v>
      </c>
      <c r="I5205" t="s">
        <v>28</v>
      </c>
      <c r="J5205">
        <v>30308</v>
      </c>
      <c r="K5205">
        <v>1736</v>
      </c>
      <c r="L5205" t="s">
        <v>23</v>
      </c>
      <c r="M5205" t="s">
        <v>12975</v>
      </c>
      <c r="N5205" t="s">
        <v>27</v>
      </c>
      <c r="O5205" t="s">
        <v>28</v>
      </c>
      <c r="P5205">
        <v>30308</v>
      </c>
      <c r="Q5205">
        <v>1736</v>
      </c>
      <c r="R5205" t="s">
        <v>23</v>
      </c>
      <c r="S5205" s="1" t="s">
        <v>34218</v>
      </c>
    </row>
    <row r="5206" spans="1:19" x14ac:dyDescent="0.25">
      <c r="A5206">
        <v>101072534</v>
      </c>
      <c r="B5206" t="s">
        <v>1726</v>
      </c>
      <c r="C5206" t="s">
        <v>4184</v>
      </c>
      <c r="G5206" t="s">
        <v>12976</v>
      </c>
      <c r="H5206" t="s">
        <v>12977</v>
      </c>
      <c r="I5206" t="s">
        <v>446</v>
      </c>
      <c r="J5206">
        <v>27529</v>
      </c>
      <c r="K5206">
        <v>7736</v>
      </c>
      <c r="L5206" t="s">
        <v>23</v>
      </c>
      <c r="M5206" t="s">
        <v>12976</v>
      </c>
      <c r="N5206" t="s">
        <v>12977</v>
      </c>
      <c r="O5206" t="s">
        <v>446</v>
      </c>
      <c r="P5206">
        <v>27529</v>
      </c>
      <c r="Q5206">
        <v>7736</v>
      </c>
      <c r="R5206" t="s">
        <v>23</v>
      </c>
      <c r="S5206" s="1" t="s">
        <v>34218</v>
      </c>
    </row>
    <row r="5207" spans="1:19" x14ac:dyDescent="0.25">
      <c r="A5207">
        <v>101078782</v>
      </c>
      <c r="B5207" t="s">
        <v>12978</v>
      </c>
      <c r="C5207" t="s">
        <v>554</v>
      </c>
      <c r="G5207" t="s">
        <v>12979</v>
      </c>
      <c r="H5207" t="s">
        <v>105</v>
      </c>
      <c r="I5207" t="s">
        <v>191</v>
      </c>
      <c r="J5207">
        <v>4664</v>
      </c>
      <c r="K5207">
        <v>3146</v>
      </c>
      <c r="L5207" t="s">
        <v>23</v>
      </c>
      <c r="M5207" t="s">
        <v>12979</v>
      </c>
      <c r="N5207" t="s">
        <v>105</v>
      </c>
      <c r="O5207" t="s">
        <v>191</v>
      </c>
      <c r="P5207">
        <v>4664</v>
      </c>
      <c r="Q5207">
        <v>3146</v>
      </c>
      <c r="R5207" t="s">
        <v>23</v>
      </c>
      <c r="S5207" s="1" t="s">
        <v>34218</v>
      </c>
    </row>
    <row r="5208" spans="1:19" x14ac:dyDescent="0.25">
      <c r="A5208">
        <v>101081225</v>
      </c>
      <c r="B5208" t="s">
        <v>744</v>
      </c>
      <c r="C5208" t="s">
        <v>274</v>
      </c>
      <c r="G5208" t="s">
        <v>12980</v>
      </c>
      <c r="H5208" t="s">
        <v>198</v>
      </c>
      <c r="I5208" t="s">
        <v>22</v>
      </c>
      <c r="J5208">
        <v>92131</v>
      </c>
      <c r="K5208">
        <v>1928</v>
      </c>
      <c r="L5208" t="s">
        <v>23</v>
      </c>
      <c r="M5208" t="s">
        <v>12980</v>
      </c>
      <c r="N5208" t="s">
        <v>198</v>
      </c>
      <c r="O5208" t="s">
        <v>22</v>
      </c>
      <c r="P5208">
        <v>92131</v>
      </c>
      <c r="Q5208">
        <v>1928</v>
      </c>
      <c r="R5208" t="s">
        <v>23</v>
      </c>
      <c r="S5208" s="1" t="s">
        <v>34218</v>
      </c>
    </row>
    <row r="5209" spans="1:19" x14ac:dyDescent="0.25">
      <c r="A5209">
        <v>101077558</v>
      </c>
      <c r="B5209" t="s">
        <v>12981</v>
      </c>
      <c r="C5209" t="s">
        <v>5283</v>
      </c>
      <c r="G5209" t="s">
        <v>12982</v>
      </c>
      <c r="H5209" t="s">
        <v>134</v>
      </c>
      <c r="I5209" t="s">
        <v>135</v>
      </c>
      <c r="J5209">
        <v>60628</v>
      </c>
      <c r="K5209">
        <v>3710</v>
      </c>
      <c r="L5209" t="s">
        <v>23</v>
      </c>
      <c r="M5209" t="s">
        <v>12982</v>
      </c>
      <c r="N5209" t="s">
        <v>134</v>
      </c>
      <c r="O5209" t="s">
        <v>135</v>
      </c>
      <c r="P5209">
        <v>60628</v>
      </c>
      <c r="Q5209">
        <v>3710</v>
      </c>
      <c r="R5209" t="s">
        <v>23</v>
      </c>
      <c r="S5209" s="1" t="s">
        <v>34218</v>
      </c>
    </row>
    <row r="5210" spans="1:19" x14ac:dyDescent="0.25">
      <c r="A5210">
        <v>100681353</v>
      </c>
      <c r="B5210" t="s">
        <v>12983</v>
      </c>
      <c r="C5210" t="s">
        <v>12984</v>
      </c>
      <c r="G5210" t="s">
        <v>12985</v>
      </c>
      <c r="H5210" t="s">
        <v>2086</v>
      </c>
      <c r="I5210" t="s">
        <v>178</v>
      </c>
      <c r="J5210">
        <v>45223</v>
      </c>
      <c r="K5210">
        <v>1622</v>
      </c>
      <c r="L5210" t="s">
        <v>23</v>
      </c>
      <c r="M5210" t="s">
        <v>12985</v>
      </c>
      <c r="N5210" t="s">
        <v>2086</v>
      </c>
      <c r="O5210" t="s">
        <v>178</v>
      </c>
      <c r="P5210">
        <v>45223</v>
      </c>
      <c r="Q5210">
        <v>1622</v>
      </c>
      <c r="R5210" t="s">
        <v>23</v>
      </c>
      <c r="S5210" s="1" t="s">
        <v>34218</v>
      </c>
    </row>
    <row r="5211" spans="1:19" x14ac:dyDescent="0.25">
      <c r="A5211">
        <v>100683358</v>
      </c>
      <c r="B5211" t="s">
        <v>4490</v>
      </c>
      <c r="C5211" t="s">
        <v>225</v>
      </c>
      <c r="G5211" t="s">
        <v>12986</v>
      </c>
      <c r="H5211" t="s">
        <v>12987</v>
      </c>
      <c r="I5211" t="s">
        <v>348</v>
      </c>
      <c r="J5211">
        <v>83638</v>
      </c>
      <c r="K5211">
        <v>5013</v>
      </c>
      <c r="L5211" t="s">
        <v>23</v>
      </c>
      <c r="M5211" t="s">
        <v>12986</v>
      </c>
      <c r="N5211" t="s">
        <v>12987</v>
      </c>
      <c r="O5211" t="s">
        <v>348</v>
      </c>
      <c r="P5211">
        <v>83638</v>
      </c>
      <c r="Q5211">
        <v>5013</v>
      </c>
      <c r="R5211" t="s">
        <v>23</v>
      </c>
      <c r="S5211" s="1" t="s">
        <v>34218</v>
      </c>
    </row>
    <row r="5212" spans="1:19" x14ac:dyDescent="0.25">
      <c r="A5212">
        <v>100687032</v>
      </c>
      <c r="B5212" t="s">
        <v>980</v>
      </c>
      <c r="C5212" t="s">
        <v>498</v>
      </c>
      <c r="G5212" t="s">
        <v>12988</v>
      </c>
      <c r="H5212" t="s">
        <v>504</v>
      </c>
      <c r="I5212" t="s">
        <v>914</v>
      </c>
      <c r="J5212">
        <v>37716</v>
      </c>
      <c r="K5212">
        <v>2925</v>
      </c>
      <c r="L5212" t="s">
        <v>23</v>
      </c>
      <c r="M5212" t="s">
        <v>12988</v>
      </c>
      <c r="N5212" t="s">
        <v>504</v>
      </c>
      <c r="O5212" t="s">
        <v>914</v>
      </c>
      <c r="P5212">
        <v>37716</v>
      </c>
      <c r="Q5212">
        <v>2925</v>
      </c>
      <c r="R5212" t="s">
        <v>23</v>
      </c>
      <c r="S5212" s="1" t="s">
        <v>34218</v>
      </c>
    </row>
    <row r="5213" spans="1:19" x14ac:dyDescent="0.25">
      <c r="A5213">
        <v>100689899</v>
      </c>
      <c r="B5213" t="s">
        <v>12989</v>
      </c>
      <c r="C5213" t="s">
        <v>390</v>
      </c>
      <c r="G5213" t="s">
        <v>12990</v>
      </c>
      <c r="H5213" t="s">
        <v>423</v>
      </c>
      <c r="I5213" t="s">
        <v>71</v>
      </c>
      <c r="J5213">
        <v>80301</v>
      </c>
      <c r="K5213">
        <v>3872</v>
      </c>
      <c r="L5213" t="s">
        <v>23</v>
      </c>
      <c r="M5213" t="s">
        <v>12990</v>
      </c>
      <c r="N5213" t="s">
        <v>423</v>
      </c>
      <c r="O5213" t="s">
        <v>71</v>
      </c>
      <c r="P5213">
        <v>80301</v>
      </c>
      <c r="Q5213">
        <v>3872</v>
      </c>
      <c r="R5213" t="s">
        <v>23</v>
      </c>
      <c r="S5213" s="1" t="s">
        <v>34218</v>
      </c>
    </row>
    <row r="5214" spans="1:19" x14ac:dyDescent="0.25">
      <c r="A5214">
        <v>100688983</v>
      </c>
      <c r="B5214" t="s">
        <v>12891</v>
      </c>
      <c r="C5214" t="s">
        <v>699</v>
      </c>
      <c r="G5214" t="s">
        <v>12991</v>
      </c>
      <c r="H5214" t="s">
        <v>7820</v>
      </c>
      <c r="I5214" t="s">
        <v>135</v>
      </c>
      <c r="J5214">
        <v>60134</v>
      </c>
      <c r="K5214">
        <v>4654</v>
      </c>
      <c r="L5214" t="s">
        <v>23</v>
      </c>
      <c r="M5214" t="s">
        <v>12991</v>
      </c>
      <c r="N5214" t="s">
        <v>7820</v>
      </c>
      <c r="O5214" t="s">
        <v>135</v>
      </c>
      <c r="P5214">
        <v>60134</v>
      </c>
      <c r="Q5214">
        <v>4654</v>
      </c>
      <c r="R5214" t="s">
        <v>23</v>
      </c>
      <c r="S5214" s="1" t="s">
        <v>34218</v>
      </c>
    </row>
    <row r="5215" spans="1:19" x14ac:dyDescent="0.25">
      <c r="A5215">
        <v>100692035</v>
      </c>
      <c r="B5215" t="s">
        <v>12992</v>
      </c>
      <c r="C5215" t="s">
        <v>12993</v>
      </c>
      <c r="G5215" t="s">
        <v>12994</v>
      </c>
      <c r="H5215" t="s">
        <v>12995</v>
      </c>
      <c r="I5215" t="s">
        <v>327</v>
      </c>
      <c r="J5215">
        <v>26222</v>
      </c>
      <c r="K5215">
        <v>111</v>
      </c>
      <c r="L5215" t="s">
        <v>23</v>
      </c>
      <c r="M5215" t="s">
        <v>12994</v>
      </c>
      <c r="N5215" t="s">
        <v>12995</v>
      </c>
      <c r="O5215" t="s">
        <v>327</v>
      </c>
      <c r="P5215">
        <v>26222</v>
      </c>
      <c r="Q5215">
        <v>111</v>
      </c>
      <c r="R5215" t="s">
        <v>23</v>
      </c>
      <c r="S5215" s="1" t="s">
        <v>34218</v>
      </c>
    </row>
    <row r="5216" spans="1:19" x14ac:dyDescent="0.25">
      <c r="A5216">
        <v>100693450</v>
      </c>
      <c r="B5216" t="s">
        <v>12229</v>
      </c>
      <c r="C5216" t="s">
        <v>7569</v>
      </c>
      <c r="G5216" t="s">
        <v>12996</v>
      </c>
      <c r="H5216" t="s">
        <v>12997</v>
      </c>
      <c r="I5216" t="s">
        <v>140</v>
      </c>
      <c r="J5216">
        <v>48038</v>
      </c>
      <c r="K5216">
        <v>4440</v>
      </c>
      <c r="L5216" t="s">
        <v>23</v>
      </c>
      <c r="M5216" t="s">
        <v>12996</v>
      </c>
      <c r="N5216" t="s">
        <v>12997</v>
      </c>
      <c r="O5216" t="s">
        <v>140</v>
      </c>
      <c r="P5216">
        <v>48038</v>
      </c>
      <c r="Q5216">
        <v>4440</v>
      </c>
      <c r="R5216" t="s">
        <v>23</v>
      </c>
      <c r="S5216" s="1" t="s">
        <v>34218</v>
      </c>
    </row>
    <row r="5217" spans="1:19" x14ac:dyDescent="0.25">
      <c r="A5217">
        <v>100700512</v>
      </c>
      <c r="B5217" t="s">
        <v>12998</v>
      </c>
      <c r="C5217" t="s">
        <v>12999</v>
      </c>
      <c r="G5217" t="s">
        <v>13000</v>
      </c>
      <c r="H5217" t="s">
        <v>9318</v>
      </c>
      <c r="I5217" t="s">
        <v>117</v>
      </c>
      <c r="J5217">
        <v>11795</v>
      </c>
      <c r="K5217">
        <v>1012</v>
      </c>
      <c r="L5217" t="s">
        <v>23</v>
      </c>
      <c r="M5217" t="s">
        <v>13000</v>
      </c>
      <c r="N5217" t="s">
        <v>9318</v>
      </c>
      <c r="O5217" t="s">
        <v>117</v>
      </c>
      <c r="P5217">
        <v>11795</v>
      </c>
      <c r="Q5217">
        <v>1012</v>
      </c>
      <c r="R5217" t="s">
        <v>23</v>
      </c>
      <c r="S5217" s="1" t="s">
        <v>34218</v>
      </c>
    </row>
    <row r="5218" spans="1:19" x14ac:dyDescent="0.25">
      <c r="A5218">
        <v>100700570</v>
      </c>
      <c r="B5218" t="s">
        <v>1698</v>
      </c>
      <c r="C5218" t="s">
        <v>403</v>
      </c>
      <c r="G5218" t="s">
        <v>13001</v>
      </c>
      <c r="H5218" t="s">
        <v>5644</v>
      </c>
      <c r="I5218" t="s">
        <v>370</v>
      </c>
      <c r="J5218">
        <v>68104</v>
      </c>
      <c r="K5218">
        <v>3707</v>
      </c>
      <c r="L5218" t="s">
        <v>23</v>
      </c>
      <c r="M5218" t="s">
        <v>13001</v>
      </c>
      <c r="N5218" t="s">
        <v>5644</v>
      </c>
      <c r="O5218" t="s">
        <v>370</v>
      </c>
      <c r="P5218">
        <v>68104</v>
      </c>
      <c r="Q5218">
        <v>3707</v>
      </c>
      <c r="R5218" t="s">
        <v>23</v>
      </c>
      <c r="S5218" s="1" t="s">
        <v>34218</v>
      </c>
    </row>
    <row r="5219" spans="1:19" x14ac:dyDescent="0.25">
      <c r="A5219">
        <v>100695450</v>
      </c>
      <c r="B5219" t="s">
        <v>10985</v>
      </c>
      <c r="C5219" t="s">
        <v>7569</v>
      </c>
      <c r="F5219" t="str">
        <f>"5555555555"</f>
        <v>5555555555</v>
      </c>
      <c r="G5219" t="s">
        <v>13002</v>
      </c>
      <c r="H5219" t="s">
        <v>13003</v>
      </c>
      <c r="I5219" t="s">
        <v>332</v>
      </c>
      <c r="J5219">
        <v>84532</v>
      </c>
      <c r="K5219">
        <v>2605</v>
      </c>
      <c r="L5219" t="s">
        <v>23</v>
      </c>
      <c r="M5219" t="s">
        <v>13002</v>
      </c>
      <c r="N5219" t="s">
        <v>13003</v>
      </c>
      <c r="O5219" t="s">
        <v>332</v>
      </c>
      <c r="P5219">
        <v>84532</v>
      </c>
      <c r="Q5219">
        <v>2605</v>
      </c>
      <c r="R5219" t="s">
        <v>23</v>
      </c>
      <c r="S5219" s="1" t="s">
        <v>34218</v>
      </c>
    </row>
    <row r="5220" spans="1:19" x14ac:dyDescent="0.25">
      <c r="A5220">
        <v>100699792</v>
      </c>
      <c r="B5220" t="s">
        <v>13004</v>
      </c>
      <c r="C5220" t="s">
        <v>9305</v>
      </c>
      <c r="G5220" t="s">
        <v>13005</v>
      </c>
      <c r="H5220" t="s">
        <v>13006</v>
      </c>
      <c r="I5220" t="s">
        <v>140</v>
      </c>
      <c r="J5220">
        <v>48239</v>
      </c>
      <c r="K5220">
        <v>2753</v>
      </c>
      <c r="L5220" t="s">
        <v>23</v>
      </c>
      <c r="M5220" t="s">
        <v>13005</v>
      </c>
      <c r="N5220" t="s">
        <v>13006</v>
      </c>
      <c r="O5220" t="s">
        <v>140</v>
      </c>
      <c r="P5220">
        <v>48239</v>
      </c>
      <c r="Q5220">
        <v>2753</v>
      </c>
      <c r="R5220" t="s">
        <v>23</v>
      </c>
      <c r="S5220" s="1" t="s">
        <v>34218</v>
      </c>
    </row>
    <row r="5221" spans="1:19" x14ac:dyDescent="0.25">
      <c r="A5221">
        <v>100704251</v>
      </c>
      <c r="B5221" t="s">
        <v>13007</v>
      </c>
      <c r="C5221" t="s">
        <v>102</v>
      </c>
      <c r="F5221" t="str">
        <f>"3016419508"</f>
        <v>3016419508</v>
      </c>
      <c r="G5221" t="s">
        <v>13008</v>
      </c>
      <c r="H5221" t="s">
        <v>560</v>
      </c>
      <c r="I5221" t="s">
        <v>148</v>
      </c>
      <c r="J5221">
        <v>20850</v>
      </c>
      <c r="K5221">
        <v>2733</v>
      </c>
      <c r="L5221" t="s">
        <v>23</v>
      </c>
      <c r="M5221" t="s">
        <v>13008</v>
      </c>
      <c r="N5221" t="s">
        <v>560</v>
      </c>
      <c r="O5221" t="s">
        <v>148</v>
      </c>
      <c r="P5221">
        <v>20850</v>
      </c>
      <c r="Q5221">
        <v>2733</v>
      </c>
      <c r="R5221" t="s">
        <v>23</v>
      </c>
      <c r="S5221" s="1" t="s">
        <v>34218</v>
      </c>
    </row>
    <row r="5222" spans="1:19" x14ac:dyDescent="0.25">
      <c r="A5222">
        <v>100705808</v>
      </c>
      <c r="B5222" t="s">
        <v>4623</v>
      </c>
      <c r="C5222" t="s">
        <v>13009</v>
      </c>
      <c r="G5222" t="s">
        <v>13010</v>
      </c>
      <c r="H5222" t="s">
        <v>9717</v>
      </c>
      <c r="I5222" t="s">
        <v>1482</v>
      </c>
      <c r="J5222">
        <v>29108</v>
      </c>
      <c r="K5222">
        <v>2751</v>
      </c>
      <c r="L5222" t="s">
        <v>23</v>
      </c>
      <c r="M5222" t="s">
        <v>13010</v>
      </c>
      <c r="N5222" t="s">
        <v>9717</v>
      </c>
      <c r="O5222" t="s">
        <v>1482</v>
      </c>
      <c r="P5222">
        <v>29108</v>
      </c>
      <c r="Q5222">
        <v>2751</v>
      </c>
      <c r="R5222" t="s">
        <v>23</v>
      </c>
      <c r="S5222" s="1" t="s">
        <v>34218</v>
      </c>
    </row>
    <row r="5223" spans="1:19" x14ac:dyDescent="0.25">
      <c r="A5223">
        <v>100705271</v>
      </c>
      <c r="B5223" t="s">
        <v>13011</v>
      </c>
      <c r="C5223" t="s">
        <v>664</v>
      </c>
      <c r="G5223" t="s">
        <v>13012</v>
      </c>
      <c r="H5223" t="s">
        <v>8098</v>
      </c>
      <c r="I5223" t="s">
        <v>126</v>
      </c>
      <c r="J5223">
        <v>63385</v>
      </c>
      <c r="K5223">
        <v>5533</v>
      </c>
      <c r="L5223" t="s">
        <v>23</v>
      </c>
      <c r="M5223" t="s">
        <v>13012</v>
      </c>
      <c r="N5223" t="s">
        <v>8098</v>
      </c>
      <c r="O5223" t="s">
        <v>126</v>
      </c>
      <c r="P5223">
        <v>63385</v>
      </c>
      <c r="Q5223">
        <v>5533</v>
      </c>
      <c r="R5223" t="s">
        <v>23</v>
      </c>
      <c r="S5223" s="1" t="s">
        <v>34218</v>
      </c>
    </row>
    <row r="5224" spans="1:19" x14ac:dyDescent="0.25">
      <c r="A5224">
        <v>100706190</v>
      </c>
      <c r="B5224" t="s">
        <v>13013</v>
      </c>
      <c r="C5224" t="s">
        <v>30</v>
      </c>
      <c r="G5224" t="s">
        <v>13014</v>
      </c>
      <c r="H5224" t="s">
        <v>10653</v>
      </c>
      <c r="I5224" t="s">
        <v>135</v>
      </c>
      <c r="J5224">
        <v>60091</v>
      </c>
      <c r="K5224">
        <v>2949</v>
      </c>
      <c r="L5224" t="s">
        <v>23</v>
      </c>
      <c r="M5224" t="s">
        <v>13014</v>
      </c>
      <c r="N5224" t="s">
        <v>10653</v>
      </c>
      <c r="O5224" t="s">
        <v>135</v>
      </c>
      <c r="P5224">
        <v>60091</v>
      </c>
      <c r="Q5224">
        <v>2949</v>
      </c>
      <c r="R5224" t="s">
        <v>23</v>
      </c>
      <c r="S5224" s="1" t="s">
        <v>34218</v>
      </c>
    </row>
    <row r="5225" spans="1:19" x14ac:dyDescent="0.25">
      <c r="A5225">
        <v>100890554</v>
      </c>
      <c r="B5225" t="s">
        <v>3828</v>
      </c>
      <c r="C5225" t="s">
        <v>4124</v>
      </c>
      <c r="G5225" t="s">
        <v>13015</v>
      </c>
      <c r="H5225" t="s">
        <v>5155</v>
      </c>
      <c r="I5225" t="s">
        <v>33</v>
      </c>
      <c r="J5225">
        <v>19508</v>
      </c>
      <c r="K5225">
        <v>2014</v>
      </c>
      <c r="L5225" t="s">
        <v>23</v>
      </c>
      <c r="M5225" t="s">
        <v>13015</v>
      </c>
      <c r="N5225" t="s">
        <v>5155</v>
      </c>
      <c r="O5225" t="s">
        <v>33</v>
      </c>
      <c r="P5225">
        <v>19508</v>
      </c>
      <c r="Q5225">
        <v>2014</v>
      </c>
      <c r="R5225" t="s">
        <v>23</v>
      </c>
      <c r="S5225" s="1" t="s">
        <v>34218</v>
      </c>
    </row>
    <row r="5226" spans="1:19" x14ac:dyDescent="0.25">
      <c r="A5226">
        <v>100891854</v>
      </c>
      <c r="B5226" t="s">
        <v>13016</v>
      </c>
      <c r="C5226" t="s">
        <v>1555</v>
      </c>
      <c r="G5226" t="s">
        <v>13017</v>
      </c>
      <c r="H5226" t="s">
        <v>2633</v>
      </c>
      <c r="I5226" t="s">
        <v>22</v>
      </c>
      <c r="J5226">
        <v>95954</v>
      </c>
      <c r="K5226">
        <v>9540</v>
      </c>
      <c r="L5226" t="s">
        <v>23</v>
      </c>
      <c r="M5226" t="s">
        <v>13017</v>
      </c>
      <c r="N5226" t="s">
        <v>2633</v>
      </c>
      <c r="O5226" t="s">
        <v>22</v>
      </c>
      <c r="P5226">
        <v>95954</v>
      </c>
      <c r="Q5226">
        <v>9540</v>
      </c>
      <c r="R5226" t="s">
        <v>23</v>
      </c>
      <c r="S5226" s="1" t="s">
        <v>34218</v>
      </c>
    </row>
    <row r="5227" spans="1:19" x14ac:dyDescent="0.25">
      <c r="A5227">
        <v>100899557</v>
      </c>
      <c r="B5227" t="s">
        <v>13018</v>
      </c>
      <c r="C5227" t="s">
        <v>1658</v>
      </c>
      <c r="G5227" t="s">
        <v>13019</v>
      </c>
      <c r="H5227" t="s">
        <v>8225</v>
      </c>
      <c r="I5227" t="s">
        <v>178</v>
      </c>
      <c r="J5227">
        <v>45628</v>
      </c>
      <c r="K5227">
        <v>9552</v>
      </c>
      <c r="L5227" t="s">
        <v>23</v>
      </c>
      <c r="M5227" t="s">
        <v>13019</v>
      </c>
      <c r="N5227" t="s">
        <v>8225</v>
      </c>
      <c r="O5227" t="s">
        <v>178</v>
      </c>
      <c r="P5227">
        <v>45628</v>
      </c>
      <c r="Q5227">
        <v>9552</v>
      </c>
      <c r="R5227" t="s">
        <v>23</v>
      </c>
      <c r="S5227" s="1" t="s">
        <v>34218</v>
      </c>
    </row>
    <row r="5228" spans="1:19" x14ac:dyDescent="0.25">
      <c r="A5228">
        <v>100900434</v>
      </c>
      <c r="B5228" t="s">
        <v>13020</v>
      </c>
      <c r="C5228" t="s">
        <v>123</v>
      </c>
      <c r="G5228" t="s">
        <v>13021</v>
      </c>
      <c r="H5228" t="s">
        <v>9368</v>
      </c>
      <c r="I5228" t="s">
        <v>353</v>
      </c>
      <c r="J5228">
        <v>3063</v>
      </c>
      <c r="K5228">
        <v>7622</v>
      </c>
      <c r="L5228" t="s">
        <v>23</v>
      </c>
      <c r="M5228" t="s">
        <v>13021</v>
      </c>
      <c r="N5228" t="s">
        <v>9368</v>
      </c>
      <c r="O5228" t="s">
        <v>353</v>
      </c>
      <c r="P5228">
        <v>3063</v>
      </c>
      <c r="Q5228">
        <v>7622</v>
      </c>
      <c r="R5228" t="s">
        <v>23</v>
      </c>
      <c r="S5228" s="1" t="s">
        <v>34218</v>
      </c>
    </row>
    <row r="5229" spans="1:19" x14ac:dyDescent="0.25">
      <c r="A5229">
        <v>100900405</v>
      </c>
      <c r="B5229" t="s">
        <v>13022</v>
      </c>
      <c r="C5229" t="s">
        <v>2518</v>
      </c>
      <c r="G5229" t="s">
        <v>13023</v>
      </c>
      <c r="H5229" t="s">
        <v>13024</v>
      </c>
      <c r="I5229" t="s">
        <v>22</v>
      </c>
      <c r="J5229">
        <v>95843</v>
      </c>
      <c r="K5229">
        <v>5935</v>
      </c>
      <c r="L5229" t="s">
        <v>23</v>
      </c>
      <c r="M5229" t="s">
        <v>13023</v>
      </c>
      <c r="N5229" t="s">
        <v>13024</v>
      </c>
      <c r="O5229" t="s">
        <v>22</v>
      </c>
      <c r="P5229">
        <v>95843</v>
      </c>
      <c r="Q5229">
        <v>5935</v>
      </c>
      <c r="R5229" t="s">
        <v>23</v>
      </c>
      <c r="S5229" s="1" t="s">
        <v>34218</v>
      </c>
    </row>
    <row r="5230" spans="1:19" x14ac:dyDescent="0.25">
      <c r="A5230">
        <v>100897005</v>
      </c>
      <c r="B5230" t="s">
        <v>13025</v>
      </c>
      <c r="C5230" t="s">
        <v>13026</v>
      </c>
      <c r="F5230" t="str">
        <f>"5186646010"</f>
        <v>5186646010</v>
      </c>
      <c r="G5230" t="s">
        <v>13027</v>
      </c>
      <c r="H5230" t="s">
        <v>9722</v>
      </c>
      <c r="I5230" t="s">
        <v>117</v>
      </c>
      <c r="J5230">
        <v>12118</v>
      </c>
      <c r="K5230">
        <v>288</v>
      </c>
      <c r="L5230" t="s">
        <v>23</v>
      </c>
      <c r="M5230" t="s">
        <v>13027</v>
      </c>
      <c r="N5230" t="s">
        <v>9722</v>
      </c>
      <c r="O5230" t="s">
        <v>117</v>
      </c>
      <c r="P5230">
        <v>12118</v>
      </c>
      <c r="Q5230">
        <v>288</v>
      </c>
      <c r="R5230" t="s">
        <v>23</v>
      </c>
      <c r="S5230" s="1" t="s">
        <v>34218</v>
      </c>
    </row>
    <row r="5231" spans="1:19" x14ac:dyDescent="0.25">
      <c r="A5231">
        <v>100901708</v>
      </c>
      <c r="B5231" t="s">
        <v>11075</v>
      </c>
      <c r="C5231" t="s">
        <v>1906</v>
      </c>
      <c r="G5231" t="s">
        <v>13028</v>
      </c>
      <c r="H5231" t="s">
        <v>5269</v>
      </c>
      <c r="I5231" t="s">
        <v>22</v>
      </c>
      <c r="J5231">
        <v>90505</v>
      </c>
      <c r="K5231">
        <v>4316</v>
      </c>
      <c r="L5231" t="s">
        <v>23</v>
      </c>
      <c r="M5231" t="s">
        <v>13028</v>
      </c>
      <c r="N5231" t="s">
        <v>5269</v>
      </c>
      <c r="O5231" t="s">
        <v>22</v>
      </c>
      <c r="P5231">
        <v>90505</v>
      </c>
      <c r="Q5231">
        <v>4316</v>
      </c>
      <c r="R5231" t="s">
        <v>23</v>
      </c>
      <c r="S5231" s="1" t="s">
        <v>34218</v>
      </c>
    </row>
    <row r="5232" spans="1:19" x14ac:dyDescent="0.25">
      <c r="A5232">
        <v>100900866</v>
      </c>
      <c r="B5232" t="s">
        <v>1134</v>
      </c>
      <c r="C5232" t="s">
        <v>1669</v>
      </c>
      <c r="G5232" t="s">
        <v>13029</v>
      </c>
      <c r="H5232" t="s">
        <v>37</v>
      </c>
      <c r="I5232" t="s">
        <v>38</v>
      </c>
      <c r="J5232">
        <v>78758</v>
      </c>
      <c r="K5232">
        <v>4733</v>
      </c>
      <c r="L5232" t="s">
        <v>23</v>
      </c>
      <c r="M5232" t="s">
        <v>13029</v>
      </c>
      <c r="N5232" t="s">
        <v>37</v>
      </c>
      <c r="O5232" t="s">
        <v>38</v>
      </c>
      <c r="P5232">
        <v>78758</v>
      </c>
      <c r="Q5232">
        <v>4733</v>
      </c>
      <c r="R5232" t="s">
        <v>23</v>
      </c>
      <c r="S5232" s="1" t="s">
        <v>34218</v>
      </c>
    </row>
    <row r="5233" spans="1:19" x14ac:dyDescent="0.25">
      <c r="A5233">
        <v>100908628</v>
      </c>
      <c r="B5233" t="s">
        <v>2712</v>
      </c>
      <c r="C5233" t="s">
        <v>1050</v>
      </c>
      <c r="G5233" t="s">
        <v>13030</v>
      </c>
      <c r="H5233" t="s">
        <v>1052</v>
      </c>
      <c r="I5233" t="s">
        <v>117</v>
      </c>
      <c r="J5233">
        <v>21212</v>
      </c>
      <c r="L5233" t="s">
        <v>23</v>
      </c>
      <c r="M5233" t="s">
        <v>13030</v>
      </c>
      <c r="N5233" t="s">
        <v>1052</v>
      </c>
      <c r="O5233" t="s">
        <v>117</v>
      </c>
      <c r="P5233">
        <v>21212</v>
      </c>
      <c r="R5233" t="s">
        <v>23</v>
      </c>
      <c r="S5233" s="1" t="s">
        <v>34218</v>
      </c>
    </row>
    <row r="5234" spans="1:19" x14ac:dyDescent="0.25">
      <c r="A5234">
        <v>100918602</v>
      </c>
      <c r="B5234" t="s">
        <v>3629</v>
      </c>
      <c r="C5234" t="s">
        <v>4407</v>
      </c>
      <c r="F5234" t="str">
        <f>"2038558339"</f>
        <v>2038558339</v>
      </c>
      <c r="G5234" t="s">
        <v>13031</v>
      </c>
      <c r="H5234" t="s">
        <v>2540</v>
      </c>
      <c r="I5234" t="s">
        <v>161</v>
      </c>
      <c r="J5234">
        <v>6850</v>
      </c>
      <c r="K5234">
        <v>3323</v>
      </c>
      <c r="L5234" t="s">
        <v>23</v>
      </c>
      <c r="M5234" t="s">
        <v>13031</v>
      </c>
      <c r="N5234" t="s">
        <v>2540</v>
      </c>
      <c r="O5234" t="s">
        <v>161</v>
      </c>
      <c r="P5234">
        <v>6850</v>
      </c>
      <c r="Q5234">
        <v>3323</v>
      </c>
      <c r="R5234" t="s">
        <v>23</v>
      </c>
      <c r="S5234" s="1" t="s">
        <v>34218</v>
      </c>
    </row>
    <row r="5235" spans="1:19" x14ac:dyDescent="0.25">
      <c r="A5235">
        <v>100913357</v>
      </c>
      <c r="B5235" t="s">
        <v>13032</v>
      </c>
      <c r="C5235" t="s">
        <v>90</v>
      </c>
      <c r="G5235" t="s">
        <v>13033</v>
      </c>
      <c r="H5235" t="s">
        <v>913</v>
      </c>
      <c r="I5235" t="s">
        <v>914</v>
      </c>
      <c r="J5235">
        <v>37209</v>
      </c>
      <c r="K5235">
        <v>3652</v>
      </c>
      <c r="L5235" t="s">
        <v>23</v>
      </c>
      <c r="M5235" t="s">
        <v>13033</v>
      </c>
      <c r="N5235" t="s">
        <v>913</v>
      </c>
      <c r="O5235" t="s">
        <v>914</v>
      </c>
      <c r="P5235">
        <v>37209</v>
      </c>
      <c r="Q5235">
        <v>3652</v>
      </c>
      <c r="R5235" t="s">
        <v>23</v>
      </c>
      <c r="S5235" s="1" t="s">
        <v>34218</v>
      </c>
    </row>
    <row r="5236" spans="1:19" x14ac:dyDescent="0.25">
      <c r="A5236">
        <v>100520294</v>
      </c>
      <c r="B5236" t="s">
        <v>7881</v>
      </c>
      <c r="C5236" t="s">
        <v>321</v>
      </c>
      <c r="G5236" t="s">
        <v>13034</v>
      </c>
      <c r="H5236" t="s">
        <v>13035</v>
      </c>
      <c r="I5236" t="s">
        <v>140</v>
      </c>
      <c r="J5236">
        <v>48075</v>
      </c>
      <c r="K5236">
        <v>1748</v>
      </c>
      <c r="L5236" t="s">
        <v>23</v>
      </c>
      <c r="M5236" t="s">
        <v>13034</v>
      </c>
      <c r="N5236" t="s">
        <v>13035</v>
      </c>
      <c r="O5236" t="s">
        <v>140</v>
      </c>
      <c r="P5236">
        <v>48075</v>
      </c>
      <c r="Q5236">
        <v>1748</v>
      </c>
      <c r="R5236" t="s">
        <v>23</v>
      </c>
      <c r="S5236" s="1" t="s">
        <v>34218</v>
      </c>
    </row>
    <row r="5237" spans="1:19" x14ac:dyDescent="0.25">
      <c r="A5237">
        <v>100522573</v>
      </c>
      <c r="B5237" t="s">
        <v>13036</v>
      </c>
      <c r="C5237" t="s">
        <v>13037</v>
      </c>
      <c r="G5237" t="s">
        <v>13038</v>
      </c>
      <c r="H5237" t="s">
        <v>13039</v>
      </c>
      <c r="I5237" t="s">
        <v>22</v>
      </c>
      <c r="J5237">
        <v>96161</v>
      </c>
      <c r="K5237">
        <v>8104</v>
      </c>
      <c r="L5237" t="s">
        <v>23</v>
      </c>
      <c r="M5237" t="s">
        <v>13038</v>
      </c>
      <c r="N5237" t="s">
        <v>13039</v>
      </c>
      <c r="O5237" t="s">
        <v>22</v>
      </c>
      <c r="P5237">
        <v>96161</v>
      </c>
      <c r="Q5237">
        <v>8104</v>
      </c>
      <c r="R5237" t="s">
        <v>23</v>
      </c>
      <c r="S5237" s="1" t="s">
        <v>34218</v>
      </c>
    </row>
    <row r="5238" spans="1:19" x14ac:dyDescent="0.25">
      <c r="A5238">
        <v>100522675</v>
      </c>
      <c r="B5238" t="s">
        <v>2426</v>
      </c>
      <c r="C5238" t="s">
        <v>5599</v>
      </c>
      <c r="G5238" t="s">
        <v>13040</v>
      </c>
      <c r="H5238" t="s">
        <v>198</v>
      </c>
      <c r="I5238" t="s">
        <v>22</v>
      </c>
      <c r="J5238">
        <v>92122</v>
      </c>
      <c r="K5238">
        <v>5160</v>
      </c>
      <c r="L5238" t="s">
        <v>23</v>
      </c>
      <c r="M5238" t="s">
        <v>13040</v>
      </c>
      <c r="N5238" t="s">
        <v>198</v>
      </c>
      <c r="O5238" t="s">
        <v>22</v>
      </c>
      <c r="P5238">
        <v>92122</v>
      </c>
      <c r="Q5238">
        <v>5160</v>
      </c>
      <c r="R5238" t="s">
        <v>23</v>
      </c>
      <c r="S5238" s="1" t="s">
        <v>34218</v>
      </c>
    </row>
    <row r="5239" spans="1:19" x14ac:dyDescent="0.25">
      <c r="A5239">
        <v>100519768</v>
      </c>
      <c r="B5239" t="s">
        <v>12109</v>
      </c>
      <c r="C5239" t="s">
        <v>535</v>
      </c>
      <c r="G5239" t="s">
        <v>13041</v>
      </c>
      <c r="H5239" t="s">
        <v>21</v>
      </c>
      <c r="I5239" t="s">
        <v>22</v>
      </c>
      <c r="J5239">
        <v>95403</v>
      </c>
      <c r="K5239">
        <v>2410</v>
      </c>
      <c r="L5239" t="s">
        <v>23</v>
      </c>
      <c r="M5239" t="s">
        <v>13041</v>
      </c>
      <c r="N5239" t="s">
        <v>21</v>
      </c>
      <c r="O5239" t="s">
        <v>22</v>
      </c>
      <c r="P5239">
        <v>95403</v>
      </c>
      <c r="Q5239">
        <v>2410</v>
      </c>
      <c r="R5239" t="s">
        <v>23</v>
      </c>
      <c r="S5239" s="1" t="s">
        <v>34218</v>
      </c>
    </row>
    <row r="5240" spans="1:19" x14ac:dyDescent="0.25">
      <c r="A5240">
        <v>100523851</v>
      </c>
      <c r="B5240" t="s">
        <v>654</v>
      </c>
      <c r="C5240" t="s">
        <v>2134</v>
      </c>
      <c r="G5240" t="s">
        <v>13042</v>
      </c>
      <c r="H5240" t="s">
        <v>13043</v>
      </c>
      <c r="I5240" t="s">
        <v>236</v>
      </c>
      <c r="J5240">
        <v>2125</v>
      </c>
      <c r="K5240">
        <v>1067</v>
      </c>
      <c r="L5240" t="s">
        <v>23</v>
      </c>
      <c r="M5240" t="s">
        <v>13042</v>
      </c>
      <c r="N5240" t="s">
        <v>13043</v>
      </c>
      <c r="O5240" t="s">
        <v>236</v>
      </c>
      <c r="P5240">
        <v>2125</v>
      </c>
      <c r="Q5240">
        <v>1067</v>
      </c>
      <c r="R5240" t="s">
        <v>23</v>
      </c>
      <c r="S5240" s="1" t="s">
        <v>34218</v>
      </c>
    </row>
    <row r="5241" spans="1:19" x14ac:dyDescent="0.25">
      <c r="A5241">
        <v>100522055</v>
      </c>
      <c r="B5241" t="s">
        <v>5253</v>
      </c>
      <c r="C5241" t="s">
        <v>1906</v>
      </c>
      <c r="F5241" t="str">
        <f>"6309682028"</f>
        <v>6309682028</v>
      </c>
      <c r="G5241" t="s">
        <v>13044</v>
      </c>
      <c r="H5241" t="s">
        <v>4902</v>
      </c>
      <c r="I5241" t="s">
        <v>57</v>
      </c>
      <c r="J5241">
        <v>46356</v>
      </c>
      <c r="K5241">
        <v>2276</v>
      </c>
      <c r="L5241" t="s">
        <v>23</v>
      </c>
      <c r="M5241" t="s">
        <v>13044</v>
      </c>
      <c r="N5241" t="s">
        <v>4902</v>
      </c>
      <c r="O5241" t="s">
        <v>57</v>
      </c>
      <c r="P5241">
        <v>46356</v>
      </c>
      <c r="Q5241">
        <v>2276</v>
      </c>
      <c r="R5241" t="s">
        <v>23</v>
      </c>
      <c r="S5241" s="1" t="s">
        <v>34218</v>
      </c>
    </row>
    <row r="5242" spans="1:19" x14ac:dyDescent="0.25">
      <c r="A5242">
        <v>100522153</v>
      </c>
      <c r="B5242" t="s">
        <v>10861</v>
      </c>
      <c r="C5242" t="s">
        <v>286</v>
      </c>
      <c r="G5242" t="s">
        <v>13045</v>
      </c>
      <c r="H5242" t="s">
        <v>13046</v>
      </c>
      <c r="I5242" t="s">
        <v>135</v>
      </c>
      <c r="J5242">
        <v>60089</v>
      </c>
      <c r="K5242">
        <v>1762</v>
      </c>
      <c r="L5242" t="s">
        <v>23</v>
      </c>
      <c r="M5242" t="s">
        <v>13045</v>
      </c>
      <c r="N5242" t="s">
        <v>13046</v>
      </c>
      <c r="O5242" t="s">
        <v>135</v>
      </c>
      <c r="P5242">
        <v>60089</v>
      </c>
      <c r="Q5242">
        <v>1762</v>
      </c>
      <c r="R5242" t="s">
        <v>23</v>
      </c>
      <c r="S5242" s="1" t="s">
        <v>34218</v>
      </c>
    </row>
    <row r="5243" spans="1:19" x14ac:dyDescent="0.25">
      <c r="A5243">
        <v>100527937</v>
      </c>
      <c r="B5243" t="s">
        <v>13047</v>
      </c>
      <c r="C5243" t="s">
        <v>2466</v>
      </c>
      <c r="F5243" t="str">
        <f>"3018682412"</f>
        <v>3018682412</v>
      </c>
      <c r="G5243" t="s">
        <v>13048</v>
      </c>
      <c r="H5243" t="s">
        <v>13049</v>
      </c>
      <c r="I5243" t="s">
        <v>148</v>
      </c>
      <c r="J5243">
        <v>20772</v>
      </c>
      <c r="K5243">
        <v>4662</v>
      </c>
      <c r="L5243" t="s">
        <v>23</v>
      </c>
      <c r="M5243" t="s">
        <v>13048</v>
      </c>
      <c r="N5243" t="s">
        <v>13049</v>
      </c>
      <c r="O5243" t="s">
        <v>148</v>
      </c>
      <c r="P5243">
        <v>20772</v>
      </c>
      <c r="Q5243">
        <v>4662</v>
      </c>
      <c r="R5243" t="s">
        <v>23</v>
      </c>
      <c r="S5243" s="1" t="s">
        <v>34218</v>
      </c>
    </row>
    <row r="5244" spans="1:19" x14ac:dyDescent="0.25">
      <c r="A5244">
        <v>100709662</v>
      </c>
      <c r="B5244" t="s">
        <v>13050</v>
      </c>
      <c r="C5244" t="s">
        <v>4502</v>
      </c>
      <c r="F5244" t="str">
        <f>"8082569526"</f>
        <v>8082569526</v>
      </c>
      <c r="G5244" t="s">
        <v>13051</v>
      </c>
      <c r="H5244" t="s">
        <v>4235</v>
      </c>
      <c r="I5244" t="s">
        <v>984</v>
      </c>
      <c r="J5244">
        <v>96817</v>
      </c>
      <c r="K5244">
        <v>1057</v>
      </c>
      <c r="L5244" t="s">
        <v>23</v>
      </c>
      <c r="M5244" t="s">
        <v>13051</v>
      </c>
      <c r="N5244" t="s">
        <v>4235</v>
      </c>
      <c r="O5244" t="s">
        <v>984</v>
      </c>
      <c r="P5244">
        <v>96817</v>
      </c>
      <c r="Q5244">
        <v>1057</v>
      </c>
      <c r="R5244" t="s">
        <v>23</v>
      </c>
      <c r="S5244" s="1" t="s">
        <v>34218</v>
      </c>
    </row>
    <row r="5245" spans="1:19" x14ac:dyDescent="0.25">
      <c r="A5245">
        <v>100707307</v>
      </c>
      <c r="B5245" t="s">
        <v>3109</v>
      </c>
      <c r="C5245" t="s">
        <v>2127</v>
      </c>
      <c r="G5245" t="s">
        <v>13052</v>
      </c>
      <c r="H5245" t="s">
        <v>13053</v>
      </c>
      <c r="I5245" t="s">
        <v>43</v>
      </c>
      <c r="J5245">
        <v>97031</v>
      </c>
      <c r="K5245">
        <v>9727</v>
      </c>
      <c r="L5245" t="s">
        <v>23</v>
      </c>
      <c r="M5245" t="s">
        <v>13052</v>
      </c>
      <c r="N5245" t="s">
        <v>13053</v>
      </c>
      <c r="O5245" t="s">
        <v>43</v>
      </c>
      <c r="P5245">
        <v>97031</v>
      </c>
      <c r="Q5245">
        <v>9727</v>
      </c>
      <c r="R5245" t="s">
        <v>23</v>
      </c>
      <c r="S5245" s="1" t="s">
        <v>34218</v>
      </c>
    </row>
    <row r="5246" spans="1:19" x14ac:dyDescent="0.25">
      <c r="A5246">
        <v>100713613</v>
      </c>
      <c r="B5246" t="s">
        <v>13054</v>
      </c>
      <c r="C5246" t="s">
        <v>3314</v>
      </c>
      <c r="F5246" t="str">
        <f>"4082241949"</f>
        <v>4082241949</v>
      </c>
      <c r="G5246" t="s">
        <v>13055</v>
      </c>
      <c r="H5246" t="s">
        <v>481</v>
      </c>
      <c r="I5246" t="s">
        <v>22</v>
      </c>
      <c r="J5246">
        <v>95111</v>
      </c>
      <c r="K5246">
        <v>3810</v>
      </c>
      <c r="L5246" t="s">
        <v>23</v>
      </c>
      <c r="M5246" t="s">
        <v>13055</v>
      </c>
      <c r="N5246" t="s">
        <v>481</v>
      </c>
      <c r="O5246" t="s">
        <v>22</v>
      </c>
      <c r="P5246">
        <v>95111</v>
      </c>
      <c r="Q5246">
        <v>3810</v>
      </c>
      <c r="R5246" t="s">
        <v>23</v>
      </c>
      <c r="S5246" s="1" t="s">
        <v>34218</v>
      </c>
    </row>
    <row r="5247" spans="1:19" x14ac:dyDescent="0.25">
      <c r="A5247">
        <v>100714733</v>
      </c>
      <c r="B5247" t="s">
        <v>13056</v>
      </c>
      <c r="C5247" t="s">
        <v>1647</v>
      </c>
      <c r="G5247" t="s">
        <v>13057</v>
      </c>
      <c r="H5247" t="s">
        <v>2375</v>
      </c>
      <c r="I5247" t="s">
        <v>178</v>
      </c>
      <c r="J5247">
        <v>44057</v>
      </c>
      <c r="K5247">
        <v>3172</v>
      </c>
      <c r="L5247" t="s">
        <v>23</v>
      </c>
      <c r="M5247" t="s">
        <v>13057</v>
      </c>
      <c r="N5247" t="s">
        <v>2375</v>
      </c>
      <c r="O5247" t="s">
        <v>178</v>
      </c>
      <c r="P5247">
        <v>44057</v>
      </c>
      <c r="Q5247">
        <v>3172</v>
      </c>
      <c r="R5247" t="s">
        <v>23</v>
      </c>
      <c r="S5247" s="1" t="s">
        <v>34218</v>
      </c>
    </row>
    <row r="5248" spans="1:19" x14ac:dyDescent="0.25">
      <c r="A5248">
        <v>100714495</v>
      </c>
      <c r="B5248" t="s">
        <v>13058</v>
      </c>
      <c r="C5248" t="s">
        <v>475</v>
      </c>
      <c r="G5248" t="s">
        <v>13059</v>
      </c>
      <c r="H5248" t="s">
        <v>11932</v>
      </c>
      <c r="I5248" t="s">
        <v>43</v>
      </c>
      <c r="J5248">
        <v>97222</v>
      </c>
      <c r="K5248">
        <v>4131</v>
      </c>
      <c r="L5248" t="s">
        <v>23</v>
      </c>
      <c r="M5248" t="s">
        <v>13059</v>
      </c>
      <c r="N5248" t="s">
        <v>11932</v>
      </c>
      <c r="O5248" t="s">
        <v>43</v>
      </c>
      <c r="P5248">
        <v>97222</v>
      </c>
      <c r="Q5248">
        <v>4131</v>
      </c>
      <c r="R5248" t="s">
        <v>23</v>
      </c>
      <c r="S5248" s="1" t="s">
        <v>34218</v>
      </c>
    </row>
    <row r="5249" spans="1:19" x14ac:dyDescent="0.25">
      <c r="A5249">
        <v>100715488</v>
      </c>
      <c r="B5249" t="s">
        <v>13060</v>
      </c>
      <c r="C5249" t="s">
        <v>773</v>
      </c>
      <c r="G5249" t="s">
        <v>13061</v>
      </c>
      <c r="H5249" t="s">
        <v>13062</v>
      </c>
      <c r="I5249" t="s">
        <v>52</v>
      </c>
      <c r="J5249">
        <v>32940</v>
      </c>
      <c r="K5249">
        <v>6732</v>
      </c>
      <c r="L5249" t="s">
        <v>23</v>
      </c>
      <c r="M5249" t="s">
        <v>13061</v>
      </c>
      <c r="N5249" t="s">
        <v>13062</v>
      </c>
      <c r="O5249" t="s">
        <v>52</v>
      </c>
      <c r="P5249">
        <v>32940</v>
      </c>
      <c r="Q5249">
        <v>6732</v>
      </c>
      <c r="R5249" t="s">
        <v>23</v>
      </c>
      <c r="S5249" s="1" t="s">
        <v>34218</v>
      </c>
    </row>
    <row r="5250" spans="1:19" x14ac:dyDescent="0.25">
      <c r="A5250">
        <v>100721421</v>
      </c>
      <c r="B5250" t="s">
        <v>13063</v>
      </c>
      <c r="C5250" t="s">
        <v>3442</v>
      </c>
      <c r="G5250" t="s">
        <v>13064</v>
      </c>
      <c r="H5250" t="s">
        <v>177</v>
      </c>
      <c r="I5250" t="s">
        <v>236</v>
      </c>
      <c r="J5250">
        <v>1721</v>
      </c>
      <c r="K5250">
        <v>1016</v>
      </c>
      <c r="L5250" t="s">
        <v>23</v>
      </c>
      <c r="M5250" t="s">
        <v>13064</v>
      </c>
      <c r="N5250" t="s">
        <v>177</v>
      </c>
      <c r="O5250" t="s">
        <v>236</v>
      </c>
      <c r="P5250">
        <v>1721</v>
      </c>
      <c r="Q5250">
        <v>1016</v>
      </c>
      <c r="R5250" t="s">
        <v>23</v>
      </c>
      <c r="S5250" s="1" t="s">
        <v>34218</v>
      </c>
    </row>
    <row r="5251" spans="1:19" x14ac:dyDescent="0.25">
      <c r="A5251">
        <v>100728026</v>
      </c>
      <c r="B5251" t="s">
        <v>3956</v>
      </c>
      <c r="C5251" t="s">
        <v>644</v>
      </c>
      <c r="G5251" t="s">
        <v>13065</v>
      </c>
      <c r="H5251" t="s">
        <v>4446</v>
      </c>
      <c r="I5251" t="s">
        <v>250</v>
      </c>
      <c r="J5251">
        <v>8844</v>
      </c>
      <c r="K5251">
        <v>3007</v>
      </c>
      <c r="L5251" t="s">
        <v>23</v>
      </c>
      <c r="M5251" t="s">
        <v>13065</v>
      </c>
      <c r="N5251" t="s">
        <v>4446</v>
      </c>
      <c r="O5251" t="s">
        <v>250</v>
      </c>
      <c r="P5251">
        <v>8844</v>
      </c>
      <c r="Q5251">
        <v>3007</v>
      </c>
      <c r="R5251" t="s">
        <v>23</v>
      </c>
      <c r="S5251" s="1" t="s">
        <v>34218</v>
      </c>
    </row>
    <row r="5252" spans="1:19" x14ac:dyDescent="0.25">
      <c r="A5252">
        <v>100729529</v>
      </c>
      <c r="B5252" t="s">
        <v>3966</v>
      </c>
      <c r="C5252" t="s">
        <v>1374</v>
      </c>
      <c r="G5252" t="s">
        <v>13066</v>
      </c>
      <c r="H5252" t="s">
        <v>13067</v>
      </c>
      <c r="I5252" t="s">
        <v>62</v>
      </c>
      <c r="J5252">
        <v>74571</v>
      </c>
      <c r="K5252">
        <v>9749</v>
      </c>
      <c r="L5252" t="s">
        <v>23</v>
      </c>
      <c r="M5252" t="s">
        <v>13066</v>
      </c>
      <c r="N5252" t="s">
        <v>13067</v>
      </c>
      <c r="O5252" t="s">
        <v>62</v>
      </c>
      <c r="P5252">
        <v>74571</v>
      </c>
      <c r="Q5252">
        <v>9749</v>
      </c>
      <c r="R5252" t="s">
        <v>23</v>
      </c>
      <c r="S5252" s="1" t="s">
        <v>34218</v>
      </c>
    </row>
    <row r="5253" spans="1:19" x14ac:dyDescent="0.25">
      <c r="A5253">
        <v>100735305</v>
      </c>
      <c r="B5253" t="s">
        <v>13068</v>
      </c>
      <c r="C5253" t="s">
        <v>40</v>
      </c>
      <c r="G5253" t="s">
        <v>13069</v>
      </c>
      <c r="H5253" t="s">
        <v>7886</v>
      </c>
      <c r="I5253" t="s">
        <v>33</v>
      </c>
      <c r="J5253">
        <v>17501</v>
      </c>
      <c r="K5253">
        <v>1163</v>
      </c>
      <c r="L5253" t="s">
        <v>23</v>
      </c>
      <c r="M5253" t="s">
        <v>13069</v>
      </c>
      <c r="N5253" t="s">
        <v>7886</v>
      </c>
      <c r="O5253" t="s">
        <v>33</v>
      </c>
      <c r="P5253">
        <v>17501</v>
      </c>
      <c r="Q5253">
        <v>1163</v>
      </c>
      <c r="R5253" t="s">
        <v>23</v>
      </c>
      <c r="S5253" s="1" t="s">
        <v>34218</v>
      </c>
    </row>
    <row r="5254" spans="1:19" x14ac:dyDescent="0.25">
      <c r="A5254">
        <v>100915129</v>
      </c>
      <c r="B5254" t="s">
        <v>119</v>
      </c>
      <c r="C5254" t="s">
        <v>102</v>
      </c>
      <c r="G5254" t="s">
        <v>13070</v>
      </c>
      <c r="H5254" t="s">
        <v>2119</v>
      </c>
      <c r="I5254" t="s">
        <v>250</v>
      </c>
      <c r="J5254">
        <v>7040</v>
      </c>
      <c r="K5254">
        <v>1231</v>
      </c>
      <c r="L5254" t="s">
        <v>23</v>
      </c>
      <c r="M5254" t="s">
        <v>13070</v>
      </c>
      <c r="N5254" t="s">
        <v>2119</v>
      </c>
      <c r="O5254" t="s">
        <v>250</v>
      </c>
      <c r="P5254">
        <v>7040</v>
      </c>
      <c r="Q5254">
        <v>1231</v>
      </c>
      <c r="R5254" t="s">
        <v>23</v>
      </c>
      <c r="S5254" s="1" t="s">
        <v>34218</v>
      </c>
    </row>
    <row r="5255" spans="1:19" x14ac:dyDescent="0.25">
      <c r="A5255">
        <v>100917279</v>
      </c>
      <c r="B5255" t="s">
        <v>13071</v>
      </c>
      <c r="C5255" t="s">
        <v>6143</v>
      </c>
      <c r="G5255" t="s">
        <v>13072</v>
      </c>
      <c r="H5255" t="s">
        <v>3707</v>
      </c>
      <c r="I5255" t="s">
        <v>148</v>
      </c>
      <c r="J5255">
        <v>20895</v>
      </c>
      <c r="K5255">
        <v>2717</v>
      </c>
      <c r="L5255" t="s">
        <v>23</v>
      </c>
      <c r="M5255" t="s">
        <v>13072</v>
      </c>
      <c r="N5255" t="s">
        <v>3707</v>
      </c>
      <c r="O5255" t="s">
        <v>148</v>
      </c>
      <c r="P5255">
        <v>20895</v>
      </c>
      <c r="Q5255">
        <v>2717</v>
      </c>
      <c r="R5255" t="s">
        <v>23</v>
      </c>
      <c r="S5255" s="1" t="s">
        <v>34218</v>
      </c>
    </row>
    <row r="5256" spans="1:19" x14ac:dyDescent="0.25">
      <c r="A5256">
        <v>100918524</v>
      </c>
      <c r="B5256" t="s">
        <v>13073</v>
      </c>
      <c r="C5256" t="s">
        <v>1306</v>
      </c>
      <c r="F5256" t="str">
        <f>"4168618195"</f>
        <v>4168618195</v>
      </c>
      <c r="G5256" t="s">
        <v>13074</v>
      </c>
      <c r="H5256" t="s">
        <v>8256</v>
      </c>
      <c r="I5256" t="s">
        <v>250</v>
      </c>
      <c r="J5256">
        <v>8816</v>
      </c>
      <c r="K5256">
        <v>1116</v>
      </c>
      <c r="L5256" t="s">
        <v>23</v>
      </c>
      <c r="M5256" t="s">
        <v>13074</v>
      </c>
      <c r="N5256" t="s">
        <v>8256</v>
      </c>
      <c r="O5256" t="s">
        <v>250</v>
      </c>
      <c r="P5256">
        <v>8816</v>
      </c>
      <c r="Q5256">
        <v>1116</v>
      </c>
      <c r="R5256" t="s">
        <v>23</v>
      </c>
      <c r="S5256" s="1" t="s">
        <v>34218</v>
      </c>
    </row>
    <row r="5257" spans="1:19" x14ac:dyDescent="0.25">
      <c r="A5257">
        <v>100934791</v>
      </c>
      <c r="B5257" t="s">
        <v>13075</v>
      </c>
      <c r="C5257" t="s">
        <v>1027</v>
      </c>
      <c r="G5257" t="s">
        <v>13076</v>
      </c>
      <c r="H5257" t="s">
        <v>1181</v>
      </c>
      <c r="I5257" t="s">
        <v>22</v>
      </c>
      <c r="J5257">
        <v>93402</v>
      </c>
      <c r="K5257">
        <v>2222</v>
      </c>
      <c r="L5257" t="s">
        <v>23</v>
      </c>
      <c r="M5257" t="s">
        <v>13076</v>
      </c>
      <c r="N5257" t="s">
        <v>1181</v>
      </c>
      <c r="O5257" t="s">
        <v>22</v>
      </c>
      <c r="P5257">
        <v>93402</v>
      </c>
      <c r="Q5257">
        <v>2222</v>
      </c>
      <c r="R5257" t="s">
        <v>23</v>
      </c>
      <c r="S5257" s="1" t="s">
        <v>34218</v>
      </c>
    </row>
    <row r="5258" spans="1:19" x14ac:dyDescent="0.25">
      <c r="A5258">
        <v>100931559</v>
      </c>
      <c r="B5258" t="s">
        <v>823</v>
      </c>
      <c r="C5258" t="s">
        <v>9050</v>
      </c>
      <c r="G5258" t="s">
        <v>13077</v>
      </c>
      <c r="H5258" t="s">
        <v>488</v>
      </c>
      <c r="I5258" t="s">
        <v>307</v>
      </c>
      <c r="J5258">
        <v>5036</v>
      </c>
      <c r="K5258">
        <v>9432</v>
      </c>
      <c r="L5258" t="s">
        <v>23</v>
      </c>
      <c r="M5258" t="s">
        <v>13077</v>
      </c>
      <c r="N5258" t="s">
        <v>488</v>
      </c>
      <c r="O5258" t="s">
        <v>307</v>
      </c>
      <c r="P5258">
        <v>5036</v>
      </c>
      <c r="Q5258">
        <v>9432</v>
      </c>
      <c r="R5258" t="s">
        <v>23</v>
      </c>
      <c r="S5258" s="1" t="s">
        <v>34218</v>
      </c>
    </row>
    <row r="5259" spans="1:19" x14ac:dyDescent="0.25">
      <c r="A5259">
        <v>100941104</v>
      </c>
      <c r="B5259" t="s">
        <v>13078</v>
      </c>
      <c r="C5259" t="s">
        <v>145</v>
      </c>
      <c r="G5259" t="s">
        <v>13079</v>
      </c>
      <c r="H5259" t="s">
        <v>1857</v>
      </c>
      <c r="I5259" t="s">
        <v>702</v>
      </c>
      <c r="J5259">
        <v>89508</v>
      </c>
      <c r="K5259">
        <v>8179</v>
      </c>
      <c r="L5259" t="s">
        <v>23</v>
      </c>
      <c r="M5259" t="s">
        <v>13079</v>
      </c>
      <c r="N5259" t="s">
        <v>1857</v>
      </c>
      <c r="O5259" t="s">
        <v>702</v>
      </c>
      <c r="P5259">
        <v>89508</v>
      </c>
      <c r="Q5259">
        <v>8179</v>
      </c>
      <c r="R5259" t="s">
        <v>23</v>
      </c>
      <c r="S5259" s="1" t="s">
        <v>34218</v>
      </c>
    </row>
    <row r="5260" spans="1:19" x14ac:dyDescent="0.25">
      <c r="A5260">
        <v>100942898</v>
      </c>
      <c r="B5260" t="s">
        <v>13080</v>
      </c>
      <c r="C5260" t="s">
        <v>1350</v>
      </c>
      <c r="F5260" t="str">
        <f>"9252287675"</f>
        <v>9252287675</v>
      </c>
      <c r="G5260" t="s">
        <v>13081</v>
      </c>
      <c r="H5260" t="s">
        <v>858</v>
      </c>
      <c r="I5260" t="s">
        <v>22</v>
      </c>
      <c r="J5260">
        <v>94553</v>
      </c>
      <c r="K5260">
        <v>5344</v>
      </c>
      <c r="L5260" t="s">
        <v>23</v>
      </c>
      <c r="M5260" t="s">
        <v>13081</v>
      </c>
      <c r="N5260" t="s">
        <v>858</v>
      </c>
      <c r="O5260" t="s">
        <v>22</v>
      </c>
      <c r="P5260">
        <v>94553</v>
      </c>
      <c r="Q5260">
        <v>5344</v>
      </c>
      <c r="R5260" t="s">
        <v>23</v>
      </c>
      <c r="S5260" s="1" t="s">
        <v>34218</v>
      </c>
    </row>
    <row r="5261" spans="1:19" x14ac:dyDescent="0.25">
      <c r="A5261">
        <v>101122736</v>
      </c>
      <c r="B5261" t="s">
        <v>13082</v>
      </c>
      <c r="C5261" t="s">
        <v>102</v>
      </c>
      <c r="F5261" t="str">
        <f>"8154747132"</f>
        <v>8154747132</v>
      </c>
      <c r="G5261" t="s">
        <v>13083</v>
      </c>
      <c r="H5261" t="s">
        <v>6490</v>
      </c>
      <c r="I5261" t="s">
        <v>135</v>
      </c>
      <c r="J5261">
        <v>60544</v>
      </c>
      <c r="K5261">
        <v>2834</v>
      </c>
      <c r="L5261" t="s">
        <v>23</v>
      </c>
      <c r="M5261" t="s">
        <v>13083</v>
      </c>
      <c r="N5261" t="s">
        <v>6490</v>
      </c>
      <c r="O5261" t="s">
        <v>135</v>
      </c>
      <c r="P5261">
        <v>60544</v>
      </c>
      <c r="Q5261">
        <v>2834</v>
      </c>
      <c r="R5261" t="s">
        <v>23</v>
      </c>
      <c r="S5261" s="1" t="s">
        <v>34218</v>
      </c>
    </row>
    <row r="5262" spans="1:19" x14ac:dyDescent="0.25">
      <c r="A5262">
        <v>101125108</v>
      </c>
      <c r="B5262" t="s">
        <v>3303</v>
      </c>
      <c r="C5262" t="s">
        <v>9405</v>
      </c>
      <c r="G5262" t="s">
        <v>13084</v>
      </c>
      <c r="H5262" t="s">
        <v>3798</v>
      </c>
      <c r="I5262" t="s">
        <v>71</v>
      </c>
      <c r="J5262">
        <v>80233</v>
      </c>
      <c r="K5262">
        <v>1537</v>
      </c>
      <c r="L5262" t="s">
        <v>23</v>
      </c>
      <c r="M5262" t="s">
        <v>13084</v>
      </c>
      <c r="N5262" t="s">
        <v>3798</v>
      </c>
      <c r="O5262" t="s">
        <v>71</v>
      </c>
      <c r="P5262">
        <v>80233</v>
      </c>
      <c r="Q5262">
        <v>1537</v>
      </c>
      <c r="R5262" t="s">
        <v>23</v>
      </c>
      <c r="S5262" s="1" t="s">
        <v>34218</v>
      </c>
    </row>
    <row r="5263" spans="1:19" x14ac:dyDescent="0.25">
      <c r="A5263">
        <v>101128081</v>
      </c>
      <c r="B5263" t="s">
        <v>2637</v>
      </c>
      <c r="C5263" t="s">
        <v>90</v>
      </c>
      <c r="G5263" t="s">
        <v>13085</v>
      </c>
      <c r="H5263" t="s">
        <v>195</v>
      </c>
      <c r="I5263" t="s">
        <v>22</v>
      </c>
      <c r="J5263">
        <v>95073</v>
      </c>
      <c r="K5263">
        <v>2957</v>
      </c>
      <c r="L5263" t="s">
        <v>23</v>
      </c>
      <c r="M5263" t="s">
        <v>13085</v>
      </c>
      <c r="N5263" t="s">
        <v>195</v>
      </c>
      <c r="O5263" t="s">
        <v>22</v>
      </c>
      <c r="P5263">
        <v>95073</v>
      </c>
      <c r="Q5263">
        <v>2957</v>
      </c>
      <c r="R5263" t="s">
        <v>23</v>
      </c>
      <c r="S5263" s="1" t="s">
        <v>34218</v>
      </c>
    </row>
    <row r="5264" spans="1:19" x14ac:dyDescent="0.25">
      <c r="A5264">
        <v>101133125</v>
      </c>
      <c r="B5264" t="s">
        <v>13086</v>
      </c>
      <c r="C5264" t="s">
        <v>2715</v>
      </c>
      <c r="G5264" t="s">
        <v>13087</v>
      </c>
      <c r="H5264" t="s">
        <v>13088</v>
      </c>
      <c r="I5264" t="s">
        <v>117</v>
      </c>
      <c r="J5264">
        <v>11579</v>
      </c>
      <c r="K5264">
        <v>1146</v>
      </c>
      <c r="L5264" t="s">
        <v>23</v>
      </c>
      <c r="M5264" t="s">
        <v>13087</v>
      </c>
      <c r="N5264" t="s">
        <v>13088</v>
      </c>
      <c r="O5264" t="s">
        <v>117</v>
      </c>
      <c r="P5264">
        <v>11579</v>
      </c>
      <c r="Q5264">
        <v>1146</v>
      </c>
      <c r="R5264" t="s">
        <v>23</v>
      </c>
      <c r="S5264" s="1" t="s">
        <v>34218</v>
      </c>
    </row>
    <row r="5265" spans="1:19" x14ac:dyDescent="0.25">
      <c r="A5265">
        <v>101128685</v>
      </c>
      <c r="B5265" t="s">
        <v>256</v>
      </c>
      <c r="C5265" t="s">
        <v>690</v>
      </c>
      <c r="G5265" t="s">
        <v>13089</v>
      </c>
      <c r="H5265" t="s">
        <v>682</v>
      </c>
      <c r="I5265" t="s">
        <v>365</v>
      </c>
      <c r="J5265">
        <v>85016</v>
      </c>
      <c r="K5265">
        <v>7929</v>
      </c>
      <c r="L5265" t="s">
        <v>23</v>
      </c>
      <c r="M5265" t="s">
        <v>13089</v>
      </c>
      <c r="N5265" t="s">
        <v>682</v>
      </c>
      <c r="O5265" t="s">
        <v>365</v>
      </c>
      <c r="P5265">
        <v>85016</v>
      </c>
      <c r="Q5265">
        <v>7929</v>
      </c>
      <c r="R5265" t="s">
        <v>23</v>
      </c>
      <c r="S5265" s="1" t="s">
        <v>34218</v>
      </c>
    </row>
    <row r="5266" spans="1:19" x14ac:dyDescent="0.25">
      <c r="A5266">
        <v>100758224</v>
      </c>
      <c r="B5266" t="s">
        <v>13090</v>
      </c>
      <c r="C5266" t="s">
        <v>13091</v>
      </c>
      <c r="G5266" t="s">
        <v>13092</v>
      </c>
      <c r="H5266" t="s">
        <v>682</v>
      </c>
      <c r="I5266" t="s">
        <v>365</v>
      </c>
      <c r="J5266">
        <v>85016</v>
      </c>
      <c r="K5266">
        <v>7032</v>
      </c>
      <c r="L5266" t="s">
        <v>23</v>
      </c>
      <c r="M5266" t="s">
        <v>13092</v>
      </c>
      <c r="N5266" t="s">
        <v>682</v>
      </c>
      <c r="O5266" t="s">
        <v>365</v>
      </c>
      <c r="P5266">
        <v>85016</v>
      </c>
      <c r="Q5266">
        <v>7032</v>
      </c>
      <c r="R5266" t="s">
        <v>23</v>
      </c>
      <c r="S5266" s="1" t="s">
        <v>34218</v>
      </c>
    </row>
    <row r="5267" spans="1:19" x14ac:dyDescent="0.25">
      <c r="A5267">
        <v>100944560</v>
      </c>
      <c r="B5267" t="s">
        <v>654</v>
      </c>
      <c r="C5267" t="s">
        <v>180</v>
      </c>
      <c r="G5267" t="s">
        <v>13093</v>
      </c>
      <c r="H5267" t="s">
        <v>976</v>
      </c>
      <c r="I5267" t="s">
        <v>140</v>
      </c>
      <c r="J5267">
        <v>48108</v>
      </c>
      <c r="K5267">
        <v>9659</v>
      </c>
      <c r="L5267" t="s">
        <v>23</v>
      </c>
      <c r="M5267" t="s">
        <v>13093</v>
      </c>
      <c r="N5267" t="s">
        <v>976</v>
      </c>
      <c r="O5267" t="s">
        <v>140</v>
      </c>
      <c r="P5267">
        <v>48108</v>
      </c>
      <c r="Q5267">
        <v>9659</v>
      </c>
      <c r="R5267" t="s">
        <v>23</v>
      </c>
      <c r="S5267" s="1" t="s">
        <v>34218</v>
      </c>
    </row>
    <row r="5268" spans="1:19" x14ac:dyDescent="0.25">
      <c r="A5268">
        <v>100941171</v>
      </c>
      <c r="B5268" t="s">
        <v>199</v>
      </c>
      <c r="C5268" t="s">
        <v>7792</v>
      </c>
      <c r="F5268" t="str">
        <f>"8139801326"</f>
        <v>8139801326</v>
      </c>
      <c r="G5268" t="s">
        <v>13094</v>
      </c>
      <c r="H5268" t="s">
        <v>2279</v>
      </c>
      <c r="I5268" t="s">
        <v>52</v>
      </c>
      <c r="J5268">
        <v>33604</v>
      </c>
      <c r="K5268">
        <v>4514</v>
      </c>
      <c r="L5268" t="s">
        <v>23</v>
      </c>
      <c r="M5268" t="s">
        <v>13094</v>
      </c>
      <c r="N5268" t="s">
        <v>2279</v>
      </c>
      <c r="O5268" t="s">
        <v>52</v>
      </c>
      <c r="P5268">
        <v>33604</v>
      </c>
      <c r="Q5268">
        <v>4514</v>
      </c>
      <c r="R5268" t="s">
        <v>23</v>
      </c>
      <c r="S5268" s="1" t="s">
        <v>34218</v>
      </c>
    </row>
    <row r="5269" spans="1:19" x14ac:dyDescent="0.25">
      <c r="A5269">
        <v>100953404</v>
      </c>
      <c r="B5269" t="s">
        <v>13095</v>
      </c>
      <c r="C5269" t="s">
        <v>1208</v>
      </c>
      <c r="G5269" t="s">
        <v>13096</v>
      </c>
      <c r="H5269" t="s">
        <v>9412</v>
      </c>
      <c r="I5269" t="s">
        <v>135</v>
      </c>
      <c r="J5269">
        <v>60441</v>
      </c>
      <c r="K5269">
        <v>4949</v>
      </c>
      <c r="L5269" t="s">
        <v>23</v>
      </c>
      <c r="M5269" t="s">
        <v>13096</v>
      </c>
      <c r="N5269" t="s">
        <v>9412</v>
      </c>
      <c r="O5269" t="s">
        <v>135</v>
      </c>
      <c r="P5269">
        <v>60441</v>
      </c>
      <c r="Q5269">
        <v>4949</v>
      </c>
      <c r="R5269" t="s">
        <v>23</v>
      </c>
      <c r="S5269" s="1" t="s">
        <v>34218</v>
      </c>
    </row>
    <row r="5270" spans="1:19" x14ac:dyDescent="0.25">
      <c r="A5270">
        <v>100955576</v>
      </c>
      <c r="B5270" t="s">
        <v>13097</v>
      </c>
      <c r="C5270" t="s">
        <v>13098</v>
      </c>
      <c r="G5270" t="s">
        <v>13099</v>
      </c>
      <c r="H5270" t="s">
        <v>2069</v>
      </c>
      <c r="I5270" t="s">
        <v>22</v>
      </c>
      <c r="J5270">
        <v>95472</v>
      </c>
      <c r="K5270">
        <v>2928</v>
      </c>
      <c r="L5270" t="s">
        <v>23</v>
      </c>
      <c r="M5270" t="s">
        <v>13099</v>
      </c>
      <c r="N5270" t="s">
        <v>2069</v>
      </c>
      <c r="O5270" t="s">
        <v>22</v>
      </c>
      <c r="P5270">
        <v>95472</v>
      </c>
      <c r="Q5270">
        <v>2928</v>
      </c>
      <c r="R5270" t="s">
        <v>23</v>
      </c>
      <c r="S5270" s="1" t="s">
        <v>34218</v>
      </c>
    </row>
    <row r="5271" spans="1:19" x14ac:dyDescent="0.25">
      <c r="A5271">
        <v>100960946</v>
      </c>
      <c r="B5271" t="s">
        <v>13100</v>
      </c>
      <c r="C5271" t="s">
        <v>3482</v>
      </c>
      <c r="G5271" t="s">
        <v>13101</v>
      </c>
      <c r="H5271" t="s">
        <v>481</v>
      </c>
      <c r="I5271" t="s">
        <v>22</v>
      </c>
      <c r="J5271">
        <v>95133</v>
      </c>
      <c r="K5271">
        <v>2511</v>
      </c>
      <c r="L5271" t="s">
        <v>23</v>
      </c>
      <c r="M5271" t="s">
        <v>13101</v>
      </c>
      <c r="N5271" t="s">
        <v>481</v>
      </c>
      <c r="O5271" t="s">
        <v>22</v>
      </c>
      <c r="P5271">
        <v>95133</v>
      </c>
      <c r="Q5271">
        <v>2511</v>
      </c>
      <c r="R5271" t="s">
        <v>23</v>
      </c>
      <c r="S5271" s="1" t="s">
        <v>34218</v>
      </c>
    </row>
    <row r="5272" spans="1:19" x14ac:dyDescent="0.25">
      <c r="A5272">
        <v>100961000</v>
      </c>
      <c r="B5272" t="s">
        <v>13102</v>
      </c>
      <c r="C5272" t="s">
        <v>13103</v>
      </c>
      <c r="G5272" t="s">
        <v>13104</v>
      </c>
      <c r="H5272" t="s">
        <v>1105</v>
      </c>
      <c r="I5272" t="s">
        <v>117</v>
      </c>
      <c r="J5272">
        <v>10462</v>
      </c>
      <c r="K5272">
        <v>2430</v>
      </c>
      <c r="L5272" t="s">
        <v>23</v>
      </c>
      <c r="M5272" t="s">
        <v>13104</v>
      </c>
      <c r="N5272" t="s">
        <v>1105</v>
      </c>
      <c r="O5272" t="s">
        <v>117</v>
      </c>
      <c r="P5272">
        <v>10462</v>
      </c>
      <c r="Q5272">
        <v>2430</v>
      </c>
      <c r="R5272" t="s">
        <v>23</v>
      </c>
      <c r="S5272" s="1" t="s">
        <v>34218</v>
      </c>
    </row>
    <row r="5273" spans="1:19" x14ac:dyDescent="0.25">
      <c r="A5273">
        <v>100961031</v>
      </c>
      <c r="B5273" t="s">
        <v>13105</v>
      </c>
      <c r="C5273" t="s">
        <v>513</v>
      </c>
      <c r="G5273" t="s">
        <v>13106</v>
      </c>
      <c r="H5273" t="s">
        <v>909</v>
      </c>
      <c r="I5273" t="s">
        <v>250</v>
      </c>
      <c r="J5273">
        <v>8034</v>
      </c>
      <c r="K5273">
        <v>3724</v>
      </c>
      <c r="L5273" t="s">
        <v>23</v>
      </c>
      <c r="M5273" t="s">
        <v>13106</v>
      </c>
      <c r="N5273" t="s">
        <v>909</v>
      </c>
      <c r="O5273" t="s">
        <v>250</v>
      </c>
      <c r="P5273">
        <v>8034</v>
      </c>
      <c r="Q5273">
        <v>3724</v>
      </c>
      <c r="R5273" t="s">
        <v>23</v>
      </c>
      <c r="S5273" s="1" t="s">
        <v>34218</v>
      </c>
    </row>
    <row r="5274" spans="1:19" x14ac:dyDescent="0.25">
      <c r="A5274">
        <v>100959723</v>
      </c>
      <c r="B5274" t="s">
        <v>13107</v>
      </c>
      <c r="C5274" t="s">
        <v>1602</v>
      </c>
      <c r="G5274" t="s">
        <v>13108</v>
      </c>
      <c r="H5274" t="s">
        <v>299</v>
      </c>
      <c r="I5274" t="s">
        <v>22</v>
      </c>
      <c r="J5274">
        <v>90039</v>
      </c>
      <c r="K5274">
        <v>1615</v>
      </c>
      <c r="L5274" t="s">
        <v>23</v>
      </c>
      <c r="M5274" t="s">
        <v>13108</v>
      </c>
      <c r="N5274" t="s">
        <v>299</v>
      </c>
      <c r="O5274" t="s">
        <v>22</v>
      </c>
      <c r="P5274">
        <v>90039</v>
      </c>
      <c r="Q5274">
        <v>1615</v>
      </c>
      <c r="R5274" t="s">
        <v>23</v>
      </c>
      <c r="S5274" s="1" t="s">
        <v>34218</v>
      </c>
    </row>
    <row r="5275" spans="1:19" x14ac:dyDescent="0.25">
      <c r="A5275">
        <v>100963858</v>
      </c>
      <c r="B5275" t="s">
        <v>13109</v>
      </c>
      <c r="C5275" t="s">
        <v>12603</v>
      </c>
      <c r="G5275" t="s">
        <v>13110</v>
      </c>
      <c r="H5275" t="s">
        <v>13111</v>
      </c>
      <c r="I5275" t="s">
        <v>22</v>
      </c>
      <c r="J5275">
        <v>91602</v>
      </c>
      <c r="K5275">
        <v>3018</v>
      </c>
      <c r="L5275" t="s">
        <v>23</v>
      </c>
      <c r="M5275" t="s">
        <v>13110</v>
      </c>
      <c r="N5275" t="s">
        <v>13111</v>
      </c>
      <c r="O5275" t="s">
        <v>22</v>
      </c>
      <c r="P5275">
        <v>91602</v>
      </c>
      <c r="Q5275">
        <v>3018</v>
      </c>
      <c r="R5275" t="s">
        <v>23</v>
      </c>
      <c r="S5275" s="1" t="s">
        <v>34218</v>
      </c>
    </row>
    <row r="5276" spans="1:19" x14ac:dyDescent="0.25">
      <c r="A5276">
        <v>101149868</v>
      </c>
      <c r="B5276" t="s">
        <v>13112</v>
      </c>
      <c r="C5276" t="s">
        <v>1212</v>
      </c>
      <c r="G5276" t="s">
        <v>13113</v>
      </c>
      <c r="H5276" t="s">
        <v>1186</v>
      </c>
      <c r="I5276" t="s">
        <v>117</v>
      </c>
      <c r="J5276">
        <v>11768</v>
      </c>
      <c r="K5276">
        <v>1234</v>
      </c>
      <c r="L5276" t="s">
        <v>23</v>
      </c>
      <c r="M5276" t="s">
        <v>13113</v>
      </c>
      <c r="N5276" t="s">
        <v>1186</v>
      </c>
      <c r="O5276" t="s">
        <v>117</v>
      </c>
      <c r="P5276">
        <v>11768</v>
      </c>
      <c r="Q5276">
        <v>1234</v>
      </c>
      <c r="R5276" t="s">
        <v>23</v>
      </c>
      <c r="S5276" s="1" t="s">
        <v>34218</v>
      </c>
    </row>
    <row r="5277" spans="1:19" x14ac:dyDescent="0.25">
      <c r="A5277">
        <v>101146745</v>
      </c>
      <c r="B5277" t="s">
        <v>13114</v>
      </c>
      <c r="C5277" t="s">
        <v>13115</v>
      </c>
      <c r="G5277" t="s">
        <v>13116</v>
      </c>
      <c r="H5277" t="s">
        <v>13117</v>
      </c>
      <c r="I5277" t="s">
        <v>307</v>
      </c>
      <c r="J5277">
        <v>5476</v>
      </c>
      <c r="K5277">
        <v>9773</v>
      </c>
      <c r="L5277" t="s">
        <v>23</v>
      </c>
      <c r="M5277" t="s">
        <v>13116</v>
      </c>
      <c r="N5277" t="s">
        <v>13117</v>
      </c>
      <c r="O5277" t="s">
        <v>307</v>
      </c>
      <c r="P5277">
        <v>5476</v>
      </c>
      <c r="Q5277">
        <v>9773</v>
      </c>
      <c r="R5277" t="s">
        <v>23</v>
      </c>
      <c r="S5277" s="1" t="s">
        <v>34218</v>
      </c>
    </row>
    <row r="5278" spans="1:19" x14ac:dyDescent="0.25">
      <c r="A5278">
        <v>101147633</v>
      </c>
      <c r="B5278" t="s">
        <v>2130</v>
      </c>
      <c r="C5278" t="s">
        <v>3774</v>
      </c>
      <c r="G5278" t="s">
        <v>13118</v>
      </c>
      <c r="H5278" t="s">
        <v>1979</v>
      </c>
      <c r="I5278" t="s">
        <v>135</v>
      </c>
      <c r="J5278">
        <v>60067</v>
      </c>
      <c r="K5278">
        <v>4350</v>
      </c>
      <c r="L5278" t="s">
        <v>23</v>
      </c>
      <c r="M5278" t="s">
        <v>13118</v>
      </c>
      <c r="N5278" t="s">
        <v>1979</v>
      </c>
      <c r="O5278" t="s">
        <v>135</v>
      </c>
      <c r="P5278">
        <v>60067</v>
      </c>
      <c r="Q5278">
        <v>4350</v>
      </c>
      <c r="R5278" t="s">
        <v>23</v>
      </c>
      <c r="S5278" s="1" t="s">
        <v>34218</v>
      </c>
    </row>
    <row r="5279" spans="1:19" x14ac:dyDescent="0.25">
      <c r="A5279">
        <v>101152997</v>
      </c>
      <c r="B5279" t="s">
        <v>11120</v>
      </c>
      <c r="C5279" t="s">
        <v>699</v>
      </c>
      <c r="F5279" t="str">
        <f>"3208865457"</f>
        <v>3208865457</v>
      </c>
      <c r="G5279" t="s">
        <v>13119</v>
      </c>
      <c r="H5279" t="s">
        <v>13120</v>
      </c>
      <c r="I5279" t="s">
        <v>187</v>
      </c>
      <c r="J5279">
        <v>56327</v>
      </c>
      <c r="K5279">
        <v>8246</v>
      </c>
      <c r="L5279" t="s">
        <v>23</v>
      </c>
      <c r="M5279" t="s">
        <v>13119</v>
      </c>
      <c r="N5279" t="s">
        <v>13120</v>
      </c>
      <c r="O5279" t="s">
        <v>187</v>
      </c>
      <c r="P5279">
        <v>56327</v>
      </c>
      <c r="Q5279">
        <v>8246</v>
      </c>
      <c r="R5279" t="s">
        <v>23</v>
      </c>
      <c r="S5279" s="1" t="s">
        <v>34218</v>
      </c>
    </row>
    <row r="5280" spans="1:19" x14ac:dyDescent="0.25">
      <c r="A5280">
        <v>101152754</v>
      </c>
      <c r="B5280" t="s">
        <v>13121</v>
      </c>
      <c r="C5280" t="s">
        <v>305</v>
      </c>
      <c r="G5280" t="s">
        <v>13122</v>
      </c>
      <c r="H5280" t="s">
        <v>4738</v>
      </c>
      <c r="I5280" t="s">
        <v>117</v>
      </c>
      <c r="J5280">
        <v>13053</v>
      </c>
      <c r="K5280">
        <v>9711</v>
      </c>
      <c r="L5280" t="s">
        <v>23</v>
      </c>
      <c r="M5280" t="s">
        <v>13122</v>
      </c>
      <c r="N5280" t="s">
        <v>4738</v>
      </c>
      <c r="O5280" t="s">
        <v>117</v>
      </c>
      <c r="P5280">
        <v>13053</v>
      </c>
      <c r="Q5280">
        <v>9711</v>
      </c>
      <c r="R5280" t="s">
        <v>23</v>
      </c>
      <c r="S5280" s="1" t="s">
        <v>34218</v>
      </c>
    </row>
    <row r="5281" spans="1:19" x14ac:dyDescent="0.25">
      <c r="A5281">
        <v>101151228</v>
      </c>
      <c r="B5281" t="s">
        <v>13123</v>
      </c>
      <c r="C5281" t="s">
        <v>180</v>
      </c>
      <c r="F5281" t="str">
        <f>"6503212654"</f>
        <v>6503212654</v>
      </c>
      <c r="G5281" t="s">
        <v>13124</v>
      </c>
      <c r="H5281" t="s">
        <v>4893</v>
      </c>
      <c r="I5281" t="s">
        <v>22</v>
      </c>
      <c r="J5281">
        <v>94025</v>
      </c>
      <c r="K5281">
        <v>5560</v>
      </c>
      <c r="L5281" t="s">
        <v>23</v>
      </c>
      <c r="M5281" t="s">
        <v>13124</v>
      </c>
      <c r="N5281" t="s">
        <v>4893</v>
      </c>
      <c r="O5281" t="s">
        <v>22</v>
      </c>
      <c r="P5281">
        <v>94025</v>
      </c>
      <c r="Q5281">
        <v>5560</v>
      </c>
      <c r="R5281" t="s">
        <v>23</v>
      </c>
      <c r="S5281" s="1" t="s">
        <v>34218</v>
      </c>
    </row>
    <row r="5282" spans="1:19" x14ac:dyDescent="0.25">
      <c r="A5282">
        <v>101154340</v>
      </c>
      <c r="B5282" t="s">
        <v>13125</v>
      </c>
      <c r="C5282" t="s">
        <v>2463</v>
      </c>
      <c r="F5282" t="str">
        <f>"7577577577"</f>
        <v>7577577577</v>
      </c>
      <c r="G5282" t="s">
        <v>13126</v>
      </c>
      <c r="H5282" t="s">
        <v>11512</v>
      </c>
      <c r="I5282" t="s">
        <v>255</v>
      </c>
      <c r="J5282">
        <v>23325</v>
      </c>
      <c r="K5282">
        <v>3634</v>
      </c>
      <c r="L5282" t="s">
        <v>23</v>
      </c>
      <c r="M5282" t="s">
        <v>13126</v>
      </c>
      <c r="N5282" t="s">
        <v>11512</v>
      </c>
      <c r="O5282" t="s">
        <v>255</v>
      </c>
      <c r="P5282">
        <v>23325</v>
      </c>
      <c r="Q5282">
        <v>3634</v>
      </c>
      <c r="R5282" t="s">
        <v>23</v>
      </c>
      <c r="S5282" s="1" t="s">
        <v>34218</v>
      </c>
    </row>
    <row r="5283" spans="1:19" x14ac:dyDescent="0.25">
      <c r="A5283">
        <v>101159475</v>
      </c>
      <c r="B5283" t="s">
        <v>13127</v>
      </c>
      <c r="C5283" t="s">
        <v>1309</v>
      </c>
      <c r="G5283" t="s">
        <v>13128</v>
      </c>
      <c r="H5283" t="s">
        <v>13129</v>
      </c>
      <c r="I5283" t="s">
        <v>178</v>
      </c>
      <c r="J5283">
        <v>44130</v>
      </c>
      <c r="K5283">
        <v>1747</v>
      </c>
      <c r="L5283" t="s">
        <v>23</v>
      </c>
      <c r="M5283" t="s">
        <v>13128</v>
      </c>
      <c r="N5283" t="s">
        <v>13129</v>
      </c>
      <c r="O5283" t="s">
        <v>178</v>
      </c>
      <c r="P5283">
        <v>44130</v>
      </c>
      <c r="Q5283">
        <v>1747</v>
      </c>
      <c r="R5283" t="s">
        <v>23</v>
      </c>
      <c r="S5283" s="1" t="s">
        <v>34218</v>
      </c>
    </row>
    <row r="5284" spans="1:19" x14ac:dyDescent="0.25">
      <c r="A5284">
        <v>101162086</v>
      </c>
      <c r="B5284" t="s">
        <v>13130</v>
      </c>
      <c r="C5284" t="s">
        <v>1933</v>
      </c>
      <c r="G5284" t="s">
        <v>13131</v>
      </c>
      <c r="H5284" t="s">
        <v>1604</v>
      </c>
      <c r="I5284" t="s">
        <v>148</v>
      </c>
      <c r="J5284">
        <v>21045</v>
      </c>
      <c r="K5284">
        <v>5108</v>
      </c>
      <c r="L5284" t="s">
        <v>23</v>
      </c>
      <c r="M5284" t="s">
        <v>13131</v>
      </c>
      <c r="N5284" t="s">
        <v>1604</v>
      </c>
      <c r="O5284" t="s">
        <v>148</v>
      </c>
      <c r="P5284">
        <v>21045</v>
      </c>
      <c r="Q5284">
        <v>5108</v>
      </c>
      <c r="R5284" t="s">
        <v>23</v>
      </c>
      <c r="S5284" s="1" t="s">
        <v>34218</v>
      </c>
    </row>
    <row r="5285" spans="1:19" x14ac:dyDescent="0.25">
      <c r="A5285">
        <v>101164859</v>
      </c>
      <c r="B5285" t="s">
        <v>13132</v>
      </c>
      <c r="C5285" t="s">
        <v>1208</v>
      </c>
      <c r="G5285" t="s">
        <v>13133</v>
      </c>
      <c r="H5285" t="s">
        <v>13134</v>
      </c>
      <c r="I5285" t="s">
        <v>100</v>
      </c>
      <c r="J5285">
        <v>54915</v>
      </c>
      <c r="K5285">
        <v>1023</v>
      </c>
      <c r="L5285" t="s">
        <v>23</v>
      </c>
      <c r="M5285" t="s">
        <v>13133</v>
      </c>
      <c r="N5285" t="s">
        <v>13134</v>
      </c>
      <c r="O5285" t="s">
        <v>100</v>
      </c>
      <c r="P5285">
        <v>54915</v>
      </c>
      <c r="Q5285">
        <v>1023</v>
      </c>
      <c r="R5285" t="s">
        <v>23</v>
      </c>
      <c r="S5285" s="1" t="s">
        <v>34218</v>
      </c>
    </row>
    <row r="5286" spans="1:19" x14ac:dyDescent="0.25">
      <c r="A5286">
        <v>101164913</v>
      </c>
      <c r="B5286" t="s">
        <v>13135</v>
      </c>
      <c r="C5286" t="s">
        <v>894</v>
      </c>
      <c r="G5286" t="s">
        <v>13136</v>
      </c>
      <c r="H5286" t="s">
        <v>13137</v>
      </c>
      <c r="I5286" t="s">
        <v>33</v>
      </c>
      <c r="J5286">
        <v>16403</v>
      </c>
      <c r="K5286">
        <v>2805</v>
      </c>
      <c r="L5286" t="s">
        <v>23</v>
      </c>
      <c r="M5286" t="s">
        <v>13136</v>
      </c>
      <c r="N5286" t="s">
        <v>13137</v>
      </c>
      <c r="O5286" t="s">
        <v>33</v>
      </c>
      <c r="P5286">
        <v>16403</v>
      </c>
      <c r="Q5286">
        <v>2805</v>
      </c>
      <c r="R5286" t="s">
        <v>23</v>
      </c>
      <c r="S5286" s="1" t="s">
        <v>34218</v>
      </c>
    </row>
    <row r="5287" spans="1:19" x14ac:dyDescent="0.25">
      <c r="A5287">
        <v>101165292</v>
      </c>
      <c r="B5287" t="s">
        <v>6058</v>
      </c>
      <c r="C5287" t="s">
        <v>2368</v>
      </c>
      <c r="G5287" t="s">
        <v>13138</v>
      </c>
      <c r="H5287" t="s">
        <v>1264</v>
      </c>
      <c r="I5287" t="s">
        <v>255</v>
      </c>
      <c r="J5287">
        <v>22630</v>
      </c>
      <c r="K5287">
        <v>6430</v>
      </c>
      <c r="L5287" t="s">
        <v>23</v>
      </c>
      <c r="M5287" t="s">
        <v>13138</v>
      </c>
      <c r="N5287" t="s">
        <v>1264</v>
      </c>
      <c r="O5287" t="s">
        <v>255</v>
      </c>
      <c r="P5287">
        <v>22630</v>
      </c>
      <c r="Q5287">
        <v>6430</v>
      </c>
      <c r="R5287" t="s">
        <v>23</v>
      </c>
      <c r="S5287" s="1" t="s">
        <v>34218</v>
      </c>
    </row>
    <row r="5288" spans="1:19" x14ac:dyDescent="0.25">
      <c r="A5288">
        <v>101169903</v>
      </c>
      <c r="B5288" t="s">
        <v>13139</v>
      </c>
      <c r="C5288" t="s">
        <v>1030</v>
      </c>
      <c r="G5288" t="s">
        <v>13140</v>
      </c>
      <c r="H5288" t="s">
        <v>13141</v>
      </c>
      <c r="I5288" t="s">
        <v>161</v>
      </c>
      <c r="J5288">
        <v>6360</v>
      </c>
      <c r="K5288">
        <v>3545</v>
      </c>
      <c r="L5288" t="s">
        <v>23</v>
      </c>
      <c r="M5288" t="s">
        <v>13140</v>
      </c>
      <c r="N5288" t="s">
        <v>13141</v>
      </c>
      <c r="O5288" t="s">
        <v>161</v>
      </c>
      <c r="P5288">
        <v>6360</v>
      </c>
      <c r="Q5288">
        <v>3545</v>
      </c>
      <c r="R5288" t="s">
        <v>23</v>
      </c>
      <c r="S5288" s="1" t="s">
        <v>34218</v>
      </c>
    </row>
    <row r="5289" spans="1:19" x14ac:dyDescent="0.25">
      <c r="A5289">
        <v>101167289</v>
      </c>
      <c r="B5289" t="s">
        <v>13142</v>
      </c>
      <c r="C5289" t="s">
        <v>155</v>
      </c>
      <c r="G5289" t="s">
        <v>13143</v>
      </c>
      <c r="H5289" t="s">
        <v>9442</v>
      </c>
      <c r="I5289" t="s">
        <v>161</v>
      </c>
      <c r="J5289">
        <v>6082</v>
      </c>
      <c r="K5289">
        <v>3524</v>
      </c>
      <c r="L5289" t="s">
        <v>23</v>
      </c>
      <c r="M5289" t="s">
        <v>13143</v>
      </c>
      <c r="N5289" t="s">
        <v>9442</v>
      </c>
      <c r="O5289" t="s">
        <v>161</v>
      </c>
      <c r="P5289">
        <v>6082</v>
      </c>
      <c r="Q5289">
        <v>3524</v>
      </c>
      <c r="R5289" t="s">
        <v>23</v>
      </c>
      <c r="S5289" s="1" t="s">
        <v>34218</v>
      </c>
    </row>
    <row r="5290" spans="1:19" x14ac:dyDescent="0.25">
      <c r="A5290">
        <v>101169999</v>
      </c>
      <c r="B5290" t="s">
        <v>119</v>
      </c>
      <c r="C5290" t="s">
        <v>3633</v>
      </c>
      <c r="G5290" t="s">
        <v>13144</v>
      </c>
      <c r="H5290" t="s">
        <v>70</v>
      </c>
      <c r="I5290" t="s">
        <v>71</v>
      </c>
      <c r="J5290">
        <v>80004</v>
      </c>
      <c r="K5290">
        <v>2051</v>
      </c>
      <c r="L5290" t="s">
        <v>23</v>
      </c>
      <c r="M5290" t="s">
        <v>13144</v>
      </c>
      <c r="N5290" t="s">
        <v>70</v>
      </c>
      <c r="O5290" t="s">
        <v>71</v>
      </c>
      <c r="P5290">
        <v>80004</v>
      </c>
      <c r="Q5290">
        <v>2051</v>
      </c>
      <c r="R5290" t="s">
        <v>23</v>
      </c>
      <c r="S5290" s="1" t="s">
        <v>34218</v>
      </c>
    </row>
    <row r="5291" spans="1:19" x14ac:dyDescent="0.25">
      <c r="A5291">
        <v>101173357</v>
      </c>
      <c r="B5291" t="s">
        <v>13145</v>
      </c>
      <c r="C5291" t="s">
        <v>1370</v>
      </c>
      <c r="G5291" t="s">
        <v>13146</v>
      </c>
      <c r="H5291" t="s">
        <v>9237</v>
      </c>
      <c r="I5291" t="s">
        <v>353</v>
      </c>
      <c r="J5291">
        <v>3431</v>
      </c>
      <c r="K5291">
        <v>3766</v>
      </c>
      <c r="L5291" t="s">
        <v>23</v>
      </c>
      <c r="M5291" t="s">
        <v>13146</v>
      </c>
      <c r="N5291" t="s">
        <v>9237</v>
      </c>
      <c r="O5291" t="s">
        <v>353</v>
      </c>
      <c r="P5291">
        <v>3431</v>
      </c>
      <c r="Q5291">
        <v>3766</v>
      </c>
      <c r="R5291" t="s">
        <v>23</v>
      </c>
      <c r="S5291" s="1" t="s">
        <v>34218</v>
      </c>
    </row>
    <row r="5292" spans="1:19" x14ac:dyDescent="0.25">
      <c r="A5292">
        <v>100882282</v>
      </c>
      <c r="B5292" t="s">
        <v>13147</v>
      </c>
      <c r="C5292" t="s">
        <v>13148</v>
      </c>
      <c r="H5292" t="s">
        <v>13149</v>
      </c>
      <c r="I5292" t="s">
        <v>13150</v>
      </c>
      <c r="J5292">
        <v>6100</v>
      </c>
      <c r="L5292" t="s">
        <v>9628</v>
      </c>
      <c r="N5292" t="s">
        <v>13149</v>
      </c>
      <c r="O5292" t="s">
        <v>13150</v>
      </c>
      <c r="P5292">
        <v>6100</v>
      </c>
      <c r="R5292" t="s">
        <v>9628</v>
      </c>
      <c r="S5292" s="1" t="s">
        <v>34218</v>
      </c>
    </row>
    <row r="5293" spans="1:19" x14ac:dyDescent="0.25">
      <c r="A5293">
        <v>100585004</v>
      </c>
      <c r="B5293" t="s">
        <v>3970</v>
      </c>
      <c r="C5293" t="s">
        <v>119</v>
      </c>
      <c r="G5293" t="s">
        <v>13151</v>
      </c>
      <c r="H5293" t="s">
        <v>13152</v>
      </c>
      <c r="I5293" t="s">
        <v>135</v>
      </c>
      <c r="J5293">
        <v>61761</v>
      </c>
      <c r="K5293">
        <v>3125</v>
      </c>
      <c r="L5293" t="s">
        <v>23</v>
      </c>
      <c r="M5293" t="s">
        <v>13151</v>
      </c>
      <c r="N5293" t="s">
        <v>13152</v>
      </c>
      <c r="O5293" t="s">
        <v>135</v>
      </c>
      <c r="P5293">
        <v>61761</v>
      </c>
      <c r="Q5293">
        <v>3125</v>
      </c>
      <c r="R5293" t="s">
        <v>23</v>
      </c>
      <c r="S5293" s="1" t="s">
        <v>34218</v>
      </c>
    </row>
    <row r="5294" spans="1:19" x14ac:dyDescent="0.25">
      <c r="A5294">
        <v>100584393</v>
      </c>
      <c r="B5294" t="s">
        <v>4159</v>
      </c>
      <c r="C5294" t="s">
        <v>7445</v>
      </c>
      <c r="G5294" t="s">
        <v>13153</v>
      </c>
      <c r="H5294" t="s">
        <v>13154</v>
      </c>
      <c r="I5294" t="s">
        <v>22</v>
      </c>
      <c r="J5294">
        <v>92268</v>
      </c>
      <c r="K5294">
        <v>329</v>
      </c>
      <c r="L5294" t="s">
        <v>23</v>
      </c>
      <c r="M5294" t="s">
        <v>13153</v>
      </c>
      <c r="N5294" t="s">
        <v>13154</v>
      </c>
      <c r="O5294" t="s">
        <v>22</v>
      </c>
      <c r="P5294">
        <v>92268</v>
      </c>
      <c r="Q5294">
        <v>329</v>
      </c>
      <c r="R5294" t="s">
        <v>23</v>
      </c>
      <c r="S5294" s="1" t="s">
        <v>34218</v>
      </c>
    </row>
    <row r="5295" spans="1:19" x14ac:dyDescent="0.25">
      <c r="A5295">
        <v>100587744</v>
      </c>
      <c r="B5295" t="s">
        <v>13155</v>
      </c>
      <c r="C5295" t="s">
        <v>119</v>
      </c>
      <c r="G5295" t="s">
        <v>13156</v>
      </c>
      <c r="H5295" t="s">
        <v>4105</v>
      </c>
      <c r="I5295" t="s">
        <v>117</v>
      </c>
      <c r="J5295">
        <v>11375</v>
      </c>
      <c r="K5295">
        <v>5229</v>
      </c>
      <c r="L5295" t="s">
        <v>23</v>
      </c>
      <c r="M5295" t="s">
        <v>13156</v>
      </c>
      <c r="N5295" t="s">
        <v>4105</v>
      </c>
      <c r="O5295" t="s">
        <v>117</v>
      </c>
      <c r="P5295">
        <v>11375</v>
      </c>
      <c r="Q5295">
        <v>5229</v>
      </c>
      <c r="R5295" t="s">
        <v>23</v>
      </c>
      <c r="S5295" s="1" t="s">
        <v>34218</v>
      </c>
    </row>
    <row r="5296" spans="1:19" x14ac:dyDescent="0.25">
      <c r="A5296">
        <v>100577110</v>
      </c>
      <c r="B5296" t="s">
        <v>13157</v>
      </c>
      <c r="C5296" t="s">
        <v>1179</v>
      </c>
      <c r="G5296" t="s">
        <v>13158</v>
      </c>
      <c r="H5296" t="s">
        <v>423</v>
      </c>
      <c r="I5296" t="s">
        <v>71</v>
      </c>
      <c r="J5296">
        <v>80304</v>
      </c>
      <c r="K5296">
        <v>912</v>
      </c>
      <c r="L5296" t="s">
        <v>23</v>
      </c>
      <c r="M5296" t="s">
        <v>13158</v>
      </c>
      <c r="N5296" t="s">
        <v>423</v>
      </c>
      <c r="O5296" t="s">
        <v>71</v>
      </c>
      <c r="P5296">
        <v>80304</v>
      </c>
      <c r="Q5296">
        <v>912</v>
      </c>
      <c r="R5296" t="s">
        <v>23</v>
      </c>
      <c r="S5296" s="1" t="s">
        <v>34218</v>
      </c>
    </row>
    <row r="5297" spans="1:19" x14ac:dyDescent="0.25">
      <c r="A5297">
        <v>100585661</v>
      </c>
      <c r="B5297" t="s">
        <v>13159</v>
      </c>
      <c r="C5297" t="s">
        <v>2184</v>
      </c>
      <c r="G5297" t="s">
        <v>13160</v>
      </c>
      <c r="H5297" t="s">
        <v>2119</v>
      </c>
      <c r="I5297" t="s">
        <v>250</v>
      </c>
      <c r="J5297">
        <v>7040</v>
      </c>
      <c r="K5297">
        <v>1701</v>
      </c>
      <c r="L5297" t="s">
        <v>23</v>
      </c>
      <c r="M5297" t="s">
        <v>13160</v>
      </c>
      <c r="N5297" t="s">
        <v>2119</v>
      </c>
      <c r="O5297" t="s">
        <v>250</v>
      </c>
      <c r="P5297">
        <v>7040</v>
      </c>
      <c r="Q5297">
        <v>1701</v>
      </c>
      <c r="R5297" t="s">
        <v>23</v>
      </c>
      <c r="S5297" s="1" t="s">
        <v>34218</v>
      </c>
    </row>
    <row r="5298" spans="1:19" x14ac:dyDescent="0.25">
      <c r="A5298">
        <v>100591955</v>
      </c>
      <c r="B5298" t="s">
        <v>13161</v>
      </c>
      <c r="C5298" t="s">
        <v>158</v>
      </c>
      <c r="G5298" t="s">
        <v>13162</v>
      </c>
      <c r="H5298" t="s">
        <v>12589</v>
      </c>
      <c r="I5298" t="s">
        <v>22</v>
      </c>
      <c r="J5298">
        <v>93433</v>
      </c>
      <c r="K5298">
        <v>1105</v>
      </c>
      <c r="L5298" t="s">
        <v>23</v>
      </c>
      <c r="M5298" t="s">
        <v>13162</v>
      </c>
      <c r="N5298" t="s">
        <v>12589</v>
      </c>
      <c r="O5298" t="s">
        <v>22</v>
      </c>
      <c r="P5298">
        <v>93433</v>
      </c>
      <c r="Q5298">
        <v>1105</v>
      </c>
      <c r="R5298" t="s">
        <v>23</v>
      </c>
      <c r="S5298" s="1" t="s">
        <v>34218</v>
      </c>
    </row>
    <row r="5299" spans="1:19" x14ac:dyDescent="0.25">
      <c r="A5299">
        <v>100595486</v>
      </c>
      <c r="B5299" t="s">
        <v>13163</v>
      </c>
      <c r="C5299" t="s">
        <v>1933</v>
      </c>
      <c r="G5299" t="s">
        <v>13164</v>
      </c>
      <c r="H5299" t="s">
        <v>6192</v>
      </c>
      <c r="I5299" t="s">
        <v>117</v>
      </c>
      <c r="J5299">
        <v>11354</v>
      </c>
      <c r="K5299">
        <v>1102</v>
      </c>
      <c r="L5299" t="s">
        <v>23</v>
      </c>
      <c r="M5299" t="s">
        <v>13164</v>
      </c>
      <c r="N5299" t="s">
        <v>6192</v>
      </c>
      <c r="O5299" t="s">
        <v>117</v>
      </c>
      <c r="P5299">
        <v>11354</v>
      </c>
      <c r="Q5299">
        <v>1102</v>
      </c>
      <c r="R5299" t="s">
        <v>23</v>
      </c>
      <c r="S5299" s="1" t="s">
        <v>34218</v>
      </c>
    </row>
    <row r="5300" spans="1:19" x14ac:dyDescent="0.25">
      <c r="A5300">
        <v>100596270</v>
      </c>
      <c r="B5300" t="s">
        <v>13165</v>
      </c>
      <c r="C5300" t="s">
        <v>7615</v>
      </c>
      <c r="G5300" t="s">
        <v>13166</v>
      </c>
      <c r="H5300" t="s">
        <v>2640</v>
      </c>
      <c r="I5300" t="s">
        <v>52</v>
      </c>
      <c r="J5300">
        <v>33434</v>
      </c>
      <c r="K5300">
        <v>5520</v>
      </c>
      <c r="L5300" t="s">
        <v>23</v>
      </c>
      <c r="M5300" t="s">
        <v>13166</v>
      </c>
      <c r="N5300" t="s">
        <v>2640</v>
      </c>
      <c r="O5300" t="s">
        <v>52</v>
      </c>
      <c r="P5300">
        <v>33434</v>
      </c>
      <c r="Q5300">
        <v>5520</v>
      </c>
      <c r="R5300" t="s">
        <v>23</v>
      </c>
      <c r="S5300" s="1" t="s">
        <v>34218</v>
      </c>
    </row>
    <row r="5301" spans="1:19" x14ac:dyDescent="0.25">
      <c r="A5301">
        <v>100597237</v>
      </c>
      <c r="B5301" t="s">
        <v>13167</v>
      </c>
      <c r="C5301" t="s">
        <v>728</v>
      </c>
      <c r="G5301" t="s">
        <v>13168</v>
      </c>
      <c r="H5301" t="s">
        <v>2701</v>
      </c>
      <c r="I5301" t="s">
        <v>914</v>
      </c>
      <c r="J5301">
        <v>37067</v>
      </c>
      <c r="K5301">
        <v>8510</v>
      </c>
      <c r="L5301" t="s">
        <v>23</v>
      </c>
      <c r="M5301" t="s">
        <v>13168</v>
      </c>
      <c r="N5301" t="s">
        <v>2701</v>
      </c>
      <c r="O5301" t="s">
        <v>914</v>
      </c>
      <c r="P5301">
        <v>37067</v>
      </c>
      <c r="Q5301">
        <v>8510</v>
      </c>
      <c r="R5301" t="s">
        <v>23</v>
      </c>
      <c r="S5301" s="1" t="s">
        <v>34218</v>
      </c>
    </row>
    <row r="5302" spans="1:19" x14ac:dyDescent="0.25">
      <c r="A5302">
        <v>100598432</v>
      </c>
      <c r="B5302" t="s">
        <v>13169</v>
      </c>
      <c r="C5302" t="s">
        <v>123</v>
      </c>
      <c r="G5302" t="s">
        <v>13170</v>
      </c>
      <c r="H5302" t="s">
        <v>2319</v>
      </c>
      <c r="I5302" t="s">
        <v>117</v>
      </c>
      <c r="J5302">
        <v>10304</v>
      </c>
      <c r="K5302">
        <v>1157</v>
      </c>
      <c r="L5302" t="s">
        <v>23</v>
      </c>
      <c r="M5302" t="s">
        <v>13170</v>
      </c>
      <c r="N5302" t="s">
        <v>2319</v>
      </c>
      <c r="O5302" t="s">
        <v>117</v>
      </c>
      <c r="P5302">
        <v>10304</v>
      </c>
      <c r="Q5302">
        <v>1157</v>
      </c>
      <c r="R5302" t="s">
        <v>23</v>
      </c>
      <c r="S5302" s="1" t="s">
        <v>34218</v>
      </c>
    </row>
    <row r="5303" spans="1:19" x14ac:dyDescent="0.25">
      <c r="A5303">
        <v>100598465</v>
      </c>
      <c r="B5303" t="s">
        <v>13171</v>
      </c>
      <c r="C5303" t="s">
        <v>522</v>
      </c>
      <c r="G5303" t="s">
        <v>13172</v>
      </c>
      <c r="H5303" t="s">
        <v>1716</v>
      </c>
      <c r="I5303" t="s">
        <v>38</v>
      </c>
      <c r="J5303">
        <v>79932</v>
      </c>
      <c r="K5303">
        <v>1482</v>
      </c>
      <c r="L5303" t="s">
        <v>23</v>
      </c>
      <c r="M5303" t="s">
        <v>13172</v>
      </c>
      <c r="N5303" t="s">
        <v>1716</v>
      </c>
      <c r="O5303" t="s">
        <v>38</v>
      </c>
      <c r="P5303">
        <v>79932</v>
      </c>
      <c r="Q5303">
        <v>1482</v>
      </c>
      <c r="R5303" t="s">
        <v>23</v>
      </c>
      <c r="S5303" s="1" t="s">
        <v>34218</v>
      </c>
    </row>
    <row r="5304" spans="1:19" x14ac:dyDescent="0.25">
      <c r="A5304">
        <v>100600509</v>
      </c>
      <c r="B5304" t="s">
        <v>4286</v>
      </c>
      <c r="C5304" t="s">
        <v>13173</v>
      </c>
      <c r="G5304" t="s">
        <v>13174</v>
      </c>
      <c r="H5304" t="s">
        <v>8068</v>
      </c>
      <c r="I5304" t="s">
        <v>22</v>
      </c>
      <c r="J5304">
        <v>92630</v>
      </c>
      <c r="K5304">
        <v>6702</v>
      </c>
      <c r="L5304" t="s">
        <v>23</v>
      </c>
      <c r="M5304" t="s">
        <v>13174</v>
      </c>
      <c r="N5304" t="s">
        <v>8068</v>
      </c>
      <c r="O5304" t="s">
        <v>22</v>
      </c>
      <c r="P5304">
        <v>92630</v>
      </c>
      <c r="Q5304">
        <v>6702</v>
      </c>
      <c r="R5304" t="s">
        <v>23</v>
      </c>
      <c r="S5304" s="1" t="s">
        <v>34218</v>
      </c>
    </row>
    <row r="5305" spans="1:19" x14ac:dyDescent="0.25">
      <c r="A5305">
        <v>100598872</v>
      </c>
      <c r="B5305" t="s">
        <v>13175</v>
      </c>
      <c r="C5305" t="s">
        <v>102</v>
      </c>
      <c r="G5305" t="s">
        <v>13176</v>
      </c>
      <c r="H5305" t="s">
        <v>855</v>
      </c>
      <c r="I5305" t="s">
        <v>84</v>
      </c>
      <c r="J5305">
        <v>98368</v>
      </c>
      <c r="K5305">
        <v>9260</v>
      </c>
      <c r="L5305" t="s">
        <v>23</v>
      </c>
      <c r="M5305" t="s">
        <v>13176</v>
      </c>
      <c r="N5305" t="s">
        <v>855</v>
      </c>
      <c r="O5305" t="s">
        <v>84</v>
      </c>
      <c r="P5305">
        <v>98368</v>
      </c>
      <c r="Q5305">
        <v>9260</v>
      </c>
      <c r="R5305" t="s">
        <v>23</v>
      </c>
      <c r="S5305" s="1" t="s">
        <v>34218</v>
      </c>
    </row>
    <row r="5306" spans="1:19" x14ac:dyDescent="0.25">
      <c r="A5306">
        <v>100791848</v>
      </c>
      <c r="B5306" t="s">
        <v>13177</v>
      </c>
      <c r="C5306" t="s">
        <v>30</v>
      </c>
      <c r="G5306" t="s">
        <v>13178</v>
      </c>
      <c r="H5306" t="s">
        <v>4382</v>
      </c>
      <c r="I5306" t="s">
        <v>639</v>
      </c>
      <c r="J5306">
        <v>88012</v>
      </c>
      <c r="K5306">
        <v>7629</v>
      </c>
      <c r="L5306" t="s">
        <v>23</v>
      </c>
      <c r="M5306" t="s">
        <v>13178</v>
      </c>
      <c r="N5306" t="s">
        <v>4382</v>
      </c>
      <c r="O5306" t="s">
        <v>639</v>
      </c>
      <c r="P5306">
        <v>88012</v>
      </c>
      <c r="Q5306">
        <v>7629</v>
      </c>
      <c r="R5306" t="s">
        <v>23</v>
      </c>
      <c r="S5306" s="1" t="s">
        <v>34218</v>
      </c>
    </row>
    <row r="5307" spans="1:19" x14ac:dyDescent="0.25">
      <c r="A5307">
        <v>100793049</v>
      </c>
      <c r="B5307" t="s">
        <v>13179</v>
      </c>
      <c r="C5307" t="s">
        <v>4427</v>
      </c>
      <c r="G5307" t="s">
        <v>13180</v>
      </c>
      <c r="H5307" t="s">
        <v>2279</v>
      </c>
      <c r="I5307" t="s">
        <v>52</v>
      </c>
      <c r="J5307">
        <v>33635</v>
      </c>
      <c r="K5307">
        <v>1522</v>
      </c>
      <c r="L5307" t="s">
        <v>23</v>
      </c>
      <c r="M5307" t="s">
        <v>13180</v>
      </c>
      <c r="N5307" t="s">
        <v>2279</v>
      </c>
      <c r="O5307" t="s">
        <v>52</v>
      </c>
      <c r="P5307">
        <v>33635</v>
      </c>
      <c r="Q5307">
        <v>1522</v>
      </c>
      <c r="R5307" t="s">
        <v>23</v>
      </c>
      <c r="S5307" s="1" t="s">
        <v>34218</v>
      </c>
    </row>
    <row r="5308" spans="1:19" x14ac:dyDescent="0.25">
      <c r="A5308">
        <v>100793084</v>
      </c>
      <c r="B5308" t="s">
        <v>13181</v>
      </c>
      <c r="C5308" t="s">
        <v>664</v>
      </c>
      <c r="G5308" t="s">
        <v>13182</v>
      </c>
      <c r="H5308" t="s">
        <v>8829</v>
      </c>
      <c r="I5308" t="s">
        <v>22</v>
      </c>
      <c r="J5308">
        <v>92314</v>
      </c>
      <c r="K5308">
        <v>3493</v>
      </c>
      <c r="L5308" t="s">
        <v>23</v>
      </c>
      <c r="M5308" t="s">
        <v>13182</v>
      </c>
      <c r="N5308" t="s">
        <v>8829</v>
      </c>
      <c r="O5308" t="s">
        <v>22</v>
      </c>
      <c r="P5308">
        <v>92314</v>
      </c>
      <c r="Q5308">
        <v>3493</v>
      </c>
      <c r="R5308" t="s">
        <v>23</v>
      </c>
      <c r="S5308" s="1" t="s">
        <v>34218</v>
      </c>
    </row>
    <row r="5309" spans="1:19" x14ac:dyDescent="0.25">
      <c r="A5309">
        <v>100787951</v>
      </c>
      <c r="B5309" t="s">
        <v>9146</v>
      </c>
      <c r="C5309" t="s">
        <v>8920</v>
      </c>
      <c r="G5309" t="s">
        <v>9147</v>
      </c>
      <c r="H5309" t="s">
        <v>1687</v>
      </c>
      <c r="I5309" t="s">
        <v>22</v>
      </c>
      <c r="J5309">
        <v>95628</v>
      </c>
      <c r="K5309">
        <v>4212</v>
      </c>
      <c r="L5309" t="s">
        <v>23</v>
      </c>
      <c r="M5309" t="s">
        <v>9147</v>
      </c>
      <c r="N5309" t="s">
        <v>1687</v>
      </c>
      <c r="O5309" t="s">
        <v>22</v>
      </c>
      <c r="P5309">
        <v>95628</v>
      </c>
      <c r="Q5309">
        <v>4212</v>
      </c>
      <c r="R5309" t="s">
        <v>23</v>
      </c>
      <c r="S5309" s="1" t="s">
        <v>34218</v>
      </c>
    </row>
    <row r="5310" spans="1:19" x14ac:dyDescent="0.25">
      <c r="A5310">
        <v>100802743</v>
      </c>
      <c r="B5310" t="s">
        <v>13183</v>
      </c>
      <c r="C5310" t="s">
        <v>13184</v>
      </c>
      <c r="G5310" t="s">
        <v>13185</v>
      </c>
      <c r="H5310" t="s">
        <v>13186</v>
      </c>
      <c r="I5310" t="s">
        <v>28</v>
      </c>
      <c r="J5310">
        <v>39819</v>
      </c>
      <c r="K5310">
        <v>4834</v>
      </c>
      <c r="L5310" t="s">
        <v>23</v>
      </c>
      <c r="M5310" t="s">
        <v>13185</v>
      </c>
      <c r="N5310" t="s">
        <v>13186</v>
      </c>
      <c r="O5310" t="s">
        <v>28</v>
      </c>
      <c r="P5310">
        <v>39819</v>
      </c>
      <c r="Q5310">
        <v>4834</v>
      </c>
      <c r="R5310" t="s">
        <v>23</v>
      </c>
      <c r="S5310" s="1" t="s">
        <v>34218</v>
      </c>
    </row>
    <row r="5311" spans="1:19" x14ac:dyDescent="0.25">
      <c r="A5311">
        <v>100804115</v>
      </c>
      <c r="B5311" t="s">
        <v>13187</v>
      </c>
      <c r="C5311" t="s">
        <v>145</v>
      </c>
      <c r="G5311" t="s">
        <v>13188</v>
      </c>
      <c r="H5311" t="s">
        <v>13189</v>
      </c>
      <c r="I5311" t="s">
        <v>52</v>
      </c>
      <c r="J5311">
        <v>34436</v>
      </c>
      <c r="K5311">
        <v>587</v>
      </c>
      <c r="L5311" t="s">
        <v>23</v>
      </c>
      <c r="M5311" t="s">
        <v>13188</v>
      </c>
      <c r="N5311" t="s">
        <v>13189</v>
      </c>
      <c r="O5311" t="s">
        <v>52</v>
      </c>
      <c r="P5311">
        <v>34436</v>
      </c>
      <c r="Q5311">
        <v>587</v>
      </c>
      <c r="R5311" t="s">
        <v>23</v>
      </c>
      <c r="S5311" s="1" t="s">
        <v>34218</v>
      </c>
    </row>
    <row r="5312" spans="1:19" x14ac:dyDescent="0.25">
      <c r="A5312">
        <v>100809986</v>
      </c>
      <c r="B5312" t="s">
        <v>11344</v>
      </c>
      <c r="C5312" t="s">
        <v>410</v>
      </c>
      <c r="G5312" t="s">
        <v>13190</v>
      </c>
      <c r="H5312" t="s">
        <v>4693</v>
      </c>
      <c r="I5312" t="s">
        <v>52</v>
      </c>
      <c r="J5312">
        <v>33484</v>
      </c>
      <c r="K5312">
        <v>6606</v>
      </c>
      <c r="L5312" t="s">
        <v>23</v>
      </c>
      <c r="M5312" t="s">
        <v>13190</v>
      </c>
      <c r="N5312" t="s">
        <v>4693</v>
      </c>
      <c r="O5312" t="s">
        <v>52</v>
      </c>
      <c r="P5312">
        <v>33484</v>
      </c>
      <c r="Q5312">
        <v>6606</v>
      </c>
      <c r="R5312" t="s">
        <v>23</v>
      </c>
      <c r="S5312" s="1" t="s">
        <v>34218</v>
      </c>
    </row>
    <row r="5313" spans="1:19" x14ac:dyDescent="0.25">
      <c r="A5313">
        <v>100810021</v>
      </c>
      <c r="B5313" t="s">
        <v>744</v>
      </c>
      <c r="C5313" t="s">
        <v>452</v>
      </c>
      <c r="G5313" t="s">
        <v>13191</v>
      </c>
      <c r="H5313" t="s">
        <v>13192</v>
      </c>
      <c r="I5313" t="s">
        <v>117</v>
      </c>
      <c r="J5313">
        <v>11789</v>
      </c>
      <c r="K5313">
        <v>165</v>
      </c>
      <c r="L5313" t="s">
        <v>23</v>
      </c>
      <c r="M5313" t="s">
        <v>13191</v>
      </c>
      <c r="N5313" t="s">
        <v>13192</v>
      </c>
      <c r="O5313" t="s">
        <v>117</v>
      </c>
      <c r="P5313">
        <v>11789</v>
      </c>
      <c r="Q5313">
        <v>165</v>
      </c>
      <c r="R5313" t="s">
        <v>23</v>
      </c>
      <c r="S5313" s="1" t="s">
        <v>34218</v>
      </c>
    </row>
    <row r="5314" spans="1:19" x14ac:dyDescent="0.25">
      <c r="A5314">
        <v>100801464</v>
      </c>
      <c r="B5314" t="s">
        <v>13193</v>
      </c>
      <c r="C5314" t="s">
        <v>13194</v>
      </c>
      <c r="G5314" t="s">
        <v>13195</v>
      </c>
      <c r="H5314" t="s">
        <v>3794</v>
      </c>
      <c r="I5314" t="s">
        <v>57</v>
      </c>
      <c r="J5314">
        <v>46122</v>
      </c>
      <c r="K5314">
        <v>725</v>
      </c>
      <c r="L5314" t="s">
        <v>23</v>
      </c>
      <c r="M5314" t="s">
        <v>13195</v>
      </c>
      <c r="N5314" t="s">
        <v>3794</v>
      </c>
      <c r="O5314" t="s">
        <v>57</v>
      </c>
      <c r="P5314">
        <v>46122</v>
      </c>
      <c r="Q5314">
        <v>725</v>
      </c>
      <c r="R5314" t="s">
        <v>23</v>
      </c>
      <c r="S5314" s="1" t="s">
        <v>34218</v>
      </c>
    </row>
    <row r="5315" spans="1:19" x14ac:dyDescent="0.25">
      <c r="A5315">
        <v>101022260</v>
      </c>
      <c r="B5315" t="s">
        <v>13196</v>
      </c>
      <c r="C5315" t="s">
        <v>155</v>
      </c>
      <c r="G5315" t="s">
        <v>13197</v>
      </c>
      <c r="H5315" t="s">
        <v>7134</v>
      </c>
      <c r="I5315" t="s">
        <v>236</v>
      </c>
      <c r="J5315">
        <v>2493</v>
      </c>
      <c r="K5315">
        <v>2439</v>
      </c>
      <c r="L5315" t="s">
        <v>23</v>
      </c>
      <c r="M5315" t="s">
        <v>13197</v>
      </c>
      <c r="N5315" t="s">
        <v>7134</v>
      </c>
      <c r="O5315" t="s">
        <v>236</v>
      </c>
      <c r="P5315">
        <v>2493</v>
      </c>
      <c r="Q5315">
        <v>2439</v>
      </c>
      <c r="R5315" t="s">
        <v>23</v>
      </c>
      <c r="S5315" s="1" t="s">
        <v>34218</v>
      </c>
    </row>
    <row r="5316" spans="1:19" x14ac:dyDescent="0.25">
      <c r="A5316">
        <v>101026503</v>
      </c>
      <c r="B5316" t="s">
        <v>7830</v>
      </c>
      <c r="C5316" t="s">
        <v>25</v>
      </c>
      <c r="G5316" t="s">
        <v>13198</v>
      </c>
      <c r="H5316" t="s">
        <v>13199</v>
      </c>
      <c r="I5316" t="s">
        <v>446</v>
      </c>
      <c r="J5316">
        <v>27549</v>
      </c>
      <c r="K5316">
        <v>9076</v>
      </c>
      <c r="L5316" t="s">
        <v>23</v>
      </c>
      <c r="M5316" t="s">
        <v>13198</v>
      </c>
      <c r="N5316" t="s">
        <v>13199</v>
      </c>
      <c r="O5316" t="s">
        <v>446</v>
      </c>
      <c r="P5316">
        <v>27549</v>
      </c>
      <c r="Q5316">
        <v>9076</v>
      </c>
      <c r="R5316" t="s">
        <v>23</v>
      </c>
      <c r="S5316" s="1" t="s">
        <v>34218</v>
      </c>
    </row>
    <row r="5317" spans="1:19" x14ac:dyDescent="0.25">
      <c r="A5317">
        <v>101025829</v>
      </c>
      <c r="B5317" t="s">
        <v>11458</v>
      </c>
      <c r="C5317" t="s">
        <v>90</v>
      </c>
      <c r="G5317" t="s">
        <v>13200</v>
      </c>
      <c r="H5317" t="s">
        <v>11711</v>
      </c>
      <c r="I5317" t="s">
        <v>446</v>
      </c>
      <c r="J5317">
        <v>27526</v>
      </c>
      <c r="K5317">
        <v>3961</v>
      </c>
      <c r="L5317" t="s">
        <v>23</v>
      </c>
      <c r="M5317" t="s">
        <v>13200</v>
      </c>
      <c r="N5317" t="s">
        <v>11711</v>
      </c>
      <c r="O5317" t="s">
        <v>446</v>
      </c>
      <c r="P5317">
        <v>27526</v>
      </c>
      <c r="Q5317">
        <v>3961</v>
      </c>
      <c r="R5317" t="s">
        <v>23</v>
      </c>
      <c r="S5317" s="1" t="s">
        <v>34218</v>
      </c>
    </row>
    <row r="5318" spans="1:19" x14ac:dyDescent="0.25">
      <c r="A5318">
        <v>101029334</v>
      </c>
      <c r="B5318" t="s">
        <v>13201</v>
      </c>
      <c r="C5318" t="s">
        <v>1107</v>
      </c>
      <c r="G5318" t="s">
        <v>13202</v>
      </c>
      <c r="H5318" t="s">
        <v>3183</v>
      </c>
      <c r="I5318" t="s">
        <v>178</v>
      </c>
      <c r="J5318">
        <v>45416</v>
      </c>
      <c r="K5318">
        <v>1426</v>
      </c>
      <c r="L5318" t="s">
        <v>23</v>
      </c>
      <c r="M5318" t="s">
        <v>13202</v>
      </c>
      <c r="N5318" t="s">
        <v>3183</v>
      </c>
      <c r="O5318" t="s">
        <v>178</v>
      </c>
      <c r="P5318">
        <v>45416</v>
      </c>
      <c r="Q5318">
        <v>1426</v>
      </c>
      <c r="R5318" t="s">
        <v>23</v>
      </c>
      <c r="S5318" s="1" t="s">
        <v>34218</v>
      </c>
    </row>
    <row r="5319" spans="1:19" x14ac:dyDescent="0.25">
      <c r="A5319">
        <v>101044186</v>
      </c>
      <c r="B5319" t="s">
        <v>13203</v>
      </c>
      <c r="C5319" t="s">
        <v>810</v>
      </c>
      <c r="F5319" t="str">
        <f>"2137385999"</f>
        <v>2137385999</v>
      </c>
      <c r="G5319" t="s">
        <v>13204</v>
      </c>
      <c r="H5319" t="s">
        <v>299</v>
      </c>
      <c r="I5319" t="s">
        <v>22</v>
      </c>
      <c r="J5319">
        <v>90004</v>
      </c>
      <c r="K5319">
        <v>4921</v>
      </c>
      <c r="L5319" t="s">
        <v>23</v>
      </c>
      <c r="M5319" t="s">
        <v>13204</v>
      </c>
      <c r="N5319" t="s">
        <v>299</v>
      </c>
      <c r="O5319" t="s">
        <v>22</v>
      </c>
      <c r="P5319">
        <v>90004</v>
      </c>
      <c r="Q5319">
        <v>4921</v>
      </c>
      <c r="R5319" t="s">
        <v>23</v>
      </c>
      <c r="S5319" s="1" t="s">
        <v>34218</v>
      </c>
    </row>
    <row r="5320" spans="1:19" x14ac:dyDescent="0.25">
      <c r="A5320">
        <v>101041620</v>
      </c>
      <c r="B5320" t="s">
        <v>13205</v>
      </c>
      <c r="C5320" t="s">
        <v>5868</v>
      </c>
      <c r="G5320" t="s">
        <v>13206</v>
      </c>
      <c r="H5320" t="s">
        <v>12726</v>
      </c>
      <c r="I5320" t="s">
        <v>100</v>
      </c>
      <c r="J5320">
        <v>53140</v>
      </c>
      <c r="K5320">
        <v>3513</v>
      </c>
      <c r="L5320" t="s">
        <v>23</v>
      </c>
      <c r="M5320" t="s">
        <v>13206</v>
      </c>
      <c r="N5320" t="s">
        <v>12726</v>
      </c>
      <c r="O5320" t="s">
        <v>100</v>
      </c>
      <c r="P5320">
        <v>53140</v>
      </c>
      <c r="Q5320">
        <v>3513</v>
      </c>
      <c r="R5320" t="s">
        <v>23</v>
      </c>
      <c r="S5320" s="1" t="s">
        <v>34218</v>
      </c>
    </row>
    <row r="5321" spans="1:19" x14ac:dyDescent="0.25">
      <c r="A5321">
        <v>101232743</v>
      </c>
      <c r="B5321" t="s">
        <v>358</v>
      </c>
      <c r="C5321" t="s">
        <v>180</v>
      </c>
      <c r="G5321" t="s">
        <v>13207</v>
      </c>
      <c r="H5321" t="s">
        <v>2910</v>
      </c>
      <c r="I5321" t="s">
        <v>52</v>
      </c>
      <c r="J5321">
        <v>34233</v>
      </c>
      <c r="K5321">
        <v>1527</v>
      </c>
      <c r="L5321" t="s">
        <v>23</v>
      </c>
      <c r="M5321" t="s">
        <v>13207</v>
      </c>
      <c r="N5321" t="s">
        <v>2910</v>
      </c>
      <c r="O5321" t="s">
        <v>52</v>
      </c>
      <c r="P5321">
        <v>34233</v>
      </c>
      <c r="Q5321">
        <v>1527</v>
      </c>
      <c r="R5321" t="s">
        <v>23</v>
      </c>
      <c r="S5321" s="1" t="s">
        <v>34218</v>
      </c>
    </row>
    <row r="5322" spans="1:19" x14ac:dyDescent="0.25">
      <c r="A5322">
        <v>100814885</v>
      </c>
      <c r="B5322" t="s">
        <v>13208</v>
      </c>
      <c r="C5322" t="s">
        <v>114</v>
      </c>
      <c r="G5322" t="s">
        <v>13209</v>
      </c>
      <c r="H5322" t="s">
        <v>13210</v>
      </c>
      <c r="I5322" t="s">
        <v>52</v>
      </c>
      <c r="J5322">
        <v>34219</v>
      </c>
      <c r="K5322">
        <v>9207</v>
      </c>
      <c r="L5322" t="s">
        <v>23</v>
      </c>
      <c r="M5322" t="s">
        <v>13209</v>
      </c>
      <c r="N5322" t="s">
        <v>13210</v>
      </c>
      <c r="O5322" t="s">
        <v>52</v>
      </c>
      <c r="P5322">
        <v>34219</v>
      </c>
      <c r="Q5322">
        <v>9207</v>
      </c>
      <c r="R5322" t="s">
        <v>23</v>
      </c>
      <c r="S5322" s="1" t="s">
        <v>34218</v>
      </c>
    </row>
    <row r="5323" spans="1:19" x14ac:dyDescent="0.25">
      <c r="A5323">
        <v>100817557</v>
      </c>
      <c r="B5323" t="s">
        <v>13211</v>
      </c>
      <c r="C5323" t="s">
        <v>8186</v>
      </c>
      <c r="G5323" t="s">
        <v>13212</v>
      </c>
      <c r="H5323" t="s">
        <v>1091</v>
      </c>
      <c r="I5323" t="s">
        <v>365</v>
      </c>
      <c r="J5323">
        <v>86336</v>
      </c>
      <c r="K5323">
        <v>5726</v>
      </c>
      <c r="L5323" t="s">
        <v>23</v>
      </c>
      <c r="M5323" t="s">
        <v>13212</v>
      </c>
      <c r="N5323" t="s">
        <v>1091</v>
      </c>
      <c r="O5323" t="s">
        <v>365</v>
      </c>
      <c r="P5323">
        <v>86336</v>
      </c>
      <c r="Q5323">
        <v>5726</v>
      </c>
      <c r="R5323" t="s">
        <v>23</v>
      </c>
      <c r="S5323" s="1" t="s">
        <v>34218</v>
      </c>
    </row>
    <row r="5324" spans="1:19" x14ac:dyDescent="0.25">
      <c r="A5324">
        <v>100815092</v>
      </c>
      <c r="B5324" t="s">
        <v>13213</v>
      </c>
      <c r="C5324" t="s">
        <v>30</v>
      </c>
      <c r="G5324" t="s">
        <v>13214</v>
      </c>
      <c r="H5324" t="s">
        <v>9084</v>
      </c>
      <c r="I5324" t="s">
        <v>178</v>
      </c>
      <c r="J5324">
        <v>44145</v>
      </c>
      <c r="K5324">
        <v>5212</v>
      </c>
      <c r="L5324" t="s">
        <v>23</v>
      </c>
      <c r="M5324" t="s">
        <v>13214</v>
      </c>
      <c r="N5324" t="s">
        <v>9084</v>
      </c>
      <c r="O5324" t="s">
        <v>178</v>
      </c>
      <c r="P5324">
        <v>44145</v>
      </c>
      <c r="Q5324">
        <v>5212</v>
      </c>
      <c r="R5324" t="s">
        <v>23</v>
      </c>
      <c r="S5324" s="1" t="s">
        <v>34218</v>
      </c>
    </row>
    <row r="5325" spans="1:19" x14ac:dyDescent="0.25">
      <c r="A5325">
        <v>100824612</v>
      </c>
      <c r="B5325" t="s">
        <v>7093</v>
      </c>
      <c r="C5325" t="s">
        <v>543</v>
      </c>
      <c r="G5325" t="s">
        <v>13215</v>
      </c>
      <c r="H5325" t="s">
        <v>423</v>
      </c>
      <c r="I5325" t="s">
        <v>71</v>
      </c>
      <c r="J5325">
        <v>80304</v>
      </c>
      <c r="K5325">
        <v>472</v>
      </c>
      <c r="L5325" t="s">
        <v>23</v>
      </c>
      <c r="M5325" t="s">
        <v>13215</v>
      </c>
      <c r="N5325" t="s">
        <v>423</v>
      </c>
      <c r="O5325" t="s">
        <v>71</v>
      </c>
      <c r="P5325">
        <v>80304</v>
      </c>
      <c r="Q5325">
        <v>472</v>
      </c>
      <c r="R5325" t="s">
        <v>23</v>
      </c>
      <c r="S5325" s="1" t="s">
        <v>34218</v>
      </c>
    </row>
    <row r="5326" spans="1:19" x14ac:dyDescent="0.25">
      <c r="A5326">
        <v>100820299</v>
      </c>
      <c r="B5326" t="s">
        <v>13216</v>
      </c>
      <c r="C5326" t="s">
        <v>2790</v>
      </c>
      <c r="G5326" t="s">
        <v>13217</v>
      </c>
      <c r="H5326" t="s">
        <v>5776</v>
      </c>
      <c r="I5326" t="s">
        <v>161</v>
      </c>
      <c r="J5326">
        <v>6770</v>
      </c>
      <c r="K5326">
        <v>4258</v>
      </c>
      <c r="L5326" t="s">
        <v>23</v>
      </c>
      <c r="M5326" t="s">
        <v>13217</v>
      </c>
      <c r="N5326" t="s">
        <v>5776</v>
      </c>
      <c r="O5326" t="s">
        <v>161</v>
      </c>
      <c r="P5326">
        <v>6770</v>
      </c>
      <c r="Q5326">
        <v>4258</v>
      </c>
      <c r="R5326" t="s">
        <v>23</v>
      </c>
      <c r="S5326" s="1" t="s">
        <v>34218</v>
      </c>
    </row>
    <row r="5327" spans="1:19" x14ac:dyDescent="0.25">
      <c r="A5327">
        <v>100825006</v>
      </c>
      <c r="B5327" t="s">
        <v>4982</v>
      </c>
      <c r="C5327" t="s">
        <v>257</v>
      </c>
      <c r="G5327" t="s">
        <v>13218</v>
      </c>
      <c r="H5327" t="s">
        <v>13219</v>
      </c>
      <c r="I5327" t="s">
        <v>117</v>
      </c>
      <c r="J5327">
        <v>11801</v>
      </c>
      <c r="K5327">
        <v>1948</v>
      </c>
      <c r="L5327" t="s">
        <v>23</v>
      </c>
      <c r="M5327" t="s">
        <v>13218</v>
      </c>
      <c r="N5327" t="s">
        <v>13219</v>
      </c>
      <c r="O5327" t="s">
        <v>117</v>
      </c>
      <c r="P5327">
        <v>11801</v>
      </c>
      <c r="Q5327">
        <v>1948</v>
      </c>
      <c r="R5327" t="s">
        <v>23</v>
      </c>
      <c r="S5327" s="1" t="s">
        <v>34218</v>
      </c>
    </row>
    <row r="5328" spans="1:19" x14ac:dyDescent="0.25">
      <c r="A5328">
        <v>100833508</v>
      </c>
      <c r="B5328" t="s">
        <v>13220</v>
      </c>
      <c r="C5328" t="s">
        <v>294</v>
      </c>
      <c r="G5328" t="s">
        <v>13221</v>
      </c>
      <c r="H5328" t="s">
        <v>121</v>
      </c>
      <c r="I5328" t="s">
        <v>22</v>
      </c>
      <c r="J5328">
        <v>95928</v>
      </c>
      <c r="K5328">
        <v>7050</v>
      </c>
      <c r="L5328" t="s">
        <v>23</v>
      </c>
      <c r="M5328" t="s">
        <v>13221</v>
      </c>
      <c r="N5328" t="s">
        <v>121</v>
      </c>
      <c r="O5328" t="s">
        <v>22</v>
      </c>
      <c r="P5328">
        <v>95928</v>
      </c>
      <c r="Q5328">
        <v>7050</v>
      </c>
      <c r="R5328" t="s">
        <v>23</v>
      </c>
      <c r="S5328" s="1" t="s">
        <v>34218</v>
      </c>
    </row>
    <row r="5329" spans="1:19" x14ac:dyDescent="0.25">
      <c r="A5329">
        <v>100834750</v>
      </c>
      <c r="B5329" t="s">
        <v>3625</v>
      </c>
      <c r="C5329" t="s">
        <v>2010</v>
      </c>
      <c r="G5329" t="s">
        <v>13222</v>
      </c>
      <c r="H5329" t="s">
        <v>5269</v>
      </c>
      <c r="I5329" t="s">
        <v>22</v>
      </c>
      <c r="J5329">
        <v>90505</v>
      </c>
      <c r="K5329">
        <v>6911</v>
      </c>
      <c r="L5329" t="s">
        <v>23</v>
      </c>
      <c r="M5329" t="s">
        <v>13222</v>
      </c>
      <c r="N5329" t="s">
        <v>5269</v>
      </c>
      <c r="O5329" t="s">
        <v>22</v>
      </c>
      <c r="P5329">
        <v>90505</v>
      </c>
      <c r="Q5329">
        <v>6911</v>
      </c>
      <c r="R5329" t="s">
        <v>23</v>
      </c>
      <c r="S5329" s="1" t="s">
        <v>34218</v>
      </c>
    </row>
    <row r="5330" spans="1:19" x14ac:dyDescent="0.25">
      <c r="A5330">
        <v>100833986</v>
      </c>
      <c r="B5330" t="s">
        <v>11635</v>
      </c>
      <c r="C5330" t="s">
        <v>1327</v>
      </c>
      <c r="G5330" t="s">
        <v>13223</v>
      </c>
      <c r="H5330" t="s">
        <v>13224</v>
      </c>
      <c r="I5330" t="s">
        <v>71</v>
      </c>
      <c r="J5330">
        <v>81637</v>
      </c>
      <c r="K5330">
        <v>9410</v>
      </c>
      <c r="L5330" t="s">
        <v>23</v>
      </c>
      <c r="M5330" t="s">
        <v>13223</v>
      </c>
      <c r="N5330" t="s">
        <v>13224</v>
      </c>
      <c r="O5330" t="s">
        <v>71</v>
      </c>
      <c r="P5330">
        <v>81637</v>
      </c>
      <c r="Q5330">
        <v>9410</v>
      </c>
      <c r="R5330" t="s">
        <v>23</v>
      </c>
      <c r="S5330" s="1" t="s">
        <v>34218</v>
      </c>
    </row>
    <row r="5331" spans="1:19" x14ac:dyDescent="0.25">
      <c r="A5331">
        <v>100989049</v>
      </c>
      <c r="B5331" t="s">
        <v>13225</v>
      </c>
      <c r="C5331" t="s">
        <v>1065</v>
      </c>
      <c r="G5331" t="s">
        <v>13226</v>
      </c>
      <c r="H5331" t="s">
        <v>9332</v>
      </c>
      <c r="I5331" t="s">
        <v>117</v>
      </c>
      <c r="J5331">
        <v>10545</v>
      </c>
      <c r="K5331">
        <v>311</v>
      </c>
      <c r="L5331" t="s">
        <v>23</v>
      </c>
      <c r="M5331" t="s">
        <v>13226</v>
      </c>
      <c r="N5331" t="s">
        <v>9332</v>
      </c>
      <c r="O5331" t="s">
        <v>117</v>
      </c>
      <c r="P5331">
        <v>10545</v>
      </c>
      <c r="Q5331">
        <v>311</v>
      </c>
      <c r="R5331" t="s">
        <v>23</v>
      </c>
      <c r="S5331" s="1" t="s">
        <v>34218</v>
      </c>
    </row>
    <row r="5332" spans="1:19" x14ac:dyDescent="0.25">
      <c r="A5332">
        <v>100995171</v>
      </c>
      <c r="B5332" t="s">
        <v>566</v>
      </c>
      <c r="C5332" t="s">
        <v>1588</v>
      </c>
      <c r="G5332" t="s">
        <v>13227</v>
      </c>
      <c r="H5332" t="s">
        <v>12564</v>
      </c>
      <c r="I5332" t="s">
        <v>446</v>
      </c>
      <c r="J5332">
        <v>27406</v>
      </c>
      <c r="K5332">
        <v>3919</v>
      </c>
      <c r="L5332" t="s">
        <v>23</v>
      </c>
      <c r="M5332" t="s">
        <v>13227</v>
      </c>
      <c r="N5332" t="s">
        <v>12564</v>
      </c>
      <c r="O5332" t="s">
        <v>446</v>
      </c>
      <c r="P5332">
        <v>27406</v>
      </c>
      <c r="Q5332">
        <v>3919</v>
      </c>
      <c r="R5332" t="s">
        <v>23</v>
      </c>
      <c r="S5332" s="1" t="s">
        <v>34218</v>
      </c>
    </row>
    <row r="5333" spans="1:19" x14ac:dyDescent="0.25">
      <c r="A5333">
        <v>100990172</v>
      </c>
      <c r="B5333" t="s">
        <v>3884</v>
      </c>
      <c r="C5333" t="s">
        <v>286</v>
      </c>
      <c r="G5333" t="s">
        <v>13228</v>
      </c>
      <c r="H5333" t="s">
        <v>357</v>
      </c>
      <c r="I5333" t="s">
        <v>255</v>
      </c>
      <c r="J5333">
        <v>22313</v>
      </c>
      <c r="K5333">
        <v>1042</v>
      </c>
      <c r="L5333" t="s">
        <v>23</v>
      </c>
      <c r="M5333" t="s">
        <v>13228</v>
      </c>
      <c r="N5333" t="s">
        <v>357</v>
      </c>
      <c r="O5333" t="s">
        <v>255</v>
      </c>
      <c r="P5333">
        <v>22313</v>
      </c>
      <c r="Q5333">
        <v>1042</v>
      </c>
      <c r="R5333" t="s">
        <v>23</v>
      </c>
      <c r="S5333" s="1" t="s">
        <v>34218</v>
      </c>
    </row>
    <row r="5334" spans="1:19" x14ac:dyDescent="0.25">
      <c r="A5334">
        <v>100995034</v>
      </c>
      <c r="B5334" t="s">
        <v>3180</v>
      </c>
      <c r="C5334" t="s">
        <v>894</v>
      </c>
      <c r="G5334" t="s">
        <v>13229</v>
      </c>
      <c r="H5334" t="s">
        <v>88</v>
      </c>
      <c r="I5334" t="s">
        <v>22</v>
      </c>
      <c r="J5334">
        <v>94608</v>
      </c>
      <c r="K5334">
        <v>3264</v>
      </c>
      <c r="L5334" t="s">
        <v>23</v>
      </c>
      <c r="M5334" t="s">
        <v>13229</v>
      </c>
      <c r="N5334" t="s">
        <v>88</v>
      </c>
      <c r="O5334" t="s">
        <v>22</v>
      </c>
      <c r="P5334">
        <v>94608</v>
      </c>
      <c r="Q5334">
        <v>3264</v>
      </c>
      <c r="R5334" t="s">
        <v>23</v>
      </c>
      <c r="S5334" s="1" t="s">
        <v>34218</v>
      </c>
    </row>
    <row r="5335" spans="1:19" x14ac:dyDescent="0.25">
      <c r="A5335">
        <v>100995813</v>
      </c>
      <c r="B5335" t="s">
        <v>13230</v>
      </c>
      <c r="C5335" t="s">
        <v>575</v>
      </c>
      <c r="F5335" t="str">
        <f>"3127647588"</f>
        <v>3127647588</v>
      </c>
      <c r="G5335" t="s">
        <v>13231</v>
      </c>
      <c r="H5335" t="s">
        <v>13232</v>
      </c>
      <c r="I5335" t="s">
        <v>135</v>
      </c>
      <c r="J5335">
        <v>60525</v>
      </c>
      <c r="K5335">
        <v>2978</v>
      </c>
      <c r="L5335" t="s">
        <v>23</v>
      </c>
      <c r="M5335" t="s">
        <v>13231</v>
      </c>
      <c r="N5335" t="s">
        <v>13232</v>
      </c>
      <c r="O5335" t="s">
        <v>135</v>
      </c>
      <c r="P5335">
        <v>60525</v>
      </c>
      <c r="Q5335">
        <v>2978</v>
      </c>
      <c r="R5335" t="s">
        <v>23</v>
      </c>
      <c r="S5335" s="1" t="s">
        <v>34218</v>
      </c>
    </row>
    <row r="5336" spans="1:19" x14ac:dyDescent="0.25">
      <c r="A5336">
        <v>100995871</v>
      </c>
      <c r="B5336" t="s">
        <v>13233</v>
      </c>
      <c r="C5336" t="s">
        <v>621</v>
      </c>
      <c r="G5336" t="s">
        <v>13234</v>
      </c>
      <c r="H5336" t="s">
        <v>13235</v>
      </c>
      <c r="I5336" t="s">
        <v>140</v>
      </c>
      <c r="J5336">
        <v>48732</v>
      </c>
      <c r="K5336">
        <v>1907</v>
      </c>
      <c r="L5336" t="s">
        <v>23</v>
      </c>
      <c r="M5336" t="s">
        <v>13234</v>
      </c>
      <c r="N5336" t="s">
        <v>13235</v>
      </c>
      <c r="O5336" t="s">
        <v>140</v>
      </c>
      <c r="P5336">
        <v>48732</v>
      </c>
      <c r="Q5336">
        <v>1907</v>
      </c>
      <c r="R5336" t="s">
        <v>23</v>
      </c>
      <c r="S5336" s="1" t="s">
        <v>34218</v>
      </c>
    </row>
    <row r="5337" spans="1:19" x14ac:dyDescent="0.25">
      <c r="A5337">
        <v>101001277</v>
      </c>
      <c r="B5337" t="s">
        <v>5610</v>
      </c>
      <c r="C5337" t="s">
        <v>1107</v>
      </c>
      <c r="G5337" t="s">
        <v>13236</v>
      </c>
      <c r="H5337" t="s">
        <v>3510</v>
      </c>
      <c r="I5337" t="s">
        <v>38</v>
      </c>
      <c r="J5337">
        <v>75044</v>
      </c>
      <c r="K5337">
        <v>8113</v>
      </c>
      <c r="L5337" t="s">
        <v>23</v>
      </c>
      <c r="M5337" t="s">
        <v>13236</v>
      </c>
      <c r="N5337" t="s">
        <v>3510</v>
      </c>
      <c r="O5337" t="s">
        <v>38</v>
      </c>
      <c r="P5337">
        <v>75044</v>
      </c>
      <c r="Q5337">
        <v>8113</v>
      </c>
      <c r="R5337" t="s">
        <v>23</v>
      </c>
      <c r="S5337" s="1" t="s">
        <v>34218</v>
      </c>
    </row>
    <row r="5338" spans="1:19" x14ac:dyDescent="0.25">
      <c r="A5338">
        <v>101007388</v>
      </c>
      <c r="B5338" t="s">
        <v>13237</v>
      </c>
      <c r="C5338" t="s">
        <v>2193</v>
      </c>
      <c r="G5338" t="s">
        <v>13238</v>
      </c>
      <c r="H5338" t="s">
        <v>13239</v>
      </c>
      <c r="I5338" t="s">
        <v>370</v>
      </c>
      <c r="J5338">
        <v>68046</v>
      </c>
      <c r="K5338">
        <v>2541</v>
      </c>
      <c r="L5338" t="s">
        <v>23</v>
      </c>
      <c r="M5338" t="s">
        <v>13238</v>
      </c>
      <c r="N5338" t="s">
        <v>13239</v>
      </c>
      <c r="O5338" t="s">
        <v>370</v>
      </c>
      <c r="P5338">
        <v>68046</v>
      </c>
      <c r="Q5338">
        <v>2541</v>
      </c>
      <c r="R5338" t="s">
        <v>23</v>
      </c>
      <c r="S5338" s="1" t="s">
        <v>34218</v>
      </c>
    </row>
    <row r="5339" spans="1:19" x14ac:dyDescent="0.25">
      <c r="A5339">
        <v>101008832</v>
      </c>
      <c r="B5339" t="s">
        <v>13240</v>
      </c>
      <c r="C5339" t="s">
        <v>440</v>
      </c>
      <c r="G5339" t="s">
        <v>13241</v>
      </c>
      <c r="H5339" t="s">
        <v>13242</v>
      </c>
      <c r="I5339" t="s">
        <v>38</v>
      </c>
      <c r="J5339">
        <v>76550</v>
      </c>
      <c r="K5339">
        <v>3743</v>
      </c>
      <c r="L5339" t="s">
        <v>23</v>
      </c>
      <c r="M5339" t="s">
        <v>13241</v>
      </c>
      <c r="N5339" t="s">
        <v>13242</v>
      </c>
      <c r="O5339" t="s">
        <v>38</v>
      </c>
      <c r="P5339">
        <v>76550</v>
      </c>
      <c r="Q5339">
        <v>3743</v>
      </c>
      <c r="R5339" t="s">
        <v>23</v>
      </c>
      <c r="S5339" s="1" t="s">
        <v>34218</v>
      </c>
    </row>
    <row r="5340" spans="1:19" x14ac:dyDescent="0.25">
      <c r="A5340">
        <v>101008916</v>
      </c>
      <c r="B5340" t="s">
        <v>13243</v>
      </c>
      <c r="C5340" t="s">
        <v>644</v>
      </c>
      <c r="G5340" t="s">
        <v>13244</v>
      </c>
      <c r="H5340" t="s">
        <v>13245</v>
      </c>
      <c r="I5340" t="s">
        <v>140</v>
      </c>
      <c r="J5340">
        <v>48891</v>
      </c>
      <c r="K5340">
        <v>9755</v>
      </c>
      <c r="L5340" t="s">
        <v>23</v>
      </c>
      <c r="M5340" t="s">
        <v>13244</v>
      </c>
      <c r="N5340" t="s">
        <v>13245</v>
      </c>
      <c r="O5340" t="s">
        <v>140</v>
      </c>
      <c r="P5340">
        <v>48891</v>
      </c>
      <c r="Q5340">
        <v>9755</v>
      </c>
      <c r="R5340" t="s">
        <v>23</v>
      </c>
      <c r="S5340" s="1" t="s">
        <v>34218</v>
      </c>
    </row>
    <row r="5341" spans="1:19" x14ac:dyDescent="0.25">
      <c r="A5341">
        <v>101008929</v>
      </c>
      <c r="B5341" t="s">
        <v>13246</v>
      </c>
      <c r="C5341" t="s">
        <v>102</v>
      </c>
      <c r="F5341" t="str">
        <f>"5039307317"</f>
        <v>5039307317</v>
      </c>
      <c r="G5341" t="s">
        <v>13247</v>
      </c>
      <c r="H5341" t="s">
        <v>1877</v>
      </c>
      <c r="I5341" t="s">
        <v>43</v>
      </c>
      <c r="J5341">
        <v>97304</v>
      </c>
      <c r="K5341">
        <v>4213</v>
      </c>
      <c r="L5341" t="s">
        <v>23</v>
      </c>
      <c r="M5341" t="s">
        <v>13247</v>
      </c>
      <c r="N5341" t="s">
        <v>1877</v>
      </c>
      <c r="O5341" t="s">
        <v>43</v>
      </c>
      <c r="P5341">
        <v>97304</v>
      </c>
      <c r="Q5341">
        <v>4213</v>
      </c>
      <c r="R5341" t="s">
        <v>23</v>
      </c>
      <c r="S5341" s="1" t="s">
        <v>34218</v>
      </c>
    </row>
    <row r="5342" spans="1:19" x14ac:dyDescent="0.25">
      <c r="A5342">
        <v>101013320</v>
      </c>
      <c r="B5342" t="s">
        <v>13248</v>
      </c>
      <c r="C5342" t="s">
        <v>13249</v>
      </c>
      <c r="G5342" t="s">
        <v>13250</v>
      </c>
      <c r="H5342" t="s">
        <v>2431</v>
      </c>
      <c r="I5342" t="s">
        <v>662</v>
      </c>
      <c r="J5342">
        <v>2905</v>
      </c>
      <c r="K5342">
        <v>1117</v>
      </c>
      <c r="L5342" t="s">
        <v>23</v>
      </c>
      <c r="M5342" t="s">
        <v>13250</v>
      </c>
      <c r="N5342" t="s">
        <v>2431</v>
      </c>
      <c r="O5342" t="s">
        <v>662</v>
      </c>
      <c r="P5342">
        <v>2905</v>
      </c>
      <c r="Q5342">
        <v>1117</v>
      </c>
      <c r="R5342" t="s">
        <v>23</v>
      </c>
      <c r="S5342" s="1" t="s">
        <v>34218</v>
      </c>
    </row>
    <row r="5343" spans="1:19" x14ac:dyDescent="0.25">
      <c r="A5343">
        <v>101007770</v>
      </c>
      <c r="B5343" t="s">
        <v>6027</v>
      </c>
      <c r="C5343" t="s">
        <v>959</v>
      </c>
      <c r="G5343" t="s">
        <v>13251</v>
      </c>
      <c r="H5343" t="s">
        <v>653</v>
      </c>
      <c r="I5343" t="s">
        <v>117</v>
      </c>
      <c r="J5343">
        <v>10021</v>
      </c>
      <c r="K5343">
        <v>4980</v>
      </c>
      <c r="L5343" t="s">
        <v>23</v>
      </c>
      <c r="M5343" t="s">
        <v>13251</v>
      </c>
      <c r="N5343" t="s">
        <v>653</v>
      </c>
      <c r="O5343" t="s">
        <v>117</v>
      </c>
      <c r="P5343">
        <v>10021</v>
      </c>
      <c r="Q5343">
        <v>4980</v>
      </c>
      <c r="R5343" t="s">
        <v>23</v>
      </c>
      <c r="S5343" s="1" t="s">
        <v>34218</v>
      </c>
    </row>
    <row r="5344" spans="1:19" x14ac:dyDescent="0.25">
      <c r="A5344">
        <v>101012812</v>
      </c>
      <c r="B5344" t="s">
        <v>5560</v>
      </c>
      <c r="C5344" t="s">
        <v>40</v>
      </c>
      <c r="G5344" t="s">
        <v>13252</v>
      </c>
      <c r="H5344" t="s">
        <v>21</v>
      </c>
      <c r="I5344" t="s">
        <v>22</v>
      </c>
      <c r="J5344">
        <v>95403</v>
      </c>
      <c r="K5344">
        <v>1893</v>
      </c>
      <c r="L5344" t="s">
        <v>23</v>
      </c>
      <c r="M5344" t="s">
        <v>13252</v>
      </c>
      <c r="N5344" t="s">
        <v>21</v>
      </c>
      <c r="O5344" t="s">
        <v>22</v>
      </c>
      <c r="P5344">
        <v>95403</v>
      </c>
      <c r="Q5344">
        <v>1893</v>
      </c>
      <c r="R5344" t="s">
        <v>23</v>
      </c>
      <c r="S5344" s="1" t="s">
        <v>34218</v>
      </c>
    </row>
    <row r="5345" spans="1:19" x14ac:dyDescent="0.25">
      <c r="A5345">
        <v>101012887</v>
      </c>
      <c r="B5345" t="s">
        <v>3462</v>
      </c>
      <c r="C5345" t="s">
        <v>4427</v>
      </c>
      <c r="G5345" t="s">
        <v>13253</v>
      </c>
      <c r="H5345" t="s">
        <v>13254</v>
      </c>
      <c r="I5345" t="s">
        <v>71</v>
      </c>
      <c r="J5345">
        <v>80027</v>
      </c>
      <c r="K5345">
        <v>8111</v>
      </c>
      <c r="L5345" t="s">
        <v>23</v>
      </c>
      <c r="M5345" t="s">
        <v>13253</v>
      </c>
      <c r="N5345" t="s">
        <v>13254</v>
      </c>
      <c r="O5345" t="s">
        <v>71</v>
      </c>
      <c r="P5345">
        <v>80027</v>
      </c>
      <c r="Q5345">
        <v>8111</v>
      </c>
      <c r="R5345" t="s">
        <v>23</v>
      </c>
      <c r="S5345" s="1" t="s">
        <v>34218</v>
      </c>
    </row>
    <row r="5346" spans="1:19" x14ac:dyDescent="0.25">
      <c r="A5346">
        <v>101012818</v>
      </c>
      <c r="B5346" t="s">
        <v>4203</v>
      </c>
      <c r="C5346" t="s">
        <v>13255</v>
      </c>
      <c r="G5346" t="s">
        <v>13256</v>
      </c>
      <c r="H5346" t="s">
        <v>4021</v>
      </c>
      <c r="I5346" t="s">
        <v>33</v>
      </c>
      <c r="J5346">
        <v>16059</v>
      </c>
      <c r="K5346">
        <v>3245</v>
      </c>
      <c r="L5346" t="s">
        <v>23</v>
      </c>
      <c r="M5346" t="s">
        <v>13256</v>
      </c>
      <c r="N5346" t="s">
        <v>4021</v>
      </c>
      <c r="O5346" t="s">
        <v>33</v>
      </c>
      <c r="P5346">
        <v>16059</v>
      </c>
      <c r="Q5346">
        <v>3245</v>
      </c>
      <c r="R5346" t="s">
        <v>23</v>
      </c>
      <c r="S5346" s="1" t="s">
        <v>34218</v>
      </c>
    </row>
    <row r="5347" spans="1:19" x14ac:dyDescent="0.25">
      <c r="A5347">
        <v>101014896</v>
      </c>
      <c r="B5347" t="s">
        <v>13257</v>
      </c>
      <c r="C5347" t="s">
        <v>119</v>
      </c>
      <c r="F5347" t="str">
        <f>"9708845063"</f>
        <v>9708845063</v>
      </c>
      <c r="G5347" t="s">
        <v>13258</v>
      </c>
      <c r="H5347" t="s">
        <v>13259</v>
      </c>
      <c r="I5347" t="s">
        <v>71</v>
      </c>
      <c r="J5347">
        <v>81122</v>
      </c>
      <c r="K5347">
        <v>9702</v>
      </c>
      <c r="L5347" t="s">
        <v>23</v>
      </c>
      <c r="M5347" t="s">
        <v>13258</v>
      </c>
      <c r="N5347" t="s">
        <v>13259</v>
      </c>
      <c r="O5347" t="s">
        <v>71</v>
      </c>
      <c r="P5347">
        <v>81122</v>
      </c>
      <c r="Q5347">
        <v>9702</v>
      </c>
      <c r="R5347" t="s">
        <v>23</v>
      </c>
      <c r="S5347" s="1" t="s">
        <v>34218</v>
      </c>
    </row>
    <row r="5348" spans="1:19" x14ac:dyDescent="0.25">
      <c r="A5348">
        <v>101201333</v>
      </c>
      <c r="B5348" t="s">
        <v>13260</v>
      </c>
      <c r="C5348" t="s">
        <v>13261</v>
      </c>
      <c r="G5348" t="s">
        <v>13262</v>
      </c>
      <c r="H5348" t="s">
        <v>1261</v>
      </c>
      <c r="I5348" t="s">
        <v>22</v>
      </c>
      <c r="J5348">
        <v>95501</v>
      </c>
      <c r="K5348">
        <v>2611</v>
      </c>
      <c r="L5348" t="s">
        <v>23</v>
      </c>
      <c r="M5348" t="s">
        <v>13262</v>
      </c>
      <c r="N5348" t="s">
        <v>1261</v>
      </c>
      <c r="O5348" t="s">
        <v>22</v>
      </c>
      <c r="P5348">
        <v>95501</v>
      </c>
      <c r="Q5348">
        <v>2611</v>
      </c>
      <c r="R5348" t="s">
        <v>23</v>
      </c>
      <c r="S5348" s="1" t="s">
        <v>34218</v>
      </c>
    </row>
    <row r="5349" spans="1:19" x14ac:dyDescent="0.25">
      <c r="A5349">
        <v>101205344</v>
      </c>
      <c r="B5349" t="s">
        <v>13263</v>
      </c>
      <c r="C5349" t="s">
        <v>1298</v>
      </c>
      <c r="G5349" t="s">
        <v>13264</v>
      </c>
      <c r="H5349" t="s">
        <v>569</v>
      </c>
      <c r="I5349" t="s">
        <v>187</v>
      </c>
      <c r="J5349">
        <v>55404</v>
      </c>
      <c r="K5349">
        <v>4112</v>
      </c>
      <c r="L5349" t="s">
        <v>23</v>
      </c>
      <c r="M5349" t="s">
        <v>13264</v>
      </c>
      <c r="N5349" t="s">
        <v>569</v>
      </c>
      <c r="O5349" t="s">
        <v>187</v>
      </c>
      <c r="P5349">
        <v>55404</v>
      </c>
      <c r="Q5349">
        <v>4112</v>
      </c>
      <c r="R5349" t="s">
        <v>23</v>
      </c>
      <c r="S5349" s="1" t="s">
        <v>34218</v>
      </c>
    </row>
    <row r="5350" spans="1:19" x14ac:dyDescent="0.25">
      <c r="A5350">
        <v>101205358</v>
      </c>
      <c r="B5350" t="s">
        <v>13265</v>
      </c>
      <c r="C5350" t="s">
        <v>90</v>
      </c>
      <c r="G5350" t="s">
        <v>13266</v>
      </c>
      <c r="H5350" t="s">
        <v>13267</v>
      </c>
      <c r="I5350" t="s">
        <v>2566</v>
      </c>
      <c r="J5350">
        <v>99556</v>
      </c>
      <c r="K5350">
        <v>9453</v>
      </c>
      <c r="L5350" t="s">
        <v>23</v>
      </c>
      <c r="M5350" t="s">
        <v>13266</v>
      </c>
      <c r="N5350" t="s">
        <v>13267</v>
      </c>
      <c r="O5350" t="s">
        <v>2566</v>
      </c>
      <c r="P5350">
        <v>99556</v>
      </c>
      <c r="Q5350">
        <v>9453</v>
      </c>
      <c r="R5350" t="s">
        <v>23</v>
      </c>
      <c r="S5350" s="1" t="s">
        <v>34218</v>
      </c>
    </row>
    <row r="5351" spans="1:19" x14ac:dyDescent="0.25">
      <c r="A5351">
        <v>101205394</v>
      </c>
      <c r="B5351" t="s">
        <v>6145</v>
      </c>
      <c r="C5351" t="s">
        <v>262</v>
      </c>
      <c r="G5351" t="s">
        <v>13268</v>
      </c>
      <c r="H5351" t="s">
        <v>1739</v>
      </c>
      <c r="I5351" t="s">
        <v>984</v>
      </c>
      <c r="J5351">
        <v>96793</v>
      </c>
      <c r="K5351">
        <v>3516</v>
      </c>
      <c r="L5351" t="s">
        <v>23</v>
      </c>
      <c r="M5351" t="s">
        <v>13268</v>
      </c>
      <c r="N5351" t="s">
        <v>1739</v>
      </c>
      <c r="O5351" t="s">
        <v>984</v>
      </c>
      <c r="P5351">
        <v>96793</v>
      </c>
      <c r="Q5351">
        <v>3516</v>
      </c>
      <c r="R5351" t="s">
        <v>23</v>
      </c>
      <c r="S5351" s="1" t="s">
        <v>34218</v>
      </c>
    </row>
    <row r="5352" spans="1:19" x14ac:dyDescent="0.25">
      <c r="A5352">
        <v>101206900</v>
      </c>
      <c r="B5352" t="s">
        <v>13269</v>
      </c>
      <c r="C5352" t="s">
        <v>8451</v>
      </c>
      <c r="G5352" t="s">
        <v>13270</v>
      </c>
      <c r="H5352" t="s">
        <v>13271</v>
      </c>
      <c r="I5352" t="s">
        <v>117</v>
      </c>
      <c r="J5352">
        <v>10963</v>
      </c>
      <c r="K5352">
        <v>2347</v>
      </c>
      <c r="L5352" t="s">
        <v>23</v>
      </c>
      <c r="M5352" t="s">
        <v>13270</v>
      </c>
      <c r="N5352" t="s">
        <v>13271</v>
      </c>
      <c r="O5352" t="s">
        <v>117</v>
      </c>
      <c r="P5352">
        <v>10963</v>
      </c>
      <c r="Q5352">
        <v>2347</v>
      </c>
      <c r="R5352" t="s">
        <v>23</v>
      </c>
      <c r="S5352" s="1" t="s">
        <v>34218</v>
      </c>
    </row>
    <row r="5353" spans="1:19" x14ac:dyDescent="0.25">
      <c r="A5353">
        <v>101208217</v>
      </c>
      <c r="B5353" t="s">
        <v>2578</v>
      </c>
      <c r="C5353" t="s">
        <v>12498</v>
      </c>
      <c r="G5353" t="s">
        <v>13272</v>
      </c>
      <c r="H5353" t="s">
        <v>4514</v>
      </c>
      <c r="I5353" t="s">
        <v>2537</v>
      </c>
      <c r="J5353">
        <v>72701</v>
      </c>
      <c r="K5353">
        <v>9121</v>
      </c>
      <c r="L5353" t="s">
        <v>23</v>
      </c>
      <c r="M5353" t="s">
        <v>13272</v>
      </c>
      <c r="N5353" t="s">
        <v>4514</v>
      </c>
      <c r="O5353" t="s">
        <v>2537</v>
      </c>
      <c r="P5353">
        <v>72701</v>
      </c>
      <c r="Q5353">
        <v>9121</v>
      </c>
      <c r="R5353" t="s">
        <v>23</v>
      </c>
      <c r="S5353" s="1" t="s">
        <v>34218</v>
      </c>
    </row>
    <row r="5354" spans="1:19" x14ac:dyDescent="0.25">
      <c r="A5354">
        <v>101214325</v>
      </c>
      <c r="B5354" t="s">
        <v>13273</v>
      </c>
      <c r="C5354" t="s">
        <v>13274</v>
      </c>
      <c r="G5354" t="s">
        <v>13275</v>
      </c>
      <c r="H5354" t="s">
        <v>7527</v>
      </c>
      <c r="I5354" t="s">
        <v>250</v>
      </c>
      <c r="J5354">
        <v>7450</v>
      </c>
      <c r="K5354">
        <v>2332</v>
      </c>
      <c r="L5354" t="s">
        <v>23</v>
      </c>
      <c r="M5354" t="s">
        <v>13275</v>
      </c>
      <c r="N5354" t="s">
        <v>7527</v>
      </c>
      <c r="O5354" t="s">
        <v>250</v>
      </c>
      <c r="P5354">
        <v>7450</v>
      </c>
      <c r="Q5354">
        <v>2332</v>
      </c>
      <c r="R5354" t="s">
        <v>23</v>
      </c>
      <c r="S5354" s="1" t="s">
        <v>34218</v>
      </c>
    </row>
    <row r="5355" spans="1:19" x14ac:dyDescent="0.25">
      <c r="A5355">
        <v>101210220</v>
      </c>
      <c r="B5355" t="s">
        <v>13276</v>
      </c>
      <c r="C5355" t="s">
        <v>6584</v>
      </c>
      <c r="G5355" t="s">
        <v>13277</v>
      </c>
      <c r="H5355" t="s">
        <v>1096</v>
      </c>
      <c r="I5355" t="s">
        <v>71</v>
      </c>
      <c r="J5355">
        <v>80027</v>
      </c>
      <c r="K5355">
        <v>9510</v>
      </c>
      <c r="L5355" t="s">
        <v>23</v>
      </c>
      <c r="M5355" t="s">
        <v>13277</v>
      </c>
      <c r="N5355" t="s">
        <v>1096</v>
      </c>
      <c r="O5355" t="s">
        <v>71</v>
      </c>
      <c r="P5355">
        <v>80027</v>
      </c>
      <c r="Q5355">
        <v>9510</v>
      </c>
      <c r="R5355" t="s">
        <v>23</v>
      </c>
      <c r="S5355" s="1" t="s">
        <v>34218</v>
      </c>
    </row>
    <row r="5356" spans="1:19" x14ac:dyDescent="0.25">
      <c r="A5356">
        <v>100863315</v>
      </c>
      <c r="B5356" t="s">
        <v>1505</v>
      </c>
      <c r="C5356" t="s">
        <v>13278</v>
      </c>
      <c r="G5356" t="s">
        <v>13279</v>
      </c>
      <c r="H5356" t="s">
        <v>1091</v>
      </c>
      <c r="I5356" t="s">
        <v>365</v>
      </c>
      <c r="J5356">
        <v>86336</v>
      </c>
      <c r="L5356" t="s">
        <v>23</v>
      </c>
      <c r="M5356" t="s">
        <v>13279</v>
      </c>
      <c r="N5356" t="s">
        <v>1091</v>
      </c>
      <c r="O5356" t="s">
        <v>365</v>
      </c>
      <c r="P5356">
        <v>86336</v>
      </c>
      <c r="R5356" t="s">
        <v>23</v>
      </c>
      <c r="S5356" s="1" t="s">
        <v>34218</v>
      </c>
    </row>
    <row r="5357" spans="1:19" x14ac:dyDescent="0.25">
      <c r="A5357">
        <v>100864784</v>
      </c>
      <c r="B5357" t="s">
        <v>8725</v>
      </c>
      <c r="C5357" t="s">
        <v>13280</v>
      </c>
      <c r="G5357" t="s">
        <v>13281</v>
      </c>
      <c r="H5357" t="s">
        <v>5290</v>
      </c>
      <c r="I5357" t="s">
        <v>22</v>
      </c>
      <c r="J5357">
        <v>91356</v>
      </c>
      <c r="K5357">
        <v>5428</v>
      </c>
      <c r="L5357" t="s">
        <v>23</v>
      </c>
      <c r="M5357" t="s">
        <v>13281</v>
      </c>
      <c r="N5357" t="s">
        <v>5290</v>
      </c>
      <c r="O5357" t="s">
        <v>22</v>
      </c>
      <c r="P5357">
        <v>91356</v>
      </c>
      <c r="Q5357">
        <v>5428</v>
      </c>
      <c r="R5357" t="s">
        <v>23</v>
      </c>
      <c r="S5357" s="1" t="s">
        <v>34218</v>
      </c>
    </row>
    <row r="5358" spans="1:19" x14ac:dyDescent="0.25">
      <c r="A5358">
        <v>100865770</v>
      </c>
      <c r="B5358" t="s">
        <v>13282</v>
      </c>
      <c r="C5358" t="s">
        <v>1778</v>
      </c>
      <c r="G5358" t="s">
        <v>13283</v>
      </c>
      <c r="H5358" t="s">
        <v>13284</v>
      </c>
      <c r="I5358" t="s">
        <v>178</v>
      </c>
      <c r="J5358">
        <v>44130</v>
      </c>
      <c r="K5358">
        <v>6707</v>
      </c>
      <c r="L5358" t="s">
        <v>23</v>
      </c>
      <c r="M5358" t="s">
        <v>13283</v>
      </c>
      <c r="N5358" t="s">
        <v>13284</v>
      </c>
      <c r="O5358" t="s">
        <v>178</v>
      </c>
      <c r="P5358">
        <v>44130</v>
      </c>
      <c r="Q5358">
        <v>6707</v>
      </c>
      <c r="R5358" t="s">
        <v>23</v>
      </c>
      <c r="S5358" s="1" t="s">
        <v>34218</v>
      </c>
    </row>
    <row r="5359" spans="1:19" x14ac:dyDescent="0.25">
      <c r="A5359">
        <v>100520436</v>
      </c>
      <c r="B5359" t="s">
        <v>13285</v>
      </c>
      <c r="C5359" t="s">
        <v>6897</v>
      </c>
      <c r="G5359" t="s">
        <v>13286</v>
      </c>
      <c r="H5359" t="s">
        <v>1579</v>
      </c>
      <c r="I5359" t="s">
        <v>135</v>
      </c>
      <c r="J5359">
        <v>60502</v>
      </c>
      <c r="K5359">
        <v>8697</v>
      </c>
      <c r="L5359" t="s">
        <v>23</v>
      </c>
      <c r="M5359" t="s">
        <v>13286</v>
      </c>
      <c r="N5359" t="s">
        <v>1579</v>
      </c>
      <c r="O5359" t="s">
        <v>135</v>
      </c>
      <c r="P5359">
        <v>60502</v>
      </c>
      <c r="Q5359">
        <v>8697</v>
      </c>
      <c r="R5359" t="s">
        <v>23</v>
      </c>
      <c r="S5359" s="1" t="s">
        <v>34218</v>
      </c>
    </row>
    <row r="5360" spans="1:19" x14ac:dyDescent="0.25">
      <c r="A5360">
        <v>100517165</v>
      </c>
      <c r="B5360" t="s">
        <v>13287</v>
      </c>
      <c r="C5360" t="s">
        <v>571</v>
      </c>
      <c r="G5360" t="s">
        <v>13288</v>
      </c>
      <c r="H5360" t="s">
        <v>2370</v>
      </c>
      <c r="I5360" t="s">
        <v>22</v>
      </c>
      <c r="J5360">
        <v>90232</v>
      </c>
      <c r="K5360">
        <v>3207</v>
      </c>
      <c r="L5360" t="s">
        <v>23</v>
      </c>
      <c r="M5360" t="s">
        <v>13288</v>
      </c>
      <c r="N5360" t="s">
        <v>2370</v>
      </c>
      <c r="O5360" t="s">
        <v>22</v>
      </c>
      <c r="P5360">
        <v>90232</v>
      </c>
      <c r="Q5360">
        <v>3207</v>
      </c>
      <c r="R5360" t="s">
        <v>23</v>
      </c>
      <c r="S5360" s="1" t="s">
        <v>34218</v>
      </c>
    </row>
    <row r="5361" spans="1:19" x14ac:dyDescent="0.25">
      <c r="A5361">
        <v>100517174</v>
      </c>
      <c r="B5361" t="s">
        <v>13289</v>
      </c>
      <c r="C5361" t="s">
        <v>9199</v>
      </c>
      <c r="G5361" t="s">
        <v>13290</v>
      </c>
      <c r="H5361" t="s">
        <v>240</v>
      </c>
      <c r="I5361" t="s">
        <v>241</v>
      </c>
      <c r="J5361">
        <v>66204</v>
      </c>
      <c r="K5361">
        <v>3441</v>
      </c>
      <c r="L5361" t="s">
        <v>23</v>
      </c>
      <c r="M5361" t="s">
        <v>13290</v>
      </c>
      <c r="N5361" t="s">
        <v>240</v>
      </c>
      <c r="O5361" t="s">
        <v>241</v>
      </c>
      <c r="P5361">
        <v>66204</v>
      </c>
      <c r="Q5361">
        <v>3441</v>
      </c>
      <c r="R5361" t="s">
        <v>23</v>
      </c>
      <c r="S5361" s="1" t="s">
        <v>34218</v>
      </c>
    </row>
    <row r="5362" spans="1:19" x14ac:dyDescent="0.25">
      <c r="A5362">
        <v>100521591</v>
      </c>
      <c r="B5362" t="s">
        <v>13291</v>
      </c>
      <c r="C5362" t="s">
        <v>1036</v>
      </c>
      <c r="G5362" t="s">
        <v>13292</v>
      </c>
      <c r="H5362" t="s">
        <v>2901</v>
      </c>
      <c r="I5362" t="s">
        <v>255</v>
      </c>
      <c r="J5362">
        <v>23059</v>
      </c>
      <c r="K5362">
        <v>5546</v>
      </c>
      <c r="L5362" t="s">
        <v>23</v>
      </c>
      <c r="M5362" t="s">
        <v>13292</v>
      </c>
      <c r="N5362" t="s">
        <v>2901</v>
      </c>
      <c r="O5362" t="s">
        <v>255</v>
      </c>
      <c r="P5362">
        <v>23059</v>
      </c>
      <c r="Q5362">
        <v>5546</v>
      </c>
      <c r="R5362" t="s">
        <v>23</v>
      </c>
      <c r="S5362" s="1" t="s">
        <v>34218</v>
      </c>
    </row>
    <row r="5363" spans="1:19" x14ac:dyDescent="0.25">
      <c r="A5363">
        <v>100528285</v>
      </c>
      <c r="B5363" t="s">
        <v>13293</v>
      </c>
      <c r="C5363" t="s">
        <v>13294</v>
      </c>
      <c r="G5363" t="s">
        <v>13295</v>
      </c>
      <c r="H5363" t="s">
        <v>1105</v>
      </c>
      <c r="I5363" t="s">
        <v>117</v>
      </c>
      <c r="J5363">
        <v>10455</v>
      </c>
      <c r="K5363">
        <v>1902</v>
      </c>
      <c r="L5363" t="s">
        <v>23</v>
      </c>
      <c r="M5363" t="s">
        <v>13295</v>
      </c>
      <c r="N5363" t="s">
        <v>1105</v>
      </c>
      <c r="O5363" t="s">
        <v>117</v>
      </c>
      <c r="P5363">
        <v>10455</v>
      </c>
      <c r="Q5363">
        <v>1902</v>
      </c>
      <c r="R5363" t="s">
        <v>23</v>
      </c>
      <c r="S5363" s="1" t="s">
        <v>34218</v>
      </c>
    </row>
    <row r="5364" spans="1:19" x14ac:dyDescent="0.25">
      <c r="A5364">
        <v>100525067</v>
      </c>
      <c r="B5364" t="s">
        <v>13296</v>
      </c>
      <c r="C5364" t="s">
        <v>4136</v>
      </c>
      <c r="G5364" t="s">
        <v>13297</v>
      </c>
      <c r="H5364" t="s">
        <v>653</v>
      </c>
      <c r="I5364" t="s">
        <v>117</v>
      </c>
      <c r="J5364">
        <v>10040</v>
      </c>
      <c r="K5364">
        <v>4080</v>
      </c>
      <c r="L5364" t="s">
        <v>23</v>
      </c>
      <c r="M5364" t="s">
        <v>13297</v>
      </c>
      <c r="N5364" t="s">
        <v>653</v>
      </c>
      <c r="O5364" t="s">
        <v>117</v>
      </c>
      <c r="P5364">
        <v>10040</v>
      </c>
      <c r="Q5364">
        <v>4080</v>
      </c>
      <c r="R5364" t="s">
        <v>23</v>
      </c>
      <c r="S5364" s="1" t="s">
        <v>34218</v>
      </c>
    </row>
    <row r="5365" spans="1:19" x14ac:dyDescent="0.25">
      <c r="A5365">
        <v>100529093</v>
      </c>
      <c r="B5365" t="s">
        <v>13298</v>
      </c>
      <c r="C5365" t="s">
        <v>123</v>
      </c>
      <c r="G5365" t="s">
        <v>13299</v>
      </c>
      <c r="H5365" t="s">
        <v>130</v>
      </c>
      <c r="I5365" t="s">
        <v>22</v>
      </c>
      <c r="J5365">
        <v>94121</v>
      </c>
      <c r="K5365">
        <v>1119</v>
      </c>
      <c r="L5365" t="s">
        <v>23</v>
      </c>
      <c r="M5365" t="s">
        <v>13299</v>
      </c>
      <c r="N5365" t="s">
        <v>130</v>
      </c>
      <c r="O5365" t="s">
        <v>22</v>
      </c>
      <c r="P5365">
        <v>94121</v>
      </c>
      <c r="Q5365">
        <v>1119</v>
      </c>
      <c r="R5365" t="s">
        <v>23</v>
      </c>
      <c r="S5365" s="1" t="s">
        <v>34218</v>
      </c>
    </row>
    <row r="5366" spans="1:19" x14ac:dyDescent="0.25">
      <c r="A5366">
        <v>100707761</v>
      </c>
      <c r="B5366" t="s">
        <v>1057</v>
      </c>
      <c r="C5366" t="s">
        <v>579</v>
      </c>
      <c r="G5366" t="s">
        <v>13300</v>
      </c>
      <c r="H5366" t="s">
        <v>529</v>
      </c>
      <c r="I5366" t="s">
        <v>71</v>
      </c>
      <c r="J5366">
        <v>80538</v>
      </c>
      <c r="K5366">
        <v>1107</v>
      </c>
      <c r="L5366" t="s">
        <v>23</v>
      </c>
      <c r="M5366" t="s">
        <v>13300</v>
      </c>
      <c r="N5366" t="s">
        <v>529</v>
      </c>
      <c r="O5366" t="s">
        <v>71</v>
      </c>
      <c r="P5366">
        <v>80538</v>
      </c>
      <c r="Q5366">
        <v>1107</v>
      </c>
      <c r="R5366" t="s">
        <v>23</v>
      </c>
      <c r="S5366" s="1" t="s">
        <v>34218</v>
      </c>
    </row>
    <row r="5367" spans="1:19" x14ac:dyDescent="0.25">
      <c r="A5367">
        <v>100706327</v>
      </c>
      <c r="B5367" t="s">
        <v>13205</v>
      </c>
      <c r="C5367" t="s">
        <v>10931</v>
      </c>
      <c r="F5367" t="str">
        <f>"7733867446"</f>
        <v>7733867446</v>
      </c>
      <c r="G5367" t="s">
        <v>13301</v>
      </c>
      <c r="H5367" t="s">
        <v>134</v>
      </c>
      <c r="I5367" t="s">
        <v>135</v>
      </c>
      <c r="J5367">
        <v>60614</v>
      </c>
      <c r="K5367">
        <v>1331</v>
      </c>
      <c r="L5367" t="s">
        <v>23</v>
      </c>
      <c r="M5367" t="s">
        <v>13301</v>
      </c>
      <c r="N5367" t="s">
        <v>134</v>
      </c>
      <c r="O5367" t="s">
        <v>135</v>
      </c>
      <c r="P5367">
        <v>60614</v>
      </c>
      <c r="Q5367">
        <v>1331</v>
      </c>
      <c r="R5367" t="s">
        <v>23</v>
      </c>
      <c r="S5367" s="1" t="s">
        <v>34218</v>
      </c>
    </row>
    <row r="5368" spans="1:19" x14ac:dyDescent="0.25">
      <c r="A5368">
        <v>100716072</v>
      </c>
      <c r="B5368" t="s">
        <v>6598</v>
      </c>
      <c r="C5368" t="s">
        <v>13302</v>
      </c>
      <c r="G5368" t="s">
        <v>13303</v>
      </c>
      <c r="H5368" t="s">
        <v>13304</v>
      </c>
      <c r="I5368" t="s">
        <v>348</v>
      </c>
      <c r="J5368">
        <v>83864</v>
      </c>
      <c r="K5368">
        <v>4935</v>
      </c>
      <c r="L5368" t="s">
        <v>23</v>
      </c>
      <c r="M5368" t="s">
        <v>13303</v>
      </c>
      <c r="N5368" t="s">
        <v>13304</v>
      </c>
      <c r="O5368" t="s">
        <v>348</v>
      </c>
      <c r="P5368">
        <v>83864</v>
      </c>
      <c r="Q5368">
        <v>4935</v>
      </c>
      <c r="R5368" t="s">
        <v>23</v>
      </c>
      <c r="S5368" s="1" t="s">
        <v>34218</v>
      </c>
    </row>
    <row r="5369" spans="1:19" x14ac:dyDescent="0.25">
      <c r="A5369">
        <v>100721110</v>
      </c>
      <c r="B5369" t="s">
        <v>744</v>
      </c>
      <c r="C5369" t="s">
        <v>1598</v>
      </c>
      <c r="G5369" t="s">
        <v>13305</v>
      </c>
      <c r="H5369" t="s">
        <v>13306</v>
      </c>
      <c r="I5369" t="s">
        <v>191</v>
      </c>
      <c r="J5369">
        <v>4108</v>
      </c>
      <c r="K5369">
        <v>1309</v>
      </c>
      <c r="L5369" t="s">
        <v>23</v>
      </c>
      <c r="M5369" t="s">
        <v>13305</v>
      </c>
      <c r="N5369" t="s">
        <v>13306</v>
      </c>
      <c r="O5369" t="s">
        <v>191</v>
      </c>
      <c r="P5369">
        <v>4108</v>
      </c>
      <c r="Q5369">
        <v>1309</v>
      </c>
      <c r="R5369" t="s">
        <v>23</v>
      </c>
      <c r="S5369" s="1" t="s">
        <v>34218</v>
      </c>
    </row>
    <row r="5370" spans="1:19" x14ac:dyDescent="0.25">
      <c r="A5370">
        <v>100727639</v>
      </c>
      <c r="B5370" t="s">
        <v>13307</v>
      </c>
      <c r="C5370" t="s">
        <v>585</v>
      </c>
      <c r="G5370" t="s">
        <v>13308</v>
      </c>
      <c r="H5370" t="s">
        <v>1355</v>
      </c>
      <c r="I5370" t="s">
        <v>84</v>
      </c>
      <c r="J5370">
        <v>98272</v>
      </c>
      <c r="K5370">
        <v>8752</v>
      </c>
      <c r="L5370" t="s">
        <v>23</v>
      </c>
      <c r="M5370" t="s">
        <v>13308</v>
      </c>
      <c r="N5370" t="s">
        <v>1355</v>
      </c>
      <c r="O5370" t="s">
        <v>84</v>
      </c>
      <c r="P5370">
        <v>98272</v>
      </c>
      <c r="Q5370">
        <v>8752</v>
      </c>
      <c r="R5370" t="s">
        <v>23</v>
      </c>
      <c r="S5370" s="1" t="s">
        <v>34218</v>
      </c>
    </row>
    <row r="5371" spans="1:19" x14ac:dyDescent="0.25">
      <c r="A5371">
        <v>100732095</v>
      </c>
      <c r="B5371" t="s">
        <v>13309</v>
      </c>
      <c r="C5371" t="s">
        <v>13310</v>
      </c>
      <c r="G5371" t="s">
        <v>13311</v>
      </c>
      <c r="H5371" t="s">
        <v>8228</v>
      </c>
      <c r="I5371" t="s">
        <v>33</v>
      </c>
      <c r="J5371">
        <v>17316</v>
      </c>
      <c r="K5371">
        <v>9499</v>
      </c>
      <c r="L5371" t="s">
        <v>23</v>
      </c>
      <c r="M5371" t="s">
        <v>13311</v>
      </c>
      <c r="N5371" t="s">
        <v>8228</v>
      </c>
      <c r="O5371" t="s">
        <v>33</v>
      </c>
      <c r="P5371">
        <v>17316</v>
      </c>
      <c r="Q5371">
        <v>9499</v>
      </c>
      <c r="R5371" t="s">
        <v>23</v>
      </c>
      <c r="S5371" s="1" t="s">
        <v>34218</v>
      </c>
    </row>
    <row r="5372" spans="1:19" x14ac:dyDescent="0.25">
      <c r="A5372">
        <v>100733013</v>
      </c>
      <c r="B5372" t="s">
        <v>13312</v>
      </c>
      <c r="C5372" t="s">
        <v>172</v>
      </c>
      <c r="G5372" t="s">
        <v>13313</v>
      </c>
      <c r="H5372" t="s">
        <v>13314</v>
      </c>
      <c r="I5372" t="s">
        <v>140</v>
      </c>
      <c r="J5372">
        <v>48081</v>
      </c>
      <c r="K5372">
        <v>1131</v>
      </c>
      <c r="L5372" t="s">
        <v>23</v>
      </c>
      <c r="M5372" t="s">
        <v>13313</v>
      </c>
      <c r="N5372" t="s">
        <v>13314</v>
      </c>
      <c r="O5372" t="s">
        <v>140</v>
      </c>
      <c r="P5372">
        <v>48081</v>
      </c>
      <c r="Q5372">
        <v>1131</v>
      </c>
      <c r="R5372" t="s">
        <v>23</v>
      </c>
      <c r="S5372" s="1" t="s">
        <v>34218</v>
      </c>
    </row>
    <row r="5373" spans="1:19" x14ac:dyDescent="0.25">
      <c r="A5373">
        <v>100916001</v>
      </c>
      <c r="B5373" t="s">
        <v>13315</v>
      </c>
      <c r="C5373" t="s">
        <v>13316</v>
      </c>
      <c r="G5373" t="s">
        <v>13317</v>
      </c>
      <c r="H5373" t="s">
        <v>13318</v>
      </c>
      <c r="I5373" t="s">
        <v>62</v>
      </c>
      <c r="J5373">
        <v>74501</v>
      </c>
      <c r="K5373">
        <v>5893</v>
      </c>
      <c r="L5373" t="s">
        <v>23</v>
      </c>
      <c r="M5373" t="s">
        <v>13317</v>
      </c>
      <c r="N5373" t="s">
        <v>13318</v>
      </c>
      <c r="O5373" t="s">
        <v>62</v>
      </c>
      <c r="P5373">
        <v>74501</v>
      </c>
      <c r="Q5373">
        <v>5893</v>
      </c>
      <c r="R5373" t="s">
        <v>23</v>
      </c>
      <c r="S5373" s="1" t="s">
        <v>34218</v>
      </c>
    </row>
    <row r="5374" spans="1:19" x14ac:dyDescent="0.25">
      <c r="A5374">
        <v>100915296</v>
      </c>
      <c r="B5374" t="s">
        <v>13319</v>
      </c>
      <c r="C5374" t="s">
        <v>2056</v>
      </c>
      <c r="G5374" t="s">
        <v>13320</v>
      </c>
      <c r="H5374" t="s">
        <v>13321</v>
      </c>
      <c r="I5374" t="s">
        <v>100</v>
      </c>
      <c r="J5374">
        <v>54725</v>
      </c>
      <c r="L5374" t="s">
        <v>23</v>
      </c>
      <c r="M5374" t="s">
        <v>13320</v>
      </c>
      <c r="N5374" t="s">
        <v>13321</v>
      </c>
      <c r="O5374" t="s">
        <v>100</v>
      </c>
      <c r="P5374">
        <v>54725</v>
      </c>
      <c r="R5374" t="s">
        <v>23</v>
      </c>
      <c r="S5374" s="1" t="s">
        <v>34218</v>
      </c>
    </row>
    <row r="5375" spans="1:19" x14ac:dyDescent="0.25">
      <c r="A5375">
        <v>100923517</v>
      </c>
      <c r="B5375" t="s">
        <v>13322</v>
      </c>
      <c r="C5375" t="s">
        <v>1153</v>
      </c>
      <c r="G5375" t="s">
        <v>13323</v>
      </c>
      <c r="H5375" t="s">
        <v>4326</v>
      </c>
      <c r="I5375" t="s">
        <v>71</v>
      </c>
      <c r="J5375">
        <v>80232</v>
      </c>
      <c r="K5375">
        <v>6711</v>
      </c>
      <c r="L5375" t="s">
        <v>23</v>
      </c>
      <c r="M5375" t="s">
        <v>13323</v>
      </c>
      <c r="N5375" t="s">
        <v>4326</v>
      </c>
      <c r="O5375" t="s">
        <v>71</v>
      </c>
      <c r="P5375">
        <v>80232</v>
      </c>
      <c r="Q5375">
        <v>6711</v>
      </c>
      <c r="R5375" t="s">
        <v>23</v>
      </c>
      <c r="S5375" s="1" t="s">
        <v>34218</v>
      </c>
    </row>
    <row r="5376" spans="1:19" x14ac:dyDescent="0.25">
      <c r="A5376">
        <v>100925164</v>
      </c>
      <c r="B5376" t="s">
        <v>828</v>
      </c>
      <c r="C5376" t="s">
        <v>13324</v>
      </c>
      <c r="G5376" t="s">
        <v>13325</v>
      </c>
      <c r="H5376" t="s">
        <v>1402</v>
      </c>
      <c r="I5376" t="s">
        <v>38</v>
      </c>
      <c r="J5376">
        <v>77005</v>
      </c>
      <c r="K5376">
        <v>3936</v>
      </c>
      <c r="L5376" t="s">
        <v>23</v>
      </c>
      <c r="M5376" t="s">
        <v>13325</v>
      </c>
      <c r="N5376" t="s">
        <v>1402</v>
      </c>
      <c r="O5376" t="s">
        <v>38</v>
      </c>
      <c r="P5376">
        <v>77005</v>
      </c>
      <c r="Q5376">
        <v>3936</v>
      </c>
      <c r="R5376" t="s">
        <v>23</v>
      </c>
      <c r="S5376" s="1" t="s">
        <v>34218</v>
      </c>
    </row>
    <row r="5377" spans="1:19" x14ac:dyDescent="0.25">
      <c r="A5377">
        <v>100921246</v>
      </c>
      <c r="B5377" t="s">
        <v>13326</v>
      </c>
      <c r="C5377" t="s">
        <v>1331</v>
      </c>
      <c r="G5377" t="s">
        <v>13327</v>
      </c>
      <c r="H5377" t="s">
        <v>1335</v>
      </c>
      <c r="I5377" t="s">
        <v>187</v>
      </c>
      <c r="J5377">
        <v>56484</v>
      </c>
      <c r="K5377">
        <v>2001</v>
      </c>
      <c r="L5377" t="s">
        <v>23</v>
      </c>
      <c r="M5377" t="s">
        <v>13327</v>
      </c>
      <c r="N5377" t="s">
        <v>1335</v>
      </c>
      <c r="O5377" t="s">
        <v>187</v>
      </c>
      <c r="P5377">
        <v>56484</v>
      </c>
      <c r="Q5377">
        <v>2001</v>
      </c>
      <c r="R5377" t="s">
        <v>23</v>
      </c>
      <c r="S5377" s="1" t="s">
        <v>34218</v>
      </c>
    </row>
    <row r="5378" spans="1:19" x14ac:dyDescent="0.25">
      <c r="A5378">
        <v>100927261</v>
      </c>
      <c r="B5378" t="s">
        <v>13328</v>
      </c>
      <c r="C5378" t="s">
        <v>13329</v>
      </c>
      <c r="G5378" t="s">
        <v>13330</v>
      </c>
      <c r="H5378" t="s">
        <v>2957</v>
      </c>
      <c r="I5378" t="s">
        <v>178</v>
      </c>
      <c r="J5378">
        <v>44509</v>
      </c>
      <c r="K5378">
        <v>2245</v>
      </c>
      <c r="L5378" t="s">
        <v>23</v>
      </c>
      <c r="M5378" t="s">
        <v>13330</v>
      </c>
      <c r="N5378" t="s">
        <v>2957</v>
      </c>
      <c r="O5378" t="s">
        <v>178</v>
      </c>
      <c r="P5378">
        <v>44509</v>
      </c>
      <c r="Q5378">
        <v>2245</v>
      </c>
      <c r="R5378" t="s">
        <v>23</v>
      </c>
      <c r="S5378" s="1" t="s">
        <v>34218</v>
      </c>
    </row>
    <row r="5379" spans="1:19" x14ac:dyDescent="0.25">
      <c r="A5379">
        <v>100930956</v>
      </c>
      <c r="B5379" t="s">
        <v>1717</v>
      </c>
      <c r="C5379" t="s">
        <v>158</v>
      </c>
      <c r="G5379" t="s">
        <v>13331</v>
      </c>
      <c r="H5379" t="s">
        <v>3270</v>
      </c>
      <c r="I5379" t="s">
        <v>348</v>
      </c>
      <c r="J5379">
        <v>83702</v>
      </c>
      <c r="K5379">
        <v>713</v>
      </c>
      <c r="L5379" t="s">
        <v>23</v>
      </c>
      <c r="M5379" t="s">
        <v>13331</v>
      </c>
      <c r="N5379" t="s">
        <v>3270</v>
      </c>
      <c r="O5379" t="s">
        <v>348</v>
      </c>
      <c r="P5379">
        <v>83702</v>
      </c>
      <c r="Q5379">
        <v>713</v>
      </c>
      <c r="R5379" t="s">
        <v>23</v>
      </c>
      <c r="S5379" s="1" t="s">
        <v>34218</v>
      </c>
    </row>
    <row r="5380" spans="1:19" x14ac:dyDescent="0.25">
      <c r="A5380">
        <v>100928320</v>
      </c>
      <c r="B5380" t="s">
        <v>13332</v>
      </c>
      <c r="C5380" t="s">
        <v>770</v>
      </c>
      <c r="G5380" t="s">
        <v>13333</v>
      </c>
      <c r="H5380" t="s">
        <v>6151</v>
      </c>
      <c r="I5380" t="s">
        <v>117</v>
      </c>
      <c r="J5380">
        <v>14086</v>
      </c>
      <c r="K5380">
        <v>1308</v>
      </c>
      <c r="L5380" t="s">
        <v>23</v>
      </c>
      <c r="M5380" t="s">
        <v>13333</v>
      </c>
      <c r="N5380" t="s">
        <v>6151</v>
      </c>
      <c r="O5380" t="s">
        <v>117</v>
      </c>
      <c r="P5380">
        <v>14086</v>
      </c>
      <c r="Q5380">
        <v>1308</v>
      </c>
      <c r="R5380" t="s">
        <v>23</v>
      </c>
      <c r="S5380" s="1" t="s">
        <v>34218</v>
      </c>
    </row>
    <row r="5381" spans="1:19" x14ac:dyDescent="0.25">
      <c r="A5381">
        <v>100930098</v>
      </c>
      <c r="B5381" t="s">
        <v>4048</v>
      </c>
      <c r="C5381" t="s">
        <v>2417</v>
      </c>
      <c r="G5381" t="s">
        <v>13334</v>
      </c>
      <c r="H5381" t="s">
        <v>13335</v>
      </c>
      <c r="I5381" t="s">
        <v>38</v>
      </c>
      <c r="J5381">
        <v>77447</v>
      </c>
      <c r="K5381">
        <v>9270</v>
      </c>
      <c r="L5381" t="s">
        <v>23</v>
      </c>
      <c r="M5381" t="s">
        <v>13334</v>
      </c>
      <c r="N5381" t="s">
        <v>13335</v>
      </c>
      <c r="O5381" t="s">
        <v>38</v>
      </c>
      <c r="P5381">
        <v>77447</v>
      </c>
      <c r="Q5381">
        <v>9270</v>
      </c>
      <c r="R5381" t="s">
        <v>23</v>
      </c>
      <c r="S5381" s="1" t="s">
        <v>34218</v>
      </c>
    </row>
    <row r="5382" spans="1:19" x14ac:dyDescent="0.25">
      <c r="A5382">
        <v>100932517</v>
      </c>
      <c r="B5382" t="s">
        <v>2829</v>
      </c>
      <c r="C5382" t="s">
        <v>13336</v>
      </c>
      <c r="F5382" t="str">
        <f>"7607734444"</f>
        <v>7607734444</v>
      </c>
      <c r="G5382" t="s">
        <v>13337</v>
      </c>
      <c r="H5382" t="s">
        <v>10085</v>
      </c>
      <c r="I5382" t="s">
        <v>22</v>
      </c>
      <c r="J5382">
        <v>92260</v>
      </c>
      <c r="K5382">
        <v>2665</v>
      </c>
      <c r="L5382" t="s">
        <v>23</v>
      </c>
      <c r="M5382" t="s">
        <v>13337</v>
      </c>
      <c r="N5382" t="s">
        <v>10085</v>
      </c>
      <c r="O5382" t="s">
        <v>22</v>
      </c>
      <c r="P5382">
        <v>92260</v>
      </c>
      <c r="Q5382">
        <v>2665</v>
      </c>
      <c r="R5382" t="s">
        <v>23</v>
      </c>
      <c r="S5382" s="1" t="s">
        <v>34218</v>
      </c>
    </row>
    <row r="5383" spans="1:19" x14ac:dyDescent="0.25">
      <c r="A5383">
        <v>100938269</v>
      </c>
      <c r="B5383" t="s">
        <v>13338</v>
      </c>
      <c r="C5383" t="s">
        <v>270</v>
      </c>
      <c r="G5383" t="s">
        <v>13339</v>
      </c>
      <c r="H5383" t="s">
        <v>169</v>
      </c>
      <c r="I5383" t="s">
        <v>170</v>
      </c>
      <c r="J5383">
        <v>20007</v>
      </c>
      <c r="K5383">
        <v>4201</v>
      </c>
      <c r="L5383" t="s">
        <v>23</v>
      </c>
      <c r="M5383" t="s">
        <v>13339</v>
      </c>
      <c r="N5383" t="s">
        <v>169</v>
      </c>
      <c r="O5383" t="s">
        <v>170</v>
      </c>
      <c r="P5383">
        <v>20007</v>
      </c>
      <c r="Q5383">
        <v>4201</v>
      </c>
      <c r="R5383" t="s">
        <v>23</v>
      </c>
      <c r="S5383" s="1" t="s">
        <v>34218</v>
      </c>
    </row>
    <row r="5384" spans="1:19" x14ac:dyDescent="0.25">
      <c r="A5384">
        <v>100936620</v>
      </c>
      <c r="B5384" t="s">
        <v>13340</v>
      </c>
      <c r="C5384" t="s">
        <v>7626</v>
      </c>
      <c r="G5384" t="s">
        <v>13341</v>
      </c>
      <c r="H5384" t="s">
        <v>682</v>
      </c>
      <c r="I5384" t="s">
        <v>365</v>
      </c>
      <c r="J5384">
        <v>85029</v>
      </c>
      <c r="K5384">
        <v>5212</v>
      </c>
      <c r="L5384" t="s">
        <v>23</v>
      </c>
      <c r="M5384" t="s">
        <v>13341</v>
      </c>
      <c r="N5384" t="s">
        <v>682</v>
      </c>
      <c r="O5384" t="s">
        <v>365</v>
      </c>
      <c r="P5384">
        <v>85029</v>
      </c>
      <c r="Q5384">
        <v>5212</v>
      </c>
      <c r="R5384" t="s">
        <v>23</v>
      </c>
      <c r="S5384" s="1" t="s">
        <v>34218</v>
      </c>
    </row>
    <row r="5385" spans="1:19" x14ac:dyDescent="0.25">
      <c r="A5385">
        <v>100872175</v>
      </c>
      <c r="B5385" t="s">
        <v>13342</v>
      </c>
      <c r="C5385" t="s">
        <v>2127</v>
      </c>
      <c r="G5385" t="s">
        <v>13343</v>
      </c>
      <c r="H5385" t="s">
        <v>1091</v>
      </c>
      <c r="I5385" t="s">
        <v>365</v>
      </c>
      <c r="J5385">
        <v>86336</v>
      </c>
      <c r="K5385">
        <v>9161</v>
      </c>
      <c r="L5385" t="s">
        <v>23</v>
      </c>
      <c r="M5385" t="s">
        <v>13343</v>
      </c>
      <c r="N5385" t="s">
        <v>1091</v>
      </c>
      <c r="O5385" t="s">
        <v>365</v>
      </c>
      <c r="P5385">
        <v>86336</v>
      </c>
      <c r="Q5385">
        <v>9161</v>
      </c>
      <c r="R5385" t="s">
        <v>23</v>
      </c>
      <c r="S5385" s="1" t="s">
        <v>34218</v>
      </c>
    </row>
    <row r="5386" spans="1:19" x14ac:dyDescent="0.25">
      <c r="A5386">
        <v>100872204</v>
      </c>
      <c r="B5386" t="s">
        <v>13344</v>
      </c>
      <c r="C5386" t="s">
        <v>2132</v>
      </c>
      <c r="G5386" t="s">
        <v>13345</v>
      </c>
      <c r="H5386" t="s">
        <v>13346</v>
      </c>
      <c r="I5386" t="s">
        <v>565</v>
      </c>
      <c r="J5386">
        <v>51501</v>
      </c>
      <c r="K5386">
        <v>4044</v>
      </c>
      <c r="L5386" t="s">
        <v>23</v>
      </c>
      <c r="M5386" t="s">
        <v>13345</v>
      </c>
      <c r="N5386" t="s">
        <v>13346</v>
      </c>
      <c r="O5386" t="s">
        <v>565</v>
      </c>
      <c r="P5386">
        <v>51501</v>
      </c>
      <c r="Q5386">
        <v>4044</v>
      </c>
      <c r="R5386" t="s">
        <v>23</v>
      </c>
      <c r="S5386" s="1" t="s">
        <v>34218</v>
      </c>
    </row>
    <row r="5387" spans="1:19" x14ac:dyDescent="0.25">
      <c r="A5387">
        <v>100869695</v>
      </c>
      <c r="B5387" t="s">
        <v>13347</v>
      </c>
      <c r="C5387" t="s">
        <v>329</v>
      </c>
      <c r="G5387" t="s">
        <v>5978</v>
      </c>
      <c r="H5387" t="s">
        <v>13348</v>
      </c>
      <c r="I5387" t="s">
        <v>117</v>
      </c>
      <c r="J5387">
        <v>12436</v>
      </c>
      <c r="K5387">
        <v>7</v>
      </c>
      <c r="L5387" t="s">
        <v>23</v>
      </c>
      <c r="M5387" t="s">
        <v>5978</v>
      </c>
      <c r="N5387" t="s">
        <v>13348</v>
      </c>
      <c r="O5387" t="s">
        <v>117</v>
      </c>
      <c r="P5387">
        <v>12436</v>
      </c>
      <c r="Q5387">
        <v>7</v>
      </c>
      <c r="R5387" t="s">
        <v>23</v>
      </c>
      <c r="S5387" s="1" t="s">
        <v>34218</v>
      </c>
    </row>
    <row r="5388" spans="1:19" x14ac:dyDescent="0.25">
      <c r="A5388">
        <v>100872446</v>
      </c>
      <c r="B5388" t="s">
        <v>13349</v>
      </c>
      <c r="C5388" t="s">
        <v>309</v>
      </c>
      <c r="G5388" t="s">
        <v>13350</v>
      </c>
      <c r="H5388" t="s">
        <v>13351</v>
      </c>
      <c r="I5388" t="s">
        <v>84</v>
      </c>
      <c r="J5388">
        <v>98038</v>
      </c>
      <c r="K5388">
        <v>7530</v>
      </c>
      <c r="L5388" t="s">
        <v>23</v>
      </c>
      <c r="M5388" t="s">
        <v>13350</v>
      </c>
      <c r="N5388" t="s">
        <v>13351</v>
      </c>
      <c r="O5388" t="s">
        <v>84</v>
      </c>
      <c r="P5388">
        <v>98038</v>
      </c>
      <c r="Q5388">
        <v>7530</v>
      </c>
      <c r="R5388" t="s">
        <v>23</v>
      </c>
      <c r="S5388" s="1" t="s">
        <v>34218</v>
      </c>
    </row>
    <row r="5389" spans="1:19" x14ac:dyDescent="0.25">
      <c r="A5389">
        <v>100872484</v>
      </c>
      <c r="B5389" t="s">
        <v>13352</v>
      </c>
      <c r="C5389" t="s">
        <v>13353</v>
      </c>
      <c r="G5389" t="s">
        <v>13354</v>
      </c>
      <c r="H5389" t="s">
        <v>13355</v>
      </c>
      <c r="I5389" t="s">
        <v>2537</v>
      </c>
      <c r="J5389">
        <v>72802</v>
      </c>
      <c r="K5389">
        <v>2644</v>
      </c>
      <c r="L5389" t="s">
        <v>23</v>
      </c>
      <c r="M5389" t="s">
        <v>13354</v>
      </c>
      <c r="N5389" t="s">
        <v>13355</v>
      </c>
      <c r="O5389" t="s">
        <v>2537</v>
      </c>
      <c r="P5389">
        <v>72802</v>
      </c>
      <c r="Q5389">
        <v>2644</v>
      </c>
      <c r="R5389" t="s">
        <v>23</v>
      </c>
      <c r="S5389" s="1" t="s">
        <v>34218</v>
      </c>
    </row>
    <row r="5390" spans="1:19" x14ac:dyDescent="0.25">
      <c r="A5390">
        <v>100873958</v>
      </c>
      <c r="B5390" t="s">
        <v>7346</v>
      </c>
      <c r="C5390" t="s">
        <v>1506</v>
      </c>
      <c r="G5390" t="s">
        <v>13356</v>
      </c>
      <c r="H5390" t="s">
        <v>3847</v>
      </c>
      <c r="I5390" t="s">
        <v>22</v>
      </c>
      <c r="J5390">
        <v>92646</v>
      </c>
      <c r="K5390">
        <v>6951</v>
      </c>
      <c r="L5390" t="s">
        <v>23</v>
      </c>
      <c r="M5390" t="s">
        <v>13356</v>
      </c>
      <c r="N5390" t="s">
        <v>3847</v>
      </c>
      <c r="O5390" t="s">
        <v>22</v>
      </c>
      <c r="P5390">
        <v>92646</v>
      </c>
      <c r="Q5390">
        <v>6951</v>
      </c>
      <c r="R5390" t="s">
        <v>23</v>
      </c>
      <c r="S5390" s="1" t="s">
        <v>34218</v>
      </c>
    </row>
    <row r="5391" spans="1:19" x14ac:dyDescent="0.25">
      <c r="A5391">
        <v>100882517</v>
      </c>
      <c r="B5391" t="s">
        <v>4048</v>
      </c>
      <c r="C5391" t="s">
        <v>1036</v>
      </c>
      <c r="G5391" t="s">
        <v>13357</v>
      </c>
      <c r="H5391" t="s">
        <v>9693</v>
      </c>
      <c r="I5391" t="s">
        <v>33</v>
      </c>
      <c r="J5391">
        <v>19462</v>
      </c>
      <c r="K5391">
        <v>2308</v>
      </c>
      <c r="L5391" t="s">
        <v>23</v>
      </c>
      <c r="M5391" t="s">
        <v>13357</v>
      </c>
      <c r="N5391" t="s">
        <v>9693</v>
      </c>
      <c r="O5391" t="s">
        <v>33</v>
      </c>
      <c r="P5391">
        <v>19462</v>
      </c>
      <c r="Q5391">
        <v>2308</v>
      </c>
      <c r="R5391" t="s">
        <v>23</v>
      </c>
      <c r="S5391" s="1" t="s">
        <v>34218</v>
      </c>
    </row>
    <row r="5392" spans="1:19" x14ac:dyDescent="0.25">
      <c r="A5392">
        <v>100883592</v>
      </c>
      <c r="B5392" t="s">
        <v>12089</v>
      </c>
      <c r="C5392" t="s">
        <v>803</v>
      </c>
      <c r="G5392" t="s">
        <v>13358</v>
      </c>
      <c r="H5392" t="s">
        <v>5474</v>
      </c>
      <c r="I5392" t="s">
        <v>353</v>
      </c>
      <c r="J5392">
        <v>3275</v>
      </c>
      <c r="K5392">
        <v>1105</v>
      </c>
      <c r="L5392" t="s">
        <v>23</v>
      </c>
      <c r="M5392" t="s">
        <v>13358</v>
      </c>
      <c r="N5392" t="s">
        <v>5474</v>
      </c>
      <c r="O5392" t="s">
        <v>353</v>
      </c>
      <c r="P5392">
        <v>3275</v>
      </c>
      <c r="Q5392">
        <v>1105</v>
      </c>
      <c r="R5392" t="s">
        <v>23</v>
      </c>
      <c r="S5392" s="1" t="s">
        <v>34218</v>
      </c>
    </row>
    <row r="5393" spans="1:19" x14ac:dyDescent="0.25">
      <c r="A5393">
        <v>100883882</v>
      </c>
      <c r="B5393" t="s">
        <v>13359</v>
      </c>
      <c r="C5393" t="s">
        <v>2776</v>
      </c>
      <c r="G5393" t="s">
        <v>13360</v>
      </c>
      <c r="H5393" t="s">
        <v>198</v>
      </c>
      <c r="I5393" t="s">
        <v>22</v>
      </c>
      <c r="J5393">
        <v>92107</v>
      </c>
      <c r="K5393">
        <v>2322</v>
      </c>
      <c r="L5393" t="s">
        <v>23</v>
      </c>
      <c r="M5393" t="s">
        <v>13360</v>
      </c>
      <c r="N5393" t="s">
        <v>198</v>
      </c>
      <c r="O5393" t="s">
        <v>22</v>
      </c>
      <c r="P5393">
        <v>92107</v>
      </c>
      <c r="Q5393">
        <v>2322</v>
      </c>
      <c r="R5393" t="s">
        <v>23</v>
      </c>
      <c r="S5393" s="1" t="s">
        <v>34218</v>
      </c>
    </row>
    <row r="5394" spans="1:19" x14ac:dyDescent="0.25">
      <c r="A5394">
        <v>100877312</v>
      </c>
      <c r="B5394" t="s">
        <v>13361</v>
      </c>
      <c r="C5394" t="s">
        <v>1731</v>
      </c>
      <c r="G5394" t="s">
        <v>13362</v>
      </c>
      <c r="H5394" t="s">
        <v>13363</v>
      </c>
      <c r="I5394" t="s">
        <v>178</v>
      </c>
      <c r="J5394">
        <v>45044</v>
      </c>
      <c r="K5394">
        <v>8759</v>
      </c>
      <c r="L5394" t="s">
        <v>23</v>
      </c>
      <c r="M5394" t="s">
        <v>13362</v>
      </c>
      <c r="N5394" t="s">
        <v>13363</v>
      </c>
      <c r="O5394" t="s">
        <v>178</v>
      </c>
      <c r="P5394">
        <v>45044</v>
      </c>
      <c r="Q5394">
        <v>8759</v>
      </c>
      <c r="R5394" t="s">
        <v>23</v>
      </c>
      <c r="S5394" s="1" t="s">
        <v>34218</v>
      </c>
    </row>
    <row r="5395" spans="1:19" x14ac:dyDescent="0.25">
      <c r="A5395">
        <v>100887556</v>
      </c>
      <c r="B5395" t="s">
        <v>13364</v>
      </c>
      <c r="C5395" t="s">
        <v>266</v>
      </c>
      <c r="G5395" t="s">
        <v>13365</v>
      </c>
      <c r="H5395" t="s">
        <v>6727</v>
      </c>
      <c r="I5395" t="s">
        <v>52</v>
      </c>
      <c r="J5395">
        <v>33418</v>
      </c>
      <c r="K5395">
        <v>7500</v>
      </c>
      <c r="L5395" t="s">
        <v>23</v>
      </c>
      <c r="M5395" t="s">
        <v>13365</v>
      </c>
      <c r="N5395" t="s">
        <v>6727</v>
      </c>
      <c r="O5395" t="s">
        <v>52</v>
      </c>
      <c r="P5395">
        <v>33418</v>
      </c>
      <c r="Q5395">
        <v>7500</v>
      </c>
      <c r="R5395" t="s">
        <v>23</v>
      </c>
      <c r="S5395" s="1" t="s">
        <v>34218</v>
      </c>
    </row>
    <row r="5396" spans="1:19" x14ac:dyDescent="0.25">
      <c r="A5396">
        <v>100889517</v>
      </c>
      <c r="B5396" t="s">
        <v>13366</v>
      </c>
      <c r="C5396" t="s">
        <v>575</v>
      </c>
      <c r="G5396" t="s">
        <v>13367</v>
      </c>
      <c r="H5396" t="s">
        <v>631</v>
      </c>
      <c r="I5396" t="s">
        <v>22</v>
      </c>
      <c r="J5396">
        <v>94947</v>
      </c>
      <c r="K5396">
        <v>4604</v>
      </c>
      <c r="L5396" t="s">
        <v>23</v>
      </c>
      <c r="M5396" t="s">
        <v>13367</v>
      </c>
      <c r="N5396" t="s">
        <v>631</v>
      </c>
      <c r="O5396" t="s">
        <v>22</v>
      </c>
      <c r="P5396">
        <v>94947</v>
      </c>
      <c r="Q5396">
        <v>4604</v>
      </c>
      <c r="R5396" t="s">
        <v>23</v>
      </c>
      <c r="S5396" s="1" t="s">
        <v>34218</v>
      </c>
    </row>
    <row r="5397" spans="1:19" x14ac:dyDescent="0.25">
      <c r="A5397">
        <v>100519949</v>
      </c>
      <c r="B5397" t="s">
        <v>13368</v>
      </c>
      <c r="C5397" t="s">
        <v>114</v>
      </c>
      <c r="G5397" t="s">
        <v>13369</v>
      </c>
      <c r="H5397" t="s">
        <v>7751</v>
      </c>
      <c r="I5397" t="s">
        <v>914</v>
      </c>
      <c r="J5397">
        <v>37130</v>
      </c>
      <c r="K5397">
        <v>4068</v>
      </c>
      <c r="L5397" t="s">
        <v>23</v>
      </c>
      <c r="M5397" t="s">
        <v>13369</v>
      </c>
      <c r="N5397" t="s">
        <v>7751</v>
      </c>
      <c r="O5397" t="s">
        <v>914</v>
      </c>
      <c r="P5397">
        <v>37130</v>
      </c>
      <c r="Q5397">
        <v>4068</v>
      </c>
      <c r="R5397" t="s">
        <v>23</v>
      </c>
      <c r="S5397" s="1" t="s">
        <v>34218</v>
      </c>
    </row>
    <row r="5398" spans="1:19" x14ac:dyDescent="0.25">
      <c r="A5398">
        <v>100524121</v>
      </c>
      <c r="B5398" t="s">
        <v>13370</v>
      </c>
      <c r="C5398" t="s">
        <v>1239</v>
      </c>
      <c r="G5398" t="s">
        <v>13371</v>
      </c>
      <c r="H5398" t="s">
        <v>13372</v>
      </c>
      <c r="I5398" t="s">
        <v>1387</v>
      </c>
      <c r="J5398">
        <v>35115</v>
      </c>
      <c r="K5398">
        <v>8616</v>
      </c>
      <c r="L5398" t="s">
        <v>23</v>
      </c>
      <c r="M5398" t="s">
        <v>13371</v>
      </c>
      <c r="N5398" t="s">
        <v>13372</v>
      </c>
      <c r="O5398" t="s">
        <v>1387</v>
      </c>
      <c r="P5398">
        <v>35115</v>
      </c>
      <c r="Q5398">
        <v>8616</v>
      </c>
      <c r="R5398" t="s">
        <v>23</v>
      </c>
      <c r="S5398" s="1" t="s">
        <v>34218</v>
      </c>
    </row>
    <row r="5399" spans="1:19" x14ac:dyDescent="0.25">
      <c r="A5399">
        <v>100522992</v>
      </c>
      <c r="B5399" t="s">
        <v>13373</v>
      </c>
      <c r="C5399" t="s">
        <v>498</v>
      </c>
      <c r="G5399" t="s">
        <v>13374</v>
      </c>
      <c r="H5399" t="s">
        <v>13375</v>
      </c>
      <c r="I5399" t="s">
        <v>33</v>
      </c>
      <c r="J5399">
        <v>18976</v>
      </c>
      <c r="K5399">
        <v>1895</v>
      </c>
      <c r="L5399" t="s">
        <v>23</v>
      </c>
      <c r="M5399" t="s">
        <v>13374</v>
      </c>
      <c r="N5399" t="s">
        <v>13375</v>
      </c>
      <c r="O5399" t="s">
        <v>33</v>
      </c>
      <c r="P5399">
        <v>18976</v>
      </c>
      <c r="Q5399">
        <v>1895</v>
      </c>
      <c r="R5399" t="s">
        <v>23</v>
      </c>
      <c r="S5399" s="1" t="s">
        <v>34218</v>
      </c>
    </row>
    <row r="5400" spans="1:19" x14ac:dyDescent="0.25">
      <c r="A5400">
        <v>100519032</v>
      </c>
      <c r="B5400" t="s">
        <v>7367</v>
      </c>
      <c r="C5400" t="s">
        <v>842</v>
      </c>
      <c r="G5400" t="s">
        <v>13376</v>
      </c>
      <c r="H5400" t="s">
        <v>1431</v>
      </c>
      <c r="I5400" t="s">
        <v>639</v>
      </c>
      <c r="J5400">
        <v>87507</v>
      </c>
      <c r="K5400">
        <v>3475</v>
      </c>
      <c r="L5400" t="s">
        <v>23</v>
      </c>
      <c r="M5400" t="s">
        <v>13376</v>
      </c>
      <c r="N5400" t="s">
        <v>1431</v>
      </c>
      <c r="O5400" t="s">
        <v>639</v>
      </c>
      <c r="P5400">
        <v>87507</v>
      </c>
      <c r="Q5400">
        <v>3475</v>
      </c>
      <c r="R5400" t="s">
        <v>23</v>
      </c>
      <c r="S5400" s="1" t="s">
        <v>34218</v>
      </c>
    </row>
    <row r="5401" spans="1:19" x14ac:dyDescent="0.25">
      <c r="A5401">
        <v>100522054</v>
      </c>
      <c r="B5401" t="s">
        <v>5253</v>
      </c>
      <c r="C5401" t="s">
        <v>1533</v>
      </c>
      <c r="F5401" t="str">
        <f>"6309682028"</f>
        <v>6309682028</v>
      </c>
      <c r="G5401" t="s">
        <v>13044</v>
      </c>
      <c r="H5401" t="s">
        <v>4902</v>
      </c>
      <c r="I5401" t="s">
        <v>57</v>
      </c>
      <c r="J5401">
        <v>46356</v>
      </c>
      <c r="K5401">
        <v>2276</v>
      </c>
      <c r="L5401" t="s">
        <v>23</v>
      </c>
      <c r="M5401" t="s">
        <v>13044</v>
      </c>
      <c r="N5401" t="s">
        <v>4902</v>
      </c>
      <c r="O5401" t="s">
        <v>57</v>
      </c>
      <c r="P5401">
        <v>46356</v>
      </c>
      <c r="Q5401">
        <v>2276</v>
      </c>
      <c r="R5401" t="s">
        <v>23</v>
      </c>
      <c r="S5401" s="1" t="s">
        <v>34218</v>
      </c>
    </row>
    <row r="5402" spans="1:19" x14ac:dyDescent="0.25">
      <c r="A5402">
        <v>100519082</v>
      </c>
      <c r="B5402" t="s">
        <v>13377</v>
      </c>
      <c r="C5402" t="s">
        <v>30</v>
      </c>
      <c r="G5402" t="s">
        <v>13378</v>
      </c>
      <c r="H5402" t="s">
        <v>6911</v>
      </c>
      <c r="I5402" t="s">
        <v>148</v>
      </c>
      <c r="J5402">
        <v>21014</v>
      </c>
      <c r="K5402">
        <v>2499</v>
      </c>
      <c r="L5402" t="s">
        <v>23</v>
      </c>
      <c r="M5402" t="s">
        <v>13378</v>
      </c>
      <c r="N5402" t="s">
        <v>6911</v>
      </c>
      <c r="O5402" t="s">
        <v>148</v>
      </c>
      <c r="P5402">
        <v>21014</v>
      </c>
      <c r="Q5402">
        <v>2499</v>
      </c>
      <c r="R5402" t="s">
        <v>23</v>
      </c>
      <c r="S5402" s="1" t="s">
        <v>34218</v>
      </c>
    </row>
    <row r="5403" spans="1:19" x14ac:dyDescent="0.25">
      <c r="A5403">
        <v>100524749</v>
      </c>
      <c r="B5403" t="s">
        <v>13379</v>
      </c>
      <c r="C5403" t="s">
        <v>7620</v>
      </c>
      <c r="F5403" t="str">
        <f>"8313386765"</f>
        <v>8313386765</v>
      </c>
      <c r="G5403" t="s">
        <v>13380</v>
      </c>
      <c r="H5403" t="s">
        <v>2079</v>
      </c>
      <c r="I5403" t="s">
        <v>22</v>
      </c>
      <c r="J5403">
        <v>95006</v>
      </c>
      <c r="K5403">
        <v>9718</v>
      </c>
      <c r="L5403" t="s">
        <v>23</v>
      </c>
      <c r="M5403" t="s">
        <v>13380</v>
      </c>
      <c r="N5403" t="s">
        <v>2079</v>
      </c>
      <c r="O5403" t="s">
        <v>22</v>
      </c>
      <c r="P5403">
        <v>95006</v>
      </c>
      <c r="Q5403">
        <v>9718</v>
      </c>
      <c r="R5403" t="s">
        <v>23</v>
      </c>
      <c r="S5403" s="1" t="s">
        <v>34218</v>
      </c>
    </row>
    <row r="5404" spans="1:19" x14ac:dyDescent="0.25">
      <c r="A5404">
        <v>100517860</v>
      </c>
      <c r="B5404" t="s">
        <v>13381</v>
      </c>
      <c r="C5404" t="s">
        <v>403</v>
      </c>
      <c r="G5404" t="s">
        <v>13382</v>
      </c>
      <c r="H5404" t="s">
        <v>13383</v>
      </c>
      <c r="I5404" t="s">
        <v>117</v>
      </c>
      <c r="J5404">
        <v>11550</v>
      </c>
      <c r="K5404">
        <v>1255</v>
      </c>
      <c r="L5404" t="s">
        <v>23</v>
      </c>
      <c r="M5404" t="s">
        <v>13382</v>
      </c>
      <c r="N5404" t="s">
        <v>13383</v>
      </c>
      <c r="O5404" t="s">
        <v>117</v>
      </c>
      <c r="P5404">
        <v>11550</v>
      </c>
      <c r="Q5404">
        <v>1255</v>
      </c>
      <c r="R5404" t="s">
        <v>23</v>
      </c>
      <c r="S5404" s="1" t="s">
        <v>34218</v>
      </c>
    </row>
    <row r="5405" spans="1:19" x14ac:dyDescent="0.25">
      <c r="A5405">
        <v>100527923</v>
      </c>
      <c r="B5405" t="s">
        <v>5505</v>
      </c>
      <c r="C5405" t="s">
        <v>613</v>
      </c>
      <c r="G5405" t="s">
        <v>13384</v>
      </c>
      <c r="H5405" t="s">
        <v>13385</v>
      </c>
      <c r="I5405" t="s">
        <v>140</v>
      </c>
      <c r="J5405">
        <v>49091</v>
      </c>
      <c r="K5405">
        <v>1833</v>
      </c>
      <c r="L5405" t="s">
        <v>23</v>
      </c>
      <c r="M5405" t="s">
        <v>13384</v>
      </c>
      <c r="N5405" t="s">
        <v>13385</v>
      </c>
      <c r="O5405" t="s">
        <v>140</v>
      </c>
      <c r="P5405">
        <v>49091</v>
      </c>
      <c r="Q5405">
        <v>1833</v>
      </c>
      <c r="R5405" t="s">
        <v>23</v>
      </c>
      <c r="S5405" s="1" t="s">
        <v>34218</v>
      </c>
    </row>
    <row r="5406" spans="1:19" x14ac:dyDescent="0.25">
      <c r="A5406">
        <v>100523073</v>
      </c>
      <c r="B5406" t="s">
        <v>13386</v>
      </c>
      <c r="C5406" t="s">
        <v>123</v>
      </c>
      <c r="G5406" t="s">
        <v>13387</v>
      </c>
      <c r="H5406" t="s">
        <v>9567</v>
      </c>
      <c r="I5406" t="s">
        <v>43</v>
      </c>
      <c r="J5406">
        <v>97394</v>
      </c>
      <c r="K5406">
        <v>9608</v>
      </c>
      <c r="L5406" t="s">
        <v>23</v>
      </c>
      <c r="M5406" t="s">
        <v>13387</v>
      </c>
      <c r="N5406" t="s">
        <v>9567</v>
      </c>
      <c r="O5406" t="s">
        <v>43</v>
      </c>
      <c r="P5406">
        <v>97394</v>
      </c>
      <c r="Q5406">
        <v>9608</v>
      </c>
      <c r="R5406" t="s">
        <v>23</v>
      </c>
      <c r="S5406" s="1" t="s">
        <v>34218</v>
      </c>
    </row>
    <row r="5407" spans="1:19" x14ac:dyDescent="0.25">
      <c r="A5407">
        <v>100708830</v>
      </c>
      <c r="B5407" t="s">
        <v>13388</v>
      </c>
      <c r="C5407" t="s">
        <v>522</v>
      </c>
      <c r="G5407" t="s">
        <v>13389</v>
      </c>
      <c r="H5407" t="s">
        <v>12726</v>
      </c>
      <c r="I5407" t="s">
        <v>100</v>
      </c>
      <c r="J5407">
        <v>53140</v>
      </c>
      <c r="K5407">
        <v>2007</v>
      </c>
      <c r="L5407" t="s">
        <v>23</v>
      </c>
      <c r="M5407" t="s">
        <v>13389</v>
      </c>
      <c r="N5407" t="s">
        <v>12726</v>
      </c>
      <c r="O5407" t="s">
        <v>100</v>
      </c>
      <c r="P5407">
        <v>53140</v>
      </c>
      <c r="Q5407">
        <v>2007</v>
      </c>
      <c r="R5407" t="s">
        <v>23</v>
      </c>
      <c r="S5407" s="1" t="s">
        <v>34218</v>
      </c>
    </row>
    <row r="5408" spans="1:19" x14ac:dyDescent="0.25">
      <c r="A5408">
        <v>100710027</v>
      </c>
      <c r="B5408" t="s">
        <v>13390</v>
      </c>
      <c r="C5408" t="s">
        <v>929</v>
      </c>
      <c r="G5408" t="s">
        <v>13391</v>
      </c>
      <c r="H5408" t="s">
        <v>2335</v>
      </c>
      <c r="I5408" t="s">
        <v>22</v>
      </c>
      <c r="J5408">
        <v>92602</v>
      </c>
      <c r="K5408">
        <v>1678</v>
      </c>
      <c r="L5408" t="s">
        <v>23</v>
      </c>
      <c r="M5408" t="s">
        <v>13391</v>
      </c>
      <c r="N5408" t="s">
        <v>2335</v>
      </c>
      <c r="O5408" t="s">
        <v>22</v>
      </c>
      <c r="P5408">
        <v>92602</v>
      </c>
      <c r="Q5408">
        <v>1678</v>
      </c>
      <c r="R5408" t="s">
        <v>23</v>
      </c>
      <c r="S5408" s="1" t="s">
        <v>34218</v>
      </c>
    </row>
    <row r="5409" spans="1:19" x14ac:dyDescent="0.25">
      <c r="A5409">
        <v>100713221</v>
      </c>
      <c r="B5409" t="s">
        <v>13392</v>
      </c>
      <c r="C5409" t="s">
        <v>11000</v>
      </c>
      <c r="G5409" t="s">
        <v>13393</v>
      </c>
      <c r="H5409" t="s">
        <v>2974</v>
      </c>
      <c r="I5409" t="s">
        <v>135</v>
      </c>
      <c r="J5409">
        <v>60189</v>
      </c>
      <c r="K5409">
        <v>6733</v>
      </c>
      <c r="L5409" t="s">
        <v>23</v>
      </c>
      <c r="M5409" t="s">
        <v>13393</v>
      </c>
      <c r="N5409" t="s">
        <v>2974</v>
      </c>
      <c r="O5409" t="s">
        <v>135</v>
      </c>
      <c r="P5409">
        <v>60189</v>
      </c>
      <c r="Q5409">
        <v>6733</v>
      </c>
      <c r="R5409" t="s">
        <v>23</v>
      </c>
      <c r="S5409" s="1" t="s">
        <v>34218</v>
      </c>
    </row>
    <row r="5410" spans="1:19" x14ac:dyDescent="0.25">
      <c r="A5410">
        <v>100722853</v>
      </c>
      <c r="B5410" t="s">
        <v>2087</v>
      </c>
      <c r="C5410" t="s">
        <v>3633</v>
      </c>
      <c r="G5410" t="s">
        <v>13394</v>
      </c>
      <c r="H5410" t="s">
        <v>9662</v>
      </c>
      <c r="I5410" t="s">
        <v>84</v>
      </c>
      <c r="J5410">
        <v>98022</v>
      </c>
      <c r="K5410">
        <v>8987</v>
      </c>
      <c r="L5410" t="s">
        <v>23</v>
      </c>
      <c r="M5410" t="s">
        <v>13394</v>
      </c>
      <c r="N5410" t="s">
        <v>9662</v>
      </c>
      <c r="O5410" t="s">
        <v>84</v>
      </c>
      <c r="P5410">
        <v>98022</v>
      </c>
      <c r="Q5410">
        <v>8987</v>
      </c>
      <c r="R5410" t="s">
        <v>23</v>
      </c>
      <c r="S5410" s="1" t="s">
        <v>34218</v>
      </c>
    </row>
    <row r="5411" spans="1:19" x14ac:dyDescent="0.25">
      <c r="A5411">
        <v>100724816</v>
      </c>
      <c r="B5411" t="s">
        <v>5237</v>
      </c>
      <c r="C5411" t="s">
        <v>13395</v>
      </c>
      <c r="G5411" t="s">
        <v>13396</v>
      </c>
      <c r="H5411" t="s">
        <v>13397</v>
      </c>
      <c r="I5411" t="s">
        <v>22</v>
      </c>
      <c r="J5411">
        <v>92308</v>
      </c>
      <c r="K5411">
        <v>5033</v>
      </c>
      <c r="L5411" t="s">
        <v>23</v>
      </c>
      <c r="M5411" t="s">
        <v>13396</v>
      </c>
      <c r="N5411" t="s">
        <v>13397</v>
      </c>
      <c r="O5411" t="s">
        <v>22</v>
      </c>
      <c r="P5411">
        <v>92308</v>
      </c>
      <c r="Q5411">
        <v>5033</v>
      </c>
      <c r="R5411" t="s">
        <v>23</v>
      </c>
      <c r="S5411" s="1" t="s">
        <v>34218</v>
      </c>
    </row>
    <row r="5412" spans="1:19" x14ac:dyDescent="0.25">
      <c r="A5412">
        <v>100730832</v>
      </c>
      <c r="B5412" t="s">
        <v>13398</v>
      </c>
      <c r="C5412" t="s">
        <v>13399</v>
      </c>
      <c r="G5412" t="s">
        <v>13400</v>
      </c>
      <c r="H5412" t="s">
        <v>13401</v>
      </c>
      <c r="I5412" t="s">
        <v>348</v>
      </c>
      <c r="J5412">
        <v>83547</v>
      </c>
      <c r="K5412">
        <v>5004</v>
      </c>
      <c r="L5412" t="s">
        <v>23</v>
      </c>
      <c r="M5412" t="s">
        <v>13400</v>
      </c>
      <c r="N5412" t="s">
        <v>13401</v>
      </c>
      <c r="O5412" t="s">
        <v>348</v>
      </c>
      <c r="P5412">
        <v>83547</v>
      </c>
      <c r="Q5412">
        <v>5004</v>
      </c>
      <c r="R5412" t="s">
        <v>23</v>
      </c>
      <c r="S5412" s="1" t="s">
        <v>34218</v>
      </c>
    </row>
    <row r="5413" spans="1:19" x14ac:dyDescent="0.25">
      <c r="A5413">
        <v>100727169</v>
      </c>
      <c r="B5413" t="s">
        <v>13402</v>
      </c>
      <c r="C5413" t="s">
        <v>554</v>
      </c>
      <c r="G5413" t="s">
        <v>13403</v>
      </c>
      <c r="H5413" t="s">
        <v>2356</v>
      </c>
      <c r="I5413" t="s">
        <v>126</v>
      </c>
      <c r="J5413">
        <v>65714</v>
      </c>
      <c r="K5413">
        <v>7432</v>
      </c>
      <c r="L5413" t="s">
        <v>23</v>
      </c>
      <c r="M5413" t="s">
        <v>13403</v>
      </c>
      <c r="N5413" t="s">
        <v>2356</v>
      </c>
      <c r="O5413" t="s">
        <v>126</v>
      </c>
      <c r="P5413">
        <v>65714</v>
      </c>
      <c r="Q5413">
        <v>7432</v>
      </c>
      <c r="R5413" t="s">
        <v>23</v>
      </c>
      <c r="S5413" s="1" t="s">
        <v>34218</v>
      </c>
    </row>
    <row r="5414" spans="1:19" x14ac:dyDescent="0.25">
      <c r="A5414">
        <v>101482556</v>
      </c>
      <c r="B5414" t="s">
        <v>13404</v>
      </c>
      <c r="C5414" t="s">
        <v>30</v>
      </c>
      <c r="G5414" t="s">
        <v>13405</v>
      </c>
      <c r="H5414" t="s">
        <v>13406</v>
      </c>
      <c r="I5414" t="s">
        <v>100</v>
      </c>
      <c r="J5414">
        <v>54143</v>
      </c>
      <c r="K5414">
        <v>3230</v>
      </c>
      <c r="L5414" t="s">
        <v>23</v>
      </c>
      <c r="M5414" t="s">
        <v>13405</v>
      </c>
      <c r="N5414" t="s">
        <v>13406</v>
      </c>
      <c r="O5414" t="s">
        <v>100</v>
      </c>
      <c r="P5414">
        <v>54143</v>
      </c>
      <c r="Q5414">
        <v>3230</v>
      </c>
      <c r="R5414" t="s">
        <v>23</v>
      </c>
      <c r="S5414" s="1" t="s">
        <v>34218</v>
      </c>
    </row>
    <row r="5415" spans="1:19" x14ac:dyDescent="0.25">
      <c r="A5415">
        <v>100549707</v>
      </c>
      <c r="B5415" t="s">
        <v>13407</v>
      </c>
      <c r="C5415" t="s">
        <v>6295</v>
      </c>
      <c r="G5415" t="s">
        <v>13408</v>
      </c>
      <c r="H5415" t="s">
        <v>13409</v>
      </c>
      <c r="I5415" t="s">
        <v>135</v>
      </c>
      <c r="J5415">
        <v>60451</v>
      </c>
      <c r="K5415">
        <v>2722</v>
      </c>
      <c r="L5415" t="s">
        <v>23</v>
      </c>
      <c r="M5415" t="s">
        <v>13408</v>
      </c>
      <c r="N5415" t="s">
        <v>13409</v>
      </c>
      <c r="O5415" t="s">
        <v>135</v>
      </c>
      <c r="P5415">
        <v>60451</v>
      </c>
      <c r="Q5415">
        <v>2722</v>
      </c>
      <c r="R5415" t="s">
        <v>23</v>
      </c>
      <c r="S5415" s="1" t="s">
        <v>34218</v>
      </c>
    </row>
    <row r="5416" spans="1:19" x14ac:dyDescent="0.25">
      <c r="A5416">
        <v>100550903</v>
      </c>
      <c r="B5416" t="s">
        <v>13410</v>
      </c>
      <c r="C5416" t="s">
        <v>119</v>
      </c>
      <c r="G5416" t="s">
        <v>13411</v>
      </c>
      <c r="H5416" t="s">
        <v>5940</v>
      </c>
      <c r="I5416" t="s">
        <v>52</v>
      </c>
      <c r="J5416">
        <v>32605</v>
      </c>
      <c r="K5416">
        <v>3643</v>
      </c>
      <c r="L5416" t="s">
        <v>23</v>
      </c>
      <c r="M5416" t="s">
        <v>13411</v>
      </c>
      <c r="N5416" t="s">
        <v>5940</v>
      </c>
      <c r="O5416" t="s">
        <v>52</v>
      </c>
      <c r="P5416">
        <v>32605</v>
      </c>
      <c r="Q5416">
        <v>3643</v>
      </c>
      <c r="R5416" t="s">
        <v>23</v>
      </c>
      <c r="S5416" s="1" t="s">
        <v>34218</v>
      </c>
    </row>
    <row r="5417" spans="1:19" x14ac:dyDescent="0.25">
      <c r="A5417">
        <v>100559565</v>
      </c>
      <c r="B5417" t="s">
        <v>1745</v>
      </c>
      <c r="C5417" t="s">
        <v>1218</v>
      </c>
      <c r="G5417" t="s">
        <v>13412</v>
      </c>
      <c r="H5417" t="s">
        <v>504</v>
      </c>
      <c r="I5417" t="s">
        <v>57</v>
      </c>
      <c r="J5417">
        <v>47842</v>
      </c>
      <c r="K5417">
        <v>7108</v>
      </c>
      <c r="L5417" t="s">
        <v>23</v>
      </c>
      <c r="M5417" t="s">
        <v>13412</v>
      </c>
      <c r="N5417" t="s">
        <v>504</v>
      </c>
      <c r="O5417" t="s">
        <v>57</v>
      </c>
      <c r="P5417">
        <v>47842</v>
      </c>
      <c r="Q5417">
        <v>7108</v>
      </c>
      <c r="R5417" t="s">
        <v>23</v>
      </c>
      <c r="S5417" s="1" t="s">
        <v>34218</v>
      </c>
    </row>
    <row r="5418" spans="1:19" x14ac:dyDescent="0.25">
      <c r="A5418">
        <v>100555792</v>
      </c>
      <c r="B5418" t="s">
        <v>9254</v>
      </c>
      <c r="C5418" t="s">
        <v>4299</v>
      </c>
      <c r="G5418" t="s">
        <v>13413</v>
      </c>
      <c r="H5418" t="s">
        <v>412</v>
      </c>
      <c r="I5418" t="s">
        <v>117</v>
      </c>
      <c r="J5418">
        <v>11214</v>
      </c>
      <c r="K5418">
        <v>6909</v>
      </c>
      <c r="L5418" t="s">
        <v>23</v>
      </c>
      <c r="M5418" t="s">
        <v>13413</v>
      </c>
      <c r="N5418" t="s">
        <v>412</v>
      </c>
      <c r="O5418" t="s">
        <v>117</v>
      </c>
      <c r="P5418">
        <v>11214</v>
      </c>
      <c r="Q5418">
        <v>6909</v>
      </c>
      <c r="R5418" t="s">
        <v>23</v>
      </c>
      <c r="S5418" s="1" t="s">
        <v>34218</v>
      </c>
    </row>
    <row r="5419" spans="1:19" x14ac:dyDescent="0.25">
      <c r="A5419">
        <v>100564669</v>
      </c>
      <c r="B5419" t="s">
        <v>4139</v>
      </c>
      <c r="C5419" t="s">
        <v>13414</v>
      </c>
      <c r="G5419" t="s">
        <v>13415</v>
      </c>
      <c r="H5419" t="s">
        <v>13416</v>
      </c>
      <c r="I5419" t="s">
        <v>84</v>
      </c>
      <c r="J5419">
        <v>98250</v>
      </c>
      <c r="K5419">
        <v>8512</v>
      </c>
      <c r="L5419" t="s">
        <v>23</v>
      </c>
      <c r="M5419" t="s">
        <v>13415</v>
      </c>
      <c r="N5419" t="s">
        <v>13416</v>
      </c>
      <c r="O5419" t="s">
        <v>84</v>
      </c>
      <c r="P5419">
        <v>98250</v>
      </c>
      <c r="Q5419">
        <v>8512</v>
      </c>
      <c r="R5419" t="s">
        <v>23</v>
      </c>
      <c r="S5419" s="1" t="s">
        <v>34218</v>
      </c>
    </row>
    <row r="5420" spans="1:19" x14ac:dyDescent="0.25">
      <c r="A5420">
        <v>100561604</v>
      </c>
      <c r="B5420" t="s">
        <v>13417</v>
      </c>
      <c r="C5420" t="s">
        <v>13418</v>
      </c>
      <c r="G5420" t="s">
        <v>13419</v>
      </c>
      <c r="H5420" t="s">
        <v>10188</v>
      </c>
      <c r="I5420" t="s">
        <v>365</v>
      </c>
      <c r="J5420">
        <v>85635</v>
      </c>
      <c r="K5420">
        <v>8101</v>
      </c>
      <c r="L5420" t="s">
        <v>23</v>
      </c>
      <c r="M5420" t="s">
        <v>13419</v>
      </c>
      <c r="N5420" t="s">
        <v>10188</v>
      </c>
      <c r="O5420" t="s">
        <v>365</v>
      </c>
      <c r="P5420">
        <v>85635</v>
      </c>
      <c r="Q5420">
        <v>8101</v>
      </c>
      <c r="R5420" t="s">
        <v>23</v>
      </c>
      <c r="S5420" s="1" t="s">
        <v>34218</v>
      </c>
    </row>
    <row r="5421" spans="1:19" x14ac:dyDescent="0.25">
      <c r="A5421">
        <v>100561852</v>
      </c>
      <c r="B5421" t="s">
        <v>13420</v>
      </c>
      <c r="C5421" t="s">
        <v>585</v>
      </c>
      <c r="G5421" t="s">
        <v>13421</v>
      </c>
      <c r="H5421" t="s">
        <v>10826</v>
      </c>
      <c r="I5421" t="s">
        <v>1226</v>
      </c>
      <c r="J5421">
        <v>39601</v>
      </c>
      <c r="K5421">
        <v>9331</v>
      </c>
      <c r="L5421" t="s">
        <v>23</v>
      </c>
      <c r="M5421" t="s">
        <v>13421</v>
      </c>
      <c r="N5421" t="s">
        <v>10826</v>
      </c>
      <c r="O5421" t="s">
        <v>1226</v>
      </c>
      <c r="P5421">
        <v>39601</v>
      </c>
      <c r="Q5421">
        <v>9331</v>
      </c>
      <c r="R5421" t="s">
        <v>23</v>
      </c>
      <c r="S5421" s="1" t="s">
        <v>34218</v>
      </c>
    </row>
    <row r="5422" spans="1:19" x14ac:dyDescent="0.25">
      <c r="A5422">
        <v>100567883</v>
      </c>
      <c r="B5422" t="s">
        <v>13422</v>
      </c>
      <c r="C5422" t="s">
        <v>1757</v>
      </c>
      <c r="G5422" t="s">
        <v>13423</v>
      </c>
      <c r="H5422" t="s">
        <v>737</v>
      </c>
      <c r="I5422" t="s">
        <v>255</v>
      </c>
      <c r="J5422">
        <v>23451</v>
      </c>
      <c r="K5422">
        <v>3760</v>
      </c>
      <c r="L5422" t="s">
        <v>23</v>
      </c>
      <c r="M5422" t="s">
        <v>13423</v>
      </c>
      <c r="N5422" t="s">
        <v>737</v>
      </c>
      <c r="O5422" t="s">
        <v>255</v>
      </c>
      <c r="P5422">
        <v>23451</v>
      </c>
      <c r="Q5422">
        <v>3760</v>
      </c>
      <c r="R5422" t="s">
        <v>23</v>
      </c>
      <c r="S5422" s="1" t="s">
        <v>34218</v>
      </c>
    </row>
    <row r="5423" spans="1:19" x14ac:dyDescent="0.25">
      <c r="A5423">
        <v>100566085</v>
      </c>
      <c r="B5423" t="s">
        <v>13424</v>
      </c>
      <c r="C5423" t="s">
        <v>180</v>
      </c>
      <c r="G5423" t="s">
        <v>13425</v>
      </c>
      <c r="H5423" t="s">
        <v>3373</v>
      </c>
      <c r="I5423" t="s">
        <v>178</v>
      </c>
      <c r="J5423">
        <v>44135</v>
      </c>
      <c r="K5423">
        <v>1111</v>
      </c>
      <c r="L5423" t="s">
        <v>23</v>
      </c>
      <c r="M5423" t="s">
        <v>13425</v>
      </c>
      <c r="N5423" t="s">
        <v>3373</v>
      </c>
      <c r="O5423" t="s">
        <v>178</v>
      </c>
      <c r="P5423">
        <v>44135</v>
      </c>
      <c r="Q5423">
        <v>1111</v>
      </c>
      <c r="R5423" t="s">
        <v>23</v>
      </c>
      <c r="S5423" s="1" t="s">
        <v>34218</v>
      </c>
    </row>
    <row r="5424" spans="1:19" x14ac:dyDescent="0.25">
      <c r="A5424">
        <v>100569666</v>
      </c>
      <c r="B5424" t="s">
        <v>7215</v>
      </c>
      <c r="C5424" t="s">
        <v>5451</v>
      </c>
      <c r="G5424" t="s">
        <v>13426</v>
      </c>
      <c r="H5424" t="s">
        <v>1086</v>
      </c>
      <c r="I5424" t="s">
        <v>307</v>
      </c>
      <c r="J5424">
        <v>5445</v>
      </c>
      <c r="K5424">
        <v>9657</v>
      </c>
      <c r="L5424" t="s">
        <v>23</v>
      </c>
      <c r="M5424" t="s">
        <v>13426</v>
      </c>
      <c r="N5424" t="s">
        <v>1086</v>
      </c>
      <c r="O5424" t="s">
        <v>307</v>
      </c>
      <c r="P5424">
        <v>5445</v>
      </c>
      <c r="Q5424">
        <v>9657</v>
      </c>
      <c r="R5424" t="s">
        <v>23</v>
      </c>
      <c r="S5424" s="1" t="s">
        <v>34218</v>
      </c>
    </row>
    <row r="5425" spans="1:19" x14ac:dyDescent="0.25">
      <c r="A5425">
        <v>100573323</v>
      </c>
      <c r="B5425" t="s">
        <v>247</v>
      </c>
      <c r="C5425" t="s">
        <v>2642</v>
      </c>
      <c r="G5425" t="s">
        <v>13427</v>
      </c>
      <c r="H5425" t="s">
        <v>13428</v>
      </c>
      <c r="I5425" t="s">
        <v>135</v>
      </c>
      <c r="J5425">
        <v>62966</v>
      </c>
      <c r="K5425">
        <v>2176</v>
      </c>
      <c r="L5425" t="s">
        <v>23</v>
      </c>
      <c r="M5425" t="s">
        <v>13427</v>
      </c>
      <c r="N5425" t="s">
        <v>13428</v>
      </c>
      <c r="O5425" t="s">
        <v>135</v>
      </c>
      <c r="P5425">
        <v>62966</v>
      </c>
      <c r="Q5425">
        <v>2176</v>
      </c>
      <c r="R5425" t="s">
        <v>23</v>
      </c>
      <c r="S5425" s="1" t="s">
        <v>34218</v>
      </c>
    </row>
    <row r="5426" spans="1:19" x14ac:dyDescent="0.25">
      <c r="A5426">
        <v>100573562</v>
      </c>
      <c r="B5426" t="s">
        <v>13429</v>
      </c>
      <c r="C5426" t="s">
        <v>1859</v>
      </c>
      <c r="G5426" t="s">
        <v>13430</v>
      </c>
      <c r="H5426" t="s">
        <v>13431</v>
      </c>
      <c r="I5426" t="s">
        <v>353</v>
      </c>
      <c r="J5426">
        <v>3269</v>
      </c>
      <c r="L5426" t="s">
        <v>23</v>
      </c>
      <c r="M5426" t="s">
        <v>13430</v>
      </c>
      <c r="N5426" t="s">
        <v>13431</v>
      </c>
      <c r="O5426" t="s">
        <v>353</v>
      </c>
      <c r="P5426">
        <v>3269</v>
      </c>
      <c r="R5426" t="s">
        <v>23</v>
      </c>
      <c r="S5426" s="1" t="s">
        <v>34218</v>
      </c>
    </row>
    <row r="5427" spans="1:19" x14ac:dyDescent="0.25">
      <c r="A5427">
        <v>100577374</v>
      </c>
      <c r="B5427" t="s">
        <v>13432</v>
      </c>
      <c r="C5427" t="s">
        <v>7844</v>
      </c>
      <c r="G5427" t="s">
        <v>13433</v>
      </c>
      <c r="H5427" t="s">
        <v>13434</v>
      </c>
      <c r="I5427" t="s">
        <v>33</v>
      </c>
      <c r="J5427">
        <v>18080</v>
      </c>
      <c r="K5427">
        <v>3266</v>
      </c>
      <c r="L5427" t="s">
        <v>23</v>
      </c>
      <c r="M5427" t="s">
        <v>13433</v>
      </c>
      <c r="N5427" t="s">
        <v>13434</v>
      </c>
      <c r="O5427" t="s">
        <v>33</v>
      </c>
      <c r="P5427">
        <v>18080</v>
      </c>
      <c r="Q5427">
        <v>3266</v>
      </c>
      <c r="R5427" t="s">
        <v>23</v>
      </c>
      <c r="S5427" s="1" t="s">
        <v>34218</v>
      </c>
    </row>
    <row r="5428" spans="1:19" x14ac:dyDescent="0.25">
      <c r="A5428">
        <v>100573766</v>
      </c>
      <c r="B5428" t="s">
        <v>13435</v>
      </c>
      <c r="C5428" t="s">
        <v>4719</v>
      </c>
      <c r="G5428" t="s">
        <v>13436</v>
      </c>
      <c r="H5428" t="s">
        <v>13437</v>
      </c>
      <c r="I5428" t="s">
        <v>639</v>
      </c>
      <c r="J5428">
        <v>87059</v>
      </c>
      <c r="K5428">
        <v>7482</v>
      </c>
      <c r="L5428" t="s">
        <v>23</v>
      </c>
      <c r="M5428" t="s">
        <v>13436</v>
      </c>
      <c r="N5428" t="s">
        <v>13437</v>
      </c>
      <c r="O5428" t="s">
        <v>639</v>
      </c>
      <c r="P5428">
        <v>87059</v>
      </c>
      <c r="Q5428">
        <v>7482</v>
      </c>
      <c r="R5428" t="s">
        <v>23</v>
      </c>
      <c r="S5428" s="1" t="s">
        <v>34218</v>
      </c>
    </row>
    <row r="5429" spans="1:19" x14ac:dyDescent="0.25">
      <c r="A5429">
        <v>100761895</v>
      </c>
      <c r="B5429" t="s">
        <v>3196</v>
      </c>
      <c r="C5429" t="s">
        <v>699</v>
      </c>
      <c r="G5429" t="s">
        <v>13438</v>
      </c>
      <c r="H5429" t="s">
        <v>5816</v>
      </c>
      <c r="I5429" t="s">
        <v>22</v>
      </c>
      <c r="J5429">
        <v>91977</v>
      </c>
      <c r="K5429">
        <v>3325</v>
      </c>
      <c r="L5429" t="s">
        <v>23</v>
      </c>
      <c r="M5429" t="s">
        <v>13438</v>
      </c>
      <c r="N5429" t="s">
        <v>5816</v>
      </c>
      <c r="O5429" t="s">
        <v>22</v>
      </c>
      <c r="P5429">
        <v>91977</v>
      </c>
      <c r="Q5429">
        <v>3325</v>
      </c>
      <c r="R5429" t="s">
        <v>23</v>
      </c>
      <c r="S5429" s="1" t="s">
        <v>34218</v>
      </c>
    </row>
    <row r="5430" spans="1:19" x14ac:dyDescent="0.25">
      <c r="A5430">
        <v>100764517</v>
      </c>
      <c r="B5430" t="s">
        <v>7006</v>
      </c>
      <c r="C5430" t="s">
        <v>890</v>
      </c>
      <c r="G5430" t="s">
        <v>13439</v>
      </c>
      <c r="H5430" t="s">
        <v>9016</v>
      </c>
      <c r="I5430" t="s">
        <v>84</v>
      </c>
      <c r="J5430">
        <v>98029</v>
      </c>
      <c r="K5430">
        <v>7649</v>
      </c>
      <c r="L5430" t="s">
        <v>23</v>
      </c>
      <c r="M5430" t="s">
        <v>13439</v>
      </c>
      <c r="N5430" t="s">
        <v>9016</v>
      </c>
      <c r="O5430" t="s">
        <v>84</v>
      </c>
      <c r="P5430">
        <v>98029</v>
      </c>
      <c r="Q5430">
        <v>7649</v>
      </c>
      <c r="R5430" t="s">
        <v>23</v>
      </c>
      <c r="S5430" s="1" t="s">
        <v>34218</v>
      </c>
    </row>
    <row r="5431" spans="1:19" x14ac:dyDescent="0.25">
      <c r="A5431">
        <v>100766320</v>
      </c>
      <c r="B5431" t="s">
        <v>13440</v>
      </c>
      <c r="C5431" t="s">
        <v>1043</v>
      </c>
      <c r="G5431" t="s">
        <v>13441</v>
      </c>
      <c r="H5431" t="s">
        <v>694</v>
      </c>
      <c r="I5431" t="s">
        <v>135</v>
      </c>
      <c r="J5431">
        <v>60565</v>
      </c>
      <c r="K5431">
        <v>4003</v>
      </c>
      <c r="L5431" t="s">
        <v>23</v>
      </c>
      <c r="M5431" t="s">
        <v>13441</v>
      </c>
      <c r="N5431" t="s">
        <v>694</v>
      </c>
      <c r="O5431" t="s">
        <v>135</v>
      </c>
      <c r="P5431">
        <v>60565</v>
      </c>
      <c r="Q5431">
        <v>4003</v>
      </c>
      <c r="R5431" t="s">
        <v>23</v>
      </c>
      <c r="S5431" s="1" t="s">
        <v>34218</v>
      </c>
    </row>
    <row r="5432" spans="1:19" x14ac:dyDescent="0.25">
      <c r="A5432">
        <v>100762704</v>
      </c>
      <c r="B5432" t="s">
        <v>13442</v>
      </c>
      <c r="C5432" t="s">
        <v>1873</v>
      </c>
      <c r="G5432" t="s">
        <v>13443</v>
      </c>
      <c r="H5432" t="s">
        <v>2468</v>
      </c>
      <c r="I5432" t="s">
        <v>22</v>
      </c>
      <c r="J5432">
        <v>92084</v>
      </c>
      <c r="K5432">
        <v>6346</v>
      </c>
      <c r="L5432" t="s">
        <v>23</v>
      </c>
      <c r="M5432" t="s">
        <v>13443</v>
      </c>
      <c r="N5432" t="s">
        <v>2468</v>
      </c>
      <c r="O5432" t="s">
        <v>22</v>
      </c>
      <c r="P5432">
        <v>92084</v>
      </c>
      <c r="Q5432">
        <v>6346</v>
      </c>
      <c r="R5432" t="s">
        <v>23</v>
      </c>
      <c r="S5432" s="1" t="s">
        <v>34218</v>
      </c>
    </row>
    <row r="5433" spans="1:19" x14ac:dyDescent="0.25">
      <c r="A5433">
        <v>100767673</v>
      </c>
      <c r="B5433" t="s">
        <v>13444</v>
      </c>
      <c r="C5433" t="s">
        <v>1078</v>
      </c>
      <c r="G5433" t="s">
        <v>13445</v>
      </c>
      <c r="H5433" t="s">
        <v>567</v>
      </c>
      <c r="I5433" t="s">
        <v>446</v>
      </c>
      <c r="J5433">
        <v>27615</v>
      </c>
      <c r="K5433">
        <v>3032</v>
      </c>
      <c r="L5433" t="s">
        <v>23</v>
      </c>
      <c r="M5433" t="s">
        <v>13445</v>
      </c>
      <c r="N5433" t="s">
        <v>567</v>
      </c>
      <c r="O5433" t="s">
        <v>446</v>
      </c>
      <c r="P5433">
        <v>27615</v>
      </c>
      <c r="Q5433">
        <v>3032</v>
      </c>
      <c r="R5433" t="s">
        <v>23</v>
      </c>
      <c r="S5433" s="1" t="s">
        <v>34218</v>
      </c>
    </row>
    <row r="5434" spans="1:19" x14ac:dyDescent="0.25">
      <c r="A5434">
        <v>100773583</v>
      </c>
      <c r="B5434" t="s">
        <v>6618</v>
      </c>
      <c r="C5434" t="s">
        <v>132</v>
      </c>
      <c r="E5434" t="s">
        <v>13446</v>
      </c>
      <c r="G5434" t="s">
        <v>13447</v>
      </c>
      <c r="H5434" t="s">
        <v>430</v>
      </c>
      <c r="I5434" t="s">
        <v>117</v>
      </c>
      <c r="J5434">
        <v>11787</v>
      </c>
      <c r="K5434">
        <v>3485</v>
      </c>
      <c r="L5434" t="s">
        <v>23</v>
      </c>
      <c r="M5434" t="s">
        <v>13447</v>
      </c>
      <c r="N5434" t="s">
        <v>430</v>
      </c>
      <c r="O5434" t="s">
        <v>117</v>
      </c>
      <c r="P5434">
        <v>11787</v>
      </c>
      <c r="Q5434">
        <v>3485</v>
      </c>
      <c r="R5434" t="s">
        <v>23</v>
      </c>
      <c r="S5434" s="1" t="s">
        <v>34218</v>
      </c>
    </row>
    <row r="5435" spans="1:19" x14ac:dyDescent="0.25">
      <c r="A5435">
        <v>100771787</v>
      </c>
      <c r="B5435" t="s">
        <v>744</v>
      </c>
      <c r="C5435" t="s">
        <v>4471</v>
      </c>
      <c r="G5435" t="s">
        <v>13448</v>
      </c>
      <c r="H5435" t="s">
        <v>1060</v>
      </c>
      <c r="I5435" t="s">
        <v>22</v>
      </c>
      <c r="J5435">
        <v>93401</v>
      </c>
      <c r="K5435">
        <v>7734</v>
      </c>
      <c r="L5435" t="s">
        <v>23</v>
      </c>
      <c r="M5435" t="s">
        <v>13448</v>
      </c>
      <c r="N5435" t="s">
        <v>1060</v>
      </c>
      <c r="O5435" t="s">
        <v>22</v>
      </c>
      <c r="P5435">
        <v>93401</v>
      </c>
      <c r="Q5435">
        <v>7734</v>
      </c>
      <c r="R5435" t="s">
        <v>23</v>
      </c>
      <c r="S5435" s="1" t="s">
        <v>34218</v>
      </c>
    </row>
    <row r="5436" spans="1:19" x14ac:dyDescent="0.25">
      <c r="A5436">
        <v>100771683</v>
      </c>
      <c r="B5436" t="s">
        <v>6555</v>
      </c>
      <c r="C5436" t="s">
        <v>1873</v>
      </c>
      <c r="G5436" t="s">
        <v>13449</v>
      </c>
      <c r="H5436" t="s">
        <v>13450</v>
      </c>
      <c r="I5436" t="s">
        <v>84</v>
      </c>
      <c r="J5436">
        <v>98253</v>
      </c>
      <c r="K5436">
        <v>9778</v>
      </c>
      <c r="L5436" t="s">
        <v>23</v>
      </c>
      <c r="M5436" t="s">
        <v>13449</v>
      </c>
      <c r="N5436" t="s">
        <v>13450</v>
      </c>
      <c r="O5436" t="s">
        <v>84</v>
      </c>
      <c r="P5436">
        <v>98253</v>
      </c>
      <c r="Q5436">
        <v>9778</v>
      </c>
      <c r="R5436" t="s">
        <v>23</v>
      </c>
      <c r="S5436" s="1" t="s">
        <v>34218</v>
      </c>
    </row>
    <row r="5437" spans="1:19" x14ac:dyDescent="0.25">
      <c r="A5437">
        <v>100776529</v>
      </c>
      <c r="B5437" t="s">
        <v>11232</v>
      </c>
      <c r="C5437" t="s">
        <v>216</v>
      </c>
      <c r="G5437" t="s">
        <v>13451</v>
      </c>
      <c r="H5437" t="s">
        <v>13452</v>
      </c>
      <c r="I5437" t="s">
        <v>140</v>
      </c>
      <c r="J5437">
        <v>48471</v>
      </c>
      <c r="K5437">
        <v>9005</v>
      </c>
      <c r="L5437" t="s">
        <v>23</v>
      </c>
      <c r="M5437" t="s">
        <v>13451</v>
      </c>
      <c r="N5437" t="s">
        <v>13452</v>
      </c>
      <c r="O5437" t="s">
        <v>140</v>
      </c>
      <c r="P5437">
        <v>48471</v>
      </c>
      <c r="Q5437">
        <v>9005</v>
      </c>
      <c r="R5437" t="s">
        <v>23</v>
      </c>
      <c r="S5437" s="1" t="s">
        <v>34218</v>
      </c>
    </row>
    <row r="5438" spans="1:19" x14ac:dyDescent="0.25">
      <c r="A5438">
        <v>100778622</v>
      </c>
      <c r="B5438" t="s">
        <v>13453</v>
      </c>
      <c r="C5438" t="s">
        <v>13454</v>
      </c>
      <c r="G5438" t="s">
        <v>13455</v>
      </c>
      <c r="H5438" t="s">
        <v>6390</v>
      </c>
      <c r="I5438" t="s">
        <v>236</v>
      </c>
      <c r="J5438">
        <v>1844</v>
      </c>
      <c r="K5438">
        <v>5920</v>
      </c>
      <c r="L5438" t="s">
        <v>23</v>
      </c>
      <c r="M5438" t="s">
        <v>13455</v>
      </c>
      <c r="N5438" t="s">
        <v>6390</v>
      </c>
      <c r="O5438" t="s">
        <v>236</v>
      </c>
      <c r="P5438">
        <v>1844</v>
      </c>
      <c r="Q5438">
        <v>5920</v>
      </c>
      <c r="R5438" t="s">
        <v>23</v>
      </c>
      <c r="S5438" s="1" t="s">
        <v>34218</v>
      </c>
    </row>
    <row r="5439" spans="1:19" x14ac:dyDescent="0.25">
      <c r="A5439">
        <v>100782178</v>
      </c>
      <c r="B5439" t="s">
        <v>13456</v>
      </c>
      <c r="C5439" t="s">
        <v>1157</v>
      </c>
      <c r="G5439" t="s">
        <v>13457</v>
      </c>
      <c r="H5439" t="s">
        <v>147</v>
      </c>
      <c r="I5439" t="s">
        <v>22</v>
      </c>
      <c r="J5439">
        <v>91103</v>
      </c>
      <c r="K5439">
        <v>3138</v>
      </c>
      <c r="L5439" t="s">
        <v>23</v>
      </c>
      <c r="M5439" t="s">
        <v>13457</v>
      </c>
      <c r="N5439" t="s">
        <v>147</v>
      </c>
      <c r="O5439" t="s">
        <v>22</v>
      </c>
      <c r="P5439">
        <v>91103</v>
      </c>
      <c r="Q5439">
        <v>3138</v>
      </c>
      <c r="R5439" t="s">
        <v>23</v>
      </c>
      <c r="S5439" s="1" t="s">
        <v>34218</v>
      </c>
    </row>
    <row r="5440" spans="1:19" x14ac:dyDescent="0.25">
      <c r="A5440">
        <v>100779426</v>
      </c>
      <c r="B5440" t="s">
        <v>13458</v>
      </c>
      <c r="C5440" t="s">
        <v>114</v>
      </c>
      <c r="G5440" t="s">
        <v>13459</v>
      </c>
      <c r="H5440" t="s">
        <v>13460</v>
      </c>
      <c r="I5440" t="s">
        <v>117</v>
      </c>
      <c r="J5440">
        <v>12184</v>
      </c>
      <c r="K5440">
        <v>3231</v>
      </c>
      <c r="L5440" t="s">
        <v>23</v>
      </c>
      <c r="M5440" t="s">
        <v>13459</v>
      </c>
      <c r="N5440" t="s">
        <v>13460</v>
      </c>
      <c r="O5440" t="s">
        <v>117</v>
      </c>
      <c r="P5440">
        <v>12184</v>
      </c>
      <c r="Q5440">
        <v>3231</v>
      </c>
      <c r="R5440" t="s">
        <v>23</v>
      </c>
      <c r="S5440" s="1" t="s">
        <v>34218</v>
      </c>
    </row>
    <row r="5441" spans="1:19" x14ac:dyDescent="0.25">
      <c r="A5441">
        <v>100787048</v>
      </c>
      <c r="B5441" t="s">
        <v>13461</v>
      </c>
      <c r="C5441" t="s">
        <v>2776</v>
      </c>
      <c r="G5441" t="s">
        <v>13462</v>
      </c>
      <c r="H5441" t="s">
        <v>4199</v>
      </c>
      <c r="I5441" t="s">
        <v>153</v>
      </c>
      <c r="J5441">
        <v>70506</v>
      </c>
      <c r="K5441">
        <v>6032</v>
      </c>
      <c r="L5441" t="s">
        <v>23</v>
      </c>
      <c r="M5441" t="s">
        <v>13462</v>
      </c>
      <c r="N5441" t="s">
        <v>4199</v>
      </c>
      <c r="O5441" t="s">
        <v>153</v>
      </c>
      <c r="P5441">
        <v>70506</v>
      </c>
      <c r="Q5441">
        <v>6032</v>
      </c>
      <c r="R5441" t="s">
        <v>23</v>
      </c>
      <c r="S5441" s="1" t="s">
        <v>34218</v>
      </c>
    </row>
    <row r="5442" spans="1:19" x14ac:dyDescent="0.25">
      <c r="A5442">
        <v>100783635</v>
      </c>
      <c r="B5442" t="s">
        <v>3956</v>
      </c>
      <c r="C5442" t="s">
        <v>2509</v>
      </c>
      <c r="G5442" t="s">
        <v>13463</v>
      </c>
      <c r="H5442" t="s">
        <v>1246</v>
      </c>
      <c r="I5442" t="s">
        <v>140</v>
      </c>
      <c r="J5442">
        <v>49506</v>
      </c>
      <c r="K5442">
        <v>1733</v>
      </c>
      <c r="L5442" t="s">
        <v>23</v>
      </c>
      <c r="M5442" t="s">
        <v>13463</v>
      </c>
      <c r="N5442" t="s">
        <v>1246</v>
      </c>
      <c r="O5442" t="s">
        <v>140</v>
      </c>
      <c r="P5442">
        <v>49506</v>
      </c>
      <c r="Q5442">
        <v>1733</v>
      </c>
      <c r="R5442" t="s">
        <v>23</v>
      </c>
      <c r="S5442" s="1" t="s">
        <v>34218</v>
      </c>
    </row>
    <row r="5443" spans="1:19" x14ac:dyDescent="0.25">
      <c r="A5443">
        <v>100732985</v>
      </c>
      <c r="B5443" t="s">
        <v>13464</v>
      </c>
      <c r="C5443" t="s">
        <v>119</v>
      </c>
      <c r="G5443" t="s">
        <v>13465</v>
      </c>
      <c r="H5443" t="s">
        <v>130</v>
      </c>
      <c r="I5443" t="s">
        <v>22</v>
      </c>
      <c r="J5443">
        <v>94127</v>
      </c>
      <c r="K5443">
        <v>1747</v>
      </c>
      <c r="L5443" t="s">
        <v>23</v>
      </c>
      <c r="M5443" t="s">
        <v>13465</v>
      </c>
      <c r="N5443" t="s">
        <v>130</v>
      </c>
      <c r="O5443" t="s">
        <v>22</v>
      </c>
      <c r="P5443">
        <v>94127</v>
      </c>
      <c r="Q5443">
        <v>1747</v>
      </c>
      <c r="R5443" t="s">
        <v>23</v>
      </c>
      <c r="S5443" s="1" t="s">
        <v>34218</v>
      </c>
    </row>
    <row r="5444" spans="1:19" x14ac:dyDescent="0.25">
      <c r="A5444">
        <v>100919487</v>
      </c>
      <c r="B5444" t="s">
        <v>1294</v>
      </c>
      <c r="C5444" t="s">
        <v>2802</v>
      </c>
      <c r="G5444" t="s">
        <v>13466</v>
      </c>
      <c r="H5444" t="s">
        <v>13467</v>
      </c>
      <c r="I5444" t="s">
        <v>100</v>
      </c>
      <c r="J5444">
        <v>53051</v>
      </c>
      <c r="K5444">
        <v>2725</v>
      </c>
      <c r="L5444" t="s">
        <v>23</v>
      </c>
      <c r="M5444" t="s">
        <v>13466</v>
      </c>
      <c r="N5444" t="s">
        <v>13467</v>
      </c>
      <c r="O5444" t="s">
        <v>100</v>
      </c>
      <c r="P5444">
        <v>53051</v>
      </c>
      <c r="Q5444">
        <v>2725</v>
      </c>
      <c r="R5444" t="s">
        <v>23</v>
      </c>
      <c r="S5444" s="1" t="s">
        <v>34218</v>
      </c>
    </row>
    <row r="5445" spans="1:19" x14ac:dyDescent="0.25">
      <c r="A5445">
        <v>100915338</v>
      </c>
      <c r="B5445" t="s">
        <v>13468</v>
      </c>
      <c r="C5445" t="s">
        <v>865</v>
      </c>
      <c r="G5445" t="s">
        <v>13469</v>
      </c>
      <c r="H5445" t="s">
        <v>1246</v>
      </c>
      <c r="I5445" t="s">
        <v>140</v>
      </c>
      <c r="J5445">
        <v>49506</v>
      </c>
      <c r="K5445">
        <v>5253</v>
      </c>
      <c r="L5445" t="s">
        <v>23</v>
      </c>
      <c r="M5445" t="s">
        <v>13469</v>
      </c>
      <c r="N5445" t="s">
        <v>1246</v>
      </c>
      <c r="O5445" t="s">
        <v>140</v>
      </c>
      <c r="P5445">
        <v>49506</v>
      </c>
      <c r="Q5445">
        <v>5253</v>
      </c>
      <c r="R5445" t="s">
        <v>23</v>
      </c>
      <c r="S5445" s="1" t="s">
        <v>34218</v>
      </c>
    </row>
    <row r="5446" spans="1:19" x14ac:dyDescent="0.25">
      <c r="A5446">
        <v>100915453</v>
      </c>
      <c r="B5446" t="s">
        <v>6311</v>
      </c>
      <c r="C5446" t="s">
        <v>2151</v>
      </c>
      <c r="F5446" t="str">
        <f>"3238882969"</f>
        <v>3238882969</v>
      </c>
      <c r="G5446" t="s">
        <v>13470</v>
      </c>
      <c r="H5446" t="s">
        <v>299</v>
      </c>
      <c r="I5446" t="s">
        <v>22</v>
      </c>
      <c r="J5446">
        <v>90022</v>
      </c>
      <c r="K5446">
        <v>4018</v>
      </c>
      <c r="L5446" t="s">
        <v>23</v>
      </c>
      <c r="M5446" t="s">
        <v>13470</v>
      </c>
      <c r="N5446" t="s">
        <v>299</v>
      </c>
      <c r="O5446" t="s">
        <v>22</v>
      </c>
      <c r="P5446">
        <v>90022</v>
      </c>
      <c r="Q5446">
        <v>4018</v>
      </c>
      <c r="R5446" t="s">
        <v>23</v>
      </c>
      <c r="S5446" s="1" t="s">
        <v>34218</v>
      </c>
    </row>
    <row r="5447" spans="1:19" x14ac:dyDescent="0.25">
      <c r="A5447">
        <v>100919709</v>
      </c>
      <c r="B5447" t="s">
        <v>13471</v>
      </c>
      <c r="C5447" t="s">
        <v>2173</v>
      </c>
      <c r="G5447" t="s">
        <v>13472</v>
      </c>
      <c r="H5447" t="s">
        <v>9229</v>
      </c>
      <c r="I5447" t="s">
        <v>52</v>
      </c>
      <c r="J5447">
        <v>33907</v>
      </c>
      <c r="K5447">
        <v>8056</v>
      </c>
      <c r="L5447" t="s">
        <v>23</v>
      </c>
      <c r="M5447" t="s">
        <v>13472</v>
      </c>
      <c r="N5447" t="s">
        <v>9229</v>
      </c>
      <c r="O5447" t="s">
        <v>52</v>
      </c>
      <c r="P5447">
        <v>33907</v>
      </c>
      <c r="Q5447">
        <v>8056</v>
      </c>
      <c r="R5447" t="s">
        <v>23</v>
      </c>
      <c r="S5447" s="1" t="s">
        <v>34218</v>
      </c>
    </row>
    <row r="5448" spans="1:19" x14ac:dyDescent="0.25">
      <c r="A5448">
        <v>100922526</v>
      </c>
      <c r="B5448" t="s">
        <v>13473</v>
      </c>
      <c r="C5448" t="s">
        <v>81</v>
      </c>
      <c r="G5448" t="s">
        <v>13474</v>
      </c>
      <c r="H5448" t="s">
        <v>4570</v>
      </c>
      <c r="I5448" t="s">
        <v>52</v>
      </c>
      <c r="J5448">
        <v>34292</v>
      </c>
      <c r="K5448">
        <v>1311</v>
      </c>
      <c r="L5448" t="s">
        <v>23</v>
      </c>
      <c r="M5448" t="s">
        <v>13474</v>
      </c>
      <c r="N5448" t="s">
        <v>4570</v>
      </c>
      <c r="O5448" t="s">
        <v>52</v>
      </c>
      <c r="P5448">
        <v>34292</v>
      </c>
      <c r="Q5448">
        <v>1311</v>
      </c>
      <c r="R5448" t="s">
        <v>23</v>
      </c>
      <c r="S5448" s="1" t="s">
        <v>34218</v>
      </c>
    </row>
    <row r="5449" spans="1:19" x14ac:dyDescent="0.25">
      <c r="A5449">
        <v>100923305</v>
      </c>
      <c r="B5449" t="s">
        <v>13475</v>
      </c>
      <c r="C5449" t="s">
        <v>13476</v>
      </c>
      <c r="G5449" t="s">
        <v>13477</v>
      </c>
      <c r="H5449" t="s">
        <v>10838</v>
      </c>
      <c r="I5449" t="s">
        <v>71</v>
      </c>
      <c r="J5449">
        <v>80134</v>
      </c>
      <c r="K5449">
        <v>6387</v>
      </c>
      <c r="L5449" t="s">
        <v>23</v>
      </c>
      <c r="M5449" t="s">
        <v>13477</v>
      </c>
      <c r="N5449" t="s">
        <v>10838</v>
      </c>
      <c r="O5449" t="s">
        <v>71</v>
      </c>
      <c r="P5449">
        <v>80134</v>
      </c>
      <c r="Q5449">
        <v>6387</v>
      </c>
      <c r="R5449" t="s">
        <v>23</v>
      </c>
      <c r="S5449" s="1" t="s">
        <v>34218</v>
      </c>
    </row>
    <row r="5450" spans="1:19" x14ac:dyDescent="0.25">
      <c r="A5450">
        <v>100924039</v>
      </c>
      <c r="B5450" t="s">
        <v>13478</v>
      </c>
      <c r="C5450" t="s">
        <v>9629</v>
      </c>
      <c r="G5450" t="s">
        <v>13479</v>
      </c>
      <c r="H5450" t="s">
        <v>13480</v>
      </c>
      <c r="I5450" t="s">
        <v>250</v>
      </c>
      <c r="J5450">
        <v>7822</v>
      </c>
      <c r="K5450">
        <v>328</v>
      </c>
      <c r="L5450" t="s">
        <v>23</v>
      </c>
      <c r="M5450" t="s">
        <v>13479</v>
      </c>
      <c r="N5450" t="s">
        <v>13480</v>
      </c>
      <c r="O5450" t="s">
        <v>250</v>
      </c>
      <c r="P5450">
        <v>7822</v>
      </c>
      <c r="Q5450">
        <v>328</v>
      </c>
      <c r="R5450" t="s">
        <v>23</v>
      </c>
      <c r="S5450" s="1" t="s">
        <v>34218</v>
      </c>
    </row>
    <row r="5451" spans="1:19" x14ac:dyDescent="0.25">
      <c r="A5451">
        <v>100925745</v>
      </c>
      <c r="B5451" t="s">
        <v>4159</v>
      </c>
      <c r="C5451" t="s">
        <v>13481</v>
      </c>
      <c r="G5451" t="s">
        <v>13482</v>
      </c>
      <c r="H5451" t="s">
        <v>1405</v>
      </c>
      <c r="I5451" t="s">
        <v>187</v>
      </c>
      <c r="J5451">
        <v>55104</v>
      </c>
      <c r="K5451">
        <v>5938</v>
      </c>
      <c r="L5451" t="s">
        <v>23</v>
      </c>
      <c r="M5451" t="s">
        <v>13482</v>
      </c>
      <c r="N5451" t="s">
        <v>1405</v>
      </c>
      <c r="O5451" t="s">
        <v>187</v>
      </c>
      <c r="P5451">
        <v>55104</v>
      </c>
      <c r="Q5451">
        <v>5938</v>
      </c>
      <c r="R5451" t="s">
        <v>23</v>
      </c>
      <c r="S5451" s="1" t="s">
        <v>34218</v>
      </c>
    </row>
    <row r="5452" spans="1:19" x14ac:dyDescent="0.25">
      <c r="A5452">
        <v>100932606</v>
      </c>
      <c r="B5452" t="s">
        <v>281</v>
      </c>
      <c r="C5452" t="s">
        <v>2497</v>
      </c>
      <c r="F5452" t="str">
        <f>"3603577692"</f>
        <v>3603577692</v>
      </c>
      <c r="G5452" t="s">
        <v>13483</v>
      </c>
      <c r="H5452" t="s">
        <v>1765</v>
      </c>
      <c r="I5452" t="s">
        <v>84</v>
      </c>
      <c r="J5452">
        <v>98501</v>
      </c>
      <c r="K5452">
        <v>2943</v>
      </c>
      <c r="L5452" t="s">
        <v>23</v>
      </c>
      <c r="M5452" t="s">
        <v>13483</v>
      </c>
      <c r="N5452" t="s">
        <v>1765</v>
      </c>
      <c r="O5452" t="s">
        <v>84</v>
      </c>
      <c r="P5452">
        <v>98501</v>
      </c>
      <c r="Q5452">
        <v>2943</v>
      </c>
      <c r="R5452" t="s">
        <v>23</v>
      </c>
      <c r="S5452" s="1" t="s">
        <v>34218</v>
      </c>
    </row>
    <row r="5453" spans="1:19" x14ac:dyDescent="0.25">
      <c r="A5453">
        <v>100934223</v>
      </c>
      <c r="B5453" t="s">
        <v>308</v>
      </c>
      <c r="C5453" t="s">
        <v>4848</v>
      </c>
      <c r="G5453" t="s">
        <v>13484</v>
      </c>
      <c r="H5453" t="s">
        <v>2990</v>
      </c>
      <c r="I5453" t="s">
        <v>365</v>
      </c>
      <c r="J5453">
        <v>86326</v>
      </c>
      <c r="K5453">
        <v>5063</v>
      </c>
      <c r="L5453" t="s">
        <v>23</v>
      </c>
      <c r="M5453" t="s">
        <v>13484</v>
      </c>
      <c r="N5453" t="s">
        <v>2990</v>
      </c>
      <c r="O5453" t="s">
        <v>365</v>
      </c>
      <c r="P5453">
        <v>86326</v>
      </c>
      <c r="Q5453">
        <v>5063</v>
      </c>
      <c r="R5453" t="s">
        <v>23</v>
      </c>
      <c r="S5453" s="1" t="s">
        <v>34218</v>
      </c>
    </row>
    <row r="5454" spans="1:19" x14ac:dyDescent="0.25">
      <c r="A5454">
        <v>100934483</v>
      </c>
      <c r="B5454" t="s">
        <v>6190</v>
      </c>
      <c r="C5454" t="s">
        <v>68</v>
      </c>
      <c r="G5454" t="s">
        <v>13485</v>
      </c>
      <c r="H5454" t="s">
        <v>2704</v>
      </c>
      <c r="I5454" t="s">
        <v>126</v>
      </c>
      <c r="J5454">
        <v>63025</v>
      </c>
      <c r="K5454">
        <v>2307</v>
      </c>
      <c r="L5454" t="s">
        <v>23</v>
      </c>
      <c r="M5454" t="s">
        <v>13485</v>
      </c>
      <c r="N5454" t="s">
        <v>2704</v>
      </c>
      <c r="O5454" t="s">
        <v>126</v>
      </c>
      <c r="P5454">
        <v>63025</v>
      </c>
      <c r="Q5454">
        <v>2307</v>
      </c>
      <c r="R5454" t="s">
        <v>23</v>
      </c>
      <c r="S5454" s="1" t="s">
        <v>34218</v>
      </c>
    </row>
    <row r="5455" spans="1:19" x14ac:dyDescent="0.25">
      <c r="A5455">
        <v>100941100</v>
      </c>
      <c r="B5455" t="s">
        <v>13486</v>
      </c>
      <c r="C5455" t="s">
        <v>13487</v>
      </c>
      <c r="F5455" t="str">
        <f>"9153294285"</f>
        <v>9153294285</v>
      </c>
      <c r="G5455" t="s">
        <v>13488</v>
      </c>
      <c r="H5455" t="s">
        <v>1716</v>
      </c>
      <c r="I5455" t="s">
        <v>38</v>
      </c>
      <c r="J5455">
        <v>79936</v>
      </c>
      <c r="K5455">
        <v>243</v>
      </c>
      <c r="L5455" t="s">
        <v>23</v>
      </c>
      <c r="M5455" t="s">
        <v>13488</v>
      </c>
      <c r="N5455" t="s">
        <v>1716</v>
      </c>
      <c r="O5455" t="s">
        <v>38</v>
      </c>
      <c r="P5455">
        <v>79936</v>
      </c>
      <c r="Q5455">
        <v>243</v>
      </c>
      <c r="R5455" t="s">
        <v>23</v>
      </c>
      <c r="S5455" s="1" t="s">
        <v>34218</v>
      </c>
    </row>
    <row r="5456" spans="1:19" x14ac:dyDescent="0.25">
      <c r="A5456">
        <v>100940188</v>
      </c>
      <c r="B5456" t="s">
        <v>6376</v>
      </c>
      <c r="C5456" t="s">
        <v>1887</v>
      </c>
      <c r="F5456" t="str">
        <f>"3124792530"</f>
        <v>3124792530</v>
      </c>
      <c r="G5456" t="s">
        <v>13489</v>
      </c>
      <c r="H5456" t="s">
        <v>13490</v>
      </c>
      <c r="I5456" t="s">
        <v>117</v>
      </c>
      <c r="J5456">
        <v>12503</v>
      </c>
      <c r="K5456">
        <v>5124</v>
      </c>
      <c r="L5456" t="s">
        <v>23</v>
      </c>
      <c r="M5456" t="s">
        <v>13489</v>
      </c>
      <c r="N5456" t="s">
        <v>13490</v>
      </c>
      <c r="O5456" t="s">
        <v>117</v>
      </c>
      <c r="P5456">
        <v>12503</v>
      </c>
      <c r="Q5456">
        <v>5124</v>
      </c>
      <c r="R5456" t="s">
        <v>23</v>
      </c>
      <c r="S5456" s="1" t="s">
        <v>34218</v>
      </c>
    </row>
    <row r="5457" spans="1:19" x14ac:dyDescent="0.25">
      <c r="A5457">
        <v>101452191</v>
      </c>
      <c r="B5457" t="s">
        <v>13491</v>
      </c>
      <c r="C5457" t="s">
        <v>13492</v>
      </c>
      <c r="G5457" t="s">
        <v>13493</v>
      </c>
      <c r="H5457" t="s">
        <v>13494</v>
      </c>
      <c r="I5457" t="s">
        <v>22</v>
      </c>
      <c r="J5457">
        <v>93454</v>
      </c>
      <c r="K5457">
        <v>5945</v>
      </c>
      <c r="L5457" t="s">
        <v>23</v>
      </c>
      <c r="M5457" t="s">
        <v>13493</v>
      </c>
      <c r="N5457" t="s">
        <v>13494</v>
      </c>
      <c r="O5457" t="s">
        <v>22</v>
      </c>
      <c r="P5457">
        <v>93454</v>
      </c>
      <c r="Q5457">
        <v>5945</v>
      </c>
      <c r="R5457" t="s">
        <v>23</v>
      </c>
      <c r="S5457" s="1" t="s">
        <v>34218</v>
      </c>
    </row>
    <row r="5458" spans="1:19" x14ac:dyDescent="0.25">
      <c r="A5458">
        <v>100556909</v>
      </c>
      <c r="B5458" t="s">
        <v>13495</v>
      </c>
      <c r="C5458" t="s">
        <v>155</v>
      </c>
      <c r="G5458" t="s">
        <v>13496</v>
      </c>
      <c r="H5458" t="s">
        <v>125</v>
      </c>
      <c r="I5458" t="s">
        <v>126</v>
      </c>
      <c r="J5458">
        <v>63146</v>
      </c>
      <c r="K5458">
        <v>4946</v>
      </c>
      <c r="L5458" t="s">
        <v>23</v>
      </c>
      <c r="M5458" t="s">
        <v>13496</v>
      </c>
      <c r="N5458" t="s">
        <v>125</v>
      </c>
      <c r="O5458" t="s">
        <v>126</v>
      </c>
      <c r="P5458">
        <v>63146</v>
      </c>
      <c r="Q5458">
        <v>4946</v>
      </c>
      <c r="R5458" t="s">
        <v>23</v>
      </c>
      <c r="S5458" s="1" t="s">
        <v>34218</v>
      </c>
    </row>
    <row r="5459" spans="1:19" x14ac:dyDescent="0.25">
      <c r="A5459">
        <v>100560662</v>
      </c>
      <c r="B5459" t="s">
        <v>13497</v>
      </c>
      <c r="C5459" t="s">
        <v>25</v>
      </c>
      <c r="G5459" t="s">
        <v>13498</v>
      </c>
      <c r="H5459" t="s">
        <v>13499</v>
      </c>
      <c r="I5459" t="s">
        <v>161</v>
      </c>
      <c r="J5459">
        <v>6105</v>
      </c>
      <c r="K5459">
        <v>4301</v>
      </c>
      <c r="L5459" t="s">
        <v>23</v>
      </c>
      <c r="M5459" t="s">
        <v>13498</v>
      </c>
      <c r="N5459" t="s">
        <v>13499</v>
      </c>
      <c r="O5459" t="s">
        <v>161</v>
      </c>
      <c r="P5459">
        <v>6105</v>
      </c>
      <c r="Q5459">
        <v>4301</v>
      </c>
      <c r="R5459" t="s">
        <v>23</v>
      </c>
      <c r="S5459" s="1" t="s">
        <v>34218</v>
      </c>
    </row>
    <row r="5460" spans="1:19" x14ac:dyDescent="0.25">
      <c r="A5460">
        <v>100560715</v>
      </c>
      <c r="B5460" t="s">
        <v>13500</v>
      </c>
      <c r="C5460" t="s">
        <v>4140</v>
      </c>
      <c r="F5460" t="str">
        <f>"5082557322"</f>
        <v>5082557322</v>
      </c>
      <c r="G5460" t="s">
        <v>13501</v>
      </c>
      <c r="H5460" t="s">
        <v>12311</v>
      </c>
      <c r="I5460" t="s">
        <v>236</v>
      </c>
      <c r="J5460">
        <v>2653</v>
      </c>
      <c r="K5460">
        <v>2404</v>
      </c>
      <c r="L5460" t="s">
        <v>23</v>
      </c>
      <c r="M5460" t="s">
        <v>13501</v>
      </c>
      <c r="N5460" t="s">
        <v>12311</v>
      </c>
      <c r="O5460" t="s">
        <v>236</v>
      </c>
      <c r="P5460">
        <v>2653</v>
      </c>
      <c r="Q5460">
        <v>2404</v>
      </c>
      <c r="R5460" t="s">
        <v>23</v>
      </c>
      <c r="S5460" s="1" t="s">
        <v>34218</v>
      </c>
    </row>
    <row r="5461" spans="1:19" x14ac:dyDescent="0.25">
      <c r="A5461">
        <v>100560850</v>
      </c>
      <c r="B5461" t="s">
        <v>13502</v>
      </c>
      <c r="C5461" t="s">
        <v>13503</v>
      </c>
      <c r="F5461" t="str">
        <f>"5555555555"</f>
        <v>5555555555</v>
      </c>
      <c r="G5461" t="s">
        <v>13504</v>
      </c>
      <c r="H5461" t="s">
        <v>4326</v>
      </c>
      <c r="I5461" t="s">
        <v>71</v>
      </c>
      <c r="J5461">
        <v>80401</v>
      </c>
      <c r="K5461">
        <v>4663</v>
      </c>
      <c r="L5461" t="s">
        <v>23</v>
      </c>
      <c r="M5461" t="s">
        <v>13504</v>
      </c>
      <c r="N5461" t="s">
        <v>4326</v>
      </c>
      <c r="O5461" t="s">
        <v>71</v>
      </c>
      <c r="P5461">
        <v>80401</v>
      </c>
      <c r="Q5461">
        <v>4663</v>
      </c>
      <c r="R5461" t="s">
        <v>23</v>
      </c>
      <c r="S5461" s="1" t="s">
        <v>34218</v>
      </c>
    </row>
    <row r="5462" spans="1:19" x14ac:dyDescent="0.25">
      <c r="A5462">
        <v>100565472</v>
      </c>
      <c r="B5462" t="s">
        <v>13505</v>
      </c>
      <c r="C5462" t="s">
        <v>2151</v>
      </c>
      <c r="G5462" t="s">
        <v>13506</v>
      </c>
      <c r="H5462" t="s">
        <v>10578</v>
      </c>
      <c r="I5462" t="s">
        <v>52</v>
      </c>
      <c r="J5462">
        <v>33441</v>
      </c>
      <c r="K5462">
        <v>3204</v>
      </c>
      <c r="L5462" t="s">
        <v>23</v>
      </c>
      <c r="M5462" t="s">
        <v>13506</v>
      </c>
      <c r="N5462" t="s">
        <v>10578</v>
      </c>
      <c r="O5462" t="s">
        <v>52</v>
      </c>
      <c r="P5462">
        <v>33441</v>
      </c>
      <c r="Q5462">
        <v>3204</v>
      </c>
      <c r="R5462" t="s">
        <v>23</v>
      </c>
      <c r="S5462" s="1" t="s">
        <v>34218</v>
      </c>
    </row>
    <row r="5463" spans="1:19" x14ac:dyDescent="0.25">
      <c r="A5463">
        <v>100565957</v>
      </c>
      <c r="B5463" t="s">
        <v>13507</v>
      </c>
      <c r="C5463" t="s">
        <v>3442</v>
      </c>
      <c r="G5463" t="s">
        <v>13508</v>
      </c>
      <c r="H5463" t="s">
        <v>758</v>
      </c>
      <c r="I5463" t="s">
        <v>148</v>
      </c>
      <c r="J5463">
        <v>20902</v>
      </c>
      <c r="K5463">
        <v>4307</v>
      </c>
      <c r="L5463" t="s">
        <v>23</v>
      </c>
      <c r="M5463" t="s">
        <v>13508</v>
      </c>
      <c r="N5463" t="s">
        <v>758</v>
      </c>
      <c r="O5463" t="s">
        <v>148</v>
      </c>
      <c r="P5463">
        <v>20902</v>
      </c>
      <c r="Q5463">
        <v>4307</v>
      </c>
      <c r="R5463" t="s">
        <v>23</v>
      </c>
      <c r="S5463" s="1" t="s">
        <v>34218</v>
      </c>
    </row>
    <row r="5464" spans="1:19" x14ac:dyDescent="0.25">
      <c r="A5464">
        <v>100570657</v>
      </c>
      <c r="B5464" t="s">
        <v>13509</v>
      </c>
      <c r="C5464" t="s">
        <v>4273</v>
      </c>
      <c r="G5464" t="s">
        <v>13510</v>
      </c>
      <c r="H5464" t="s">
        <v>3437</v>
      </c>
      <c r="I5464" t="s">
        <v>161</v>
      </c>
      <c r="J5464">
        <v>6107</v>
      </c>
      <c r="K5464">
        <v>3540</v>
      </c>
      <c r="L5464" t="s">
        <v>23</v>
      </c>
      <c r="M5464" t="s">
        <v>13510</v>
      </c>
      <c r="N5464" t="s">
        <v>3437</v>
      </c>
      <c r="O5464" t="s">
        <v>161</v>
      </c>
      <c r="P5464">
        <v>6107</v>
      </c>
      <c r="Q5464">
        <v>3540</v>
      </c>
      <c r="R5464" t="s">
        <v>23</v>
      </c>
      <c r="S5464" s="1" t="s">
        <v>34218</v>
      </c>
    </row>
    <row r="5465" spans="1:19" x14ac:dyDescent="0.25">
      <c r="A5465">
        <v>100572381</v>
      </c>
      <c r="B5465" t="s">
        <v>4679</v>
      </c>
      <c r="C5465" t="s">
        <v>699</v>
      </c>
      <c r="G5465" t="s">
        <v>13511</v>
      </c>
      <c r="H5465" t="s">
        <v>4540</v>
      </c>
      <c r="I5465" t="s">
        <v>28</v>
      </c>
      <c r="J5465">
        <v>30041</v>
      </c>
      <c r="K5465">
        <v>9315</v>
      </c>
      <c r="L5465" t="s">
        <v>23</v>
      </c>
      <c r="M5465" t="s">
        <v>13511</v>
      </c>
      <c r="N5465" t="s">
        <v>4540</v>
      </c>
      <c r="O5465" t="s">
        <v>28</v>
      </c>
      <c r="P5465">
        <v>30041</v>
      </c>
      <c r="Q5465">
        <v>9315</v>
      </c>
      <c r="R5465" t="s">
        <v>23</v>
      </c>
      <c r="S5465" s="1" t="s">
        <v>34218</v>
      </c>
    </row>
    <row r="5466" spans="1:19" x14ac:dyDescent="0.25">
      <c r="A5466">
        <v>100570880</v>
      </c>
      <c r="B5466" t="s">
        <v>119</v>
      </c>
      <c r="C5466" t="s">
        <v>13512</v>
      </c>
      <c r="G5466" t="s">
        <v>13513</v>
      </c>
      <c r="H5466" t="s">
        <v>8296</v>
      </c>
      <c r="I5466" t="s">
        <v>984</v>
      </c>
      <c r="J5466">
        <v>96753</v>
      </c>
      <c r="K5466">
        <v>9227</v>
      </c>
      <c r="L5466" t="s">
        <v>23</v>
      </c>
      <c r="M5466" t="s">
        <v>13513</v>
      </c>
      <c r="N5466" t="s">
        <v>8296</v>
      </c>
      <c r="O5466" t="s">
        <v>984</v>
      </c>
      <c r="P5466">
        <v>96753</v>
      </c>
      <c r="Q5466">
        <v>9227</v>
      </c>
      <c r="R5466" t="s">
        <v>23</v>
      </c>
      <c r="S5466" s="1" t="s">
        <v>34218</v>
      </c>
    </row>
    <row r="5467" spans="1:19" x14ac:dyDescent="0.25">
      <c r="A5467">
        <v>100761637</v>
      </c>
      <c r="B5467" t="s">
        <v>13514</v>
      </c>
      <c r="C5467" t="s">
        <v>1955</v>
      </c>
      <c r="G5467" t="s">
        <v>13515</v>
      </c>
      <c r="H5467" t="s">
        <v>1318</v>
      </c>
      <c r="I5467" t="s">
        <v>22</v>
      </c>
      <c r="J5467">
        <v>94597</v>
      </c>
      <c r="K5467">
        <v>3157</v>
      </c>
      <c r="L5467" t="s">
        <v>23</v>
      </c>
      <c r="M5467" t="s">
        <v>13515</v>
      </c>
      <c r="N5467" t="s">
        <v>1318</v>
      </c>
      <c r="O5467" t="s">
        <v>22</v>
      </c>
      <c r="P5467">
        <v>94597</v>
      </c>
      <c r="Q5467">
        <v>3157</v>
      </c>
      <c r="R5467" t="s">
        <v>23</v>
      </c>
      <c r="S5467" s="1" t="s">
        <v>34218</v>
      </c>
    </row>
    <row r="5468" spans="1:19" x14ac:dyDescent="0.25">
      <c r="A5468">
        <v>100767092</v>
      </c>
      <c r="B5468" t="s">
        <v>13516</v>
      </c>
      <c r="C5468" t="s">
        <v>3376</v>
      </c>
      <c r="G5468" t="s">
        <v>13517</v>
      </c>
      <c r="H5468" t="s">
        <v>2749</v>
      </c>
      <c r="I5468" t="s">
        <v>191</v>
      </c>
      <c r="J5468">
        <v>4011</v>
      </c>
      <c r="K5468">
        <v>2631</v>
      </c>
      <c r="L5468" t="s">
        <v>23</v>
      </c>
      <c r="M5468" t="s">
        <v>13517</v>
      </c>
      <c r="N5468" t="s">
        <v>2749</v>
      </c>
      <c r="O5468" t="s">
        <v>191</v>
      </c>
      <c r="P5468">
        <v>4011</v>
      </c>
      <c r="Q5468">
        <v>2631</v>
      </c>
      <c r="R5468" t="s">
        <v>23</v>
      </c>
      <c r="S5468" s="1" t="s">
        <v>34218</v>
      </c>
    </row>
    <row r="5469" spans="1:19" x14ac:dyDescent="0.25">
      <c r="A5469">
        <v>100767576</v>
      </c>
      <c r="B5469" t="s">
        <v>3386</v>
      </c>
      <c r="C5469" t="s">
        <v>644</v>
      </c>
      <c r="F5469" t="str">
        <f>"5617414616"</f>
        <v>5617414616</v>
      </c>
      <c r="G5469" t="s">
        <v>13518</v>
      </c>
      <c r="H5469" t="s">
        <v>13519</v>
      </c>
      <c r="I5469" t="s">
        <v>52</v>
      </c>
      <c r="J5469">
        <v>33469</v>
      </c>
      <c r="K5469">
        <v>2067</v>
      </c>
      <c r="L5469" t="s">
        <v>23</v>
      </c>
      <c r="M5469" t="s">
        <v>13518</v>
      </c>
      <c r="N5469" t="s">
        <v>13519</v>
      </c>
      <c r="O5469" t="s">
        <v>52</v>
      </c>
      <c r="P5469">
        <v>33469</v>
      </c>
      <c r="Q5469">
        <v>2067</v>
      </c>
      <c r="R5469" t="s">
        <v>23</v>
      </c>
      <c r="S5469" s="1" t="s">
        <v>34218</v>
      </c>
    </row>
    <row r="5470" spans="1:19" x14ac:dyDescent="0.25">
      <c r="A5470">
        <v>100768844</v>
      </c>
      <c r="B5470" t="s">
        <v>13520</v>
      </c>
      <c r="C5470" t="s">
        <v>699</v>
      </c>
      <c r="G5470" t="s">
        <v>13521</v>
      </c>
      <c r="H5470" t="s">
        <v>13522</v>
      </c>
      <c r="I5470" t="s">
        <v>33</v>
      </c>
      <c r="J5470">
        <v>18705</v>
      </c>
      <c r="K5470">
        <v>1612</v>
      </c>
      <c r="L5470" t="s">
        <v>23</v>
      </c>
      <c r="M5470" t="s">
        <v>13521</v>
      </c>
      <c r="N5470" t="s">
        <v>13522</v>
      </c>
      <c r="O5470" t="s">
        <v>33</v>
      </c>
      <c r="P5470">
        <v>18705</v>
      </c>
      <c r="Q5470">
        <v>1612</v>
      </c>
      <c r="R5470" t="s">
        <v>23</v>
      </c>
      <c r="S5470" s="1" t="s">
        <v>34218</v>
      </c>
    </row>
    <row r="5471" spans="1:19" x14ac:dyDescent="0.25">
      <c r="A5471">
        <v>100771443</v>
      </c>
      <c r="B5471" t="s">
        <v>13523</v>
      </c>
      <c r="C5471" t="s">
        <v>403</v>
      </c>
      <c r="G5471" t="s">
        <v>13524</v>
      </c>
      <c r="H5471" t="s">
        <v>2313</v>
      </c>
      <c r="I5471" t="s">
        <v>639</v>
      </c>
      <c r="J5471">
        <v>87124</v>
      </c>
      <c r="L5471" t="s">
        <v>23</v>
      </c>
      <c r="M5471" t="s">
        <v>13524</v>
      </c>
      <c r="N5471" t="s">
        <v>2313</v>
      </c>
      <c r="O5471" t="s">
        <v>639</v>
      </c>
      <c r="P5471">
        <v>87124</v>
      </c>
      <c r="R5471" t="s">
        <v>23</v>
      </c>
      <c r="S5471" s="1" t="s">
        <v>34218</v>
      </c>
    </row>
    <row r="5472" spans="1:19" x14ac:dyDescent="0.25">
      <c r="A5472">
        <v>100964618</v>
      </c>
      <c r="B5472" t="s">
        <v>13060</v>
      </c>
      <c r="C5472" t="s">
        <v>403</v>
      </c>
      <c r="G5472" t="s">
        <v>13525</v>
      </c>
      <c r="H5472" t="s">
        <v>625</v>
      </c>
      <c r="I5472" t="s">
        <v>365</v>
      </c>
      <c r="J5472">
        <v>85202</v>
      </c>
      <c r="K5472">
        <v>7858</v>
      </c>
      <c r="L5472" t="s">
        <v>23</v>
      </c>
      <c r="M5472" t="s">
        <v>13525</v>
      </c>
      <c r="N5472" t="s">
        <v>625</v>
      </c>
      <c r="O5472" t="s">
        <v>365</v>
      </c>
      <c r="P5472">
        <v>85202</v>
      </c>
      <c r="Q5472">
        <v>7858</v>
      </c>
      <c r="R5472" t="s">
        <v>23</v>
      </c>
      <c r="S5472" s="1" t="s">
        <v>34218</v>
      </c>
    </row>
    <row r="5473" spans="1:19" x14ac:dyDescent="0.25">
      <c r="A5473">
        <v>100968728</v>
      </c>
      <c r="B5473" t="s">
        <v>13526</v>
      </c>
      <c r="C5473" t="s">
        <v>7237</v>
      </c>
      <c r="G5473" t="s">
        <v>13527</v>
      </c>
      <c r="H5473" t="s">
        <v>13528</v>
      </c>
      <c r="I5473" t="s">
        <v>241</v>
      </c>
      <c r="J5473">
        <v>67060</v>
      </c>
      <c r="K5473">
        <v>7737</v>
      </c>
      <c r="L5473" t="s">
        <v>23</v>
      </c>
      <c r="M5473" t="s">
        <v>13527</v>
      </c>
      <c r="N5473" t="s">
        <v>13528</v>
      </c>
      <c r="O5473" t="s">
        <v>241</v>
      </c>
      <c r="P5473">
        <v>67060</v>
      </c>
      <c r="Q5473">
        <v>7737</v>
      </c>
      <c r="R5473" t="s">
        <v>23</v>
      </c>
      <c r="S5473" s="1" t="s">
        <v>34218</v>
      </c>
    </row>
    <row r="5474" spans="1:19" x14ac:dyDescent="0.25">
      <c r="A5474">
        <v>100970519</v>
      </c>
      <c r="B5474" t="s">
        <v>13529</v>
      </c>
      <c r="C5474" t="s">
        <v>3993</v>
      </c>
      <c r="G5474" t="s">
        <v>13530</v>
      </c>
      <c r="H5474" t="s">
        <v>3768</v>
      </c>
      <c r="I5474" t="s">
        <v>22</v>
      </c>
      <c r="J5474">
        <v>94043</v>
      </c>
      <c r="K5474">
        <v>2892</v>
      </c>
      <c r="L5474" t="s">
        <v>23</v>
      </c>
      <c r="M5474" t="s">
        <v>13530</v>
      </c>
      <c r="N5474" t="s">
        <v>3768</v>
      </c>
      <c r="O5474" t="s">
        <v>22</v>
      </c>
      <c r="P5474">
        <v>94043</v>
      </c>
      <c r="Q5474">
        <v>2892</v>
      </c>
      <c r="R5474" t="s">
        <v>23</v>
      </c>
      <c r="S5474" s="1" t="s">
        <v>34218</v>
      </c>
    </row>
    <row r="5475" spans="1:19" x14ac:dyDescent="0.25">
      <c r="A5475">
        <v>100972796</v>
      </c>
      <c r="B5475" t="s">
        <v>13531</v>
      </c>
      <c r="C5475" t="s">
        <v>1212</v>
      </c>
      <c r="G5475" t="s">
        <v>13532</v>
      </c>
      <c r="H5475" t="s">
        <v>1315</v>
      </c>
      <c r="I5475" t="s">
        <v>161</v>
      </c>
      <c r="J5475">
        <v>6751</v>
      </c>
      <c r="K5475">
        <v>1913</v>
      </c>
      <c r="L5475" t="s">
        <v>23</v>
      </c>
      <c r="M5475" t="s">
        <v>13532</v>
      </c>
      <c r="N5475" t="s">
        <v>1315</v>
      </c>
      <c r="O5475" t="s">
        <v>161</v>
      </c>
      <c r="P5475">
        <v>6751</v>
      </c>
      <c r="Q5475">
        <v>1913</v>
      </c>
      <c r="R5475" t="s">
        <v>23</v>
      </c>
      <c r="S5475" s="1" t="s">
        <v>34218</v>
      </c>
    </row>
    <row r="5476" spans="1:19" x14ac:dyDescent="0.25">
      <c r="A5476">
        <v>100969120</v>
      </c>
      <c r="B5476" t="s">
        <v>10838</v>
      </c>
      <c r="C5476" t="s">
        <v>575</v>
      </c>
      <c r="D5476" t="s">
        <v>13533</v>
      </c>
      <c r="F5476" t="str">
        <f>"5592279488"</f>
        <v>5592279488</v>
      </c>
      <c r="G5476" t="s">
        <v>13534</v>
      </c>
      <c r="H5476" t="s">
        <v>207</v>
      </c>
      <c r="I5476" t="s">
        <v>22</v>
      </c>
      <c r="J5476">
        <v>93705</v>
      </c>
      <c r="K5476">
        <v>1036</v>
      </c>
      <c r="L5476" t="s">
        <v>23</v>
      </c>
      <c r="M5476" t="s">
        <v>13534</v>
      </c>
      <c r="N5476" t="s">
        <v>207</v>
      </c>
      <c r="O5476" t="s">
        <v>22</v>
      </c>
      <c r="P5476">
        <v>93705</v>
      </c>
      <c r="Q5476">
        <v>1036</v>
      </c>
      <c r="R5476" t="s">
        <v>23</v>
      </c>
      <c r="S5476" s="1" t="s">
        <v>34218</v>
      </c>
    </row>
    <row r="5477" spans="1:19" x14ac:dyDescent="0.25">
      <c r="A5477">
        <v>100978260</v>
      </c>
      <c r="B5477" t="s">
        <v>29</v>
      </c>
      <c r="C5477" t="s">
        <v>252</v>
      </c>
      <c r="G5477" t="s">
        <v>13535</v>
      </c>
      <c r="H5477" t="s">
        <v>13536</v>
      </c>
      <c r="I5477" t="s">
        <v>191</v>
      </c>
      <c r="J5477">
        <v>4364</v>
      </c>
      <c r="K5477">
        <v>3383</v>
      </c>
      <c r="L5477" t="s">
        <v>23</v>
      </c>
      <c r="M5477" t="s">
        <v>13535</v>
      </c>
      <c r="N5477" t="s">
        <v>13536</v>
      </c>
      <c r="O5477" t="s">
        <v>191</v>
      </c>
      <c r="P5477">
        <v>4364</v>
      </c>
      <c r="Q5477">
        <v>3383</v>
      </c>
      <c r="R5477" t="s">
        <v>23</v>
      </c>
      <c r="S5477" s="1" t="s">
        <v>34218</v>
      </c>
    </row>
    <row r="5478" spans="1:19" x14ac:dyDescent="0.25">
      <c r="A5478">
        <v>100973015</v>
      </c>
      <c r="B5478" t="s">
        <v>13537</v>
      </c>
      <c r="C5478" t="s">
        <v>1873</v>
      </c>
      <c r="G5478" t="s">
        <v>13538</v>
      </c>
      <c r="H5478" t="s">
        <v>10273</v>
      </c>
      <c r="I5478" t="s">
        <v>148</v>
      </c>
      <c r="J5478">
        <v>20854</v>
      </c>
      <c r="K5478">
        <v>4203</v>
      </c>
      <c r="L5478" t="s">
        <v>23</v>
      </c>
      <c r="M5478" t="s">
        <v>13538</v>
      </c>
      <c r="N5478" t="s">
        <v>10273</v>
      </c>
      <c r="O5478" t="s">
        <v>148</v>
      </c>
      <c r="P5478">
        <v>20854</v>
      </c>
      <c r="Q5478">
        <v>4203</v>
      </c>
      <c r="R5478" t="s">
        <v>23</v>
      </c>
      <c r="S5478" s="1" t="s">
        <v>34218</v>
      </c>
    </row>
    <row r="5479" spans="1:19" x14ac:dyDescent="0.25">
      <c r="A5479">
        <v>100977500</v>
      </c>
      <c r="B5479" t="s">
        <v>13539</v>
      </c>
      <c r="C5479" t="s">
        <v>5420</v>
      </c>
      <c r="G5479" t="s">
        <v>13540</v>
      </c>
      <c r="H5479" t="s">
        <v>3211</v>
      </c>
      <c r="I5479" t="s">
        <v>250</v>
      </c>
      <c r="J5479">
        <v>7960</v>
      </c>
      <c r="K5479">
        <v>4529</v>
      </c>
      <c r="L5479" t="s">
        <v>23</v>
      </c>
      <c r="M5479" t="s">
        <v>13540</v>
      </c>
      <c r="N5479" t="s">
        <v>3211</v>
      </c>
      <c r="O5479" t="s">
        <v>250</v>
      </c>
      <c r="P5479">
        <v>7960</v>
      </c>
      <c r="Q5479">
        <v>4529</v>
      </c>
      <c r="R5479" t="s">
        <v>23</v>
      </c>
      <c r="S5479" s="1" t="s">
        <v>34218</v>
      </c>
    </row>
    <row r="5480" spans="1:19" x14ac:dyDescent="0.25">
      <c r="A5480">
        <v>100978488</v>
      </c>
      <c r="B5480" t="s">
        <v>13541</v>
      </c>
      <c r="C5480" t="s">
        <v>4628</v>
      </c>
      <c r="F5480" t="str">
        <f>"4023358211"</f>
        <v>4023358211</v>
      </c>
      <c r="G5480" t="s">
        <v>13542</v>
      </c>
      <c r="H5480" t="s">
        <v>10129</v>
      </c>
      <c r="I5480" t="s">
        <v>370</v>
      </c>
      <c r="J5480">
        <v>68450</v>
      </c>
      <c r="K5480">
        <v>2229</v>
      </c>
      <c r="L5480" t="s">
        <v>23</v>
      </c>
      <c r="M5480" t="s">
        <v>13542</v>
      </c>
      <c r="N5480" t="s">
        <v>10129</v>
      </c>
      <c r="O5480" t="s">
        <v>370</v>
      </c>
      <c r="P5480">
        <v>68450</v>
      </c>
      <c r="Q5480">
        <v>2229</v>
      </c>
      <c r="R5480" t="s">
        <v>23</v>
      </c>
      <c r="S5480" s="1" t="s">
        <v>34218</v>
      </c>
    </row>
    <row r="5481" spans="1:19" x14ac:dyDescent="0.25">
      <c r="A5481">
        <v>100977646</v>
      </c>
      <c r="B5481" t="s">
        <v>13543</v>
      </c>
      <c r="C5481" t="s">
        <v>4299</v>
      </c>
      <c r="G5481" t="s">
        <v>13544</v>
      </c>
      <c r="H5481" t="s">
        <v>7449</v>
      </c>
      <c r="I5481" t="s">
        <v>135</v>
      </c>
      <c r="J5481">
        <v>60061</v>
      </c>
      <c r="K5481">
        <v>1724</v>
      </c>
      <c r="L5481" t="s">
        <v>23</v>
      </c>
      <c r="M5481" t="s">
        <v>13544</v>
      </c>
      <c r="N5481" t="s">
        <v>7449</v>
      </c>
      <c r="O5481" t="s">
        <v>135</v>
      </c>
      <c r="P5481">
        <v>60061</v>
      </c>
      <c r="Q5481">
        <v>1724</v>
      </c>
      <c r="R5481" t="s">
        <v>23</v>
      </c>
      <c r="S5481" s="1" t="s">
        <v>34218</v>
      </c>
    </row>
    <row r="5482" spans="1:19" x14ac:dyDescent="0.25">
      <c r="A5482">
        <v>101438429</v>
      </c>
      <c r="B5482" t="s">
        <v>13545</v>
      </c>
      <c r="C5482" t="s">
        <v>2127</v>
      </c>
      <c r="G5482" t="s">
        <v>13546</v>
      </c>
      <c r="H5482" t="s">
        <v>6224</v>
      </c>
      <c r="I5482" t="s">
        <v>914</v>
      </c>
      <c r="J5482">
        <v>37931</v>
      </c>
      <c r="K5482">
        <v>3145</v>
      </c>
      <c r="L5482" t="s">
        <v>23</v>
      </c>
      <c r="M5482" t="s">
        <v>13546</v>
      </c>
      <c r="N5482" t="s">
        <v>6224</v>
      </c>
      <c r="O5482" t="s">
        <v>914</v>
      </c>
      <c r="P5482">
        <v>37931</v>
      </c>
      <c r="Q5482">
        <v>3145</v>
      </c>
      <c r="R5482" t="s">
        <v>23</v>
      </c>
      <c r="S5482" s="1" t="s">
        <v>34218</v>
      </c>
    </row>
    <row r="5483" spans="1:19" x14ac:dyDescent="0.25">
      <c r="A5483">
        <v>101295979</v>
      </c>
      <c r="B5483" t="s">
        <v>13547</v>
      </c>
      <c r="C5483" t="s">
        <v>102</v>
      </c>
      <c r="G5483" t="s">
        <v>13548</v>
      </c>
      <c r="H5483" t="s">
        <v>13549</v>
      </c>
      <c r="I5483" t="s">
        <v>161</v>
      </c>
      <c r="J5483">
        <v>6250</v>
      </c>
      <c r="K5483">
        <v>443</v>
      </c>
      <c r="L5483" t="s">
        <v>23</v>
      </c>
      <c r="M5483" t="s">
        <v>13548</v>
      </c>
      <c r="N5483" t="s">
        <v>13549</v>
      </c>
      <c r="O5483" t="s">
        <v>161</v>
      </c>
      <c r="P5483">
        <v>6250</v>
      </c>
      <c r="Q5483">
        <v>443</v>
      </c>
      <c r="R5483" t="s">
        <v>23</v>
      </c>
      <c r="S5483" s="1" t="s">
        <v>34218</v>
      </c>
    </row>
    <row r="5484" spans="1:19" x14ac:dyDescent="0.25">
      <c r="A5484">
        <v>100657792</v>
      </c>
      <c r="B5484" t="s">
        <v>3505</v>
      </c>
      <c r="C5484" t="s">
        <v>329</v>
      </c>
      <c r="G5484" t="s">
        <v>13550</v>
      </c>
      <c r="H5484" t="s">
        <v>393</v>
      </c>
      <c r="I5484" t="s">
        <v>71</v>
      </c>
      <c r="J5484">
        <v>80231</v>
      </c>
      <c r="K5484">
        <v>4237</v>
      </c>
      <c r="L5484" t="s">
        <v>23</v>
      </c>
      <c r="M5484" t="s">
        <v>13550</v>
      </c>
      <c r="N5484" t="s">
        <v>393</v>
      </c>
      <c r="O5484" t="s">
        <v>71</v>
      </c>
      <c r="P5484">
        <v>80231</v>
      </c>
      <c r="Q5484">
        <v>4237</v>
      </c>
      <c r="R5484" t="s">
        <v>23</v>
      </c>
      <c r="S5484" s="1" t="s">
        <v>34218</v>
      </c>
    </row>
    <row r="5485" spans="1:19" x14ac:dyDescent="0.25">
      <c r="A5485">
        <v>100661025</v>
      </c>
      <c r="B5485" t="s">
        <v>13551</v>
      </c>
      <c r="C5485" t="s">
        <v>10746</v>
      </c>
      <c r="G5485" t="s">
        <v>13552</v>
      </c>
      <c r="H5485" t="s">
        <v>1531</v>
      </c>
      <c r="I5485" t="s">
        <v>84</v>
      </c>
      <c r="J5485">
        <v>98115</v>
      </c>
      <c r="K5485">
        <v>7310</v>
      </c>
      <c r="L5485" t="s">
        <v>23</v>
      </c>
      <c r="M5485" t="s">
        <v>13552</v>
      </c>
      <c r="N5485" t="s">
        <v>1531</v>
      </c>
      <c r="O5485" t="s">
        <v>84</v>
      </c>
      <c r="P5485">
        <v>98115</v>
      </c>
      <c r="Q5485">
        <v>7310</v>
      </c>
      <c r="R5485" t="s">
        <v>23</v>
      </c>
      <c r="S5485" s="1" t="s">
        <v>34218</v>
      </c>
    </row>
    <row r="5486" spans="1:19" x14ac:dyDescent="0.25">
      <c r="A5486">
        <v>100665070</v>
      </c>
      <c r="B5486" t="s">
        <v>13553</v>
      </c>
      <c r="C5486" t="s">
        <v>1558</v>
      </c>
      <c r="G5486" t="s">
        <v>13554</v>
      </c>
      <c r="H5486" t="s">
        <v>13555</v>
      </c>
      <c r="I5486" t="s">
        <v>57</v>
      </c>
      <c r="J5486">
        <v>47130</v>
      </c>
      <c r="K5486">
        <v>8816</v>
      </c>
      <c r="L5486" t="s">
        <v>23</v>
      </c>
      <c r="M5486" t="s">
        <v>13554</v>
      </c>
      <c r="N5486" t="s">
        <v>13555</v>
      </c>
      <c r="O5486" t="s">
        <v>57</v>
      </c>
      <c r="P5486">
        <v>47130</v>
      </c>
      <c r="Q5486">
        <v>8816</v>
      </c>
      <c r="R5486" t="s">
        <v>23</v>
      </c>
      <c r="S5486" s="1" t="s">
        <v>34218</v>
      </c>
    </row>
    <row r="5487" spans="1:19" x14ac:dyDescent="0.25">
      <c r="A5487">
        <v>100667880</v>
      </c>
      <c r="B5487" t="s">
        <v>13556</v>
      </c>
      <c r="C5487" t="s">
        <v>10678</v>
      </c>
      <c r="G5487" t="s">
        <v>13557</v>
      </c>
      <c r="H5487" t="s">
        <v>169</v>
      </c>
      <c r="I5487" t="s">
        <v>126</v>
      </c>
      <c r="J5487">
        <v>63090</v>
      </c>
      <c r="K5487">
        <v>2309</v>
      </c>
      <c r="L5487" t="s">
        <v>23</v>
      </c>
      <c r="M5487" t="s">
        <v>13557</v>
      </c>
      <c r="N5487" t="s">
        <v>169</v>
      </c>
      <c r="O5487" t="s">
        <v>126</v>
      </c>
      <c r="P5487">
        <v>63090</v>
      </c>
      <c r="Q5487">
        <v>2309</v>
      </c>
      <c r="R5487" t="s">
        <v>23</v>
      </c>
      <c r="S5487" s="1" t="s">
        <v>34218</v>
      </c>
    </row>
    <row r="5488" spans="1:19" x14ac:dyDescent="0.25">
      <c r="A5488">
        <v>100673832</v>
      </c>
      <c r="B5488" t="s">
        <v>9103</v>
      </c>
      <c r="C5488" t="s">
        <v>6917</v>
      </c>
      <c r="G5488" t="s">
        <v>13558</v>
      </c>
      <c r="H5488" t="s">
        <v>13559</v>
      </c>
      <c r="I5488" t="s">
        <v>236</v>
      </c>
      <c r="J5488">
        <v>1810</v>
      </c>
      <c r="K5488">
        <v>2545</v>
      </c>
      <c r="L5488" t="s">
        <v>23</v>
      </c>
      <c r="M5488" t="s">
        <v>13558</v>
      </c>
      <c r="N5488" t="s">
        <v>13559</v>
      </c>
      <c r="O5488" t="s">
        <v>236</v>
      </c>
      <c r="P5488">
        <v>1810</v>
      </c>
      <c r="Q5488">
        <v>2545</v>
      </c>
      <c r="R5488" t="s">
        <v>23</v>
      </c>
      <c r="S5488" s="1" t="s">
        <v>34218</v>
      </c>
    </row>
    <row r="5489" spans="1:19" x14ac:dyDescent="0.25">
      <c r="A5489">
        <v>100674884</v>
      </c>
      <c r="B5489" t="s">
        <v>1326</v>
      </c>
      <c r="C5489" t="s">
        <v>479</v>
      </c>
      <c r="G5489" t="s">
        <v>13560</v>
      </c>
      <c r="H5489" t="s">
        <v>573</v>
      </c>
      <c r="I5489" t="s">
        <v>33</v>
      </c>
      <c r="J5489">
        <v>19103</v>
      </c>
      <c r="K5489">
        <v>7103</v>
      </c>
      <c r="L5489" t="s">
        <v>23</v>
      </c>
      <c r="M5489" t="s">
        <v>13560</v>
      </c>
      <c r="N5489" t="s">
        <v>573</v>
      </c>
      <c r="O5489" t="s">
        <v>33</v>
      </c>
      <c r="P5489">
        <v>19103</v>
      </c>
      <c r="Q5489">
        <v>7103</v>
      </c>
      <c r="R5489" t="s">
        <v>23</v>
      </c>
      <c r="S5489" s="1" t="s">
        <v>34218</v>
      </c>
    </row>
    <row r="5490" spans="1:19" x14ac:dyDescent="0.25">
      <c r="A5490">
        <v>100679513</v>
      </c>
      <c r="B5490" t="s">
        <v>13561</v>
      </c>
      <c r="C5490" t="s">
        <v>3511</v>
      </c>
      <c r="G5490" t="s">
        <v>13562</v>
      </c>
      <c r="H5490" t="s">
        <v>2141</v>
      </c>
      <c r="I5490" t="s">
        <v>1000</v>
      </c>
      <c r="J5490">
        <v>59715</v>
      </c>
      <c r="L5490" t="s">
        <v>23</v>
      </c>
      <c r="M5490" t="s">
        <v>13562</v>
      </c>
      <c r="N5490" t="s">
        <v>2141</v>
      </c>
      <c r="O5490" t="s">
        <v>1000</v>
      </c>
      <c r="P5490">
        <v>59715</v>
      </c>
      <c r="R5490" t="s">
        <v>23</v>
      </c>
      <c r="S5490" s="1" t="s">
        <v>34218</v>
      </c>
    </row>
    <row r="5491" spans="1:19" x14ac:dyDescent="0.25">
      <c r="A5491">
        <v>100678602</v>
      </c>
      <c r="B5491" t="s">
        <v>13563</v>
      </c>
      <c r="C5491" t="s">
        <v>30</v>
      </c>
      <c r="G5491" t="s">
        <v>13564</v>
      </c>
      <c r="H5491" t="s">
        <v>4693</v>
      </c>
      <c r="I5491" t="s">
        <v>52</v>
      </c>
      <c r="J5491">
        <v>33446</v>
      </c>
      <c r="K5491">
        <v>3313</v>
      </c>
      <c r="L5491" t="s">
        <v>23</v>
      </c>
      <c r="M5491" t="s">
        <v>13564</v>
      </c>
      <c r="N5491" t="s">
        <v>4693</v>
      </c>
      <c r="O5491" t="s">
        <v>52</v>
      </c>
      <c r="P5491">
        <v>33446</v>
      </c>
      <c r="Q5491">
        <v>3313</v>
      </c>
      <c r="R5491" t="s">
        <v>23</v>
      </c>
      <c r="S5491" s="1" t="s">
        <v>34218</v>
      </c>
    </row>
    <row r="5492" spans="1:19" x14ac:dyDescent="0.25">
      <c r="A5492">
        <v>100678837</v>
      </c>
      <c r="B5492" t="s">
        <v>880</v>
      </c>
      <c r="C5492" t="s">
        <v>90</v>
      </c>
      <c r="G5492" t="s">
        <v>13565</v>
      </c>
      <c r="H5492" t="s">
        <v>13566</v>
      </c>
      <c r="I5492" t="s">
        <v>117</v>
      </c>
      <c r="J5492">
        <v>11754</v>
      </c>
      <c r="K5492">
        <v>3941</v>
      </c>
      <c r="L5492" t="s">
        <v>23</v>
      </c>
      <c r="M5492" t="s">
        <v>13565</v>
      </c>
      <c r="N5492" t="s">
        <v>13566</v>
      </c>
      <c r="O5492" t="s">
        <v>117</v>
      </c>
      <c r="P5492">
        <v>11754</v>
      </c>
      <c r="Q5492">
        <v>3941</v>
      </c>
      <c r="R5492" t="s">
        <v>23</v>
      </c>
      <c r="S5492" s="1" t="s">
        <v>34218</v>
      </c>
    </row>
    <row r="5493" spans="1:19" x14ac:dyDescent="0.25">
      <c r="A5493">
        <v>100678812</v>
      </c>
      <c r="B5493" t="s">
        <v>13567</v>
      </c>
      <c r="C5493" t="s">
        <v>959</v>
      </c>
      <c r="G5493" t="s">
        <v>13568</v>
      </c>
      <c r="H5493" t="s">
        <v>13559</v>
      </c>
      <c r="I5493" t="s">
        <v>236</v>
      </c>
      <c r="J5493">
        <v>1810</v>
      </c>
      <c r="K5493">
        <v>3008</v>
      </c>
      <c r="L5493" t="s">
        <v>23</v>
      </c>
      <c r="M5493" t="s">
        <v>13568</v>
      </c>
      <c r="N5493" t="s">
        <v>13559</v>
      </c>
      <c r="O5493" t="s">
        <v>236</v>
      </c>
      <c r="P5493">
        <v>1810</v>
      </c>
      <c r="Q5493">
        <v>3008</v>
      </c>
      <c r="R5493" t="s">
        <v>23</v>
      </c>
      <c r="S5493" s="1" t="s">
        <v>34218</v>
      </c>
    </row>
    <row r="5494" spans="1:19" x14ac:dyDescent="0.25">
      <c r="A5494">
        <v>100680729</v>
      </c>
      <c r="B5494" t="s">
        <v>13569</v>
      </c>
      <c r="C5494" t="s">
        <v>2411</v>
      </c>
      <c r="G5494" t="s">
        <v>13570</v>
      </c>
      <c r="H5494" t="s">
        <v>13571</v>
      </c>
      <c r="I5494" t="s">
        <v>565</v>
      </c>
      <c r="J5494">
        <v>50616</v>
      </c>
      <c r="K5494">
        <v>2404</v>
      </c>
      <c r="L5494" t="s">
        <v>23</v>
      </c>
      <c r="M5494" t="s">
        <v>13570</v>
      </c>
      <c r="N5494" t="s">
        <v>13571</v>
      </c>
      <c r="O5494" t="s">
        <v>565</v>
      </c>
      <c r="P5494">
        <v>50616</v>
      </c>
      <c r="Q5494">
        <v>2404</v>
      </c>
      <c r="R5494" t="s">
        <v>23</v>
      </c>
      <c r="S5494" s="1" t="s">
        <v>34218</v>
      </c>
    </row>
    <row r="5495" spans="1:19" x14ac:dyDescent="0.25">
      <c r="A5495">
        <v>100866064</v>
      </c>
      <c r="B5495" t="s">
        <v>13572</v>
      </c>
      <c r="C5495" t="s">
        <v>123</v>
      </c>
      <c r="F5495" t="str">
        <f>"4125957934"</f>
        <v>4125957934</v>
      </c>
      <c r="G5495" t="s">
        <v>13573</v>
      </c>
      <c r="H5495" t="s">
        <v>13574</v>
      </c>
      <c r="I5495" t="s">
        <v>33</v>
      </c>
      <c r="J5495">
        <v>15102</v>
      </c>
      <c r="K5495">
        <v>3376</v>
      </c>
      <c r="L5495" t="s">
        <v>23</v>
      </c>
      <c r="M5495" t="s">
        <v>13573</v>
      </c>
      <c r="N5495" t="s">
        <v>13574</v>
      </c>
      <c r="O5495" t="s">
        <v>33</v>
      </c>
      <c r="P5495">
        <v>15102</v>
      </c>
      <c r="Q5495">
        <v>3376</v>
      </c>
      <c r="R5495" t="s">
        <v>23</v>
      </c>
      <c r="S5495" s="1" t="s">
        <v>34218</v>
      </c>
    </row>
    <row r="5496" spans="1:19" x14ac:dyDescent="0.25">
      <c r="A5496">
        <v>100859246</v>
      </c>
      <c r="B5496" t="s">
        <v>3109</v>
      </c>
      <c r="C5496" t="s">
        <v>90</v>
      </c>
      <c r="F5496" t="str">
        <f>"6308011055"</f>
        <v>6308011055</v>
      </c>
      <c r="G5496" t="s">
        <v>13575</v>
      </c>
      <c r="H5496" t="s">
        <v>13576</v>
      </c>
      <c r="I5496" t="s">
        <v>135</v>
      </c>
      <c r="J5496">
        <v>60542</v>
      </c>
      <c r="K5496">
        <v>1709</v>
      </c>
      <c r="L5496" t="s">
        <v>23</v>
      </c>
      <c r="M5496" t="s">
        <v>13575</v>
      </c>
      <c r="N5496" t="s">
        <v>13576</v>
      </c>
      <c r="O5496" t="s">
        <v>135</v>
      </c>
      <c r="P5496">
        <v>60542</v>
      </c>
      <c r="Q5496">
        <v>1709</v>
      </c>
      <c r="R5496" t="s">
        <v>23</v>
      </c>
      <c r="S5496" s="1" t="s">
        <v>34218</v>
      </c>
    </row>
    <row r="5497" spans="1:19" x14ac:dyDescent="0.25">
      <c r="A5497">
        <v>100868581</v>
      </c>
      <c r="B5497" t="s">
        <v>13577</v>
      </c>
      <c r="C5497" t="s">
        <v>13578</v>
      </c>
      <c r="G5497" t="s">
        <v>13579</v>
      </c>
      <c r="H5497" t="s">
        <v>13580</v>
      </c>
      <c r="I5497" t="s">
        <v>117</v>
      </c>
      <c r="J5497">
        <v>11770</v>
      </c>
      <c r="K5497">
        <v>783</v>
      </c>
      <c r="L5497" t="s">
        <v>23</v>
      </c>
      <c r="M5497" t="s">
        <v>13579</v>
      </c>
      <c r="N5497" t="s">
        <v>13580</v>
      </c>
      <c r="O5497" t="s">
        <v>117</v>
      </c>
      <c r="P5497">
        <v>11770</v>
      </c>
      <c r="Q5497">
        <v>783</v>
      </c>
      <c r="R5497" t="s">
        <v>23</v>
      </c>
      <c r="S5497" s="1" t="s">
        <v>34218</v>
      </c>
    </row>
    <row r="5498" spans="1:19" x14ac:dyDescent="0.25">
      <c r="A5498">
        <v>100868754</v>
      </c>
      <c r="B5498" t="s">
        <v>13581</v>
      </c>
      <c r="C5498" t="s">
        <v>2603</v>
      </c>
      <c r="F5498" t="str">
        <f>"7146556430"</f>
        <v>7146556430</v>
      </c>
      <c r="G5498" t="s">
        <v>13582</v>
      </c>
      <c r="H5498" t="s">
        <v>8220</v>
      </c>
      <c r="I5498" t="s">
        <v>22</v>
      </c>
      <c r="J5498">
        <v>92805</v>
      </c>
      <c r="K5498">
        <v>4463</v>
      </c>
      <c r="L5498" t="s">
        <v>23</v>
      </c>
      <c r="M5498" t="s">
        <v>13582</v>
      </c>
      <c r="N5498" t="s">
        <v>8220</v>
      </c>
      <c r="O5498" t="s">
        <v>22</v>
      </c>
      <c r="P5498">
        <v>92805</v>
      </c>
      <c r="Q5498">
        <v>4463</v>
      </c>
      <c r="R5498" t="s">
        <v>23</v>
      </c>
      <c r="S5498" s="1" t="s">
        <v>34218</v>
      </c>
    </row>
    <row r="5499" spans="1:19" x14ac:dyDescent="0.25">
      <c r="A5499">
        <v>100876624</v>
      </c>
      <c r="B5499" t="s">
        <v>13583</v>
      </c>
      <c r="C5499" t="s">
        <v>286</v>
      </c>
      <c r="G5499" t="s">
        <v>13584</v>
      </c>
      <c r="H5499" t="s">
        <v>2809</v>
      </c>
      <c r="I5499" t="s">
        <v>135</v>
      </c>
      <c r="J5499">
        <v>60302</v>
      </c>
      <c r="K5499">
        <v>3095</v>
      </c>
      <c r="L5499" t="s">
        <v>23</v>
      </c>
      <c r="M5499" t="s">
        <v>13584</v>
      </c>
      <c r="N5499" t="s">
        <v>2809</v>
      </c>
      <c r="O5499" t="s">
        <v>135</v>
      </c>
      <c r="P5499">
        <v>60302</v>
      </c>
      <c r="Q5499">
        <v>3095</v>
      </c>
      <c r="R5499" t="s">
        <v>23</v>
      </c>
      <c r="S5499" s="1" t="s">
        <v>34218</v>
      </c>
    </row>
    <row r="5500" spans="1:19" x14ac:dyDescent="0.25">
      <c r="A5500">
        <v>100876680</v>
      </c>
      <c r="B5500" t="s">
        <v>13585</v>
      </c>
      <c r="C5500" t="s">
        <v>748</v>
      </c>
      <c r="G5500" t="s">
        <v>13586</v>
      </c>
      <c r="H5500" t="s">
        <v>7002</v>
      </c>
      <c r="I5500" t="s">
        <v>236</v>
      </c>
      <c r="J5500">
        <v>1050</v>
      </c>
      <c r="K5500">
        <v>9799</v>
      </c>
      <c r="L5500" t="s">
        <v>23</v>
      </c>
      <c r="M5500" t="s">
        <v>13586</v>
      </c>
      <c r="N5500" t="s">
        <v>7002</v>
      </c>
      <c r="O5500" t="s">
        <v>236</v>
      </c>
      <c r="P5500">
        <v>1050</v>
      </c>
      <c r="Q5500">
        <v>9799</v>
      </c>
      <c r="R5500" t="s">
        <v>23</v>
      </c>
      <c r="S5500" s="1" t="s">
        <v>34218</v>
      </c>
    </row>
    <row r="5501" spans="1:19" x14ac:dyDescent="0.25">
      <c r="A5501">
        <v>100734086</v>
      </c>
      <c r="B5501" t="s">
        <v>1650</v>
      </c>
      <c r="C5501" t="s">
        <v>466</v>
      </c>
      <c r="G5501" t="s">
        <v>13587</v>
      </c>
      <c r="H5501" t="s">
        <v>13588</v>
      </c>
      <c r="I5501" t="s">
        <v>1097</v>
      </c>
      <c r="J5501">
        <v>40059</v>
      </c>
      <c r="K5501">
        <v>8140</v>
      </c>
      <c r="L5501" t="s">
        <v>23</v>
      </c>
      <c r="M5501" t="s">
        <v>13587</v>
      </c>
      <c r="N5501" t="s">
        <v>13588</v>
      </c>
      <c r="O5501" t="s">
        <v>1097</v>
      </c>
      <c r="P5501">
        <v>40059</v>
      </c>
      <c r="Q5501">
        <v>8140</v>
      </c>
      <c r="R5501" t="s">
        <v>23</v>
      </c>
      <c r="S5501" s="1" t="s">
        <v>34218</v>
      </c>
    </row>
    <row r="5502" spans="1:19" x14ac:dyDescent="0.25">
      <c r="A5502">
        <v>100919253</v>
      </c>
      <c r="B5502" t="s">
        <v>13589</v>
      </c>
      <c r="C5502" t="s">
        <v>1873</v>
      </c>
      <c r="G5502" t="s">
        <v>13590</v>
      </c>
      <c r="H5502" t="s">
        <v>9436</v>
      </c>
      <c r="I5502" t="s">
        <v>914</v>
      </c>
      <c r="J5502">
        <v>37356</v>
      </c>
      <c r="K5502">
        <v>2012</v>
      </c>
      <c r="L5502" t="s">
        <v>23</v>
      </c>
      <c r="M5502" t="s">
        <v>13590</v>
      </c>
      <c r="N5502" t="s">
        <v>9436</v>
      </c>
      <c r="O5502" t="s">
        <v>914</v>
      </c>
      <c r="P5502">
        <v>37356</v>
      </c>
      <c r="Q5502">
        <v>2012</v>
      </c>
      <c r="R5502" t="s">
        <v>23</v>
      </c>
      <c r="S5502" s="1" t="s">
        <v>34218</v>
      </c>
    </row>
    <row r="5503" spans="1:19" x14ac:dyDescent="0.25">
      <c r="A5503">
        <v>100919376</v>
      </c>
      <c r="B5503" t="s">
        <v>13591</v>
      </c>
      <c r="C5503" t="s">
        <v>49</v>
      </c>
      <c r="G5503" t="s">
        <v>13592</v>
      </c>
      <c r="H5503" t="s">
        <v>6224</v>
      </c>
      <c r="I5503" t="s">
        <v>914</v>
      </c>
      <c r="J5503">
        <v>37917</v>
      </c>
      <c r="K5503">
        <v>3437</v>
      </c>
      <c r="L5503" t="s">
        <v>23</v>
      </c>
      <c r="M5503" t="s">
        <v>13592</v>
      </c>
      <c r="N5503" t="s">
        <v>6224</v>
      </c>
      <c r="O5503" t="s">
        <v>914</v>
      </c>
      <c r="P5503">
        <v>37917</v>
      </c>
      <c r="Q5503">
        <v>3437</v>
      </c>
      <c r="R5503" t="s">
        <v>23</v>
      </c>
      <c r="S5503" s="1" t="s">
        <v>34218</v>
      </c>
    </row>
    <row r="5504" spans="1:19" x14ac:dyDescent="0.25">
      <c r="A5504">
        <v>100918515</v>
      </c>
      <c r="B5504" t="s">
        <v>13593</v>
      </c>
      <c r="C5504" t="s">
        <v>13594</v>
      </c>
      <c r="G5504" t="s">
        <v>13595</v>
      </c>
      <c r="H5504" t="s">
        <v>13596</v>
      </c>
      <c r="I5504" t="s">
        <v>28</v>
      </c>
      <c r="J5504">
        <v>30152</v>
      </c>
      <c r="K5504">
        <v>3397</v>
      </c>
      <c r="L5504" t="s">
        <v>23</v>
      </c>
      <c r="M5504" t="s">
        <v>13595</v>
      </c>
      <c r="N5504" t="s">
        <v>13596</v>
      </c>
      <c r="O5504" t="s">
        <v>28</v>
      </c>
      <c r="P5504">
        <v>30152</v>
      </c>
      <c r="Q5504">
        <v>3397</v>
      </c>
      <c r="R5504" t="s">
        <v>23</v>
      </c>
      <c r="S5504" s="1" t="s">
        <v>34218</v>
      </c>
    </row>
    <row r="5505" spans="1:19" x14ac:dyDescent="0.25">
      <c r="A5505">
        <v>100918510</v>
      </c>
      <c r="B5505" t="s">
        <v>13597</v>
      </c>
      <c r="C5505" t="s">
        <v>1327</v>
      </c>
      <c r="G5505" t="s">
        <v>13598</v>
      </c>
      <c r="H5505" t="s">
        <v>70</v>
      </c>
      <c r="I5505" t="s">
        <v>71</v>
      </c>
      <c r="J5505">
        <v>80002</v>
      </c>
      <c r="K5505">
        <v>3548</v>
      </c>
      <c r="L5505" t="s">
        <v>23</v>
      </c>
      <c r="M5505" t="s">
        <v>13598</v>
      </c>
      <c r="N5505" t="s">
        <v>70</v>
      </c>
      <c r="O5505" t="s">
        <v>71</v>
      </c>
      <c r="P5505">
        <v>80002</v>
      </c>
      <c r="Q5505">
        <v>3548</v>
      </c>
      <c r="R5505" t="s">
        <v>23</v>
      </c>
      <c r="S5505" s="1" t="s">
        <v>34218</v>
      </c>
    </row>
    <row r="5506" spans="1:19" x14ac:dyDescent="0.25">
      <c r="A5506">
        <v>100923553</v>
      </c>
      <c r="B5506" t="s">
        <v>1274</v>
      </c>
      <c r="C5506" t="s">
        <v>535</v>
      </c>
      <c r="G5506" t="s">
        <v>13599</v>
      </c>
      <c r="H5506" t="s">
        <v>12372</v>
      </c>
      <c r="I5506" t="s">
        <v>348</v>
      </c>
      <c r="J5506">
        <v>83646</v>
      </c>
      <c r="K5506">
        <v>7530</v>
      </c>
      <c r="L5506" t="s">
        <v>23</v>
      </c>
      <c r="M5506" t="s">
        <v>13599</v>
      </c>
      <c r="N5506" t="s">
        <v>12372</v>
      </c>
      <c r="O5506" t="s">
        <v>348</v>
      </c>
      <c r="P5506">
        <v>83646</v>
      </c>
      <c r="Q5506">
        <v>7530</v>
      </c>
      <c r="R5506" t="s">
        <v>23</v>
      </c>
      <c r="S5506" s="1" t="s">
        <v>34218</v>
      </c>
    </row>
    <row r="5507" spans="1:19" x14ac:dyDescent="0.25">
      <c r="A5507">
        <v>100925102</v>
      </c>
      <c r="B5507" t="s">
        <v>8574</v>
      </c>
      <c r="C5507" t="s">
        <v>5183</v>
      </c>
      <c r="G5507" t="s">
        <v>13600</v>
      </c>
      <c r="H5507" t="s">
        <v>13601</v>
      </c>
      <c r="I5507" t="s">
        <v>140</v>
      </c>
      <c r="J5507">
        <v>48152</v>
      </c>
      <c r="K5507">
        <v>1526</v>
      </c>
      <c r="L5507" t="s">
        <v>23</v>
      </c>
      <c r="M5507" t="s">
        <v>13600</v>
      </c>
      <c r="N5507" t="s">
        <v>13601</v>
      </c>
      <c r="O5507" t="s">
        <v>140</v>
      </c>
      <c r="P5507">
        <v>48152</v>
      </c>
      <c r="Q5507">
        <v>1526</v>
      </c>
      <c r="R5507" t="s">
        <v>23</v>
      </c>
      <c r="S5507" s="1" t="s">
        <v>34218</v>
      </c>
    </row>
    <row r="5508" spans="1:19" x14ac:dyDescent="0.25">
      <c r="A5508">
        <v>100921084</v>
      </c>
      <c r="B5508" t="s">
        <v>13602</v>
      </c>
      <c r="C5508" t="s">
        <v>13603</v>
      </c>
      <c r="G5508" t="s">
        <v>13604</v>
      </c>
      <c r="H5508" t="s">
        <v>1105</v>
      </c>
      <c r="I5508" t="s">
        <v>117</v>
      </c>
      <c r="J5508">
        <v>10456</v>
      </c>
      <c r="K5508">
        <v>5931</v>
      </c>
      <c r="L5508" t="s">
        <v>23</v>
      </c>
      <c r="M5508" t="s">
        <v>13604</v>
      </c>
      <c r="N5508" t="s">
        <v>1105</v>
      </c>
      <c r="O5508" t="s">
        <v>117</v>
      </c>
      <c r="P5508">
        <v>10456</v>
      </c>
      <c r="Q5508">
        <v>5931</v>
      </c>
      <c r="R5508" t="s">
        <v>23</v>
      </c>
      <c r="S5508" s="1" t="s">
        <v>34218</v>
      </c>
    </row>
    <row r="5509" spans="1:19" x14ac:dyDescent="0.25">
      <c r="A5509">
        <v>100927218</v>
      </c>
      <c r="B5509" t="s">
        <v>654</v>
      </c>
      <c r="C5509" t="s">
        <v>1638</v>
      </c>
      <c r="G5509" t="s">
        <v>13605</v>
      </c>
      <c r="H5509" t="s">
        <v>560</v>
      </c>
      <c r="I5509" t="s">
        <v>148</v>
      </c>
      <c r="J5509">
        <v>20853</v>
      </c>
      <c r="K5509">
        <v>1467</v>
      </c>
      <c r="L5509" t="s">
        <v>23</v>
      </c>
      <c r="M5509" t="s">
        <v>13605</v>
      </c>
      <c r="N5509" t="s">
        <v>560</v>
      </c>
      <c r="O5509" t="s">
        <v>148</v>
      </c>
      <c r="P5509">
        <v>20853</v>
      </c>
      <c r="Q5509">
        <v>1467</v>
      </c>
      <c r="R5509" t="s">
        <v>23</v>
      </c>
      <c r="S5509" s="1" t="s">
        <v>34218</v>
      </c>
    </row>
    <row r="5510" spans="1:19" x14ac:dyDescent="0.25">
      <c r="A5510">
        <v>100924715</v>
      </c>
      <c r="B5510" t="s">
        <v>1807</v>
      </c>
      <c r="C5510" t="s">
        <v>286</v>
      </c>
      <c r="G5510" t="s">
        <v>13606</v>
      </c>
      <c r="H5510" t="s">
        <v>292</v>
      </c>
      <c r="I5510" t="s">
        <v>22</v>
      </c>
      <c r="J5510">
        <v>95630</v>
      </c>
      <c r="K5510">
        <v>2035</v>
      </c>
      <c r="L5510" t="s">
        <v>23</v>
      </c>
      <c r="M5510" t="s">
        <v>13606</v>
      </c>
      <c r="N5510" t="s">
        <v>292</v>
      </c>
      <c r="O5510" t="s">
        <v>22</v>
      </c>
      <c r="P5510">
        <v>95630</v>
      </c>
      <c r="Q5510">
        <v>2035</v>
      </c>
      <c r="R5510" t="s">
        <v>23</v>
      </c>
      <c r="S5510" s="1" t="s">
        <v>34218</v>
      </c>
    </row>
    <row r="5511" spans="1:19" x14ac:dyDescent="0.25">
      <c r="A5511">
        <v>100932687</v>
      </c>
      <c r="B5511" t="s">
        <v>13607</v>
      </c>
      <c r="C5511" t="s">
        <v>1374</v>
      </c>
      <c r="G5511" t="s">
        <v>13608</v>
      </c>
      <c r="H5511" t="s">
        <v>13609</v>
      </c>
      <c r="I5511" t="s">
        <v>140</v>
      </c>
      <c r="J5511">
        <v>49102</v>
      </c>
      <c r="K5511">
        <v>9737</v>
      </c>
      <c r="L5511" t="s">
        <v>23</v>
      </c>
      <c r="M5511" t="s">
        <v>13608</v>
      </c>
      <c r="N5511" t="s">
        <v>13609</v>
      </c>
      <c r="O5511" t="s">
        <v>140</v>
      </c>
      <c r="P5511">
        <v>49102</v>
      </c>
      <c r="Q5511">
        <v>9737</v>
      </c>
      <c r="R5511" t="s">
        <v>23</v>
      </c>
      <c r="S5511" s="1" t="s">
        <v>34218</v>
      </c>
    </row>
    <row r="5512" spans="1:19" x14ac:dyDescent="0.25">
      <c r="A5512">
        <v>100930680</v>
      </c>
      <c r="B5512" t="s">
        <v>13610</v>
      </c>
      <c r="C5512" t="s">
        <v>1376</v>
      </c>
      <c r="G5512" t="s">
        <v>13611</v>
      </c>
      <c r="H5512" t="s">
        <v>13612</v>
      </c>
      <c r="I5512" t="s">
        <v>191</v>
      </c>
      <c r="J5512">
        <v>4553</v>
      </c>
      <c r="K5512">
        <v>3613</v>
      </c>
      <c r="L5512" t="s">
        <v>23</v>
      </c>
      <c r="M5512" t="s">
        <v>13611</v>
      </c>
      <c r="N5512" t="s">
        <v>13612</v>
      </c>
      <c r="O5512" t="s">
        <v>191</v>
      </c>
      <c r="P5512">
        <v>4553</v>
      </c>
      <c r="Q5512">
        <v>3613</v>
      </c>
      <c r="R5512" t="s">
        <v>23</v>
      </c>
      <c r="S5512" s="1" t="s">
        <v>34218</v>
      </c>
    </row>
    <row r="5513" spans="1:19" x14ac:dyDescent="0.25">
      <c r="A5513">
        <v>100938323</v>
      </c>
      <c r="B5513" t="s">
        <v>7177</v>
      </c>
      <c r="C5513" t="s">
        <v>1043</v>
      </c>
      <c r="G5513" t="s">
        <v>13613</v>
      </c>
      <c r="H5513" t="s">
        <v>37</v>
      </c>
      <c r="I5513" t="s">
        <v>38</v>
      </c>
      <c r="J5513">
        <v>78750</v>
      </c>
      <c r="K5513">
        <v>2763</v>
      </c>
      <c r="L5513" t="s">
        <v>23</v>
      </c>
      <c r="M5513" t="s">
        <v>13613</v>
      </c>
      <c r="N5513" t="s">
        <v>37</v>
      </c>
      <c r="O5513" t="s">
        <v>38</v>
      </c>
      <c r="P5513">
        <v>78750</v>
      </c>
      <c r="Q5513">
        <v>2763</v>
      </c>
      <c r="R5513" t="s">
        <v>23</v>
      </c>
      <c r="S5513" s="1" t="s">
        <v>34218</v>
      </c>
    </row>
    <row r="5514" spans="1:19" x14ac:dyDescent="0.25">
      <c r="A5514">
        <v>101473412</v>
      </c>
      <c r="B5514" t="s">
        <v>5601</v>
      </c>
      <c r="C5514" t="s">
        <v>13614</v>
      </c>
      <c r="G5514" t="s">
        <v>13615</v>
      </c>
      <c r="H5514" t="s">
        <v>13616</v>
      </c>
      <c r="I5514" t="s">
        <v>1097</v>
      </c>
      <c r="J5514">
        <v>41076</v>
      </c>
      <c r="K5514">
        <v>3721</v>
      </c>
      <c r="L5514" t="s">
        <v>23</v>
      </c>
      <c r="M5514" t="s">
        <v>13615</v>
      </c>
      <c r="N5514" t="s">
        <v>13616</v>
      </c>
      <c r="O5514" t="s">
        <v>1097</v>
      </c>
      <c r="P5514">
        <v>41076</v>
      </c>
      <c r="Q5514">
        <v>3721</v>
      </c>
      <c r="R5514" t="s">
        <v>23</v>
      </c>
      <c r="S5514" s="1" t="s">
        <v>34218</v>
      </c>
    </row>
    <row r="5515" spans="1:19" x14ac:dyDescent="0.25">
      <c r="A5515">
        <v>100536112</v>
      </c>
      <c r="B5515" t="s">
        <v>980</v>
      </c>
      <c r="C5515" t="s">
        <v>123</v>
      </c>
      <c r="G5515" t="s">
        <v>13617</v>
      </c>
      <c r="H5515" t="s">
        <v>13618</v>
      </c>
      <c r="I5515" t="s">
        <v>135</v>
      </c>
      <c r="J5515">
        <v>60462</v>
      </c>
      <c r="K5515">
        <v>9215</v>
      </c>
      <c r="L5515" t="s">
        <v>23</v>
      </c>
      <c r="M5515" t="s">
        <v>13617</v>
      </c>
      <c r="N5515" t="s">
        <v>13618</v>
      </c>
      <c r="O5515" t="s">
        <v>135</v>
      </c>
      <c r="P5515">
        <v>60462</v>
      </c>
      <c r="Q5515">
        <v>9215</v>
      </c>
      <c r="R5515" t="s">
        <v>23</v>
      </c>
      <c r="S5515" s="1" t="s">
        <v>34218</v>
      </c>
    </row>
    <row r="5516" spans="1:19" x14ac:dyDescent="0.25">
      <c r="A5516">
        <v>101474288</v>
      </c>
      <c r="B5516" t="s">
        <v>7244</v>
      </c>
      <c r="C5516" t="s">
        <v>367</v>
      </c>
      <c r="G5516" t="s">
        <v>13619</v>
      </c>
      <c r="H5516" t="s">
        <v>13620</v>
      </c>
      <c r="I5516" t="s">
        <v>22</v>
      </c>
      <c r="J5516">
        <v>96064</v>
      </c>
      <c r="K5516">
        <v>9778</v>
      </c>
      <c r="L5516" t="s">
        <v>23</v>
      </c>
      <c r="M5516" t="s">
        <v>13619</v>
      </c>
      <c r="N5516" t="s">
        <v>13620</v>
      </c>
      <c r="O5516" t="s">
        <v>22</v>
      </c>
      <c r="P5516">
        <v>96064</v>
      </c>
      <c r="Q5516">
        <v>9778</v>
      </c>
      <c r="R5516" t="s">
        <v>23</v>
      </c>
      <c r="S5516" s="1" t="s">
        <v>34218</v>
      </c>
    </row>
    <row r="5517" spans="1:19" x14ac:dyDescent="0.25">
      <c r="A5517">
        <v>101480617</v>
      </c>
      <c r="B5517" t="s">
        <v>13621</v>
      </c>
      <c r="C5517" t="s">
        <v>1398</v>
      </c>
      <c r="G5517" t="s">
        <v>7845</v>
      </c>
      <c r="H5517" t="s">
        <v>13622</v>
      </c>
      <c r="I5517" t="s">
        <v>148</v>
      </c>
      <c r="J5517">
        <v>20607</v>
      </c>
      <c r="L5517" t="s">
        <v>23</v>
      </c>
      <c r="M5517" t="s">
        <v>7845</v>
      </c>
      <c r="N5517" t="s">
        <v>13622</v>
      </c>
      <c r="O5517" t="s">
        <v>148</v>
      </c>
      <c r="P5517">
        <v>20607</v>
      </c>
      <c r="R5517" t="s">
        <v>23</v>
      </c>
      <c r="S5517" s="1" t="s">
        <v>34218</v>
      </c>
    </row>
    <row r="5518" spans="1:19" x14ac:dyDescent="0.25">
      <c r="A5518">
        <v>101422241</v>
      </c>
      <c r="B5518" t="s">
        <v>4949</v>
      </c>
      <c r="C5518" t="s">
        <v>1859</v>
      </c>
      <c r="G5518" t="s">
        <v>13623</v>
      </c>
      <c r="H5518" t="s">
        <v>11980</v>
      </c>
      <c r="I5518" t="s">
        <v>43</v>
      </c>
      <c r="J5518">
        <v>97540</v>
      </c>
      <c r="L5518" t="s">
        <v>23</v>
      </c>
      <c r="M5518" t="s">
        <v>13623</v>
      </c>
      <c r="N5518" t="s">
        <v>11980</v>
      </c>
      <c r="O5518" t="s">
        <v>43</v>
      </c>
      <c r="P5518">
        <v>97540</v>
      </c>
      <c r="R5518" t="s">
        <v>23</v>
      </c>
      <c r="S5518" s="1" t="s">
        <v>34218</v>
      </c>
    </row>
    <row r="5519" spans="1:19" x14ac:dyDescent="0.25">
      <c r="A5519">
        <v>100537667</v>
      </c>
      <c r="B5519" t="s">
        <v>1870</v>
      </c>
      <c r="C5519" t="s">
        <v>2786</v>
      </c>
      <c r="G5519" t="s">
        <v>13624</v>
      </c>
      <c r="H5519" t="s">
        <v>8206</v>
      </c>
      <c r="I5519" t="s">
        <v>161</v>
      </c>
      <c r="J5519">
        <v>6460</v>
      </c>
      <c r="K5519">
        <v>7267</v>
      </c>
      <c r="L5519" t="s">
        <v>23</v>
      </c>
      <c r="M5519" t="s">
        <v>13624</v>
      </c>
      <c r="N5519" t="s">
        <v>8206</v>
      </c>
      <c r="O5519" t="s">
        <v>161</v>
      </c>
      <c r="P5519">
        <v>6460</v>
      </c>
      <c r="Q5519">
        <v>7267</v>
      </c>
      <c r="R5519" t="s">
        <v>23</v>
      </c>
      <c r="S5519" s="1" t="s">
        <v>34218</v>
      </c>
    </row>
    <row r="5520" spans="1:19" x14ac:dyDescent="0.25">
      <c r="A5520">
        <v>101143841</v>
      </c>
      <c r="B5520" t="s">
        <v>13625</v>
      </c>
      <c r="C5520" t="s">
        <v>4318</v>
      </c>
      <c r="G5520" t="s">
        <v>13626</v>
      </c>
      <c r="H5520" t="s">
        <v>2279</v>
      </c>
      <c r="I5520" t="s">
        <v>52</v>
      </c>
      <c r="J5520">
        <v>33602</v>
      </c>
      <c r="L5520" t="s">
        <v>23</v>
      </c>
      <c r="M5520" t="s">
        <v>13626</v>
      </c>
      <c r="N5520" t="s">
        <v>2279</v>
      </c>
      <c r="O5520" t="s">
        <v>52</v>
      </c>
      <c r="P5520">
        <v>33602</v>
      </c>
      <c r="R5520" t="s">
        <v>23</v>
      </c>
      <c r="S5520" s="1" t="s">
        <v>34218</v>
      </c>
    </row>
    <row r="5521" spans="1:19" x14ac:dyDescent="0.25">
      <c r="A5521">
        <v>101323419</v>
      </c>
      <c r="B5521" t="s">
        <v>13627</v>
      </c>
      <c r="C5521" t="s">
        <v>1062</v>
      </c>
      <c r="G5521" t="s">
        <v>13628</v>
      </c>
      <c r="H5521" t="s">
        <v>13629</v>
      </c>
      <c r="I5521" t="s">
        <v>161</v>
      </c>
      <c r="J5521">
        <v>0</v>
      </c>
      <c r="L5521" t="s">
        <v>23</v>
      </c>
      <c r="M5521" t="s">
        <v>13628</v>
      </c>
      <c r="N5521" t="s">
        <v>13629</v>
      </c>
      <c r="O5521" t="s">
        <v>161</v>
      </c>
      <c r="P5521">
        <v>0</v>
      </c>
      <c r="R5521" t="s">
        <v>23</v>
      </c>
      <c r="S5521" s="1" t="s">
        <v>34218</v>
      </c>
    </row>
    <row r="5522" spans="1:19" x14ac:dyDescent="0.25">
      <c r="A5522">
        <v>100565351</v>
      </c>
      <c r="B5522" t="s">
        <v>13630</v>
      </c>
      <c r="C5522" t="s">
        <v>1533</v>
      </c>
      <c r="G5522" t="s">
        <v>13631</v>
      </c>
      <c r="H5522" t="s">
        <v>13632</v>
      </c>
      <c r="I5522" t="s">
        <v>161</v>
      </c>
      <c r="J5522">
        <v>6615</v>
      </c>
      <c r="L5522" t="s">
        <v>23</v>
      </c>
      <c r="M5522" t="s">
        <v>13631</v>
      </c>
      <c r="N5522" t="s">
        <v>13632</v>
      </c>
      <c r="O5522" t="s">
        <v>161</v>
      </c>
      <c r="P5522">
        <v>6615</v>
      </c>
      <c r="R5522" t="s">
        <v>23</v>
      </c>
      <c r="S5522" s="1" t="s">
        <v>34218</v>
      </c>
    </row>
    <row r="5523" spans="1:19" x14ac:dyDescent="0.25">
      <c r="A5523">
        <v>101456607</v>
      </c>
      <c r="B5523" t="s">
        <v>3857</v>
      </c>
      <c r="C5523" t="s">
        <v>403</v>
      </c>
      <c r="G5523" t="s">
        <v>13633</v>
      </c>
      <c r="H5523" t="s">
        <v>134</v>
      </c>
      <c r="I5523" t="s">
        <v>135</v>
      </c>
      <c r="J5523">
        <v>60625</v>
      </c>
      <c r="K5523">
        <v>1910</v>
      </c>
      <c r="L5523" t="s">
        <v>23</v>
      </c>
      <c r="M5523" t="s">
        <v>13633</v>
      </c>
      <c r="N5523" t="s">
        <v>134</v>
      </c>
      <c r="O5523" t="s">
        <v>135</v>
      </c>
      <c r="P5523">
        <v>60625</v>
      </c>
      <c r="Q5523">
        <v>1910</v>
      </c>
      <c r="R5523" t="s">
        <v>23</v>
      </c>
      <c r="S5523" s="1" t="s">
        <v>34218</v>
      </c>
    </row>
    <row r="5524" spans="1:19" x14ac:dyDescent="0.25">
      <c r="A5524">
        <v>101298519</v>
      </c>
      <c r="B5524" t="s">
        <v>3997</v>
      </c>
      <c r="C5524" t="s">
        <v>102</v>
      </c>
      <c r="G5524" t="s">
        <v>13634</v>
      </c>
      <c r="H5524" t="s">
        <v>13635</v>
      </c>
      <c r="I5524" t="s">
        <v>255</v>
      </c>
      <c r="J5524">
        <v>22553</v>
      </c>
      <c r="L5524" t="s">
        <v>23</v>
      </c>
      <c r="M5524" t="s">
        <v>13634</v>
      </c>
      <c r="N5524" t="s">
        <v>13635</v>
      </c>
      <c r="O5524" t="s">
        <v>255</v>
      </c>
      <c r="P5524">
        <v>22553</v>
      </c>
      <c r="R5524" t="s">
        <v>23</v>
      </c>
      <c r="S5524" s="1" t="s">
        <v>34218</v>
      </c>
    </row>
    <row r="5525" spans="1:19" x14ac:dyDescent="0.25">
      <c r="A5525">
        <v>100545333</v>
      </c>
      <c r="B5525" t="s">
        <v>13636</v>
      </c>
      <c r="C5525" t="s">
        <v>13637</v>
      </c>
      <c r="G5525" t="s">
        <v>13638</v>
      </c>
      <c r="H5525" t="s">
        <v>130</v>
      </c>
      <c r="I5525" t="s">
        <v>22</v>
      </c>
      <c r="J5525">
        <v>94117</v>
      </c>
      <c r="K5525">
        <v>3008</v>
      </c>
      <c r="L5525" t="s">
        <v>23</v>
      </c>
      <c r="M5525" t="s">
        <v>13638</v>
      </c>
      <c r="N5525" t="s">
        <v>130</v>
      </c>
      <c r="O5525" t="s">
        <v>22</v>
      </c>
      <c r="P5525">
        <v>94117</v>
      </c>
      <c r="Q5525">
        <v>3008</v>
      </c>
      <c r="R5525" t="s">
        <v>23</v>
      </c>
      <c r="S5525" s="1" t="s">
        <v>34218</v>
      </c>
    </row>
    <row r="5526" spans="1:19" x14ac:dyDescent="0.25">
      <c r="A5526">
        <v>100540729</v>
      </c>
      <c r="B5526" t="s">
        <v>654</v>
      </c>
      <c r="C5526" t="s">
        <v>894</v>
      </c>
      <c r="G5526" t="s">
        <v>13639</v>
      </c>
      <c r="H5526" t="s">
        <v>13640</v>
      </c>
      <c r="I5526" t="s">
        <v>126</v>
      </c>
      <c r="J5526">
        <v>63368</v>
      </c>
      <c r="K5526">
        <v>6620</v>
      </c>
      <c r="L5526" t="s">
        <v>23</v>
      </c>
      <c r="M5526" t="s">
        <v>13639</v>
      </c>
      <c r="N5526" t="s">
        <v>13640</v>
      </c>
      <c r="O5526" t="s">
        <v>126</v>
      </c>
      <c r="P5526">
        <v>63368</v>
      </c>
      <c r="Q5526">
        <v>6620</v>
      </c>
      <c r="R5526" t="s">
        <v>23</v>
      </c>
      <c r="S5526" s="1" t="s">
        <v>34218</v>
      </c>
    </row>
    <row r="5527" spans="1:19" x14ac:dyDescent="0.25">
      <c r="A5527">
        <v>101473832</v>
      </c>
      <c r="B5527" t="s">
        <v>13641</v>
      </c>
      <c r="C5527" t="s">
        <v>1793</v>
      </c>
      <c r="G5527" t="s">
        <v>13642</v>
      </c>
      <c r="H5527" t="s">
        <v>134</v>
      </c>
      <c r="I5527" t="s">
        <v>135</v>
      </c>
      <c r="J5527">
        <v>60616</v>
      </c>
      <c r="K5527">
        <v>2296</v>
      </c>
      <c r="L5527" t="s">
        <v>23</v>
      </c>
      <c r="M5527" t="s">
        <v>13642</v>
      </c>
      <c r="N5527" t="s">
        <v>134</v>
      </c>
      <c r="O5527" t="s">
        <v>135</v>
      </c>
      <c r="P5527">
        <v>60616</v>
      </c>
      <c r="Q5527">
        <v>2296</v>
      </c>
      <c r="R5527" t="s">
        <v>23</v>
      </c>
      <c r="S5527" s="1" t="s">
        <v>34218</v>
      </c>
    </row>
    <row r="5528" spans="1:19" x14ac:dyDescent="0.25">
      <c r="A5528">
        <v>100540968</v>
      </c>
      <c r="B5528" t="s">
        <v>13643</v>
      </c>
      <c r="C5528" t="s">
        <v>1542</v>
      </c>
      <c r="G5528" t="s">
        <v>13644</v>
      </c>
      <c r="H5528" t="s">
        <v>3169</v>
      </c>
      <c r="I5528" t="s">
        <v>84</v>
      </c>
      <c r="J5528">
        <v>98422</v>
      </c>
      <c r="K5528">
        <v>1500</v>
      </c>
      <c r="L5528" t="s">
        <v>23</v>
      </c>
      <c r="M5528" t="s">
        <v>13644</v>
      </c>
      <c r="N5528" t="s">
        <v>3169</v>
      </c>
      <c r="O5528" t="s">
        <v>84</v>
      </c>
      <c r="P5528">
        <v>98422</v>
      </c>
      <c r="Q5528">
        <v>1500</v>
      </c>
      <c r="R5528" t="s">
        <v>23</v>
      </c>
      <c r="S5528" s="1" t="s">
        <v>34218</v>
      </c>
    </row>
    <row r="5529" spans="1:19" x14ac:dyDescent="0.25">
      <c r="A5529">
        <v>100547103</v>
      </c>
      <c r="B5529" t="s">
        <v>1204</v>
      </c>
      <c r="C5529" t="s">
        <v>2687</v>
      </c>
      <c r="G5529" t="s">
        <v>13645</v>
      </c>
      <c r="H5529" t="s">
        <v>2175</v>
      </c>
      <c r="I5529" t="s">
        <v>71</v>
      </c>
      <c r="J5529">
        <v>80113</v>
      </c>
      <c r="K5529">
        <v>2952</v>
      </c>
      <c r="L5529" t="s">
        <v>23</v>
      </c>
      <c r="M5529" t="s">
        <v>13645</v>
      </c>
      <c r="N5529" t="s">
        <v>2175</v>
      </c>
      <c r="O5529" t="s">
        <v>71</v>
      </c>
      <c r="P5529">
        <v>80113</v>
      </c>
      <c r="Q5529">
        <v>2952</v>
      </c>
      <c r="R5529" t="s">
        <v>23</v>
      </c>
      <c r="S5529" s="1" t="s">
        <v>34218</v>
      </c>
    </row>
    <row r="5530" spans="1:19" x14ac:dyDescent="0.25">
      <c r="A5530">
        <v>100781235</v>
      </c>
      <c r="B5530" t="s">
        <v>13646</v>
      </c>
      <c r="C5530" t="s">
        <v>1377</v>
      </c>
      <c r="G5530" t="s">
        <v>13647</v>
      </c>
      <c r="H5530" t="s">
        <v>13648</v>
      </c>
      <c r="I5530" t="s">
        <v>57</v>
      </c>
      <c r="J5530">
        <v>47917</v>
      </c>
      <c r="K5530">
        <v>8518</v>
      </c>
      <c r="L5530" t="s">
        <v>23</v>
      </c>
      <c r="M5530" t="s">
        <v>13647</v>
      </c>
      <c r="N5530" t="s">
        <v>13648</v>
      </c>
      <c r="O5530" t="s">
        <v>57</v>
      </c>
      <c r="P5530">
        <v>47917</v>
      </c>
      <c r="Q5530">
        <v>8518</v>
      </c>
      <c r="R5530" t="s">
        <v>23</v>
      </c>
      <c r="S5530" s="1" t="s">
        <v>34218</v>
      </c>
    </row>
    <row r="5531" spans="1:19" x14ac:dyDescent="0.25">
      <c r="A5531">
        <v>100778592</v>
      </c>
      <c r="B5531" t="s">
        <v>3828</v>
      </c>
      <c r="C5531" t="s">
        <v>1616</v>
      </c>
      <c r="G5531" t="s">
        <v>13649</v>
      </c>
      <c r="H5531" t="s">
        <v>6715</v>
      </c>
      <c r="I5531" t="s">
        <v>38</v>
      </c>
      <c r="J5531">
        <v>78028</v>
      </c>
      <c r="K5531">
        <v>2955</v>
      </c>
      <c r="L5531" t="s">
        <v>23</v>
      </c>
      <c r="M5531" t="s">
        <v>13649</v>
      </c>
      <c r="N5531" t="s">
        <v>6715</v>
      </c>
      <c r="O5531" t="s">
        <v>38</v>
      </c>
      <c r="P5531">
        <v>78028</v>
      </c>
      <c r="Q5531">
        <v>2955</v>
      </c>
      <c r="R5531" t="s">
        <v>23</v>
      </c>
      <c r="S5531" s="1" t="s">
        <v>34218</v>
      </c>
    </row>
    <row r="5532" spans="1:19" x14ac:dyDescent="0.25">
      <c r="A5532">
        <v>100784773</v>
      </c>
      <c r="B5532" t="s">
        <v>13650</v>
      </c>
      <c r="C5532" t="s">
        <v>102</v>
      </c>
      <c r="G5532" t="s">
        <v>13651</v>
      </c>
      <c r="H5532" t="s">
        <v>2136</v>
      </c>
      <c r="I5532" t="s">
        <v>117</v>
      </c>
      <c r="J5532">
        <v>12603</v>
      </c>
      <c r="K5532">
        <v>3543</v>
      </c>
      <c r="L5532" t="s">
        <v>23</v>
      </c>
      <c r="M5532" t="s">
        <v>13651</v>
      </c>
      <c r="N5532" t="s">
        <v>2136</v>
      </c>
      <c r="O5532" t="s">
        <v>117</v>
      </c>
      <c r="P5532">
        <v>12603</v>
      </c>
      <c r="Q5532">
        <v>3543</v>
      </c>
      <c r="R5532" t="s">
        <v>23</v>
      </c>
      <c r="S5532" s="1" t="s">
        <v>34218</v>
      </c>
    </row>
    <row r="5533" spans="1:19" x14ac:dyDescent="0.25">
      <c r="A5533">
        <v>100784924</v>
      </c>
      <c r="B5533" t="s">
        <v>13652</v>
      </c>
      <c r="C5533" t="s">
        <v>535</v>
      </c>
      <c r="G5533" t="s">
        <v>13653</v>
      </c>
      <c r="H5533" t="s">
        <v>412</v>
      </c>
      <c r="I5533" t="s">
        <v>117</v>
      </c>
      <c r="J5533">
        <v>11235</v>
      </c>
      <c r="K5533">
        <v>5318</v>
      </c>
      <c r="L5533" t="s">
        <v>23</v>
      </c>
      <c r="M5533" t="s">
        <v>13653</v>
      </c>
      <c r="N5533" t="s">
        <v>412</v>
      </c>
      <c r="O5533" t="s">
        <v>117</v>
      </c>
      <c r="P5533">
        <v>11235</v>
      </c>
      <c r="Q5533">
        <v>5318</v>
      </c>
      <c r="R5533" t="s">
        <v>23</v>
      </c>
      <c r="S5533" s="1" t="s">
        <v>34218</v>
      </c>
    </row>
    <row r="5534" spans="1:19" x14ac:dyDescent="0.25">
      <c r="A5534">
        <v>100784883</v>
      </c>
      <c r="B5534" t="s">
        <v>13654</v>
      </c>
      <c r="C5534" t="s">
        <v>11227</v>
      </c>
      <c r="G5534" t="s">
        <v>13655</v>
      </c>
      <c r="H5534" t="s">
        <v>713</v>
      </c>
      <c r="I5534" t="s">
        <v>22</v>
      </c>
      <c r="J5534">
        <v>90290</v>
      </c>
      <c r="K5534">
        <v>4466</v>
      </c>
      <c r="L5534" t="s">
        <v>23</v>
      </c>
      <c r="M5534" t="s">
        <v>13655</v>
      </c>
      <c r="N5534" t="s">
        <v>713</v>
      </c>
      <c r="O5534" t="s">
        <v>22</v>
      </c>
      <c r="P5534">
        <v>90290</v>
      </c>
      <c r="Q5534">
        <v>4466</v>
      </c>
      <c r="R5534" t="s">
        <v>23</v>
      </c>
      <c r="S5534" s="1" t="s">
        <v>34218</v>
      </c>
    </row>
    <row r="5535" spans="1:19" x14ac:dyDescent="0.25">
      <c r="A5535">
        <v>100968747</v>
      </c>
      <c r="B5535" t="s">
        <v>13656</v>
      </c>
      <c r="C5535" t="s">
        <v>554</v>
      </c>
      <c r="G5535" t="s">
        <v>13657</v>
      </c>
      <c r="H5535" t="s">
        <v>12583</v>
      </c>
      <c r="I5535" t="s">
        <v>702</v>
      </c>
      <c r="J5535">
        <v>89005</v>
      </c>
      <c r="K5535">
        <v>3316</v>
      </c>
      <c r="L5535" t="s">
        <v>23</v>
      </c>
      <c r="M5535" t="s">
        <v>13657</v>
      </c>
      <c r="N5535" t="s">
        <v>12583</v>
      </c>
      <c r="O5535" t="s">
        <v>702</v>
      </c>
      <c r="P5535">
        <v>89005</v>
      </c>
      <c r="Q5535">
        <v>3316</v>
      </c>
      <c r="R5535" t="s">
        <v>23</v>
      </c>
      <c r="S5535" s="1" t="s">
        <v>34218</v>
      </c>
    </row>
    <row r="5536" spans="1:19" x14ac:dyDescent="0.25">
      <c r="A5536">
        <v>100969305</v>
      </c>
      <c r="B5536" t="s">
        <v>13658</v>
      </c>
      <c r="C5536" t="s">
        <v>1298</v>
      </c>
      <c r="G5536" t="s">
        <v>13659</v>
      </c>
      <c r="H5536" t="s">
        <v>13660</v>
      </c>
      <c r="I5536" t="s">
        <v>117</v>
      </c>
      <c r="J5536">
        <v>11733</v>
      </c>
      <c r="K5536">
        <v>1005</v>
      </c>
      <c r="L5536" t="s">
        <v>23</v>
      </c>
      <c r="M5536" t="s">
        <v>13659</v>
      </c>
      <c r="N5536" t="s">
        <v>13660</v>
      </c>
      <c r="O5536" t="s">
        <v>117</v>
      </c>
      <c r="P5536">
        <v>11733</v>
      </c>
      <c r="Q5536">
        <v>1005</v>
      </c>
      <c r="R5536" t="s">
        <v>23</v>
      </c>
      <c r="S5536" s="1" t="s">
        <v>34218</v>
      </c>
    </row>
    <row r="5537" spans="1:19" x14ac:dyDescent="0.25">
      <c r="A5537">
        <v>100973107</v>
      </c>
      <c r="B5537" t="s">
        <v>13661</v>
      </c>
      <c r="C5537" t="s">
        <v>929</v>
      </c>
      <c r="G5537" t="s">
        <v>13662</v>
      </c>
      <c r="H5537" t="s">
        <v>88</v>
      </c>
      <c r="I5537" t="s">
        <v>191</v>
      </c>
      <c r="J5537">
        <v>4963</v>
      </c>
      <c r="K5537">
        <v>5305</v>
      </c>
      <c r="L5537" t="s">
        <v>23</v>
      </c>
      <c r="M5537" t="s">
        <v>13662</v>
      </c>
      <c r="N5537" t="s">
        <v>88</v>
      </c>
      <c r="O5537" t="s">
        <v>191</v>
      </c>
      <c r="P5537">
        <v>4963</v>
      </c>
      <c r="Q5537">
        <v>5305</v>
      </c>
      <c r="R5537" t="s">
        <v>23</v>
      </c>
      <c r="S5537" s="1" t="s">
        <v>34218</v>
      </c>
    </row>
    <row r="5538" spans="1:19" x14ac:dyDescent="0.25">
      <c r="A5538">
        <v>100976364</v>
      </c>
      <c r="B5538" t="s">
        <v>12595</v>
      </c>
      <c r="C5538" t="s">
        <v>1036</v>
      </c>
      <c r="G5538" t="s">
        <v>13663</v>
      </c>
      <c r="H5538" t="s">
        <v>130</v>
      </c>
      <c r="I5538" t="s">
        <v>22</v>
      </c>
      <c r="J5538">
        <v>94110</v>
      </c>
      <c r="K5538">
        <v>4908</v>
      </c>
      <c r="L5538" t="s">
        <v>23</v>
      </c>
      <c r="M5538" t="s">
        <v>13663</v>
      </c>
      <c r="N5538" t="s">
        <v>130</v>
      </c>
      <c r="O5538" t="s">
        <v>22</v>
      </c>
      <c r="P5538">
        <v>94110</v>
      </c>
      <c r="Q5538">
        <v>4908</v>
      </c>
      <c r="R5538" t="s">
        <v>23</v>
      </c>
      <c r="S5538" s="1" t="s">
        <v>34218</v>
      </c>
    </row>
    <row r="5539" spans="1:19" x14ac:dyDescent="0.25">
      <c r="A5539">
        <v>100983917</v>
      </c>
      <c r="B5539" t="s">
        <v>13664</v>
      </c>
      <c r="C5539" t="s">
        <v>4273</v>
      </c>
      <c r="G5539" t="s">
        <v>13665</v>
      </c>
      <c r="H5539" t="s">
        <v>13666</v>
      </c>
      <c r="I5539" t="s">
        <v>161</v>
      </c>
      <c r="J5539">
        <v>6790</v>
      </c>
      <c r="K5539">
        <v>3058</v>
      </c>
      <c r="L5539" t="s">
        <v>23</v>
      </c>
      <c r="M5539" t="s">
        <v>13665</v>
      </c>
      <c r="N5539" t="s">
        <v>13666</v>
      </c>
      <c r="O5539" t="s">
        <v>161</v>
      </c>
      <c r="P5539">
        <v>6790</v>
      </c>
      <c r="Q5539">
        <v>3058</v>
      </c>
      <c r="R5539" t="s">
        <v>23</v>
      </c>
      <c r="S5539" s="1" t="s">
        <v>34218</v>
      </c>
    </row>
    <row r="5540" spans="1:19" x14ac:dyDescent="0.25">
      <c r="A5540">
        <v>100985880</v>
      </c>
      <c r="B5540" t="s">
        <v>13667</v>
      </c>
      <c r="C5540" t="s">
        <v>247</v>
      </c>
      <c r="G5540" t="s">
        <v>13668</v>
      </c>
      <c r="H5540" t="s">
        <v>4128</v>
      </c>
      <c r="I5540" t="s">
        <v>1482</v>
      </c>
      <c r="J5540">
        <v>29706</v>
      </c>
      <c r="K5540">
        <v>7470</v>
      </c>
      <c r="L5540" t="s">
        <v>23</v>
      </c>
      <c r="M5540" t="s">
        <v>13668</v>
      </c>
      <c r="N5540" t="s">
        <v>4128</v>
      </c>
      <c r="O5540" t="s">
        <v>1482</v>
      </c>
      <c r="P5540">
        <v>29706</v>
      </c>
      <c r="Q5540">
        <v>7470</v>
      </c>
      <c r="R5540" t="s">
        <v>23</v>
      </c>
      <c r="S5540" s="1" t="s">
        <v>34218</v>
      </c>
    </row>
    <row r="5541" spans="1:19" x14ac:dyDescent="0.25">
      <c r="A5541">
        <v>100983695</v>
      </c>
      <c r="B5541" t="s">
        <v>13669</v>
      </c>
      <c r="C5541" t="s">
        <v>554</v>
      </c>
      <c r="F5541" t="str">
        <f>"2033055552"</f>
        <v>2033055552</v>
      </c>
      <c r="G5541" t="s">
        <v>13670</v>
      </c>
      <c r="H5541" t="s">
        <v>13671</v>
      </c>
      <c r="I5541" t="s">
        <v>161</v>
      </c>
      <c r="J5541">
        <v>6483</v>
      </c>
      <c r="K5541">
        <v>3328</v>
      </c>
      <c r="L5541" t="s">
        <v>23</v>
      </c>
      <c r="M5541" t="s">
        <v>13670</v>
      </c>
      <c r="N5541" t="s">
        <v>13671</v>
      </c>
      <c r="O5541" t="s">
        <v>161</v>
      </c>
      <c r="P5541">
        <v>6483</v>
      </c>
      <c r="Q5541">
        <v>3328</v>
      </c>
      <c r="R5541" t="s">
        <v>23</v>
      </c>
      <c r="S5541" s="1" t="s">
        <v>34218</v>
      </c>
    </row>
    <row r="5542" spans="1:19" x14ac:dyDescent="0.25">
      <c r="A5542">
        <v>101426325</v>
      </c>
      <c r="B5542" t="s">
        <v>13672</v>
      </c>
      <c r="C5542" t="s">
        <v>894</v>
      </c>
      <c r="G5542" t="s">
        <v>13673</v>
      </c>
      <c r="H5542" t="s">
        <v>134</v>
      </c>
      <c r="I5542" t="s">
        <v>135</v>
      </c>
      <c r="J5542">
        <v>60613</v>
      </c>
      <c r="K5542">
        <v>4244</v>
      </c>
      <c r="L5542" t="s">
        <v>23</v>
      </c>
      <c r="M5542" t="s">
        <v>13673</v>
      </c>
      <c r="N5542" t="s">
        <v>134</v>
      </c>
      <c r="O5542" t="s">
        <v>135</v>
      </c>
      <c r="P5542">
        <v>60613</v>
      </c>
      <c r="Q5542">
        <v>4244</v>
      </c>
      <c r="R5542" t="s">
        <v>23</v>
      </c>
      <c r="S5542" s="1" t="s">
        <v>34218</v>
      </c>
    </row>
    <row r="5543" spans="1:19" x14ac:dyDescent="0.25">
      <c r="A5543">
        <v>100585609</v>
      </c>
      <c r="B5543" t="s">
        <v>3956</v>
      </c>
      <c r="C5543" t="s">
        <v>585</v>
      </c>
      <c r="G5543" t="s">
        <v>13674</v>
      </c>
      <c r="H5543" t="s">
        <v>13675</v>
      </c>
      <c r="I5543" t="s">
        <v>1226</v>
      </c>
      <c r="J5543">
        <v>39051</v>
      </c>
      <c r="K5543">
        <v>3605</v>
      </c>
      <c r="L5543" t="s">
        <v>23</v>
      </c>
      <c r="M5543" t="s">
        <v>13674</v>
      </c>
      <c r="N5543" t="s">
        <v>13675</v>
      </c>
      <c r="O5543" t="s">
        <v>1226</v>
      </c>
      <c r="P5543">
        <v>39051</v>
      </c>
      <c r="Q5543">
        <v>3605</v>
      </c>
      <c r="R5543" t="s">
        <v>23</v>
      </c>
      <c r="S5543" s="1" t="s">
        <v>34218</v>
      </c>
    </row>
    <row r="5544" spans="1:19" x14ac:dyDescent="0.25">
      <c r="A5544">
        <v>100587548</v>
      </c>
      <c r="B5544" t="s">
        <v>1807</v>
      </c>
      <c r="C5544" t="s">
        <v>155</v>
      </c>
      <c r="F5544" t="str">
        <f>"4703148165"</f>
        <v>4703148165</v>
      </c>
      <c r="G5544" t="s">
        <v>13676</v>
      </c>
      <c r="H5544" t="s">
        <v>13677</v>
      </c>
      <c r="I5544" t="s">
        <v>1482</v>
      </c>
      <c r="J5544">
        <v>29689</v>
      </c>
      <c r="K5544">
        <v>3732</v>
      </c>
      <c r="L5544" t="s">
        <v>23</v>
      </c>
      <c r="M5544" t="s">
        <v>13676</v>
      </c>
      <c r="N5544" t="s">
        <v>13677</v>
      </c>
      <c r="O5544" t="s">
        <v>1482</v>
      </c>
      <c r="P5544">
        <v>29689</v>
      </c>
      <c r="Q5544">
        <v>3732</v>
      </c>
      <c r="R5544" t="s">
        <v>23</v>
      </c>
      <c r="S5544" s="1" t="s">
        <v>34218</v>
      </c>
    </row>
    <row r="5545" spans="1:19" x14ac:dyDescent="0.25">
      <c r="A5545">
        <v>100590994</v>
      </c>
      <c r="B5545" t="s">
        <v>465</v>
      </c>
      <c r="C5545" t="s">
        <v>1050</v>
      </c>
      <c r="G5545" t="s">
        <v>13678</v>
      </c>
      <c r="H5545" t="s">
        <v>12027</v>
      </c>
      <c r="I5545" t="s">
        <v>52</v>
      </c>
      <c r="J5545">
        <v>32409</v>
      </c>
      <c r="K5545">
        <v>2158</v>
      </c>
      <c r="L5545" t="s">
        <v>23</v>
      </c>
      <c r="M5545" t="s">
        <v>13678</v>
      </c>
      <c r="N5545" t="s">
        <v>12027</v>
      </c>
      <c r="O5545" t="s">
        <v>52</v>
      </c>
      <c r="P5545">
        <v>32409</v>
      </c>
      <c r="Q5545">
        <v>2158</v>
      </c>
      <c r="R5545" t="s">
        <v>23</v>
      </c>
      <c r="S5545" s="1" t="s">
        <v>34218</v>
      </c>
    </row>
    <row r="5546" spans="1:19" x14ac:dyDescent="0.25">
      <c r="A5546">
        <v>100591960</v>
      </c>
      <c r="B5546" t="s">
        <v>13679</v>
      </c>
      <c r="C5546" t="s">
        <v>699</v>
      </c>
      <c r="G5546" t="s">
        <v>13680</v>
      </c>
      <c r="H5546" t="s">
        <v>202</v>
      </c>
      <c r="I5546" t="s">
        <v>117</v>
      </c>
      <c r="J5546">
        <v>14222</v>
      </c>
      <c r="K5546">
        <v>1510</v>
      </c>
      <c r="L5546" t="s">
        <v>23</v>
      </c>
      <c r="M5546" t="s">
        <v>13680</v>
      </c>
      <c r="N5546" t="s">
        <v>202</v>
      </c>
      <c r="O5546" t="s">
        <v>117</v>
      </c>
      <c r="P5546">
        <v>14222</v>
      </c>
      <c r="Q5546">
        <v>1510</v>
      </c>
      <c r="R5546" t="s">
        <v>23</v>
      </c>
      <c r="S5546" s="1" t="s">
        <v>34218</v>
      </c>
    </row>
    <row r="5547" spans="1:19" x14ac:dyDescent="0.25">
      <c r="A5547">
        <v>100598447</v>
      </c>
      <c r="B5547" t="s">
        <v>13681</v>
      </c>
      <c r="C5547" t="s">
        <v>803</v>
      </c>
      <c r="G5547" t="s">
        <v>13682</v>
      </c>
      <c r="H5547" t="s">
        <v>1780</v>
      </c>
      <c r="I5547" t="s">
        <v>22</v>
      </c>
      <c r="J5547">
        <v>92024</v>
      </c>
      <c r="K5547">
        <v>6925</v>
      </c>
      <c r="L5547" t="s">
        <v>23</v>
      </c>
      <c r="M5547" t="s">
        <v>13682</v>
      </c>
      <c r="N5547" t="s">
        <v>1780</v>
      </c>
      <c r="O5547" t="s">
        <v>22</v>
      </c>
      <c r="P5547">
        <v>92024</v>
      </c>
      <c r="Q5547">
        <v>6925</v>
      </c>
      <c r="R5547" t="s">
        <v>23</v>
      </c>
      <c r="S5547" s="1" t="s">
        <v>34218</v>
      </c>
    </row>
    <row r="5548" spans="1:19" x14ac:dyDescent="0.25">
      <c r="A5548">
        <v>100596769</v>
      </c>
      <c r="B5548" t="s">
        <v>6035</v>
      </c>
      <c r="C5548" t="s">
        <v>6689</v>
      </c>
      <c r="G5548" t="s">
        <v>13683</v>
      </c>
      <c r="H5548" t="s">
        <v>4810</v>
      </c>
      <c r="I5548" t="s">
        <v>236</v>
      </c>
      <c r="J5548">
        <v>1609</v>
      </c>
      <c r="K5548">
        <v>1500</v>
      </c>
      <c r="L5548" t="s">
        <v>23</v>
      </c>
      <c r="M5548" t="s">
        <v>13683</v>
      </c>
      <c r="N5548" t="s">
        <v>4810</v>
      </c>
      <c r="O5548" t="s">
        <v>236</v>
      </c>
      <c r="P5548">
        <v>1609</v>
      </c>
      <c r="Q5548">
        <v>1500</v>
      </c>
      <c r="R5548" t="s">
        <v>23</v>
      </c>
      <c r="S5548" s="1" t="s">
        <v>34218</v>
      </c>
    </row>
    <row r="5549" spans="1:19" x14ac:dyDescent="0.25">
      <c r="A5549">
        <v>100597805</v>
      </c>
      <c r="B5549" t="s">
        <v>1911</v>
      </c>
      <c r="C5549" t="s">
        <v>575</v>
      </c>
      <c r="G5549" t="s">
        <v>13684</v>
      </c>
      <c r="H5549" t="s">
        <v>13685</v>
      </c>
      <c r="I5549" t="s">
        <v>33</v>
      </c>
      <c r="J5549">
        <v>15765</v>
      </c>
      <c r="K5549">
        <v>8718</v>
      </c>
      <c r="L5549" t="s">
        <v>23</v>
      </c>
      <c r="M5549" t="s">
        <v>13684</v>
      </c>
      <c r="N5549" t="s">
        <v>13685</v>
      </c>
      <c r="O5549" t="s">
        <v>33</v>
      </c>
      <c r="P5549">
        <v>15765</v>
      </c>
      <c r="Q5549">
        <v>8718</v>
      </c>
      <c r="R5549" t="s">
        <v>23</v>
      </c>
      <c r="S5549" s="1" t="s">
        <v>34218</v>
      </c>
    </row>
    <row r="5550" spans="1:19" x14ac:dyDescent="0.25">
      <c r="A5550">
        <v>100598044</v>
      </c>
      <c r="B5550" t="s">
        <v>13686</v>
      </c>
      <c r="C5550" t="s">
        <v>432</v>
      </c>
      <c r="G5550" t="s">
        <v>13687</v>
      </c>
      <c r="H5550" t="s">
        <v>12580</v>
      </c>
      <c r="I5550" t="s">
        <v>135</v>
      </c>
      <c r="J5550">
        <v>62025</v>
      </c>
      <c r="K5550">
        <v>2317</v>
      </c>
      <c r="L5550" t="s">
        <v>23</v>
      </c>
      <c r="M5550" t="s">
        <v>13687</v>
      </c>
      <c r="N5550" t="s">
        <v>12580</v>
      </c>
      <c r="O5550" t="s">
        <v>135</v>
      </c>
      <c r="P5550">
        <v>62025</v>
      </c>
      <c r="Q5550">
        <v>2317</v>
      </c>
      <c r="R5550" t="s">
        <v>23</v>
      </c>
      <c r="S5550" s="1" t="s">
        <v>34218</v>
      </c>
    </row>
    <row r="5551" spans="1:19" x14ac:dyDescent="0.25">
      <c r="A5551">
        <v>100599941</v>
      </c>
      <c r="B5551" t="s">
        <v>13688</v>
      </c>
      <c r="C5551" t="s">
        <v>13689</v>
      </c>
      <c r="G5551" t="s">
        <v>13690</v>
      </c>
      <c r="H5551" t="s">
        <v>5620</v>
      </c>
      <c r="I5551" t="s">
        <v>236</v>
      </c>
      <c r="J5551">
        <v>1950</v>
      </c>
      <c r="K5551">
        <v>3720</v>
      </c>
      <c r="L5551" t="s">
        <v>23</v>
      </c>
      <c r="M5551" t="s">
        <v>13690</v>
      </c>
      <c r="N5551" t="s">
        <v>5620</v>
      </c>
      <c r="O5551" t="s">
        <v>236</v>
      </c>
      <c r="P5551">
        <v>1950</v>
      </c>
      <c r="Q5551">
        <v>3720</v>
      </c>
      <c r="R5551" t="s">
        <v>23</v>
      </c>
      <c r="S5551" s="1" t="s">
        <v>34218</v>
      </c>
    </row>
    <row r="5552" spans="1:19" x14ac:dyDescent="0.25">
      <c r="A5552">
        <v>100602917</v>
      </c>
      <c r="B5552" t="s">
        <v>13691</v>
      </c>
      <c r="C5552" t="s">
        <v>1835</v>
      </c>
      <c r="G5552" t="s">
        <v>11410</v>
      </c>
      <c r="H5552" t="s">
        <v>412</v>
      </c>
      <c r="I5552" t="s">
        <v>117</v>
      </c>
      <c r="J5552">
        <v>11222</v>
      </c>
      <c r="K5552">
        <v>1096</v>
      </c>
      <c r="L5552" t="s">
        <v>23</v>
      </c>
      <c r="M5552" t="s">
        <v>11410</v>
      </c>
      <c r="N5552" t="s">
        <v>412</v>
      </c>
      <c r="O5552" t="s">
        <v>117</v>
      </c>
      <c r="P5552">
        <v>11222</v>
      </c>
      <c r="Q5552">
        <v>1096</v>
      </c>
      <c r="R5552" t="s">
        <v>23</v>
      </c>
      <c r="S5552" s="1" t="s">
        <v>34218</v>
      </c>
    </row>
    <row r="5553" spans="1:19" x14ac:dyDescent="0.25">
      <c r="A5553">
        <v>100785121</v>
      </c>
      <c r="B5553" t="s">
        <v>13692</v>
      </c>
      <c r="C5553" t="s">
        <v>5711</v>
      </c>
      <c r="G5553" t="s">
        <v>13693</v>
      </c>
      <c r="H5553" t="s">
        <v>8163</v>
      </c>
      <c r="I5553" t="s">
        <v>117</v>
      </c>
      <c r="J5553">
        <v>12302</v>
      </c>
      <c r="K5553">
        <v>1410</v>
      </c>
      <c r="L5553" t="s">
        <v>23</v>
      </c>
      <c r="M5553" t="s">
        <v>13693</v>
      </c>
      <c r="N5553" t="s">
        <v>8163</v>
      </c>
      <c r="O5553" t="s">
        <v>117</v>
      </c>
      <c r="P5553">
        <v>12302</v>
      </c>
      <c r="Q5553">
        <v>1410</v>
      </c>
      <c r="R5553" t="s">
        <v>23</v>
      </c>
      <c r="S5553" s="1" t="s">
        <v>34218</v>
      </c>
    </row>
    <row r="5554" spans="1:19" x14ac:dyDescent="0.25">
      <c r="A5554">
        <v>100786546</v>
      </c>
      <c r="B5554" t="s">
        <v>13694</v>
      </c>
      <c r="C5554" t="s">
        <v>1027</v>
      </c>
      <c r="G5554" t="s">
        <v>13695</v>
      </c>
      <c r="H5554" t="s">
        <v>2319</v>
      </c>
      <c r="I5554" t="s">
        <v>117</v>
      </c>
      <c r="J5554">
        <v>10312</v>
      </c>
      <c r="K5554">
        <v>1227</v>
      </c>
      <c r="L5554" t="s">
        <v>23</v>
      </c>
      <c r="M5554" t="s">
        <v>13695</v>
      </c>
      <c r="N5554" t="s">
        <v>2319</v>
      </c>
      <c r="O5554" t="s">
        <v>117</v>
      </c>
      <c r="P5554">
        <v>10312</v>
      </c>
      <c r="Q5554">
        <v>1227</v>
      </c>
      <c r="R5554" t="s">
        <v>23</v>
      </c>
      <c r="S5554" s="1" t="s">
        <v>34218</v>
      </c>
    </row>
    <row r="5555" spans="1:19" x14ac:dyDescent="0.25">
      <c r="A5555">
        <v>100786579</v>
      </c>
      <c r="B5555" t="s">
        <v>13696</v>
      </c>
      <c r="C5555" t="s">
        <v>6200</v>
      </c>
      <c r="G5555" t="s">
        <v>13697</v>
      </c>
      <c r="H5555" t="s">
        <v>653</v>
      </c>
      <c r="I5555" t="s">
        <v>117</v>
      </c>
      <c r="J5555">
        <v>10011</v>
      </c>
      <c r="K5555">
        <v>1502</v>
      </c>
      <c r="L5555" t="s">
        <v>23</v>
      </c>
      <c r="M5555" t="s">
        <v>13697</v>
      </c>
      <c r="N5555" t="s">
        <v>653</v>
      </c>
      <c r="O5555" t="s">
        <v>117</v>
      </c>
      <c r="P5555">
        <v>10011</v>
      </c>
      <c r="Q5555">
        <v>1502</v>
      </c>
      <c r="R5555" t="s">
        <v>23</v>
      </c>
      <c r="S5555" s="1" t="s">
        <v>34218</v>
      </c>
    </row>
    <row r="5556" spans="1:19" x14ac:dyDescent="0.25">
      <c r="A5556">
        <v>100786881</v>
      </c>
      <c r="B5556" t="s">
        <v>12139</v>
      </c>
      <c r="C5556" t="s">
        <v>90</v>
      </c>
      <c r="G5556" t="s">
        <v>13698</v>
      </c>
      <c r="H5556" t="s">
        <v>13699</v>
      </c>
      <c r="I5556" t="s">
        <v>236</v>
      </c>
      <c r="J5556">
        <v>2771</v>
      </c>
      <c r="K5556">
        <v>2035</v>
      </c>
      <c r="L5556" t="s">
        <v>23</v>
      </c>
      <c r="M5556" t="s">
        <v>13698</v>
      </c>
      <c r="N5556" t="s">
        <v>13699</v>
      </c>
      <c r="O5556" t="s">
        <v>236</v>
      </c>
      <c r="P5556">
        <v>2771</v>
      </c>
      <c r="Q5556">
        <v>2035</v>
      </c>
      <c r="R5556" t="s">
        <v>23</v>
      </c>
      <c r="S5556" s="1" t="s">
        <v>34218</v>
      </c>
    </row>
    <row r="5557" spans="1:19" x14ac:dyDescent="0.25">
      <c r="A5557">
        <v>100793072</v>
      </c>
      <c r="B5557" t="s">
        <v>3103</v>
      </c>
      <c r="C5557" t="s">
        <v>382</v>
      </c>
      <c r="G5557" t="s">
        <v>13700</v>
      </c>
      <c r="H5557" t="s">
        <v>13701</v>
      </c>
      <c r="I5557" t="s">
        <v>43</v>
      </c>
      <c r="J5557">
        <v>97411</v>
      </c>
      <c r="K5557">
        <v>9634</v>
      </c>
      <c r="L5557" t="s">
        <v>23</v>
      </c>
      <c r="M5557" t="s">
        <v>13700</v>
      </c>
      <c r="N5557" t="s">
        <v>13701</v>
      </c>
      <c r="O5557" t="s">
        <v>43</v>
      </c>
      <c r="P5557">
        <v>97411</v>
      </c>
      <c r="Q5557">
        <v>9634</v>
      </c>
      <c r="R5557" t="s">
        <v>23</v>
      </c>
      <c r="S5557" s="1" t="s">
        <v>34218</v>
      </c>
    </row>
    <row r="5558" spans="1:19" x14ac:dyDescent="0.25">
      <c r="A5558">
        <v>100787925</v>
      </c>
      <c r="B5558" t="s">
        <v>13702</v>
      </c>
      <c r="C5558" t="s">
        <v>30</v>
      </c>
      <c r="G5558" t="s">
        <v>13703</v>
      </c>
      <c r="H5558" t="s">
        <v>227</v>
      </c>
      <c r="I5558" t="s">
        <v>43</v>
      </c>
      <c r="J5558">
        <v>97239</v>
      </c>
      <c r="K5558">
        <v>2773</v>
      </c>
      <c r="L5558" t="s">
        <v>23</v>
      </c>
      <c r="M5558" t="s">
        <v>13703</v>
      </c>
      <c r="N5558" t="s">
        <v>227</v>
      </c>
      <c r="O5558" t="s">
        <v>43</v>
      </c>
      <c r="P5558">
        <v>97239</v>
      </c>
      <c r="Q5558">
        <v>2773</v>
      </c>
      <c r="R5558" t="s">
        <v>23</v>
      </c>
      <c r="S5558" s="1" t="s">
        <v>34218</v>
      </c>
    </row>
    <row r="5559" spans="1:19" x14ac:dyDescent="0.25">
      <c r="A5559">
        <v>100873950</v>
      </c>
      <c r="B5559" t="s">
        <v>13704</v>
      </c>
      <c r="C5559" t="s">
        <v>102</v>
      </c>
      <c r="G5559" t="s">
        <v>13705</v>
      </c>
      <c r="H5559" t="s">
        <v>2841</v>
      </c>
      <c r="I5559" t="s">
        <v>71</v>
      </c>
      <c r="J5559">
        <v>80401</v>
      </c>
      <c r="K5559">
        <v>5108</v>
      </c>
      <c r="L5559" t="s">
        <v>23</v>
      </c>
      <c r="M5559" t="s">
        <v>13705</v>
      </c>
      <c r="N5559" t="s">
        <v>2841</v>
      </c>
      <c r="O5559" t="s">
        <v>71</v>
      </c>
      <c r="P5559">
        <v>80401</v>
      </c>
      <c r="Q5559">
        <v>5108</v>
      </c>
      <c r="R5559" t="s">
        <v>23</v>
      </c>
      <c r="S5559" s="1" t="s">
        <v>34218</v>
      </c>
    </row>
    <row r="5560" spans="1:19" x14ac:dyDescent="0.25">
      <c r="A5560">
        <v>100875627</v>
      </c>
      <c r="B5560" t="s">
        <v>13706</v>
      </c>
      <c r="C5560" t="s">
        <v>13707</v>
      </c>
      <c r="G5560" t="s">
        <v>13708</v>
      </c>
      <c r="H5560" t="s">
        <v>13709</v>
      </c>
      <c r="I5560" t="s">
        <v>236</v>
      </c>
      <c r="J5560">
        <v>1376</v>
      </c>
      <c r="K5560">
        <v>1508</v>
      </c>
      <c r="L5560" t="s">
        <v>23</v>
      </c>
      <c r="M5560" t="s">
        <v>13708</v>
      </c>
      <c r="N5560" t="s">
        <v>13709</v>
      </c>
      <c r="O5560" t="s">
        <v>236</v>
      </c>
      <c r="P5560">
        <v>1376</v>
      </c>
      <c r="Q5560">
        <v>1508</v>
      </c>
      <c r="R5560" t="s">
        <v>23</v>
      </c>
      <c r="S5560" s="1" t="s">
        <v>34218</v>
      </c>
    </row>
    <row r="5561" spans="1:19" x14ac:dyDescent="0.25">
      <c r="A5561">
        <v>100879097</v>
      </c>
      <c r="B5561" t="s">
        <v>2074</v>
      </c>
      <c r="C5561" t="s">
        <v>155</v>
      </c>
      <c r="G5561" t="s">
        <v>13710</v>
      </c>
      <c r="H5561" t="s">
        <v>2608</v>
      </c>
      <c r="I5561" t="s">
        <v>255</v>
      </c>
      <c r="J5561">
        <v>22602</v>
      </c>
      <c r="K5561">
        <v>6714</v>
      </c>
      <c r="L5561" t="s">
        <v>23</v>
      </c>
      <c r="M5561" t="s">
        <v>13710</v>
      </c>
      <c r="N5561" t="s">
        <v>2608</v>
      </c>
      <c r="O5561" t="s">
        <v>255</v>
      </c>
      <c r="P5561">
        <v>22602</v>
      </c>
      <c r="Q5561">
        <v>6714</v>
      </c>
      <c r="R5561" t="s">
        <v>23</v>
      </c>
      <c r="S5561" s="1" t="s">
        <v>34218</v>
      </c>
    </row>
    <row r="5562" spans="1:19" x14ac:dyDescent="0.25">
      <c r="A5562">
        <v>100881021</v>
      </c>
      <c r="B5562" t="s">
        <v>5206</v>
      </c>
      <c r="C5562" t="s">
        <v>274</v>
      </c>
      <c r="F5562" t="str">
        <f>"7035241721"</f>
        <v>7035241721</v>
      </c>
      <c r="G5562" t="s">
        <v>13711</v>
      </c>
      <c r="H5562" t="s">
        <v>1748</v>
      </c>
      <c r="I5562" t="s">
        <v>255</v>
      </c>
      <c r="J5562">
        <v>22207</v>
      </c>
      <c r="K5562">
        <v>4821</v>
      </c>
      <c r="L5562" t="s">
        <v>23</v>
      </c>
      <c r="M5562" t="s">
        <v>13711</v>
      </c>
      <c r="N5562" t="s">
        <v>1748</v>
      </c>
      <c r="O5562" t="s">
        <v>255</v>
      </c>
      <c r="P5562">
        <v>22207</v>
      </c>
      <c r="Q5562">
        <v>4821</v>
      </c>
      <c r="R5562" t="s">
        <v>23</v>
      </c>
      <c r="S5562" s="1" t="s">
        <v>34218</v>
      </c>
    </row>
    <row r="5563" spans="1:19" x14ac:dyDescent="0.25">
      <c r="A5563">
        <v>100883952</v>
      </c>
      <c r="B5563" t="s">
        <v>13712</v>
      </c>
      <c r="C5563" t="s">
        <v>3017</v>
      </c>
      <c r="G5563" t="s">
        <v>13713</v>
      </c>
      <c r="H5563" t="s">
        <v>412</v>
      </c>
      <c r="I5563" t="s">
        <v>117</v>
      </c>
      <c r="J5563">
        <v>11219</v>
      </c>
      <c r="K5563">
        <v>3238</v>
      </c>
      <c r="L5563" t="s">
        <v>23</v>
      </c>
      <c r="M5563" t="s">
        <v>13713</v>
      </c>
      <c r="N5563" t="s">
        <v>412</v>
      </c>
      <c r="O5563" t="s">
        <v>117</v>
      </c>
      <c r="P5563">
        <v>11219</v>
      </c>
      <c r="Q5563">
        <v>3238</v>
      </c>
      <c r="R5563" t="s">
        <v>23</v>
      </c>
      <c r="S5563" s="1" t="s">
        <v>34218</v>
      </c>
    </row>
    <row r="5564" spans="1:19" x14ac:dyDescent="0.25">
      <c r="A5564">
        <v>100877015</v>
      </c>
      <c r="B5564" t="s">
        <v>1941</v>
      </c>
      <c r="C5564" t="s">
        <v>9586</v>
      </c>
      <c r="F5564" t="str">
        <f>"8055695659"</f>
        <v>8055695659</v>
      </c>
      <c r="G5564" t="s">
        <v>13714</v>
      </c>
      <c r="H5564" t="s">
        <v>174</v>
      </c>
      <c r="I5564" t="s">
        <v>22</v>
      </c>
      <c r="J5564">
        <v>93105</v>
      </c>
      <c r="K5564">
        <v>1958</v>
      </c>
      <c r="L5564" t="s">
        <v>23</v>
      </c>
      <c r="M5564" t="s">
        <v>13714</v>
      </c>
      <c r="N5564" t="s">
        <v>174</v>
      </c>
      <c r="O5564" t="s">
        <v>22</v>
      </c>
      <c r="P5564">
        <v>93105</v>
      </c>
      <c r="Q5564">
        <v>1958</v>
      </c>
      <c r="R5564" t="s">
        <v>23</v>
      </c>
      <c r="S5564" s="1" t="s">
        <v>34218</v>
      </c>
    </row>
    <row r="5565" spans="1:19" x14ac:dyDescent="0.25">
      <c r="A5565">
        <v>100886325</v>
      </c>
      <c r="B5565" t="s">
        <v>13715</v>
      </c>
      <c r="C5565" t="s">
        <v>2127</v>
      </c>
      <c r="G5565" t="s">
        <v>13716</v>
      </c>
      <c r="H5565" t="s">
        <v>13717</v>
      </c>
      <c r="I5565" t="s">
        <v>117</v>
      </c>
      <c r="J5565">
        <v>12866</v>
      </c>
      <c r="K5565">
        <v>2326</v>
      </c>
      <c r="L5565" t="s">
        <v>23</v>
      </c>
      <c r="M5565" t="s">
        <v>13716</v>
      </c>
      <c r="N5565" t="s">
        <v>13717</v>
      </c>
      <c r="O5565" t="s">
        <v>117</v>
      </c>
      <c r="P5565">
        <v>12866</v>
      </c>
      <c r="Q5565">
        <v>2326</v>
      </c>
      <c r="R5565" t="s">
        <v>23</v>
      </c>
      <c r="S5565" s="1" t="s">
        <v>34218</v>
      </c>
    </row>
    <row r="5566" spans="1:19" x14ac:dyDescent="0.25">
      <c r="A5566">
        <v>100880582</v>
      </c>
      <c r="B5566" t="s">
        <v>13718</v>
      </c>
      <c r="C5566" t="s">
        <v>25</v>
      </c>
      <c r="G5566" t="s">
        <v>13719</v>
      </c>
      <c r="H5566" t="s">
        <v>573</v>
      </c>
      <c r="I5566" t="s">
        <v>33</v>
      </c>
      <c r="J5566">
        <v>19154</v>
      </c>
      <c r="K5566">
        <v>1001</v>
      </c>
      <c r="L5566" t="s">
        <v>23</v>
      </c>
      <c r="M5566" t="s">
        <v>13719</v>
      </c>
      <c r="N5566" t="s">
        <v>573</v>
      </c>
      <c r="O5566" t="s">
        <v>33</v>
      </c>
      <c r="P5566">
        <v>19154</v>
      </c>
      <c r="Q5566">
        <v>1001</v>
      </c>
      <c r="R5566" t="s">
        <v>23</v>
      </c>
      <c r="S5566" s="1" t="s">
        <v>34218</v>
      </c>
    </row>
    <row r="5567" spans="1:19" x14ac:dyDescent="0.25">
      <c r="A5567">
        <v>100885407</v>
      </c>
      <c r="B5567" t="s">
        <v>13720</v>
      </c>
      <c r="C5567" t="s">
        <v>535</v>
      </c>
      <c r="G5567" t="s">
        <v>13721</v>
      </c>
      <c r="H5567" t="s">
        <v>13722</v>
      </c>
      <c r="I5567" t="s">
        <v>327</v>
      </c>
      <c r="J5567">
        <v>25143</v>
      </c>
      <c r="K5567">
        <v>7210</v>
      </c>
      <c r="L5567" t="s">
        <v>23</v>
      </c>
      <c r="M5567" t="s">
        <v>13721</v>
      </c>
      <c r="N5567" t="s">
        <v>13722</v>
      </c>
      <c r="O5567" t="s">
        <v>327</v>
      </c>
      <c r="P5567">
        <v>25143</v>
      </c>
      <c r="Q5567">
        <v>7210</v>
      </c>
      <c r="R5567" t="s">
        <v>23</v>
      </c>
      <c r="S5567" s="1" t="s">
        <v>34218</v>
      </c>
    </row>
    <row r="5568" spans="1:19" x14ac:dyDescent="0.25">
      <c r="A5568">
        <v>100890431</v>
      </c>
      <c r="B5568" t="s">
        <v>13723</v>
      </c>
      <c r="C5568" t="s">
        <v>9647</v>
      </c>
      <c r="G5568" t="s">
        <v>13724</v>
      </c>
      <c r="H5568" t="s">
        <v>13725</v>
      </c>
      <c r="I5568" t="s">
        <v>52</v>
      </c>
      <c r="J5568">
        <v>33160</v>
      </c>
      <c r="K5568">
        <v>5408</v>
      </c>
      <c r="L5568" t="s">
        <v>23</v>
      </c>
      <c r="M5568" t="s">
        <v>13724</v>
      </c>
      <c r="N5568" t="s">
        <v>13725</v>
      </c>
      <c r="O5568" t="s">
        <v>52</v>
      </c>
      <c r="P5568">
        <v>33160</v>
      </c>
      <c r="Q5568">
        <v>5408</v>
      </c>
      <c r="R5568" t="s">
        <v>23</v>
      </c>
      <c r="S5568" s="1" t="s">
        <v>34218</v>
      </c>
    </row>
    <row r="5569" spans="1:19" x14ac:dyDescent="0.25">
      <c r="A5569">
        <v>101048167</v>
      </c>
      <c r="B5569" t="s">
        <v>2486</v>
      </c>
      <c r="C5569" t="s">
        <v>582</v>
      </c>
      <c r="G5569" t="s">
        <v>13726</v>
      </c>
      <c r="H5569" t="s">
        <v>13727</v>
      </c>
      <c r="I5569" t="s">
        <v>22</v>
      </c>
      <c r="J5569">
        <v>91980</v>
      </c>
      <c r="K5569">
        <v>656</v>
      </c>
      <c r="L5569" t="s">
        <v>23</v>
      </c>
      <c r="M5569" t="s">
        <v>13726</v>
      </c>
      <c r="N5569" t="s">
        <v>13727</v>
      </c>
      <c r="O5569" t="s">
        <v>22</v>
      </c>
      <c r="P5569">
        <v>91980</v>
      </c>
      <c r="Q5569">
        <v>656</v>
      </c>
      <c r="R5569" t="s">
        <v>23</v>
      </c>
      <c r="S5569" s="1" t="s">
        <v>34218</v>
      </c>
    </row>
    <row r="5570" spans="1:19" x14ac:dyDescent="0.25">
      <c r="A5570">
        <v>101052161</v>
      </c>
      <c r="B5570" t="s">
        <v>13728</v>
      </c>
      <c r="C5570" t="s">
        <v>2589</v>
      </c>
      <c r="G5570" t="s">
        <v>13729</v>
      </c>
      <c r="H5570" t="s">
        <v>13730</v>
      </c>
      <c r="I5570" t="s">
        <v>52</v>
      </c>
      <c r="J5570">
        <v>33976</v>
      </c>
      <c r="K5570">
        <v>4770</v>
      </c>
      <c r="L5570" t="s">
        <v>23</v>
      </c>
      <c r="M5570" t="s">
        <v>13729</v>
      </c>
      <c r="N5570" t="s">
        <v>13730</v>
      </c>
      <c r="O5570" t="s">
        <v>52</v>
      </c>
      <c r="P5570">
        <v>33976</v>
      </c>
      <c r="Q5570">
        <v>4770</v>
      </c>
      <c r="R5570" t="s">
        <v>23</v>
      </c>
      <c r="S5570" s="1" t="s">
        <v>34218</v>
      </c>
    </row>
    <row r="5571" spans="1:19" x14ac:dyDescent="0.25">
      <c r="A5571">
        <v>100684412</v>
      </c>
      <c r="B5571" t="s">
        <v>13731</v>
      </c>
      <c r="C5571" t="s">
        <v>3951</v>
      </c>
      <c r="G5571" t="s">
        <v>13732</v>
      </c>
      <c r="H5571" t="s">
        <v>397</v>
      </c>
      <c r="I5571" t="s">
        <v>117</v>
      </c>
      <c r="J5571">
        <v>14534</v>
      </c>
      <c r="K5571">
        <v>1853</v>
      </c>
      <c r="L5571" t="s">
        <v>23</v>
      </c>
      <c r="M5571" t="s">
        <v>13732</v>
      </c>
      <c r="N5571" t="s">
        <v>397</v>
      </c>
      <c r="O5571" t="s">
        <v>117</v>
      </c>
      <c r="P5571">
        <v>14534</v>
      </c>
      <c r="Q5571">
        <v>1853</v>
      </c>
      <c r="R5571" t="s">
        <v>23</v>
      </c>
      <c r="S5571" s="1" t="s">
        <v>34218</v>
      </c>
    </row>
    <row r="5572" spans="1:19" x14ac:dyDescent="0.25">
      <c r="A5572">
        <v>100682563</v>
      </c>
      <c r="B5572" t="s">
        <v>3881</v>
      </c>
      <c r="C5572" t="s">
        <v>5274</v>
      </c>
      <c r="G5572" t="s">
        <v>13733</v>
      </c>
      <c r="H5572" t="s">
        <v>4514</v>
      </c>
      <c r="I5572" t="s">
        <v>2537</v>
      </c>
      <c r="J5572">
        <v>72701</v>
      </c>
      <c r="K5572">
        <v>6046</v>
      </c>
      <c r="L5572" t="s">
        <v>23</v>
      </c>
      <c r="M5572" t="s">
        <v>13733</v>
      </c>
      <c r="N5572" t="s">
        <v>4514</v>
      </c>
      <c r="O5572" t="s">
        <v>2537</v>
      </c>
      <c r="P5572">
        <v>72701</v>
      </c>
      <c r="Q5572">
        <v>6046</v>
      </c>
      <c r="R5572" t="s">
        <v>23</v>
      </c>
      <c r="S5572" s="1" t="s">
        <v>34218</v>
      </c>
    </row>
    <row r="5573" spans="1:19" x14ac:dyDescent="0.25">
      <c r="A5573">
        <v>100693553</v>
      </c>
      <c r="B5573" t="s">
        <v>7084</v>
      </c>
      <c r="C5573" t="s">
        <v>286</v>
      </c>
      <c r="F5573" t="str">
        <f>"5555555555"</f>
        <v>5555555555</v>
      </c>
      <c r="G5573" t="s">
        <v>7085</v>
      </c>
      <c r="H5573" t="s">
        <v>7086</v>
      </c>
      <c r="I5573" t="s">
        <v>22</v>
      </c>
      <c r="J5573">
        <v>95726</v>
      </c>
      <c r="K5573">
        <v>9424</v>
      </c>
      <c r="L5573" t="s">
        <v>23</v>
      </c>
      <c r="M5573" t="s">
        <v>7085</v>
      </c>
      <c r="N5573" t="s">
        <v>7086</v>
      </c>
      <c r="O5573" t="s">
        <v>22</v>
      </c>
      <c r="P5573">
        <v>95726</v>
      </c>
      <c r="Q5573">
        <v>9424</v>
      </c>
      <c r="R5573" t="s">
        <v>23</v>
      </c>
      <c r="S5573" s="1" t="s">
        <v>34218</v>
      </c>
    </row>
    <row r="5574" spans="1:19" x14ac:dyDescent="0.25">
      <c r="A5574">
        <v>100689166</v>
      </c>
      <c r="B5574" t="s">
        <v>13734</v>
      </c>
      <c r="C5574" t="s">
        <v>505</v>
      </c>
      <c r="F5574" t="str">
        <f>"5302687756"</f>
        <v>5302687756</v>
      </c>
      <c r="G5574" t="s">
        <v>13735</v>
      </c>
      <c r="H5574" t="s">
        <v>1396</v>
      </c>
      <c r="I5574" t="s">
        <v>22</v>
      </c>
      <c r="J5574">
        <v>95602</v>
      </c>
      <c r="K5574">
        <v>8275</v>
      </c>
      <c r="L5574" t="s">
        <v>23</v>
      </c>
      <c r="M5574" t="s">
        <v>13735</v>
      </c>
      <c r="N5574" t="s">
        <v>1396</v>
      </c>
      <c r="O5574" t="s">
        <v>22</v>
      </c>
      <c r="P5574">
        <v>95602</v>
      </c>
      <c r="Q5574">
        <v>8275</v>
      </c>
      <c r="R5574" t="s">
        <v>23</v>
      </c>
      <c r="S5574" s="1" t="s">
        <v>34218</v>
      </c>
    </row>
    <row r="5575" spans="1:19" x14ac:dyDescent="0.25">
      <c r="A5575">
        <v>100697543</v>
      </c>
      <c r="B5575" t="s">
        <v>7787</v>
      </c>
      <c r="C5575" t="s">
        <v>4512</v>
      </c>
      <c r="G5575" t="s">
        <v>13736</v>
      </c>
      <c r="H5575" t="s">
        <v>177</v>
      </c>
      <c r="I5575" t="s">
        <v>255</v>
      </c>
      <c r="J5575">
        <v>23005</v>
      </c>
      <c r="K5575">
        <v>3021</v>
      </c>
      <c r="L5575" t="s">
        <v>23</v>
      </c>
      <c r="M5575" t="s">
        <v>13736</v>
      </c>
      <c r="N5575" t="s">
        <v>177</v>
      </c>
      <c r="O5575" t="s">
        <v>255</v>
      </c>
      <c r="P5575">
        <v>23005</v>
      </c>
      <c r="Q5575">
        <v>3021</v>
      </c>
      <c r="R5575" t="s">
        <v>23</v>
      </c>
      <c r="S5575" s="1" t="s">
        <v>34218</v>
      </c>
    </row>
    <row r="5576" spans="1:19" x14ac:dyDescent="0.25">
      <c r="A5576">
        <v>100702110</v>
      </c>
      <c r="B5576" t="s">
        <v>12458</v>
      </c>
      <c r="C5576" t="s">
        <v>582</v>
      </c>
      <c r="G5576" t="s">
        <v>13737</v>
      </c>
      <c r="H5576" t="s">
        <v>653</v>
      </c>
      <c r="I5576" t="s">
        <v>117</v>
      </c>
      <c r="J5576">
        <v>10002</v>
      </c>
      <c r="K5576">
        <v>5129</v>
      </c>
      <c r="L5576" t="s">
        <v>23</v>
      </c>
      <c r="M5576" t="s">
        <v>13737</v>
      </c>
      <c r="N5576" t="s">
        <v>653</v>
      </c>
      <c r="O5576" t="s">
        <v>117</v>
      </c>
      <c r="P5576">
        <v>10002</v>
      </c>
      <c r="Q5576">
        <v>5129</v>
      </c>
      <c r="R5576" t="s">
        <v>23</v>
      </c>
      <c r="S5576" s="1" t="s">
        <v>34218</v>
      </c>
    </row>
    <row r="5577" spans="1:19" x14ac:dyDescent="0.25">
      <c r="A5577">
        <v>100704756</v>
      </c>
      <c r="B5577" t="s">
        <v>13738</v>
      </c>
      <c r="C5577" t="s">
        <v>1959</v>
      </c>
      <c r="G5577" t="s">
        <v>13739</v>
      </c>
      <c r="H5577" t="s">
        <v>66</v>
      </c>
      <c r="I5577" t="s">
        <v>22</v>
      </c>
      <c r="J5577">
        <v>94702</v>
      </c>
      <c r="K5577">
        <v>1001</v>
      </c>
      <c r="L5577" t="s">
        <v>23</v>
      </c>
      <c r="M5577" t="s">
        <v>13739</v>
      </c>
      <c r="N5577" t="s">
        <v>66</v>
      </c>
      <c r="O5577" t="s">
        <v>22</v>
      </c>
      <c r="P5577">
        <v>94702</v>
      </c>
      <c r="Q5577">
        <v>1001</v>
      </c>
      <c r="R5577" t="s">
        <v>23</v>
      </c>
      <c r="S5577" s="1" t="s">
        <v>34218</v>
      </c>
    </row>
    <row r="5578" spans="1:19" x14ac:dyDescent="0.25">
      <c r="A5578">
        <v>100706514</v>
      </c>
      <c r="B5578" t="s">
        <v>13740</v>
      </c>
      <c r="C5578" t="s">
        <v>1638</v>
      </c>
      <c r="G5578" t="s">
        <v>13741</v>
      </c>
      <c r="H5578" t="s">
        <v>638</v>
      </c>
      <c r="I5578" t="s">
        <v>639</v>
      </c>
      <c r="J5578">
        <v>87120</v>
      </c>
      <c r="K5578">
        <v>3503</v>
      </c>
      <c r="L5578" t="s">
        <v>23</v>
      </c>
      <c r="M5578" t="s">
        <v>13741</v>
      </c>
      <c r="N5578" t="s">
        <v>638</v>
      </c>
      <c r="O5578" t="s">
        <v>639</v>
      </c>
      <c r="P5578">
        <v>87120</v>
      </c>
      <c r="Q5578">
        <v>3503</v>
      </c>
      <c r="R5578" t="s">
        <v>23</v>
      </c>
      <c r="S5578" s="1" t="s">
        <v>34218</v>
      </c>
    </row>
    <row r="5579" spans="1:19" x14ac:dyDescent="0.25">
      <c r="A5579">
        <v>100707735</v>
      </c>
      <c r="B5579" t="s">
        <v>13742</v>
      </c>
      <c r="C5579" t="s">
        <v>1327</v>
      </c>
      <c r="G5579" t="s">
        <v>13743</v>
      </c>
      <c r="H5579" t="s">
        <v>450</v>
      </c>
      <c r="I5579" t="s">
        <v>191</v>
      </c>
      <c r="J5579">
        <v>3901</v>
      </c>
      <c r="K5579">
        <v>2112</v>
      </c>
      <c r="L5579" t="s">
        <v>23</v>
      </c>
      <c r="M5579" t="s">
        <v>13743</v>
      </c>
      <c r="N5579" t="s">
        <v>450</v>
      </c>
      <c r="O5579" t="s">
        <v>191</v>
      </c>
      <c r="P5579">
        <v>3901</v>
      </c>
      <c r="Q5579">
        <v>2112</v>
      </c>
      <c r="R5579" t="s">
        <v>23</v>
      </c>
      <c r="S5579" s="1" t="s">
        <v>34218</v>
      </c>
    </row>
    <row r="5580" spans="1:19" x14ac:dyDescent="0.25">
      <c r="A5580">
        <v>100889012</v>
      </c>
      <c r="B5580" t="s">
        <v>13744</v>
      </c>
      <c r="C5580" t="s">
        <v>30</v>
      </c>
      <c r="G5580" t="s">
        <v>13745</v>
      </c>
      <c r="H5580" t="s">
        <v>13746</v>
      </c>
      <c r="I5580" t="s">
        <v>22</v>
      </c>
      <c r="J5580">
        <v>90660</v>
      </c>
      <c r="K5580">
        <v>2842</v>
      </c>
      <c r="L5580" t="s">
        <v>23</v>
      </c>
      <c r="M5580" t="s">
        <v>13745</v>
      </c>
      <c r="N5580" t="s">
        <v>13746</v>
      </c>
      <c r="O5580" t="s">
        <v>22</v>
      </c>
      <c r="P5580">
        <v>90660</v>
      </c>
      <c r="Q5580">
        <v>2842</v>
      </c>
      <c r="R5580" t="s">
        <v>23</v>
      </c>
      <c r="S5580" s="1" t="s">
        <v>34218</v>
      </c>
    </row>
    <row r="5581" spans="1:19" x14ac:dyDescent="0.25">
      <c r="A5581">
        <v>100889803</v>
      </c>
      <c r="B5581" t="s">
        <v>3956</v>
      </c>
      <c r="C5581" t="s">
        <v>5822</v>
      </c>
      <c r="G5581" t="s">
        <v>13747</v>
      </c>
      <c r="H5581" t="s">
        <v>4920</v>
      </c>
      <c r="I5581" t="s">
        <v>57</v>
      </c>
      <c r="J5581">
        <v>47362</v>
      </c>
      <c r="K5581">
        <v>3148</v>
      </c>
      <c r="L5581" t="s">
        <v>23</v>
      </c>
      <c r="M5581" t="s">
        <v>13747</v>
      </c>
      <c r="N5581" t="s">
        <v>4920</v>
      </c>
      <c r="O5581" t="s">
        <v>57</v>
      </c>
      <c r="P5581">
        <v>47362</v>
      </c>
      <c r="Q5581">
        <v>3148</v>
      </c>
      <c r="R5581" t="s">
        <v>23</v>
      </c>
      <c r="S5581" s="1" t="s">
        <v>34218</v>
      </c>
    </row>
    <row r="5582" spans="1:19" x14ac:dyDescent="0.25">
      <c r="A5582">
        <v>100889920</v>
      </c>
      <c r="B5582" t="s">
        <v>5664</v>
      </c>
      <c r="C5582" t="s">
        <v>1616</v>
      </c>
      <c r="G5582" t="s">
        <v>13748</v>
      </c>
      <c r="H5582" t="s">
        <v>1897</v>
      </c>
      <c r="I5582" t="s">
        <v>38</v>
      </c>
      <c r="J5582">
        <v>77401</v>
      </c>
      <c r="K5582">
        <v>5723</v>
      </c>
      <c r="L5582" t="s">
        <v>23</v>
      </c>
      <c r="M5582" t="s">
        <v>13748</v>
      </c>
      <c r="N5582" t="s">
        <v>1897</v>
      </c>
      <c r="O5582" t="s">
        <v>38</v>
      </c>
      <c r="P5582">
        <v>77401</v>
      </c>
      <c r="Q5582">
        <v>5723</v>
      </c>
      <c r="R5582" t="s">
        <v>23</v>
      </c>
      <c r="S5582" s="1" t="s">
        <v>34218</v>
      </c>
    </row>
    <row r="5583" spans="1:19" x14ac:dyDescent="0.25">
      <c r="A5583">
        <v>100890870</v>
      </c>
      <c r="B5583" t="s">
        <v>1749</v>
      </c>
      <c r="C5583" t="s">
        <v>2453</v>
      </c>
      <c r="G5583" t="s">
        <v>13749</v>
      </c>
      <c r="H5583" t="s">
        <v>369</v>
      </c>
      <c r="I5583" t="s">
        <v>236</v>
      </c>
      <c r="J5583">
        <v>1773</v>
      </c>
      <c r="K5583">
        <v>3812</v>
      </c>
      <c r="L5583" t="s">
        <v>23</v>
      </c>
      <c r="M5583" t="s">
        <v>13749</v>
      </c>
      <c r="N5583" t="s">
        <v>369</v>
      </c>
      <c r="O5583" t="s">
        <v>236</v>
      </c>
      <c r="P5583">
        <v>1773</v>
      </c>
      <c r="Q5583">
        <v>3812</v>
      </c>
      <c r="R5583" t="s">
        <v>23</v>
      </c>
      <c r="S5583" s="1" t="s">
        <v>34218</v>
      </c>
    </row>
    <row r="5584" spans="1:19" x14ac:dyDescent="0.25">
      <c r="A5584">
        <v>100894832</v>
      </c>
      <c r="B5584" t="s">
        <v>13750</v>
      </c>
      <c r="C5584" t="s">
        <v>266</v>
      </c>
      <c r="G5584" t="s">
        <v>13751</v>
      </c>
      <c r="H5584" t="s">
        <v>3169</v>
      </c>
      <c r="I5584" t="s">
        <v>84</v>
      </c>
      <c r="J5584">
        <v>98465</v>
      </c>
      <c r="K5584">
        <v>2526</v>
      </c>
      <c r="L5584" t="s">
        <v>23</v>
      </c>
      <c r="M5584" t="s">
        <v>13751</v>
      </c>
      <c r="N5584" t="s">
        <v>3169</v>
      </c>
      <c r="O5584" t="s">
        <v>84</v>
      </c>
      <c r="P5584">
        <v>98465</v>
      </c>
      <c r="Q5584">
        <v>2526</v>
      </c>
      <c r="R5584" t="s">
        <v>23</v>
      </c>
      <c r="S5584" s="1" t="s">
        <v>34218</v>
      </c>
    </row>
    <row r="5585" spans="1:19" x14ac:dyDescent="0.25">
      <c r="A5585">
        <v>100899458</v>
      </c>
      <c r="B5585" t="s">
        <v>13752</v>
      </c>
      <c r="C5585" t="s">
        <v>1157</v>
      </c>
      <c r="G5585" t="s">
        <v>13753</v>
      </c>
      <c r="H5585" t="s">
        <v>6426</v>
      </c>
      <c r="I5585" t="s">
        <v>100</v>
      </c>
      <c r="J5585">
        <v>53507</v>
      </c>
      <c r="K5585">
        <v>9355</v>
      </c>
      <c r="L5585" t="s">
        <v>23</v>
      </c>
      <c r="M5585" t="s">
        <v>13753</v>
      </c>
      <c r="N5585" t="s">
        <v>6426</v>
      </c>
      <c r="O5585" t="s">
        <v>100</v>
      </c>
      <c r="P5585">
        <v>53507</v>
      </c>
      <c r="Q5585">
        <v>9355</v>
      </c>
      <c r="R5585" t="s">
        <v>23</v>
      </c>
      <c r="S5585" s="1" t="s">
        <v>34218</v>
      </c>
    </row>
    <row r="5586" spans="1:19" x14ac:dyDescent="0.25">
      <c r="A5586">
        <v>100899781</v>
      </c>
      <c r="B5586" t="s">
        <v>76</v>
      </c>
      <c r="C5586" t="s">
        <v>1153</v>
      </c>
      <c r="G5586" t="s">
        <v>13754</v>
      </c>
      <c r="H5586" t="s">
        <v>13755</v>
      </c>
      <c r="I5586" t="s">
        <v>191</v>
      </c>
      <c r="J5586">
        <v>4217</v>
      </c>
      <c r="K5586">
        <v>6236</v>
      </c>
      <c r="L5586" t="s">
        <v>23</v>
      </c>
      <c r="M5586" t="s">
        <v>13754</v>
      </c>
      <c r="N5586" t="s">
        <v>13755</v>
      </c>
      <c r="O5586" t="s">
        <v>191</v>
      </c>
      <c r="P5586">
        <v>4217</v>
      </c>
      <c r="Q5586">
        <v>6236</v>
      </c>
      <c r="R5586" t="s">
        <v>23</v>
      </c>
      <c r="S5586" s="1" t="s">
        <v>34218</v>
      </c>
    </row>
    <row r="5587" spans="1:19" x14ac:dyDescent="0.25">
      <c r="A5587">
        <v>100903492</v>
      </c>
      <c r="B5587" t="s">
        <v>13756</v>
      </c>
      <c r="C5587" t="s">
        <v>13757</v>
      </c>
      <c r="G5587" t="s">
        <v>13758</v>
      </c>
      <c r="H5587" t="s">
        <v>13759</v>
      </c>
      <c r="I5587" t="s">
        <v>43</v>
      </c>
      <c r="J5587">
        <v>97457</v>
      </c>
      <c r="K5587">
        <v>9565</v>
      </c>
      <c r="L5587" t="s">
        <v>23</v>
      </c>
      <c r="M5587" t="s">
        <v>13758</v>
      </c>
      <c r="N5587" t="s">
        <v>13759</v>
      </c>
      <c r="O5587" t="s">
        <v>43</v>
      </c>
      <c r="P5587">
        <v>97457</v>
      </c>
      <c r="Q5587">
        <v>9565</v>
      </c>
      <c r="R5587" t="s">
        <v>23</v>
      </c>
      <c r="S5587" s="1" t="s">
        <v>34218</v>
      </c>
    </row>
    <row r="5588" spans="1:19" x14ac:dyDescent="0.25">
      <c r="A5588">
        <v>100732673</v>
      </c>
      <c r="B5588" t="s">
        <v>1554</v>
      </c>
      <c r="C5588" t="s">
        <v>128</v>
      </c>
      <c r="G5588" t="s">
        <v>13760</v>
      </c>
      <c r="H5588" t="s">
        <v>11512</v>
      </c>
      <c r="I5588" t="s">
        <v>255</v>
      </c>
      <c r="J5588">
        <v>23322</v>
      </c>
      <c r="K5588">
        <v>8309</v>
      </c>
      <c r="L5588" t="s">
        <v>23</v>
      </c>
      <c r="M5588" t="s">
        <v>13760</v>
      </c>
      <c r="N5588" t="s">
        <v>11512</v>
      </c>
      <c r="O5588" t="s">
        <v>255</v>
      </c>
      <c r="P5588">
        <v>23322</v>
      </c>
      <c r="Q5588">
        <v>8309</v>
      </c>
      <c r="R5588" t="s">
        <v>23</v>
      </c>
      <c r="S5588" s="1" t="s">
        <v>34218</v>
      </c>
    </row>
    <row r="5589" spans="1:19" x14ac:dyDescent="0.25">
      <c r="A5589">
        <v>100741507</v>
      </c>
      <c r="B5589" t="s">
        <v>13761</v>
      </c>
      <c r="C5589" t="s">
        <v>1818</v>
      </c>
      <c r="G5589" t="s">
        <v>13762</v>
      </c>
      <c r="H5589" t="s">
        <v>8424</v>
      </c>
      <c r="I5589" t="s">
        <v>250</v>
      </c>
      <c r="J5589">
        <v>8226</v>
      </c>
      <c r="K5589">
        <v>4117</v>
      </c>
      <c r="L5589" t="s">
        <v>23</v>
      </c>
      <c r="M5589" t="s">
        <v>13762</v>
      </c>
      <c r="N5589" t="s">
        <v>8424</v>
      </c>
      <c r="O5589" t="s">
        <v>250</v>
      </c>
      <c r="P5589">
        <v>8226</v>
      </c>
      <c r="Q5589">
        <v>4117</v>
      </c>
      <c r="R5589" t="s">
        <v>23</v>
      </c>
      <c r="S5589" s="1" t="s">
        <v>34218</v>
      </c>
    </row>
    <row r="5590" spans="1:19" x14ac:dyDescent="0.25">
      <c r="A5590">
        <v>100740663</v>
      </c>
      <c r="B5590" t="s">
        <v>13763</v>
      </c>
      <c r="C5590" t="s">
        <v>13764</v>
      </c>
      <c r="G5590" t="s">
        <v>13765</v>
      </c>
      <c r="H5590" t="s">
        <v>1405</v>
      </c>
      <c r="I5590" t="s">
        <v>187</v>
      </c>
      <c r="J5590">
        <v>55104</v>
      </c>
      <c r="K5590">
        <v>6129</v>
      </c>
      <c r="L5590" t="s">
        <v>23</v>
      </c>
      <c r="M5590" t="s">
        <v>13765</v>
      </c>
      <c r="N5590" t="s">
        <v>1405</v>
      </c>
      <c r="O5590" t="s">
        <v>187</v>
      </c>
      <c r="P5590">
        <v>55104</v>
      </c>
      <c r="Q5590">
        <v>6129</v>
      </c>
      <c r="R5590" t="s">
        <v>23</v>
      </c>
      <c r="S5590" s="1" t="s">
        <v>34218</v>
      </c>
    </row>
    <row r="5591" spans="1:19" x14ac:dyDescent="0.25">
      <c r="A5591">
        <v>100743512</v>
      </c>
      <c r="B5591" t="s">
        <v>13766</v>
      </c>
      <c r="C5591" t="s">
        <v>102</v>
      </c>
      <c r="G5591" t="s">
        <v>13767</v>
      </c>
      <c r="H5591" t="s">
        <v>3024</v>
      </c>
      <c r="I5591" t="s">
        <v>255</v>
      </c>
      <c r="J5591">
        <v>20190</v>
      </c>
      <c r="K5591">
        <v>4528</v>
      </c>
      <c r="L5591" t="s">
        <v>23</v>
      </c>
      <c r="M5591" t="s">
        <v>13767</v>
      </c>
      <c r="N5591" t="s">
        <v>3024</v>
      </c>
      <c r="O5591" t="s">
        <v>255</v>
      </c>
      <c r="P5591">
        <v>20190</v>
      </c>
      <c r="Q5591">
        <v>4528</v>
      </c>
      <c r="R5591" t="s">
        <v>23</v>
      </c>
      <c r="S5591" s="1" t="s">
        <v>34218</v>
      </c>
    </row>
    <row r="5592" spans="1:19" x14ac:dyDescent="0.25">
      <c r="A5592">
        <v>100741968</v>
      </c>
      <c r="B5592" t="s">
        <v>13768</v>
      </c>
      <c r="C5592" t="s">
        <v>1069</v>
      </c>
      <c r="G5592" t="s">
        <v>13769</v>
      </c>
      <c r="H5592" t="s">
        <v>1531</v>
      </c>
      <c r="I5592" t="s">
        <v>84</v>
      </c>
      <c r="J5592">
        <v>98115</v>
      </c>
      <c r="K5592">
        <v>3117</v>
      </c>
      <c r="L5592" t="s">
        <v>23</v>
      </c>
      <c r="M5592" t="s">
        <v>13769</v>
      </c>
      <c r="N5592" t="s">
        <v>1531</v>
      </c>
      <c r="O5592" t="s">
        <v>84</v>
      </c>
      <c r="P5592">
        <v>98115</v>
      </c>
      <c r="Q5592">
        <v>3117</v>
      </c>
      <c r="R5592" t="s">
        <v>23</v>
      </c>
      <c r="S5592" s="1" t="s">
        <v>34218</v>
      </c>
    </row>
    <row r="5593" spans="1:19" x14ac:dyDescent="0.25">
      <c r="A5593">
        <v>100746081</v>
      </c>
      <c r="B5593" t="s">
        <v>13770</v>
      </c>
      <c r="C5593" t="s">
        <v>1549</v>
      </c>
      <c r="G5593" t="s">
        <v>13771</v>
      </c>
      <c r="H5593" t="s">
        <v>357</v>
      </c>
      <c r="I5593" t="s">
        <v>255</v>
      </c>
      <c r="J5593">
        <v>22302</v>
      </c>
      <c r="K5593">
        <v>3108</v>
      </c>
      <c r="L5593" t="s">
        <v>23</v>
      </c>
      <c r="M5593" t="s">
        <v>13771</v>
      </c>
      <c r="N5593" t="s">
        <v>357</v>
      </c>
      <c r="O5593" t="s">
        <v>255</v>
      </c>
      <c r="P5593">
        <v>22302</v>
      </c>
      <c r="Q5593">
        <v>3108</v>
      </c>
      <c r="R5593" t="s">
        <v>23</v>
      </c>
      <c r="S5593" s="1" t="s">
        <v>34218</v>
      </c>
    </row>
    <row r="5594" spans="1:19" x14ac:dyDescent="0.25">
      <c r="A5594">
        <v>100740021</v>
      </c>
      <c r="B5594" t="s">
        <v>13772</v>
      </c>
      <c r="C5594" t="s">
        <v>1470</v>
      </c>
      <c r="G5594" t="s">
        <v>13773</v>
      </c>
      <c r="H5594" t="s">
        <v>13774</v>
      </c>
      <c r="I5594" t="s">
        <v>187</v>
      </c>
      <c r="J5594">
        <v>55720</v>
      </c>
      <c r="K5594">
        <v>2763</v>
      </c>
      <c r="L5594" t="s">
        <v>23</v>
      </c>
      <c r="M5594" t="s">
        <v>13773</v>
      </c>
      <c r="N5594" t="s">
        <v>13774</v>
      </c>
      <c r="O5594" t="s">
        <v>187</v>
      </c>
      <c r="P5594">
        <v>55720</v>
      </c>
      <c r="Q5594">
        <v>2763</v>
      </c>
      <c r="R5594" t="s">
        <v>23</v>
      </c>
      <c r="S5594" s="1" t="s">
        <v>34218</v>
      </c>
    </row>
    <row r="5595" spans="1:19" x14ac:dyDescent="0.25">
      <c r="A5595">
        <v>100745498</v>
      </c>
      <c r="B5595" t="s">
        <v>12763</v>
      </c>
      <c r="C5595" t="s">
        <v>2497</v>
      </c>
      <c r="G5595" t="s">
        <v>13775</v>
      </c>
      <c r="H5595" t="s">
        <v>13776</v>
      </c>
      <c r="I5595" t="s">
        <v>22</v>
      </c>
      <c r="J5595">
        <v>91748</v>
      </c>
      <c r="K5595">
        <v>4404</v>
      </c>
      <c r="L5595" t="s">
        <v>23</v>
      </c>
      <c r="M5595" t="s">
        <v>13775</v>
      </c>
      <c r="N5595" t="s">
        <v>13776</v>
      </c>
      <c r="O5595" t="s">
        <v>22</v>
      </c>
      <c r="P5595">
        <v>91748</v>
      </c>
      <c r="Q5595">
        <v>4404</v>
      </c>
      <c r="R5595" t="s">
        <v>23</v>
      </c>
      <c r="S5595" s="1" t="s">
        <v>34218</v>
      </c>
    </row>
    <row r="5596" spans="1:19" x14ac:dyDescent="0.25">
      <c r="A5596">
        <v>100747658</v>
      </c>
      <c r="B5596" t="s">
        <v>13777</v>
      </c>
      <c r="C5596" t="s">
        <v>1679</v>
      </c>
      <c r="G5596" t="s">
        <v>13778</v>
      </c>
      <c r="H5596" t="s">
        <v>1080</v>
      </c>
      <c r="I5596" t="s">
        <v>236</v>
      </c>
      <c r="J5596">
        <v>1701</v>
      </c>
      <c r="K5596">
        <v>2642</v>
      </c>
      <c r="L5596" t="s">
        <v>23</v>
      </c>
      <c r="M5596" t="s">
        <v>13778</v>
      </c>
      <c r="N5596" t="s">
        <v>1080</v>
      </c>
      <c r="O5596" t="s">
        <v>236</v>
      </c>
      <c r="P5596">
        <v>1701</v>
      </c>
      <c r="Q5596">
        <v>2642</v>
      </c>
      <c r="R5596" t="s">
        <v>23</v>
      </c>
      <c r="S5596" s="1" t="s">
        <v>34218</v>
      </c>
    </row>
    <row r="5597" spans="1:19" x14ac:dyDescent="0.25">
      <c r="A5597">
        <v>100758427</v>
      </c>
      <c r="B5597" t="s">
        <v>1164</v>
      </c>
      <c r="C5597" t="s">
        <v>1426</v>
      </c>
      <c r="G5597" t="s">
        <v>13779</v>
      </c>
      <c r="H5597" t="s">
        <v>1052</v>
      </c>
      <c r="I5597" t="s">
        <v>22</v>
      </c>
      <c r="J5597">
        <v>94706</v>
      </c>
      <c r="K5597">
        <v>1524</v>
      </c>
      <c r="L5597" t="s">
        <v>23</v>
      </c>
      <c r="M5597" t="s">
        <v>13779</v>
      </c>
      <c r="N5597" t="s">
        <v>1052</v>
      </c>
      <c r="O5597" t="s">
        <v>22</v>
      </c>
      <c r="P5597">
        <v>94706</v>
      </c>
      <c r="Q5597">
        <v>1524</v>
      </c>
      <c r="R5597" t="s">
        <v>23</v>
      </c>
      <c r="S5597" s="1" t="s">
        <v>34218</v>
      </c>
    </row>
    <row r="5598" spans="1:19" x14ac:dyDescent="0.25">
      <c r="A5598">
        <v>100759531</v>
      </c>
      <c r="B5598" t="s">
        <v>13780</v>
      </c>
      <c r="C5598" t="s">
        <v>763</v>
      </c>
      <c r="G5598" t="s">
        <v>13781</v>
      </c>
      <c r="H5598" t="s">
        <v>423</v>
      </c>
      <c r="I5598" t="s">
        <v>71</v>
      </c>
      <c r="J5598">
        <v>80301</v>
      </c>
      <c r="L5598" t="s">
        <v>23</v>
      </c>
      <c r="M5598" t="s">
        <v>13781</v>
      </c>
      <c r="N5598" t="s">
        <v>423</v>
      </c>
      <c r="O5598" t="s">
        <v>71</v>
      </c>
      <c r="P5598">
        <v>80301</v>
      </c>
      <c r="R5598" t="s">
        <v>23</v>
      </c>
      <c r="S5598" s="1" t="s">
        <v>34218</v>
      </c>
    </row>
    <row r="5599" spans="1:19" x14ac:dyDescent="0.25">
      <c r="A5599">
        <v>100943923</v>
      </c>
      <c r="B5599" t="s">
        <v>1800</v>
      </c>
      <c r="C5599" t="s">
        <v>1309</v>
      </c>
      <c r="G5599" t="s">
        <v>13782</v>
      </c>
      <c r="H5599" t="s">
        <v>595</v>
      </c>
      <c r="I5599" t="s">
        <v>57</v>
      </c>
      <c r="J5599">
        <v>46737</v>
      </c>
      <c r="K5599">
        <v>8221</v>
      </c>
      <c r="L5599" t="s">
        <v>23</v>
      </c>
      <c r="M5599" t="s">
        <v>13782</v>
      </c>
      <c r="N5599" t="s">
        <v>595</v>
      </c>
      <c r="O5599" t="s">
        <v>57</v>
      </c>
      <c r="P5599">
        <v>46737</v>
      </c>
      <c r="Q5599">
        <v>8221</v>
      </c>
      <c r="R5599" t="s">
        <v>23</v>
      </c>
      <c r="S5599" s="1" t="s">
        <v>34218</v>
      </c>
    </row>
    <row r="5600" spans="1:19" x14ac:dyDescent="0.25">
      <c r="A5600">
        <v>100943343</v>
      </c>
      <c r="B5600" t="s">
        <v>9237</v>
      </c>
      <c r="C5600" t="s">
        <v>1306</v>
      </c>
      <c r="G5600" t="s">
        <v>13783</v>
      </c>
      <c r="H5600" t="s">
        <v>13784</v>
      </c>
      <c r="I5600" t="s">
        <v>43</v>
      </c>
      <c r="J5600">
        <v>97741</v>
      </c>
      <c r="K5600">
        <v>9396</v>
      </c>
      <c r="L5600" t="s">
        <v>23</v>
      </c>
      <c r="M5600" t="s">
        <v>13783</v>
      </c>
      <c r="N5600" t="s">
        <v>13784</v>
      </c>
      <c r="O5600" t="s">
        <v>43</v>
      </c>
      <c r="P5600">
        <v>97741</v>
      </c>
      <c r="Q5600">
        <v>9396</v>
      </c>
      <c r="R5600" t="s">
        <v>23</v>
      </c>
      <c r="S5600" s="1" t="s">
        <v>34218</v>
      </c>
    </row>
    <row r="5601" spans="1:19" x14ac:dyDescent="0.25">
      <c r="A5601">
        <v>100947531</v>
      </c>
      <c r="B5601" t="s">
        <v>13785</v>
      </c>
      <c r="C5601" t="s">
        <v>894</v>
      </c>
      <c r="G5601" t="s">
        <v>13786</v>
      </c>
      <c r="H5601" t="s">
        <v>13787</v>
      </c>
      <c r="I5601" t="s">
        <v>914</v>
      </c>
      <c r="J5601">
        <v>37774</v>
      </c>
      <c r="K5601">
        <v>7555</v>
      </c>
      <c r="L5601" t="s">
        <v>23</v>
      </c>
      <c r="M5601" t="s">
        <v>13786</v>
      </c>
      <c r="N5601" t="s">
        <v>13787</v>
      </c>
      <c r="O5601" t="s">
        <v>914</v>
      </c>
      <c r="P5601">
        <v>37774</v>
      </c>
      <c r="Q5601">
        <v>7555</v>
      </c>
      <c r="R5601" t="s">
        <v>23</v>
      </c>
      <c r="S5601" s="1" t="s">
        <v>34218</v>
      </c>
    </row>
    <row r="5602" spans="1:19" x14ac:dyDescent="0.25">
      <c r="A5602">
        <v>100952262</v>
      </c>
      <c r="B5602" t="s">
        <v>1425</v>
      </c>
      <c r="C5602" t="s">
        <v>3511</v>
      </c>
      <c r="G5602" t="s">
        <v>13788</v>
      </c>
      <c r="H5602" t="s">
        <v>1857</v>
      </c>
      <c r="I5602" t="s">
        <v>702</v>
      </c>
      <c r="J5602">
        <v>89521</v>
      </c>
      <c r="K5602">
        <v>9677</v>
      </c>
      <c r="L5602" t="s">
        <v>23</v>
      </c>
      <c r="M5602" t="s">
        <v>13788</v>
      </c>
      <c r="N5602" t="s">
        <v>1857</v>
      </c>
      <c r="O5602" t="s">
        <v>702</v>
      </c>
      <c r="P5602">
        <v>89521</v>
      </c>
      <c r="Q5602">
        <v>9677</v>
      </c>
      <c r="R5602" t="s">
        <v>23</v>
      </c>
      <c r="S5602" s="1" t="s">
        <v>34218</v>
      </c>
    </row>
    <row r="5603" spans="1:19" x14ac:dyDescent="0.25">
      <c r="A5603">
        <v>100945962</v>
      </c>
      <c r="B5603" t="s">
        <v>7436</v>
      </c>
      <c r="C5603" t="s">
        <v>2463</v>
      </c>
      <c r="G5603" t="s">
        <v>13789</v>
      </c>
      <c r="H5603" t="s">
        <v>7480</v>
      </c>
      <c r="I5603" t="s">
        <v>38</v>
      </c>
      <c r="J5603">
        <v>76063</v>
      </c>
      <c r="K5603">
        <v>8000</v>
      </c>
      <c r="L5603" t="s">
        <v>23</v>
      </c>
      <c r="M5603" t="s">
        <v>13789</v>
      </c>
      <c r="N5603" t="s">
        <v>7480</v>
      </c>
      <c r="O5603" t="s">
        <v>38</v>
      </c>
      <c r="P5603">
        <v>76063</v>
      </c>
      <c r="Q5603">
        <v>8000</v>
      </c>
      <c r="R5603" t="s">
        <v>23</v>
      </c>
      <c r="S5603" s="1" t="s">
        <v>34218</v>
      </c>
    </row>
    <row r="5604" spans="1:19" x14ac:dyDescent="0.25">
      <c r="A5604">
        <v>100953016</v>
      </c>
      <c r="B5604" t="s">
        <v>13790</v>
      </c>
      <c r="C5604" t="s">
        <v>13791</v>
      </c>
      <c r="G5604" t="s">
        <v>13792</v>
      </c>
      <c r="H5604" t="s">
        <v>207</v>
      </c>
      <c r="I5604" t="s">
        <v>22</v>
      </c>
      <c r="J5604">
        <v>93722</v>
      </c>
      <c r="K5604">
        <v>6016</v>
      </c>
      <c r="L5604" t="s">
        <v>23</v>
      </c>
      <c r="M5604" t="s">
        <v>13792</v>
      </c>
      <c r="N5604" t="s">
        <v>207</v>
      </c>
      <c r="O5604" t="s">
        <v>22</v>
      </c>
      <c r="P5604">
        <v>93722</v>
      </c>
      <c r="Q5604">
        <v>6016</v>
      </c>
      <c r="R5604" t="s">
        <v>23</v>
      </c>
      <c r="S5604" s="1" t="s">
        <v>34218</v>
      </c>
    </row>
    <row r="5605" spans="1:19" x14ac:dyDescent="0.25">
      <c r="A5605">
        <v>101469273</v>
      </c>
      <c r="B5605" t="s">
        <v>13793</v>
      </c>
      <c r="C5605" t="s">
        <v>3590</v>
      </c>
      <c r="G5605" t="s">
        <v>13794</v>
      </c>
      <c r="H5605" t="s">
        <v>9851</v>
      </c>
      <c r="I5605" t="s">
        <v>52</v>
      </c>
      <c r="J5605">
        <v>34747</v>
      </c>
      <c r="L5605" t="s">
        <v>23</v>
      </c>
      <c r="M5605" t="s">
        <v>13794</v>
      </c>
      <c r="N5605" t="s">
        <v>9851</v>
      </c>
      <c r="O5605" t="s">
        <v>52</v>
      </c>
      <c r="P5605">
        <v>34747</v>
      </c>
      <c r="R5605" t="s">
        <v>23</v>
      </c>
      <c r="S5605" s="1" t="s">
        <v>34218</v>
      </c>
    </row>
    <row r="5606" spans="1:19" x14ac:dyDescent="0.25">
      <c r="A5606">
        <v>101470940</v>
      </c>
      <c r="B5606" t="s">
        <v>3956</v>
      </c>
      <c r="C5606" t="s">
        <v>1955</v>
      </c>
      <c r="G5606" t="s">
        <v>13795</v>
      </c>
      <c r="H5606" t="s">
        <v>1048</v>
      </c>
      <c r="I5606" t="s">
        <v>914</v>
      </c>
      <c r="J5606">
        <v>37075</v>
      </c>
      <c r="L5606" t="s">
        <v>23</v>
      </c>
      <c r="M5606" t="s">
        <v>13795</v>
      </c>
      <c r="N5606" t="s">
        <v>1048</v>
      </c>
      <c r="O5606" t="s">
        <v>914</v>
      </c>
      <c r="P5606">
        <v>37075</v>
      </c>
      <c r="R5606" t="s">
        <v>23</v>
      </c>
      <c r="S5606" s="1" t="s">
        <v>34218</v>
      </c>
    </row>
    <row r="5607" spans="1:19" x14ac:dyDescent="0.25">
      <c r="A5607">
        <v>100551832</v>
      </c>
      <c r="B5607" t="s">
        <v>13796</v>
      </c>
      <c r="C5607" t="s">
        <v>3670</v>
      </c>
      <c r="G5607" t="s">
        <v>13797</v>
      </c>
      <c r="H5607" t="s">
        <v>5535</v>
      </c>
      <c r="I5607" t="s">
        <v>22</v>
      </c>
      <c r="J5607">
        <v>92841</v>
      </c>
      <c r="K5607">
        <v>4918</v>
      </c>
      <c r="L5607" t="s">
        <v>23</v>
      </c>
      <c r="M5607" t="s">
        <v>13797</v>
      </c>
      <c r="N5607" t="s">
        <v>5535</v>
      </c>
      <c r="O5607" t="s">
        <v>22</v>
      </c>
      <c r="P5607">
        <v>92841</v>
      </c>
      <c r="Q5607">
        <v>4918</v>
      </c>
      <c r="R5607" t="s">
        <v>23</v>
      </c>
      <c r="S5607" s="1" t="s">
        <v>34218</v>
      </c>
    </row>
    <row r="5608" spans="1:19" x14ac:dyDescent="0.25">
      <c r="A5608">
        <v>100556455</v>
      </c>
      <c r="B5608" t="s">
        <v>13798</v>
      </c>
      <c r="C5608" t="s">
        <v>2599</v>
      </c>
      <c r="G5608" t="s">
        <v>13799</v>
      </c>
      <c r="H5608" t="s">
        <v>2175</v>
      </c>
      <c r="I5608" t="s">
        <v>71</v>
      </c>
      <c r="J5608">
        <v>80110</v>
      </c>
      <c r="K5608">
        <v>2319</v>
      </c>
      <c r="L5608" t="s">
        <v>23</v>
      </c>
      <c r="M5608" t="s">
        <v>13799</v>
      </c>
      <c r="N5608" t="s">
        <v>2175</v>
      </c>
      <c r="O5608" t="s">
        <v>71</v>
      </c>
      <c r="P5608">
        <v>80110</v>
      </c>
      <c r="Q5608">
        <v>2319</v>
      </c>
      <c r="R5608" t="s">
        <v>23</v>
      </c>
      <c r="S5608" s="1" t="s">
        <v>34218</v>
      </c>
    </row>
    <row r="5609" spans="1:19" x14ac:dyDescent="0.25">
      <c r="A5609">
        <v>100553723</v>
      </c>
      <c r="B5609" t="s">
        <v>13800</v>
      </c>
      <c r="C5609" t="s">
        <v>1241</v>
      </c>
      <c r="G5609" t="s">
        <v>13801</v>
      </c>
      <c r="H5609" t="s">
        <v>3256</v>
      </c>
      <c r="I5609" t="s">
        <v>255</v>
      </c>
      <c r="J5609">
        <v>23661</v>
      </c>
      <c r="K5609">
        <v>3407</v>
      </c>
      <c r="L5609" t="s">
        <v>23</v>
      </c>
      <c r="M5609" t="s">
        <v>13801</v>
      </c>
      <c r="N5609" t="s">
        <v>3256</v>
      </c>
      <c r="O5609" t="s">
        <v>255</v>
      </c>
      <c r="P5609">
        <v>23661</v>
      </c>
      <c r="Q5609">
        <v>3407</v>
      </c>
      <c r="R5609" t="s">
        <v>23</v>
      </c>
      <c r="S5609" s="1" t="s">
        <v>34218</v>
      </c>
    </row>
    <row r="5610" spans="1:19" x14ac:dyDescent="0.25">
      <c r="A5610">
        <v>100556602</v>
      </c>
      <c r="B5610" t="s">
        <v>13802</v>
      </c>
      <c r="C5610" t="s">
        <v>13803</v>
      </c>
      <c r="G5610" t="s">
        <v>13804</v>
      </c>
      <c r="H5610" t="s">
        <v>169</v>
      </c>
      <c r="I5610" t="s">
        <v>170</v>
      </c>
      <c r="J5610">
        <v>20015</v>
      </c>
      <c r="K5610">
        <v>2756</v>
      </c>
      <c r="L5610" t="s">
        <v>23</v>
      </c>
      <c r="M5610" t="s">
        <v>13804</v>
      </c>
      <c r="N5610" t="s">
        <v>169</v>
      </c>
      <c r="O5610" t="s">
        <v>170</v>
      </c>
      <c r="P5610">
        <v>20015</v>
      </c>
      <c r="Q5610">
        <v>2756</v>
      </c>
      <c r="R5610" t="s">
        <v>23</v>
      </c>
      <c r="S5610" s="1" t="s">
        <v>34218</v>
      </c>
    </row>
    <row r="5611" spans="1:19" x14ac:dyDescent="0.25">
      <c r="A5611">
        <v>100555475</v>
      </c>
      <c r="B5611" t="s">
        <v>13805</v>
      </c>
      <c r="C5611" t="s">
        <v>13806</v>
      </c>
      <c r="G5611" t="s">
        <v>13807</v>
      </c>
      <c r="H5611" t="s">
        <v>13808</v>
      </c>
      <c r="I5611" t="s">
        <v>135</v>
      </c>
      <c r="J5611">
        <v>60053</v>
      </c>
      <c r="K5611">
        <v>2236</v>
      </c>
      <c r="L5611" t="s">
        <v>23</v>
      </c>
      <c r="M5611" t="s">
        <v>13807</v>
      </c>
      <c r="N5611" t="s">
        <v>13808</v>
      </c>
      <c r="O5611" t="s">
        <v>135</v>
      </c>
      <c r="P5611">
        <v>60053</v>
      </c>
      <c r="Q5611">
        <v>2236</v>
      </c>
      <c r="R5611" t="s">
        <v>23</v>
      </c>
      <c r="S5611" s="1" t="s">
        <v>34218</v>
      </c>
    </row>
    <row r="5612" spans="1:19" x14ac:dyDescent="0.25">
      <c r="A5612">
        <v>100559045</v>
      </c>
      <c r="B5612" t="s">
        <v>13809</v>
      </c>
      <c r="C5612" t="s">
        <v>13810</v>
      </c>
      <c r="G5612" t="s">
        <v>13811</v>
      </c>
      <c r="H5612" t="s">
        <v>701</v>
      </c>
      <c r="I5612" t="s">
        <v>702</v>
      </c>
      <c r="J5612">
        <v>89084</v>
      </c>
      <c r="K5612">
        <v>3805</v>
      </c>
      <c r="L5612" t="s">
        <v>23</v>
      </c>
      <c r="M5612" t="s">
        <v>13811</v>
      </c>
      <c r="N5612" t="s">
        <v>701</v>
      </c>
      <c r="O5612" t="s">
        <v>702</v>
      </c>
      <c r="P5612">
        <v>89084</v>
      </c>
      <c r="Q5612">
        <v>3805</v>
      </c>
      <c r="R5612" t="s">
        <v>23</v>
      </c>
      <c r="S5612" s="1" t="s">
        <v>34218</v>
      </c>
    </row>
    <row r="5613" spans="1:19" x14ac:dyDescent="0.25">
      <c r="A5613">
        <v>100563268</v>
      </c>
      <c r="B5613" t="s">
        <v>13812</v>
      </c>
      <c r="C5613" t="s">
        <v>13813</v>
      </c>
      <c r="F5613" t="str">
        <f>"7186334141"</f>
        <v>7186334141</v>
      </c>
      <c r="G5613" t="s">
        <v>13814</v>
      </c>
      <c r="H5613" t="s">
        <v>412</v>
      </c>
      <c r="I5613" t="s">
        <v>117</v>
      </c>
      <c r="J5613">
        <v>11230</v>
      </c>
      <c r="K5613">
        <v>1017</v>
      </c>
      <c r="L5613" t="s">
        <v>23</v>
      </c>
      <c r="M5613" t="s">
        <v>13814</v>
      </c>
      <c r="N5613" t="s">
        <v>412</v>
      </c>
      <c r="O5613" t="s">
        <v>117</v>
      </c>
      <c r="P5613">
        <v>11230</v>
      </c>
      <c r="Q5613">
        <v>1017</v>
      </c>
      <c r="R5613" t="s">
        <v>23</v>
      </c>
      <c r="S5613" s="1" t="s">
        <v>34218</v>
      </c>
    </row>
    <row r="5614" spans="1:19" x14ac:dyDescent="0.25">
      <c r="A5614">
        <v>100570127</v>
      </c>
      <c r="B5614" t="s">
        <v>13815</v>
      </c>
      <c r="C5614" t="s">
        <v>3714</v>
      </c>
      <c r="F5614" t="str">
        <f>"2122427933"</f>
        <v>2122427933</v>
      </c>
      <c r="G5614" t="s">
        <v>13816</v>
      </c>
      <c r="H5614" t="s">
        <v>653</v>
      </c>
      <c r="I5614" t="s">
        <v>117</v>
      </c>
      <c r="J5614">
        <v>10011</v>
      </c>
      <c r="K5614">
        <v>2949</v>
      </c>
      <c r="L5614" t="s">
        <v>23</v>
      </c>
      <c r="M5614" t="s">
        <v>13816</v>
      </c>
      <c r="N5614" t="s">
        <v>653</v>
      </c>
      <c r="O5614" t="s">
        <v>117</v>
      </c>
      <c r="P5614">
        <v>10011</v>
      </c>
      <c r="Q5614">
        <v>2949</v>
      </c>
      <c r="R5614" t="s">
        <v>23</v>
      </c>
      <c r="S5614" s="1" t="s">
        <v>34218</v>
      </c>
    </row>
    <row r="5615" spans="1:19" x14ac:dyDescent="0.25">
      <c r="A5615">
        <v>100577305</v>
      </c>
      <c r="B5615" t="s">
        <v>12458</v>
      </c>
      <c r="C5615" t="s">
        <v>6214</v>
      </c>
      <c r="F5615" t="str">
        <f>"5032469628"</f>
        <v>5032469628</v>
      </c>
      <c r="G5615" t="s">
        <v>13817</v>
      </c>
      <c r="H5615" t="s">
        <v>227</v>
      </c>
      <c r="I5615" t="s">
        <v>43</v>
      </c>
      <c r="J5615">
        <v>97210</v>
      </c>
      <c r="K5615">
        <v>2986</v>
      </c>
      <c r="L5615" t="s">
        <v>23</v>
      </c>
      <c r="M5615" t="s">
        <v>13817</v>
      </c>
      <c r="N5615" t="s">
        <v>227</v>
      </c>
      <c r="O5615" t="s">
        <v>43</v>
      </c>
      <c r="P5615">
        <v>97210</v>
      </c>
      <c r="Q5615">
        <v>2986</v>
      </c>
      <c r="R5615" t="s">
        <v>23</v>
      </c>
      <c r="S5615" s="1" t="s">
        <v>34218</v>
      </c>
    </row>
    <row r="5616" spans="1:19" x14ac:dyDescent="0.25">
      <c r="A5616">
        <v>100763261</v>
      </c>
      <c r="B5616" t="s">
        <v>7440</v>
      </c>
      <c r="C5616" t="s">
        <v>2515</v>
      </c>
      <c r="G5616" t="s">
        <v>13818</v>
      </c>
      <c r="H5616" t="s">
        <v>11668</v>
      </c>
      <c r="I5616" t="s">
        <v>33</v>
      </c>
      <c r="J5616">
        <v>19038</v>
      </c>
      <c r="K5616">
        <v>2810</v>
      </c>
      <c r="L5616" t="s">
        <v>23</v>
      </c>
      <c r="M5616" t="s">
        <v>13818</v>
      </c>
      <c r="N5616" t="s">
        <v>11668</v>
      </c>
      <c r="O5616" t="s">
        <v>33</v>
      </c>
      <c r="P5616">
        <v>19038</v>
      </c>
      <c r="Q5616">
        <v>2810</v>
      </c>
      <c r="R5616" t="s">
        <v>23</v>
      </c>
      <c r="S5616" s="1" t="s">
        <v>34218</v>
      </c>
    </row>
    <row r="5617" spans="1:19" x14ac:dyDescent="0.25">
      <c r="A5617">
        <v>100907424</v>
      </c>
      <c r="B5617" t="s">
        <v>13819</v>
      </c>
      <c r="C5617" t="s">
        <v>585</v>
      </c>
      <c r="G5617" t="s">
        <v>13820</v>
      </c>
      <c r="H5617" t="s">
        <v>299</v>
      </c>
      <c r="I5617" t="s">
        <v>22</v>
      </c>
      <c r="J5617">
        <v>90004</v>
      </c>
      <c r="K5617">
        <v>2815</v>
      </c>
      <c r="L5617" t="s">
        <v>23</v>
      </c>
      <c r="M5617" t="s">
        <v>13820</v>
      </c>
      <c r="N5617" t="s">
        <v>299</v>
      </c>
      <c r="O5617" t="s">
        <v>22</v>
      </c>
      <c r="P5617">
        <v>90004</v>
      </c>
      <c r="Q5617">
        <v>2815</v>
      </c>
      <c r="R5617" t="s">
        <v>23</v>
      </c>
      <c r="S5617" s="1" t="s">
        <v>34218</v>
      </c>
    </row>
    <row r="5618" spans="1:19" x14ac:dyDescent="0.25">
      <c r="A5618">
        <v>100910028</v>
      </c>
      <c r="B5618" t="s">
        <v>13821</v>
      </c>
      <c r="C5618" t="s">
        <v>641</v>
      </c>
      <c r="G5618" t="s">
        <v>13822</v>
      </c>
      <c r="H5618" t="s">
        <v>4108</v>
      </c>
      <c r="I5618" t="s">
        <v>236</v>
      </c>
      <c r="J5618">
        <v>2184</v>
      </c>
      <c r="K5618">
        <v>8256</v>
      </c>
      <c r="L5618" t="s">
        <v>23</v>
      </c>
      <c r="M5618" t="s">
        <v>13822</v>
      </c>
      <c r="N5618" t="s">
        <v>4108</v>
      </c>
      <c r="O5618" t="s">
        <v>236</v>
      </c>
      <c r="P5618">
        <v>2184</v>
      </c>
      <c r="Q5618">
        <v>8256</v>
      </c>
      <c r="R5618" t="s">
        <v>23</v>
      </c>
      <c r="S5618" s="1" t="s">
        <v>34218</v>
      </c>
    </row>
    <row r="5619" spans="1:19" x14ac:dyDescent="0.25">
      <c r="A5619">
        <v>101100418</v>
      </c>
      <c r="B5619" t="s">
        <v>13823</v>
      </c>
      <c r="C5619" t="s">
        <v>1632</v>
      </c>
      <c r="G5619" t="s">
        <v>13824</v>
      </c>
      <c r="H5619" t="s">
        <v>1402</v>
      </c>
      <c r="I5619" t="s">
        <v>38</v>
      </c>
      <c r="J5619">
        <v>77061</v>
      </c>
      <c r="K5619">
        <v>2129</v>
      </c>
      <c r="L5619" t="s">
        <v>23</v>
      </c>
      <c r="M5619" t="s">
        <v>13824</v>
      </c>
      <c r="N5619" t="s">
        <v>1402</v>
      </c>
      <c r="O5619" t="s">
        <v>38</v>
      </c>
      <c r="P5619">
        <v>77061</v>
      </c>
      <c r="Q5619">
        <v>2129</v>
      </c>
      <c r="R5619" t="s">
        <v>23</v>
      </c>
      <c r="S5619" s="1" t="s">
        <v>34218</v>
      </c>
    </row>
    <row r="5620" spans="1:19" x14ac:dyDescent="0.25">
      <c r="A5620">
        <v>101095634</v>
      </c>
      <c r="B5620" t="s">
        <v>10753</v>
      </c>
      <c r="C5620" t="s">
        <v>2062</v>
      </c>
      <c r="G5620" t="s">
        <v>13825</v>
      </c>
      <c r="H5620" t="s">
        <v>13826</v>
      </c>
      <c r="I5620" t="s">
        <v>255</v>
      </c>
      <c r="J5620">
        <v>23139</v>
      </c>
      <c r="K5620">
        <v>6141</v>
      </c>
      <c r="L5620" t="s">
        <v>23</v>
      </c>
      <c r="M5620" t="s">
        <v>13825</v>
      </c>
      <c r="N5620" t="s">
        <v>13826</v>
      </c>
      <c r="O5620" t="s">
        <v>255</v>
      </c>
      <c r="P5620">
        <v>23139</v>
      </c>
      <c r="Q5620">
        <v>6141</v>
      </c>
      <c r="R5620" t="s">
        <v>23</v>
      </c>
      <c r="S5620" s="1" t="s">
        <v>34218</v>
      </c>
    </row>
    <row r="5621" spans="1:19" x14ac:dyDescent="0.25">
      <c r="A5621">
        <v>101099831</v>
      </c>
      <c r="B5621" t="s">
        <v>13827</v>
      </c>
      <c r="C5621" t="s">
        <v>1153</v>
      </c>
      <c r="F5621" t="str">
        <f>"5032364087"</f>
        <v>5032364087</v>
      </c>
      <c r="G5621" t="s">
        <v>13828</v>
      </c>
      <c r="H5621" t="s">
        <v>227</v>
      </c>
      <c r="I5621" t="s">
        <v>43</v>
      </c>
      <c r="J5621">
        <v>97215</v>
      </c>
      <c r="K5621">
        <v>2265</v>
      </c>
      <c r="L5621" t="s">
        <v>23</v>
      </c>
      <c r="M5621" t="s">
        <v>13828</v>
      </c>
      <c r="N5621" t="s">
        <v>227</v>
      </c>
      <c r="O5621" t="s">
        <v>43</v>
      </c>
      <c r="P5621">
        <v>97215</v>
      </c>
      <c r="Q5621">
        <v>2265</v>
      </c>
      <c r="R5621" t="s">
        <v>23</v>
      </c>
      <c r="S5621" s="1" t="s">
        <v>34218</v>
      </c>
    </row>
    <row r="5622" spans="1:19" x14ac:dyDescent="0.25">
      <c r="A5622">
        <v>101098925</v>
      </c>
      <c r="B5622" t="s">
        <v>6060</v>
      </c>
      <c r="C5622" t="s">
        <v>123</v>
      </c>
      <c r="G5622" t="s">
        <v>13829</v>
      </c>
      <c r="H5622" t="s">
        <v>481</v>
      </c>
      <c r="I5622" t="s">
        <v>22</v>
      </c>
      <c r="J5622">
        <v>95127</v>
      </c>
      <c r="K5622">
        <v>2045</v>
      </c>
      <c r="L5622" t="s">
        <v>23</v>
      </c>
      <c r="M5622" t="s">
        <v>13829</v>
      </c>
      <c r="N5622" t="s">
        <v>481</v>
      </c>
      <c r="O5622" t="s">
        <v>22</v>
      </c>
      <c r="P5622">
        <v>95127</v>
      </c>
      <c r="Q5622">
        <v>2045</v>
      </c>
      <c r="R5622" t="s">
        <v>23</v>
      </c>
      <c r="S5622" s="1" t="s">
        <v>34218</v>
      </c>
    </row>
    <row r="5623" spans="1:19" x14ac:dyDescent="0.25">
      <c r="A5623">
        <v>101100749</v>
      </c>
      <c r="B5623" t="s">
        <v>6598</v>
      </c>
      <c r="C5623" t="s">
        <v>1306</v>
      </c>
      <c r="G5623" t="s">
        <v>13830</v>
      </c>
      <c r="H5623" t="s">
        <v>13831</v>
      </c>
      <c r="I5623" t="s">
        <v>250</v>
      </c>
      <c r="J5623">
        <v>7069</v>
      </c>
      <c r="K5623">
        <v>6120</v>
      </c>
      <c r="L5623" t="s">
        <v>23</v>
      </c>
      <c r="M5623" t="s">
        <v>13830</v>
      </c>
      <c r="N5623" t="s">
        <v>13831</v>
      </c>
      <c r="O5623" t="s">
        <v>250</v>
      </c>
      <c r="P5623">
        <v>7069</v>
      </c>
      <c r="Q5623">
        <v>6120</v>
      </c>
      <c r="R5623" t="s">
        <v>23</v>
      </c>
      <c r="S5623" s="1" t="s">
        <v>34218</v>
      </c>
    </row>
    <row r="5624" spans="1:19" x14ac:dyDescent="0.25">
      <c r="A5624">
        <v>101099913</v>
      </c>
      <c r="B5624" t="s">
        <v>2238</v>
      </c>
      <c r="C5624" t="s">
        <v>2343</v>
      </c>
      <c r="G5624" t="s">
        <v>13832</v>
      </c>
      <c r="H5624" t="s">
        <v>1531</v>
      </c>
      <c r="I5624" t="s">
        <v>84</v>
      </c>
      <c r="J5624">
        <v>98107</v>
      </c>
      <c r="K5624">
        <v>2555</v>
      </c>
      <c r="L5624" t="s">
        <v>23</v>
      </c>
      <c r="M5624" t="s">
        <v>13832</v>
      </c>
      <c r="N5624" t="s">
        <v>1531</v>
      </c>
      <c r="O5624" t="s">
        <v>84</v>
      </c>
      <c r="P5624">
        <v>98107</v>
      </c>
      <c r="Q5624">
        <v>2555</v>
      </c>
      <c r="R5624" t="s">
        <v>23</v>
      </c>
      <c r="S5624" s="1" t="s">
        <v>34218</v>
      </c>
    </row>
    <row r="5625" spans="1:19" x14ac:dyDescent="0.25">
      <c r="A5625">
        <v>101107149</v>
      </c>
      <c r="B5625" t="s">
        <v>13833</v>
      </c>
      <c r="C5625" t="s">
        <v>13834</v>
      </c>
      <c r="G5625" t="s">
        <v>13835</v>
      </c>
      <c r="H5625" t="s">
        <v>13039</v>
      </c>
      <c r="I5625" t="s">
        <v>22</v>
      </c>
      <c r="J5625">
        <v>96161</v>
      </c>
      <c r="K5625">
        <v>4923</v>
      </c>
      <c r="L5625" t="s">
        <v>23</v>
      </c>
      <c r="M5625" t="s">
        <v>13835</v>
      </c>
      <c r="N5625" t="s">
        <v>13039</v>
      </c>
      <c r="O5625" t="s">
        <v>22</v>
      </c>
      <c r="P5625">
        <v>96161</v>
      </c>
      <c r="Q5625">
        <v>4923</v>
      </c>
      <c r="R5625" t="s">
        <v>23</v>
      </c>
      <c r="S5625" s="1" t="s">
        <v>34218</v>
      </c>
    </row>
    <row r="5626" spans="1:19" x14ac:dyDescent="0.25">
      <c r="A5626">
        <v>101107183</v>
      </c>
      <c r="B5626" t="s">
        <v>1545</v>
      </c>
      <c r="C5626" t="s">
        <v>13836</v>
      </c>
      <c r="F5626" t="str">
        <f>"9196603373"</f>
        <v>9196603373</v>
      </c>
      <c r="G5626" t="s">
        <v>13837</v>
      </c>
      <c r="H5626" t="s">
        <v>2046</v>
      </c>
      <c r="I5626" t="s">
        <v>446</v>
      </c>
      <c r="J5626">
        <v>27707</v>
      </c>
      <c r="K5626">
        <v>1311</v>
      </c>
      <c r="L5626" t="s">
        <v>23</v>
      </c>
      <c r="M5626" t="s">
        <v>13837</v>
      </c>
      <c r="N5626" t="s">
        <v>2046</v>
      </c>
      <c r="O5626" t="s">
        <v>446</v>
      </c>
      <c r="P5626">
        <v>27707</v>
      </c>
      <c r="Q5626">
        <v>1311</v>
      </c>
      <c r="R5626" t="s">
        <v>23</v>
      </c>
      <c r="S5626" s="1" t="s">
        <v>34218</v>
      </c>
    </row>
    <row r="5627" spans="1:19" x14ac:dyDescent="0.25">
      <c r="A5627">
        <v>101106710</v>
      </c>
      <c r="B5627" t="s">
        <v>13838</v>
      </c>
      <c r="C5627" t="s">
        <v>286</v>
      </c>
      <c r="G5627" t="s">
        <v>13839</v>
      </c>
      <c r="H5627" t="s">
        <v>13840</v>
      </c>
      <c r="I5627" t="s">
        <v>100</v>
      </c>
      <c r="J5627">
        <v>54410</v>
      </c>
      <c r="K5627">
        <v>9740</v>
      </c>
      <c r="L5627" t="s">
        <v>23</v>
      </c>
      <c r="M5627" t="s">
        <v>13839</v>
      </c>
      <c r="N5627" t="s">
        <v>13840</v>
      </c>
      <c r="O5627" t="s">
        <v>100</v>
      </c>
      <c r="P5627">
        <v>54410</v>
      </c>
      <c r="Q5627">
        <v>9740</v>
      </c>
      <c r="R5627" t="s">
        <v>23</v>
      </c>
      <c r="S5627" s="1" t="s">
        <v>34218</v>
      </c>
    </row>
    <row r="5628" spans="1:19" x14ac:dyDescent="0.25">
      <c r="A5628">
        <v>101109377</v>
      </c>
      <c r="B5628" t="s">
        <v>13841</v>
      </c>
      <c r="C5628" t="s">
        <v>1327</v>
      </c>
      <c r="G5628" t="s">
        <v>13842</v>
      </c>
      <c r="H5628" t="s">
        <v>13843</v>
      </c>
      <c r="I5628" t="s">
        <v>117</v>
      </c>
      <c r="J5628">
        <v>14047</v>
      </c>
      <c r="K5628">
        <v>9308</v>
      </c>
      <c r="L5628" t="s">
        <v>23</v>
      </c>
      <c r="M5628" t="s">
        <v>13842</v>
      </c>
      <c r="N5628" t="s">
        <v>13843</v>
      </c>
      <c r="O5628" t="s">
        <v>117</v>
      </c>
      <c r="P5628">
        <v>14047</v>
      </c>
      <c r="Q5628">
        <v>9308</v>
      </c>
      <c r="R5628" t="s">
        <v>23</v>
      </c>
      <c r="S5628" s="1" t="s">
        <v>34218</v>
      </c>
    </row>
    <row r="5629" spans="1:19" x14ac:dyDescent="0.25">
      <c r="A5629">
        <v>101111650</v>
      </c>
      <c r="B5629" t="s">
        <v>744</v>
      </c>
      <c r="C5629" t="s">
        <v>13844</v>
      </c>
      <c r="G5629" t="s">
        <v>13845</v>
      </c>
      <c r="H5629" t="s">
        <v>5998</v>
      </c>
      <c r="I5629" t="s">
        <v>914</v>
      </c>
      <c r="J5629">
        <v>38119</v>
      </c>
      <c r="K5629">
        <v>7508</v>
      </c>
      <c r="L5629" t="s">
        <v>23</v>
      </c>
      <c r="M5629" t="s">
        <v>13845</v>
      </c>
      <c r="N5629" t="s">
        <v>5998</v>
      </c>
      <c r="O5629" t="s">
        <v>914</v>
      </c>
      <c r="P5629">
        <v>38119</v>
      </c>
      <c r="Q5629">
        <v>7508</v>
      </c>
      <c r="R5629" t="s">
        <v>23</v>
      </c>
      <c r="S5629" s="1" t="s">
        <v>34218</v>
      </c>
    </row>
    <row r="5630" spans="1:19" x14ac:dyDescent="0.25">
      <c r="A5630">
        <v>100942076</v>
      </c>
      <c r="B5630" t="s">
        <v>3462</v>
      </c>
      <c r="C5630" t="s">
        <v>2576</v>
      </c>
      <c r="G5630" t="s">
        <v>13846</v>
      </c>
      <c r="H5630" t="s">
        <v>13847</v>
      </c>
      <c r="I5630" t="s">
        <v>84</v>
      </c>
      <c r="J5630">
        <v>98531</v>
      </c>
      <c r="K5630">
        <v>4500</v>
      </c>
      <c r="L5630" t="s">
        <v>23</v>
      </c>
      <c r="M5630" t="s">
        <v>13846</v>
      </c>
      <c r="N5630" t="s">
        <v>13847</v>
      </c>
      <c r="O5630" t="s">
        <v>84</v>
      </c>
      <c r="P5630">
        <v>98531</v>
      </c>
      <c r="Q5630">
        <v>4500</v>
      </c>
      <c r="R5630" t="s">
        <v>23</v>
      </c>
      <c r="S5630" s="1" t="s">
        <v>34218</v>
      </c>
    </row>
    <row r="5631" spans="1:19" x14ac:dyDescent="0.25">
      <c r="A5631">
        <v>100945455</v>
      </c>
      <c r="B5631" t="s">
        <v>13848</v>
      </c>
      <c r="C5631" t="s">
        <v>13849</v>
      </c>
      <c r="F5631" t="str">
        <f>"9728253609"</f>
        <v>9728253609</v>
      </c>
      <c r="G5631" t="s">
        <v>13850</v>
      </c>
      <c r="H5631" t="s">
        <v>13851</v>
      </c>
      <c r="I5631" t="s">
        <v>38</v>
      </c>
      <c r="J5631">
        <v>75048</v>
      </c>
      <c r="K5631">
        <v>3577</v>
      </c>
      <c r="L5631" t="s">
        <v>23</v>
      </c>
      <c r="M5631" t="s">
        <v>13850</v>
      </c>
      <c r="N5631" t="s">
        <v>13851</v>
      </c>
      <c r="O5631" t="s">
        <v>38</v>
      </c>
      <c r="P5631">
        <v>75048</v>
      </c>
      <c r="Q5631">
        <v>3577</v>
      </c>
      <c r="R5631" t="s">
        <v>23</v>
      </c>
      <c r="S5631" s="1" t="s">
        <v>34218</v>
      </c>
    </row>
    <row r="5632" spans="1:19" x14ac:dyDescent="0.25">
      <c r="A5632">
        <v>100944133</v>
      </c>
      <c r="B5632" t="s">
        <v>1335</v>
      </c>
      <c r="C5632" t="s">
        <v>77</v>
      </c>
      <c r="G5632" t="s">
        <v>13852</v>
      </c>
      <c r="H5632" t="s">
        <v>13853</v>
      </c>
      <c r="I5632" t="s">
        <v>38</v>
      </c>
      <c r="J5632">
        <v>78639</v>
      </c>
      <c r="K5632">
        <v>9574</v>
      </c>
      <c r="L5632" t="s">
        <v>23</v>
      </c>
      <c r="M5632" t="s">
        <v>13852</v>
      </c>
      <c r="N5632" t="s">
        <v>13853</v>
      </c>
      <c r="O5632" t="s">
        <v>38</v>
      </c>
      <c r="P5632">
        <v>78639</v>
      </c>
      <c r="Q5632">
        <v>9574</v>
      </c>
      <c r="R5632" t="s">
        <v>23</v>
      </c>
      <c r="S5632" s="1" t="s">
        <v>34218</v>
      </c>
    </row>
    <row r="5633" spans="1:19" x14ac:dyDescent="0.25">
      <c r="A5633">
        <v>100949189</v>
      </c>
      <c r="B5633" t="s">
        <v>13854</v>
      </c>
      <c r="C5633" t="s">
        <v>505</v>
      </c>
      <c r="G5633" t="s">
        <v>13855</v>
      </c>
      <c r="H5633" t="s">
        <v>1096</v>
      </c>
      <c r="I5633" t="s">
        <v>1097</v>
      </c>
      <c r="J5633">
        <v>40205</v>
      </c>
      <c r="K5633">
        <v>1435</v>
      </c>
      <c r="L5633" t="s">
        <v>23</v>
      </c>
      <c r="M5633" t="s">
        <v>13855</v>
      </c>
      <c r="N5633" t="s">
        <v>1096</v>
      </c>
      <c r="O5633" t="s">
        <v>1097</v>
      </c>
      <c r="P5633">
        <v>40205</v>
      </c>
      <c r="Q5633">
        <v>1435</v>
      </c>
      <c r="R5633" t="s">
        <v>23</v>
      </c>
      <c r="S5633" s="1" t="s">
        <v>34218</v>
      </c>
    </row>
    <row r="5634" spans="1:19" x14ac:dyDescent="0.25">
      <c r="A5634">
        <v>100945883</v>
      </c>
      <c r="B5634" t="s">
        <v>7259</v>
      </c>
      <c r="C5634" t="s">
        <v>1616</v>
      </c>
      <c r="G5634" t="s">
        <v>13856</v>
      </c>
      <c r="H5634" t="s">
        <v>389</v>
      </c>
      <c r="I5634" t="s">
        <v>100</v>
      </c>
      <c r="J5634">
        <v>53211</v>
      </c>
      <c r="K5634">
        <v>3444</v>
      </c>
      <c r="L5634" t="s">
        <v>23</v>
      </c>
      <c r="M5634" t="s">
        <v>13856</v>
      </c>
      <c r="N5634" t="s">
        <v>389</v>
      </c>
      <c r="O5634" t="s">
        <v>100</v>
      </c>
      <c r="P5634">
        <v>53211</v>
      </c>
      <c r="Q5634">
        <v>3444</v>
      </c>
      <c r="R5634" t="s">
        <v>23</v>
      </c>
      <c r="S5634" s="1" t="s">
        <v>34218</v>
      </c>
    </row>
    <row r="5635" spans="1:19" x14ac:dyDescent="0.25">
      <c r="A5635">
        <v>100952592</v>
      </c>
      <c r="B5635" t="s">
        <v>13857</v>
      </c>
      <c r="C5635" t="s">
        <v>102</v>
      </c>
      <c r="G5635" t="s">
        <v>13858</v>
      </c>
      <c r="H5635" t="s">
        <v>1318</v>
      </c>
      <c r="I5635" t="s">
        <v>22</v>
      </c>
      <c r="J5635">
        <v>94596</v>
      </c>
      <c r="K5635">
        <v>4763</v>
      </c>
      <c r="L5635" t="s">
        <v>23</v>
      </c>
      <c r="M5635" t="s">
        <v>13858</v>
      </c>
      <c r="N5635" t="s">
        <v>1318</v>
      </c>
      <c r="O5635" t="s">
        <v>22</v>
      </c>
      <c r="P5635">
        <v>94596</v>
      </c>
      <c r="Q5635">
        <v>4763</v>
      </c>
      <c r="R5635" t="s">
        <v>23</v>
      </c>
      <c r="S5635" s="1" t="s">
        <v>34218</v>
      </c>
    </row>
    <row r="5636" spans="1:19" x14ac:dyDescent="0.25">
      <c r="A5636">
        <v>100947293</v>
      </c>
      <c r="B5636" t="s">
        <v>13859</v>
      </c>
      <c r="C5636" t="s">
        <v>2892</v>
      </c>
      <c r="G5636" t="s">
        <v>13860</v>
      </c>
      <c r="H5636" t="s">
        <v>638</v>
      </c>
      <c r="I5636" t="s">
        <v>639</v>
      </c>
      <c r="J5636">
        <v>87112</v>
      </c>
      <c r="K5636">
        <v>1788</v>
      </c>
      <c r="L5636" t="s">
        <v>23</v>
      </c>
      <c r="M5636" t="s">
        <v>13860</v>
      </c>
      <c r="N5636" t="s">
        <v>638</v>
      </c>
      <c r="O5636" t="s">
        <v>639</v>
      </c>
      <c r="P5636">
        <v>87112</v>
      </c>
      <c r="Q5636">
        <v>1788</v>
      </c>
      <c r="R5636" t="s">
        <v>23</v>
      </c>
      <c r="S5636" s="1" t="s">
        <v>34218</v>
      </c>
    </row>
    <row r="5637" spans="1:19" x14ac:dyDescent="0.25">
      <c r="A5637">
        <v>100954217</v>
      </c>
      <c r="B5637" t="s">
        <v>13861</v>
      </c>
      <c r="C5637" t="s">
        <v>3714</v>
      </c>
      <c r="G5637" t="s">
        <v>13862</v>
      </c>
      <c r="H5637" t="s">
        <v>10776</v>
      </c>
      <c r="I5637" t="s">
        <v>52</v>
      </c>
      <c r="J5637">
        <v>33313</v>
      </c>
      <c r="K5637">
        <v>5916</v>
      </c>
      <c r="L5637" t="s">
        <v>23</v>
      </c>
      <c r="M5637" t="s">
        <v>13862</v>
      </c>
      <c r="N5637" t="s">
        <v>10776</v>
      </c>
      <c r="O5637" t="s">
        <v>52</v>
      </c>
      <c r="P5637">
        <v>33313</v>
      </c>
      <c r="Q5637">
        <v>5916</v>
      </c>
      <c r="R5637" t="s">
        <v>23</v>
      </c>
      <c r="S5637" s="1" t="s">
        <v>34218</v>
      </c>
    </row>
    <row r="5638" spans="1:19" x14ac:dyDescent="0.25">
      <c r="A5638">
        <v>100965153</v>
      </c>
      <c r="B5638" t="s">
        <v>6104</v>
      </c>
      <c r="C5638" t="s">
        <v>11259</v>
      </c>
      <c r="G5638" t="s">
        <v>13863</v>
      </c>
      <c r="H5638" t="s">
        <v>1885</v>
      </c>
      <c r="I5638" t="s">
        <v>22</v>
      </c>
      <c r="J5638">
        <v>90277</v>
      </c>
      <c r="K5638">
        <v>4265</v>
      </c>
      <c r="L5638" t="s">
        <v>23</v>
      </c>
      <c r="M5638" t="s">
        <v>13863</v>
      </c>
      <c r="N5638" t="s">
        <v>1885</v>
      </c>
      <c r="O5638" t="s">
        <v>22</v>
      </c>
      <c r="P5638">
        <v>90277</v>
      </c>
      <c r="Q5638">
        <v>4265</v>
      </c>
      <c r="R5638" t="s">
        <v>23</v>
      </c>
      <c r="S5638" s="1" t="s">
        <v>34218</v>
      </c>
    </row>
    <row r="5639" spans="1:19" x14ac:dyDescent="0.25">
      <c r="A5639">
        <v>101152862</v>
      </c>
      <c r="B5639" t="s">
        <v>3857</v>
      </c>
      <c r="C5639" t="s">
        <v>1865</v>
      </c>
      <c r="F5639" t="str">
        <f>"7149977464"</f>
        <v>7149977464</v>
      </c>
      <c r="G5639" t="s">
        <v>13864</v>
      </c>
      <c r="H5639" t="s">
        <v>4349</v>
      </c>
      <c r="I5639" t="s">
        <v>22</v>
      </c>
      <c r="J5639">
        <v>92025</v>
      </c>
      <c r="K5639">
        <v>7528</v>
      </c>
      <c r="L5639" t="s">
        <v>23</v>
      </c>
      <c r="M5639" t="s">
        <v>13864</v>
      </c>
      <c r="N5639" t="s">
        <v>4349</v>
      </c>
      <c r="O5639" t="s">
        <v>22</v>
      </c>
      <c r="P5639">
        <v>92025</v>
      </c>
      <c r="Q5639">
        <v>7528</v>
      </c>
      <c r="R5639" t="s">
        <v>23</v>
      </c>
      <c r="S5639" s="1" t="s">
        <v>34218</v>
      </c>
    </row>
    <row r="5640" spans="1:19" x14ac:dyDescent="0.25">
      <c r="A5640">
        <v>101153063</v>
      </c>
      <c r="B5640" t="s">
        <v>13865</v>
      </c>
      <c r="C5640" t="s">
        <v>903</v>
      </c>
      <c r="G5640" t="s">
        <v>13866</v>
      </c>
      <c r="H5640" t="s">
        <v>8338</v>
      </c>
      <c r="I5640" t="s">
        <v>84</v>
      </c>
      <c r="J5640">
        <v>98816</v>
      </c>
      <c r="K5640">
        <v>9546</v>
      </c>
      <c r="L5640" t="s">
        <v>23</v>
      </c>
      <c r="M5640" t="s">
        <v>13866</v>
      </c>
      <c r="N5640" t="s">
        <v>8338</v>
      </c>
      <c r="O5640" t="s">
        <v>84</v>
      </c>
      <c r="P5640">
        <v>98816</v>
      </c>
      <c r="Q5640">
        <v>9546</v>
      </c>
      <c r="R5640" t="s">
        <v>23</v>
      </c>
      <c r="S5640" s="1" t="s">
        <v>34218</v>
      </c>
    </row>
    <row r="5641" spans="1:19" x14ac:dyDescent="0.25">
      <c r="A5641">
        <v>101149247</v>
      </c>
      <c r="B5641" t="s">
        <v>4218</v>
      </c>
      <c r="C5641" t="s">
        <v>4184</v>
      </c>
      <c r="G5641" t="s">
        <v>13867</v>
      </c>
      <c r="H5641" t="s">
        <v>12513</v>
      </c>
      <c r="I5641" t="s">
        <v>236</v>
      </c>
      <c r="J5641">
        <v>1201</v>
      </c>
      <c r="K5641">
        <v>4243</v>
      </c>
      <c r="L5641" t="s">
        <v>23</v>
      </c>
      <c r="M5641" t="s">
        <v>13867</v>
      </c>
      <c r="N5641" t="s">
        <v>12513</v>
      </c>
      <c r="O5641" t="s">
        <v>236</v>
      </c>
      <c r="P5641">
        <v>1201</v>
      </c>
      <c r="Q5641">
        <v>4243</v>
      </c>
      <c r="R5641" t="s">
        <v>23</v>
      </c>
      <c r="S5641" s="1" t="s">
        <v>34218</v>
      </c>
    </row>
    <row r="5642" spans="1:19" x14ac:dyDescent="0.25">
      <c r="A5642">
        <v>101144034</v>
      </c>
      <c r="B5642" t="s">
        <v>13868</v>
      </c>
      <c r="C5642" t="s">
        <v>1487</v>
      </c>
      <c r="G5642" t="s">
        <v>13869</v>
      </c>
      <c r="H5642" t="s">
        <v>2003</v>
      </c>
      <c r="I5642" t="s">
        <v>255</v>
      </c>
      <c r="J5642">
        <v>22936</v>
      </c>
      <c r="K5642">
        <v>9311</v>
      </c>
      <c r="L5642" t="s">
        <v>23</v>
      </c>
      <c r="M5642" t="s">
        <v>13869</v>
      </c>
      <c r="N5642" t="s">
        <v>2003</v>
      </c>
      <c r="O5642" t="s">
        <v>255</v>
      </c>
      <c r="P5642">
        <v>22936</v>
      </c>
      <c r="Q5642">
        <v>9311</v>
      </c>
      <c r="R5642" t="s">
        <v>23</v>
      </c>
      <c r="S5642" s="1" t="s">
        <v>34218</v>
      </c>
    </row>
    <row r="5643" spans="1:19" x14ac:dyDescent="0.25">
      <c r="A5643">
        <v>101151431</v>
      </c>
      <c r="B5643" t="s">
        <v>13870</v>
      </c>
      <c r="C5643" t="s">
        <v>13871</v>
      </c>
      <c r="G5643" t="s">
        <v>13872</v>
      </c>
      <c r="H5643" t="s">
        <v>5603</v>
      </c>
      <c r="I5643" t="s">
        <v>117</v>
      </c>
      <c r="J5643">
        <v>11040</v>
      </c>
      <c r="K5643">
        <v>1105</v>
      </c>
      <c r="L5643" t="s">
        <v>23</v>
      </c>
      <c r="M5643" t="s">
        <v>13872</v>
      </c>
      <c r="N5643" t="s">
        <v>5603</v>
      </c>
      <c r="O5643" t="s">
        <v>117</v>
      </c>
      <c r="P5643">
        <v>11040</v>
      </c>
      <c r="Q5643">
        <v>1105</v>
      </c>
      <c r="R5643" t="s">
        <v>23</v>
      </c>
      <c r="S5643" s="1" t="s">
        <v>34218</v>
      </c>
    </row>
    <row r="5644" spans="1:19" x14ac:dyDescent="0.25">
      <c r="A5644">
        <v>101155025</v>
      </c>
      <c r="B5644" t="s">
        <v>4212</v>
      </c>
      <c r="C5644" t="s">
        <v>699</v>
      </c>
      <c r="F5644" t="str">
        <f>"2095441790"</f>
        <v>2095441790</v>
      </c>
      <c r="G5644" t="s">
        <v>13873</v>
      </c>
      <c r="H5644" t="s">
        <v>968</v>
      </c>
      <c r="I5644" t="s">
        <v>22</v>
      </c>
      <c r="J5644">
        <v>95350</v>
      </c>
      <c r="K5644">
        <v>1716</v>
      </c>
      <c r="L5644" t="s">
        <v>23</v>
      </c>
      <c r="M5644" t="s">
        <v>13873</v>
      </c>
      <c r="N5644" t="s">
        <v>968</v>
      </c>
      <c r="O5644" t="s">
        <v>22</v>
      </c>
      <c r="P5644">
        <v>95350</v>
      </c>
      <c r="Q5644">
        <v>1716</v>
      </c>
      <c r="R5644" t="s">
        <v>23</v>
      </c>
      <c r="S5644" s="1" t="s">
        <v>34218</v>
      </c>
    </row>
    <row r="5645" spans="1:19" x14ac:dyDescent="0.25">
      <c r="A5645">
        <v>101152473</v>
      </c>
      <c r="B5645" t="s">
        <v>13874</v>
      </c>
      <c r="C5645" t="s">
        <v>13875</v>
      </c>
      <c r="G5645" t="s">
        <v>13876</v>
      </c>
      <c r="H5645" t="s">
        <v>577</v>
      </c>
      <c r="I5645" t="s">
        <v>161</v>
      </c>
      <c r="J5645">
        <v>6877</v>
      </c>
      <c r="K5645">
        <v>6029</v>
      </c>
      <c r="L5645" t="s">
        <v>23</v>
      </c>
      <c r="M5645" t="s">
        <v>13876</v>
      </c>
      <c r="N5645" t="s">
        <v>577</v>
      </c>
      <c r="O5645" t="s">
        <v>161</v>
      </c>
      <c r="P5645">
        <v>6877</v>
      </c>
      <c r="Q5645">
        <v>6029</v>
      </c>
      <c r="R5645" t="s">
        <v>23</v>
      </c>
      <c r="S5645" s="1" t="s">
        <v>34218</v>
      </c>
    </row>
    <row r="5646" spans="1:19" x14ac:dyDescent="0.25">
      <c r="A5646">
        <v>100795817</v>
      </c>
      <c r="B5646" t="s">
        <v>13877</v>
      </c>
      <c r="C5646" t="s">
        <v>247</v>
      </c>
      <c r="G5646" t="s">
        <v>13878</v>
      </c>
      <c r="H5646" t="s">
        <v>1402</v>
      </c>
      <c r="I5646" t="s">
        <v>38</v>
      </c>
      <c r="J5646">
        <v>77071</v>
      </c>
      <c r="K5646">
        <v>1511</v>
      </c>
      <c r="L5646" t="s">
        <v>23</v>
      </c>
      <c r="M5646" t="s">
        <v>13878</v>
      </c>
      <c r="N5646" t="s">
        <v>1402</v>
      </c>
      <c r="O5646" t="s">
        <v>38</v>
      </c>
      <c r="P5646">
        <v>77071</v>
      </c>
      <c r="Q5646">
        <v>1511</v>
      </c>
      <c r="R5646" t="s">
        <v>23</v>
      </c>
      <c r="S5646" s="1" t="s">
        <v>34218</v>
      </c>
    </row>
    <row r="5647" spans="1:19" x14ac:dyDescent="0.25">
      <c r="A5647">
        <v>100796816</v>
      </c>
      <c r="B5647" t="s">
        <v>9969</v>
      </c>
      <c r="C5647" t="s">
        <v>1612</v>
      </c>
      <c r="G5647" t="s">
        <v>13879</v>
      </c>
      <c r="H5647" t="s">
        <v>1402</v>
      </c>
      <c r="I5647" t="s">
        <v>38</v>
      </c>
      <c r="J5647">
        <v>77035</v>
      </c>
      <c r="K5647">
        <v>5043</v>
      </c>
      <c r="L5647" t="s">
        <v>23</v>
      </c>
      <c r="M5647" t="s">
        <v>13879</v>
      </c>
      <c r="N5647" t="s">
        <v>1402</v>
      </c>
      <c r="O5647" t="s">
        <v>38</v>
      </c>
      <c r="P5647">
        <v>77035</v>
      </c>
      <c r="Q5647">
        <v>5043</v>
      </c>
      <c r="R5647" t="s">
        <v>23</v>
      </c>
      <c r="S5647" s="1" t="s">
        <v>34218</v>
      </c>
    </row>
    <row r="5648" spans="1:19" x14ac:dyDescent="0.25">
      <c r="A5648">
        <v>100799459</v>
      </c>
      <c r="B5648" t="s">
        <v>1997</v>
      </c>
      <c r="C5648" t="s">
        <v>865</v>
      </c>
      <c r="G5648" t="s">
        <v>13880</v>
      </c>
      <c r="H5648" t="s">
        <v>1372</v>
      </c>
      <c r="I5648" t="s">
        <v>446</v>
      </c>
      <c r="J5648">
        <v>28031</v>
      </c>
      <c r="K5648">
        <v>8729</v>
      </c>
      <c r="L5648" t="s">
        <v>23</v>
      </c>
      <c r="M5648" t="s">
        <v>13880</v>
      </c>
      <c r="N5648" t="s">
        <v>1372</v>
      </c>
      <c r="O5648" t="s">
        <v>446</v>
      </c>
      <c r="P5648">
        <v>28031</v>
      </c>
      <c r="Q5648">
        <v>8729</v>
      </c>
      <c r="R5648" t="s">
        <v>23</v>
      </c>
      <c r="S5648" s="1" t="s">
        <v>34218</v>
      </c>
    </row>
    <row r="5649" spans="1:19" x14ac:dyDescent="0.25">
      <c r="A5649">
        <v>100801492</v>
      </c>
      <c r="B5649" t="s">
        <v>13881</v>
      </c>
      <c r="C5649" t="s">
        <v>13882</v>
      </c>
      <c r="G5649" t="s">
        <v>13883</v>
      </c>
      <c r="H5649" t="s">
        <v>13884</v>
      </c>
      <c r="I5649" t="s">
        <v>187</v>
      </c>
      <c r="J5649">
        <v>56601</v>
      </c>
      <c r="K5649">
        <v>4054</v>
      </c>
      <c r="L5649" t="s">
        <v>23</v>
      </c>
      <c r="M5649" t="s">
        <v>13883</v>
      </c>
      <c r="N5649" t="s">
        <v>13884</v>
      </c>
      <c r="O5649" t="s">
        <v>187</v>
      </c>
      <c r="P5649">
        <v>56601</v>
      </c>
      <c r="Q5649">
        <v>4054</v>
      </c>
      <c r="R5649" t="s">
        <v>23</v>
      </c>
      <c r="S5649" s="1" t="s">
        <v>34218</v>
      </c>
    </row>
    <row r="5650" spans="1:19" x14ac:dyDescent="0.25">
      <c r="A5650">
        <v>101019361</v>
      </c>
      <c r="B5650" t="s">
        <v>7195</v>
      </c>
      <c r="C5650" t="s">
        <v>890</v>
      </c>
      <c r="G5650" t="s">
        <v>13885</v>
      </c>
      <c r="H5650" t="s">
        <v>1459</v>
      </c>
      <c r="I5650" t="s">
        <v>250</v>
      </c>
      <c r="J5650">
        <v>7753</v>
      </c>
      <c r="L5650" t="s">
        <v>23</v>
      </c>
      <c r="M5650" t="s">
        <v>13885</v>
      </c>
      <c r="N5650" t="s">
        <v>1459</v>
      </c>
      <c r="O5650" t="s">
        <v>250</v>
      </c>
      <c r="P5650">
        <v>7753</v>
      </c>
      <c r="R5650" t="s">
        <v>23</v>
      </c>
      <c r="S5650" s="1" t="s">
        <v>34218</v>
      </c>
    </row>
    <row r="5651" spans="1:19" x14ac:dyDescent="0.25">
      <c r="A5651">
        <v>101019956</v>
      </c>
      <c r="B5651" t="s">
        <v>13886</v>
      </c>
      <c r="C5651" t="s">
        <v>123</v>
      </c>
      <c r="G5651" t="s">
        <v>13887</v>
      </c>
      <c r="H5651" t="s">
        <v>13750</v>
      </c>
      <c r="I5651" t="s">
        <v>28</v>
      </c>
      <c r="J5651">
        <v>30014</v>
      </c>
      <c r="K5651">
        <v>413</v>
      </c>
      <c r="L5651" t="s">
        <v>23</v>
      </c>
      <c r="M5651" t="s">
        <v>13887</v>
      </c>
      <c r="N5651" t="s">
        <v>13750</v>
      </c>
      <c r="O5651" t="s">
        <v>28</v>
      </c>
      <c r="P5651">
        <v>30014</v>
      </c>
      <c r="Q5651">
        <v>413</v>
      </c>
      <c r="R5651" t="s">
        <v>23</v>
      </c>
      <c r="S5651" s="1" t="s">
        <v>34218</v>
      </c>
    </row>
    <row r="5652" spans="1:19" x14ac:dyDescent="0.25">
      <c r="A5652">
        <v>101017112</v>
      </c>
      <c r="B5652" t="s">
        <v>13888</v>
      </c>
      <c r="C5652" t="s">
        <v>229</v>
      </c>
      <c r="G5652" t="s">
        <v>13889</v>
      </c>
      <c r="H5652" t="s">
        <v>2375</v>
      </c>
      <c r="I5652" t="s">
        <v>250</v>
      </c>
      <c r="J5652">
        <v>7940</v>
      </c>
      <c r="K5652">
        <v>1403</v>
      </c>
      <c r="L5652" t="s">
        <v>23</v>
      </c>
      <c r="M5652" t="s">
        <v>13889</v>
      </c>
      <c r="N5652" t="s">
        <v>2375</v>
      </c>
      <c r="O5652" t="s">
        <v>250</v>
      </c>
      <c r="P5652">
        <v>7940</v>
      </c>
      <c r="Q5652">
        <v>1403</v>
      </c>
      <c r="R5652" t="s">
        <v>23</v>
      </c>
      <c r="S5652" s="1" t="s">
        <v>34218</v>
      </c>
    </row>
    <row r="5653" spans="1:19" x14ac:dyDescent="0.25">
      <c r="A5653">
        <v>101023780</v>
      </c>
      <c r="B5653" t="s">
        <v>13890</v>
      </c>
      <c r="C5653" t="s">
        <v>575</v>
      </c>
      <c r="G5653" t="s">
        <v>13891</v>
      </c>
      <c r="H5653" t="s">
        <v>8751</v>
      </c>
      <c r="I5653" t="s">
        <v>140</v>
      </c>
      <c r="J5653">
        <v>48823</v>
      </c>
      <c r="K5653">
        <v>9457</v>
      </c>
      <c r="L5653" t="s">
        <v>23</v>
      </c>
      <c r="M5653" t="s">
        <v>13891</v>
      </c>
      <c r="N5653" t="s">
        <v>8751</v>
      </c>
      <c r="O5653" t="s">
        <v>140</v>
      </c>
      <c r="P5653">
        <v>48823</v>
      </c>
      <c r="Q5653">
        <v>9457</v>
      </c>
      <c r="R5653" t="s">
        <v>23</v>
      </c>
      <c r="S5653" s="1" t="s">
        <v>34218</v>
      </c>
    </row>
    <row r="5654" spans="1:19" x14ac:dyDescent="0.25">
      <c r="A5654">
        <v>101025816</v>
      </c>
      <c r="B5654" t="s">
        <v>8669</v>
      </c>
      <c r="C5654" t="s">
        <v>13892</v>
      </c>
      <c r="G5654" t="s">
        <v>13893</v>
      </c>
      <c r="H5654" t="s">
        <v>3098</v>
      </c>
      <c r="I5654" t="s">
        <v>33</v>
      </c>
      <c r="J5654">
        <v>18042</v>
      </c>
      <c r="K5654">
        <v>1403</v>
      </c>
      <c r="L5654" t="s">
        <v>23</v>
      </c>
      <c r="M5654" t="s">
        <v>13893</v>
      </c>
      <c r="N5654" t="s">
        <v>3098</v>
      </c>
      <c r="O5654" t="s">
        <v>33</v>
      </c>
      <c r="P5654">
        <v>18042</v>
      </c>
      <c r="Q5654">
        <v>1403</v>
      </c>
      <c r="R5654" t="s">
        <v>23</v>
      </c>
      <c r="S5654" s="1" t="s">
        <v>34218</v>
      </c>
    </row>
    <row r="5655" spans="1:19" x14ac:dyDescent="0.25">
      <c r="A5655">
        <v>101030340</v>
      </c>
      <c r="B5655" t="s">
        <v>13894</v>
      </c>
      <c r="C5655" t="s">
        <v>1506</v>
      </c>
      <c r="G5655" t="s">
        <v>13895</v>
      </c>
      <c r="H5655" t="s">
        <v>1293</v>
      </c>
      <c r="I5655" t="s">
        <v>22</v>
      </c>
      <c r="J5655">
        <v>95061</v>
      </c>
      <c r="K5655">
        <v>1174</v>
      </c>
      <c r="L5655" t="s">
        <v>23</v>
      </c>
      <c r="M5655" t="s">
        <v>13895</v>
      </c>
      <c r="N5655" t="s">
        <v>1293</v>
      </c>
      <c r="O5655" t="s">
        <v>22</v>
      </c>
      <c r="P5655">
        <v>95061</v>
      </c>
      <c r="Q5655">
        <v>1174</v>
      </c>
      <c r="R5655" t="s">
        <v>23</v>
      </c>
      <c r="S5655" s="1" t="s">
        <v>34218</v>
      </c>
    </row>
    <row r="5656" spans="1:19" x14ac:dyDescent="0.25">
      <c r="A5656">
        <v>101033690</v>
      </c>
      <c r="B5656" t="s">
        <v>13896</v>
      </c>
      <c r="C5656" t="s">
        <v>13897</v>
      </c>
      <c r="G5656" t="s">
        <v>13898</v>
      </c>
      <c r="H5656" t="s">
        <v>2749</v>
      </c>
      <c r="I5656" t="s">
        <v>178</v>
      </c>
      <c r="J5656">
        <v>44212</v>
      </c>
      <c r="K5656">
        <v>2551</v>
      </c>
      <c r="L5656" t="s">
        <v>23</v>
      </c>
      <c r="M5656" t="s">
        <v>13898</v>
      </c>
      <c r="N5656" t="s">
        <v>2749</v>
      </c>
      <c r="O5656" t="s">
        <v>178</v>
      </c>
      <c r="P5656">
        <v>44212</v>
      </c>
      <c r="Q5656">
        <v>2551</v>
      </c>
      <c r="R5656" t="s">
        <v>23</v>
      </c>
      <c r="S5656" s="1" t="s">
        <v>34218</v>
      </c>
    </row>
    <row r="5657" spans="1:19" x14ac:dyDescent="0.25">
      <c r="A5657">
        <v>101443664</v>
      </c>
      <c r="B5657" t="s">
        <v>13899</v>
      </c>
      <c r="C5657" t="s">
        <v>252</v>
      </c>
      <c r="G5657" t="s">
        <v>13900</v>
      </c>
      <c r="H5657" t="s">
        <v>202</v>
      </c>
      <c r="I5657" t="s">
        <v>117</v>
      </c>
      <c r="J5657" t="s">
        <v>13901</v>
      </c>
      <c r="K5657">
        <v>5146</v>
      </c>
      <c r="L5657" t="s">
        <v>23</v>
      </c>
      <c r="M5657" t="s">
        <v>13900</v>
      </c>
      <c r="N5657" t="s">
        <v>202</v>
      </c>
      <c r="O5657" t="s">
        <v>117</v>
      </c>
      <c r="P5657" t="s">
        <v>13901</v>
      </c>
      <c r="Q5657">
        <v>5146</v>
      </c>
      <c r="R5657" t="s">
        <v>23</v>
      </c>
      <c r="S5657" s="1" t="s">
        <v>34218</v>
      </c>
    </row>
    <row r="5658" spans="1:19" x14ac:dyDescent="0.25">
      <c r="A5658">
        <v>101327203</v>
      </c>
      <c r="B5658" t="s">
        <v>13902</v>
      </c>
      <c r="C5658" t="s">
        <v>13903</v>
      </c>
      <c r="G5658" t="s">
        <v>13904</v>
      </c>
      <c r="H5658" t="s">
        <v>3074</v>
      </c>
      <c r="I5658" t="s">
        <v>148</v>
      </c>
      <c r="J5658">
        <v>21204</v>
      </c>
      <c r="K5658">
        <v>806</v>
      </c>
      <c r="L5658" t="s">
        <v>23</v>
      </c>
      <c r="M5658" t="s">
        <v>13904</v>
      </c>
      <c r="N5658" t="s">
        <v>3074</v>
      </c>
      <c r="O5658" t="s">
        <v>148</v>
      </c>
      <c r="P5658">
        <v>21204</v>
      </c>
      <c r="Q5658">
        <v>806</v>
      </c>
      <c r="R5658" t="s">
        <v>23</v>
      </c>
      <c r="S5658" s="1" t="s">
        <v>34218</v>
      </c>
    </row>
    <row r="5659" spans="1:19" x14ac:dyDescent="0.25">
      <c r="A5659">
        <v>100628013</v>
      </c>
      <c r="B5659" t="s">
        <v>13905</v>
      </c>
      <c r="C5659" t="s">
        <v>3670</v>
      </c>
      <c r="G5659" t="s">
        <v>13906</v>
      </c>
      <c r="H5659" t="s">
        <v>569</v>
      </c>
      <c r="I5659" t="s">
        <v>187</v>
      </c>
      <c r="J5659">
        <v>55430</v>
      </c>
      <c r="K5659">
        <v>3344</v>
      </c>
      <c r="L5659" t="s">
        <v>23</v>
      </c>
      <c r="M5659" t="s">
        <v>13906</v>
      </c>
      <c r="N5659" t="s">
        <v>569</v>
      </c>
      <c r="O5659" t="s">
        <v>187</v>
      </c>
      <c r="P5659">
        <v>55430</v>
      </c>
      <c r="Q5659">
        <v>3344</v>
      </c>
      <c r="R5659" t="s">
        <v>23</v>
      </c>
      <c r="S5659" s="1" t="s">
        <v>34218</v>
      </c>
    </row>
    <row r="5660" spans="1:19" x14ac:dyDescent="0.25">
      <c r="A5660">
        <v>100637889</v>
      </c>
      <c r="B5660" t="s">
        <v>13907</v>
      </c>
      <c r="C5660" t="s">
        <v>2411</v>
      </c>
      <c r="G5660" t="s">
        <v>13908</v>
      </c>
      <c r="H5660" t="s">
        <v>430</v>
      </c>
      <c r="I5660" t="s">
        <v>117</v>
      </c>
      <c r="J5660">
        <v>11787</v>
      </c>
      <c r="K5660">
        <v>4260</v>
      </c>
      <c r="L5660" t="s">
        <v>23</v>
      </c>
      <c r="M5660" t="s">
        <v>13908</v>
      </c>
      <c r="N5660" t="s">
        <v>430</v>
      </c>
      <c r="O5660" t="s">
        <v>117</v>
      </c>
      <c r="P5660">
        <v>11787</v>
      </c>
      <c r="Q5660">
        <v>4260</v>
      </c>
      <c r="R5660" t="s">
        <v>23</v>
      </c>
      <c r="S5660" s="1" t="s">
        <v>34218</v>
      </c>
    </row>
    <row r="5661" spans="1:19" x14ac:dyDescent="0.25">
      <c r="A5661">
        <v>100638970</v>
      </c>
      <c r="B5661" t="s">
        <v>12257</v>
      </c>
      <c r="C5661" t="s">
        <v>13909</v>
      </c>
      <c r="G5661" t="s">
        <v>13910</v>
      </c>
      <c r="H5661" t="s">
        <v>13911</v>
      </c>
      <c r="I5661" t="s">
        <v>914</v>
      </c>
      <c r="J5661">
        <v>37830</v>
      </c>
      <c r="K5661">
        <v>7929</v>
      </c>
      <c r="L5661" t="s">
        <v>23</v>
      </c>
      <c r="M5661" t="s">
        <v>13910</v>
      </c>
      <c r="N5661" t="s">
        <v>13911</v>
      </c>
      <c r="O5661" t="s">
        <v>914</v>
      </c>
      <c r="P5661">
        <v>37830</v>
      </c>
      <c r="Q5661">
        <v>7929</v>
      </c>
      <c r="R5661" t="s">
        <v>23</v>
      </c>
      <c r="S5661" s="1" t="s">
        <v>34218</v>
      </c>
    </row>
    <row r="5662" spans="1:19" x14ac:dyDescent="0.25">
      <c r="A5662">
        <v>100640509</v>
      </c>
      <c r="B5662" t="s">
        <v>13912</v>
      </c>
      <c r="C5662" t="s">
        <v>1955</v>
      </c>
      <c r="G5662" t="s">
        <v>13913</v>
      </c>
      <c r="H5662" t="s">
        <v>8728</v>
      </c>
      <c r="I5662" t="s">
        <v>22</v>
      </c>
      <c r="J5662">
        <v>92637</v>
      </c>
      <c r="K5662">
        <v>4500</v>
      </c>
      <c r="L5662" t="s">
        <v>23</v>
      </c>
      <c r="M5662" t="s">
        <v>13913</v>
      </c>
      <c r="N5662" t="s">
        <v>8728</v>
      </c>
      <c r="O5662" t="s">
        <v>22</v>
      </c>
      <c r="P5662">
        <v>92637</v>
      </c>
      <c r="Q5662">
        <v>4500</v>
      </c>
      <c r="R5662" t="s">
        <v>23</v>
      </c>
      <c r="S5662" s="1" t="s">
        <v>34218</v>
      </c>
    </row>
    <row r="5663" spans="1:19" x14ac:dyDescent="0.25">
      <c r="A5663">
        <v>100641169</v>
      </c>
      <c r="B5663" t="s">
        <v>13914</v>
      </c>
      <c r="C5663" t="s">
        <v>1298</v>
      </c>
      <c r="G5663" t="s">
        <v>13915</v>
      </c>
      <c r="H5663" t="s">
        <v>13916</v>
      </c>
      <c r="I5663" t="s">
        <v>236</v>
      </c>
      <c r="J5663">
        <v>2148</v>
      </c>
      <c r="K5663">
        <v>2911</v>
      </c>
      <c r="L5663" t="s">
        <v>23</v>
      </c>
      <c r="M5663" t="s">
        <v>13915</v>
      </c>
      <c r="N5663" t="s">
        <v>13916</v>
      </c>
      <c r="O5663" t="s">
        <v>236</v>
      </c>
      <c r="P5663">
        <v>2148</v>
      </c>
      <c r="Q5663">
        <v>2911</v>
      </c>
      <c r="R5663" t="s">
        <v>23</v>
      </c>
      <c r="S5663" s="1" t="s">
        <v>34218</v>
      </c>
    </row>
    <row r="5664" spans="1:19" x14ac:dyDescent="0.25">
      <c r="A5664">
        <v>100643616</v>
      </c>
      <c r="B5664" t="s">
        <v>13917</v>
      </c>
      <c r="C5664" t="s">
        <v>644</v>
      </c>
      <c r="G5664" t="s">
        <v>13918</v>
      </c>
      <c r="H5664" t="s">
        <v>13919</v>
      </c>
      <c r="I5664" t="s">
        <v>250</v>
      </c>
      <c r="J5664">
        <v>8060</v>
      </c>
      <c r="K5664">
        <v>2520</v>
      </c>
      <c r="L5664" t="s">
        <v>23</v>
      </c>
      <c r="M5664" t="s">
        <v>13918</v>
      </c>
      <c r="N5664" t="s">
        <v>13919</v>
      </c>
      <c r="O5664" t="s">
        <v>250</v>
      </c>
      <c r="P5664">
        <v>8060</v>
      </c>
      <c r="Q5664">
        <v>2520</v>
      </c>
      <c r="R5664" t="s">
        <v>23</v>
      </c>
      <c r="S5664" s="1" t="s">
        <v>34218</v>
      </c>
    </row>
    <row r="5665" spans="1:19" x14ac:dyDescent="0.25">
      <c r="A5665">
        <v>100641822</v>
      </c>
      <c r="B5665" t="s">
        <v>13920</v>
      </c>
      <c r="C5665" t="s">
        <v>8144</v>
      </c>
      <c r="G5665" t="s">
        <v>13921</v>
      </c>
      <c r="H5665" t="s">
        <v>1293</v>
      </c>
      <c r="I5665" t="s">
        <v>22</v>
      </c>
      <c r="J5665">
        <v>95062</v>
      </c>
      <c r="K5665">
        <v>4029</v>
      </c>
      <c r="L5665" t="s">
        <v>23</v>
      </c>
      <c r="M5665" t="s">
        <v>13921</v>
      </c>
      <c r="N5665" t="s">
        <v>1293</v>
      </c>
      <c r="O5665" t="s">
        <v>22</v>
      </c>
      <c r="P5665">
        <v>95062</v>
      </c>
      <c r="Q5665">
        <v>4029</v>
      </c>
      <c r="R5665" t="s">
        <v>23</v>
      </c>
      <c r="S5665" s="1" t="s">
        <v>34218</v>
      </c>
    </row>
    <row r="5666" spans="1:19" x14ac:dyDescent="0.25">
      <c r="A5666">
        <v>100640408</v>
      </c>
      <c r="B5666" t="s">
        <v>13922</v>
      </c>
      <c r="C5666" t="s">
        <v>40</v>
      </c>
      <c r="G5666" t="s">
        <v>13923</v>
      </c>
      <c r="H5666" t="s">
        <v>13924</v>
      </c>
      <c r="I5666" t="s">
        <v>52</v>
      </c>
      <c r="J5666">
        <v>34677</v>
      </c>
      <c r="K5666">
        <v>4513</v>
      </c>
      <c r="L5666" t="s">
        <v>23</v>
      </c>
      <c r="M5666" t="s">
        <v>13923</v>
      </c>
      <c r="N5666" t="s">
        <v>13924</v>
      </c>
      <c r="O5666" t="s">
        <v>52</v>
      </c>
      <c r="P5666">
        <v>34677</v>
      </c>
      <c r="Q5666">
        <v>4513</v>
      </c>
      <c r="R5666" t="s">
        <v>23</v>
      </c>
      <c r="S5666" s="1" t="s">
        <v>34218</v>
      </c>
    </row>
    <row r="5667" spans="1:19" x14ac:dyDescent="0.25">
      <c r="A5667">
        <v>100650435</v>
      </c>
      <c r="B5667" t="s">
        <v>13925</v>
      </c>
      <c r="C5667" t="s">
        <v>585</v>
      </c>
      <c r="G5667" t="s">
        <v>13926</v>
      </c>
      <c r="H5667" t="s">
        <v>12907</v>
      </c>
      <c r="I5667" t="s">
        <v>161</v>
      </c>
      <c r="J5667">
        <v>6611</v>
      </c>
      <c r="K5667">
        <v>1439</v>
      </c>
      <c r="L5667" t="s">
        <v>23</v>
      </c>
      <c r="M5667" t="s">
        <v>13926</v>
      </c>
      <c r="N5667" t="s">
        <v>12907</v>
      </c>
      <c r="O5667" t="s">
        <v>161</v>
      </c>
      <c r="P5667">
        <v>6611</v>
      </c>
      <c r="Q5667">
        <v>1439</v>
      </c>
      <c r="R5667" t="s">
        <v>23</v>
      </c>
      <c r="S5667" s="1" t="s">
        <v>34218</v>
      </c>
    </row>
    <row r="5668" spans="1:19" x14ac:dyDescent="0.25">
      <c r="A5668">
        <v>100649161</v>
      </c>
      <c r="B5668" t="s">
        <v>13058</v>
      </c>
      <c r="C5668" t="s">
        <v>4407</v>
      </c>
      <c r="G5668" t="s">
        <v>13927</v>
      </c>
      <c r="H5668" t="s">
        <v>2279</v>
      </c>
      <c r="I5668" t="s">
        <v>52</v>
      </c>
      <c r="J5668">
        <v>33611</v>
      </c>
      <c r="K5668">
        <v>3324</v>
      </c>
      <c r="L5668" t="s">
        <v>23</v>
      </c>
      <c r="M5668" t="s">
        <v>13927</v>
      </c>
      <c r="N5668" t="s">
        <v>2279</v>
      </c>
      <c r="O5668" t="s">
        <v>52</v>
      </c>
      <c r="P5668">
        <v>33611</v>
      </c>
      <c r="Q5668">
        <v>3324</v>
      </c>
      <c r="R5668" t="s">
        <v>23</v>
      </c>
      <c r="S5668" s="1" t="s">
        <v>34218</v>
      </c>
    </row>
    <row r="5669" spans="1:19" x14ac:dyDescent="0.25">
      <c r="A5669">
        <v>100845753</v>
      </c>
      <c r="B5669" t="s">
        <v>1156</v>
      </c>
      <c r="C5669" t="s">
        <v>13928</v>
      </c>
      <c r="F5669" t="str">
        <f>"4153021723"</f>
        <v>4153021723</v>
      </c>
      <c r="G5669" t="s">
        <v>13929</v>
      </c>
      <c r="H5669" t="s">
        <v>1535</v>
      </c>
      <c r="I5669" t="s">
        <v>22</v>
      </c>
      <c r="J5669">
        <v>94941</v>
      </c>
      <c r="K5669">
        <v>5080</v>
      </c>
      <c r="L5669" t="s">
        <v>23</v>
      </c>
      <c r="M5669" t="s">
        <v>13929</v>
      </c>
      <c r="N5669" t="s">
        <v>1535</v>
      </c>
      <c r="O5669" t="s">
        <v>22</v>
      </c>
      <c r="P5669">
        <v>94941</v>
      </c>
      <c r="Q5669">
        <v>5080</v>
      </c>
      <c r="R5669" t="s">
        <v>23</v>
      </c>
      <c r="S5669" s="1" t="s">
        <v>34218</v>
      </c>
    </row>
    <row r="5670" spans="1:19" x14ac:dyDescent="0.25">
      <c r="A5670">
        <v>100843809</v>
      </c>
      <c r="B5670" t="s">
        <v>13930</v>
      </c>
      <c r="C5670" t="s">
        <v>4184</v>
      </c>
      <c r="G5670" t="s">
        <v>13931</v>
      </c>
      <c r="H5670" t="s">
        <v>13932</v>
      </c>
      <c r="I5670" t="s">
        <v>117</v>
      </c>
      <c r="J5670">
        <v>11901</v>
      </c>
      <c r="K5670">
        <v>2648</v>
      </c>
      <c r="L5670" t="s">
        <v>23</v>
      </c>
      <c r="M5670" t="s">
        <v>13931</v>
      </c>
      <c r="N5670" t="s">
        <v>13932</v>
      </c>
      <c r="O5670" t="s">
        <v>117</v>
      </c>
      <c r="P5670">
        <v>11901</v>
      </c>
      <c r="Q5670">
        <v>2648</v>
      </c>
      <c r="R5670" t="s">
        <v>23</v>
      </c>
      <c r="S5670" s="1" t="s">
        <v>34218</v>
      </c>
    </row>
    <row r="5671" spans="1:19" x14ac:dyDescent="0.25">
      <c r="A5671">
        <v>100847481</v>
      </c>
      <c r="B5671" t="s">
        <v>13933</v>
      </c>
      <c r="C5671" t="s">
        <v>621</v>
      </c>
      <c r="G5671" t="s">
        <v>13934</v>
      </c>
      <c r="H5671" t="s">
        <v>198</v>
      </c>
      <c r="I5671" t="s">
        <v>22</v>
      </c>
      <c r="J5671">
        <v>92109</v>
      </c>
      <c r="K5671">
        <v>2120</v>
      </c>
      <c r="L5671" t="s">
        <v>23</v>
      </c>
      <c r="M5671" t="s">
        <v>13934</v>
      </c>
      <c r="N5671" t="s">
        <v>198</v>
      </c>
      <c r="O5671" t="s">
        <v>22</v>
      </c>
      <c r="P5671">
        <v>92109</v>
      </c>
      <c r="Q5671">
        <v>2120</v>
      </c>
      <c r="R5671" t="s">
        <v>23</v>
      </c>
      <c r="S5671" s="1" t="s">
        <v>34218</v>
      </c>
    </row>
    <row r="5672" spans="1:19" x14ac:dyDescent="0.25">
      <c r="A5672">
        <v>100853024</v>
      </c>
      <c r="B5672" t="s">
        <v>2328</v>
      </c>
      <c r="C5672" t="s">
        <v>102</v>
      </c>
      <c r="G5672" t="s">
        <v>13935</v>
      </c>
      <c r="H5672" t="s">
        <v>4693</v>
      </c>
      <c r="I5672" t="s">
        <v>52</v>
      </c>
      <c r="J5672">
        <v>33445</v>
      </c>
      <c r="K5672">
        <v>1405</v>
      </c>
      <c r="L5672" t="s">
        <v>23</v>
      </c>
      <c r="M5672" t="s">
        <v>13935</v>
      </c>
      <c r="N5672" t="s">
        <v>4693</v>
      </c>
      <c r="O5672" t="s">
        <v>52</v>
      </c>
      <c r="P5672">
        <v>33445</v>
      </c>
      <c r="Q5672">
        <v>1405</v>
      </c>
      <c r="R5672" t="s">
        <v>23</v>
      </c>
      <c r="S5672" s="1" t="s">
        <v>34218</v>
      </c>
    </row>
    <row r="5673" spans="1:19" x14ac:dyDescent="0.25">
      <c r="A5673">
        <v>100854118</v>
      </c>
      <c r="B5673" t="s">
        <v>13936</v>
      </c>
      <c r="C5673" t="s">
        <v>90</v>
      </c>
      <c r="G5673" t="s">
        <v>13937</v>
      </c>
      <c r="H5673" t="s">
        <v>5070</v>
      </c>
      <c r="I5673" t="s">
        <v>84</v>
      </c>
      <c r="J5673">
        <v>98661</v>
      </c>
      <c r="K5673">
        <v>5606</v>
      </c>
      <c r="L5673" t="s">
        <v>23</v>
      </c>
      <c r="M5673" t="s">
        <v>13937</v>
      </c>
      <c r="N5673" t="s">
        <v>5070</v>
      </c>
      <c r="O5673" t="s">
        <v>84</v>
      </c>
      <c r="P5673">
        <v>98661</v>
      </c>
      <c r="Q5673">
        <v>5606</v>
      </c>
      <c r="R5673" t="s">
        <v>23</v>
      </c>
      <c r="S5673" s="1" t="s">
        <v>34218</v>
      </c>
    </row>
    <row r="5674" spans="1:19" x14ac:dyDescent="0.25">
      <c r="A5674">
        <v>100851265</v>
      </c>
      <c r="B5674" t="s">
        <v>13938</v>
      </c>
      <c r="C5674" t="s">
        <v>13939</v>
      </c>
      <c r="G5674" t="s">
        <v>13940</v>
      </c>
      <c r="H5674" t="s">
        <v>5688</v>
      </c>
      <c r="I5674" t="s">
        <v>161</v>
      </c>
      <c r="J5674">
        <v>6405</v>
      </c>
      <c r="K5674">
        <v>3301</v>
      </c>
      <c r="L5674" t="s">
        <v>23</v>
      </c>
      <c r="M5674" t="s">
        <v>13940</v>
      </c>
      <c r="N5674" t="s">
        <v>5688</v>
      </c>
      <c r="O5674" t="s">
        <v>161</v>
      </c>
      <c r="P5674">
        <v>6405</v>
      </c>
      <c r="Q5674">
        <v>3301</v>
      </c>
      <c r="R5674" t="s">
        <v>23</v>
      </c>
      <c r="S5674" s="1" t="s">
        <v>34218</v>
      </c>
    </row>
    <row r="5675" spans="1:19" x14ac:dyDescent="0.25">
      <c r="A5675">
        <v>100761623</v>
      </c>
      <c r="B5675" t="s">
        <v>13941</v>
      </c>
      <c r="C5675" t="s">
        <v>8144</v>
      </c>
      <c r="G5675" t="s">
        <v>13942</v>
      </c>
      <c r="H5675" t="s">
        <v>227</v>
      </c>
      <c r="I5675" t="s">
        <v>43</v>
      </c>
      <c r="J5675">
        <v>97212</v>
      </c>
      <c r="K5675">
        <v>2471</v>
      </c>
      <c r="L5675" t="s">
        <v>23</v>
      </c>
      <c r="M5675" t="s">
        <v>13942</v>
      </c>
      <c r="N5675" t="s">
        <v>227</v>
      </c>
      <c r="O5675" t="s">
        <v>43</v>
      </c>
      <c r="P5675">
        <v>97212</v>
      </c>
      <c r="Q5675">
        <v>2471</v>
      </c>
      <c r="R5675" t="s">
        <v>23</v>
      </c>
      <c r="S5675" s="1" t="s">
        <v>34218</v>
      </c>
    </row>
    <row r="5676" spans="1:19" x14ac:dyDescent="0.25">
      <c r="A5676">
        <v>100766151</v>
      </c>
      <c r="B5676" t="s">
        <v>13943</v>
      </c>
      <c r="C5676" t="s">
        <v>585</v>
      </c>
      <c r="G5676" t="s">
        <v>13944</v>
      </c>
      <c r="H5676" t="s">
        <v>694</v>
      </c>
      <c r="I5676" t="s">
        <v>135</v>
      </c>
      <c r="J5676">
        <v>60565</v>
      </c>
      <c r="K5676">
        <v>2050</v>
      </c>
      <c r="L5676" t="s">
        <v>23</v>
      </c>
      <c r="M5676" t="s">
        <v>13944</v>
      </c>
      <c r="N5676" t="s">
        <v>694</v>
      </c>
      <c r="O5676" t="s">
        <v>135</v>
      </c>
      <c r="P5676">
        <v>60565</v>
      </c>
      <c r="Q5676">
        <v>2050</v>
      </c>
      <c r="R5676" t="s">
        <v>23</v>
      </c>
      <c r="S5676" s="1" t="s">
        <v>34218</v>
      </c>
    </row>
    <row r="5677" spans="1:19" x14ac:dyDescent="0.25">
      <c r="A5677">
        <v>100768064</v>
      </c>
      <c r="B5677" t="s">
        <v>13945</v>
      </c>
      <c r="C5677" t="s">
        <v>1873</v>
      </c>
      <c r="G5677" t="s">
        <v>13946</v>
      </c>
      <c r="H5677" t="s">
        <v>13947</v>
      </c>
      <c r="I5677" t="s">
        <v>365</v>
      </c>
      <c r="J5677">
        <v>85086</v>
      </c>
      <c r="K5677">
        <v>1957</v>
      </c>
      <c r="L5677" t="s">
        <v>23</v>
      </c>
      <c r="M5677" t="s">
        <v>13946</v>
      </c>
      <c r="N5677" t="s">
        <v>13947</v>
      </c>
      <c r="O5677" t="s">
        <v>365</v>
      </c>
      <c r="P5677">
        <v>85086</v>
      </c>
      <c r="Q5677">
        <v>1957</v>
      </c>
      <c r="R5677" t="s">
        <v>23</v>
      </c>
      <c r="S5677" s="1" t="s">
        <v>34218</v>
      </c>
    </row>
    <row r="5678" spans="1:19" x14ac:dyDescent="0.25">
      <c r="A5678">
        <v>100770289</v>
      </c>
      <c r="B5678" t="s">
        <v>1662</v>
      </c>
      <c r="C5678" t="s">
        <v>13948</v>
      </c>
      <c r="G5678" t="s">
        <v>13949</v>
      </c>
      <c r="H5678" t="s">
        <v>2309</v>
      </c>
      <c r="I5678" t="s">
        <v>2310</v>
      </c>
      <c r="J5678">
        <v>19809</v>
      </c>
      <c r="K5678">
        <v>3214</v>
      </c>
      <c r="L5678" t="s">
        <v>23</v>
      </c>
      <c r="M5678" t="s">
        <v>13949</v>
      </c>
      <c r="N5678" t="s">
        <v>2309</v>
      </c>
      <c r="O5678" t="s">
        <v>2310</v>
      </c>
      <c r="P5678">
        <v>19809</v>
      </c>
      <c r="Q5678">
        <v>3214</v>
      </c>
      <c r="R5678" t="s">
        <v>23</v>
      </c>
      <c r="S5678" s="1" t="s">
        <v>34218</v>
      </c>
    </row>
    <row r="5679" spans="1:19" x14ac:dyDescent="0.25">
      <c r="A5679">
        <v>100770720</v>
      </c>
      <c r="B5679" t="s">
        <v>13950</v>
      </c>
      <c r="C5679" t="s">
        <v>1153</v>
      </c>
      <c r="G5679" t="s">
        <v>13951</v>
      </c>
      <c r="H5679" t="s">
        <v>2231</v>
      </c>
      <c r="I5679" t="s">
        <v>22</v>
      </c>
      <c r="J5679">
        <v>91202</v>
      </c>
      <c r="K5679">
        <v>1417</v>
      </c>
      <c r="L5679" t="s">
        <v>23</v>
      </c>
      <c r="M5679" t="s">
        <v>13951</v>
      </c>
      <c r="N5679" t="s">
        <v>2231</v>
      </c>
      <c r="O5679" t="s">
        <v>22</v>
      </c>
      <c r="P5679">
        <v>91202</v>
      </c>
      <c r="Q5679">
        <v>1417</v>
      </c>
      <c r="R5679" t="s">
        <v>23</v>
      </c>
      <c r="S5679" s="1" t="s">
        <v>34218</v>
      </c>
    </row>
    <row r="5680" spans="1:19" x14ac:dyDescent="0.25">
      <c r="A5680">
        <v>100770763</v>
      </c>
      <c r="B5680" t="s">
        <v>13952</v>
      </c>
      <c r="C5680" t="s">
        <v>6169</v>
      </c>
      <c r="F5680" t="str">
        <f>"8172667456"</f>
        <v>8172667456</v>
      </c>
      <c r="G5680" t="s">
        <v>13953</v>
      </c>
      <c r="H5680" t="s">
        <v>1748</v>
      </c>
      <c r="I5680" t="s">
        <v>38</v>
      </c>
      <c r="J5680">
        <v>76012</v>
      </c>
      <c r="K5680">
        <v>5371</v>
      </c>
      <c r="L5680" t="s">
        <v>23</v>
      </c>
      <c r="M5680" t="s">
        <v>13953</v>
      </c>
      <c r="N5680" t="s">
        <v>1748</v>
      </c>
      <c r="O5680" t="s">
        <v>38</v>
      </c>
      <c r="P5680">
        <v>76012</v>
      </c>
      <c r="Q5680">
        <v>5371</v>
      </c>
      <c r="R5680" t="s">
        <v>23</v>
      </c>
      <c r="S5680" s="1" t="s">
        <v>34218</v>
      </c>
    </row>
    <row r="5681" spans="1:19" x14ac:dyDescent="0.25">
      <c r="A5681">
        <v>100771338</v>
      </c>
      <c r="B5681" t="s">
        <v>13954</v>
      </c>
      <c r="C5681" t="s">
        <v>13955</v>
      </c>
      <c r="G5681" t="s">
        <v>13956</v>
      </c>
      <c r="H5681" t="s">
        <v>134</v>
      </c>
      <c r="I5681" t="s">
        <v>135</v>
      </c>
      <c r="J5681">
        <v>60656</v>
      </c>
      <c r="K5681">
        <v>4615</v>
      </c>
      <c r="L5681" t="s">
        <v>23</v>
      </c>
      <c r="M5681" t="s">
        <v>13956</v>
      </c>
      <c r="N5681" t="s">
        <v>134</v>
      </c>
      <c r="O5681" t="s">
        <v>135</v>
      </c>
      <c r="P5681">
        <v>60656</v>
      </c>
      <c r="Q5681">
        <v>4615</v>
      </c>
      <c r="R5681" t="s">
        <v>23</v>
      </c>
      <c r="S5681" s="1" t="s">
        <v>34218</v>
      </c>
    </row>
    <row r="5682" spans="1:19" x14ac:dyDescent="0.25">
      <c r="A5682">
        <v>100771556</v>
      </c>
      <c r="B5682" t="s">
        <v>3650</v>
      </c>
      <c r="C5682" t="s">
        <v>13957</v>
      </c>
      <c r="G5682" t="s">
        <v>13958</v>
      </c>
      <c r="H5682" t="s">
        <v>3604</v>
      </c>
      <c r="I5682" t="s">
        <v>140</v>
      </c>
      <c r="J5682">
        <v>48331</v>
      </c>
      <c r="K5682">
        <v>2960</v>
      </c>
      <c r="L5682" t="s">
        <v>23</v>
      </c>
      <c r="M5682" t="s">
        <v>13958</v>
      </c>
      <c r="N5682" t="s">
        <v>3604</v>
      </c>
      <c r="O5682" t="s">
        <v>140</v>
      </c>
      <c r="P5682">
        <v>48331</v>
      </c>
      <c r="Q5682">
        <v>2960</v>
      </c>
      <c r="R5682" t="s">
        <v>23</v>
      </c>
      <c r="S5682" s="1" t="s">
        <v>34218</v>
      </c>
    </row>
    <row r="5683" spans="1:19" x14ac:dyDescent="0.25">
      <c r="A5683">
        <v>100771451</v>
      </c>
      <c r="B5683" t="s">
        <v>162</v>
      </c>
      <c r="C5683" t="s">
        <v>1327</v>
      </c>
      <c r="G5683" t="s">
        <v>13959</v>
      </c>
      <c r="H5683" t="s">
        <v>13960</v>
      </c>
      <c r="I5683" t="s">
        <v>43</v>
      </c>
      <c r="J5683">
        <v>97423</v>
      </c>
      <c r="K5683">
        <v>8509</v>
      </c>
      <c r="L5683" t="s">
        <v>23</v>
      </c>
      <c r="M5683" t="s">
        <v>13959</v>
      </c>
      <c r="N5683" t="s">
        <v>13960</v>
      </c>
      <c r="O5683" t="s">
        <v>43</v>
      </c>
      <c r="P5683">
        <v>97423</v>
      </c>
      <c r="Q5683">
        <v>8509</v>
      </c>
      <c r="R5683" t="s">
        <v>23</v>
      </c>
      <c r="S5683" s="1" t="s">
        <v>34218</v>
      </c>
    </row>
    <row r="5684" spans="1:19" x14ac:dyDescent="0.25">
      <c r="A5684">
        <v>100778905</v>
      </c>
      <c r="B5684" t="s">
        <v>306</v>
      </c>
      <c r="C5684" t="s">
        <v>123</v>
      </c>
      <c r="G5684" t="s">
        <v>13961</v>
      </c>
      <c r="H5684" t="s">
        <v>1783</v>
      </c>
      <c r="I5684" t="s">
        <v>178</v>
      </c>
      <c r="J5684">
        <v>44138</v>
      </c>
      <c r="K5684">
        <v>3761</v>
      </c>
      <c r="L5684" t="s">
        <v>23</v>
      </c>
      <c r="M5684" t="s">
        <v>13961</v>
      </c>
      <c r="N5684" t="s">
        <v>1783</v>
      </c>
      <c r="O5684" t="s">
        <v>178</v>
      </c>
      <c r="P5684">
        <v>44138</v>
      </c>
      <c r="Q5684">
        <v>3761</v>
      </c>
      <c r="R5684" t="s">
        <v>23</v>
      </c>
      <c r="S5684" s="1" t="s">
        <v>34218</v>
      </c>
    </row>
    <row r="5685" spans="1:19" x14ac:dyDescent="0.25">
      <c r="A5685">
        <v>100777388</v>
      </c>
      <c r="B5685" t="s">
        <v>13962</v>
      </c>
      <c r="C5685" t="s">
        <v>846</v>
      </c>
      <c r="G5685" t="s">
        <v>13963</v>
      </c>
      <c r="H5685" t="s">
        <v>3363</v>
      </c>
      <c r="I5685" t="s">
        <v>33</v>
      </c>
      <c r="J5685">
        <v>15217</v>
      </c>
      <c r="K5685">
        <v>1840</v>
      </c>
      <c r="L5685" t="s">
        <v>23</v>
      </c>
      <c r="M5685" t="s">
        <v>13963</v>
      </c>
      <c r="N5685" t="s">
        <v>3363</v>
      </c>
      <c r="O5685" t="s">
        <v>33</v>
      </c>
      <c r="P5685">
        <v>15217</v>
      </c>
      <c r="Q5685">
        <v>1840</v>
      </c>
      <c r="R5685" t="s">
        <v>23</v>
      </c>
      <c r="S5685" s="1" t="s">
        <v>34218</v>
      </c>
    </row>
    <row r="5686" spans="1:19" x14ac:dyDescent="0.25">
      <c r="A5686">
        <v>100788286</v>
      </c>
      <c r="B5686" t="s">
        <v>1792</v>
      </c>
      <c r="C5686" t="s">
        <v>2941</v>
      </c>
      <c r="G5686" t="s">
        <v>13964</v>
      </c>
      <c r="H5686" t="s">
        <v>481</v>
      </c>
      <c r="I5686" t="s">
        <v>22</v>
      </c>
      <c r="J5686">
        <v>95124</v>
      </c>
      <c r="K5686">
        <v>5329</v>
      </c>
      <c r="L5686" t="s">
        <v>23</v>
      </c>
      <c r="M5686" t="s">
        <v>13964</v>
      </c>
      <c r="N5686" t="s">
        <v>481</v>
      </c>
      <c r="O5686" t="s">
        <v>22</v>
      </c>
      <c r="P5686">
        <v>95124</v>
      </c>
      <c r="Q5686">
        <v>5329</v>
      </c>
      <c r="R5686" t="s">
        <v>23</v>
      </c>
      <c r="S5686" s="1" t="s">
        <v>34218</v>
      </c>
    </row>
    <row r="5687" spans="1:19" x14ac:dyDescent="0.25">
      <c r="A5687">
        <v>100972734</v>
      </c>
      <c r="B5687" t="s">
        <v>13965</v>
      </c>
      <c r="C5687" t="s">
        <v>4124</v>
      </c>
      <c r="G5687" t="s">
        <v>13966</v>
      </c>
      <c r="H5687" t="s">
        <v>13967</v>
      </c>
      <c r="I5687" t="s">
        <v>161</v>
      </c>
      <c r="J5687">
        <v>6478</v>
      </c>
      <c r="K5687">
        <v>3124</v>
      </c>
      <c r="L5687" t="s">
        <v>23</v>
      </c>
      <c r="M5687" t="s">
        <v>13966</v>
      </c>
      <c r="N5687" t="s">
        <v>13967</v>
      </c>
      <c r="O5687" t="s">
        <v>161</v>
      </c>
      <c r="P5687">
        <v>6478</v>
      </c>
      <c r="Q5687">
        <v>3124</v>
      </c>
      <c r="R5687" t="s">
        <v>23</v>
      </c>
      <c r="S5687" s="1" t="s">
        <v>34218</v>
      </c>
    </row>
    <row r="5688" spans="1:19" x14ac:dyDescent="0.25">
      <c r="A5688">
        <v>100975874</v>
      </c>
      <c r="B5688" t="s">
        <v>13968</v>
      </c>
      <c r="C5688" t="s">
        <v>571</v>
      </c>
      <c r="G5688" t="s">
        <v>13969</v>
      </c>
      <c r="H5688" t="s">
        <v>11359</v>
      </c>
      <c r="I5688" t="s">
        <v>100</v>
      </c>
      <c r="J5688">
        <v>53575</v>
      </c>
      <c r="K5688">
        <v>3256</v>
      </c>
      <c r="L5688" t="s">
        <v>23</v>
      </c>
      <c r="M5688" t="s">
        <v>13969</v>
      </c>
      <c r="N5688" t="s">
        <v>11359</v>
      </c>
      <c r="O5688" t="s">
        <v>100</v>
      </c>
      <c r="P5688">
        <v>53575</v>
      </c>
      <c r="Q5688">
        <v>3256</v>
      </c>
      <c r="R5688" t="s">
        <v>23</v>
      </c>
      <c r="S5688" s="1" t="s">
        <v>34218</v>
      </c>
    </row>
    <row r="5689" spans="1:19" x14ac:dyDescent="0.25">
      <c r="A5689">
        <v>100576109</v>
      </c>
      <c r="B5689" t="s">
        <v>13970</v>
      </c>
      <c r="C5689" t="s">
        <v>6257</v>
      </c>
      <c r="G5689" t="s">
        <v>13971</v>
      </c>
      <c r="H5689" t="s">
        <v>11023</v>
      </c>
      <c r="I5689" t="s">
        <v>236</v>
      </c>
      <c r="J5689">
        <v>1770</v>
      </c>
      <c r="K5689">
        <v>1629</v>
      </c>
      <c r="L5689" t="s">
        <v>23</v>
      </c>
      <c r="M5689" t="s">
        <v>13971</v>
      </c>
      <c r="N5689" t="s">
        <v>11023</v>
      </c>
      <c r="O5689" t="s">
        <v>236</v>
      </c>
      <c r="P5689">
        <v>1770</v>
      </c>
      <c r="Q5689">
        <v>1629</v>
      </c>
      <c r="R5689" t="s">
        <v>23</v>
      </c>
      <c r="S5689" s="1" t="s">
        <v>34218</v>
      </c>
    </row>
    <row r="5690" spans="1:19" x14ac:dyDescent="0.25">
      <c r="A5690">
        <v>100582048</v>
      </c>
      <c r="B5690" t="s">
        <v>8398</v>
      </c>
      <c r="C5690" t="s">
        <v>2642</v>
      </c>
      <c r="G5690" t="s">
        <v>13972</v>
      </c>
      <c r="H5690" t="s">
        <v>132</v>
      </c>
      <c r="I5690" t="s">
        <v>43</v>
      </c>
      <c r="J5690">
        <v>97846</v>
      </c>
      <c r="K5690">
        <v>8467</v>
      </c>
      <c r="L5690" t="s">
        <v>23</v>
      </c>
      <c r="M5690" t="s">
        <v>13972</v>
      </c>
      <c r="N5690" t="s">
        <v>132</v>
      </c>
      <c r="O5690" t="s">
        <v>43</v>
      </c>
      <c r="P5690">
        <v>97846</v>
      </c>
      <c r="Q5690">
        <v>8467</v>
      </c>
      <c r="R5690" t="s">
        <v>23</v>
      </c>
      <c r="S5690" s="1" t="s">
        <v>34218</v>
      </c>
    </row>
    <row r="5691" spans="1:19" x14ac:dyDescent="0.25">
      <c r="A5691">
        <v>100580200</v>
      </c>
      <c r="B5691" t="s">
        <v>13973</v>
      </c>
      <c r="C5691" t="s">
        <v>102</v>
      </c>
      <c r="G5691" t="s">
        <v>13974</v>
      </c>
      <c r="H5691" t="s">
        <v>9084</v>
      </c>
      <c r="I5691" t="s">
        <v>178</v>
      </c>
      <c r="J5691">
        <v>44145</v>
      </c>
      <c r="K5691">
        <v>4472</v>
      </c>
      <c r="L5691" t="s">
        <v>23</v>
      </c>
      <c r="M5691" t="s">
        <v>13974</v>
      </c>
      <c r="N5691" t="s">
        <v>9084</v>
      </c>
      <c r="O5691" t="s">
        <v>178</v>
      </c>
      <c r="P5691">
        <v>44145</v>
      </c>
      <c r="Q5691">
        <v>4472</v>
      </c>
      <c r="R5691" t="s">
        <v>23</v>
      </c>
      <c r="S5691" s="1" t="s">
        <v>34218</v>
      </c>
    </row>
    <row r="5692" spans="1:19" x14ac:dyDescent="0.25">
      <c r="A5692">
        <v>100578810</v>
      </c>
      <c r="B5692" t="s">
        <v>9149</v>
      </c>
      <c r="C5692" t="s">
        <v>644</v>
      </c>
      <c r="F5692" t="str">
        <f>"4254815956"</f>
        <v>4254815956</v>
      </c>
      <c r="G5692" t="s">
        <v>13975</v>
      </c>
      <c r="H5692" t="s">
        <v>1456</v>
      </c>
      <c r="I5692" t="s">
        <v>84</v>
      </c>
      <c r="J5692">
        <v>98012</v>
      </c>
      <c r="K5692">
        <v>3316</v>
      </c>
      <c r="L5692" t="s">
        <v>23</v>
      </c>
      <c r="M5692" t="s">
        <v>13975</v>
      </c>
      <c r="N5692" t="s">
        <v>1456</v>
      </c>
      <c r="O5692" t="s">
        <v>84</v>
      </c>
      <c r="P5692">
        <v>98012</v>
      </c>
      <c r="Q5692">
        <v>3316</v>
      </c>
      <c r="R5692" t="s">
        <v>23</v>
      </c>
      <c r="S5692" s="1" t="s">
        <v>34218</v>
      </c>
    </row>
    <row r="5693" spans="1:19" x14ac:dyDescent="0.25">
      <c r="A5693">
        <v>100584519</v>
      </c>
      <c r="B5693" t="s">
        <v>11414</v>
      </c>
      <c r="C5693" t="s">
        <v>1778</v>
      </c>
      <c r="G5693" t="s">
        <v>13976</v>
      </c>
      <c r="H5693" t="s">
        <v>1748</v>
      </c>
      <c r="I5693" t="s">
        <v>84</v>
      </c>
      <c r="J5693">
        <v>98223</v>
      </c>
      <c r="K5693">
        <v>8525</v>
      </c>
      <c r="L5693" t="s">
        <v>23</v>
      </c>
      <c r="M5693" t="s">
        <v>13976</v>
      </c>
      <c r="N5693" t="s">
        <v>1748</v>
      </c>
      <c r="O5693" t="s">
        <v>84</v>
      </c>
      <c r="P5693">
        <v>98223</v>
      </c>
      <c r="Q5693">
        <v>8525</v>
      </c>
      <c r="R5693" t="s">
        <v>23</v>
      </c>
      <c r="S5693" s="1" t="s">
        <v>34218</v>
      </c>
    </row>
    <row r="5694" spans="1:19" x14ac:dyDescent="0.25">
      <c r="A5694">
        <v>100587270</v>
      </c>
      <c r="B5694" t="s">
        <v>13977</v>
      </c>
      <c r="C5694" t="s">
        <v>432</v>
      </c>
      <c r="G5694" t="s">
        <v>13978</v>
      </c>
      <c r="H5694" t="s">
        <v>37</v>
      </c>
      <c r="I5694" t="s">
        <v>38</v>
      </c>
      <c r="J5694">
        <v>78757</v>
      </c>
      <c r="K5694">
        <v>2463</v>
      </c>
      <c r="L5694" t="s">
        <v>23</v>
      </c>
      <c r="M5694" t="s">
        <v>13978</v>
      </c>
      <c r="N5694" t="s">
        <v>37</v>
      </c>
      <c r="O5694" t="s">
        <v>38</v>
      </c>
      <c r="P5694">
        <v>78757</v>
      </c>
      <c r="Q5694">
        <v>2463</v>
      </c>
      <c r="R5694" t="s">
        <v>23</v>
      </c>
      <c r="S5694" s="1" t="s">
        <v>34218</v>
      </c>
    </row>
    <row r="5695" spans="1:19" x14ac:dyDescent="0.25">
      <c r="A5695">
        <v>100586517</v>
      </c>
      <c r="B5695" t="s">
        <v>13979</v>
      </c>
      <c r="C5695" t="s">
        <v>329</v>
      </c>
      <c r="G5695" t="s">
        <v>13980</v>
      </c>
      <c r="H5695" t="s">
        <v>1985</v>
      </c>
      <c r="I5695" t="s">
        <v>71</v>
      </c>
      <c r="J5695">
        <v>80916</v>
      </c>
      <c r="K5695">
        <v>2329</v>
      </c>
      <c r="L5695" t="s">
        <v>23</v>
      </c>
      <c r="M5695" t="s">
        <v>13980</v>
      </c>
      <c r="N5695" t="s">
        <v>1985</v>
      </c>
      <c r="O5695" t="s">
        <v>71</v>
      </c>
      <c r="P5695">
        <v>80916</v>
      </c>
      <c r="Q5695">
        <v>2329</v>
      </c>
      <c r="R5695" t="s">
        <v>23</v>
      </c>
      <c r="S5695" s="1" t="s">
        <v>34218</v>
      </c>
    </row>
    <row r="5696" spans="1:19" x14ac:dyDescent="0.25">
      <c r="A5696">
        <v>100589190</v>
      </c>
      <c r="B5696" t="s">
        <v>7290</v>
      </c>
      <c r="C5696" t="s">
        <v>13981</v>
      </c>
      <c r="G5696" t="s">
        <v>13982</v>
      </c>
      <c r="H5696" t="s">
        <v>13983</v>
      </c>
      <c r="I5696" t="s">
        <v>52</v>
      </c>
      <c r="J5696">
        <v>33309</v>
      </c>
      <c r="K5696">
        <v>4611</v>
      </c>
      <c r="L5696" t="s">
        <v>23</v>
      </c>
      <c r="M5696" t="s">
        <v>13982</v>
      </c>
      <c r="N5696" t="s">
        <v>13983</v>
      </c>
      <c r="O5696" t="s">
        <v>52</v>
      </c>
      <c r="P5696">
        <v>33309</v>
      </c>
      <c r="Q5696">
        <v>4611</v>
      </c>
      <c r="R5696" t="s">
        <v>23</v>
      </c>
      <c r="S5696" s="1" t="s">
        <v>34218</v>
      </c>
    </row>
    <row r="5697" spans="1:19" x14ac:dyDescent="0.25">
      <c r="A5697">
        <v>100594816</v>
      </c>
      <c r="B5697" t="s">
        <v>13984</v>
      </c>
      <c r="C5697" t="s">
        <v>13985</v>
      </c>
      <c r="G5697" t="s">
        <v>13986</v>
      </c>
      <c r="H5697" t="s">
        <v>299</v>
      </c>
      <c r="I5697" t="s">
        <v>22</v>
      </c>
      <c r="J5697">
        <v>90024</v>
      </c>
      <c r="K5697">
        <v>3312</v>
      </c>
      <c r="L5697" t="s">
        <v>23</v>
      </c>
      <c r="M5697" t="s">
        <v>13986</v>
      </c>
      <c r="N5697" t="s">
        <v>299</v>
      </c>
      <c r="O5697" t="s">
        <v>22</v>
      </c>
      <c r="P5697">
        <v>90024</v>
      </c>
      <c r="Q5697">
        <v>3312</v>
      </c>
      <c r="R5697" t="s">
        <v>23</v>
      </c>
      <c r="S5697" s="1" t="s">
        <v>34218</v>
      </c>
    </row>
    <row r="5698" spans="1:19" x14ac:dyDescent="0.25">
      <c r="A5698">
        <v>100596288</v>
      </c>
      <c r="B5698" t="s">
        <v>13987</v>
      </c>
      <c r="C5698" t="s">
        <v>217</v>
      </c>
      <c r="G5698" t="s">
        <v>13988</v>
      </c>
      <c r="H5698" t="s">
        <v>13989</v>
      </c>
      <c r="I5698" t="s">
        <v>22</v>
      </c>
      <c r="J5698">
        <v>95030</v>
      </c>
      <c r="K5698">
        <v>3215</v>
      </c>
      <c r="L5698" t="s">
        <v>23</v>
      </c>
      <c r="M5698" t="s">
        <v>13988</v>
      </c>
      <c r="N5698" t="s">
        <v>13989</v>
      </c>
      <c r="O5698" t="s">
        <v>22</v>
      </c>
      <c r="P5698">
        <v>95030</v>
      </c>
      <c r="Q5698">
        <v>3215</v>
      </c>
      <c r="R5698" t="s">
        <v>23</v>
      </c>
      <c r="S5698" s="1" t="s">
        <v>34218</v>
      </c>
    </row>
    <row r="5699" spans="1:19" x14ac:dyDescent="0.25">
      <c r="A5699">
        <v>100596886</v>
      </c>
      <c r="B5699" t="s">
        <v>6555</v>
      </c>
      <c r="C5699" t="s">
        <v>13990</v>
      </c>
      <c r="G5699" t="s">
        <v>13991</v>
      </c>
      <c r="H5699" t="s">
        <v>13992</v>
      </c>
      <c r="I5699" t="s">
        <v>52</v>
      </c>
      <c r="J5699">
        <v>32779</v>
      </c>
      <c r="K5699">
        <v>4517</v>
      </c>
      <c r="L5699" t="s">
        <v>23</v>
      </c>
      <c r="M5699" t="s">
        <v>13991</v>
      </c>
      <c r="N5699" t="s">
        <v>13992</v>
      </c>
      <c r="O5699" t="s">
        <v>52</v>
      </c>
      <c r="P5699">
        <v>32779</v>
      </c>
      <c r="Q5699">
        <v>4517</v>
      </c>
      <c r="R5699" t="s">
        <v>23</v>
      </c>
      <c r="S5699" s="1" t="s">
        <v>34218</v>
      </c>
    </row>
    <row r="5700" spans="1:19" x14ac:dyDescent="0.25">
      <c r="A5700">
        <v>100601704</v>
      </c>
      <c r="B5700" t="s">
        <v>9665</v>
      </c>
      <c r="C5700" t="s">
        <v>25</v>
      </c>
      <c r="G5700" t="s">
        <v>13993</v>
      </c>
      <c r="H5700" t="s">
        <v>12372</v>
      </c>
      <c r="I5700" t="s">
        <v>348</v>
      </c>
      <c r="J5700">
        <v>83646</v>
      </c>
      <c r="K5700">
        <v>3803</v>
      </c>
      <c r="L5700" t="s">
        <v>23</v>
      </c>
      <c r="M5700" t="s">
        <v>13993</v>
      </c>
      <c r="N5700" t="s">
        <v>12372</v>
      </c>
      <c r="O5700" t="s">
        <v>348</v>
      </c>
      <c r="P5700">
        <v>83646</v>
      </c>
      <c r="Q5700">
        <v>3803</v>
      </c>
      <c r="R5700" t="s">
        <v>23</v>
      </c>
      <c r="S5700" s="1" t="s">
        <v>34218</v>
      </c>
    </row>
    <row r="5701" spans="1:19" x14ac:dyDescent="0.25">
      <c r="A5701">
        <v>100785169</v>
      </c>
      <c r="B5701" t="s">
        <v>13994</v>
      </c>
      <c r="C5701" t="s">
        <v>7022</v>
      </c>
      <c r="G5701" t="s">
        <v>13995</v>
      </c>
      <c r="H5701" t="s">
        <v>1452</v>
      </c>
      <c r="I5701" t="s">
        <v>43</v>
      </c>
      <c r="J5701">
        <v>97405</v>
      </c>
      <c r="K5701">
        <v>9485</v>
      </c>
      <c r="L5701" t="s">
        <v>23</v>
      </c>
      <c r="M5701" t="s">
        <v>13995</v>
      </c>
      <c r="N5701" t="s">
        <v>1452</v>
      </c>
      <c r="O5701" t="s">
        <v>43</v>
      </c>
      <c r="P5701">
        <v>97405</v>
      </c>
      <c r="Q5701">
        <v>9485</v>
      </c>
      <c r="R5701" t="s">
        <v>23</v>
      </c>
      <c r="S5701" s="1" t="s">
        <v>34218</v>
      </c>
    </row>
    <row r="5702" spans="1:19" x14ac:dyDescent="0.25">
      <c r="A5702">
        <v>100789403</v>
      </c>
      <c r="B5702" t="s">
        <v>6111</v>
      </c>
      <c r="C5702" t="s">
        <v>1124</v>
      </c>
      <c r="G5702" t="s">
        <v>13996</v>
      </c>
      <c r="H5702" t="s">
        <v>13997</v>
      </c>
      <c r="I5702" t="s">
        <v>446</v>
      </c>
      <c r="J5702">
        <v>28761</v>
      </c>
      <c r="K5702">
        <v>4534</v>
      </c>
      <c r="L5702" t="s">
        <v>23</v>
      </c>
      <c r="M5702" t="s">
        <v>13996</v>
      </c>
      <c r="N5702" t="s">
        <v>13997</v>
      </c>
      <c r="O5702" t="s">
        <v>446</v>
      </c>
      <c r="P5702">
        <v>28761</v>
      </c>
      <c r="Q5702">
        <v>4534</v>
      </c>
      <c r="R5702" t="s">
        <v>23</v>
      </c>
      <c r="S5702" s="1" t="s">
        <v>34218</v>
      </c>
    </row>
    <row r="5703" spans="1:19" x14ac:dyDescent="0.25">
      <c r="A5703">
        <v>100796578</v>
      </c>
      <c r="B5703" t="s">
        <v>4136</v>
      </c>
      <c r="C5703" t="s">
        <v>1887</v>
      </c>
      <c r="G5703" t="s">
        <v>13998</v>
      </c>
      <c r="H5703" t="s">
        <v>13999</v>
      </c>
      <c r="I5703" t="s">
        <v>187</v>
      </c>
      <c r="J5703">
        <v>55021</v>
      </c>
      <c r="K5703">
        <v>3813</v>
      </c>
      <c r="L5703" t="s">
        <v>23</v>
      </c>
      <c r="M5703" t="s">
        <v>13998</v>
      </c>
      <c r="N5703" t="s">
        <v>13999</v>
      </c>
      <c r="O5703" t="s">
        <v>187</v>
      </c>
      <c r="P5703">
        <v>55021</v>
      </c>
      <c r="Q5703">
        <v>3813</v>
      </c>
      <c r="R5703" t="s">
        <v>23</v>
      </c>
      <c r="S5703" s="1" t="s">
        <v>34218</v>
      </c>
    </row>
    <row r="5704" spans="1:19" x14ac:dyDescent="0.25">
      <c r="A5704">
        <v>101152638</v>
      </c>
      <c r="B5704" t="s">
        <v>14000</v>
      </c>
      <c r="C5704" t="s">
        <v>30</v>
      </c>
      <c r="F5704" t="str">
        <f>"8055280286"</f>
        <v>8055280286</v>
      </c>
      <c r="G5704" t="s">
        <v>14001</v>
      </c>
      <c r="H5704" t="s">
        <v>1181</v>
      </c>
      <c r="I5704" t="s">
        <v>22</v>
      </c>
      <c r="J5704">
        <v>93402</v>
      </c>
      <c r="K5704">
        <v>2039</v>
      </c>
      <c r="L5704" t="s">
        <v>23</v>
      </c>
      <c r="M5704" t="s">
        <v>14001</v>
      </c>
      <c r="N5704" t="s">
        <v>1181</v>
      </c>
      <c r="O5704" t="s">
        <v>22</v>
      </c>
      <c r="P5704">
        <v>93402</v>
      </c>
      <c r="Q5704">
        <v>2039</v>
      </c>
      <c r="R5704" t="s">
        <v>23</v>
      </c>
      <c r="S5704" s="1" t="s">
        <v>34218</v>
      </c>
    </row>
    <row r="5705" spans="1:19" x14ac:dyDescent="0.25">
      <c r="A5705">
        <v>101159256</v>
      </c>
      <c r="B5705" t="s">
        <v>14002</v>
      </c>
      <c r="C5705" t="s">
        <v>123</v>
      </c>
      <c r="F5705" t="str">
        <f>"2257530888"</f>
        <v>2257530888</v>
      </c>
      <c r="G5705" t="s">
        <v>14003</v>
      </c>
      <c r="H5705" t="s">
        <v>1229</v>
      </c>
      <c r="I5705" t="s">
        <v>38</v>
      </c>
      <c r="J5705">
        <v>78247</v>
      </c>
      <c r="K5705">
        <v>5925</v>
      </c>
      <c r="L5705" t="s">
        <v>23</v>
      </c>
      <c r="M5705" t="s">
        <v>14003</v>
      </c>
      <c r="N5705" t="s">
        <v>1229</v>
      </c>
      <c r="O5705" t="s">
        <v>38</v>
      </c>
      <c r="P5705">
        <v>78247</v>
      </c>
      <c r="Q5705">
        <v>5925</v>
      </c>
      <c r="R5705" t="s">
        <v>23</v>
      </c>
      <c r="S5705" s="1" t="s">
        <v>34218</v>
      </c>
    </row>
    <row r="5706" spans="1:19" x14ac:dyDescent="0.25">
      <c r="A5706">
        <v>101163578</v>
      </c>
      <c r="B5706" t="s">
        <v>3494</v>
      </c>
      <c r="C5706" t="s">
        <v>1161</v>
      </c>
      <c r="G5706" t="s">
        <v>14004</v>
      </c>
      <c r="H5706" t="s">
        <v>10487</v>
      </c>
      <c r="I5706" t="s">
        <v>565</v>
      </c>
      <c r="J5706">
        <v>52403</v>
      </c>
      <c r="K5706">
        <v>3543</v>
      </c>
      <c r="L5706" t="s">
        <v>23</v>
      </c>
      <c r="M5706" t="s">
        <v>14004</v>
      </c>
      <c r="N5706" t="s">
        <v>10487</v>
      </c>
      <c r="O5706" t="s">
        <v>565</v>
      </c>
      <c r="P5706">
        <v>52403</v>
      </c>
      <c r="Q5706">
        <v>3543</v>
      </c>
      <c r="R5706" t="s">
        <v>23</v>
      </c>
      <c r="S5706" s="1" t="s">
        <v>34218</v>
      </c>
    </row>
    <row r="5707" spans="1:19" x14ac:dyDescent="0.25">
      <c r="A5707">
        <v>101160212</v>
      </c>
      <c r="B5707" t="s">
        <v>14005</v>
      </c>
      <c r="C5707" t="s">
        <v>367</v>
      </c>
      <c r="G5707" t="s">
        <v>14006</v>
      </c>
      <c r="H5707" t="s">
        <v>14007</v>
      </c>
      <c r="I5707" t="s">
        <v>187</v>
      </c>
      <c r="J5707">
        <v>55416</v>
      </c>
      <c r="K5707">
        <v>3918</v>
      </c>
      <c r="L5707" t="s">
        <v>23</v>
      </c>
      <c r="M5707" t="s">
        <v>14006</v>
      </c>
      <c r="N5707" t="s">
        <v>14007</v>
      </c>
      <c r="O5707" t="s">
        <v>187</v>
      </c>
      <c r="P5707">
        <v>55416</v>
      </c>
      <c r="Q5707">
        <v>3918</v>
      </c>
      <c r="R5707" t="s">
        <v>23</v>
      </c>
      <c r="S5707" s="1" t="s">
        <v>34218</v>
      </c>
    </row>
    <row r="5708" spans="1:19" x14ac:dyDescent="0.25">
      <c r="A5708">
        <v>101156924</v>
      </c>
      <c r="B5708" t="s">
        <v>14008</v>
      </c>
      <c r="C5708" t="s">
        <v>45</v>
      </c>
      <c r="G5708" t="s">
        <v>14009</v>
      </c>
      <c r="H5708" t="s">
        <v>357</v>
      </c>
      <c r="I5708" t="s">
        <v>255</v>
      </c>
      <c r="J5708">
        <v>22312</v>
      </c>
      <c r="K5708">
        <v>6302</v>
      </c>
      <c r="L5708" t="s">
        <v>23</v>
      </c>
      <c r="M5708" t="s">
        <v>14009</v>
      </c>
      <c r="N5708" t="s">
        <v>357</v>
      </c>
      <c r="O5708" t="s">
        <v>255</v>
      </c>
      <c r="P5708">
        <v>22312</v>
      </c>
      <c r="Q5708">
        <v>6302</v>
      </c>
      <c r="R5708" t="s">
        <v>23</v>
      </c>
      <c r="S5708" s="1" t="s">
        <v>34218</v>
      </c>
    </row>
    <row r="5709" spans="1:19" x14ac:dyDescent="0.25">
      <c r="A5709">
        <v>101165785</v>
      </c>
      <c r="B5709" t="s">
        <v>14010</v>
      </c>
      <c r="C5709" t="s">
        <v>11597</v>
      </c>
      <c r="G5709" t="s">
        <v>14011</v>
      </c>
      <c r="H5709" t="s">
        <v>14012</v>
      </c>
      <c r="I5709" t="s">
        <v>187</v>
      </c>
      <c r="J5709">
        <v>55987</v>
      </c>
      <c r="K5709">
        <v>5383</v>
      </c>
      <c r="L5709" t="s">
        <v>23</v>
      </c>
      <c r="M5709" t="s">
        <v>14011</v>
      </c>
      <c r="N5709" t="s">
        <v>14012</v>
      </c>
      <c r="O5709" t="s">
        <v>187</v>
      </c>
      <c r="P5709">
        <v>55987</v>
      </c>
      <c r="Q5709">
        <v>5383</v>
      </c>
      <c r="R5709" t="s">
        <v>23</v>
      </c>
      <c r="S5709" s="1" t="s">
        <v>34218</v>
      </c>
    </row>
    <row r="5710" spans="1:19" x14ac:dyDescent="0.25">
      <c r="A5710">
        <v>101166713</v>
      </c>
      <c r="B5710" t="s">
        <v>14013</v>
      </c>
      <c r="C5710" t="s">
        <v>14014</v>
      </c>
      <c r="G5710" t="s">
        <v>14015</v>
      </c>
      <c r="H5710" t="s">
        <v>5525</v>
      </c>
      <c r="I5710" t="s">
        <v>2310</v>
      </c>
      <c r="J5710">
        <v>19713</v>
      </c>
      <c r="K5710">
        <v>1312</v>
      </c>
      <c r="L5710" t="s">
        <v>23</v>
      </c>
      <c r="M5710" t="s">
        <v>14015</v>
      </c>
      <c r="N5710" t="s">
        <v>5525</v>
      </c>
      <c r="O5710" t="s">
        <v>2310</v>
      </c>
      <c r="P5710">
        <v>19713</v>
      </c>
      <c r="Q5710">
        <v>1312</v>
      </c>
      <c r="R5710" t="s">
        <v>23</v>
      </c>
      <c r="S5710" s="1" t="s">
        <v>34218</v>
      </c>
    </row>
    <row r="5711" spans="1:19" x14ac:dyDescent="0.25">
      <c r="A5711">
        <v>101169473</v>
      </c>
      <c r="B5711" t="s">
        <v>1164</v>
      </c>
      <c r="C5711" t="s">
        <v>14016</v>
      </c>
      <c r="G5711" t="s">
        <v>14017</v>
      </c>
      <c r="H5711" t="s">
        <v>8692</v>
      </c>
      <c r="I5711" t="s">
        <v>28</v>
      </c>
      <c r="J5711">
        <v>30033</v>
      </c>
      <c r="K5711">
        <v>2800</v>
      </c>
      <c r="L5711" t="s">
        <v>23</v>
      </c>
      <c r="M5711" t="s">
        <v>14017</v>
      </c>
      <c r="N5711" t="s">
        <v>8692</v>
      </c>
      <c r="O5711" t="s">
        <v>28</v>
      </c>
      <c r="P5711">
        <v>30033</v>
      </c>
      <c r="Q5711">
        <v>2800</v>
      </c>
      <c r="R5711" t="s">
        <v>23</v>
      </c>
      <c r="S5711" s="1" t="s">
        <v>34218</v>
      </c>
    </row>
    <row r="5712" spans="1:19" x14ac:dyDescent="0.25">
      <c r="A5712">
        <v>101167073</v>
      </c>
      <c r="B5712" t="s">
        <v>744</v>
      </c>
      <c r="C5712" t="s">
        <v>313</v>
      </c>
      <c r="G5712" t="s">
        <v>14018</v>
      </c>
      <c r="H5712" t="s">
        <v>4239</v>
      </c>
      <c r="I5712" t="s">
        <v>52</v>
      </c>
      <c r="J5712">
        <v>32163</v>
      </c>
      <c r="K5712">
        <v>6037</v>
      </c>
      <c r="L5712" t="s">
        <v>23</v>
      </c>
      <c r="M5712" t="s">
        <v>14018</v>
      </c>
      <c r="N5712" t="s">
        <v>4239</v>
      </c>
      <c r="O5712" t="s">
        <v>52</v>
      </c>
      <c r="P5712">
        <v>32163</v>
      </c>
      <c r="Q5712">
        <v>6037</v>
      </c>
      <c r="R5712" t="s">
        <v>23</v>
      </c>
      <c r="S5712" s="1" t="s">
        <v>34218</v>
      </c>
    </row>
    <row r="5713" spans="1:19" x14ac:dyDescent="0.25">
      <c r="A5713">
        <v>101169448</v>
      </c>
      <c r="B5713" t="s">
        <v>14019</v>
      </c>
      <c r="C5713" t="s">
        <v>14020</v>
      </c>
      <c r="F5713" t="str">
        <f>"3127656839"</f>
        <v>3127656839</v>
      </c>
      <c r="G5713" t="s">
        <v>14021</v>
      </c>
      <c r="H5713" t="s">
        <v>134</v>
      </c>
      <c r="I5713" t="s">
        <v>135</v>
      </c>
      <c r="J5713">
        <v>60605</v>
      </c>
      <c r="K5713">
        <v>3364</v>
      </c>
      <c r="L5713" t="s">
        <v>23</v>
      </c>
      <c r="M5713" t="s">
        <v>14021</v>
      </c>
      <c r="N5713" t="s">
        <v>134</v>
      </c>
      <c r="O5713" t="s">
        <v>135</v>
      </c>
      <c r="P5713">
        <v>60605</v>
      </c>
      <c r="Q5713">
        <v>3364</v>
      </c>
      <c r="R5713" t="s">
        <v>23</v>
      </c>
      <c r="S5713" s="1" t="s">
        <v>34218</v>
      </c>
    </row>
    <row r="5714" spans="1:19" x14ac:dyDescent="0.25">
      <c r="A5714">
        <v>101170633</v>
      </c>
      <c r="B5714" t="s">
        <v>3410</v>
      </c>
      <c r="C5714" t="s">
        <v>81</v>
      </c>
      <c r="G5714" t="s">
        <v>14022</v>
      </c>
      <c r="H5714" t="s">
        <v>14023</v>
      </c>
      <c r="I5714" t="s">
        <v>161</v>
      </c>
      <c r="J5714">
        <v>6260</v>
      </c>
      <c r="K5714">
        <v>2313</v>
      </c>
      <c r="L5714" t="s">
        <v>23</v>
      </c>
      <c r="M5714" t="s">
        <v>14022</v>
      </c>
      <c r="N5714" t="s">
        <v>14023</v>
      </c>
      <c r="O5714" t="s">
        <v>161</v>
      </c>
      <c r="P5714">
        <v>6260</v>
      </c>
      <c r="Q5714">
        <v>2313</v>
      </c>
      <c r="R5714" t="s">
        <v>23</v>
      </c>
      <c r="S5714" s="1" t="s">
        <v>34218</v>
      </c>
    </row>
    <row r="5715" spans="1:19" x14ac:dyDescent="0.25">
      <c r="A5715">
        <v>101021160</v>
      </c>
      <c r="B5715" t="s">
        <v>14024</v>
      </c>
      <c r="C5715" t="s">
        <v>14025</v>
      </c>
      <c r="G5715" t="s">
        <v>14026</v>
      </c>
      <c r="H5715" t="s">
        <v>2762</v>
      </c>
      <c r="I5715" t="s">
        <v>43</v>
      </c>
      <c r="J5715">
        <v>97439</v>
      </c>
      <c r="K5715">
        <v>8658</v>
      </c>
      <c r="L5715" t="s">
        <v>23</v>
      </c>
      <c r="M5715" t="s">
        <v>14026</v>
      </c>
      <c r="N5715" t="s">
        <v>2762</v>
      </c>
      <c r="O5715" t="s">
        <v>43</v>
      </c>
      <c r="P5715">
        <v>97439</v>
      </c>
      <c r="Q5715">
        <v>8658</v>
      </c>
      <c r="R5715" t="s">
        <v>23</v>
      </c>
      <c r="S5715" s="1" t="s">
        <v>34218</v>
      </c>
    </row>
    <row r="5716" spans="1:19" x14ac:dyDescent="0.25">
      <c r="A5716">
        <v>101022886</v>
      </c>
      <c r="B5716" t="s">
        <v>3992</v>
      </c>
      <c r="C5716" t="s">
        <v>1107</v>
      </c>
      <c r="G5716" t="s">
        <v>14027</v>
      </c>
      <c r="H5716" t="s">
        <v>423</v>
      </c>
      <c r="I5716" t="s">
        <v>71</v>
      </c>
      <c r="J5716">
        <v>80304</v>
      </c>
      <c r="K5716">
        <v>2825</v>
      </c>
      <c r="L5716" t="s">
        <v>23</v>
      </c>
      <c r="M5716" t="s">
        <v>14027</v>
      </c>
      <c r="N5716" t="s">
        <v>423</v>
      </c>
      <c r="O5716" t="s">
        <v>71</v>
      </c>
      <c r="P5716">
        <v>80304</v>
      </c>
      <c r="Q5716">
        <v>2825</v>
      </c>
      <c r="R5716" t="s">
        <v>23</v>
      </c>
      <c r="S5716" s="1" t="s">
        <v>34218</v>
      </c>
    </row>
    <row r="5717" spans="1:19" x14ac:dyDescent="0.25">
      <c r="A5717">
        <v>101022877</v>
      </c>
      <c r="B5717" t="s">
        <v>14028</v>
      </c>
      <c r="C5717" t="s">
        <v>644</v>
      </c>
      <c r="G5717" t="s">
        <v>14029</v>
      </c>
      <c r="H5717" t="s">
        <v>1452</v>
      </c>
      <c r="I5717" t="s">
        <v>43</v>
      </c>
      <c r="J5717">
        <v>97402</v>
      </c>
      <c r="K5717">
        <v>1274</v>
      </c>
      <c r="L5717" t="s">
        <v>23</v>
      </c>
      <c r="M5717" t="s">
        <v>14029</v>
      </c>
      <c r="N5717" t="s">
        <v>1452</v>
      </c>
      <c r="O5717" t="s">
        <v>43</v>
      </c>
      <c r="P5717">
        <v>97402</v>
      </c>
      <c r="Q5717">
        <v>1274</v>
      </c>
      <c r="R5717" t="s">
        <v>23</v>
      </c>
      <c r="S5717" s="1" t="s">
        <v>34218</v>
      </c>
    </row>
    <row r="5718" spans="1:19" x14ac:dyDescent="0.25">
      <c r="A5718">
        <v>101017045</v>
      </c>
      <c r="B5718" t="s">
        <v>14030</v>
      </c>
      <c r="C5718" t="s">
        <v>894</v>
      </c>
      <c r="G5718" t="s">
        <v>14031</v>
      </c>
      <c r="H5718" t="s">
        <v>5816</v>
      </c>
      <c r="I5718" t="s">
        <v>22</v>
      </c>
      <c r="J5718">
        <v>91977</v>
      </c>
      <c r="K5718">
        <v>3332</v>
      </c>
      <c r="L5718" t="s">
        <v>23</v>
      </c>
      <c r="M5718" t="s">
        <v>14031</v>
      </c>
      <c r="N5718" t="s">
        <v>5816</v>
      </c>
      <c r="O5718" t="s">
        <v>22</v>
      </c>
      <c r="P5718">
        <v>91977</v>
      </c>
      <c r="Q5718">
        <v>3332</v>
      </c>
      <c r="R5718" t="s">
        <v>23</v>
      </c>
      <c r="S5718" s="1" t="s">
        <v>34218</v>
      </c>
    </row>
    <row r="5719" spans="1:19" x14ac:dyDescent="0.25">
      <c r="A5719">
        <v>101024779</v>
      </c>
      <c r="B5719" t="s">
        <v>14032</v>
      </c>
      <c r="C5719" t="s">
        <v>406</v>
      </c>
      <c r="F5719" t="str">
        <f>"6263596614"</f>
        <v>6263596614</v>
      </c>
      <c r="G5719" t="s">
        <v>14033</v>
      </c>
      <c r="H5719" t="s">
        <v>608</v>
      </c>
      <c r="I5719" t="s">
        <v>22</v>
      </c>
      <c r="J5719">
        <v>91006</v>
      </c>
      <c r="K5719">
        <v>4529</v>
      </c>
      <c r="L5719" t="s">
        <v>23</v>
      </c>
      <c r="M5719" t="s">
        <v>14033</v>
      </c>
      <c r="N5719" t="s">
        <v>608</v>
      </c>
      <c r="O5719" t="s">
        <v>22</v>
      </c>
      <c r="P5719">
        <v>91006</v>
      </c>
      <c r="Q5719">
        <v>4529</v>
      </c>
      <c r="R5719" t="s">
        <v>23</v>
      </c>
      <c r="S5719" s="1" t="s">
        <v>34218</v>
      </c>
    </row>
    <row r="5720" spans="1:19" x14ac:dyDescent="0.25">
      <c r="A5720">
        <v>101025053</v>
      </c>
      <c r="B5720" t="s">
        <v>497</v>
      </c>
      <c r="C5720" t="s">
        <v>9199</v>
      </c>
      <c r="G5720" t="s">
        <v>14034</v>
      </c>
      <c r="H5720" t="s">
        <v>591</v>
      </c>
      <c r="I5720" t="s">
        <v>84</v>
      </c>
      <c r="J5720">
        <v>98229</v>
      </c>
      <c r="K5720">
        <v>5367</v>
      </c>
      <c r="L5720" t="s">
        <v>23</v>
      </c>
      <c r="M5720" t="s">
        <v>14034</v>
      </c>
      <c r="N5720" t="s">
        <v>591</v>
      </c>
      <c r="O5720" t="s">
        <v>84</v>
      </c>
      <c r="P5720">
        <v>98229</v>
      </c>
      <c r="Q5720">
        <v>5367</v>
      </c>
      <c r="R5720" t="s">
        <v>23</v>
      </c>
      <c r="S5720" s="1" t="s">
        <v>34218</v>
      </c>
    </row>
    <row r="5721" spans="1:19" x14ac:dyDescent="0.25">
      <c r="A5721">
        <v>101024153</v>
      </c>
      <c r="B5721" t="s">
        <v>14035</v>
      </c>
      <c r="C5721" t="s">
        <v>483</v>
      </c>
      <c r="G5721" t="s">
        <v>14036</v>
      </c>
      <c r="H5721" t="s">
        <v>7369</v>
      </c>
      <c r="I5721" t="s">
        <v>984</v>
      </c>
      <c r="J5721">
        <v>96744</v>
      </c>
      <c r="K5721">
        <v>2118</v>
      </c>
      <c r="L5721" t="s">
        <v>23</v>
      </c>
      <c r="M5721" t="s">
        <v>14036</v>
      </c>
      <c r="N5721" t="s">
        <v>7369</v>
      </c>
      <c r="O5721" t="s">
        <v>984</v>
      </c>
      <c r="P5721">
        <v>96744</v>
      </c>
      <c r="Q5721">
        <v>2118</v>
      </c>
      <c r="R5721" t="s">
        <v>23</v>
      </c>
      <c r="S5721" s="1" t="s">
        <v>34218</v>
      </c>
    </row>
    <row r="5722" spans="1:19" x14ac:dyDescent="0.25">
      <c r="A5722">
        <v>101029253</v>
      </c>
      <c r="B5722" t="s">
        <v>14037</v>
      </c>
      <c r="C5722" t="s">
        <v>3618</v>
      </c>
      <c r="G5722" t="s">
        <v>14038</v>
      </c>
      <c r="H5722" t="s">
        <v>602</v>
      </c>
      <c r="I5722" t="s">
        <v>71</v>
      </c>
      <c r="J5722">
        <v>80030</v>
      </c>
      <c r="K5722">
        <v>4218</v>
      </c>
      <c r="L5722" t="s">
        <v>23</v>
      </c>
      <c r="M5722" t="s">
        <v>14038</v>
      </c>
      <c r="N5722" t="s">
        <v>602</v>
      </c>
      <c r="O5722" t="s">
        <v>71</v>
      </c>
      <c r="P5722">
        <v>80030</v>
      </c>
      <c r="Q5722">
        <v>4218</v>
      </c>
      <c r="R5722" t="s">
        <v>23</v>
      </c>
      <c r="S5722" s="1" t="s">
        <v>34218</v>
      </c>
    </row>
    <row r="5723" spans="1:19" x14ac:dyDescent="0.25">
      <c r="A5723">
        <v>101031677</v>
      </c>
      <c r="B5723" t="s">
        <v>3828</v>
      </c>
      <c r="C5723" t="s">
        <v>644</v>
      </c>
      <c r="G5723" t="s">
        <v>14039</v>
      </c>
      <c r="H5723" t="s">
        <v>14040</v>
      </c>
      <c r="I5723" t="s">
        <v>255</v>
      </c>
      <c r="J5723">
        <v>24185</v>
      </c>
      <c r="K5723">
        <v>3843</v>
      </c>
      <c r="L5723" t="s">
        <v>23</v>
      </c>
      <c r="M5723" t="s">
        <v>14039</v>
      </c>
      <c r="N5723" t="s">
        <v>14040</v>
      </c>
      <c r="O5723" t="s">
        <v>255</v>
      </c>
      <c r="P5723">
        <v>24185</v>
      </c>
      <c r="Q5723">
        <v>3843</v>
      </c>
      <c r="R5723" t="s">
        <v>23</v>
      </c>
      <c r="S5723" s="1" t="s">
        <v>34218</v>
      </c>
    </row>
    <row r="5724" spans="1:19" x14ac:dyDescent="0.25">
      <c r="A5724">
        <v>101032184</v>
      </c>
      <c r="B5724" t="s">
        <v>13248</v>
      </c>
      <c r="C5724" t="s">
        <v>3704</v>
      </c>
      <c r="G5724" t="s">
        <v>14041</v>
      </c>
      <c r="H5724" t="s">
        <v>423</v>
      </c>
      <c r="I5724" t="s">
        <v>71</v>
      </c>
      <c r="J5724">
        <v>80301</v>
      </c>
      <c r="K5724">
        <v>3127</v>
      </c>
      <c r="L5724" t="s">
        <v>23</v>
      </c>
      <c r="M5724" t="s">
        <v>14041</v>
      </c>
      <c r="N5724" t="s">
        <v>423</v>
      </c>
      <c r="O5724" t="s">
        <v>71</v>
      </c>
      <c r="P5724">
        <v>80301</v>
      </c>
      <c r="Q5724">
        <v>3127</v>
      </c>
      <c r="R5724" t="s">
        <v>23</v>
      </c>
      <c r="S5724" s="1" t="s">
        <v>34218</v>
      </c>
    </row>
    <row r="5725" spans="1:19" x14ac:dyDescent="0.25">
      <c r="A5725">
        <v>101038981</v>
      </c>
      <c r="B5725" t="s">
        <v>7179</v>
      </c>
      <c r="C5725" t="s">
        <v>3460</v>
      </c>
      <c r="G5725" t="s">
        <v>14042</v>
      </c>
      <c r="H5725" t="s">
        <v>14043</v>
      </c>
      <c r="I5725" t="s">
        <v>84</v>
      </c>
      <c r="J5725">
        <v>98275</v>
      </c>
      <c r="K5725">
        <v>2970</v>
      </c>
      <c r="L5725" t="s">
        <v>23</v>
      </c>
      <c r="M5725" t="s">
        <v>14042</v>
      </c>
      <c r="N5725" t="s">
        <v>14043</v>
      </c>
      <c r="O5725" t="s">
        <v>84</v>
      </c>
      <c r="P5725">
        <v>98275</v>
      </c>
      <c r="Q5725">
        <v>2970</v>
      </c>
      <c r="R5725" t="s">
        <v>23</v>
      </c>
      <c r="S5725" s="1" t="s">
        <v>34218</v>
      </c>
    </row>
    <row r="5726" spans="1:19" x14ac:dyDescent="0.25">
      <c r="A5726">
        <v>101033936</v>
      </c>
      <c r="B5726" t="s">
        <v>14044</v>
      </c>
      <c r="C5726" t="s">
        <v>137</v>
      </c>
      <c r="G5726" t="s">
        <v>14045</v>
      </c>
      <c r="H5726" t="s">
        <v>1217</v>
      </c>
      <c r="I5726" t="s">
        <v>332</v>
      </c>
      <c r="J5726">
        <v>84403</v>
      </c>
      <c r="K5726">
        <v>1285</v>
      </c>
      <c r="L5726" t="s">
        <v>23</v>
      </c>
      <c r="M5726" t="s">
        <v>14045</v>
      </c>
      <c r="N5726" t="s">
        <v>1217</v>
      </c>
      <c r="O5726" t="s">
        <v>332</v>
      </c>
      <c r="P5726">
        <v>84403</v>
      </c>
      <c r="Q5726">
        <v>1285</v>
      </c>
      <c r="R5726" t="s">
        <v>23</v>
      </c>
      <c r="S5726" s="1" t="s">
        <v>34218</v>
      </c>
    </row>
    <row r="5727" spans="1:19" x14ac:dyDescent="0.25">
      <c r="A5727">
        <v>101034154</v>
      </c>
      <c r="B5727" t="s">
        <v>14046</v>
      </c>
      <c r="C5727" t="s">
        <v>14047</v>
      </c>
      <c r="G5727" t="s">
        <v>14048</v>
      </c>
      <c r="H5727" t="s">
        <v>11658</v>
      </c>
      <c r="I5727" t="s">
        <v>307</v>
      </c>
      <c r="J5727">
        <v>5081</v>
      </c>
      <c r="K5727">
        <v>493</v>
      </c>
      <c r="L5727" t="s">
        <v>23</v>
      </c>
      <c r="M5727" t="s">
        <v>14048</v>
      </c>
      <c r="N5727" t="s">
        <v>11658</v>
      </c>
      <c r="O5727" t="s">
        <v>307</v>
      </c>
      <c r="P5727">
        <v>5081</v>
      </c>
      <c r="Q5727">
        <v>493</v>
      </c>
      <c r="R5727" t="s">
        <v>23</v>
      </c>
      <c r="S5727" s="1" t="s">
        <v>34218</v>
      </c>
    </row>
    <row r="5728" spans="1:19" x14ac:dyDescent="0.25">
      <c r="A5728">
        <v>101037036</v>
      </c>
      <c r="B5728" t="s">
        <v>14049</v>
      </c>
      <c r="C5728" t="s">
        <v>2365</v>
      </c>
      <c r="F5728" t="str">
        <f>"6097608757"</f>
        <v>6097608757</v>
      </c>
      <c r="G5728" t="s">
        <v>14050</v>
      </c>
      <c r="H5728" t="s">
        <v>2605</v>
      </c>
      <c r="I5728" t="s">
        <v>250</v>
      </c>
      <c r="J5728">
        <v>8088</v>
      </c>
      <c r="K5728">
        <v>1002</v>
      </c>
      <c r="L5728" t="s">
        <v>23</v>
      </c>
      <c r="M5728" t="s">
        <v>14050</v>
      </c>
      <c r="N5728" t="s">
        <v>2605</v>
      </c>
      <c r="O5728" t="s">
        <v>250</v>
      </c>
      <c r="P5728">
        <v>8088</v>
      </c>
      <c r="Q5728">
        <v>1002</v>
      </c>
      <c r="R5728" t="s">
        <v>23</v>
      </c>
      <c r="S5728" s="1" t="s">
        <v>34218</v>
      </c>
    </row>
    <row r="5729" spans="1:19" x14ac:dyDescent="0.25">
      <c r="A5729">
        <v>101038424</v>
      </c>
      <c r="B5729" t="s">
        <v>3462</v>
      </c>
      <c r="C5729" t="s">
        <v>770</v>
      </c>
      <c r="G5729" t="s">
        <v>14051</v>
      </c>
      <c r="H5729" t="s">
        <v>14052</v>
      </c>
      <c r="I5729" t="s">
        <v>161</v>
      </c>
      <c r="J5729">
        <v>6840</v>
      </c>
      <c r="K5729">
        <v>1176</v>
      </c>
      <c r="L5729" t="s">
        <v>23</v>
      </c>
      <c r="M5729" t="s">
        <v>14051</v>
      </c>
      <c r="N5729" t="s">
        <v>14052</v>
      </c>
      <c r="O5729" t="s">
        <v>161</v>
      </c>
      <c r="P5729">
        <v>6840</v>
      </c>
      <c r="Q5729">
        <v>1176</v>
      </c>
      <c r="R5729" t="s">
        <v>23</v>
      </c>
      <c r="S5729" s="1" t="s">
        <v>34218</v>
      </c>
    </row>
    <row r="5730" spans="1:19" x14ac:dyDescent="0.25">
      <c r="A5730">
        <v>101042238</v>
      </c>
      <c r="B5730" t="s">
        <v>14053</v>
      </c>
      <c r="C5730" t="s">
        <v>14054</v>
      </c>
      <c r="G5730" t="s">
        <v>14055</v>
      </c>
      <c r="H5730" t="s">
        <v>360</v>
      </c>
      <c r="I5730" t="s">
        <v>22</v>
      </c>
      <c r="J5730">
        <v>94087</v>
      </c>
      <c r="K5730">
        <v>1205</v>
      </c>
      <c r="L5730" t="s">
        <v>23</v>
      </c>
      <c r="M5730" t="s">
        <v>14055</v>
      </c>
      <c r="N5730" t="s">
        <v>360</v>
      </c>
      <c r="O5730" t="s">
        <v>22</v>
      </c>
      <c r="P5730">
        <v>94087</v>
      </c>
      <c r="Q5730">
        <v>1205</v>
      </c>
      <c r="R5730" t="s">
        <v>23</v>
      </c>
      <c r="S5730" s="1" t="s">
        <v>34218</v>
      </c>
    </row>
    <row r="5731" spans="1:19" x14ac:dyDescent="0.25">
      <c r="A5731">
        <v>101036240</v>
      </c>
      <c r="B5731" t="s">
        <v>14056</v>
      </c>
      <c r="C5731" t="s">
        <v>981</v>
      </c>
      <c r="G5731" t="s">
        <v>14057</v>
      </c>
      <c r="H5731" t="s">
        <v>11004</v>
      </c>
      <c r="I5731" t="s">
        <v>191</v>
      </c>
      <c r="J5731">
        <v>4038</v>
      </c>
      <c r="K5731">
        <v>2305</v>
      </c>
      <c r="L5731" t="s">
        <v>23</v>
      </c>
      <c r="M5731" t="s">
        <v>14057</v>
      </c>
      <c r="N5731" t="s">
        <v>11004</v>
      </c>
      <c r="O5731" t="s">
        <v>191</v>
      </c>
      <c r="P5731">
        <v>4038</v>
      </c>
      <c r="Q5731">
        <v>2305</v>
      </c>
      <c r="R5731" t="s">
        <v>23</v>
      </c>
      <c r="S5731" s="1" t="s">
        <v>34218</v>
      </c>
    </row>
    <row r="5732" spans="1:19" x14ac:dyDescent="0.25">
      <c r="A5732">
        <v>101044179</v>
      </c>
      <c r="B5732" t="s">
        <v>14058</v>
      </c>
      <c r="C5732" t="s">
        <v>1153</v>
      </c>
      <c r="G5732" t="s">
        <v>14059</v>
      </c>
      <c r="H5732" t="s">
        <v>14060</v>
      </c>
      <c r="I5732" t="s">
        <v>236</v>
      </c>
      <c r="J5732">
        <v>1886</v>
      </c>
      <c r="K5732">
        <v>4136</v>
      </c>
      <c r="L5732" t="s">
        <v>23</v>
      </c>
      <c r="M5732" t="s">
        <v>14059</v>
      </c>
      <c r="N5732" t="s">
        <v>14060</v>
      </c>
      <c r="O5732" t="s">
        <v>236</v>
      </c>
      <c r="P5732">
        <v>1886</v>
      </c>
      <c r="Q5732">
        <v>4136</v>
      </c>
      <c r="R5732" t="s">
        <v>23</v>
      </c>
      <c r="S5732" s="1" t="s">
        <v>34218</v>
      </c>
    </row>
    <row r="5733" spans="1:19" x14ac:dyDescent="0.25">
      <c r="A5733">
        <v>100852994</v>
      </c>
      <c r="B5733" t="s">
        <v>14061</v>
      </c>
      <c r="C5733" t="s">
        <v>5347</v>
      </c>
      <c r="G5733" t="s">
        <v>14062</v>
      </c>
      <c r="H5733" t="s">
        <v>3373</v>
      </c>
      <c r="I5733" t="s">
        <v>178</v>
      </c>
      <c r="J5733">
        <v>44122</v>
      </c>
      <c r="K5733">
        <v>1321</v>
      </c>
      <c r="L5733" t="s">
        <v>23</v>
      </c>
      <c r="M5733" t="s">
        <v>14062</v>
      </c>
      <c r="N5733" t="s">
        <v>3373</v>
      </c>
      <c r="O5733" t="s">
        <v>178</v>
      </c>
      <c r="P5733">
        <v>44122</v>
      </c>
      <c r="Q5733">
        <v>1321</v>
      </c>
      <c r="R5733" t="s">
        <v>23</v>
      </c>
      <c r="S5733" s="1" t="s">
        <v>34218</v>
      </c>
    </row>
    <row r="5734" spans="1:19" x14ac:dyDescent="0.25">
      <c r="A5734">
        <v>100857459</v>
      </c>
      <c r="B5734" t="s">
        <v>14063</v>
      </c>
      <c r="C5734" t="s">
        <v>7139</v>
      </c>
      <c r="F5734" t="str">
        <f>"4357707844"</f>
        <v>4357707844</v>
      </c>
      <c r="G5734" t="s">
        <v>14064</v>
      </c>
      <c r="H5734" t="s">
        <v>8997</v>
      </c>
      <c r="I5734" t="s">
        <v>332</v>
      </c>
      <c r="J5734">
        <v>84332</v>
      </c>
      <c r="K5734">
        <v>9755</v>
      </c>
      <c r="L5734" t="s">
        <v>23</v>
      </c>
      <c r="M5734" t="s">
        <v>14064</v>
      </c>
      <c r="N5734" t="s">
        <v>8997</v>
      </c>
      <c r="O5734" t="s">
        <v>332</v>
      </c>
      <c r="P5734">
        <v>84332</v>
      </c>
      <c r="Q5734">
        <v>9755</v>
      </c>
      <c r="R5734" t="s">
        <v>23</v>
      </c>
      <c r="S5734" s="1" t="s">
        <v>34218</v>
      </c>
    </row>
    <row r="5735" spans="1:19" x14ac:dyDescent="0.25">
      <c r="A5735">
        <v>100862181</v>
      </c>
      <c r="B5735" t="s">
        <v>14065</v>
      </c>
      <c r="C5735" t="s">
        <v>770</v>
      </c>
      <c r="G5735" t="s">
        <v>14066</v>
      </c>
      <c r="H5735" t="s">
        <v>10669</v>
      </c>
      <c r="I5735" t="s">
        <v>52</v>
      </c>
      <c r="J5735">
        <v>33418</v>
      </c>
      <c r="K5735">
        <v>6871</v>
      </c>
      <c r="L5735" t="s">
        <v>23</v>
      </c>
      <c r="M5735" t="s">
        <v>14066</v>
      </c>
      <c r="N5735" t="s">
        <v>10669</v>
      </c>
      <c r="O5735" t="s">
        <v>52</v>
      </c>
      <c r="P5735">
        <v>33418</v>
      </c>
      <c r="Q5735">
        <v>6871</v>
      </c>
      <c r="R5735" t="s">
        <v>23</v>
      </c>
      <c r="S5735" s="1" t="s">
        <v>34218</v>
      </c>
    </row>
    <row r="5736" spans="1:19" x14ac:dyDescent="0.25">
      <c r="A5736">
        <v>100862320</v>
      </c>
      <c r="B5736" t="s">
        <v>2509</v>
      </c>
      <c r="C5736" t="s">
        <v>282</v>
      </c>
      <c r="G5736" t="s">
        <v>14067</v>
      </c>
      <c r="H5736" t="s">
        <v>2913</v>
      </c>
      <c r="I5736" t="s">
        <v>327</v>
      </c>
      <c r="J5736">
        <v>26501</v>
      </c>
      <c r="K5736">
        <v>6571</v>
      </c>
      <c r="L5736" t="s">
        <v>23</v>
      </c>
      <c r="M5736" t="s">
        <v>14067</v>
      </c>
      <c r="N5736" t="s">
        <v>2913</v>
      </c>
      <c r="O5736" t="s">
        <v>327</v>
      </c>
      <c r="P5736">
        <v>26501</v>
      </c>
      <c r="Q5736">
        <v>6571</v>
      </c>
      <c r="R5736" t="s">
        <v>23</v>
      </c>
      <c r="S5736" s="1" t="s">
        <v>34218</v>
      </c>
    </row>
    <row r="5737" spans="1:19" x14ac:dyDescent="0.25">
      <c r="A5737">
        <v>100858459</v>
      </c>
      <c r="B5737" t="s">
        <v>10859</v>
      </c>
      <c r="C5737" t="s">
        <v>1506</v>
      </c>
      <c r="G5737" t="s">
        <v>14068</v>
      </c>
      <c r="H5737" t="s">
        <v>3510</v>
      </c>
      <c r="I5737" t="s">
        <v>38</v>
      </c>
      <c r="J5737">
        <v>75043</v>
      </c>
      <c r="K5737">
        <v>2723</v>
      </c>
      <c r="L5737" t="s">
        <v>23</v>
      </c>
      <c r="M5737" t="s">
        <v>14068</v>
      </c>
      <c r="N5737" t="s">
        <v>3510</v>
      </c>
      <c r="O5737" t="s">
        <v>38</v>
      </c>
      <c r="P5737">
        <v>75043</v>
      </c>
      <c r="Q5737">
        <v>2723</v>
      </c>
      <c r="R5737" t="s">
        <v>23</v>
      </c>
      <c r="S5737" s="1" t="s">
        <v>34218</v>
      </c>
    </row>
    <row r="5738" spans="1:19" x14ac:dyDescent="0.25">
      <c r="A5738">
        <v>101077953</v>
      </c>
      <c r="B5738" t="s">
        <v>14069</v>
      </c>
      <c r="C5738" t="s">
        <v>1153</v>
      </c>
      <c r="G5738" t="s">
        <v>14070</v>
      </c>
      <c r="H5738" t="s">
        <v>11625</v>
      </c>
      <c r="I5738" t="s">
        <v>2310</v>
      </c>
      <c r="J5738">
        <v>19901</v>
      </c>
      <c r="K5738">
        <v>4454</v>
      </c>
      <c r="L5738" t="s">
        <v>23</v>
      </c>
      <c r="M5738" t="s">
        <v>14070</v>
      </c>
      <c r="N5738" t="s">
        <v>11625</v>
      </c>
      <c r="O5738" t="s">
        <v>2310</v>
      </c>
      <c r="P5738">
        <v>19901</v>
      </c>
      <c r="Q5738">
        <v>4454</v>
      </c>
      <c r="R5738" t="s">
        <v>23</v>
      </c>
      <c r="S5738" s="1" t="s">
        <v>34218</v>
      </c>
    </row>
    <row r="5739" spans="1:19" x14ac:dyDescent="0.25">
      <c r="A5739">
        <v>101076355</v>
      </c>
      <c r="B5739" t="s">
        <v>14071</v>
      </c>
      <c r="C5739" t="s">
        <v>2784</v>
      </c>
      <c r="G5739" t="s">
        <v>14072</v>
      </c>
      <c r="H5739" t="s">
        <v>14073</v>
      </c>
      <c r="I5739" t="s">
        <v>22</v>
      </c>
      <c r="J5739">
        <v>91741</v>
      </c>
      <c r="K5739">
        <v>2941</v>
      </c>
      <c r="L5739" t="s">
        <v>23</v>
      </c>
      <c r="M5739" t="s">
        <v>14072</v>
      </c>
      <c r="N5739" t="s">
        <v>14073</v>
      </c>
      <c r="O5739" t="s">
        <v>22</v>
      </c>
      <c r="P5739">
        <v>91741</v>
      </c>
      <c r="Q5739">
        <v>2941</v>
      </c>
      <c r="R5739" t="s">
        <v>23</v>
      </c>
      <c r="S5739" s="1" t="s">
        <v>34218</v>
      </c>
    </row>
    <row r="5740" spans="1:19" x14ac:dyDescent="0.25">
      <c r="A5740">
        <v>101083005</v>
      </c>
      <c r="B5740" t="s">
        <v>14074</v>
      </c>
      <c r="C5740" t="s">
        <v>1350</v>
      </c>
      <c r="F5740" t="str">
        <f>"4013387214"</f>
        <v>4013387214</v>
      </c>
      <c r="G5740" t="s">
        <v>14075</v>
      </c>
      <c r="H5740" t="s">
        <v>14076</v>
      </c>
      <c r="I5740" t="s">
        <v>236</v>
      </c>
      <c r="J5740">
        <v>2673</v>
      </c>
      <c r="K5740">
        <v>3612</v>
      </c>
      <c r="L5740" t="s">
        <v>23</v>
      </c>
      <c r="M5740" t="s">
        <v>14075</v>
      </c>
      <c r="N5740" t="s">
        <v>14076</v>
      </c>
      <c r="O5740" t="s">
        <v>236</v>
      </c>
      <c r="P5740">
        <v>2673</v>
      </c>
      <c r="Q5740">
        <v>3612</v>
      </c>
      <c r="R5740" t="s">
        <v>23</v>
      </c>
      <c r="S5740" s="1" t="s">
        <v>34218</v>
      </c>
    </row>
    <row r="5741" spans="1:19" x14ac:dyDescent="0.25">
      <c r="A5741">
        <v>101085144</v>
      </c>
      <c r="B5741" t="s">
        <v>303</v>
      </c>
      <c r="C5741" t="s">
        <v>585</v>
      </c>
      <c r="G5741" t="s">
        <v>14077</v>
      </c>
      <c r="H5741" t="s">
        <v>227</v>
      </c>
      <c r="I5741" t="s">
        <v>43</v>
      </c>
      <c r="J5741">
        <v>97215</v>
      </c>
      <c r="K5741">
        <v>3925</v>
      </c>
      <c r="L5741" t="s">
        <v>23</v>
      </c>
      <c r="M5741" t="s">
        <v>14077</v>
      </c>
      <c r="N5741" t="s">
        <v>227</v>
      </c>
      <c r="O5741" t="s">
        <v>43</v>
      </c>
      <c r="P5741">
        <v>97215</v>
      </c>
      <c r="Q5741">
        <v>3925</v>
      </c>
      <c r="R5741" t="s">
        <v>23</v>
      </c>
      <c r="S5741" s="1" t="s">
        <v>34218</v>
      </c>
    </row>
    <row r="5742" spans="1:19" x14ac:dyDescent="0.25">
      <c r="A5742">
        <v>100745951</v>
      </c>
      <c r="B5742" t="s">
        <v>14078</v>
      </c>
      <c r="C5742" t="s">
        <v>699</v>
      </c>
      <c r="F5742" t="str">
        <f>"4254635763"</f>
        <v>4254635763</v>
      </c>
      <c r="G5742" t="s">
        <v>14079</v>
      </c>
      <c r="H5742" t="s">
        <v>13351</v>
      </c>
      <c r="I5742" t="s">
        <v>84</v>
      </c>
      <c r="J5742">
        <v>98038</v>
      </c>
      <c r="K5742">
        <v>7449</v>
      </c>
      <c r="L5742" t="s">
        <v>23</v>
      </c>
      <c r="M5742" t="s">
        <v>14079</v>
      </c>
      <c r="N5742" t="s">
        <v>13351</v>
      </c>
      <c r="O5742" t="s">
        <v>84</v>
      </c>
      <c r="P5742">
        <v>98038</v>
      </c>
      <c r="Q5742">
        <v>7449</v>
      </c>
      <c r="R5742" t="s">
        <v>23</v>
      </c>
      <c r="S5742" s="1" t="s">
        <v>34218</v>
      </c>
    </row>
    <row r="5743" spans="1:19" x14ac:dyDescent="0.25">
      <c r="A5743">
        <v>100746660</v>
      </c>
      <c r="B5743" t="s">
        <v>4298</v>
      </c>
      <c r="C5743" t="s">
        <v>1124</v>
      </c>
      <c r="G5743" t="s">
        <v>14080</v>
      </c>
      <c r="H5743" t="s">
        <v>3056</v>
      </c>
      <c r="I5743" t="s">
        <v>662</v>
      </c>
      <c r="J5743">
        <v>2879</v>
      </c>
      <c r="K5743">
        <v>1828</v>
      </c>
      <c r="L5743" t="s">
        <v>23</v>
      </c>
      <c r="M5743" t="s">
        <v>14080</v>
      </c>
      <c r="N5743" t="s">
        <v>3056</v>
      </c>
      <c r="O5743" t="s">
        <v>662</v>
      </c>
      <c r="P5743">
        <v>2879</v>
      </c>
      <c r="Q5743">
        <v>1828</v>
      </c>
      <c r="R5743" t="s">
        <v>23</v>
      </c>
      <c r="S5743" s="1" t="s">
        <v>34218</v>
      </c>
    </row>
    <row r="5744" spans="1:19" x14ac:dyDescent="0.25">
      <c r="A5744">
        <v>100751592</v>
      </c>
      <c r="B5744" t="s">
        <v>14081</v>
      </c>
      <c r="C5744" t="s">
        <v>14082</v>
      </c>
      <c r="G5744" t="s">
        <v>14083</v>
      </c>
      <c r="H5744" t="s">
        <v>1540</v>
      </c>
      <c r="I5744" t="s">
        <v>203</v>
      </c>
      <c r="J5744">
        <v>82414</v>
      </c>
      <c r="K5744">
        <v>9607</v>
      </c>
      <c r="L5744" t="s">
        <v>23</v>
      </c>
      <c r="M5744" t="s">
        <v>14083</v>
      </c>
      <c r="N5744" t="s">
        <v>1540</v>
      </c>
      <c r="O5744" t="s">
        <v>203</v>
      </c>
      <c r="P5744">
        <v>82414</v>
      </c>
      <c r="Q5744">
        <v>9607</v>
      </c>
      <c r="R5744" t="s">
        <v>23</v>
      </c>
      <c r="S5744" s="1" t="s">
        <v>34218</v>
      </c>
    </row>
    <row r="5745" spans="1:19" x14ac:dyDescent="0.25">
      <c r="A5745">
        <v>100753259</v>
      </c>
      <c r="B5745" t="s">
        <v>1176</v>
      </c>
      <c r="C5745" t="s">
        <v>90</v>
      </c>
      <c r="G5745" t="s">
        <v>14084</v>
      </c>
      <c r="H5745" t="s">
        <v>726</v>
      </c>
      <c r="I5745" t="s">
        <v>22</v>
      </c>
      <c r="J5745">
        <v>90402</v>
      </c>
      <c r="K5745">
        <v>1115</v>
      </c>
      <c r="L5745" t="s">
        <v>23</v>
      </c>
      <c r="M5745" t="s">
        <v>14084</v>
      </c>
      <c r="N5745" t="s">
        <v>726</v>
      </c>
      <c r="O5745" t="s">
        <v>22</v>
      </c>
      <c r="P5745">
        <v>90402</v>
      </c>
      <c r="Q5745">
        <v>1115</v>
      </c>
      <c r="R5745" t="s">
        <v>23</v>
      </c>
      <c r="S5745" s="1" t="s">
        <v>34218</v>
      </c>
    </row>
    <row r="5746" spans="1:19" x14ac:dyDescent="0.25">
      <c r="A5746">
        <v>100757073</v>
      </c>
      <c r="B5746" t="s">
        <v>1274</v>
      </c>
      <c r="C5746" t="s">
        <v>128</v>
      </c>
      <c r="G5746" t="s">
        <v>14085</v>
      </c>
      <c r="H5746" t="s">
        <v>1386</v>
      </c>
      <c r="I5746" t="s">
        <v>1387</v>
      </c>
      <c r="J5746">
        <v>35405</v>
      </c>
      <c r="K5746">
        <v>2729</v>
      </c>
      <c r="L5746" t="s">
        <v>23</v>
      </c>
      <c r="M5746" t="s">
        <v>14085</v>
      </c>
      <c r="N5746" t="s">
        <v>1386</v>
      </c>
      <c r="O5746" t="s">
        <v>1387</v>
      </c>
      <c r="P5746">
        <v>35405</v>
      </c>
      <c r="Q5746">
        <v>2729</v>
      </c>
      <c r="R5746" t="s">
        <v>23</v>
      </c>
      <c r="S5746" s="1" t="s">
        <v>34218</v>
      </c>
    </row>
    <row r="5747" spans="1:19" x14ac:dyDescent="0.25">
      <c r="A5747">
        <v>100757216</v>
      </c>
      <c r="B5747" t="s">
        <v>1057</v>
      </c>
      <c r="C5747" t="s">
        <v>543</v>
      </c>
      <c r="G5747" t="s">
        <v>14086</v>
      </c>
      <c r="H5747" t="s">
        <v>14087</v>
      </c>
      <c r="I5747" t="s">
        <v>161</v>
      </c>
      <c r="J5747">
        <v>6759</v>
      </c>
      <c r="K5747">
        <v>3238</v>
      </c>
      <c r="L5747" t="s">
        <v>23</v>
      </c>
      <c r="M5747" t="s">
        <v>14086</v>
      </c>
      <c r="N5747" t="s">
        <v>14087</v>
      </c>
      <c r="O5747" t="s">
        <v>161</v>
      </c>
      <c r="P5747">
        <v>6759</v>
      </c>
      <c r="Q5747">
        <v>3238</v>
      </c>
      <c r="R5747" t="s">
        <v>23</v>
      </c>
      <c r="S5747" s="1" t="s">
        <v>34218</v>
      </c>
    </row>
    <row r="5748" spans="1:19" x14ac:dyDescent="0.25">
      <c r="A5748">
        <v>100945668</v>
      </c>
      <c r="B5748" t="s">
        <v>14088</v>
      </c>
      <c r="C5748" t="s">
        <v>959</v>
      </c>
      <c r="G5748" t="s">
        <v>14089</v>
      </c>
      <c r="H5748" t="s">
        <v>14090</v>
      </c>
      <c r="I5748" t="s">
        <v>135</v>
      </c>
      <c r="J5748">
        <v>60004</v>
      </c>
      <c r="K5748">
        <v>4812</v>
      </c>
      <c r="L5748" t="s">
        <v>23</v>
      </c>
      <c r="M5748" t="s">
        <v>14089</v>
      </c>
      <c r="N5748" t="s">
        <v>14090</v>
      </c>
      <c r="O5748" t="s">
        <v>135</v>
      </c>
      <c r="P5748">
        <v>60004</v>
      </c>
      <c r="Q5748">
        <v>4812</v>
      </c>
      <c r="R5748" t="s">
        <v>23</v>
      </c>
      <c r="S5748" s="1" t="s">
        <v>34218</v>
      </c>
    </row>
    <row r="5749" spans="1:19" x14ac:dyDescent="0.25">
      <c r="A5749">
        <v>100944344</v>
      </c>
      <c r="B5749" t="s">
        <v>14091</v>
      </c>
      <c r="C5749" t="s">
        <v>4502</v>
      </c>
      <c r="F5749" t="str">
        <f>"8473127850"</f>
        <v>8473127850</v>
      </c>
      <c r="G5749" t="s">
        <v>14092</v>
      </c>
      <c r="H5749" t="s">
        <v>7960</v>
      </c>
      <c r="I5749" t="s">
        <v>135</v>
      </c>
      <c r="J5749">
        <v>60110</v>
      </c>
      <c r="K5749">
        <v>3252</v>
      </c>
      <c r="L5749" t="s">
        <v>23</v>
      </c>
      <c r="M5749" t="s">
        <v>14092</v>
      </c>
      <c r="N5749" t="s">
        <v>7960</v>
      </c>
      <c r="O5749" t="s">
        <v>135</v>
      </c>
      <c r="P5749">
        <v>60110</v>
      </c>
      <c r="Q5749">
        <v>3252</v>
      </c>
      <c r="R5749" t="s">
        <v>23</v>
      </c>
      <c r="S5749" s="1" t="s">
        <v>34218</v>
      </c>
    </row>
    <row r="5750" spans="1:19" x14ac:dyDescent="0.25">
      <c r="A5750">
        <v>100946144</v>
      </c>
      <c r="B5750" t="s">
        <v>3136</v>
      </c>
      <c r="C5750" t="s">
        <v>90</v>
      </c>
      <c r="G5750" t="s">
        <v>14093</v>
      </c>
      <c r="H5750" t="s">
        <v>2910</v>
      </c>
      <c r="I5750" t="s">
        <v>52</v>
      </c>
      <c r="J5750">
        <v>34232</v>
      </c>
      <c r="K5750">
        <v>6402</v>
      </c>
      <c r="L5750" t="s">
        <v>23</v>
      </c>
      <c r="M5750" t="s">
        <v>14093</v>
      </c>
      <c r="N5750" t="s">
        <v>2910</v>
      </c>
      <c r="O5750" t="s">
        <v>52</v>
      </c>
      <c r="P5750">
        <v>34232</v>
      </c>
      <c r="Q5750">
        <v>6402</v>
      </c>
      <c r="R5750" t="s">
        <v>23</v>
      </c>
      <c r="S5750" s="1" t="s">
        <v>34218</v>
      </c>
    </row>
    <row r="5751" spans="1:19" x14ac:dyDescent="0.25">
      <c r="A5751">
        <v>100956997</v>
      </c>
      <c r="B5751" t="s">
        <v>14094</v>
      </c>
      <c r="C5751" t="s">
        <v>14095</v>
      </c>
      <c r="G5751" t="s">
        <v>14096</v>
      </c>
      <c r="H5751" t="s">
        <v>2091</v>
      </c>
      <c r="I5751" t="s">
        <v>117</v>
      </c>
      <c r="J5751">
        <v>13204</v>
      </c>
      <c r="K5751">
        <v>3711</v>
      </c>
      <c r="L5751" t="s">
        <v>23</v>
      </c>
      <c r="M5751" t="s">
        <v>14096</v>
      </c>
      <c r="N5751" t="s">
        <v>2091</v>
      </c>
      <c r="O5751" t="s">
        <v>117</v>
      </c>
      <c r="P5751">
        <v>13204</v>
      </c>
      <c r="Q5751">
        <v>3711</v>
      </c>
      <c r="R5751" t="s">
        <v>23</v>
      </c>
      <c r="S5751" s="1" t="s">
        <v>34218</v>
      </c>
    </row>
    <row r="5752" spans="1:19" x14ac:dyDescent="0.25">
      <c r="A5752">
        <v>100955695</v>
      </c>
      <c r="B5752" t="s">
        <v>14097</v>
      </c>
      <c r="C5752" t="s">
        <v>933</v>
      </c>
      <c r="G5752" t="s">
        <v>14098</v>
      </c>
      <c r="H5752" t="s">
        <v>14099</v>
      </c>
      <c r="I5752" t="s">
        <v>332</v>
      </c>
      <c r="J5752">
        <v>84094</v>
      </c>
      <c r="K5752">
        <v>3911</v>
      </c>
      <c r="L5752" t="s">
        <v>23</v>
      </c>
      <c r="M5752" t="s">
        <v>14098</v>
      </c>
      <c r="N5752" t="s">
        <v>14099</v>
      </c>
      <c r="O5752" t="s">
        <v>332</v>
      </c>
      <c r="P5752">
        <v>84094</v>
      </c>
      <c r="Q5752">
        <v>3911</v>
      </c>
      <c r="R5752" t="s">
        <v>23</v>
      </c>
      <c r="S5752" s="1" t="s">
        <v>34218</v>
      </c>
    </row>
    <row r="5753" spans="1:19" x14ac:dyDescent="0.25">
      <c r="A5753">
        <v>100959611</v>
      </c>
      <c r="B5753" t="s">
        <v>2325</v>
      </c>
      <c r="C5753" t="s">
        <v>6400</v>
      </c>
      <c r="G5753" t="s">
        <v>14100</v>
      </c>
      <c r="H5753" t="s">
        <v>2309</v>
      </c>
      <c r="I5753" t="s">
        <v>2310</v>
      </c>
      <c r="J5753">
        <v>19810</v>
      </c>
      <c r="K5753">
        <v>2840</v>
      </c>
      <c r="L5753" t="s">
        <v>23</v>
      </c>
      <c r="M5753" t="s">
        <v>14100</v>
      </c>
      <c r="N5753" t="s">
        <v>2309</v>
      </c>
      <c r="O5753" t="s">
        <v>2310</v>
      </c>
      <c r="P5753">
        <v>19810</v>
      </c>
      <c r="Q5753">
        <v>2840</v>
      </c>
      <c r="R5753" t="s">
        <v>23</v>
      </c>
      <c r="S5753" s="1" t="s">
        <v>34218</v>
      </c>
    </row>
    <row r="5754" spans="1:19" x14ac:dyDescent="0.25">
      <c r="A5754">
        <v>100958935</v>
      </c>
      <c r="B5754" t="s">
        <v>14101</v>
      </c>
      <c r="C5754" t="s">
        <v>266</v>
      </c>
      <c r="G5754" t="s">
        <v>14102</v>
      </c>
      <c r="H5754" t="s">
        <v>14103</v>
      </c>
      <c r="I5754" t="s">
        <v>22</v>
      </c>
      <c r="J5754">
        <v>91935</v>
      </c>
      <c r="K5754">
        <v>3608</v>
      </c>
      <c r="L5754" t="s">
        <v>23</v>
      </c>
      <c r="M5754" t="s">
        <v>14102</v>
      </c>
      <c r="N5754" t="s">
        <v>14103</v>
      </c>
      <c r="O5754" t="s">
        <v>22</v>
      </c>
      <c r="P5754">
        <v>91935</v>
      </c>
      <c r="Q5754">
        <v>3608</v>
      </c>
      <c r="R5754" t="s">
        <v>23</v>
      </c>
      <c r="S5754" s="1" t="s">
        <v>34218</v>
      </c>
    </row>
    <row r="5755" spans="1:19" x14ac:dyDescent="0.25">
      <c r="A5755">
        <v>100961591</v>
      </c>
      <c r="B5755" t="s">
        <v>14104</v>
      </c>
      <c r="C5755" t="s">
        <v>410</v>
      </c>
      <c r="G5755" t="s">
        <v>14105</v>
      </c>
      <c r="H5755" t="s">
        <v>134</v>
      </c>
      <c r="I5755" t="s">
        <v>135</v>
      </c>
      <c r="J5755">
        <v>60626</v>
      </c>
      <c r="K5755">
        <v>2466</v>
      </c>
      <c r="L5755" t="s">
        <v>23</v>
      </c>
      <c r="M5755" t="s">
        <v>14105</v>
      </c>
      <c r="N5755" t="s">
        <v>134</v>
      </c>
      <c r="O5755" t="s">
        <v>135</v>
      </c>
      <c r="P5755">
        <v>60626</v>
      </c>
      <c r="Q5755">
        <v>2466</v>
      </c>
      <c r="R5755" t="s">
        <v>23</v>
      </c>
      <c r="S5755" s="1" t="s">
        <v>34218</v>
      </c>
    </row>
    <row r="5756" spans="1:19" x14ac:dyDescent="0.25">
      <c r="A5756">
        <v>101148650</v>
      </c>
      <c r="B5756" t="s">
        <v>1911</v>
      </c>
      <c r="C5756" t="s">
        <v>1161</v>
      </c>
      <c r="G5756" t="s">
        <v>14106</v>
      </c>
      <c r="H5756" t="s">
        <v>3876</v>
      </c>
      <c r="I5756" t="s">
        <v>22</v>
      </c>
      <c r="J5756">
        <v>91406</v>
      </c>
      <c r="K5756">
        <v>5213</v>
      </c>
      <c r="L5756" t="s">
        <v>23</v>
      </c>
      <c r="M5756" t="s">
        <v>14106</v>
      </c>
      <c r="N5756" t="s">
        <v>3876</v>
      </c>
      <c r="O5756" t="s">
        <v>22</v>
      </c>
      <c r="P5756">
        <v>91406</v>
      </c>
      <c r="Q5756">
        <v>5213</v>
      </c>
      <c r="R5756" t="s">
        <v>23</v>
      </c>
      <c r="S5756" s="1" t="s">
        <v>34218</v>
      </c>
    </row>
    <row r="5757" spans="1:19" x14ac:dyDescent="0.25">
      <c r="A5757">
        <v>101148490</v>
      </c>
      <c r="B5757" t="s">
        <v>14107</v>
      </c>
      <c r="C5757" t="s">
        <v>193</v>
      </c>
      <c r="G5757" t="s">
        <v>14108</v>
      </c>
      <c r="H5757" t="s">
        <v>4162</v>
      </c>
      <c r="I5757" t="s">
        <v>43</v>
      </c>
      <c r="J5757">
        <v>97123</v>
      </c>
      <c r="K5757">
        <v>8027</v>
      </c>
      <c r="L5757" t="s">
        <v>23</v>
      </c>
      <c r="M5757" t="s">
        <v>14108</v>
      </c>
      <c r="N5757" t="s">
        <v>4162</v>
      </c>
      <c r="O5757" t="s">
        <v>43</v>
      </c>
      <c r="P5757">
        <v>97123</v>
      </c>
      <c r="Q5757">
        <v>8027</v>
      </c>
      <c r="R5757" t="s">
        <v>23</v>
      </c>
      <c r="S5757" s="1" t="s">
        <v>34218</v>
      </c>
    </row>
    <row r="5758" spans="1:19" x14ac:dyDescent="0.25">
      <c r="A5758">
        <v>101144001</v>
      </c>
      <c r="B5758" t="s">
        <v>12827</v>
      </c>
      <c r="C5758" t="s">
        <v>90</v>
      </c>
      <c r="G5758" t="s">
        <v>14109</v>
      </c>
      <c r="H5758" t="s">
        <v>3963</v>
      </c>
      <c r="I5758" t="s">
        <v>52</v>
      </c>
      <c r="J5758">
        <v>33134</v>
      </c>
      <c r="K5758">
        <v>4905</v>
      </c>
      <c r="L5758" t="s">
        <v>23</v>
      </c>
      <c r="M5758" t="s">
        <v>14109</v>
      </c>
      <c r="N5758" t="s">
        <v>3963</v>
      </c>
      <c r="O5758" t="s">
        <v>52</v>
      </c>
      <c r="P5758">
        <v>33134</v>
      </c>
      <c r="Q5758">
        <v>4905</v>
      </c>
      <c r="R5758" t="s">
        <v>23</v>
      </c>
      <c r="S5758" s="1" t="s">
        <v>34218</v>
      </c>
    </row>
    <row r="5759" spans="1:19" x14ac:dyDescent="0.25">
      <c r="A5759">
        <v>101143959</v>
      </c>
      <c r="B5759" t="s">
        <v>5052</v>
      </c>
      <c r="C5759" t="s">
        <v>14110</v>
      </c>
      <c r="G5759" t="s">
        <v>14111</v>
      </c>
      <c r="H5759" t="s">
        <v>14112</v>
      </c>
      <c r="I5759" t="s">
        <v>140</v>
      </c>
      <c r="J5759">
        <v>48236</v>
      </c>
      <c r="K5759">
        <v>1128</v>
      </c>
      <c r="L5759" t="s">
        <v>23</v>
      </c>
      <c r="M5759" t="s">
        <v>14111</v>
      </c>
      <c r="N5759" t="s">
        <v>14112</v>
      </c>
      <c r="O5759" t="s">
        <v>140</v>
      </c>
      <c r="P5759">
        <v>48236</v>
      </c>
      <c r="Q5759">
        <v>1128</v>
      </c>
      <c r="R5759" t="s">
        <v>23</v>
      </c>
      <c r="S5759" s="1" t="s">
        <v>34218</v>
      </c>
    </row>
    <row r="5760" spans="1:19" x14ac:dyDescent="0.25">
      <c r="A5760">
        <v>101154691</v>
      </c>
      <c r="B5760" t="s">
        <v>2349</v>
      </c>
      <c r="C5760" t="s">
        <v>1370</v>
      </c>
      <c r="G5760" t="s">
        <v>14113</v>
      </c>
      <c r="H5760" t="s">
        <v>14114</v>
      </c>
      <c r="I5760" t="s">
        <v>307</v>
      </c>
      <c r="J5760">
        <v>5404</v>
      </c>
      <c r="K5760">
        <v>2061</v>
      </c>
      <c r="L5760" t="s">
        <v>23</v>
      </c>
      <c r="M5760" t="s">
        <v>14113</v>
      </c>
      <c r="N5760" t="s">
        <v>14114</v>
      </c>
      <c r="O5760" t="s">
        <v>307</v>
      </c>
      <c r="P5760">
        <v>5404</v>
      </c>
      <c r="Q5760">
        <v>2061</v>
      </c>
      <c r="R5760" t="s">
        <v>23</v>
      </c>
      <c r="S5760" s="1" t="s">
        <v>34218</v>
      </c>
    </row>
    <row r="5761" spans="1:19" x14ac:dyDescent="0.25">
      <c r="A5761">
        <v>101159248</v>
      </c>
      <c r="B5761" t="s">
        <v>3123</v>
      </c>
      <c r="C5761" t="s">
        <v>5009</v>
      </c>
      <c r="G5761" t="s">
        <v>14115</v>
      </c>
      <c r="H5761" t="s">
        <v>415</v>
      </c>
      <c r="I5761" t="s">
        <v>236</v>
      </c>
      <c r="J5761">
        <v>1098</v>
      </c>
      <c r="K5761">
        <v>9598</v>
      </c>
      <c r="L5761" t="s">
        <v>23</v>
      </c>
      <c r="M5761" t="s">
        <v>14115</v>
      </c>
      <c r="N5761" t="s">
        <v>415</v>
      </c>
      <c r="O5761" t="s">
        <v>236</v>
      </c>
      <c r="P5761">
        <v>1098</v>
      </c>
      <c r="Q5761">
        <v>9598</v>
      </c>
      <c r="R5761" t="s">
        <v>23</v>
      </c>
      <c r="S5761" s="1" t="s">
        <v>34218</v>
      </c>
    </row>
    <row r="5762" spans="1:19" x14ac:dyDescent="0.25">
      <c r="A5762">
        <v>101161922</v>
      </c>
      <c r="B5762" t="s">
        <v>14116</v>
      </c>
      <c r="C5762" t="s">
        <v>14117</v>
      </c>
      <c r="G5762" t="s">
        <v>14118</v>
      </c>
      <c r="H5762" t="s">
        <v>412</v>
      </c>
      <c r="I5762" t="s">
        <v>117</v>
      </c>
      <c r="J5762">
        <v>11215</v>
      </c>
      <c r="K5762">
        <v>5514</v>
      </c>
      <c r="L5762" t="s">
        <v>23</v>
      </c>
      <c r="M5762" t="s">
        <v>14118</v>
      </c>
      <c r="N5762" t="s">
        <v>412</v>
      </c>
      <c r="O5762" t="s">
        <v>117</v>
      </c>
      <c r="P5762">
        <v>11215</v>
      </c>
      <c r="Q5762">
        <v>5514</v>
      </c>
      <c r="R5762" t="s">
        <v>23</v>
      </c>
      <c r="S5762" s="1" t="s">
        <v>34218</v>
      </c>
    </row>
    <row r="5763" spans="1:19" x14ac:dyDescent="0.25">
      <c r="A5763">
        <v>101163347</v>
      </c>
      <c r="B5763" t="s">
        <v>12099</v>
      </c>
      <c r="C5763" t="s">
        <v>2603</v>
      </c>
      <c r="G5763" t="s">
        <v>14119</v>
      </c>
      <c r="H5763" t="s">
        <v>1105</v>
      </c>
      <c r="I5763" t="s">
        <v>117</v>
      </c>
      <c r="J5763">
        <v>10463</v>
      </c>
      <c r="K5763">
        <v>4718</v>
      </c>
      <c r="L5763" t="s">
        <v>23</v>
      </c>
      <c r="M5763" t="s">
        <v>14119</v>
      </c>
      <c r="N5763" t="s">
        <v>1105</v>
      </c>
      <c r="O5763" t="s">
        <v>117</v>
      </c>
      <c r="P5763">
        <v>10463</v>
      </c>
      <c r="Q5763">
        <v>4718</v>
      </c>
      <c r="R5763" t="s">
        <v>23</v>
      </c>
      <c r="S5763" s="1" t="s">
        <v>34218</v>
      </c>
    </row>
    <row r="5764" spans="1:19" x14ac:dyDescent="0.25">
      <c r="A5764">
        <v>101164929</v>
      </c>
      <c r="B5764" t="s">
        <v>14120</v>
      </c>
      <c r="C5764" t="s">
        <v>8010</v>
      </c>
      <c r="F5764" t="str">
        <f>"6469131580"</f>
        <v>6469131580</v>
      </c>
      <c r="G5764" t="s">
        <v>14121</v>
      </c>
      <c r="H5764" t="s">
        <v>653</v>
      </c>
      <c r="I5764" t="s">
        <v>117</v>
      </c>
      <c r="J5764">
        <v>10028</v>
      </c>
      <c r="K5764">
        <v>5430</v>
      </c>
      <c r="L5764" t="s">
        <v>23</v>
      </c>
      <c r="M5764" t="s">
        <v>14121</v>
      </c>
      <c r="N5764" t="s">
        <v>653</v>
      </c>
      <c r="O5764" t="s">
        <v>117</v>
      </c>
      <c r="P5764">
        <v>10028</v>
      </c>
      <c r="Q5764">
        <v>5430</v>
      </c>
      <c r="R5764" t="s">
        <v>23</v>
      </c>
      <c r="S5764" s="1" t="s">
        <v>34218</v>
      </c>
    </row>
    <row r="5765" spans="1:19" x14ac:dyDescent="0.25">
      <c r="A5765">
        <v>101164856</v>
      </c>
      <c r="B5765" t="s">
        <v>2531</v>
      </c>
      <c r="C5765" t="s">
        <v>216</v>
      </c>
      <c r="G5765" t="s">
        <v>14122</v>
      </c>
      <c r="H5765" t="s">
        <v>3802</v>
      </c>
      <c r="I5765" t="s">
        <v>22</v>
      </c>
      <c r="J5765">
        <v>93292</v>
      </c>
      <c r="K5765">
        <v>1708</v>
      </c>
      <c r="L5765" t="s">
        <v>23</v>
      </c>
      <c r="M5765" t="s">
        <v>14122</v>
      </c>
      <c r="N5765" t="s">
        <v>3802</v>
      </c>
      <c r="O5765" t="s">
        <v>22</v>
      </c>
      <c r="P5765">
        <v>93292</v>
      </c>
      <c r="Q5765">
        <v>1708</v>
      </c>
      <c r="R5765" t="s">
        <v>23</v>
      </c>
      <c r="S5765" s="1" t="s">
        <v>34218</v>
      </c>
    </row>
    <row r="5766" spans="1:19" x14ac:dyDescent="0.25">
      <c r="A5766">
        <v>101165505</v>
      </c>
      <c r="B5766" t="s">
        <v>14123</v>
      </c>
      <c r="C5766" t="s">
        <v>582</v>
      </c>
      <c r="F5766" t="str">
        <f>"5088701742"</f>
        <v>5088701742</v>
      </c>
      <c r="G5766" t="s">
        <v>14124</v>
      </c>
      <c r="H5766" t="s">
        <v>12338</v>
      </c>
      <c r="I5766" t="s">
        <v>236</v>
      </c>
      <c r="J5766">
        <v>1581</v>
      </c>
      <c r="K5766">
        <v>3365</v>
      </c>
      <c r="L5766" t="s">
        <v>23</v>
      </c>
      <c r="M5766" t="s">
        <v>14124</v>
      </c>
      <c r="N5766" t="s">
        <v>12338</v>
      </c>
      <c r="O5766" t="s">
        <v>236</v>
      </c>
      <c r="P5766">
        <v>1581</v>
      </c>
      <c r="Q5766">
        <v>3365</v>
      </c>
      <c r="R5766" t="s">
        <v>23</v>
      </c>
      <c r="S5766" s="1" t="s">
        <v>34218</v>
      </c>
    </row>
    <row r="5767" spans="1:19" x14ac:dyDescent="0.25">
      <c r="A5767">
        <v>101164933</v>
      </c>
      <c r="B5767" t="s">
        <v>14125</v>
      </c>
      <c r="C5767" t="s">
        <v>690</v>
      </c>
      <c r="G5767" t="s">
        <v>14126</v>
      </c>
      <c r="H5767" t="s">
        <v>573</v>
      </c>
      <c r="I5767" t="s">
        <v>33</v>
      </c>
      <c r="J5767">
        <v>19106</v>
      </c>
      <c r="K5767">
        <v>2844</v>
      </c>
      <c r="L5767" t="s">
        <v>23</v>
      </c>
      <c r="M5767" t="s">
        <v>14126</v>
      </c>
      <c r="N5767" t="s">
        <v>573</v>
      </c>
      <c r="O5767" t="s">
        <v>33</v>
      </c>
      <c r="P5767">
        <v>19106</v>
      </c>
      <c r="Q5767">
        <v>2844</v>
      </c>
      <c r="R5767" t="s">
        <v>23</v>
      </c>
      <c r="S5767" s="1" t="s">
        <v>34218</v>
      </c>
    </row>
    <row r="5768" spans="1:19" x14ac:dyDescent="0.25">
      <c r="A5768">
        <v>101163440</v>
      </c>
      <c r="B5768" t="s">
        <v>14127</v>
      </c>
      <c r="C5768" t="s">
        <v>14128</v>
      </c>
      <c r="F5768" t="str">
        <f>"2293955138"</f>
        <v>2293955138</v>
      </c>
      <c r="G5768" t="s">
        <v>14129</v>
      </c>
      <c r="H5768" t="s">
        <v>1052</v>
      </c>
      <c r="I5768" t="s">
        <v>28</v>
      </c>
      <c r="J5768">
        <v>31721</v>
      </c>
      <c r="K5768">
        <v>8102</v>
      </c>
      <c r="L5768" t="s">
        <v>23</v>
      </c>
      <c r="M5768" t="s">
        <v>14129</v>
      </c>
      <c r="N5768" t="s">
        <v>1052</v>
      </c>
      <c r="O5768" t="s">
        <v>28</v>
      </c>
      <c r="P5768">
        <v>31721</v>
      </c>
      <c r="Q5768">
        <v>8102</v>
      </c>
      <c r="R5768" t="s">
        <v>23</v>
      </c>
      <c r="S5768" s="1" t="s">
        <v>34218</v>
      </c>
    </row>
    <row r="5769" spans="1:19" x14ac:dyDescent="0.25">
      <c r="A5769">
        <v>101165008</v>
      </c>
      <c r="B5769" t="s">
        <v>166</v>
      </c>
      <c r="C5769" t="s">
        <v>535</v>
      </c>
      <c r="G5769" t="s">
        <v>14130</v>
      </c>
      <c r="H5769" t="s">
        <v>13967</v>
      </c>
      <c r="I5769" t="s">
        <v>161</v>
      </c>
      <c r="J5769">
        <v>6478</v>
      </c>
      <c r="K5769">
        <v>6135</v>
      </c>
      <c r="L5769" t="s">
        <v>23</v>
      </c>
      <c r="M5769" t="s">
        <v>14130</v>
      </c>
      <c r="N5769" t="s">
        <v>13967</v>
      </c>
      <c r="O5769" t="s">
        <v>161</v>
      </c>
      <c r="P5769">
        <v>6478</v>
      </c>
      <c r="Q5769">
        <v>6135</v>
      </c>
      <c r="R5769" t="s">
        <v>23</v>
      </c>
      <c r="S5769" s="1" t="s">
        <v>34218</v>
      </c>
    </row>
    <row r="5770" spans="1:19" x14ac:dyDescent="0.25">
      <c r="A5770">
        <v>101163895</v>
      </c>
      <c r="B5770" t="s">
        <v>14131</v>
      </c>
      <c r="C5770" t="s">
        <v>14132</v>
      </c>
      <c r="G5770" t="s">
        <v>14133</v>
      </c>
      <c r="H5770" t="s">
        <v>4632</v>
      </c>
      <c r="I5770" t="s">
        <v>178</v>
      </c>
      <c r="J5770">
        <v>43214</v>
      </c>
      <c r="K5770">
        <v>1337</v>
      </c>
      <c r="L5770" t="s">
        <v>23</v>
      </c>
      <c r="M5770" t="s">
        <v>14133</v>
      </c>
      <c r="N5770" t="s">
        <v>4632</v>
      </c>
      <c r="O5770" t="s">
        <v>178</v>
      </c>
      <c r="P5770">
        <v>43214</v>
      </c>
      <c r="Q5770">
        <v>1337</v>
      </c>
      <c r="R5770" t="s">
        <v>23</v>
      </c>
      <c r="S5770" s="1" t="s">
        <v>34218</v>
      </c>
    </row>
    <row r="5771" spans="1:19" x14ac:dyDescent="0.25">
      <c r="A5771">
        <v>101167419</v>
      </c>
      <c r="B5771" t="s">
        <v>208</v>
      </c>
      <c r="C5771" t="s">
        <v>1323</v>
      </c>
      <c r="G5771" t="s">
        <v>14134</v>
      </c>
      <c r="H5771" t="s">
        <v>66</v>
      </c>
      <c r="I5771" t="s">
        <v>22</v>
      </c>
      <c r="J5771">
        <v>94707</v>
      </c>
      <c r="K5771">
        <v>2609</v>
      </c>
      <c r="L5771" t="s">
        <v>23</v>
      </c>
      <c r="M5771" t="s">
        <v>14134</v>
      </c>
      <c r="N5771" t="s">
        <v>66</v>
      </c>
      <c r="O5771" t="s">
        <v>22</v>
      </c>
      <c r="P5771">
        <v>94707</v>
      </c>
      <c r="Q5771">
        <v>2609</v>
      </c>
      <c r="R5771" t="s">
        <v>23</v>
      </c>
      <c r="S5771" s="1" t="s">
        <v>34218</v>
      </c>
    </row>
    <row r="5772" spans="1:19" x14ac:dyDescent="0.25">
      <c r="A5772">
        <v>100889548</v>
      </c>
      <c r="B5772" t="s">
        <v>14135</v>
      </c>
      <c r="C5772" t="s">
        <v>1069</v>
      </c>
      <c r="G5772" t="s">
        <v>14136</v>
      </c>
      <c r="H5772" t="s">
        <v>3363</v>
      </c>
      <c r="I5772" t="s">
        <v>33</v>
      </c>
      <c r="J5772">
        <v>15226</v>
      </c>
      <c r="K5772">
        <v>1240</v>
      </c>
      <c r="L5772" t="s">
        <v>23</v>
      </c>
      <c r="M5772" t="s">
        <v>14136</v>
      </c>
      <c r="N5772" t="s">
        <v>3363</v>
      </c>
      <c r="O5772" t="s">
        <v>33</v>
      </c>
      <c r="P5772">
        <v>15226</v>
      </c>
      <c r="Q5772">
        <v>1240</v>
      </c>
      <c r="R5772" t="s">
        <v>23</v>
      </c>
      <c r="S5772" s="1" t="s">
        <v>34218</v>
      </c>
    </row>
    <row r="5773" spans="1:19" x14ac:dyDescent="0.25">
      <c r="A5773">
        <v>101040675</v>
      </c>
      <c r="B5773" t="s">
        <v>29</v>
      </c>
      <c r="C5773" t="s">
        <v>14137</v>
      </c>
      <c r="G5773" t="s">
        <v>14138</v>
      </c>
      <c r="H5773" t="s">
        <v>789</v>
      </c>
      <c r="I5773" t="s">
        <v>236</v>
      </c>
      <c r="J5773">
        <v>1833</v>
      </c>
      <c r="K5773">
        <v>1108</v>
      </c>
      <c r="L5773" t="s">
        <v>23</v>
      </c>
      <c r="M5773" t="s">
        <v>14138</v>
      </c>
      <c r="N5773" t="s">
        <v>789</v>
      </c>
      <c r="O5773" t="s">
        <v>236</v>
      </c>
      <c r="P5773">
        <v>1833</v>
      </c>
      <c r="Q5773">
        <v>1108</v>
      </c>
      <c r="R5773" t="s">
        <v>23</v>
      </c>
      <c r="S5773" s="1" t="s">
        <v>34218</v>
      </c>
    </row>
    <row r="5774" spans="1:19" x14ac:dyDescent="0.25">
      <c r="A5774">
        <v>101049869</v>
      </c>
      <c r="B5774" t="s">
        <v>1335</v>
      </c>
      <c r="C5774" t="s">
        <v>1588</v>
      </c>
      <c r="G5774" t="s">
        <v>14139</v>
      </c>
      <c r="H5774" t="s">
        <v>1877</v>
      </c>
      <c r="I5774" t="s">
        <v>255</v>
      </c>
      <c r="J5774">
        <v>24153</v>
      </c>
      <c r="K5774">
        <v>5003</v>
      </c>
      <c r="L5774" t="s">
        <v>23</v>
      </c>
      <c r="M5774" t="s">
        <v>14139</v>
      </c>
      <c r="N5774" t="s">
        <v>1877</v>
      </c>
      <c r="O5774" t="s">
        <v>255</v>
      </c>
      <c r="P5774">
        <v>24153</v>
      </c>
      <c r="Q5774">
        <v>5003</v>
      </c>
      <c r="R5774" t="s">
        <v>23</v>
      </c>
      <c r="S5774" s="1" t="s">
        <v>34218</v>
      </c>
    </row>
    <row r="5775" spans="1:19" x14ac:dyDescent="0.25">
      <c r="A5775">
        <v>101049094</v>
      </c>
      <c r="B5775" t="s">
        <v>14140</v>
      </c>
      <c r="C5775" t="s">
        <v>382</v>
      </c>
      <c r="G5775" t="s">
        <v>14141</v>
      </c>
      <c r="H5775" t="s">
        <v>14142</v>
      </c>
      <c r="I5775" t="s">
        <v>117</v>
      </c>
      <c r="J5775">
        <v>14450</v>
      </c>
      <c r="K5775">
        <v>3047</v>
      </c>
      <c r="L5775" t="s">
        <v>23</v>
      </c>
      <c r="M5775" t="s">
        <v>14141</v>
      </c>
      <c r="N5775" t="s">
        <v>14142</v>
      </c>
      <c r="O5775" t="s">
        <v>117</v>
      </c>
      <c r="P5775">
        <v>14450</v>
      </c>
      <c r="Q5775">
        <v>3047</v>
      </c>
      <c r="R5775" t="s">
        <v>23</v>
      </c>
      <c r="S5775" s="1" t="s">
        <v>34218</v>
      </c>
    </row>
    <row r="5776" spans="1:19" x14ac:dyDescent="0.25">
      <c r="A5776">
        <v>101049139</v>
      </c>
      <c r="B5776" t="s">
        <v>465</v>
      </c>
      <c r="C5776" t="s">
        <v>14143</v>
      </c>
      <c r="G5776" t="s">
        <v>14144</v>
      </c>
      <c r="H5776" t="s">
        <v>14145</v>
      </c>
      <c r="I5776" t="s">
        <v>2310</v>
      </c>
      <c r="J5776">
        <v>19958</v>
      </c>
      <c r="K5776">
        <v>9094</v>
      </c>
      <c r="L5776" t="s">
        <v>23</v>
      </c>
      <c r="M5776" t="s">
        <v>14144</v>
      </c>
      <c r="N5776" t="s">
        <v>14145</v>
      </c>
      <c r="O5776" t="s">
        <v>2310</v>
      </c>
      <c r="P5776">
        <v>19958</v>
      </c>
      <c r="Q5776">
        <v>9094</v>
      </c>
      <c r="R5776" t="s">
        <v>23</v>
      </c>
      <c r="S5776" s="1" t="s">
        <v>34218</v>
      </c>
    </row>
    <row r="5777" spans="1:19" x14ac:dyDescent="0.25">
      <c r="A5777">
        <v>101046762</v>
      </c>
      <c r="B5777" t="s">
        <v>1698</v>
      </c>
      <c r="C5777" t="s">
        <v>6917</v>
      </c>
      <c r="G5777" t="s">
        <v>14146</v>
      </c>
      <c r="H5777" t="s">
        <v>2069</v>
      </c>
      <c r="I5777" t="s">
        <v>22</v>
      </c>
      <c r="J5777">
        <v>95472</v>
      </c>
      <c r="K5777">
        <v>2557</v>
      </c>
      <c r="L5777" t="s">
        <v>23</v>
      </c>
      <c r="M5777" t="s">
        <v>14146</v>
      </c>
      <c r="N5777" t="s">
        <v>2069</v>
      </c>
      <c r="O5777" t="s">
        <v>22</v>
      </c>
      <c r="P5777">
        <v>95472</v>
      </c>
      <c r="Q5777">
        <v>2557</v>
      </c>
      <c r="R5777" t="s">
        <v>23</v>
      </c>
      <c r="S5777" s="1" t="s">
        <v>34218</v>
      </c>
    </row>
    <row r="5778" spans="1:19" x14ac:dyDescent="0.25">
      <c r="A5778">
        <v>101055889</v>
      </c>
      <c r="B5778" t="s">
        <v>14147</v>
      </c>
      <c r="C5778" t="s">
        <v>329</v>
      </c>
      <c r="G5778" t="s">
        <v>14148</v>
      </c>
      <c r="H5778" t="s">
        <v>1988</v>
      </c>
      <c r="I5778" t="s">
        <v>984</v>
      </c>
      <c r="J5778">
        <v>96740</v>
      </c>
      <c r="K5778">
        <v>9787</v>
      </c>
      <c r="L5778" t="s">
        <v>23</v>
      </c>
      <c r="M5778" t="s">
        <v>14148</v>
      </c>
      <c r="N5778" t="s">
        <v>1988</v>
      </c>
      <c r="O5778" t="s">
        <v>984</v>
      </c>
      <c r="P5778">
        <v>96740</v>
      </c>
      <c r="Q5778">
        <v>9787</v>
      </c>
      <c r="R5778" t="s">
        <v>23</v>
      </c>
      <c r="S5778" s="1" t="s">
        <v>34218</v>
      </c>
    </row>
    <row r="5779" spans="1:19" x14ac:dyDescent="0.25">
      <c r="A5779">
        <v>101054849</v>
      </c>
      <c r="B5779" t="s">
        <v>985</v>
      </c>
      <c r="C5779" t="s">
        <v>1086</v>
      </c>
      <c r="G5779" t="s">
        <v>14149</v>
      </c>
      <c r="H5779" t="s">
        <v>638</v>
      </c>
      <c r="I5779" t="s">
        <v>639</v>
      </c>
      <c r="J5779">
        <v>87114</v>
      </c>
      <c r="K5779">
        <v>5718</v>
      </c>
      <c r="L5779" t="s">
        <v>23</v>
      </c>
      <c r="M5779" t="s">
        <v>14149</v>
      </c>
      <c r="N5779" t="s">
        <v>638</v>
      </c>
      <c r="O5779" t="s">
        <v>639</v>
      </c>
      <c r="P5779">
        <v>87114</v>
      </c>
      <c r="Q5779">
        <v>5718</v>
      </c>
      <c r="R5779" t="s">
        <v>23</v>
      </c>
      <c r="S5779" s="1" t="s">
        <v>34218</v>
      </c>
    </row>
    <row r="5780" spans="1:19" x14ac:dyDescent="0.25">
      <c r="A5780">
        <v>101064570</v>
      </c>
      <c r="B5780" t="s">
        <v>14150</v>
      </c>
      <c r="C5780" t="s">
        <v>3017</v>
      </c>
      <c r="G5780" t="s">
        <v>14151</v>
      </c>
      <c r="H5780" t="s">
        <v>14152</v>
      </c>
      <c r="I5780" t="s">
        <v>33</v>
      </c>
      <c r="J5780">
        <v>17701</v>
      </c>
      <c r="K5780">
        <v>3473</v>
      </c>
      <c r="L5780" t="s">
        <v>23</v>
      </c>
      <c r="M5780" t="s">
        <v>14151</v>
      </c>
      <c r="N5780" t="s">
        <v>14152</v>
      </c>
      <c r="O5780" t="s">
        <v>33</v>
      </c>
      <c r="P5780">
        <v>17701</v>
      </c>
      <c r="Q5780">
        <v>3473</v>
      </c>
      <c r="R5780" t="s">
        <v>23</v>
      </c>
      <c r="S5780" s="1" t="s">
        <v>34218</v>
      </c>
    </row>
    <row r="5781" spans="1:19" x14ac:dyDescent="0.25">
      <c r="A5781">
        <v>101067092</v>
      </c>
      <c r="B5781" t="s">
        <v>14153</v>
      </c>
      <c r="C5781" t="s">
        <v>12498</v>
      </c>
      <c r="G5781" t="s">
        <v>14154</v>
      </c>
      <c r="H5781" t="s">
        <v>9625</v>
      </c>
      <c r="I5781" t="s">
        <v>1000</v>
      </c>
      <c r="J5781">
        <v>59101</v>
      </c>
      <c r="K5781">
        <v>7246</v>
      </c>
      <c r="L5781" t="s">
        <v>23</v>
      </c>
      <c r="M5781" t="s">
        <v>14154</v>
      </c>
      <c r="N5781" t="s">
        <v>9625</v>
      </c>
      <c r="O5781" t="s">
        <v>1000</v>
      </c>
      <c r="P5781">
        <v>59101</v>
      </c>
      <c r="Q5781">
        <v>7246</v>
      </c>
      <c r="R5781" t="s">
        <v>23</v>
      </c>
      <c r="S5781" s="1" t="s">
        <v>34218</v>
      </c>
    </row>
    <row r="5782" spans="1:19" x14ac:dyDescent="0.25">
      <c r="A5782">
        <v>101064055</v>
      </c>
      <c r="B5782" t="s">
        <v>14155</v>
      </c>
      <c r="C5782" t="s">
        <v>1069</v>
      </c>
      <c r="G5782" t="s">
        <v>14156</v>
      </c>
      <c r="H5782" t="s">
        <v>638</v>
      </c>
      <c r="I5782" t="s">
        <v>639</v>
      </c>
      <c r="J5782">
        <v>87122</v>
      </c>
      <c r="K5782">
        <v>1154</v>
      </c>
      <c r="L5782" t="s">
        <v>23</v>
      </c>
      <c r="M5782" t="s">
        <v>14156</v>
      </c>
      <c r="N5782" t="s">
        <v>638</v>
      </c>
      <c r="O5782" t="s">
        <v>639</v>
      </c>
      <c r="P5782">
        <v>87122</v>
      </c>
      <c r="Q5782">
        <v>1154</v>
      </c>
      <c r="R5782" t="s">
        <v>23</v>
      </c>
      <c r="S5782" s="1" t="s">
        <v>34218</v>
      </c>
    </row>
    <row r="5783" spans="1:19" x14ac:dyDescent="0.25">
      <c r="A5783">
        <v>101072777</v>
      </c>
      <c r="B5783" t="s">
        <v>14157</v>
      </c>
      <c r="C5783" t="s">
        <v>68</v>
      </c>
      <c r="G5783" t="s">
        <v>14158</v>
      </c>
      <c r="H5783" t="s">
        <v>11741</v>
      </c>
      <c r="I5783" t="s">
        <v>22</v>
      </c>
      <c r="J5783">
        <v>92234</v>
      </c>
      <c r="K5783">
        <v>7702</v>
      </c>
      <c r="L5783" t="s">
        <v>23</v>
      </c>
      <c r="M5783" t="s">
        <v>14158</v>
      </c>
      <c r="N5783" t="s">
        <v>11741</v>
      </c>
      <c r="O5783" t="s">
        <v>22</v>
      </c>
      <c r="P5783">
        <v>92234</v>
      </c>
      <c r="Q5783">
        <v>7702</v>
      </c>
      <c r="R5783" t="s">
        <v>23</v>
      </c>
      <c r="S5783" s="1" t="s">
        <v>34218</v>
      </c>
    </row>
    <row r="5784" spans="1:19" x14ac:dyDescent="0.25">
      <c r="A5784">
        <v>101262700</v>
      </c>
      <c r="B5784" t="s">
        <v>14159</v>
      </c>
      <c r="C5784" t="s">
        <v>2151</v>
      </c>
      <c r="G5784" t="s">
        <v>14160</v>
      </c>
      <c r="H5784" t="s">
        <v>2974</v>
      </c>
      <c r="I5784" t="s">
        <v>135</v>
      </c>
      <c r="J5784">
        <v>60189</v>
      </c>
      <c r="K5784">
        <v>8210</v>
      </c>
      <c r="L5784" t="s">
        <v>23</v>
      </c>
      <c r="M5784" t="s">
        <v>14160</v>
      </c>
      <c r="N5784" t="s">
        <v>2974</v>
      </c>
      <c r="O5784" t="s">
        <v>135</v>
      </c>
      <c r="P5784">
        <v>60189</v>
      </c>
      <c r="Q5784">
        <v>8210</v>
      </c>
      <c r="R5784" t="s">
        <v>23</v>
      </c>
      <c r="S5784" s="1" t="s">
        <v>34218</v>
      </c>
    </row>
    <row r="5785" spans="1:19" x14ac:dyDescent="0.25">
      <c r="A5785">
        <v>101265792</v>
      </c>
      <c r="B5785" t="s">
        <v>9385</v>
      </c>
      <c r="C5785" t="s">
        <v>1043</v>
      </c>
      <c r="G5785" t="s">
        <v>14161</v>
      </c>
      <c r="H5785" t="s">
        <v>1355</v>
      </c>
      <c r="I5785" t="s">
        <v>250</v>
      </c>
      <c r="J5785">
        <v>8831</v>
      </c>
      <c r="K5785">
        <v>3788</v>
      </c>
      <c r="L5785" t="s">
        <v>23</v>
      </c>
      <c r="M5785" t="s">
        <v>14161</v>
      </c>
      <c r="N5785" t="s">
        <v>1355</v>
      </c>
      <c r="O5785" t="s">
        <v>250</v>
      </c>
      <c r="P5785">
        <v>8831</v>
      </c>
      <c r="Q5785">
        <v>3788</v>
      </c>
      <c r="R5785" t="s">
        <v>23</v>
      </c>
      <c r="S5785" s="1" t="s">
        <v>34218</v>
      </c>
    </row>
    <row r="5786" spans="1:19" x14ac:dyDescent="0.25">
      <c r="A5786">
        <v>101262909</v>
      </c>
      <c r="B5786" t="s">
        <v>14162</v>
      </c>
      <c r="C5786" t="s">
        <v>14163</v>
      </c>
      <c r="G5786" t="s">
        <v>14164</v>
      </c>
      <c r="H5786" t="s">
        <v>737</v>
      </c>
      <c r="I5786" t="s">
        <v>255</v>
      </c>
      <c r="J5786">
        <v>23462</v>
      </c>
      <c r="K5786">
        <v>1860</v>
      </c>
      <c r="L5786" t="s">
        <v>23</v>
      </c>
      <c r="M5786" t="s">
        <v>14164</v>
      </c>
      <c r="N5786" t="s">
        <v>737</v>
      </c>
      <c r="O5786" t="s">
        <v>255</v>
      </c>
      <c r="P5786">
        <v>23462</v>
      </c>
      <c r="Q5786">
        <v>1860</v>
      </c>
      <c r="R5786" t="s">
        <v>23</v>
      </c>
      <c r="S5786" s="1" t="s">
        <v>34218</v>
      </c>
    </row>
    <row r="5787" spans="1:19" x14ac:dyDescent="0.25">
      <c r="A5787">
        <v>101280731</v>
      </c>
      <c r="B5787" t="s">
        <v>14165</v>
      </c>
      <c r="C5787" t="s">
        <v>1588</v>
      </c>
      <c r="G5787" t="s">
        <v>14166</v>
      </c>
      <c r="H5787" t="s">
        <v>4953</v>
      </c>
      <c r="I5787" t="s">
        <v>2566</v>
      </c>
      <c r="J5787">
        <v>99803</v>
      </c>
      <c r="K5787">
        <v>2821</v>
      </c>
      <c r="L5787" t="s">
        <v>23</v>
      </c>
      <c r="M5787" t="s">
        <v>14166</v>
      </c>
      <c r="N5787" t="s">
        <v>4953</v>
      </c>
      <c r="O5787" t="s">
        <v>2566</v>
      </c>
      <c r="P5787">
        <v>99803</v>
      </c>
      <c r="Q5787">
        <v>2821</v>
      </c>
      <c r="R5787" t="s">
        <v>23</v>
      </c>
      <c r="S5787" s="1" t="s">
        <v>34218</v>
      </c>
    </row>
    <row r="5788" spans="1:19" x14ac:dyDescent="0.25">
      <c r="A5788">
        <v>101269449</v>
      </c>
      <c r="B5788" t="s">
        <v>3109</v>
      </c>
      <c r="C5788" t="s">
        <v>5500</v>
      </c>
      <c r="F5788" t="str">
        <f>"2513911717"</f>
        <v>2513911717</v>
      </c>
      <c r="G5788" t="s">
        <v>14167</v>
      </c>
      <c r="H5788" t="s">
        <v>3282</v>
      </c>
      <c r="I5788" t="s">
        <v>1387</v>
      </c>
      <c r="J5788">
        <v>36532</v>
      </c>
      <c r="K5788">
        <v>5469</v>
      </c>
      <c r="L5788" t="s">
        <v>23</v>
      </c>
      <c r="M5788" t="s">
        <v>14167</v>
      </c>
      <c r="N5788" t="s">
        <v>3282</v>
      </c>
      <c r="O5788" t="s">
        <v>1387</v>
      </c>
      <c r="P5788">
        <v>36532</v>
      </c>
      <c r="Q5788">
        <v>5469</v>
      </c>
      <c r="R5788" t="s">
        <v>23</v>
      </c>
      <c r="S5788" s="1" t="s">
        <v>34218</v>
      </c>
    </row>
    <row r="5789" spans="1:19" x14ac:dyDescent="0.25">
      <c r="A5789">
        <v>101275758</v>
      </c>
      <c r="B5789" t="s">
        <v>14168</v>
      </c>
      <c r="C5789" t="s">
        <v>1818</v>
      </c>
      <c r="G5789" t="s">
        <v>14169</v>
      </c>
      <c r="H5789" t="s">
        <v>9468</v>
      </c>
      <c r="I5789" t="s">
        <v>57</v>
      </c>
      <c r="J5789">
        <v>46932</v>
      </c>
      <c r="K5789">
        <v>9484</v>
      </c>
      <c r="L5789" t="s">
        <v>23</v>
      </c>
      <c r="M5789" t="s">
        <v>14169</v>
      </c>
      <c r="N5789" t="s">
        <v>9468</v>
      </c>
      <c r="O5789" t="s">
        <v>57</v>
      </c>
      <c r="P5789">
        <v>46932</v>
      </c>
      <c r="Q5789">
        <v>9484</v>
      </c>
      <c r="R5789" t="s">
        <v>23</v>
      </c>
      <c r="S5789" s="1" t="s">
        <v>34218</v>
      </c>
    </row>
    <row r="5790" spans="1:19" x14ac:dyDescent="0.25">
      <c r="A5790">
        <v>101277899</v>
      </c>
      <c r="B5790" t="s">
        <v>14170</v>
      </c>
      <c r="C5790" t="s">
        <v>49</v>
      </c>
      <c r="G5790" t="s">
        <v>14171</v>
      </c>
      <c r="H5790" t="s">
        <v>737</v>
      </c>
      <c r="I5790" t="s">
        <v>255</v>
      </c>
      <c r="J5790">
        <v>23455</v>
      </c>
      <c r="K5790">
        <v>6816</v>
      </c>
      <c r="L5790" t="s">
        <v>23</v>
      </c>
      <c r="M5790" t="s">
        <v>14171</v>
      </c>
      <c r="N5790" t="s">
        <v>737</v>
      </c>
      <c r="O5790" t="s">
        <v>255</v>
      </c>
      <c r="P5790">
        <v>23455</v>
      </c>
      <c r="Q5790">
        <v>6816</v>
      </c>
      <c r="R5790" t="s">
        <v>23</v>
      </c>
      <c r="S5790" s="1" t="s">
        <v>34218</v>
      </c>
    </row>
    <row r="5791" spans="1:19" x14ac:dyDescent="0.25">
      <c r="A5791">
        <v>101286311</v>
      </c>
      <c r="B5791" t="s">
        <v>14172</v>
      </c>
      <c r="C5791" t="s">
        <v>2701</v>
      </c>
      <c r="G5791" t="s">
        <v>14173</v>
      </c>
      <c r="H5791" t="s">
        <v>14174</v>
      </c>
      <c r="I5791" t="s">
        <v>22</v>
      </c>
      <c r="J5791">
        <v>91352</v>
      </c>
      <c r="K5791">
        <v>2732</v>
      </c>
      <c r="L5791" t="s">
        <v>23</v>
      </c>
      <c r="M5791" t="s">
        <v>14173</v>
      </c>
      <c r="N5791" t="s">
        <v>14174</v>
      </c>
      <c r="O5791" t="s">
        <v>22</v>
      </c>
      <c r="P5791">
        <v>91352</v>
      </c>
      <c r="Q5791">
        <v>2732</v>
      </c>
      <c r="R5791" t="s">
        <v>23</v>
      </c>
      <c r="S5791" s="1" t="s">
        <v>34218</v>
      </c>
    </row>
    <row r="5792" spans="1:19" x14ac:dyDescent="0.25">
      <c r="A5792">
        <v>101282817</v>
      </c>
      <c r="B5792" t="s">
        <v>289</v>
      </c>
      <c r="C5792" t="s">
        <v>2159</v>
      </c>
      <c r="G5792" t="s">
        <v>14175</v>
      </c>
      <c r="H5792" t="s">
        <v>1626</v>
      </c>
      <c r="I5792" t="s">
        <v>702</v>
      </c>
      <c r="J5792">
        <v>89434</v>
      </c>
      <c r="K5792">
        <v>1732</v>
      </c>
      <c r="L5792" t="s">
        <v>23</v>
      </c>
      <c r="M5792" t="s">
        <v>14175</v>
      </c>
      <c r="N5792" t="s">
        <v>1626</v>
      </c>
      <c r="O5792" t="s">
        <v>702</v>
      </c>
      <c r="P5792">
        <v>89434</v>
      </c>
      <c r="Q5792">
        <v>1732</v>
      </c>
      <c r="R5792" t="s">
        <v>23</v>
      </c>
      <c r="S5792" s="1" t="s">
        <v>34218</v>
      </c>
    </row>
    <row r="5793" spans="1:19" x14ac:dyDescent="0.25">
      <c r="A5793">
        <v>101284979</v>
      </c>
      <c r="B5793" t="s">
        <v>14176</v>
      </c>
      <c r="C5793" t="s">
        <v>3618</v>
      </c>
      <c r="G5793" t="s">
        <v>14177</v>
      </c>
      <c r="H5793" t="s">
        <v>1452</v>
      </c>
      <c r="I5793" t="s">
        <v>43</v>
      </c>
      <c r="J5793">
        <v>97405</v>
      </c>
      <c r="K5793">
        <v>3883</v>
      </c>
      <c r="L5793" t="s">
        <v>23</v>
      </c>
      <c r="M5793" t="s">
        <v>14177</v>
      </c>
      <c r="N5793" t="s">
        <v>1452</v>
      </c>
      <c r="O5793" t="s">
        <v>43</v>
      </c>
      <c r="P5793">
        <v>97405</v>
      </c>
      <c r="Q5793">
        <v>3883</v>
      </c>
      <c r="R5793" t="s">
        <v>23</v>
      </c>
      <c r="S5793" s="1" t="s">
        <v>34218</v>
      </c>
    </row>
    <row r="5794" spans="1:19" x14ac:dyDescent="0.25">
      <c r="A5794">
        <v>101293482</v>
      </c>
      <c r="B5794" t="s">
        <v>1164</v>
      </c>
      <c r="C5794" t="s">
        <v>14178</v>
      </c>
      <c r="G5794" t="s">
        <v>14179</v>
      </c>
      <c r="H5794" t="s">
        <v>12392</v>
      </c>
      <c r="I5794" t="s">
        <v>22</v>
      </c>
      <c r="J5794">
        <v>94019</v>
      </c>
      <c r="K5794">
        <v>2386</v>
      </c>
      <c r="L5794" t="s">
        <v>23</v>
      </c>
      <c r="M5794" t="s">
        <v>14179</v>
      </c>
      <c r="N5794" t="s">
        <v>12392</v>
      </c>
      <c r="O5794" t="s">
        <v>22</v>
      </c>
      <c r="P5794">
        <v>94019</v>
      </c>
      <c r="Q5794">
        <v>2386</v>
      </c>
      <c r="R5794" t="s">
        <v>23</v>
      </c>
      <c r="S5794" s="1" t="s">
        <v>34218</v>
      </c>
    </row>
    <row r="5795" spans="1:19" x14ac:dyDescent="0.25">
      <c r="A5795">
        <v>101292945</v>
      </c>
      <c r="B5795" t="s">
        <v>14180</v>
      </c>
      <c r="C5795" t="s">
        <v>498</v>
      </c>
      <c r="F5795" t="str">
        <f>"3607504877"</f>
        <v>3607504877</v>
      </c>
      <c r="G5795" t="s">
        <v>14181</v>
      </c>
      <c r="H5795" t="s">
        <v>5070</v>
      </c>
      <c r="I5795" t="s">
        <v>84</v>
      </c>
      <c r="J5795">
        <v>98685</v>
      </c>
      <c r="K5795">
        <v>2693</v>
      </c>
      <c r="L5795" t="s">
        <v>23</v>
      </c>
      <c r="M5795" t="s">
        <v>14181</v>
      </c>
      <c r="N5795" t="s">
        <v>5070</v>
      </c>
      <c r="O5795" t="s">
        <v>84</v>
      </c>
      <c r="P5795">
        <v>98685</v>
      </c>
      <c r="Q5795">
        <v>2693</v>
      </c>
      <c r="R5795" t="s">
        <v>23</v>
      </c>
      <c r="S5795" s="1" t="s">
        <v>34218</v>
      </c>
    </row>
    <row r="5796" spans="1:19" x14ac:dyDescent="0.25">
      <c r="A5796">
        <v>101291700</v>
      </c>
      <c r="B5796" t="s">
        <v>14182</v>
      </c>
      <c r="C5796" t="s">
        <v>6520</v>
      </c>
      <c r="G5796" t="s">
        <v>14183</v>
      </c>
      <c r="H5796" t="s">
        <v>569</v>
      </c>
      <c r="I5796" t="s">
        <v>187</v>
      </c>
      <c r="J5796">
        <v>55417</v>
      </c>
      <c r="K5796">
        <v>2446</v>
      </c>
      <c r="L5796" t="s">
        <v>23</v>
      </c>
      <c r="M5796" t="s">
        <v>14183</v>
      </c>
      <c r="N5796" t="s">
        <v>569</v>
      </c>
      <c r="O5796" t="s">
        <v>187</v>
      </c>
      <c r="P5796">
        <v>55417</v>
      </c>
      <c r="Q5796">
        <v>2446</v>
      </c>
      <c r="R5796" t="s">
        <v>23</v>
      </c>
      <c r="S5796" s="1" t="s">
        <v>34218</v>
      </c>
    </row>
    <row r="5797" spans="1:19" x14ac:dyDescent="0.25">
      <c r="A5797">
        <v>101290624</v>
      </c>
      <c r="B5797" t="s">
        <v>3167</v>
      </c>
      <c r="C5797" t="s">
        <v>8877</v>
      </c>
      <c r="G5797" t="s">
        <v>14184</v>
      </c>
      <c r="H5797" t="s">
        <v>11455</v>
      </c>
      <c r="I5797" t="s">
        <v>22</v>
      </c>
      <c r="J5797">
        <v>95368</v>
      </c>
      <c r="K5797">
        <v>9280</v>
      </c>
      <c r="L5797" t="s">
        <v>23</v>
      </c>
      <c r="M5797" t="s">
        <v>14184</v>
      </c>
      <c r="N5797" t="s">
        <v>11455</v>
      </c>
      <c r="O5797" t="s">
        <v>22</v>
      </c>
      <c r="P5797">
        <v>95368</v>
      </c>
      <c r="Q5797">
        <v>9280</v>
      </c>
      <c r="R5797" t="s">
        <v>23</v>
      </c>
      <c r="S5797" s="1" t="s">
        <v>34218</v>
      </c>
    </row>
    <row r="5798" spans="1:19" x14ac:dyDescent="0.25">
      <c r="A5798">
        <v>101297459</v>
      </c>
      <c r="B5798" t="s">
        <v>14185</v>
      </c>
      <c r="C5798" t="s">
        <v>294</v>
      </c>
      <c r="G5798" t="s">
        <v>14186</v>
      </c>
      <c r="H5798" t="s">
        <v>9229</v>
      </c>
      <c r="I5798" t="s">
        <v>52</v>
      </c>
      <c r="J5798">
        <v>33919</v>
      </c>
      <c r="K5798">
        <v>3190</v>
      </c>
      <c r="L5798" t="s">
        <v>23</v>
      </c>
      <c r="M5798" t="s">
        <v>14186</v>
      </c>
      <c r="N5798" t="s">
        <v>9229</v>
      </c>
      <c r="O5798" t="s">
        <v>52</v>
      </c>
      <c r="P5798">
        <v>33919</v>
      </c>
      <c r="Q5798">
        <v>3190</v>
      </c>
      <c r="R5798" t="s">
        <v>23</v>
      </c>
      <c r="S5798" s="1" t="s">
        <v>34218</v>
      </c>
    </row>
    <row r="5799" spans="1:19" x14ac:dyDescent="0.25">
      <c r="A5799">
        <v>101088037</v>
      </c>
      <c r="B5799" t="s">
        <v>13899</v>
      </c>
      <c r="C5799" t="s">
        <v>252</v>
      </c>
      <c r="G5799" t="s">
        <v>13900</v>
      </c>
      <c r="H5799" t="s">
        <v>14187</v>
      </c>
      <c r="I5799" t="s">
        <v>117</v>
      </c>
      <c r="J5799">
        <v>14221</v>
      </c>
      <c r="K5799">
        <v>5146</v>
      </c>
      <c r="L5799" t="s">
        <v>23</v>
      </c>
      <c r="M5799" t="s">
        <v>13900</v>
      </c>
      <c r="N5799" t="s">
        <v>14187</v>
      </c>
      <c r="O5799" t="s">
        <v>117</v>
      </c>
      <c r="P5799">
        <v>14221</v>
      </c>
      <c r="Q5799">
        <v>5146</v>
      </c>
      <c r="R5799" t="s">
        <v>23</v>
      </c>
      <c r="S5799" s="1" t="s">
        <v>34218</v>
      </c>
    </row>
    <row r="5800" spans="1:19" x14ac:dyDescent="0.25">
      <c r="A5800">
        <v>101087518</v>
      </c>
      <c r="B5800" t="s">
        <v>1662</v>
      </c>
      <c r="C5800" t="s">
        <v>208</v>
      </c>
      <c r="G5800" t="s">
        <v>14188</v>
      </c>
      <c r="H5800" t="s">
        <v>12929</v>
      </c>
      <c r="I5800" t="s">
        <v>28</v>
      </c>
      <c r="J5800">
        <v>30127</v>
      </c>
      <c r="K5800">
        <v>6964</v>
      </c>
      <c r="L5800" t="s">
        <v>23</v>
      </c>
      <c r="M5800" t="s">
        <v>14188</v>
      </c>
      <c r="N5800" t="s">
        <v>12929</v>
      </c>
      <c r="O5800" t="s">
        <v>28</v>
      </c>
      <c r="P5800">
        <v>30127</v>
      </c>
      <c r="Q5800">
        <v>6964</v>
      </c>
      <c r="R5800" t="s">
        <v>23</v>
      </c>
      <c r="S5800" s="1" t="s">
        <v>34218</v>
      </c>
    </row>
    <row r="5801" spans="1:19" x14ac:dyDescent="0.25">
      <c r="A5801">
        <v>101091354</v>
      </c>
      <c r="B5801" t="s">
        <v>2486</v>
      </c>
      <c r="C5801" t="s">
        <v>1588</v>
      </c>
      <c r="G5801" t="s">
        <v>14189</v>
      </c>
      <c r="H5801" t="s">
        <v>147</v>
      </c>
      <c r="I5801" t="s">
        <v>148</v>
      </c>
      <c r="J5801">
        <v>21122</v>
      </c>
      <c r="K5801">
        <v>2358</v>
      </c>
      <c r="L5801" t="s">
        <v>23</v>
      </c>
      <c r="M5801" t="s">
        <v>14189</v>
      </c>
      <c r="N5801" t="s">
        <v>147</v>
      </c>
      <c r="O5801" t="s">
        <v>148</v>
      </c>
      <c r="P5801">
        <v>21122</v>
      </c>
      <c r="Q5801">
        <v>2358</v>
      </c>
      <c r="R5801" t="s">
        <v>23</v>
      </c>
      <c r="S5801" s="1" t="s">
        <v>34218</v>
      </c>
    </row>
    <row r="5802" spans="1:19" x14ac:dyDescent="0.25">
      <c r="A5802">
        <v>101095815</v>
      </c>
      <c r="B5802" t="s">
        <v>14190</v>
      </c>
      <c r="C5802" t="s">
        <v>699</v>
      </c>
      <c r="F5802" t="str">
        <f>"5208127220"</f>
        <v>5208127220</v>
      </c>
      <c r="G5802" t="s">
        <v>14191</v>
      </c>
      <c r="H5802" t="s">
        <v>4331</v>
      </c>
      <c r="I5802" t="s">
        <v>365</v>
      </c>
      <c r="J5802">
        <v>85653</v>
      </c>
      <c r="K5802">
        <v>9451</v>
      </c>
      <c r="L5802" t="s">
        <v>23</v>
      </c>
      <c r="M5802" t="s">
        <v>14191</v>
      </c>
      <c r="N5802" t="s">
        <v>4331</v>
      </c>
      <c r="O5802" t="s">
        <v>365</v>
      </c>
      <c r="P5802">
        <v>85653</v>
      </c>
      <c r="Q5802">
        <v>9451</v>
      </c>
      <c r="R5802" t="s">
        <v>23</v>
      </c>
      <c r="S5802" s="1" t="s">
        <v>34218</v>
      </c>
    </row>
    <row r="5803" spans="1:19" x14ac:dyDescent="0.25">
      <c r="A5803">
        <v>101308981</v>
      </c>
      <c r="B5803" t="s">
        <v>14192</v>
      </c>
      <c r="C5803" t="s">
        <v>1865</v>
      </c>
      <c r="F5803" t="str">
        <f>"9313583251"</f>
        <v>9313583251</v>
      </c>
      <c r="G5803" t="s">
        <v>14193</v>
      </c>
      <c r="H5803" t="s">
        <v>836</v>
      </c>
      <c r="I5803" t="s">
        <v>914</v>
      </c>
      <c r="J5803">
        <v>37043</v>
      </c>
      <c r="K5803">
        <v>6810</v>
      </c>
      <c r="L5803" t="s">
        <v>23</v>
      </c>
      <c r="M5803" t="s">
        <v>14193</v>
      </c>
      <c r="N5803" t="s">
        <v>836</v>
      </c>
      <c r="O5803" t="s">
        <v>914</v>
      </c>
      <c r="P5803">
        <v>37043</v>
      </c>
      <c r="Q5803">
        <v>6810</v>
      </c>
      <c r="R5803" t="s">
        <v>23</v>
      </c>
      <c r="S5803" s="1" t="s">
        <v>34218</v>
      </c>
    </row>
    <row r="5804" spans="1:19" x14ac:dyDescent="0.25">
      <c r="A5804">
        <v>101307816</v>
      </c>
      <c r="B5804" t="s">
        <v>14194</v>
      </c>
      <c r="C5804" t="s">
        <v>2938</v>
      </c>
      <c r="G5804" t="s">
        <v>14195</v>
      </c>
      <c r="H5804" t="s">
        <v>14196</v>
      </c>
      <c r="I5804" t="s">
        <v>100</v>
      </c>
      <c r="J5804">
        <v>53066</v>
      </c>
      <c r="K5804">
        <v>3545</v>
      </c>
      <c r="L5804" t="s">
        <v>23</v>
      </c>
      <c r="M5804" t="s">
        <v>14195</v>
      </c>
      <c r="N5804" t="s">
        <v>14196</v>
      </c>
      <c r="O5804" t="s">
        <v>100</v>
      </c>
      <c r="P5804">
        <v>53066</v>
      </c>
      <c r="Q5804">
        <v>3545</v>
      </c>
      <c r="R5804" t="s">
        <v>23</v>
      </c>
      <c r="S5804" s="1" t="s">
        <v>34218</v>
      </c>
    </row>
    <row r="5805" spans="1:19" x14ac:dyDescent="0.25">
      <c r="A5805">
        <v>101305116</v>
      </c>
      <c r="B5805" t="s">
        <v>14197</v>
      </c>
      <c r="C5805" t="s">
        <v>14198</v>
      </c>
      <c r="G5805" t="s">
        <v>14199</v>
      </c>
      <c r="H5805" t="s">
        <v>2762</v>
      </c>
      <c r="I5805" t="s">
        <v>236</v>
      </c>
      <c r="J5805">
        <v>1062</v>
      </c>
      <c r="K5805">
        <v>1213</v>
      </c>
      <c r="L5805" t="s">
        <v>23</v>
      </c>
      <c r="M5805" t="s">
        <v>14199</v>
      </c>
      <c r="N5805" t="s">
        <v>2762</v>
      </c>
      <c r="O5805" t="s">
        <v>236</v>
      </c>
      <c r="P5805">
        <v>1062</v>
      </c>
      <c r="Q5805">
        <v>1213</v>
      </c>
      <c r="R5805" t="s">
        <v>23</v>
      </c>
      <c r="S5805" s="1" t="s">
        <v>34218</v>
      </c>
    </row>
    <row r="5806" spans="1:19" x14ac:dyDescent="0.25">
      <c r="A5806">
        <v>101312333</v>
      </c>
      <c r="B5806" t="s">
        <v>14200</v>
      </c>
      <c r="C5806" t="s">
        <v>14201</v>
      </c>
      <c r="F5806" t="str">
        <f>"3042587288"</f>
        <v>3042587288</v>
      </c>
      <c r="G5806" t="s">
        <v>14202</v>
      </c>
      <c r="H5806" t="s">
        <v>14203</v>
      </c>
      <c r="I5806" t="s">
        <v>327</v>
      </c>
      <c r="J5806">
        <v>25411</v>
      </c>
      <c r="K5806">
        <v>5720</v>
      </c>
      <c r="L5806" t="s">
        <v>23</v>
      </c>
      <c r="M5806" t="s">
        <v>14202</v>
      </c>
      <c r="N5806" t="s">
        <v>14203</v>
      </c>
      <c r="O5806" t="s">
        <v>327</v>
      </c>
      <c r="P5806">
        <v>25411</v>
      </c>
      <c r="Q5806">
        <v>5720</v>
      </c>
      <c r="R5806" t="s">
        <v>23</v>
      </c>
      <c r="S5806" s="1" t="s">
        <v>34218</v>
      </c>
    </row>
    <row r="5807" spans="1:19" x14ac:dyDescent="0.25">
      <c r="A5807">
        <v>101305566</v>
      </c>
      <c r="B5807" t="s">
        <v>14204</v>
      </c>
      <c r="C5807" t="s">
        <v>997</v>
      </c>
      <c r="G5807" t="s">
        <v>14205</v>
      </c>
      <c r="H5807" t="s">
        <v>1614</v>
      </c>
      <c r="I5807" t="s">
        <v>117</v>
      </c>
      <c r="J5807">
        <v>11572</v>
      </c>
      <c r="K5807">
        <v>5504</v>
      </c>
      <c r="L5807" t="s">
        <v>23</v>
      </c>
      <c r="M5807" t="s">
        <v>14205</v>
      </c>
      <c r="N5807" t="s">
        <v>1614</v>
      </c>
      <c r="O5807" t="s">
        <v>117</v>
      </c>
      <c r="P5807">
        <v>11572</v>
      </c>
      <c r="Q5807">
        <v>5504</v>
      </c>
      <c r="R5807" t="s">
        <v>23</v>
      </c>
      <c r="S5807" s="1" t="s">
        <v>34218</v>
      </c>
    </row>
    <row r="5808" spans="1:19" x14ac:dyDescent="0.25">
      <c r="A5808">
        <v>101311392</v>
      </c>
      <c r="B5808" t="s">
        <v>1662</v>
      </c>
      <c r="C5808" t="s">
        <v>1086</v>
      </c>
      <c r="G5808" t="s">
        <v>14206</v>
      </c>
      <c r="H5808" t="s">
        <v>14207</v>
      </c>
      <c r="I5808" t="s">
        <v>33</v>
      </c>
      <c r="J5808">
        <v>17728</v>
      </c>
      <c r="K5808">
        <v>8103</v>
      </c>
      <c r="L5808" t="s">
        <v>23</v>
      </c>
      <c r="M5808" t="s">
        <v>14206</v>
      </c>
      <c r="N5808" t="s">
        <v>14207</v>
      </c>
      <c r="O5808" t="s">
        <v>33</v>
      </c>
      <c r="P5808">
        <v>17728</v>
      </c>
      <c r="Q5808">
        <v>8103</v>
      </c>
      <c r="R5808" t="s">
        <v>23</v>
      </c>
      <c r="S5808" s="1" t="s">
        <v>34218</v>
      </c>
    </row>
    <row r="5809" spans="1:19" x14ac:dyDescent="0.25">
      <c r="A5809">
        <v>101315490</v>
      </c>
      <c r="B5809" t="s">
        <v>1339</v>
      </c>
      <c r="C5809" t="s">
        <v>2599</v>
      </c>
      <c r="F5809" t="str">
        <f>"8452798613"</f>
        <v>8452798613</v>
      </c>
      <c r="G5809" t="s">
        <v>14208</v>
      </c>
      <c r="H5809" t="s">
        <v>2205</v>
      </c>
      <c r="I5809" t="s">
        <v>117</v>
      </c>
      <c r="J5809">
        <v>10509</v>
      </c>
      <c r="K5809">
        <v>3023</v>
      </c>
      <c r="L5809" t="s">
        <v>23</v>
      </c>
      <c r="M5809" t="s">
        <v>14208</v>
      </c>
      <c r="N5809" t="s">
        <v>2205</v>
      </c>
      <c r="O5809" t="s">
        <v>117</v>
      </c>
      <c r="P5809">
        <v>10509</v>
      </c>
      <c r="Q5809">
        <v>3023</v>
      </c>
      <c r="R5809" t="s">
        <v>23</v>
      </c>
      <c r="S5809" s="1" t="s">
        <v>34218</v>
      </c>
    </row>
    <row r="5810" spans="1:19" x14ac:dyDescent="0.25">
      <c r="A5810">
        <v>101317985</v>
      </c>
      <c r="B5810" t="s">
        <v>14209</v>
      </c>
      <c r="C5810" t="s">
        <v>180</v>
      </c>
      <c r="G5810" t="s">
        <v>14210</v>
      </c>
      <c r="H5810" t="s">
        <v>3608</v>
      </c>
      <c r="I5810" t="s">
        <v>140</v>
      </c>
      <c r="J5810">
        <v>49423</v>
      </c>
      <c r="K5810">
        <v>7218</v>
      </c>
      <c r="L5810" t="s">
        <v>23</v>
      </c>
      <c r="M5810" t="s">
        <v>14210</v>
      </c>
      <c r="N5810" t="s">
        <v>3608</v>
      </c>
      <c r="O5810" t="s">
        <v>140</v>
      </c>
      <c r="P5810">
        <v>49423</v>
      </c>
      <c r="Q5810">
        <v>7218</v>
      </c>
      <c r="R5810" t="s">
        <v>23</v>
      </c>
      <c r="S5810" s="1" t="s">
        <v>34218</v>
      </c>
    </row>
    <row r="5811" spans="1:19" x14ac:dyDescent="0.25">
      <c r="A5811">
        <v>101315689</v>
      </c>
      <c r="B5811" t="s">
        <v>744</v>
      </c>
      <c r="C5811" t="s">
        <v>119</v>
      </c>
      <c r="G5811" t="s">
        <v>14211</v>
      </c>
      <c r="H5811" t="s">
        <v>14212</v>
      </c>
      <c r="I5811" t="s">
        <v>1097</v>
      </c>
      <c r="J5811">
        <v>40067</v>
      </c>
      <c r="K5811">
        <v>5455</v>
      </c>
      <c r="L5811" t="s">
        <v>23</v>
      </c>
      <c r="M5811" t="s">
        <v>14211</v>
      </c>
      <c r="N5811" t="s">
        <v>14212</v>
      </c>
      <c r="O5811" t="s">
        <v>1097</v>
      </c>
      <c r="P5811">
        <v>40067</v>
      </c>
      <c r="Q5811">
        <v>5455</v>
      </c>
      <c r="R5811" t="s">
        <v>23</v>
      </c>
      <c r="S5811" s="1" t="s">
        <v>34218</v>
      </c>
    </row>
    <row r="5812" spans="1:19" x14ac:dyDescent="0.25">
      <c r="A5812">
        <v>101320841</v>
      </c>
      <c r="B5812" t="s">
        <v>14213</v>
      </c>
      <c r="C5812" t="s">
        <v>5711</v>
      </c>
      <c r="G5812" t="s">
        <v>14214</v>
      </c>
      <c r="H5812" t="s">
        <v>1325</v>
      </c>
      <c r="I5812" t="s">
        <v>22</v>
      </c>
      <c r="J5812">
        <v>94306</v>
      </c>
      <c r="K5812">
        <v>1347</v>
      </c>
      <c r="L5812" t="s">
        <v>23</v>
      </c>
      <c r="M5812" t="s">
        <v>14214</v>
      </c>
      <c r="N5812" t="s">
        <v>1325</v>
      </c>
      <c r="O5812" t="s">
        <v>22</v>
      </c>
      <c r="P5812">
        <v>94306</v>
      </c>
      <c r="Q5812">
        <v>1347</v>
      </c>
      <c r="R5812" t="s">
        <v>23</v>
      </c>
      <c r="S5812" s="1" t="s">
        <v>34218</v>
      </c>
    </row>
    <row r="5813" spans="1:19" x14ac:dyDescent="0.25">
      <c r="A5813">
        <v>101318143</v>
      </c>
      <c r="B5813" t="s">
        <v>553</v>
      </c>
      <c r="C5813" t="s">
        <v>1555</v>
      </c>
      <c r="G5813" t="s">
        <v>14215</v>
      </c>
      <c r="H5813" t="s">
        <v>14216</v>
      </c>
      <c r="I5813" t="s">
        <v>22</v>
      </c>
      <c r="J5813">
        <v>96080</v>
      </c>
      <c r="K5813">
        <v>3941</v>
      </c>
      <c r="L5813" t="s">
        <v>23</v>
      </c>
      <c r="M5813" t="s">
        <v>14215</v>
      </c>
      <c r="N5813" t="s">
        <v>14216</v>
      </c>
      <c r="O5813" t="s">
        <v>22</v>
      </c>
      <c r="P5813">
        <v>96080</v>
      </c>
      <c r="Q5813">
        <v>3941</v>
      </c>
      <c r="R5813" t="s">
        <v>23</v>
      </c>
      <c r="S5813" s="1" t="s">
        <v>34218</v>
      </c>
    </row>
    <row r="5814" spans="1:19" x14ac:dyDescent="0.25">
      <c r="A5814">
        <v>101324976</v>
      </c>
      <c r="B5814" t="s">
        <v>14217</v>
      </c>
      <c r="C5814" t="s">
        <v>436</v>
      </c>
      <c r="G5814" t="s">
        <v>14218</v>
      </c>
      <c r="H5814" t="s">
        <v>299</v>
      </c>
      <c r="I5814" t="s">
        <v>22</v>
      </c>
      <c r="J5814">
        <v>90027</v>
      </c>
      <c r="K5814">
        <v>2952</v>
      </c>
      <c r="L5814" t="s">
        <v>23</v>
      </c>
      <c r="M5814" t="s">
        <v>14218</v>
      </c>
      <c r="N5814" t="s">
        <v>299</v>
      </c>
      <c r="O5814" t="s">
        <v>22</v>
      </c>
      <c r="P5814">
        <v>90027</v>
      </c>
      <c r="Q5814">
        <v>2952</v>
      </c>
      <c r="R5814" t="s">
        <v>23</v>
      </c>
      <c r="S5814" s="1" t="s">
        <v>34218</v>
      </c>
    </row>
    <row r="5815" spans="1:19" x14ac:dyDescent="0.25">
      <c r="A5815">
        <v>101322488</v>
      </c>
      <c r="B5815" t="s">
        <v>465</v>
      </c>
      <c r="C5815" t="s">
        <v>668</v>
      </c>
      <c r="G5815" t="s">
        <v>14219</v>
      </c>
      <c r="H5815" t="s">
        <v>3646</v>
      </c>
      <c r="I5815" t="s">
        <v>22</v>
      </c>
      <c r="J5815">
        <v>96094</v>
      </c>
      <c r="K5815">
        <v>9225</v>
      </c>
      <c r="L5815" t="s">
        <v>23</v>
      </c>
      <c r="M5815" t="s">
        <v>14219</v>
      </c>
      <c r="N5815" t="s">
        <v>3646</v>
      </c>
      <c r="O5815" t="s">
        <v>22</v>
      </c>
      <c r="P5815">
        <v>96094</v>
      </c>
      <c r="Q5815">
        <v>9225</v>
      </c>
      <c r="R5815" t="s">
        <v>23</v>
      </c>
      <c r="S5815" s="1" t="s">
        <v>34218</v>
      </c>
    </row>
    <row r="5816" spans="1:19" x14ac:dyDescent="0.25">
      <c r="A5816">
        <v>101323591</v>
      </c>
      <c r="B5816" t="s">
        <v>14220</v>
      </c>
      <c r="C5816" t="s">
        <v>1306</v>
      </c>
      <c r="G5816" t="s">
        <v>14221</v>
      </c>
      <c r="H5816" t="s">
        <v>11122</v>
      </c>
      <c r="I5816" t="s">
        <v>178</v>
      </c>
      <c r="J5816">
        <v>44256</v>
      </c>
      <c r="K5816">
        <v>2917</v>
      </c>
      <c r="L5816" t="s">
        <v>23</v>
      </c>
      <c r="M5816" t="s">
        <v>14221</v>
      </c>
      <c r="N5816" t="s">
        <v>11122</v>
      </c>
      <c r="O5816" t="s">
        <v>178</v>
      </c>
      <c r="P5816">
        <v>44256</v>
      </c>
      <c r="Q5816">
        <v>2917</v>
      </c>
      <c r="R5816" t="s">
        <v>23</v>
      </c>
      <c r="S5816" s="1" t="s">
        <v>34218</v>
      </c>
    </row>
    <row r="5817" spans="1:19" x14ac:dyDescent="0.25">
      <c r="A5817">
        <v>101319926</v>
      </c>
      <c r="B5817" t="s">
        <v>14222</v>
      </c>
      <c r="C5817" t="s">
        <v>1361</v>
      </c>
      <c r="G5817" t="s">
        <v>14223</v>
      </c>
      <c r="H5817" t="s">
        <v>808</v>
      </c>
      <c r="I5817" t="s">
        <v>639</v>
      </c>
      <c r="J5817">
        <v>87031</v>
      </c>
      <c r="K5817">
        <v>7602</v>
      </c>
      <c r="L5817" t="s">
        <v>23</v>
      </c>
      <c r="M5817" t="s">
        <v>14223</v>
      </c>
      <c r="N5817" t="s">
        <v>808</v>
      </c>
      <c r="O5817" t="s">
        <v>639</v>
      </c>
      <c r="P5817">
        <v>87031</v>
      </c>
      <c r="Q5817">
        <v>7602</v>
      </c>
      <c r="R5817" t="s">
        <v>23</v>
      </c>
      <c r="S5817" s="1" t="s">
        <v>34218</v>
      </c>
    </row>
    <row r="5818" spans="1:19" x14ac:dyDescent="0.25">
      <c r="A5818">
        <v>101318767</v>
      </c>
      <c r="B5818" t="s">
        <v>14224</v>
      </c>
      <c r="C5818" t="s">
        <v>1107</v>
      </c>
      <c r="G5818" t="s">
        <v>14225</v>
      </c>
      <c r="H5818" t="s">
        <v>5198</v>
      </c>
      <c r="I5818" t="s">
        <v>446</v>
      </c>
      <c r="J5818">
        <v>27312</v>
      </c>
      <c r="K5818">
        <v>7940</v>
      </c>
      <c r="L5818" t="s">
        <v>23</v>
      </c>
      <c r="M5818" t="s">
        <v>14225</v>
      </c>
      <c r="N5818" t="s">
        <v>5198</v>
      </c>
      <c r="O5818" t="s">
        <v>446</v>
      </c>
      <c r="P5818">
        <v>27312</v>
      </c>
      <c r="Q5818">
        <v>7940</v>
      </c>
      <c r="R5818" t="s">
        <v>23</v>
      </c>
      <c r="S5818" s="1" t="s">
        <v>34218</v>
      </c>
    </row>
    <row r="5819" spans="1:19" x14ac:dyDescent="0.25">
      <c r="A5819">
        <v>101323849</v>
      </c>
      <c r="B5819" t="s">
        <v>14226</v>
      </c>
      <c r="C5819" t="s">
        <v>1676</v>
      </c>
      <c r="G5819" t="s">
        <v>14227</v>
      </c>
      <c r="H5819" t="s">
        <v>14228</v>
      </c>
      <c r="I5819" t="s">
        <v>140</v>
      </c>
      <c r="J5819">
        <v>48047</v>
      </c>
      <c r="K5819">
        <v>5555</v>
      </c>
      <c r="L5819" t="s">
        <v>23</v>
      </c>
      <c r="M5819" t="s">
        <v>14227</v>
      </c>
      <c r="N5819" t="s">
        <v>14228</v>
      </c>
      <c r="O5819" t="s">
        <v>140</v>
      </c>
      <c r="P5819">
        <v>48047</v>
      </c>
      <c r="Q5819">
        <v>5555</v>
      </c>
      <c r="R5819" t="s">
        <v>23</v>
      </c>
      <c r="S5819" s="1" t="s">
        <v>34218</v>
      </c>
    </row>
    <row r="5820" spans="1:19" x14ac:dyDescent="0.25">
      <c r="A5820">
        <v>101324530</v>
      </c>
      <c r="B5820" t="s">
        <v>1164</v>
      </c>
      <c r="C5820" t="s">
        <v>699</v>
      </c>
      <c r="G5820" t="s">
        <v>14229</v>
      </c>
      <c r="H5820" t="s">
        <v>2923</v>
      </c>
      <c r="I5820" t="s">
        <v>22</v>
      </c>
      <c r="J5820">
        <v>93035</v>
      </c>
      <c r="K5820">
        <v>2961</v>
      </c>
      <c r="L5820" t="s">
        <v>23</v>
      </c>
      <c r="M5820" t="s">
        <v>14229</v>
      </c>
      <c r="N5820" t="s">
        <v>2923</v>
      </c>
      <c r="O5820" t="s">
        <v>22</v>
      </c>
      <c r="P5820">
        <v>93035</v>
      </c>
      <c r="Q5820">
        <v>2961</v>
      </c>
      <c r="R5820" t="s">
        <v>23</v>
      </c>
      <c r="S5820" s="1" t="s">
        <v>34218</v>
      </c>
    </row>
    <row r="5821" spans="1:19" x14ac:dyDescent="0.25">
      <c r="A5821">
        <v>101323239</v>
      </c>
      <c r="B5821" t="s">
        <v>8354</v>
      </c>
      <c r="C5821" t="s">
        <v>14230</v>
      </c>
      <c r="G5821" t="s">
        <v>14231</v>
      </c>
      <c r="H5821" t="s">
        <v>14232</v>
      </c>
      <c r="I5821" t="s">
        <v>57</v>
      </c>
      <c r="J5821">
        <v>47520</v>
      </c>
      <c r="K5821">
        <v>5076</v>
      </c>
      <c r="L5821" t="s">
        <v>23</v>
      </c>
      <c r="M5821" t="s">
        <v>14231</v>
      </c>
      <c r="N5821" t="s">
        <v>14232</v>
      </c>
      <c r="O5821" t="s">
        <v>57</v>
      </c>
      <c r="P5821">
        <v>47520</v>
      </c>
      <c r="Q5821">
        <v>5076</v>
      </c>
      <c r="R5821" t="s">
        <v>23</v>
      </c>
      <c r="S5821" s="1" t="s">
        <v>34218</v>
      </c>
    </row>
    <row r="5822" spans="1:19" x14ac:dyDescent="0.25">
      <c r="A5822">
        <v>101333616</v>
      </c>
      <c r="B5822" t="s">
        <v>14233</v>
      </c>
      <c r="C5822" t="s">
        <v>14234</v>
      </c>
      <c r="F5822" t="str">
        <f>"5555555555"</f>
        <v>5555555555</v>
      </c>
      <c r="G5822" t="s">
        <v>14235</v>
      </c>
      <c r="H5822" t="s">
        <v>14236</v>
      </c>
      <c r="I5822" t="s">
        <v>191</v>
      </c>
      <c r="J5822">
        <v>4459</v>
      </c>
      <c r="K5822">
        <v>3229</v>
      </c>
      <c r="L5822" t="s">
        <v>23</v>
      </c>
      <c r="M5822" t="s">
        <v>14235</v>
      </c>
      <c r="N5822" t="s">
        <v>14236</v>
      </c>
      <c r="O5822" t="s">
        <v>191</v>
      </c>
      <c r="P5822">
        <v>4459</v>
      </c>
      <c r="Q5822">
        <v>3229</v>
      </c>
      <c r="R5822" t="s">
        <v>23</v>
      </c>
      <c r="S5822" s="1" t="s">
        <v>34218</v>
      </c>
    </row>
    <row r="5823" spans="1:19" x14ac:dyDescent="0.25">
      <c r="A5823">
        <v>101337185</v>
      </c>
      <c r="B5823" t="s">
        <v>9665</v>
      </c>
      <c r="C5823" t="s">
        <v>217</v>
      </c>
      <c r="G5823" t="s">
        <v>14237</v>
      </c>
      <c r="H5823" t="s">
        <v>6317</v>
      </c>
      <c r="I5823" t="s">
        <v>178</v>
      </c>
      <c r="J5823">
        <v>45106</v>
      </c>
      <c r="K5823">
        <v>8362</v>
      </c>
      <c r="L5823" t="s">
        <v>23</v>
      </c>
      <c r="M5823" t="s">
        <v>14237</v>
      </c>
      <c r="N5823" t="s">
        <v>6317</v>
      </c>
      <c r="O5823" t="s">
        <v>178</v>
      </c>
      <c r="P5823">
        <v>45106</v>
      </c>
      <c r="Q5823">
        <v>8362</v>
      </c>
      <c r="R5823" t="s">
        <v>23</v>
      </c>
      <c r="S5823" s="1" t="s">
        <v>34218</v>
      </c>
    </row>
    <row r="5824" spans="1:19" x14ac:dyDescent="0.25">
      <c r="A5824">
        <v>101333135</v>
      </c>
      <c r="B5824" t="s">
        <v>553</v>
      </c>
      <c r="C5824" t="s">
        <v>699</v>
      </c>
      <c r="G5824" t="s">
        <v>14238</v>
      </c>
      <c r="H5824" t="s">
        <v>3186</v>
      </c>
      <c r="I5824" t="s">
        <v>22</v>
      </c>
      <c r="J5824">
        <v>90604</v>
      </c>
      <c r="K5824">
        <v>3558</v>
      </c>
      <c r="L5824" t="s">
        <v>23</v>
      </c>
      <c r="M5824" t="s">
        <v>14238</v>
      </c>
      <c r="N5824" t="s">
        <v>3186</v>
      </c>
      <c r="O5824" t="s">
        <v>22</v>
      </c>
      <c r="P5824">
        <v>90604</v>
      </c>
      <c r="Q5824">
        <v>3558</v>
      </c>
      <c r="R5824" t="s">
        <v>23</v>
      </c>
      <c r="S5824" s="1" t="s">
        <v>34218</v>
      </c>
    </row>
    <row r="5825" spans="1:19" x14ac:dyDescent="0.25">
      <c r="A5825">
        <v>101337561</v>
      </c>
      <c r="B5825" t="s">
        <v>14239</v>
      </c>
      <c r="C5825" t="s">
        <v>2515</v>
      </c>
      <c r="G5825" t="s">
        <v>14240</v>
      </c>
      <c r="H5825" t="s">
        <v>1748</v>
      </c>
      <c r="I5825" t="s">
        <v>255</v>
      </c>
      <c r="J5825">
        <v>22204</v>
      </c>
      <c r="K5825">
        <v>3309</v>
      </c>
      <c r="L5825" t="s">
        <v>23</v>
      </c>
      <c r="M5825" t="s">
        <v>14240</v>
      </c>
      <c r="N5825" t="s">
        <v>1748</v>
      </c>
      <c r="O5825" t="s">
        <v>255</v>
      </c>
      <c r="P5825">
        <v>22204</v>
      </c>
      <c r="Q5825">
        <v>3309</v>
      </c>
      <c r="R5825" t="s">
        <v>23</v>
      </c>
      <c r="S5825" s="1" t="s">
        <v>34218</v>
      </c>
    </row>
    <row r="5826" spans="1:19" x14ac:dyDescent="0.25">
      <c r="A5826">
        <v>101338705</v>
      </c>
      <c r="B5826" t="s">
        <v>14241</v>
      </c>
      <c r="C5826" t="s">
        <v>14242</v>
      </c>
      <c r="G5826" t="s">
        <v>14243</v>
      </c>
      <c r="H5826" t="s">
        <v>4632</v>
      </c>
      <c r="I5826" t="s">
        <v>28</v>
      </c>
      <c r="J5826">
        <v>31904</v>
      </c>
      <c r="K5826">
        <v>2979</v>
      </c>
      <c r="L5826" t="s">
        <v>23</v>
      </c>
      <c r="M5826" t="s">
        <v>14243</v>
      </c>
      <c r="N5826" t="s">
        <v>4632</v>
      </c>
      <c r="O5826" t="s">
        <v>28</v>
      </c>
      <c r="P5826">
        <v>31904</v>
      </c>
      <c r="Q5826">
        <v>2979</v>
      </c>
      <c r="R5826" t="s">
        <v>23</v>
      </c>
      <c r="S5826" s="1" t="s">
        <v>34218</v>
      </c>
    </row>
    <row r="5827" spans="1:19" x14ac:dyDescent="0.25">
      <c r="A5827">
        <v>100686602</v>
      </c>
      <c r="B5827" t="s">
        <v>654</v>
      </c>
      <c r="C5827" t="s">
        <v>14244</v>
      </c>
      <c r="G5827" t="s">
        <v>14245</v>
      </c>
      <c r="H5827" t="s">
        <v>591</v>
      </c>
      <c r="I5827" t="s">
        <v>84</v>
      </c>
      <c r="J5827">
        <v>98226</v>
      </c>
      <c r="K5827">
        <v>5695</v>
      </c>
      <c r="L5827" t="s">
        <v>23</v>
      </c>
      <c r="M5827" t="s">
        <v>14245</v>
      </c>
      <c r="N5827" t="s">
        <v>591</v>
      </c>
      <c r="O5827" t="s">
        <v>84</v>
      </c>
      <c r="P5827">
        <v>98226</v>
      </c>
      <c r="Q5827">
        <v>5695</v>
      </c>
      <c r="R5827" t="s">
        <v>23</v>
      </c>
      <c r="S5827" s="1" t="s">
        <v>34218</v>
      </c>
    </row>
    <row r="5828" spans="1:19" x14ac:dyDescent="0.25">
      <c r="A5828">
        <v>100682515</v>
      </c>
      <c r="B5828" t="s">
        <v>14246</v>
      </c>
      <c r="C5828" t="s">
        <v>1370</v>
      </c>
      <c r="F5828" t="str">
        <f>"6308327558"</f>
        <v>6308327558</v>
      </c>
      <c r="G5828" t="s">
        <v>14247</v>
      </c>
      <c r="H5828" t="s">
        <v>134</v>
      </c>
      <c r="I5828" t="s">
        <v>135</v>
      </c>
      <c r="J5828">
        <v>60657</v>
      </c>
      <c r="K5828">
        <v>1886</v>
      </c>
      <c r="L5828" t="s">
        <v>23</v>
      </c>
      <c r="M5828" t="s">
        <v>14247</v>
      </c>
      <c r="N5828" t="s">
        <v>134</v>
      </c>
      <c r="O5828" t="s">
        <v>135</v>
      </c>
      <c r="P5828">
        <v>60657</v>
      </c>
      <c r="Q5828">
        <v>1886</v>
      </c>
      <c r="R5828" t="s">
        <v>23</v>
      </c>
      <c r="S5828" s="1" t="s">
        <v>34218</v>
      </c>
    </row>
    <row r="5829" spans="1:19" x14ac:dyDescent="0.25">
      <c r="A5829">
        <v>100689471</v>
      </c>
      <c r="B5829" t="s">
        <v>2802</v>
      </c>
      <c r="C5829" t="s">
        <v>403</v>
      </c>
      <c r="F5829" t="str">
        <f>"8563105271"</f>
        <v>8563105271</v>
      </c>
      <c r="G5829" t="s">
        <v>14248</v>
      </c>
      <c r="H5829" t="s">
        <v>1026</v>
      </c>
      <c r="I5829" t="s">
        <v>250</v>
      </c>
      <c r="J5829">
        <v>8007</v>
      </c>
      <c r="K5829">
        <v>1215</v>
      </c>
      <c r="L5829" t="s">
        <v>23</v>
      </c>
      <c r="M5829" t="s">
        <v>14248</v>
      </c>
      <c r="N5829" t="s">
        <v>1026</v>
      </c>
      <c r="O5829" t="s">
        <v>250</v>
      </c>
      <c r="P5829">
        <v>8007</v>
      </c>
      <c r="Q5829">
        <v>1215</v>
      </c>
      <c r="R5829" t="s">
        <v>23</v>
      </c>
      <c r="S5829" s="1" t="s">
        <v>34218</v>
      </c>
    </row>
    <row r="5830" spans="1:19" x14ac:dyDescent="0.25">
      <c r="A5830">
        <v>100686407</v>
      </c>
      <c r="B5830" t="s">
        <v>14249</v>
      </c>
      <c r="C5830" t="s">
        <v>102</v>
      </c>
      <c r="G5830" t="s">
        <v>14250</v>
      </c>
      <c r="H5830" t="s">
        <v>653</v>
      </c>
      <c r="I5830" t="s">
        <v>117</v>
      </c>
      <c r="J5830">
        <v>10024</v>
      </c>
      <c r="K5830">
        <v>5141</v>
      </c>
      <c r="L5830" t="s">
        <v>23</v>
      </c>
      <c r="M5830" t="s">
        <v>14250</v>
      </c>
      <c r="N5830" t="s">
        <v>653</v>
      </c>
      <c r="O5830" t="s">
        <v>117</v>
      </c>
      <c r="P5830">
        <v>10024</v>
      </c>
      <c r="Q5830">
        <v>5141</v>
      </c>
      <c r="R5830" t="s">
        <v>23</v>
      </c>
      <c r="S5830" s="1" t="s">
        <v>34218</v>
      </c>
    </row>
    <row r="5831" spans="1:19" x14ac:dyDescent="0.25">
      <c r="A5831">
        <v>100690100</v>
      </c>
      <c r="B5831" t="s">
        <v>6058</v>
      </c>
      <c r="C5831" t="s">
        <v>49</v>
      </c>
      <c r="G5831" t="s">
        <v>14251</v>
      </c>
      <c r="H5831" t="s">
        <v>7068</v>
      </c>
      <c r="I5831" t="s">
        <v>446</v>
      </c>
      <c r="J5831">
        <v>28748</v>
      </c>
      <c r="K5831">
        <v>6386</v>
      </c>
      <c r="L5831" t="s">
        <v>23</v>
      </c>
      <c r="M5831" t="s">
        <v>14251</v>
      </c>
      <c r="N5831" t="s">
        <v>7068</v>
      </c>
      <c r="O5831" t="s">
        <v>446</v>
      </c>
      <c r="P5831">
        <v>28748</v>
      </c>
      <c r="Q5831">
        <v>6386</v>
      </c>
      <c r="R5831" t="s">
        <v>23</v>
      </c>
      <c r="S5831" s="1" t="s">
        <v>34218</v>
      </c>
    </row>
    <row r="5832" spans="1:19" x14ac:dyDescent="0.25">
      <c r="A5832">
        <v>100690015</v>
      </c>
      <c r="B5832" t="s">
        <v>3956</v>
      </c>
      <c r="C5832" t="s">
        <v>7170</v>
      </c>
      <c r="G5832" t="s">
        <v>14252</v>
      </c>
      <c r="H5832" t="s">
        <v>13851</v>
      </c>
      <c r="I5832" t="s">
        <v>38</v>
      </c>
      <c r="J5832">
        <v>75048</v>
      </c>
      <c r="K5832">
        <v>5597</v>
      </c>
      <c r="L5832" t="s">
        <v>23</v>
      </c>
      <c r="M5832" t="s">
        <v>14252</v>
      </c>
      <c r="N5832" t="s">
        <v>13851</v>
      </c>
      <c r="O5832" t="s">
        <v>38</v>
      </c>
      <c r="P5832">
        <v>75048</v>
      </c>
      <c r="Q5832">
        <v>5597</v>
      </c>
      <c r="R5832" t="s">
        <v>23</v>
      </c>
      <c r="S5832" s="1" t="s">
        <v>34218</v>
      </c>
    </row>
    <row r="5833" spans="1:19" x14ac:dyDescent="0.25">
      <c r="A5833">
        <v>100699728</v>
      </c>
      <c r="B5833" t="s">
        <v>14253</v>
      </c>
      <c r="C5833" t="s">
        <v>14254</v>
      </c>
      <c r="G5833" t="s">
        <v>14255</v>
      </c>
      <c r="H5833" t="s">
        <v>14256</v>
      </c>
      <c r="I5833" t="s">
        <v>135</v>
      </c>
      <c r="J5833">
        <v>61036</v>
      </c>
      <c r="K5833">
        <v>9265</v>
      </c>
      <c r="L5833" t="s">
        <v>23</v>
      </c>
      <c r="M5833" t="s">
        <v>14255</v>
      </c>
      <c r="N5833" t="s">
        <v>14256</v>
      </c>
      <c r="O5833" t="s">
        <v>135</v>
      </c>
      <c r="P5833">
        <v>61036</v>
      </c>
      <c r="Q5833">
        <v>9265</v>
      </c>
      <c r="R5833" t="s">
        <v>23</v>
      </c>
      <c r="S5833" s="1" t="s">
        <v>34218</v>
      </c>
    </row>
    <row r="5834" spans="1:19" x14ac:dyDescent="0.25">
      <c r="A5834">
        <v>100699433</v>
      </c>
      <c r="B5834" t="s">
        <v>14257</v>
      </c>
      <c r="C5834" t="s">
        <v>14258</v>
      </c>
      <c r="G5834" t="s">
        <v>14259</v>
      </c>
      <c r="H5834" t="s">
        <v>682</v>
      </c>
      <c r="I5834" t="s">
        <v>365</v>
      </c>
      <c r="J5834">
        <v>85007</v>
      </c>
      <c r="K5834">
        <v>1409</v>
      </c>
      <c r="L5834" t="s">
        <v>23</v>
      </c>
      <c r="M5834" t="s">
        <v>14259</v>
      </c>
      <c r="N5834" t="s">
        <v>682</v>
      </c>
      <c r="O5834" t="s">
        <v>365</v>
      </c>
      <c r="P5834">
        <v>85007</v>
      </c>
      <c r="Q5834">
        <v>1409</v>
      </c>
      <c r="R5834" t="s">
        <v>23</v>
      </c>
      <c r="S5834" s="1" t="s">
        <v>34218</v>
      </c>
    </row>
    <row r="5835" spans="1:19" x14ac:dyDescent="0.25">
      <c r="A5835">
        <v>100707634</v>
      </c>
      <c r="B5835" t="s">
        <v>14260</v>
      </c>
      <c r="C5835" t="s">
        <v>10802</v>
      </c>
      <c r="G5835" t="s">
        <v>14261</v>
      </c>
      <c r="H5835" t="s">
        <v>412</v>
      </c>
      <c r="I5835" t="s">
        <v>117</v>
      </c>
      <c r="J5835">
        <v>11201</v>
      </c>
      <c r="K5835">
        <v>2154</v>
      </c>
      <c r="L5835" t="s">
        <v>23</v>
      </c>
      <c r="M5835" t="s">
        <v>14261</v>
      </c>
      <c r="N5835" t="s">
        <v>412</v>
      </c>
      <c r="O5835" t="s">
        <v>117</v>
      </c>
      <c r="P5835">
        <v>11201</v>
      </c>
      <c r="Q5835">
        <v>2154</v>
      </c>
      <c r="R5835" t="s">
        <v>23</v>
      </c>
      <c r="S5835" s="1" t="s">
        <v>34218</v>
      </c>
    </row>
    <row r="5836" spans="1:19" x14ac:dyDescent="0.25">
      <c r="A5836">
        <v>100706125</v>
      </c>
      <c r="B5836" t="s">
        <v>6247</v>
      </c>
      <c r="C5836" t="s">
        <v>14262</v>
      </c>
      <c r="G5836" t="s">
        <v>14263</v>
      </c>
      <c r="H5836" t="s">
        <v>4326</v>
      </c>
      <c r="I5836" t="s">
        <v>71</v>
      </c>
      <c r="J5836">
        <v>80228</v>
      </c>
      <c r="K5836">
        <v>5700</v>
      </c>
      <c r="L5836" t="s">
        <v>23</v>
      </c>
      <c r="M5836" t="s">
        <v>14263</v>
      </c>
      <c r="N5836" t="s">
        <v>4326</v>
      </c>
      <c r="O5836" t="s">
        <v>71</v>
      </c>
      <c r="P5836">
        <v>80228</v>
      </c>
      <c r="Q5836">
        <v>5700</v>
      </c>
      <c r="R5836" t="s">
        <v>23</v>
      </c>
      <c r="S5836" s="1" t="s">
        <v>34218</v>
      </c>
    </row>
    <row r="5837" spans="1:19" x14ac:dyDescent="0.25">
      <c r="A5837">
        <v>100900521</v>
      </c>
      <c r="B5837" t="s">
        <v>3356</v>
      </c>
      <c r="C5837" t="s">
        <v>49</v>
      </c>
      <c r="F5837" t="str">
        <f>"5866049154"</f>
        <v>5866049154</v>
      </c>
      <c r="G5837" t="s">
        <v>14264</v>
      </c>
      <c r="H5837" t="s">
        <v>2132</v>
      </c>
      <c r="I5837" t="s">
        <v>140</v>
      </c>
      <c r="J5837">
        <v>48091</v>
      </c>
      <c r="K5837">
        <v>2138</v>
      </c>
      <c r="L5837" t="s">
        <v>23</v>
      </c>
      <c r="M5837" t="s">
        <v>14264</v>
      </c>
      <c r="N5837" t="s">
        <v>2132</v>
      </c>
      <c r="O5837" t="s">
        <v>140</v>
      </c>
      <c r="P5837">
        <v>48091</v>
      </c>
      <c r="Q5837">
        <v>2138</v>
      </c>
      <c r="R5837" t="s">
        <v>23</v>
      </c>
      <c r="S5837" s="1" t="s">
        <v>34218</v>
      </c>
    </row>
    <row r="5838" spans="1:19" x14ac:dyDescent="0.25">
      <c r="A5838">
        <v>100896971</v>
      </c>
      <c r="B5838" t="s">
        <v>14265</v>
      </c>
      <c r="C5838" t="s">
        <v>3909</v>
      </c>
      <c r="G5838" t="s">
        <v>14266</v>
      </c>
      <c r="H5838" t="s">
        <v>14267</v>
      </c>
      <c r="I5838" t="s">
        <v>84</v>
      </c>
      <c r="J5838">
        <v>99337</v>
      </c>
      <c r="K5838">
        <v>3927</v>
      </c>
      <c r="L5838" t="s">
        <v>23</v>
      </c>
      <c r="M5838" t="s">
        <v>14266</v>
      </c>
      <c r="N5838" t="s">
        <v>14267</v>
      </c>
      <c r="O5838" t="s">
        <v>84</v>
      </c>
      <c r="P5838">
        <v>99337</v>
      </c>
      <c r="Q5838">
        <v>3927</v>
      </c>
      <c r="R5838" t="s">
        <v>23</v>
      </c>
      <c r="S5838" s="1" t="s">
        <v>34218</v>
      </c>
    </row>
    <row r="5839" spans="1:19" x14ac:dyDescent="0.25">
      <c r="A5839">
        <v>100895788</v>
      </c>
      <c r="B5839" t="s">
        <v>14268</v>
      </c>
      <c r="C5839" t="s">
        <v>699</v>
      </c>
      <c r="G5839" t="s">
        <v>14269</v>
      </c>
      <c r="H5839" t="s">
        <v>12386</v>
      </c>
      <c r="I5839" t="s">
        <v>22</v>
      </c>
      <c r="J5839">
        <v>95670</v>
      </c>
      <c r="K5839">
        <v>8115</v>
      </c>
      <c r="L5839" t="s">
        <v>23</v>
      </c>
      <c r="M5839" t="s">
        <v>14269</v>
      </c>
      <c r="N5839" t="s">
        <v>12386</v>
      </c>
      <c r="O5839" t="s">
        <v>22</v>
      </c>
      <c r="P5839">
        <v>95670</v>
      </c>
      <c r="Q5839">
        <v>8115</v>
      </c>
      <c r="R5839" t="s">
        <v>23</v>
      </c>
      <c r="S5839" s="1" t="s">
        <v>34218</v>
      </c>
    </row>
    <row r="5840" spans="1:19" x14ac:dyDescent="0.25">
      <c r="A5840">
        <v>100908635</v>
      </c>
      <c r="B5840" t="s">
        <v>1089</v>
      </c>
      <c r="C5840" t="s">
        <v>14270</v>
      </c>
      <c r="G5840" t="s">
        <v>14271</v>
      </c>
      <c r="H5840" t="s">
        <v>638</v>
      </c>
      <c r="I5840" t="s">
        <v>639</v>
      </c>
      <c r="J5840">
        <v>87110</v>
      </c>
      <c r="K5840">
        <v>5047</v>
      </c>
      <c r="L5840" t="s">
        <v>23</v>
      </c>
      <c r="M5840" t="s">
        <v>14271</v>
      </c>
      <c r="N5840" t="s">
        <v>638</v>
      </c>
      <c r="O5840" t="s">
        <v>639</v>
      </c>
      <c r="P5840">
        <v>87110</v>
      </c>
      <c r="Q5840">
        <v>5047</v>
      </c>
      <c r="R5840" t="s">
        <v>23</v>
      </c>
      <c r="S5840" s="1" t="s">
        <v>34218</v>
      </c>
    </row>
    <row r="5841" spans="1:19" x14ac:dyDescent="0.25">
      <c r="A5841">
        <v>101099843</v>
      </c>
      <c r="B5841" t="s">
        <v>14272</v>
      </c>
      <c r="C5841" t="s">
        <v>1027</v>
      </c>
      <c r="G5841" t="s">
        <v>14273</v>
      </c>
      <c r="H5841" t="s">
        <v>885</v>
      </c>
      <c r="I5841" t="s">
        <v>22</v>
      </c>
      <c r="J5841">
        <v>91790</v>
      </c>
      <c r="K5841">
        <v>1802</v>
      </c>
      <c r="L5841" t="s">
        <v>23</v>
      </c>
      <c r="M5841" t="s">
        <v>14273</v>
      </c>
      <c r="N5841" t="s">
        <v>885</v>
      </c>
      <c r="O5841" t="s">
        <v>22</v>
      </c>
      <c r="P5841">
        <v>91790</v>
      </c>
      <c r="Q5841">
        <v>1802</v>
      </c>
      <c r="R5841" t="s">
        <v>23</v>
      </c>
      <c r="S5841" s="1" t="s">
        <v>34218</v>
      </c>
    </row>
    <row r="5842" spans="1:19" x14ac:dyDescent="0.25">
      <c r="A5842">
        <v>101103802</v>
      </c>
      <c r="B5842" t="s">
        <v>141</v>
      </c>
      <c r="C5842" t="s">
        <v>12434</v>
      </c>
      <c r="G5842" t="s">
        <v>14274</v>
      </c>
      <c r="H5842" t="s">
        <v>14275</v>
      </c>
      <c r="I5842" t="s">
        <v>52</v>
      </c>
      <c r="J5842">
        <v>33569</v>
      </c>
      <c r="K5842">
        <v>6528</v>
      </c>
      <c r="L5842" t="s">
        <v>23</v>
      </c>
      <c r="M5842" t="s">
        <v>14274</v>
      </c>
      <c r="N5842" t="s">
        <v>14275</v>
      </c>
      <c r="O5842" t="s">
        <v>52</v>
      </c>
      <c r="P5842">
        <v>33569</v>
      </c>
      <c r="Q5842">
        <v>6528</v>
      </c>
      <c r="R5842" t="s">
        <v>23</v>
      </c>
      <c r="S5842" s="1" t="s">
        <v>34218</v>
      </c>
    </row>
    <row r="5843" spans="1:19" x14ac:dyDescent="0.25">
      <c r="A5843">
        <v>101103947</v>
      </c>
      <c r="B5843" t="s">
        <v>14276</v>
      </c>
      <c r="C5843" t="s">
        <v>90</v>
      </c>
      <c r="G5843" t="s">
        <v>14277</v>
      </c>
      <c r="H5843" t="s">
        <v>12564</v>
      </c>
      <c r="I5843" t="s">
        <v>446</v>
      </c>
      <c r="J5843">
        <v>27408</v>
      </c>
      <c r="K5843">
        <v>6311</v>
      </c>
      <c r="L5843" t="s">
        <v>23</v>
      </c>
      <c r="M5843" t="s">
        <v>14277</v>
      </c>
      <c r="N5843" t="s">
        <v>12564</v>
      </c>
      <c r="O5843" t="s">
        <v>446</v>
      </c>
      <c r="P5843">
        <v>27408</v>
      </c>
      <c r="Q5843">
        <v>6311</v>
      </c>
      <c r="R5843" t="s">
        <v>23</v>
      </c>
      <c r="S5843" s="1" t="s">
        <v>34218</v>
      </c>
    </row>
    <row r="5844" spans="1:19" x14ac:dyDescent="0.25">
      <c r="A5844">
        <v>101104313</v>
      </c>
      <c r="B5844" t="s">
        <v>2586</v>
      </c>
      <c r="C5844" t="s">
        <v>2159</v>
      </c>
      <c r="F5844" t="str">
        <f>"2156461322"</f>
        <v>2156461322</v>
      </c>
      <c r="G5844" t="s">
        <v>14278</v>
      </c>
      <c r="H5844" t="s">
        <v>14279</v>
      </c>
      <c r="I5844" t="s">
        <v>33</v>
      </c>
      <c r="J5844">
        <v>19034</v>
      </c>
      <c r="K5844">
        <v>1234</v>
      </c>
      <c r="L5844" t="s">
        <v>23</v>
      </c>
      <c r="M5844" t="s">
        <v>14278</v>
      </c>
      <c r="N5844" t="s">
        <v>14279</v>
      </c>
      <c r="O5844" t="s">
        <v>33</v>
      </c>
      <c r="P5844">
        <v>19034</v>
      </c>
      <c r="Q5844">
        <v>1234</v>
      </c>
      <c r="R5844" t="s">
        <v>23</v>
      </c>
      <c r="S5844" s="1" t="s">
        <v>34218</v>
      </c>
    </row>
    <row r="5845" spans="1:19" x14ac:dyDescent="0.25">
      <c r="A5845">
        <v>101105849</v>
      </c>
      <c r="B5845" t="s">
        <v>9405</v>
      </c>
      <c r="C5845" t="s">
        <v>14280</v>
      </c>
      <c r="G5845" t="s">
        <v>14281</v>
      </c>
      <c r="H5845" t="s">
        <v>638</v>
      </c>
      <c r="I5845" t="s">
        <v>639</v>
      </c>
      <c r="J5845">
        <v>87108</v>
      </c>
      <c r="K5845">
        <v>3560</v>
      </c>
      <c r="L5845" t="s">
        <v>23</v>
      </c>
      <c r="M5845" t="s">
        <v>14281</v>
      </c>
      <c r="N5845" t="s">
        <v>638</v>
      </c>
      <c r="O5845" t="s">
        <v>639</v>
      </c>
      <c r="P5845">
        <v>87108</v>
      </c>
      <c r="Q5845">
        <v>3560</v>
      </c>
      <c r="R5845" t="s">
        <v>23</v>
      </c>
      <c r="S5845" s="1" t="s">
        <v>34218</v>
      </c>
    </row>
    <row r="5846" spans="1:19" x14ac:dyDescent="0.25">
      <c r="A5846">
        <v>101107722</v>
      </c>
      <c r="B5846" t="s">
        <v>141</v>
      </c>
      <c r="C5846" t="s">
        <v>305</v>
      </c>
      <c r="G5846" t="s">
        <v>14282</v>
      </c>
      <c r="H5846" t="s">
        <v>14283</v>
      </c>
      <c r="I5846" t="s">
        <v>255</v>
      </c>
      <c r="J5846">
        <v>22938</v>
      </c>
      <c r="K5846">
        <v>2321</v>
      </c>
      <c r="L5846" t="s">
        <v>23</v>
      </c>
      <c r="M5846" t="s">
        <v>14282</v>
      </c>
      <c r="N5846" t="s">
        <v>14283</v>
      </c>
      <c r="O5846" t="s">
        <v>255</v>
      </c>
      <c r="P5846">
        <v>22938</v>
      </c>
      <c r="Q5846">
        <v>2321</v>
      </c>
      <c r="R5846" t="s">
        <v>23</v>
      </c>
      <c r="S5846" s="1" t="s">
        <v>34218</v>
      </c>
    </row>
    <row r="5847" spans="1:19" x14ac:dyDescent="0.25">
      <c r="A5847">
        <v>100553778</v>
      </c>
      <c r="B5847" t="s">
        <v>14284</v>
      </c>
      <c r="C5847" t="s">
        <v>1374</v>
      </c>
      <c r="G5847" t="s">
        <v>14285</v>
      </c>
      <c r="H5847" t="s">
        <v>14286</v>
      </c>
      <c r="I5847" t="s">
        <v>135</v>
      </c>
      <c r="J5847">
        <v>61114</v>
      </c>
      <c r="K5847">
        <v>8160</v>
      </c>
      <c r="L5847" t="s">
        <v>23</v>
      </c>
      <c r="M5847" t="s">
        <v>14285</v>
      </c>
      <c r="N5847" t="s">
        <v>14286</v>
      </c>
      <c r="O5847" t="s">
        <v>135</v>
      </c>
      <c r="P5847">
        <v>61114</v>
      </c>
      <c r="Q5847">
        <v>8160</v>
      </c>
      <c r="R5847" t="s">
        <v>23</v>
      </c>
      <c r="S5847" s="1" t="s">
        <v>34218</v>
      </c>
    </row>
    <row r="5848" spans="1:19" x14ac:dyDescent="0.25">
      <c r="A5848">
        <v>100552878</v>
      </c>
      <c r="B5848" t="s">
        <v>2251</v>
      </c>
      <c r="C5848" t="s">
        <v>585</v>
      </c>
      <c r="G5848" t="s">
        <v>14287</v>
      </c>
      <c r="H5848" t="s">
        <v>1390</v>
      </c>
      <c r="I5848" t="s">
        <v>140</v>
      </c>
      <c r="J5848">
        <v>48111</v>
      </c>
      <c r="K5848">
        <v>9234</v>
      </c>
      <c r="L5848" t="s">
        <v>23</v>
      </c>
      <c r="M5848" t="s">
        <v>14287</v>
      </c>
      <c r="N5848" t="s">
        <v>1390</v>
      </c>
      <c r="O5848" t="s">
        <v>140</v>
      </c>
      <c r="P5848">
        <v>48111</v>
      </c>
      <c r="Q5848">
        <v>9234</v>
      </c>
      <c r="R5848" t="s">
        <v>23</v>
      </c>
      <c r="S5848" s="1" t="s">
        <v>34218</v>
      </c>
    </row>
    <row r="5849" spans="1:19" x14ac:dyDescent="0.25">
      <c r="A5849">
        <v>100555915</v>
      </c>
      <c r="B5849" t="s">
        <v>14288</v>
      </c>
      <c r="C5849" t="s">
        <v>1992</v>
      </c>
      <c r="G5849" t="s">
        <v>14289</v>
      </c>
      <c r="H5849" t="s">
        <v>682</v>
      </c>
      <c r="I5849" t="s">
        <v>365</v>
      </c>
      <c r="J5849">
        <v>85018</v>
      </c>
      <c r="K5849">
        <v>2310</v>
      </c>
      <c r="L5849" t="s">
        <v>23</v>
      </c>
      <c r="M5849" t="s">
        <v>14289</v>
      </c>
      <c r="N5849" t="s">
        <v>682</v>
      </c>
      <c r="O5849" t="s">
        <v>365</v>
      </c>
      <c r="P5849">
        <v>85018</v>
      </c>
      <c r="Q5849">
        <v>2310</v>
      </c>
      <c r="R5849" t="s">
        <v>23</v>
      </c>
      <c r="S5849" s="1" t="s">
        <v>34218</v>
      </c>
    </row>
    <row r="5850" spans="1:19" x14ac:dyDescent="0.25">
      <c r="A5850">
        <v>100564681</v>
      </c>
      <c r="B5850" t="s">
        <v>14290</v>
      </c>
      <c r="C5850" t="s">
        <v>579</v>
      </c>
      <c r="F5850" t="str">
        <f>"6267920576"</f>
        <v>6267920576</v>
      </c>
      <c r="G5850" t="s">
        <v>14291</v>
      </c>
      <c r="H5850" t="s">
        <v>147</v>
      </c>
      <c r="I5850" t="s">
        <v>22</v>
      </c>
      <c r="J5850">
        <v>91107</v>
      </c>
      <c r="K5850">
        <v>2349</v>
      </c>
      <c r="L5850" t="s">
        <v>23</v>
      </c>
      <c r="M5850" t="s">
        <v>14291</v>
      </c>
      <c r="N5850" t="s">
        <v>147</v>
      </c>
      <c r="O5850" t="s">
        <v>22</v>
      </c>
      <c r="P5850">
        <v>91107</v>
      </c>
      <c r="Q5850">
        <v>2349</v>
      </c>
      <c r="R5850" t="s">
        <v>23</v>
      </c>
      <c r="S5850" s="1" t="s">
        <v>34218</v>
      </c>
    </row>
    <row r="5851" spans="1:19" x14ac:dyDescent="0.25">
      <c r="A5851">
        <v>100567445</v>
      </c>
      <c r="B5851" t="s">
        <v>14292</v>
      </c>
      <c r="C5851" t="s">
        <v>11143</v>
      </c>
      <c r="G5851" t="s">
        <v>14293</v>
      </c>
      <c r="H5851" t="s">
        <v>1579</v>
      </c>
      <c r="I5851" t="s">
        <v>71</v>
      </c>
      <c r="J5851">
        <v>80011</v>
      </c>
      <c r="K5851">
        <v>6943</v>
      </c>
      <c r="L5851" t="s">
        <v>23</v>
      </c>
      <c r="M5851" t="s">
        <v>14293</v>
      </c>
      <c r="N5851" t="s">
        <v>1579</v>
      </c>
      <c r="O5851" t="s">
        <v>71</v>
      </c>
      <c r="P5851">
        <v>80011</v>
      </c>
      <c r="Q5851">
        <v>6943</v>
      </c>
      <c r="R5851" t="s">
        <v>23</v>
      </c>
      <c r="S5851" s="1" t="s">
        <v>34218</v>
      </c>
    </row>
    <row r="5852" spans="1:19" x14ac:dyDescent="0.25">
      <c r="A5852">
        <v>100567425</v>
      </c>
      <c r="B5852" t="s">
        <v>14294</v>
      </c>
      <c r="C5852" t="s">
        <v>313</v>
      </c>
      <c r="G5852" t="s">
        <v>14295</v>
      </c>
      <c r="H5852" t="s">
        <v>12127</v>
      </c>
      <c r="I5852" t="s">
        <v>52</v>
      </c>
      <c r="J5852">
        <v>34685</v>
      </c>
      <c r="K5852">
        <v>3313</v>
      </c>
      <c r="L5852" t="s">
        <v>23</v>
      </c>
      <c r="M5852" t="s">
        <v>14295</v>
      </c>
      <c r="N5852" t="s">
        <v>12127</v>
      </c>
      <c r="O5852" t="s">
        <v>52</v>
      </c>
      <c r="P5852">
        <v>34685</v>
      </c>
      <c r="Q5852">
        <v>3313</v>
      </c>
      <c r="R5852" t="s">
        <v>23</v>
      </c>
      <c r="S5852" s="1" t="s">
        <v>34218</v>
      </c>
    </row>
    <row r="5853" spans="1:19" x14ac:dyDescent="0.25">
      <c r="A5853">
        <v>100570699</v>
      </c>
      <c r="B5853" t="s">
        <v>14296</v>
      </c>
      <c r="C5853" t="s">
        <v>1533</v>
      </c>
      <c r="G5853" t="s">
        <v>14297</v>
      </c>
      <c r="H5853" t="s">
        <v>14298</v>
      </c>
      <c r="I5853" t="s">
        <v>178</v>
      </c>
      <c r="J5853">
        <v>43068</v>
      </c>
      <c r="K5853">
        <v>4318</v>
      </c>
      <c r="L5853" t="s">
        <v>23</v>
      </c>
      <c r="M5853" t="s">
        <v>14297</v>
      </c>
      <c r="N5853" t="s">
        <v>14298</v>
      </c>
      <c r="O5853" t="s">
        <v>178</v>
      </c>
      <c r="P5853">
        <v>43068</v>
      </c>
      <c r="Q5853">
        <v>4318</v>
      </c>
      <c r="R5853" t="s">
        <v>23</v>
      </c>
      <c r="S5853" s="1" t="s">
        <v>34218</v>
      </c>
    </row>
    <row r="5854" spans="1:19" x14ac:dyDescent="0.25">
      <c r="A5854">
        <v>100568132</v>
      </c>
      <c r="B5854" t="s">
        <v>14299</v>
      </c>
      <c r="C5854" t="s">
        <v>282</v>
      </c>
      <c r="G5854" t="s">
        <v>14300</v>
      </c>
      <c r="H5854" t="s">
        <v>14301</v>
      </c>
      <c r="I5854" t="s">
        <v>178</v>
      </c>
      <c r="J5854">
        <v>44221</v>
      </c>
      <c r="K5854">
        <v>5357</v>
      </c>
      <c r="L5854" t="s">
        <v>23</v>
      </c>
      <c r="M5854" t="s">
        <v>14300</v>
      </c>
      <c r="N5854" t="s">
        <v>14301</v>
      </c>
      <c r="O5854" t="s">
        <v>178</v>
      </c>
      <c r="P5854">
        <v>44221</v>
      </c>
      <c r="Q5854">
        <v>5357</v>
      </c>
      <c r="R5854" t="s">
        <v>23</v>
      </c>
      <c r="S5854" s="1" t="s">
        <v>34218</v>
      </c>
    </row>
    <row r="5855" spans="1:19" x14ac:dyDescent="0.25">
      <c r="A5855">
        <v>100570109</v>
      </c>
      <c r="B5855" t="s">
        <v>14302</v>
      </c>
      <c r="C5855" t="s">
        <v>90</v>
      </c>
      <c r="G5855" t="s">
        <v>14303</v>
      </c>
      <c r="H5855" t="s">
        <v>638</v>
      </c>
      <c r="I5855" t="s">
        <v>639</v>
      </c>
      <c r="J5855">
        <v>87123</v>
      </c>
      <c r="K5855">
        <v>3926</v>
      </c>
      <c r="L5855" t="s">
        <v>23</v>
      </c>
      <c r="M5855" t="s">
        <v>14303</v>
      </c>
      <c r="N5855" t="s">
        <v>638</v>
      </c>
      <c r="O5855" t="s">
        <v>639</v>
      </c>
      <c r="P5855">
        <v>87123</v>
      </c>
      <c r="Q5855">
        <v>3926</v>
      </c>
      <c r="R5855" t="s">
        <v>23</v>
      </c>
      <c r="S5855" s="1" t="s">
        <v>34218</v>
      </c>
    </row>
    <row r="5856" spans="1:19" x14ac:dyDescent="0.25">
      <c r="A5856">
        <v>100575852</v>
      </c>
      <c r="B5856" t="s">
        <v>14304</v>
      </c>
      <c r="C5856" t="s">
        <v>8957</v>
      </c>
      <c r="G5856" t="s">
        <v>14305</v>
      </c>
      <c r="H5856" t="s">
        <v>14306</v>
      </c>
      <c r="I5856" t="s">
        <v>100</v>
      </c>
      <c r="J5856">
        <v>54114</v>
      </c>
      <c r="K5856">
        <v>1629</v>
      </c>
      <c r="L5856" t="s">
        <v>23</v>
      </c>
      <c r="M5856" t="s">
        <v>14305</v>
      </c>
      <c r="N5856" t="s">
        <v>14306</v>
      </c>
      <c r="O5856" t="s">
        <v>100</v>
      </c>
      <c r="P5856">
        <v>54114</v>
      </c>
      <c r="Q5856">
        <v>1629</v>
      </c>
      <c r="R5856" t="s">
        <v>23</v>
      </c>
      <c r="S5856" s="1" t="s">
        <v>34218</v>
      </c>
    </row>
    <row r="5857" spans="1:19" x14ac:dyDescent="0.25">
      <c r="A5857">
        <v>100758684</v>
      </c>
      <c r="B5857" t="s">
        <v>14307</v>
      </c>
      <c r="C5857" t="s">
        <v>1737</v>
      </c>
      <c r="G5857" t="s">
        <v>14308</v>
      </c>
      <c r="H5857" t="s">
        <v>14309</v>
      </c>
      <c r="I5857" t="s">
        <v>2537</v>
      </c>
      <c r="J5857">
        <v>72736</v>
      </c>
      <c r="K5857">
        <v>9645</v>
      </c>
      <c r="L5857" t="s">
        <v>23</v>
      </c>
      <c r="M5857" t="s">
        <v>14308</v>
      </c>
      <c r="N5857" t="s">
        <v>14309</v>
      </c>
      <c r="O5857" t="s">
        <v>2537</v>
      </c>
      <c r="P5857">
        <v>72736</v>
      </c>
      <c r="Q5857">
        <v>9645</v>
      </c>
      <c r="R5857" t="s">
        <v>23</v>
      </c>
      <c r="S5857" s="1" t="s">
        <v>34218</v>
      </c>
    </row>
    <row r="5858" spans="1:19" x14ac:dyDescent="0.25">
      <c r="A5858">
        <v>100760664</v>
      </c>
      <c r="B5858" t="s">
        <v>2656</v>
      </c>
      <c r="C5858" t="s">
        <v>90</v>
      </c>
      <c r="G5858" t="s">
        <v>14310</v>
      </c>
      <c r="H5858" t="s">
        <v>1531</v>
      </c>
      <c r="I5858" t="s">
        <v>84</v>
      </c>
      <c r="J5858">
        <v>98144</v>
      </c>
      <c r="K5858">
        <v>5201</v>
      </c>
      <c r="L5858" t="s">
        <v>23</v>
      </c>
      <c r="M5858" t="s">
        <v>14310</v>
      </c>
      <c r="N5858" t="s">
        <v>1531</v>
      </c>
      <c r="O5858" t="s">
        <v>84</v>
      </c>
      <c r="P5858">
        <v>98144</v>
      </c>
      <c r="Q5858">
        <v>5201</v>
      </c>
      <c r="R5858" t="s">
        <v>23</v>
      </c>
      <c r="S5858" s="1" t="s">
        <v>34218</v>
      </c>
    </row>
    <row r="5859" spans="1:19" x14ac:dyDescent="0.25">
      <c r="A5859">
        <v>100761890</v>
      </c>
      <c r="B5859" t="s">
        <v>14311</v>
      </c>
      <c r="C5859" t="s">
        <v>1542</v>
      </c>
      <c r="G5859" t="s">
        <v>14312</v>
      </c>
      <c r="H5859" t="s">
        <v>1614</v>
      </c>
      <c r="I5859" t="s">
        <v>22</v>
      </c>
      <c r="J5859">
        <v>92057</v>
      </c>
      <c r="K5859">
        <v>2621</v>
      </c>
      <c r="L5859" t="s">
        <v>23</v>
      </c>
      <c r="M5859" t="s">
        <v>14312</v>
      </c>
      <c r="N5859" t="s">
        <v>1614</v>
      </c>
      <c r="O5859" t="s">
        <v>22</v>
      </c>
      <c r="P5859">
        <v>92057</v>
      </c>
      <c r="Q5859">
        <v>2621</v>
      </c>
      <c r="R5859" t="s">
        <v>23</v>
      </c>
      <c r="S5859" s="1" t="s">
        <v>34218</v>
      </c>
    </row>
    <row r="5860" spans="1:19" x14ac:dyDescent="0.25">
      <c r="A5860">
        <v>100762916</v>
      </c>
      <c r="B5860" t="s">
        <v>14313</v>
      </c>
      <c r="C5860" t="s">
        <v>3460</v>
      </c>
      <c r="G5860" t="s">
        <v>14314</v>
      </c>
      <c r="H5860" t="s">
        <v>5592</v>
      </c>
      <c r="I5860" t="s">
        <v>57</v>
      </c>
      <c r="J5860">
        <v>46530</v>
      </c>
      <c r="K5860">
        <v>9274</v>
      </c>
      <c r="L5860" t="s">
        <v>23</v>
      </c>
      <c r="M5860" t="s">
        <v>14314</v>
      </c>
      <c r="N5860" t="s">
        <v>5592</v>
      </c>
      <c r="O5860" t="s">
        <v>57</v>
      </c>
      <c r="P5860">
        <v>46530</v>
      </c>
      <c r="Q5860">
        <v>9274</v>
      </c>
      <c r="R5860" t="s">
        <v>23</v>
      </c>
      <c r="S5860" s="1" t="s">
        <v>34218</v>
      </c>
    </row>
    <row r="5861" spans="1:19" x14ac:dyDescent="0.25">
      <c r="A5861">
        <v>100770819</v>
      </c>
      <c r="B5861" t="s">
        <v>3109</v>
      </c>
      <c r="C5861" t="s">
        <v>9288</v>
      </c>
      <c r="G5861" t="s">
        <v>14315</v>
      </c>
      <c r="H5861" t="s">
        <v>14316</v>
      </c>
      <c r="I5861" t="s">
        <v>191</v>
      </c>
      <c r="J5861">
        <v>4901</v>
      </c>
      <c r="K5861">
        <v>5441</v>
      </c>
      <c r="L5861" t="s">
        <v>23</v>
      </c>
      <c r="M5861" t="s">
        <v>14315</v>
      </c>
      <c r="N5861" t="s">
        <v>14316</v>
      </c>
      <c r="O5861" t="s">
        <v>191</v>
      </c>
      <c r="P5861">
        <v>4901</v>
      </c>
      <c r="Q5861">
        <v>5441</v>
      </c>
      <c r="R5861" t="s">
        <v>23</v>
      </c>
      <c r="S5861" s="1" t="s">
        <v>34218</v>
      </c>
    </row>
    <row r="5862" spans="1:19" x14ac:dyDescent="0.25">
      <c r="A5862">
        <v>100774021</v>
      </c>
      <c r="B5862" t="s">
        <v>14317</v>
      </c>
      <c r="C5862" t="s">
        <v>1157</v>
      </c>
      <c r="G5862" t="s">
        <v>14318</v>
      </c>
      <c r="H5862" t="s">
        <v>5975</v>
      </c>
      <c r="I5862" t="s">
        <v>255</v>
      </c>
      <c r="J5862">
        <v>23116</v>
      </c>
      <c r="K5862">
        <v>3033</v>
      </c>
      <c r="L5862" t="s">
        <v>23</v>
      </c>
      <c r="M5862" t="s">
        <v>14318</v>
      </c>
      <c r="N5862" t="s">
        <v>5975</v>
      </c>
      <c r="O5862" t="s">
        <v>255</v>
      </c>
      <c r="P5862">
        <v>23116</v>
      </c>
      <c r="Q5862">
        <v>3033</v>
      </c>
      <c r="R5862" t="s">
        <v>23</v>
      </c>
      <c r="S5862" s="1" t="s">
        <v>34218</v>
      </c>
    </row>
    <row r="5863" spans="1:19" x14ac:dyDescent="0.25">
      <c r="A5863">
        <v>100771350</v>
      </c>
      <c r="B5863" t="s">
        <v>14319</v>
      </c>
      <c r="C5863" t="s">
        <v>466</v>
      </c>
      <c r="G5863" t="s">
        <v>14320</v>
      </c>
      <c r="H5863" t="s">
        <v>14321</v>
      </c>
      <c r="I5863" t="s">
        <v>236</v>
      </c>
      <c r="J5863">
        <v>2466</v>
      </c>
      <c r="K5863">
        <v>1211</v>
      </c>
      <c r="L5863" t="s">
        <v>23</v>
      </c>
      <c r="M5863" t="s">
        <v>14320</v>
      </c>
      <c r="N5863" t="s">
        <v>14321</v>
      </c>
      <c r="O5863" t="s">
        <v>236</v>
      </c>
      <c r="P5863">
        <v>2466</v>
      </c>
      <c r="Q5863">
        <v>1211</v>
      </c>
      <c r="R5863" t="s">
        <v>23</v>
      </c>
      <c r="S5863" s="1" t="s">
        <v>34218</v>
      </c>
    </row>
    <row r="5864" spans="1:19" x14ac:dyDescent="0.25">
      <c r="A5864">
        <v>100771117</v>
      </c>
      <c r="B5864" t="s">
        <v>14322</v>
      </c>
      <c r="C5864" t="s">
        <v>14323</v>
      </c>
      <c r="G5864" t="s">
        <v>14324</v>
      </c>
      <c r="H5864" t="s">
        <v>4127</v>
      </c>
      <c r="I5864" t="s">
        <v>43</v>
      </c>
      <c r="J5864">
        <v>97358</v>
      </c>
      <c r="K5864">
        <v>9565</v>
      </c>
      <c r="L5864" t="s">
        <v>23</v>
      </c>
      <c r="M5864" t="s">
        <v>14324</v>
      </c>
      <c r="N5864" t="s">
        <v>4127</v>
      </c>
      <c r="O5864" t="s">
        <v>43</v>
      </c>
      <c r="P5864">
        <v>97358</v>
      </c>
      <c r="Q5864">
        <v>9565</v>
      </c>
      <c r="R5864" t="s">
        <v>23</v>
      </c>
      <c r="S5864" s="1" t="s">
        <v>34218</v>
      </c>
    </row>
    <row r="5865" spans="1:19" x14ac:dyDescent="0.25">
      <c r="A5865">
        <v>100776524</v>
      </c>
      <c r="B5865" t="s">
        <v>1370</v>
      </c>
      <c r="C5865" t="s">
        <v>1959</v>
      </c>
      <c r="F5865" t="str">
        <f>"2563660649"</f>
        <v>2563660649</v>
      </c>
      <c r="G5865" t="s">
        <v>14325</v>
      </c>
      <c r="H5865" t="s">
        <v>2375</v>
      </c>
      <c r="I5865" t="s">
        <v>1387</v>
      </c>
      <c r="J5865">
        <v>35757</v>
      </c>
      <c r="K5865">
        <v>8428</v>
      </c>
      <c r="L5865" t="s">
        <v>23</v>
      </c>
      <c r="M5865" t="s">
        <v>14325</v>
      </c>
      <c r="N5865" t="s">
        <v>2375</v>
      </c>
      <c r="O5865" t="s">
        <v>1387</v>
      </c>
      <c r="P5865">
        <v>35757</v>
      </c>
      <c r="Q5865">
        <v>8428</v>
      </c>
      <c r="R5865" t="s">
        <v>23</v>
      </c>
      <c r="S5865" s="1" t="s">
        <v>34218</v>
      </c>
    </row>
    <row r="5866" spans="1:19" x14ac:dyDescent="0.25">
      <c r="A5866">
        <v>100776985</v>
      </c>
      <c r="B5866" t="s">
        <v>14326</v>
      </c>
      <c r="C5866" t="s">
        <v>699</v>
      </c>
      <c r="G5866" t="s">
        <v>14327</v>
      </c>
      <c r="H5866" t="s">
        <v>14328</v>
      </c>
      <c r="I5866" t="s">
        <v>191</v>
      </c>
      <c r="J5866">
        <v>4572</v>
      </c>
      <c r="K5866">
        <v>6026</v>
      </c>
      <c r="L5866" t="s">
        <v>23</v>
      </c>
      <c r="M5866" t="s">
        <v>14327</v>
      </c>
      <c r="N5866" t="s">
        <v>14328</v>
      </c>
      <c r="O5866" t="s">
        <v>191</v>
      </c>
      <c r="P5866">
        <v>4572</v>
      </c>
      <c r="Q5866">
        <v>6026</v>
      </c>
      <c r="R5866" t="s">
        <v>23</v>
      </c>
      <c r="S5866" s="1" t="s">
        <v>34218</v>
      </c>
    </row>
    <row r="5867" spans="1:19" x14ac:dyDescent="0.25">
      <c r="A5867">
        <v>100784204</v>
      </c>
      <c r="B5867" t="s">
        <v>3130</v>
      </c>
      <c r="C5867" t="s">
        <v>14329</v>
      </c>
      <c r="G5867" t="s">
        <v>14330</v>
      </c>
      <c r="H5867" t="s">
        <v>653</v>
      </c>
      <c r="I5867" t="s">
        <v>117</v>
      </c>
      <c r="J5867">
        <v>10036</v>
      </c>
      <c r="K5867">
        <v>1231</v>
      </c>
      <c r="L5867" t="s">
        <v>23</v>
      </c>
      <c r="M5867" t="s">
        <v>14330</v>
      </c>
      <c r="N5867" t="s">
        <v>653</v>
      </c>
      <c r="O5867" t="s">
        <v>117</v>
      </c>
      <c r="P5867">
        <v>10036</v>
      </c>
      <c r="Q5867">
        <v>1231</v>
      </c>
      <c r="R5867" t="s">
        <v>23</v>
      </c>
      <c r="S5867" s="1" t="s">
        <v>34218</v>
      </c>
    </row>
    <row r="5868" spans="1:19" x14ac:dyDescent="0.25">
      <c r="A5868">
        <v>100784774</v>
      </c>
      <c r="B5868" t="s">
        <v>14331</v>
      </c>
      <c r="C5868" t="s">
        <v>9862</v>
      </c>
      <c r="F5868" t="str">
        <f>"8327463545"</f>
        <v>8327463545</v>
      </c>
      <c r="G5868" t="s">
        <v>14332</v>
      </c>
      <c r="H5868" t="s">
        <v>1402</v>
      </c>
      <c r="I5868" t="s">
        <v>38</v>
      </c>
      <c r="J5868">
        <v>77095</v>
      </c>
      <c r="K5868">
        <v>4413</v>
      </c>
      <c r="L5868" t="s">
        <v>23</v>
      </c>
      <c r="M5868" t="s">
        <v>14332</v>
      </c>
      <c r="N5868" t="s">
        <v>1402</v>
      </c>
      <c r="O5868" t="s">
        <v>38</v>
      </c>
      <c r="P5868">
        <v>77095</v>
      </c>
      <c r="Q5868">
        <v>4413</v>
      </c>
      <c r="R5868" t="s">
        <v>23</v>
      </c>
      <c r="S5868" s="1" t="s">
        <v>34218</v>
      </c>
    </row>
    <row r="5869" spans="1:19" x14ac:dyDescent="0.25">
      <c r="A5869">
        <v>100783642</v>
      </c>
      <c r="B5869" t="s">
        <v>14333</v>
      </c>
      <c r="C5869" t="s">
        <v>6897</v>
      </c>
      <c r="G5869" t="s">
        <v>14334</v>
      </c>
      <c r="H5869" t="s">
        <v>14335</v>
      </c>
      <c r="I5869" t="s">
        <v>22</v>
      </c>
      <c r="J5869">
        <v>90240</v>
      </c>
      <c r="K5869">
        <v>2622</v>
      </c>
      <c r="L5869" t="s">
        <v>23</v>
      </c>
      <c r="M5869" t="s">
        <v>14334</v>
      </c>
      <c r="N5869" t="s">
        <v>14335</v>
      </c>
      <c r="O5869" t="s">
        <v>22</v>
      </c>
      <c r="P5869">
        <v>90240</v>
      </c>
      <c r="Q5869">
        <v>2622</v>
      </c>
      <c r="R5869" t="s">
        <v>23</v>
      </c>
      <c r="S5869" s="1" t="s">
        <v>34218</v>
      </c>
    </row>
    <row r="5870" spans="1:19" x14ac:dyDescent="0.25">
      <c r="A5870">
        <v>101304251</v>
      </c>
      <c r="B5870" t="s">
        <v>14336</v>
      </c>
      <c r="C5870" t="s">
        <v>14337</v>
      </c>
      <c r="G5870" t="s">
        <v>14338</v>
      </c>
      <c r="H5870" t="s">
        <v>14339</v>
      </c>
      <c r="I5870" t="s">
        <v>178</v>
      </c>
      <c r="J5870">
        <v>44087</v>
      </c>
      <c r="K5870">
        <v>1705</v>
      </c>
      <c r="L5870" t="s">
        <v>23</v>
      </c>
      <c r="M5870" t="s">
        <v>14338</v>
      </c>
      <c r="N5870" t="s">
        <v>14339</v>
      </c>
      <c r="O5870" t="s">
        <v>178</v>
      </c>
      <c r="P5870">
        <v>44087</v>
      </c>
      <c r="Q5870">
        <v>1705</v>
      </c>
      <c r="R5870" t="s">
        <v>23</v>
      </c>
      <c r="S5870" s="1" t="s">
        <v>34218</v>
      </c>
    </row>
    <row r="5871" spans="1:19" x14ac:dyDescent="0.25">
      <c r="A5871">
        <v>100606101</v>
      </c>
      <c r="B5871" t="s">
        <v>14340</v>
      </c>
      <c r="C5871" t="s">
        <v>14341</v>
      </c>
      <c r="G5871" t="s">
        <v>14342</v>
      </c>
      <c r="H5871" t="s">
        <v>1355</v>
      </c>
      <c r="I5871" t="s">
        <v>117</v>
      </c>
      <c r="J5871">
        <v>10950</v>
      </c>
      <c r="L5871" t="s">
        <v>23</v>
      </c>
      <c r="M5871" t="s">
        <v>14342</v>
      </c>
      <c r="N5871" t="s">
        <v>1355</v>
      </c>
      <c r="O5871" t="s">
        <v>117</v>
      </c>
      <c r="P5871">
        <v>10950</v>
      </c>
      <c r="R5871" t="s">
        <v>23</v>
      </c>
      <c r="S5871" s="1" t="s">
        <v>34218</v>
      </c>
    </row>
    <row r="5872" spans="1:19" x14ac:dyDescent="0.25">
      <c r="A5872">
        <v>101480847</v>
      </c>
      <c r="B5872" t="s">
        <v>1449</v>
      </c>
      <c r="C5872" t="s">
        <v>1933</v>
      </c>
      <c r="G5872" t="s">
        <v>14343</v>
      </c>
      <c r="H5872" t="s">
        <v>653</v>
      </c>
      <c r="I5872" t="s">
        <v>117</v>
      </c>
      <c r="J5872">
        <v>10036</v>
      </c>
      <c r="K5872">
        <v>6226</v>
      </c>
      <c r="L5872" t="s">
        <v>23</v>
      </c>
      <c r="M5872" t="s">
        <v>14343</v>
      </c>
      <c r="N5872" t="s">
        <v>653</v>
      </c>
      <c r="O5872" t="s">
        <v>117</v>
      </c>
      <c r="P5872">
        <v>10036</v>
      </c>
      <c r="Q5872">
        <v>6226</v>
      </c>
      <c r="R5872" t="s">
        <v>23</v>
      </c>
      <c r="S5872" s="1" t="s">
        <v>34218</v>
      </c>
    </row>
    <row r="5873" spans="1:19" x14ac:dyDescent="0.25">
      <c r="A5873">
        <v>101480848</v>
      </c>
      <c r="B5873" t="s">
        <v>2064</v>
      </c>
      <c r="C5873" t="s">
        <v>40</v>
      </c>
      <c r="G5873" t="s">
        <v>14344</v>
      </c>
      <c r="H5873" t="s">
        <v>3585</v>
      </c>
      <c r="I5873" t="s">
        <v>117</v>
      </c>
      <c r="J5873">
        <v>12566</v>
      </c>
      <c r="K5873">
        <v>5549</v>
      </c>
      <c r="L5873" t="s">
        <v>23</v>
      </c>
      <c r="M5873" t="s">
        <v>14344</v>
      </c>
      <c r="N5873" t="s">
        <v>3585</v>
      </c>
      <c r="O5873" t="s">
        <v>117</v>
      </c>
      <c r="P5873">
        <v>12566</v>
      </c>
      <c r="Q5873">
        <v>5549</v>
      </c>
      <c r="R5873" t="s">
        <v>23</v>
      </c>
      <c r="S5873" s="1" t="s">
        <v>34218</v>
      </c>
    </row>
    <row r="5874" spans="1:19" x14ac:dyDescent="0.25">
      <c r="A5874">
        <v>100633871</v>
      </c>
      <c r="B5874" t="s">
        <v>276</v>
      </c>
      <c r="C5874" t="s">
        <v>3460</v>
      </c>
      <c r="G5874">
        <v>58699</v>
      </c>
      <c r="H5874" t="s">
        <v>1840</v>
      </c>
      <c r="I5874" t="s">
        <v>140</v>
      </c>
      <c r="J5874">
        <v>48048</v>
      </c>
      <c r="L5874" t="s">
        <v>23</v>
      </c>
      <c r="M5874">
        <v>58699</v>
      </c>
      <c r="N5874" t="s">
        <v>1840</v>
      </c>
      <c r="O5874" t="s">
        <v>140</v>
      </c>
      <c r="P5874">
        <v>48048</v>
      </c>
      <c r="R5874" t="s">
        <v>23</v>
      </c>
      <c r="S5874" s="1" t="s">
        <v>34218</v>
      </c>
    </row>
    <row r="5875" spans="1:19" x14ac:dyDescent="0.25">
      <c r="A5875">
        <v>101480852</v>
      </c>
      <c r="B5875" t="s">
        <v>13073</v>
      </c>
      <c r="C5875" t="s">
        <v>2287</v>
      </c>
      <c r="G5875" t="s">
        <v>14345</v>
      </c>
      <c r="H5875" t="s">
        <v>1765</v>
      </c>
      <c r="I5875" t="s">
        <v>84</v>
      </c>
      <c r="J5875">
        <v>98501</v>
      </c>
      <c r="K5875">
        <v>1621</v>
      </c>
      <c r="L5875" t="s">
        <v>23</v>
      </c>
      <c r="M5875" t="s">
        <v>14345</v>
      </c>
      <c r="N5875" t="s">
        <v>1765</v>
      </c>
      <c r="O5875" t="s">
        <v>84</v>
      </c>
      <c r="P5875">
        <v>98501</v>
      </c>
      <c r="Q5875">
        <v>1621</v>
      </c>
      <c r="R5875" t="s">
        <v>23</v>
      </c>
      <c r="S5875" s="1" t="s">
        <v>34218</v>
      </c>
    </row>
    <row r="5876" spans="1:19" x14ac:dyDescent="0.25">
      <c r="A5876">
        <v>101455178</v>
      </c>
      <c r="B5876" t="s">
        <v>14346</v>
      </c>
      <c r="C5876" t="s">
        <v>8451</v>
      </c>
      <c r="G5876" t="s">
        <v>14347</v>
      </c>
      <c r="H5876" t="s">
        <v>174</v>
      </c>
      <c r="I5876" t="s">
        <v>22</v>
      </c>
      <c r="J5876">
        <v>93101</v>
      </c>
      <c r="L5876" t="s">
        <v>23</v>
      </c>
      <c r="M5876" t="s">
        <v>14347</v>
      </c>
      <c r="N5876" t="s">
        <v>174</v>
      </c>
      <c r="O5876" t="s">
        <v>22</v>
      </c>
      <c r="P5876">
        <v>93101</v>
      </c>
      <c r="R5876" t="s">
        <v>23</v>
      </c>
      <c r="S5876" s="1" t="s">
        <v>34218</v>
      </c>
    </row>
    <row r="5877" spans="1:19" x14ac:dyDescent="0.25">
      <c r="A5877">
        <v>101451328</v>
      </c>
      <c r="B5877" t="s">
        <v>3779</v>
      </c>
      <c r="C5877" t="s">
        <v>1778</v>
      </c>
      <c r="G5877" t="s">
        <v>14348</v>
      </c>
      <c r="H5877" t="s">
        <v>2662</v>
      </c>
      <c r="I5877" t="s">
        <v>100</v>
      </c>
      <c r="J5877">
        <v>53186</v>
      </c>
      <c r="K5877">
        <v>6124</v>
      </c>
      <c r="L5877" t="s">
        <v>23</v>
      </c>
      <c r="M5877" t="s">
        <v>14348</v>
      </c>
      <c r="N5877" t="s">
        <v>2662</v>
      </c>
      <c r="O5877" t="s">
        <v>100</v>
      </c>
      <c r="P5877">
        <v>53186</v>
      </c>
      <c r="Q5877">
        <v>6124</v>
      </c>
      <c r="R5877" t="s">
        <v>23</v>
      </c>
      <c r="S5877" s="1" t="s">
        <v>34218</v>
      </c>
    </row>
    <row r="5878" spans="1:19" x14ac:dyDescent="0.25">
      <c r="A5878">
        <v>100789727</v>
      </c>
      <c r="B5878" t="s">
        <v>14349</v>
      </c>
      <c r="C5878" t="s">
        <v>362</v>
      </c>
      <c r="G5878" t="s">
        <v>14350</v>
      </c>
      <c r="H5878" t="s">
        <v>1273</v>
      </c>
      <c r="I5878" t="s">
        <v>52</v>
      </c>
      <c r="J5878">
        <v>32137</v>
      </c>
      <c r="K5878">
        <v>3415</v>
      </c>
      <c r="L5878" t="s">
        <v>23</v>
      </c>
      <c r="M5878" t="s">
        <v>14350</v>
      </c>
      <c r="N5878" t="s">
        <v>1273</v>
      </c>
      <c r="O5878" t="s">
        <v>52</v>
      </c>
      <c r="P5878">
        <v>32137</v>
      </c>
      <c r="Q5878">
        <v>3415</v>
      </c>
      <c r="R5878" t="s">
        <v>23</v>
      </c>
      <c r="S5878" s="1" t="s">
        <v>34218</v>
      </c>
    </row>
    <row r="5879" spans="1:19" x14ac:dyDescent="0.25">
      <c r="A5879">
        <v>101452346</v>
      </c>
      <c r="B5879" t="s">
        <v>14351</v>
      </c>
      <c r="C5879" t="s">
        <v>14352</v>
      </c>
      <c r="G5879" t="s">
        <v>14353</v>
      </c>
      <c r="H5879" t="s">
        <v>14354</v>
      </c>
      <c r="I5879" t="s">
        <v>117</v>
      </c>
      <c r="J5879">
        <v>13361</v>
      </c>
      <c r="K5879">
        <v>36</v>
      </c>
      <c r="L5879" t="s">
        <v>23</v>
      </c>
      <c r="M5879" t="s">
        <v>14353</v>
      </c>
      <c r="N5879" t="s">
        <v>14354</v>
      </c>
      <c r="O5879" t="s">
        <v>117</v>
      </c>
      <c r="P5879">
        <v>13361</v>
      </c>
      <c r="Q5879">
        <v>36</v>
      </c>
      <c r="R5879" t="s">
        <v>23</v>
      </c>
      <c r="S5879" s="1" t="s">
        <v>34218</v>
      </c>
    </row>
    <row r="5880" spans="1:19" x14ac:dyDescent="0.25">
      <c r="A5880">
        <v>100922802</v>
      </c>
      <c r="B5880" t="s">
        <v>14355</v>
      </c>
      <c r="C5880" t="s">
        <v>158</v>
      </c>
      <c r="G5880" t="s">
        <v>14356</v>
      </c>
      <c r="H5880" t="s">
        <v>10743</v>
      </c>
      <c r="I5880" t="s">
        <v>135</v>
      </c>
      <c r="J5880">
        <v>60143</v>
      </c>
      <c r="K5880">
        <v>390</v>
      </c>
      <c r="L5880" t="s">
        <v>23</v>
      </c>
      <c r="M5880" t="s">
        <v>14356</v>
      </c>
      <c r="N5880" t="s">
        <v>10743</v>
      </c>
      <c r="O5880" t="s">
        <v>135</v>
      </c>
      <c r="P5880">
        <v>60143</v>
      </c>
      <c r="Q5880">
        <v>390</v>
      </c>
      <c r="R5880" t="s">
        <v>23</v>
      </c>
      <c r="S5880" s="1" t="s">
        <v>34218</v>
      </c>
    </row>
    <row r="5881" spans="1:19" x14ac:dyDescent="0.25">
      <c r="A5881">
        <v>101264261</v>
      </c>
      <c r="B5881" t="s">
        <v>14357</v>
      </c>
      <c r="C5881" t="s">
        <v>557</v>
      </c>
      <c r="G5881" t="s">
        <v>14358</v>
      </c>
      <c r="H5881" t="s">
        <v>8956</v>
      </c>
      <c r="I5881" t="s">
        <v>100</v>
      </c>
      <c r="J5881">
        <v>53532</v>
      </c>
      <c r="K5881">
        <v>1418</v>
      </c>
      <c r="L5881" t="s">
        <v>23</v>
      </c>
      <c r="M5881" t="s">
        <v>14358</v>
      </c>
      <c r="N5881" t="s">
        <v>8956</v>
      </c>
      <c r="O5881" t="s">
        <v>100</v>
      </c>
      <c r="P5881">
        <v>53532</v>
      </c>
      <c r="Q5881">
        <v>1418</v>
      </c>
      <c r="R5881" t="s">
        <v>23</v>
      </c>
      <c r="S5881" s="1" t="s">
        <v>34218</v>
      </c>
    </row>
    <row r="5882" spans="1:19" x14ac:dyDescent="0.25">
      <c r="A5882">
        <v>101449509</v>
      </c>
      <c r="B5882" t="s">
        <v>14359</v>
      </c>
      <c r="C5882" t="s">
        <v>3009</v>
      </c>
      <c r="G5882" t="s">
        <v>14360</v>
      </c>
      <c r="H5882" t="s">
        <v>11241</v>
      </c>
      <c r="I5882" t="s">
        <v>33</v>
      </c>
      <c r="J5882">
        <v>15317</v>
      </c>
      <c r="L5882" t="s">
        <v>23</v>
      </c>
      <c r="M5882" t="s">
        <v>14360</v>
      </c>
      <c r="N5882" t="s">
        <v>11241</v>
      </c>
      <c r="O5882" t="s">
        <v>33</v>
      </c>
      <c r="P5882">
        <v>15317</v>
      </c>
      <c r="R5882" t="s">
        <v>23</v>
      </c>
      <c r="S5882" s="1" t="s">
        <v>34218</v>
      </c>
    </row>
    <row r="5883" spans="1:19" x14ac:dyDescent="0.25">
      <c r="A5883">
        <v>101465413</v>
      </c>
      <c r="B5883" t="s">
        <v>14361</v>
      </c>
      <c r="C5883" t="s">
        <v>1179</v>
      </c>
      <c r="G5883" t="s">
        <v>14362</v>
      </c>
      <c r="H5883" t="s">
        <v>292</v>
      </c>
      <c r="I5883" t="s">
        <v>153</v>
      </c>
      <c r="J5883">
        <v>70437</v>
      </c>
      <c r="K5883">
        <v>7901</v>
      </c>
      <c r="L5883" t="s">
        <v>23</v>
      </c>
      <c r="M5883" t="s">
        <v>14362</v>
      </c>
      <c r="N5883" t="s">
        <v>292</v>
      </c>
      <c r="O5883" t="s">
        <v>153</v>
      </c>
      <c r="P5883">
        <v>70437</v>
      </c>
      <c r="Q5883">
        <v>7901</v>
      </c>
      <c r="R5883" t="s">
        <v>23</v>
      </c>
      <c r="S5883" s="1" t="s">
        <v>34218</v>
      </c>
    </row>
    <row r="5884" spans="1:19" x14ac:dyDescent="0.25">
      <c r="A5884">
        <v>101480867</v>
      </c>
      <c r="B5884" t="s">
        <v>14363</v>
      </c>
      <c r="C5884" t="s">
        <v>14364</v>
      </c>
      <c r="G5884" t="s">
        <v>14365</v>
      </c>
      <c r="H5884" t="s">
        <v>4710</v>
      </c>
      <c r="I5884" t="s">
        <v>33</v>
      </c>
      <c r="J5884">
        <v>17268</v>
      </c>
      <c r="K5884">
        <v>8286</v>
      </c>
      <c r="L5884" t="s">
        <v>23</v>
      </c>
      <c r="M5884" t="s">
        <v>14365</v>
      </c>
      <c r="N5884" t="s">
        <v>4710</v>
      </c>
      <c r="O5884" t="s">
        <v>33</v>
      </c>
      <c r="P5884">
        <v>17268</v>
      </c>
      <c r="Q5884">
        <v>8286</v>
      </c>
      <c r="R5884" t="s">
        <v>23</v>
      </c>
      <c r="S5884" s="1" t="s">
        <v>34218</v>
      </c>
    </row>
    <row r="5885" spans="1:19" x14ac:dyDescent="0.25">
      <c r="A5885">
        <v>101253983</v>
      </c>
      <c r="B5885" t="s">
        <v>14366</v>
      </c>
      <c r="C5885" t="s">
        <v>14367</v>
      </c>
      <c r="G5885" t="s">
        <v>14368</v>
      </c>
      <c r="H5885" t="s">
        <v>924</v>
      </c>
      <c r="I5885" t="s">
        <v>135</v>
      </c>
      <c r="J5885">
        <v>60026</v>
      </c>
      <c r="K5885">
        <v>1464</v>
      </c>
      <c r="L5885" t="s">
        <v>23</v>
      </c>
      <c r="M5885" t="s">
        <v>14368</v>
      </c>
      <c r="N5885" t="s">
        <v>924</v>
      </c>
      <c r="O5885" t="s">
        <v>135</v>
      </c>
      <c r="P5885">
        <v>60026</v>
      </c>
      <c r="Q5885">
        <v>1464</v>
      </c>
      <c r="R5885" t="s">
        <v>23</v>
      </c>
      <c r="S5885" s="1" t="s">
        <v>34218</v>
      </c>
    </row>
    <row r="5886" spans="1:19" x14ac:dyDescent="0.25">
      <c r="A5886">
        <v>101474456</v>
      </c>
      <c r="B5886" t="s">
        <v>14369</v>
      </c>
      <c r="C5886" t="s">
        <v>1588</v>
      </c>
      <c r="G5886" t="s">
        <v>14370</v>
      </c>
      <c r="H5886" t="s">
        <v>2324</v>
      </c>
      <c r="I5886" t="s">
        <v>662</v>
      </c>
      <c r="J5886">
        <v>2878</v>
      </c>
      <c r="K5886">
        <v>4466</v>
      </c>
      <c r="L5886" t="s">
        <v>23</v>
      </c>
      <c r="M5886" t="s">
        <v>14370</v>
      </c>
      <c r="N5886" t="s">
        <v>2324</v>
      </c>
      <c r="O5886" t="s">
        <v>662</v>
      </c>
      <c r="P5886">
        <v>2878</v>
      </c>
      <c r="Q5886">
        <v>4466</v>
      </c>
      <c r="R5886" t="s">
        <v>23</v>
      </c>
      <c r="S5886" s="1" t="s">
        <v>34218</v>
      </c>
    </row>
    <row r="5887" spans="1:19" x14ac:dyDescent="0.25">
      <c r="A5887">
        <v>101451021</v>
      </c>
      <c r="B5887" t="s">
        <v>14371</v>
      </c>
      <c r="C5887" t="s">
        <v>1208</v>
      </c>
      <c r="G5887" t="s">
        <v>14372</v>
      </c>
      <c r="H5887" t="s">
        <v>14373</v>
      </c>
      <c r="I5887" t="s">
        <v>1482</v>
      </c>
      <c r="J5887">
        <v>29582</v>
      </c>
      <c r="K5887">
        <v>2858</v>
      </c>
      <c r="L5887" t="s">
        <v>23</v>
      </c>
      <c r="M5887" t="s">
        <v>14372</v>
      </c>
      <c r="N5887" t="s">
        <v>14373</v>
      </c>
      <c r="O5887" t="s">
        <v>1482</v>
      </c>
      <c r="P5887">
        <v>29582</v>
      </c>
      <c r="Q5887">
        <v>2858</v>
      </c>
      <c r="R5887" t="s">
        <v>23</v>
      </c>
      <c r="S5887" s="1" t="s">
        <v>34218</v>
      </c>
    </row>
    <row r="5888" spans="1:19" x14ac:dyDescent="0.25">
      <c r="A5888">
        <v>101480875</v>
      </c>
      <c r="B5888" t="s">
        <v>11599</v>
      </c>
      <c r="C5888" t="s">
        <v>3705</v>
      </c>
      <c r="G5888" t="s">
        <v>14374</v>
      </c>
      <c r="H5888" t="s">
        <v>9304</v>
      </c>
      <c r="I5888" t="s">
        <v>191</v>
      </c>
      <c r="J5888">
        <v>4072</v>
      </c>
      <c r="K5888">
        <v>8603</v>
      </c>
      <c r="L5888" t="s">
        <v>23</v>
      </c>
      <c r="M5888" t="s">
        <v>14374</v>
      </c>
      <c r="N5888" t="s">
        <v>9304</v>
      </c>
      <c r="O5888" t="s">
        <v>191</v>
      </c>
      <c r="P5888">
        <v>4072</v>
      </c>
      <c r="Q5888">
        <v>8603</v>
      </c>
      <c r="R5888" t="s">
        <v>23</v>
      </c>
      <c r="S5888" s="1" t="s">
        <v>34218</v>
      </c>
    </row>
    <row r="5889" spans="1:19" x14ac:dyDescent="0.25">
      <c r="A5889">
        <v>100989267</v>
      </c>
      <c r="B5889" t="s">
        <v>14375</v>
      </c>
      <c r="C5889" t="s">
        <v>4719</v>
      </c>
      <c r="G5889" t="s">
        <v>14376</v>
      </c>
      <c r="H5889" t="s">
        <v>10619</v>
      </c>
      <c r="I5889" t="s">
        <v>84</v>
      </c>
      <c r="J5889">
        <v>98177</v>
      </c>
      <c r="K5889">
        <v>2723</v>
      </c>
      <c r="L5889" t="s">
        <v>23</v>
      </c>
      <c r="M5889" t="s">
        <v>14376</v>
      </c>
      <c r="N5889" t="s">
        <v>10619</v>
      </c>
      <c r="O5889" t="s">
        <v>84</v>
      </c>
      <c r="P5889">
        <v>98177</v>
      </c>
      <c r="Q5889">
        <v>2723</v>
      </c>
      <c r="R5889" t="s">
        <v>23</v>
      </c>
      <c r="S5889" s="1" t="s">
        <v>34218</v>
      </c>
    </row>
    <row r="5890" spans="1:19" x14ac:dyDescent="0.25">
      <c r="A5890">
        <v>100603701</v>
      </c>
      <c r="B5890" t="s">
        <v>14377</v>
      </c>
      <c r="C5890" t="s">
        <v>14378</v>
      </c>
      <c r="F5890" t="str">
        <f>"3072280037"</f>
        <v>3072280037</v>
      </c>
      <c r="G5890" t="s">
        <v>14379</v>
      </c>
      <c r="H5890" t="s">
        <v>14380</v>
      </c>
      <c r="I5890" t="s">
        <v>135</v>
      </c>
      <c r="J5890">
        <v>62948</v>
      </c>
      <c r="K5890">
        <v>3221</v>
      </c>
      <c r="L5890" t="s">
        <v>23</v>
      </c>
      <c r="M5890" t="s">
        <v>14379</v>
      </c>
      <c r="N5890" t="s">
        <v>14380</v>
      </c>
      <c r="O5890" t="s">
        <v>135</v>
      </c>
      <c r="P5890">
        <v>62948</v>
      </c>
      <c r="Q5890">
        <v>3221</v>
      </c>
      <c r="R5890" t="s">
        <v>23</v>
      </c>
      <c r="S5890" s="1" t="s">
        <v>34218</v>
      </c>
    </row>
    <row r="5891" spans="1:19" x14ac:dyDescent="0.25">
      <c r="A5891">
        <v>100612717</v>
      </c>
      <c r="B5891" t="s">
        <v>14381</v>
      </c>
      <c r="C5891" t="s">
        <v>865</v>
      </c>
      <c r="G5891" t="s">
        <v>14382</v>
      </c>
      <c r="H5891" t="s">
        <v>2175</v>
      </c>
      <c r="I5891" t="s">
        <v>71</v>
      </c>
      <c r="J5891">
        <v>80111</v>
      </c>
      <c r="K5891">
        <v>6630</v>
      </c>
      <c r="L5891" t="s">
        <v>23</v>
      </c>
      <c r="M5891" t="s">
        <v>14382</v>
      </c>
      <c r="N5891" t="s">
        <v>2175</v>
      </c>
      <c r="O5891" t="s">
        <v>71</v>
      </c>
      <c r="P5891">
        <v>80111</v>
      </c>
      <c r="Q5891">
        <v>6630</v>
      </c>
      <c r="R5891" t="s">
        <v>23</v>
      </c>
      <c r="S5891" s="1" t="s">
        <v>34218</v>
      </c>
    </row>
    <row r="5892" spans="1:19" x14ac:dyDescent="0.25">
      <c r="A5892">
        <v>100613997</v>
      </c>
      <c r="B5892" t="s">
        <v>14383</v>
      </c>
      <c r="C5892" t="s">
        <v>13886</v>
      </c>
      <c r="G5892" t="s">
        <v>14384</v>
      </c>
      <c r="H5892" t="s">
        <v>360</v>
      </c>
      <c r="I5892" t="s">
        <v>22</v>
      </c>
      <c r="J5892">
        <v>94086</v>
      </c>
      <c r="K5892">
        <v>4911</v>
      </c>
      <c r="L5892" t="s">
        <v>23</v>
      </c>
      <c r="M5892" t="s">
        <v>14384</v>
      </c>
      <c r="N5892" t="s">
        <v>360</v>
      </c>
      <c r="O5892" t="s">
        <v>22</v>
      </c>
      <c r="P5892">
        <v>94086</v>
      </c>
      <c r="Q5892">
        <v>4911</v>
      </c>
      <c r="R5892" t="s">
        <v>23</v>
      </c>
      <c r="S5892" s="1" t="s">
        <v>34218</v>
      </c>
    </row>
    <row r="5893" spans="1:19" x14ac:dyDescent="0.25">
      <c r="A5893">
        <v>100619497</v>
      </c>
      <c r="B5893" t="s">
        <v>14385</v>
      </c>
      <c r="C5893" t="s">
        <v>1268</v>
      </c>
      <c r="G5893" t="s">
        <v>14386</v>
      </c>
      <c r="H5893" t="s">
        <v>5887</v>
      </c>
      <c r="I5893" t="s">
        <v>702</v>
      </c>
      <c r="J5893">
        <v>89450</v>
      </c>
      <c r="K5893">
        <v>3632</v>
      </c>
      <c r="L5893" t="s">
        <v>23</v>
      </c>
      <c r="M5893" t="s">
        <v>14386</v>
      </c>
      <c r="N5893" t="s">
        <v>5887</v>
      </c>
      <c r="O5893" t="s">
        <v>702</v>
      </c>
      <c r="P5893">
        <v>89450</v>
      </c>
      <c r="Q5893">
        <v>3632</v>
      </c>
      <c r="R5893" t="s">
        <v>23</v>
      </c>
      <c r="S5893" s="1" t="s">
        <v>34218</v>
      </c>
    </row>
    <row r="5894" spans="1:19" x14ac:dyDescent="0.25">
      <c r="A5894">
        <v>100619675</v>
      </c>
      <c r="B5894" t="s">
        <v>14387</v>
      </c>
      <c r="C5894" t="s">
        <v>2776</v>
      </c>
      <c r="G5894" t="s">
        <v>14388</v>
      </c>
      <c r="H5894" t="s">
        <v>303</v>
      </c>
      <c r="I5894" t="s">
        <v>100</v>
      </c>
      <c r="J5894">
        <v>53037</v>
      </c>
      <c r="K5894">
        <v>9486</v>
      </c>
      <c r="L5894" t="s">
        <v>23</v>
      </c>
      <c r="M5894" t="s">
        <v>14388</v>
      </c>
      <c r="N5894" t="s">
        <v>303</v>
      </c>
      <c r="O5894" t="s">
        <v>100</v>
      </c>
      <c r="P5894">
        <v>53037</v>
      </c>
      <c r="Q5894">
        <v>9486</v>
      </c>
      <c r="R5894" t="s">
        <v>23</v>
      </c>
      <c r="S5894" s="1" t="s">
        <v>34218</v>
      </c>
    </row>
    <row r="5895" spans="1:19" x14ac:dyDescent="0.25">
      <c r="A5895">
        <v>100622883</v>
      </c>
      <c r="B5895" t="s">
        <v>2417</v>
      </c>
      <c r="C5895" t="s">
        <v>4302</v>
      </c>
      <c r="G5895" t="s">
        <v>14389</v>
      </c>
      <c r="H5895" t="s">
        <v>14390</v>
      </c>
      <c r="I5895" t="s">
        <v>203</v>
      </c>
      <c r="J5895">
        <v>82801</v>
      </c>
      <c r="K5895">
        <v>4821</v>
      </c>
      <c r="L5895" t="s">
        <v>23</v>
      </c>
      <c r="M5895" t="s">
        <v>14389</v>
      </c>
      <c r="N5895" t="s">
        <v>14390</v>
      </c>
      <c r="O5895" t="s">
        <v>203</v>
      </c>
      <c r="P5895">
        <v>82801</v>
      </c>
      <c r="Q5895">
        <v>4821</v>
      </c>
      <c r="R5895" t="s">
        <v>23</v>
      </c>
      <c r="S5895" s="1" t="s">
        <v>34218</v>
      </c>
    </row>
    <row r="5896" spans="1:19" x14ac:dyDescent="0.25">
      <c r="A5896">
        <v>100620345</v>
      </c>
      <c r="B5896" t="s">
        <v>14391</v>
      </c>
      <c r="C5896" t="s">
        <v>1859</v>
      </c>
      <c r="G5896" t="s">
        <v>14392</v>
      </c>
      <c r="H5896" t="s">
        <v>380</v>
      </c>
      <c r="I5896" t="s">
        <v>38</v>
      </c>
      <c r="J5896">
        <v>75206</v>
      </c>
      <c r="K5896">
        <v>5908</v>
      </c>
      <c r="L5896" t="s">
        <v>23</v>
      </c>
      <c r="M5896" t="s">
        <v>14392</v>
      </c>
      <c r="N5896" t="s">
        <v>380</v>
      </c>
      <c r="O5896" t="s">
        <v>38</v>
      </c>
      <c r="P5896">
        <v>75206</v>
      </c>
      <c r="Q5896">
        <v>5908</v>
      </c>
      <c r="R5896" t="s">
        <v>23</v>
      </c>
      <c r="S5896" s="1" t="s">
        <v>34218</v>
      </c>
    </row>
    <row r="5897" spans="1:19" x14ac:dyDescent="0.25">
      <c r="A5897">
        <v>100628646</v>
      </c>
      <c r="B5897" t="s">
        <v>14393</v>
      </c>
      <c r="C5897" t="s">
        <v>13594</v>
      </c>
      <c r="G5897" t="s">
        <v>14394</v>
      </c>
      <c r="H5897" t="s">
        <v>14395</v>
      </c>
      <c r="I5897" t="s">
        <v>117</v>
      </c>
      <c r="J5897">
        <v>14892</v>
      </c>
      <c r="K5897">
        <v>9211</v>
      </c>
      <c r="L5897" t="s">
        <v>23</v>
      </c>
      <c r="M5897" t="s">
        <v>14394</v>
      </c>
      <c r="N5897" t="s">
        <v>14395</v>
      </c>
      <c r="O5897" t="s">
        <v>117</v>
      </c>
      <c r="P5897">
        <v>14892</v>
      </c>
      <c r="Q5897">
        <v>9211</v>
      </c>
      <c r="R5897" t="s">
        <v>23</v>
      </c>
      <c r="S5897" s="1" t="s">
        <v>34218</v>
      </c>
    </row>
    <row r="5898" spans="1:19" x14ac:dyDescent="0.25">
      <c r="A5898">
        <v>100814030</v>
      </c>
      <c r="B5898" t="s">
        <v>867</v>
      </c>
      <c r="C5898" t="s">
        <v>180</v>
      </c>
      <c r="G5898" t="s">
        <v>14396</v>
      </c>
      <c r="H5898" t="s">
        <v>3385</v>
      </c>
      <c r="I5898" t="s">
        <v>178</v>
      </c>
      <c r="J5898">
        <v>43725</v>
      </c>
      <c r="K5898">
        <v>9716</v>
      </c>
      <c r="L5898" t="s">
        <v>23</v>
      </c>
      <c r="M5898" t="s">
        <v>14396</v>
      </c>
      <c r="N5898" t="s">
        <v>3385</v>
      </c>
      <c r="O5898" t="s">
        <v>178</v>
      </c>
      <c r="P5898">
        <v>43725</v>
      </c>
      <c r="Q5898">
        <v>9716</v>
      </c>
      <c r="R5898" t="s">
        <v>23</v>
      </c>
      <c r="S5898" s="1" t="s">
        <v>34218</v>
      </c>
    </row>
    <row r="5899" spans="1:19" x14ac:dyDescent="0.25">
      <c r="A5899">
        <v>100814052</v>
      </c>
      <c r="B5899" t="s">
        <v>4734</v>
      </c>
      <c r="C5899" t="s">
        <v>25</v>
      </c>
      <c r="G5899" t="s">
        <v>14397</v>
      </c>
      <c r="H5899" t="s">
        <v>37</v>
      </c>
      <c r="I5899" t="s">
        <v>38</v>
      </c>
      <c r="J5899">
        <v>78759</v>
      </c>
      <c r="K5899">
        <v>7178</v>
      </c>
      <c r="L5899" t="s">
        <v>23</v>
      </c>
      <c r="M5899" t="s">
        <v>14397</v>
      </c>
      <c r="N5899" t="s">
        <v>37</v>
      </c>
      <c r="O5899" t="s">
        <v>38</v>
      </c>
      <c r="P5899">
        <v>78759</v>
      </c>
      <c r="Q5899">
        <v>7178</v>
      </c>
      <c r="R5899" t="s">
        <v>23</v>
      </c>
      <c r="S5899" s="1" t="s">
        <v>34218</v>
      </c>
    </row>
    <row r="5900" spans="1:19" x14ac:dyDescent="0.25">
      <c r="A5900">
        <v>100810583</v>
      </c>
      <c r="B5900" t="s">
        <v>5321</v>
      </c>
      <c r="C5900" t="s">
        <v>30</v>
      </c>
      <c r="G5900" t="s">
        <v>14398</v>
      </c>
      <c r="H5900" t="s">
        <v>2161</v>
      </c>
      <c r="I5900" t="s">
        <v>187</v>
      </c>
      <c r="J5900">
        <v>55122</v>
      </c>
      <c r="K5900">
        <v>1899</v>
      </c>
      <c r="L5900" t="s">
        <v>23</v>
      </c>
      <c r="M5900" t="s">
        <v>14398</v>
      </c>
      <c r="N5900" t="s">
        <v>2161</v>
      </c>
      <c r="O5900" t="s">
        <v>187</v>
      </c>
      <c r="P5900">
        <v>55122</v>
      </c>
      <c r="Q5900">
        <v>1899</v>
      </c>
      <c r="R5900" t="s">
        <v>23</v>
      </c>
      <c r="S5900" s="1" t="s">
        <v>34218</v>
      </c>
    </row>
    <row r="5901" spans="1:19" x14ac:dyDescent="0.25">
      <c r="A5901">
        <v>100815024</v>
      </c>
      <c r="B5901" t="s">
        <v>1800</v>
      </c>
      <c r="C5901" t="s">
        <v>3590</v>
      </c>
      <c r="G5901" t="s">
        <v>14399</v>
      </c>
      <c r="H5901" t="s">
        <v>504</v>
      </c>
      <c r="I5901" t="s">
        <v>565</v>
      </c>
      <c r="J5901">
        <v>52733</v>
      </c>
      <c r="K5901">
        <v>2022</v>
      </c>
      <c r="L5901" t="s">
        <v>23</v>
      </c>
      <c r="M5901" t="s">
        <v>14399</v>
      </c>
      <c r="N5901" t="s">
        <v>504</v>
      </c>
      <c r="O5901" t="s">
        <v>565</v>
      </c>
      <c r="P5901">
        <v>52733</v>
      </c>
      <c r="Q5901">
        <v>2022</v>
      </c>
      <c r="R5901" t="s">
        <v>23</v>
      </c>
      <c r="S5901" s="1" t="s">
        <v>34218</v>
      </c>
    </row>
    <row r="5902" spans="1:19" x14ac:dyDescent="0.25">
      <c r="A5902">
        <v>100815076</v>
      </c>
      <c r="B5902" t="s">
        <v>6289</v>
      </c>
      <c r="C5902" t="s">
        <v>14400</v>
      </c>
      <c r="G5902" t="s">
        <v>14401</v>
      </c>
      <c r="H5902" t="s">
        <v>10410</v>
      </c>
      <c r="I5902" t="s">
        <v>22</v>
      </c>
      <c r="J5902">
        <v>94014</v>
      </c>
      <c r="K5902">
        <v>2855</v>
      </c>
      <c r="L5902" t="s">
        <v>23</v>
      </c>
      <c r="M5902" t="s">
        <v>14401</v>
      </c>
      <c r="N5902" t="s">
        <v>10410</v>
      </c>
      <c r="O5902" t="s">
        <v>22</v>
      </c>
      <c r="P5902">
        <v>94014</v>
      </c>
      <c r="Q5902">
        <v>2855</v>
      </c>
      <c r="R5902" t="s">
        <v>23</v>
      </c>
      <c r="S5902" s="1" t="s">
        <v>34218</v>
      </c>
    </row>
    <row r="5903" spans="1:19" x14ac:dyDescent="0.25">
      <c r="A5903">
        <v>100819460</v>
      </c>
      <c r="B5903" t="s">
        <v>4694</v>
      </c>
      <c r="C5903" t="s">
        <v>1658</v>
      </c>
      <c r="G5903" t="s">
        <v>14402</v>
      </c>
      <c r="H5903" t="s">
        <v>471</v>
      </c>
      <c r="I5903" t="s">
        <v>365</v>
      </c>
      <c r="J5903">
        <v>85255</v>
      </c>
      <c r="K5903">
        <v>1733</v>
      </c>
      <c r="L5903" t="s">
        <v>23</v>
      </c>
      <c r="M5903" t="s">
        <v>14402</v>
      </c>
      <c r="N5903" t="s">
        <v>471</v>
      </c>
      <c r="O5903" t="s">
        <v>365</v>
      </c>
      <c r="P5903">
        <v>85255</v>
      </c>
      <c r="Q5903">
        <v>1733</v>
      </c>
      <c r="R5903" t="s">
        <v>23</v>
      </c>
      <c r="S5903" s="1" t="s">
        <v>34218</v>
      </c>
    </row>
    <row r="5904" spans="1:19" x14ac:dyDescent="0.25">
      <c r="A5904">
        <v>100820963</v>
      </c>
      <c r="B5904" t="s">
        <v>2061</v>
      </c>
      <c r="C5904" t="s">
        <v>45</v>
      </c>
      <c r="G5904" t="s">
        <v>14403</v>
      </c>
      <c r="H5904" t="s">
        <v>14404</v>
      </c>
      <c r="I5904" t="s">
        <v>52</v>
      </c>
      <c r="J5904">
        <v>32514</v>
      </c>
      <c r="K5904">
        <v>9762</v>
      </c>
      <c r="L5904" t="s">
        <v>23</v>
      </c>
      <c r="M5904" t="s">
        <v>14403</v>
      </c>
      <c r="N5904" t="s">
        <v>14404</v>
      </c>
      <c r="O5904" t="s">
        <v>52</v>
      </c>
      <c r="P5904">
        <v>32514</v>
      </c>
      <c r="Q5904">
        <v>9762</v>
      </c>
      <c r="R5904" t="s">
        <v>23</v>
      </c>
      <c r="S5904" s="1" t="s">
        <v>34218</v>
      </c>
    </row>
    <row r="5905" spans="1:19" x14ac:dyDescent="0.25">
      <c r="A5905">
        <v>100823690</v>
      </c>
      <c r="B5905" t="s">
        <v>2637</v>
      </c>
      <c r="C5905" t="s">
        <v>505</v>
      </c>
      <c r="G5905" t="s">
        <v>14405</v>
      </c>
      <c r="H5905" t="s">
        <v>529</v>
      </c>
      <c r="I5905" t="s">
        <v>71</v>
      </c>
      <c r="J5905">
        <v>80538</v>
      </c>
      <c r="K5905">
        <v>2827</v>
      </c>
      <c r="L5905" t="s">
        <v>23</v>
      </c>
      <c r="M5905" t="s">
        <v>14405</v>
      </c>
      <c r="N5905" t="s">
        <v>529</v>
      </c>
      <c r="O5905" t="s">
        <v>71</v>
      </c>
      <c r="P5905">
        <v>80538</v>
      </c>
      <c r="Q5905">
        <v>2827</v>
      </c>
      <c r="R5905" t="s">
        <v>23</v>
      </c>
      <c r="S5905" s="1" t="s">
        <v>34218</v>
      </c>
    </row>
    <row r="5906" spans="1:19" x14ac:dyDescent="0.25">
      <c r="A5906">
        <v>100820407</v>
      </c>
      <c r="B5906" t="s">
        <v>14406</v>
      </c>
      <c r="C5906" t="s">
        <v>4960</v>
      </c>
      <c r="G5906" t="s">
        <v>14407</v>
      </c>
      <c r="H5906" t="s">
        <v>412</v>
      </c>
      <c r="I5906" t="s">
        <v>117</v>
      </c>
      <c r="J5906">
        <v>11235</v>
      </c>
      <c r="K5906">
        <v>1148</v>
      </c>
      <c r="L5906" t="s">
        <v>23</v>
      </c>
      <c r="M5906" t="s">
        <v>14407</v>
      </c>
      <c r="N5906" t="s">
        <v>412</v>
      </c>
      <c r="O5906" t="s">
        <v>117</v>
      </c>
      <c r="P5906">
        <v>11235</v>
      </c>
      <c r="Q5906">
        <v>1148</v>
      </c>
      <c r="R5906" t="s">
        <v>23</v>
      </c>
      <c r="S5906" s="1" t="s">
        <v>34218</v>
      </c>
    </row>
    <row r="5907" spans="1:19" x14ac:dyDescent="0.25">
      <c r="A5907">
        <v>100821416</v>
      </c>
      <c r="B5907" t="s">
        <v>3956</v>
      </c>
      <c r="C5907" t="s">
        <v>554</v>
      </c>
      <c r="G5907" t="s">
        <v>14408</v>
      </c>
      <c r="H5907" t="s">
        <v>4632</v>
      </c>
      <c r="I5907" t="s">
        <v>57</v>
      </c>
      <c r="J5907">
        <v>47201</v>
      </c>
      <c r="K5907">
        <v>4033</v>
      </c>
      <c r="L5907" t="s">
        <v>23</v>
      </c>
      <c r="M5907" t="s">
        <v>14408</v>
      </c>
      <c r="N5907" t="s">
        <v>4632</v>
      </c>
      <c r="O5907" t="s">
        <v>57</v>
      </c>
      <c r="P5907">
        <v>47201</v>
      </c>
      <c r="Q5907">
        <v>4033</v>
      </c>
      <c r="R5907" t="s">
        <v>23</v>
      </c>
      <c r="S5907" s="1" t="s">
        <v>34218</v>
      </c>
    </row>
    <row r="5908" spans="1:19" x14ac:dyDescent="0.25">
      <c r="A5908">
        <v>100831592</v>
      </c>
      <c r="B5908" t="s">
        <v>12603</v>
      </c>
      <c r="C5908" t="s">
        <v>132</v>
      </c>
      <c r="G5908" t="s">
        <v>14409</v>
      </c>
      <c r="H5908" t="s">
        <v>650</v>
      </c>
      <c r="I5908" t="s">
        <v>22</v>
      </c>
      <c r="J5908">
        <v>95821</v>
      </c>
      <c r="K5908">
        <v>2827</v>
      </c>
      <c r="L5908" t="s">
        <v>23</v>
      </c>
      <c r="M5908" t="s">
        <v>14409</v>
      </c>
      <c r="N5908" t="s">
        <v>650</v>
      </c>
      <c r="O5908" t="s">
        <v>22</v>
      </c>
      <c r="P5908">
        <v>95821</v>
      </c>
      <c r="Q5908">
        <v>2827</v>
      </c>
      <c r="R5908" t="s">
        <v>23</v>
      </c>
      <c r="S5908" s="1" t="s">
        <v>34218</v>
      </c>
    </row>
    <row r="5909" spans="1:19" x14ac:dyDescent="0.25">
      <c r="A5909">
        <v>100904105</v>
      </c>
      <c r="B5909" t="s">
        <v>14410</v>
      </c>
      <c r="C5909" t="s">
        <v>403</v>
      </c>
      <c r="G5909" t="s">
        <v>14411</v>
      </c>
      <c r="H5909" t="s">
        <v>1531</v>
      </c>
      <c r="I5909" t="s">
        <v>84</v>
      </c>
      <c r="J5909">
        <v>98136</v>
      </c>
      <c r="L5909" t="s">
        <v>23</v>
      </c>
      <c r="M5909" t="s">
        <v>14411</v>
      </c>
      <c r="N5909" t="s">
        <v>1531</v>
      </c>
      <c r="O5909" t="s">
        <v>84</v>
      </c>
      <c r="P5909">
        <v>98136</v>
      </c>
      <c r="R5909" t="s">
        <v>23</v>
      </c>
      <c r="S5909" s="1" t="s">
        <v>34218</v>
      </c>
    </row>
    <row r="5910" spans="1:19" x14ac:dyDescent="0.25">
      <c r="A5910">
        <v>101419955</v>
      </c>
      <c r="B5910" t="s">
        <v>14412</v>
      </c>
      <c r="C5910" t="s">
        <v>119</v>
      </c>
      <c r="G5910" t="s">
        <v>14413</v>
      </c>
      <c r="H5910" t="s">
        <v>3768</v>
      </c>
      <c r="I5910" t="s">
        <v>2537</v>
      </c>
      <c r="J5910" t="s">
        <v>14414</v>
      </c>
      <c r="K5910">
        <v>8847</v>
      </c>
      <c r="L5910" t="s">
        <v>23</v>
      </c>
      <c r="M5910" t="s">
        <v>14413</v>
      </c>
      <c r="N5910" t="s">
        <v>3768</v>
      </c>
      <c r="O5910" t="s">
        <v>2537</v>
      </c>
      <c r="P5910" t="s">
        <v>14414</v>
      </c>
      <c r="Q5910">
        <v>8847</v>
      </c>
      <c r="R5910" t="s">
        <v>23</v>
      </c>
      <c r="S5910" s="1" t="s">
        <v>34218</v>
      </c>
    </row>
    <row r="5911" spans="1:19" x14ac:dyDescent="0.25">
      <c r="A5911">
        <v>101454615</v>
      </c>
      <c r="B5911" t="s">
        <v>14415</v>
      </c>
      <c r="C5911" t="s">
        <v>5753</v>
      </c>
      <c r="G5911" t="s">
        <v>14416</v>
      </c>
      <c r="H5911" t="s">
        <v>14417</v>
      </c>
      <c r="I5911" t="s">
        <v>22</v>
      </c>
      <c r="J5911">
        <v>92570</v>
      </c>
      <c r="K5911">
        <v>7789</v>
      </c>
      <c r="L5911" t="s">
        <v>23</v>
      </c>
      <c r="M5911" t="s">
        <v>14416</v>
      </c>
      <c r="N5911" t="s">
        <v>14417</v>
      </c>
      <c r="O5911" t="s">
        <v>22</v>
      </c>
      <c r="P5911">
        <v>92570</v>
      </c>
      <c r="Q5911">
        <v>7789</v>
      </c>
      <c r="R5911" t="s">
        <v>23</v>
      </c>
      <c r="S5911" s="1" t="s">
        <v>34218</v>
      </c>
    </row>
    <row r="5912" spans="1:19" x14ac:dyDescent="0.25">
      <c r="A5912">
        <v>100632976</v>
      </c>
      <c r="B5912" t="s">
        <v>14418</v>
      </c>
      <c r="C5912" t="s">
        <v>14419</v>
      </c>
      <c r="G5912" t="s">
        <v>14420</v>
      </c>
      <c r="H5912" t="s">
        <v>14421</v>
      </c>
      <c r="I5912" t="s">
        <v>33</v>
      </c>
      <c r="J5912">
        <v>18071</v>
      </c>
      <c r="K5912">
        <v>5517</v>
      </c>
      <c r="L5912" t="s">
        <v>23</v>
      </c>
      <c r="M5912" t="s">
        <v>14420</v>
      </c>
      <c r="N5912" t="s">
        <v>14421</v>
      </c>
      <c r="O5912" t="s">
        <v>33</v>
      </c>
      <c r="P5912">
        <v>18071</v>
      </c>
      <c r="Q5912">
        <v>5517</v>
      </c>
      <c r="R5912" t="s">
        <v>23</v>
      </c>
      <c r="S5912" s="1" t="s">
        <v>34218</v>
      </c>
    </row>
    <row r="5913" spans="1:19" x14ac:dyDescent="0.25">
      <c r="A5913">
        <v>100635527</v>
      </c>
      <c r="B5913" t="s">
        <v>14422</v>
      </c>
      <c r="C5913" t="s">
        <v>2796</v>
      </c>
      <c r="G5913" t="s">
        <v>14423</v>
      </c>
      <c r="H5913" t="s">
        <v>8055</v>
      </c>
      <c r="I5913" t="s">
        <v>191</v>
      </c>
      <c r="J5913">
        <v>4032</v>
      </c>
      <c r="K5913">
        <v>6022</v>
      </c>
      <c r="L5913" t="s">
        <v>23</v>
      </c>
      <c r="M5913" t="s">
        <v>14423</v>
      </c>
      <c r="N5913" t="s">
        <v>8055</v>
      </c>
      <c r="O5913" t="s">
        <v>191</v>
      </c>
      <c r="P5913">
        <v>4032</v>
      </c>
      <c r="Q5913">
        <v>6022</v>
      </c>
      <c r="R5913" t="s">
        <v>23</v>
      </c>
      <c r="S5913" s="1" t="s">
        <v>34218</v>
      </c>
    </row>
    <row r="5914" spans="1:19" x14ac:dyDescent="0.25">
      <c r="A5914">
        <v>100632516</v>
      </c>
      <c r="B5914" t="s">
        <v>14424</v>
      </c>
      <c r="C5914" t="s">
        <v>286</v>
      </c>
      <c r="G5914" t="s">
        <v>14425</v>
      </c>
      <c r="H5914" t="s">
        <v>5395</v>
      </c>
      <c r="I5914" t="s">
        <v>38</v>
      </c>
      <c r="J5914">
        <v>78132</v>
      </c>
      <c r="K5914">
        <v>2112</v>
      </c>
      <c r="L5914" t="s">
        <v>23</v>
      </c>
      <c r="M5914" t="s">
        <v>14425</v>
      </c>
      <c r="N5914" t="s">
        <v>5395</v>
      </c>
      <c r="O5914" t="s">
        <v>38</v>
      </c>
      <c r="P5914">
        <v>78132</v>
      </c>
      <c r="Q5914">
        <v>2112</v>
      </c>
      <c r="R5914" t="s">
        <v>23</v>
      </c>
      <c r="S5914" s="1" t="s">
        <v>34218</v>
      </c>
    </row>
    <row r="5915" spans="1:19" x14ac:dyDescent="0.25">
      <c r="A5915">
        <v>100634490</v>
      </c>
      <c r="B5915" t="s">
        <v>11981</v>
      </c>
      <c r="C5915" t="s">
        <v>155</v>
      </c>
      <c r="G5915" t="s">
        <v>14426</v>
      </c>
      <c r="H5915" t="s">
        <v>471</v>
      </c>
      <c r="I5915" t="s">
        <v>365</v>
      </c>
      <c r="J5915">
        <v>85260</v>
      </c>
      <c r="K5915">
        <v>3705</v>
      </c>
      <c r="L5915" t="s">
        <v>23</v>
      </c>
      <c r="M5915" t="s">
        <v>14426</v>
      </c>
      <c r="N5915" t="s">
        <v>471</v>
      </c>
      <c r="O5915" t="s">
        <v>365</v>
      </c>
      <c r="P5915">
        <v>85260</v>
      </c>
      <c r="Q5915">
        <v>3705</v>
      </c>
      <c r="R5915" t="s">
        <v>23</v>
      </c>
      <c r="S5915" s="1" t="s">
        <v>34218</v>
      </c>
    </row>
    <row r="5916" spans="1:19" x14ac:dyDescent="0.25">
      <c r="A5916">
        <v>100641475</v>
      </c>
      <c r="B5916" t="s">
        <v>4388</v>
      </c>
      <c r="C5916" t="s">
        <v>180</v>
      </c>
      <c r="G5916" t="s">
        <v>14427</v>
      </c>
      <c r="H5916" t="s">
        <v>5278</v>
      </c>
      <c r="I5916" t="s">
        <v>22</v>
      </c>
      <c r="J5916">
        <v>94403</v>
      </c>
      <c r="K5916">
        <v>5015</v>
      </c>
      <c r="L5916" t="s">
        <v>23</v>
      </c>
      <c r="M5916" t="s">
        <v>14427</v>
      </c>
      <c r="N5916" t="s">
        <v>5278</v>
      </c>
      <c r="O5916" t="s">
        <v>22</v>
      </c>
      <c r="P5916">
        <v>94403</v>
      </c>
      <c r="Q5916">
        <v>5015</v>
      </c>
      <c r="R5916" t="s">
        <v>23</v>
      </c>
      <c r="S5916" s="1" t="s">
        <v>34218</v>
      </c>
    </row>
    <row r="5917" spans="1:19" x14ac:dyDescent="0.25">
      <c r="A5917">
        <v>100642768</v>
      </c>
      <c r="B5917" t="s">
        <v>12099</v>
      </c>
      <c r="C5917" t="s">
        <v>25</v>
      </c>
      <c r="G5917" t="s">
        <v>14428</v>
      </c>
      <c r="H5917" t="s">
        <v>8359</v>
      </c>
      <c r="I5917" t="s">
        <v>236</v>
      </c>
      <c r="J5917">
        <v>2188</v>
      </c>
      <c r="K5917">
        <v>2806</v>
      </c>
      <c r="L5917" t="s">
        <v>23</v>
      </c>
      <c r="M5917" t="s">
        <v>14428</v>
      </c>
      <c r="N5917" t="s">
        <v>8359</v>
      </c>
      <c r="O5917" t="s">
        <v>236</v>
      </c>
      <c r="P5917">
        <v>2188</v>
      </c>
      <c r="Q5917">
        <v>2806</v>
      </c>
      <c r="R5917" t="s">
        <v>23</v>
      </c>
      <c r="S5917" s="1" t="s">
        <v>34218</v>
      </c>
    </row>
    <row r="5918" spans="1:19" x14ac:dyDescent="0.25">
      <c r="A5918">
        <v>100643037</v>
      </c>
      <c r="B5918" t="s">
        <v>14429</v>
      </c>
      <c r="C5918" t="s">
        <v>102</v>
      </c>
      <c r="G5918" t="s">
        <v>14430</v>
      </c>
      <c r="H5918" t="s">
        <v>177</v>
      </c>
      <c r="I5918" t="s">
        <v>126</v>
      </c>
      <c r="J5918">
        <v>65010</v>
      </c>
      <c r="K5918">
        <v>9069</v>
      </c>
      <c r="L5918" t="s">
        <v>23</v>
      </c>
      <c r="M5918" t="s">
        <v>14430</v>
      </c>
      <c r="N5918" t="s">
        <v>177</v>
      </c>
      <c r="O5918" t="s">
        <v>126</v>
      </c>
      <c r="P5918">
        <v>65010</v>
      </c>
      <c r="Q5918">
        <v>9069</v>
      </c>
      <c r="R5918" t="s">
        <v>23</v>
      </c>
      <c r="S5918" s="1" t="s">
        <v>34218</v>
      </c>
    </row>
    <row r="5919" spans="1:19" x14ac:dyDescent="0.25">
      <c r="A5919">
        <v>100644987</v>
      </c>
      <c r="B5919" t="s">
        <v>14431</v>
      </c>
      <c r="C5919" t="s">
        <v>119</v>
      </c>
      <c r="F5919" t="str">
        <f>"3177366285"</f>
        <v>3177366285</v>
      </c>
      <c r="G5919" t="s">
        <v>14432</v>
      </c>
      <c r="H5919" t="s">
        <v>2701</v>
      </c>
      <c r="I5919" t="s">
        <v>57</v>
      </c>
      <c r="J5919">
        <v>46131</v>
      </c>
      <c r="K5919">
        <v>7780</v>
      </c>
      <c r="L5919" t="s">
        <v>23</v>
      </c>
      <c r="M5919" t="s">
        <v>14432</v>
      </c>
      <c r="N5919" t="s">
        <v>2701</v>
      </c>
      <c r="O5919" t="s">
        <v>57</v>
      </c>
      <c r="P5919">
        <v>46131</v>
      </c>
      <c r="Q5919">
        <v>7780</v>
      </c>
      <c r="R5919" t="s">
        <v>23</v>
      </c>
      <c r="S5919" s="1" t="s">
        <v>34218</v>
      </c>
    </row>
    <row r="5920" spans="1:19" x14ac:dyDescent="0.25">
      <c r="A5920">
        <v>100645867</v>
      </c>
      <c r="B5920" t="s">
        <v>14433</v>
      </c>
      <c r="C5920" t="s">
        <v>929</v>
      </c>
      <c r="G5920" t="s">
        <v>14434</v>
      </c>
      <c r="H5920" t="s">
        <v>1086</v>
      </c>
      <c r="I5920" t="s">
        <v>446</v>
      </c>
      <c r="J5920">
        <v>28216</v>
      </c>
      <c r="K5920">
        <v>2667</v>
      </c>
      <c r="L5920" t="s">
        <v>23</v>
      </c>
      <c r="M5920" t="s">
        <v>14434</v>
      </c>
      <c r="N5920" t="s">
        <v>1086</v>
      </c>
      <c r="O5920" t="s">
        <v>446</v>
      </c>
      <c r="P5920">
        <v>28216</v>
      </c>
      <c r="Q5920">
        <v>2667</v>
      </c>
      <c r="R5920" t="s">
        <v>23</v>
      </c>
      <c r="S5920" s="1" t="s">
        <v>34218</v>
      </c>
    </row>
    <row r="5921" spans="1:19" x14ac:dyDescent="0.25">
      <c r="A5921">
        <v>100650432</v>
      </c>
      <c r="B5921" t="s">
        <v>14435</v>
      </c>
      <c r="C5921" t="s">
        <v>2518</v>
      </c>
      <c r="G5921" t="s">
        <v>14436</v>
      </c>
      <c r="H5921" t="s">
        <v>37</v>
      </c>
      <c r="I5921" t="s">
        <v>38</v>
      </c>
      <c r="J5921">
        <v>78702</v>
      </c>
      <c r="K5921">
        <v>3955</v>
      </c>
      <c r="L5921" t="s">
        <v>23</v>
      </c>
      <c r="M5921" t="s">
        <v>14436</v>
      </c>
      <c r="N5921" t="s">
        <v>37</v>
      </c>
      <c r="O5921" t="s">
        <v>38</v>
      </c>
      <c r="P5921">
        <v>78702</v>
      </c>
      <c r="Q5921">
        <v>3955</v>
      </c>
      <c r="R5921" t="s">
        <v>23</v>
      </c>
      <c r="S5921" s="1" t="s">
        <v>34218</v>
      </c>
    </row>
    <row r="5922" spans="1:19" x14ac:dyDescent="0.25">
      <c r="A5922">
        <v>100650802</v>
      </c>
      <c r="B5922" t="s">
        <v>14437</v>
      </c>
      <c r="C5922" t="s">
        <v>119</v>
      </c>
      <c r="G5922" t="s">
        <v>14438</v>
      </c>
      <c r="H5922" t="s">
        <v>14439</v>
      </c>
      <c r="I5922" t="s">
        <v>117</v>
      </c>
      <c r="J5922">
        <v>14132</v>
      </c>
      <c r="K5922">
        <v>9425</v>
      </c>
      <c r="L5922" t="s">
        <v>23</v>
      </c>
      <c r="M5922" t="s">
        <v>14438</v>
      </c>
      <c r="N5922" t="s">
        <v>14439</v>
      </c>
      <c r="O5922" t="s">
        <v>117</v>
      </c>
      <c r="P5922">
        <v>14132</v>
      </c>
      <c r="Q5922">
        <v>9425</v>
      </c>
      <c r="R5922" t="s">
        <v>23</v>
      </c>
      <c r="S5922" s="1" t="s">
        <v>34218</v>
      </c>
    </row>
    <row r="5923" spans="1:19" x14ac:dyDescent="0.25">
      <c r="A5923">
        <v>100653836</v>
      </c>
      <c r="B5923" t="s">
        <v>1164</v>
      </c>
      <c r="C5923" t="s">
        <v>172</v>
      </c>
      <c r="G5923" t="s">
        <v>14440</v>
      </c>
      <c r="H5923" t="s">
        <v>3668</v>
      </c>
      <c r="I5923" t="s">
        <v>148</v>
      </c>
      <c r="J5923">
        <v>21211</v>
      </c>
      <c r="K5923">
        <v>2534</v>
      </c>
      <c r="L5923" t="s">
        <v>23</v>
      </c>
      <c r="M5923" t="s">
        <v>14440</v>
      </c>
      <c r="N5923" t="s">
        <v>3668</v>
      </c>
      <c r="O5923" t="s">
        <v>148</v>
      </c>
      <c r="P5923">
        <v>21211</v>
      </c>
      <c r="Q5923">
        <v>2534</v>
      </c>
      <c r="R5923" t="s">
        <v>23</v>
      </c>
      <c r="S5923" s="1" t="s">
        <v>34218</v>
      </c>
    </row>
    <row r="5924" spans="1:19" x14ac:dyDescent="0.25">
      <c r="A5924">
        <v>100835276</v>
      </c>
      <c r="B5924" t="s">
        <v>14441</v>
      </c>
      <c r="C5924" t="s">
        <v>1120</v>
      </c>
      <c r="G5924" t="s">
        <v>14442</v>
      </c>
      <c r="H5924" t="s">
        <v>1405</v>
      </c>
      <c r="I5924" t="s">
        <v>187</v>
      </c>
      <c r="J5924">
        <v>55105</v>
      </c>
      <c r="K5924">
        <v>2216</v>
      </c>
      <c r="L5924" t="s">
        <v>23</v>
      </c>
      <c r="M5924" t="s">
        <v>14442</v>
      </c>
      <c r="N5924" t="s">
        <v>1405</v>
      </c>
      <c r="O5924" t="s">
        <v>187</v>
      </c>
      <c r="P5924">
        <v>55105</v>
      </c>
      <c r="Q5924">
        <v>2216</v>
      </c>
      <c r="R5924" t="s">
        <v>23</v>
      </c>
      <c r="S5924" s="1" t="s">
        <v>34218</v>
      </c>
    </row>
    <row r="5925" spans="1:19" x14ac:dyDescent="0.25">
      <c r="A5925">
        <v>100841686</v>
      </c>
      <c r="B5925" t="s">
        <v>14443</v>
      </c>
      <c r="C5925" t="s">
        <v>1616</v>
      </c>
      <c r="G5925" t="s">
        <v>14444</v>
      </c>
      <c r="H5925" t="s">
        <v>569</v>
      </c>
      <c r="I5925" t="s">
        <v>187</v>
      </c>
      <c r="J5925">
        <v>55417</v>
      </c>
      <c r="K5925">
        <v>2528</v>
      </c>
      <c r="L5925" t="s">
        <v>23</v>
      </c>
      <c r="M5925" t="s">
        <v>14444</v>
      </c>
      <c r="N5925" t="s">
        <v>569</v>
      </c>
      <c r="O5925" t="s">
        <v>187</v>
      </c>
      <c r="P5925">
        <v>55417</v>
      </c>
      <c r="Q5925">
        <v>2528</v>
      </c>
      <c r="R5925" t="s">
        <v>23</v>
      </c>
      <c r="S5925" s="1" t="s">
        <v>34218</v>
      </c>
    </row>
    <row r="5926" spans="1:19" x14ac:dyDescent="0.25">
      <c r="A5926">
        <v>100841833</v>
      </c>
      <c r="B5926" t="s">
        <v>14445</v>
      </c>
      <c r="C5926" t="s">
        <v>2771</v>
      </c>
      <c r="G5926" t="s">
        <v>14446</v>
      </c>
      <c r="H5926" t="s">
        <v>9013</v>
      </c>
      <c r="I5926" t="s">
        <v>1482</v>
      </c>
      <c r="J5926">
        <v>29609</v>
      </c>
      <c r="K5926">
        <v>7159</v>
      </c>
      <c r="L5926" t="s">
        <v>23</v>
      </c>
      <c r="M5926" t="s">
        <v>14446</v>
      </c>
      <c r="N5926" t="s">
        <v>9013</v>
      </c>
      <c r="O5926" t="s">
        <v>1482</v>
      </c>
      <c r="P5926">
        <v>29609</v>
      </c>
      <c r="Q5926">
        <v>7159</v>
      </c>
      <c r="R5926" t="s">
        <v>23</v>
      </c>
      <c r="S5926" s="1" t="s">
        <v>34218</v>
      </c>
    </row>
    <row r="5927" spans="1:19" x14ac:dyDescent="0.25">
      <c r="A5927">
        <v>100841926</v>
      </c>
      <c r="B5927" t="s">
        <v>14447</v>
      </c>
      <c r="C5927" t="s">
        <v>575</v>
      </c>
      <c r="F5927" t="str">
        <f>"6074671867"</f>
        <v>6074671867</v>
      </c>
      <c r="G5927" t="s">
        <v>14448</v>
      </c>
      <c r="H5927" t="s">
        <v>3405</v>
      </c>
      <c r="I5927" t="s">
        <v>117</v>
      </c>
      <c r="J5927">
        <v>13783</v>
      </c>
      <c r="K5927">
        <v>1847</v>
      </c>
      <c r="L5927" t="s">
        <v>23</v>
      </c>
      <c r="M5927" t="s">
        <v>14448</v>
      </c>
      <c r="N5927" t="s">
        <v>3405</v>
      </c>
      <c r="O5927" t="s">
        <v>117</v>
      </c>
      <c r="P5927">
        <v>13783</v>
      </c>
      <c r="Q5927">
        <v>1847</v>
      </c>
      <c r="R5927" t="s">
        <v>23</v>
      </c>
      <c r="S5927" s="1" t="s">
        <v>34218</v>
      </c>
    </row>
    <row r="5928" spans="1:19" x14ac:dyDescent="0.25">
      <c r="A5928">
        <v>100847268</v>
      </c>
      <c r="B5928" t="s">
        <v>14449</v>
      </c>
      <c r="C5928" t="s">
        <v>14450</v>
      </c>
      <c r="G5928" t="s">
        <v>14451</v>
      </c>
      <c r="H5928" t="s">
        <v>2696</v>
      </c>
      <c r="I5928" t="s">
        <v>52</v>
      </c>
      <c r="J5928">
        <v>33021</v>
      </c>
      <c r="K5928">
        <v>7308</v>
      </c>
      <c r="L5928" t="s">
        <v>23</v>
      </c>
      <c r="M5928" t="s">
        <v>14451</v>
      </c>
      <c r="N5928" t="s">
        <v>2696</v>
      </c>
      <c r="O5928" t="s">
        <v>52</v>
      </c>
      <c r="P5928">
        <v>33021</v>
      </c>
      <c r="Q5928">
        <v>7308</v>
      </c>
      <c r="R5928" t="s">
        <v>23</v>
      </c>
      <c r="S5928" s="1" t="s">
        <v>34218</v>
      </c>
    </row>
    <row r="5929" spans="1:19" x14ac:dyDescent="0.25">
      <c r="A5929">
        <v>100847645</v>
      </c>
      <c r="B5929" t="s">
        <v>14452</v>
      </c>
      <c r="C5929" t="s">
        <v>12709</v>
      </c>
      <c r="G5929" t="s">
        <v>14453</v>
      </c>
      <c r="H5929" t="s">
        <v>14454</v>
      </c>
      <c r="I5929" t="s">
        <v>33</v>
      </c>
      <c r="J5929">
        <v>19055</v>
      </c>
      <c r="K5929">
        <v>1606</v>
      </c>
      <c r="L5929" t="s">
        <v>23</v>
      </c>
      <c r="M5929" t="s">
        <v>14453</v>
      </c>
      <c r="N5929" t="s">
        <v>14454</v>
      </c>
      <c r="O5929" t="s">
        <v>33</v>
      </c>
      <c r="P5929">
        <v>19055</v>
      </c>
      <c r="Q5929">
        <v>1606</v>
      </c>
      <c r="R5929" t="s">
        <v>23</v>
      </c>
      <c r="S5929" s="1" t="s">
        <v>34218</v>
      </c>
    </row>
    <row r="5930" spans="1:19" x14ac:dyDescent="0.25">
      <c r="A5930">
        <v>100853996</v>
      </c>
      <c r="B5930" t="s">
        <v>14455</v>
      </c>
      <c r="C5930" t="s">
        <v>575</v>
      </c>
      <c r="G5930" t="s">
        <v>14456</v>
      </c>
      <c r="H5930" t="s">
        <v>14457</v>
      </c>
      <c r="I5930" t="s">
        <v>446</v>
      </c>
      <c r="J5930">
        <v>28054</v>
      </c>
      <c r="K5930">
        <v>1772</v>
      </c>
      <c r="L5930" t="s">
        <v>23</v>
      </c>
      <c r="M5930" t="s">
        <v>14456</v>
      </c>
      <c r="N5930" t="s">
        <v>14457</v>
      </c>
      <c r="O5930" t="s">
        <v>446</v>
      </c>
      <c r="P5930">
        <v>28054</v>
      </c>
      <c r="Q5930">
        <v>1772</v>
      </c>
      <c r="R5930" t="s">
        <v>23</v>
      </c>
      <c r="S5930" s="1" t="s">
        <v>34218</v>
      </c>
    </row>
    <row r="5931" spans="1:19" x14ac:dyDescent="0.25">
      <c r="A5931">
        <v>100847842</v>
      </c>
      <c r="B5931" t="s">
        <v>14458</v>
      </c>
      <c r="C5931" t="s">
        <v>1906</v>
      </c>
      <c r="G5931" t="s">
        <v>14459</v>
      </c>
      <c r="H5931" t="s">
        <v>709</v>
      </c>
      <c r="I5931" t="s">
        <v>565</v>
      </c>
      <c r="J5931">
        <v>52245</v>
      </c>
      <c r="K5931">
        <v>4553</v>
      </c>
      <c r="L5931" t="s">
        <v>23</v>
      </c>
      <c r="M5931" t="s">
        <v>14459</v>
      </c>
      <c r="N5931" t="s">
        <v>709</v>
      </c>
      <c r="O5931" t="s">
        <v>565</v>
      </c>
      <c r="P5931">
        <v>52245</v>
      </c>
      <c r="Q5931">
        <v>4553</v>
      </c>
      <c r="R5931" t="s">
        <v>23</v>
      </c>
      <c r="S5931" s="1" t="s">
        <v>34218</v>
      </c>
    </row>
    <row r="5932" spans="1:19" x14ac:dyDescent="0.25">
      <c r="A5932">
        <v>100854195</v>
      </c>
      <c r="B5932" t="s">
        <v>14460</v>
      </c>
      <c r="C5932" t="s">
        <v>959</v>
      </c>
      <c r="G5932" t="s">
        <v>14461</v>
      </c>
      <c r="H5932" t="s">
        <v>5070</v>
      </c>
      <c r="I5932" t="s">
        <v>84</v>
      </c>
      <c r="J5932">
        <v>98663</v>
      </c>
      <c r="K5932">
        <v>2161</v>
      </c>
      <c r="L5932" t="s">
        <v>23</v>
      </c>
      <c r="M5932" t="s">
        <v>14461</v>
      </c>
      <c r="N5932" t="s">
        <v>5070</v>
      </c>
      <c r="O5932" t="s">
        <v>84</v>
      </c>
      <c r="P5932">
        <v>98663</v>
      </c>
      <c r="Q5932">
        <v>2161</v>
      </c>
      <c r="R5932" t="s">
        <v>23</v>
      </c>
      <c r="S5932" s="1" t="s">
        <v>34218</v>
      </c>
    </row>
    <row r="5933" spans="1:19" x14ac:dyDescent="0.25">
      <c r="A5933">
        <v>100858665</v>
      </c>
      <c r="B5933" t="s">
        <v>14462</v>
      </c>
      <c r="C5933" t="s">
        <v>14463</v>
      </c>
      <c r="G5933" t="s">
        <v>14464</v>
      </c>
      <c r="H5933" t="s">
        <v>1885</v>
      </c>
      <c r="I5933" t="s">
        <v>22</v>
      </c>
      <c r="J5933">
        <v>90278</v>
      </c>
      <c r="K5933">
        <v>5279</v>
      </c>
      <c r="L5933" t="s">
        <v>23</v>
      </c>
      <c r="M5933" t="s">
        <v>14464</v>
      </c>
      <c r="N5933" t="s">
        <v>1885</v>
      </c>
      <c r="O5933" t="s">
        <v>22</v>
      </c>
      <c r="P5933">
        <v>90278</v>
      </c>
      <c r="Q5933">
        <v>5279</v>
      </c>
      <c r="R5933" t="s">
        <v>23</v>
      </c>
      <c r="S5933" s="1" t="s">
        <v>34218</v>
      </c>
    </row>
    <row r="5934" spans="1:19" x14ac:dyDescent="0.25">
      <c r="A5934">
        <v>100860735</v>
      </c>
      <c r="B5934" t="s">
        <v>14465</v>
      </c>
      <c r="C5934" t="s">
        <v>575</v>
      </c>
      <c r="G5934" t="s">
        <v>14466</v>
      </c>
      <c r="H5934" t="s">
        <v>1315</v>
      </c>
      <c r="I5934" t="s">
        <v>33</v>
      </c>
      <c r="J5934">
        <v>18017</v>
      </c>
      <c r="K5934">
        <v>1716</v>
      </c>
      <c r="L5934" t="s">
        <v>23</v>
      </c>
      <c r="M5934" t="s">
        <v>14466</v>
      </c>
      <c r="N5934" t="s">
        <v>1315</v>
      </c>
      <c r="O5934" t="s">
        <v>33</v>
      </c>
      <c r="P5934">
        <v>18017</v>
      </c>
      <c r="Q5934">
        <v>1716</v>
      </c>
      <c r="R5934" t="s">
        <v>23</v>
      </c>
      <c r="S5934" s="1" t="s">
        <v>34218</v>
      </c>
    </row>
    <row r="5935" spans="1:19" x14ac:dyDescent="0.25">
      <c r="A5935">
        <v>100858793</v>
      </c>
      <c r="B5935" t="s">
        <v>14467</v>
      </c>
      <c r="C5935" t="s">
        <v>81</v>
      </c>
      <c r="G5935" t="s">
        <v>14468</v>
      </c>
      <c r="H5935" t="s">
        <v>638</v>
      </c>
      <c r="I5935" t="s">
        <v>639</v>
      </c>
      <c r="J5935">
        <v>87110</v>
      </c>
      <c r="K5935">
        <v>2822</v>
      </c>
      <c r="L5935" t="s">
        <v>23</v>
      </c>
      <c r="M5935" t="s">
        <v>14468</v>
      </c>
      <c r="N5935" t="s">
        <v>638</v>
      </c>
      <c r="O5935" t="s">
        <v>639</v>
      </c>
      <c r="P5935">
        <v>87110</v>
      </c>
      <c r="Q5935">
        <v>2822</v>
      </c>
      <c r="R5935" t="s">
        <v>23</v>
      </c>
      <c r="S5935" s="1" t="s">
        <v>34218</v>
      </c>
    </row>
    <row r="5936" spans="1:19" x14ac:dyDescent="0.25">
      <c r="A5936">
        <v>100861453</v>
      </c>
      <c r="B5936" t="s">
        <v>1685</v>
      </c>
      <c r="C5936" t="s">
        <v>3089</v>
      </c>
      <c r="G5936" t="s">
        <v>14469</v>
      </c>
      <c r="H5936" t="s">
        <v>3449</v>
      </c>
      <c r="I5936" t="s">
        <v>33</v>
      </c>
      <c r="J5936">
        <v>18704</v>
      </c>
      <c r="K5936">
        <v>5334</v>
      </c>
      <c r="L5936" t="s">
        <v>23</v>
      </c>
      <c r="M5936" t="s">
        <v>14469</v>
      </c>
      <c r="N5936" t="s">
        <v>3449</v>
      </c>
      <c r="O5936" t="s">
        <v>33</v>
      </c>
      <c r="P5936">
        <v>18704</v>
      </c>
      <c r="Q5936">
        <v>5334</v>
      </c>
      <c r="R5936" t="s">
        <v>23</v>
      </c>
      <c r="S5936" s="1" t="s">
        <v>34218</v>
      </c>
    </row>
    <row r="5937" spans="1:19" x14ac:dyDescent="0.25">
      <c r="A5937">
        <v>100863423</v>
      </c>
      <c r="B5937" t="s">
        <v>14470</v>
      </c>
      <c r="C5937" t="s">
        <v>1327</v>
      </c>
      <c r="G5937" t="s">
        <v>14471</v>
      </c>
      <c r="H5937" t="s">
        <v>1508</v>
      </c>
      <c r="I5937" t="s">
        <v>84</v>
      </c>
      <c r="J5937">
        <v>98020</v>
      </c>
      <c r="K5937">
        <v>3912</v>
      </c>
      <c r="L5937" t="s">
        <v>23</v>
      </c>
      <c r="M5937" t="s">
        <v>14471</v>
      </c>
      <c r="N5937" t="s">
        <v>1508</v>
      </c>
      <c r="O5937" t="s">
        <v>84</v>
      </c>
      <c r="P5937">
        <v>98020</v>
      </c>
      <c r="Q5937">
        <v>3912</v>
      </c>
      <c r="R5937" t="s">
        <v>23</v>
      </c>
      <c r="S5937" s="1" t="s">
        <v>34218</v>
      </c>
    </row>
    <row r="5938" spans="1:19" x14ac:dyDescent="0.25">
      <c r="A5938">
        <v>100576131</v>
      </c>
      <c r="B5938" t="s">
        <v>1528</v>
      </c>
      <c r="C5938" t="s">
        <v>1350</v>
      </c>
      <c r="G5938" t="s">
        <v>14472</v>
      </c>
      <c r="H5938" t="s">
        <v>12608</v>
      </c>
      <c r="I5938" t="s">
        <v>662</v>
      </c>
      <c r="J5938">
        <v>2812</v>
      </c>
      <c r="K5938">
        <v>614</v>
      </c>
      <c r="L5938" t="s">
        <v>23</v>
      </c>
      <c r="M5938" t="s">
        <v>14472</v>
      </c>
      <c r="N5938" t="s">
        <v>12608</v>
      </c>
      <c r="O5938" t="s">
        <v>662</v>
      </c>
      <c r="P5938">
        <v>2812</v>
      </c>
      <c r="Q5938">
        <v>614</v>
      </c>
      <c r="R5938" t="s">
        <v>23</v>
      </c>
      <c r="S5938" s="1" t="s">
        <v>34218</v>
      </c>
    </row>
    <row r="5939" spans="1:19" x14ac:dyDescent="0.25">
      <c r="A5939">
        <v>100579421</v>
      </c>
      <c r="B5939" t="s">
        <v>4734</v>
      </c>
      <c r="C5939" t="s">
        <v>294</v>
      </c>
      <c r="G5939" t="s">
        <v>14473</v>
      </c>
      <c r="H5939" t="s">
        <v>14474</v>
      </c>
      <c r="I5939" t="s">
        <v>52</v>
      </c>
      <c r="J5939">
        <v>33026</v>
      </c>
      <c r="K5939">
        <v>5928</v>
      </c>
      <c r="L5939" t="s">
        <v>23</v>
      </c>
      <c r="M5939" t="s">
        <v>14473</v>
      </c>
      <c r="N5939" t="s">
        <v>14474</v>
      </c>
      <c r="O5939" t="s">
        <v>52</v>
      </c>
      <c r="P5939">
        <v>33026</v>
      </c>
      <c r="Q5939">
        <v>5928</v>
      </c>
      <c r="R5939" t="s">
        <v>23</v>
      </c>
      <c r="S5939" s="1" t="s">
        <v>34218</v>
      </c>
    </row>
    <row r="5940" spans="1:19" x14ac:dyDescent="0.25">
      <c r="A5940">
        <v>100582342</v>
      </c>
      <c r="B5940" t="s">
        <v>14475</v>
      </c>
      <c r="C5940" t="s">
        <v>6481</v>
      </c>
      <c r="G5940" t="s">
        <v>14476</v>
      </c>
      <c r="H5940" t="s">
        <v>14477</v>
      </c>
      <c r="I5940" t="s">
        <v>148</v>
      </c>
      <c r="J5940">
        <v>21871</v>
      </c>
      <c r="K5940">
        <v>3567</v>
      </c>
      <c r="L5940" t="s">
        <v>23</v>
      </c>
      <c r="M5940" t="s">
        <v>14476</v>
      </c>
      <c r="N5940" t="s">
        <v>14477</v>
      </c>
      <c r="O5940" t="s">
        <v>148</v>
      </c>
      <c r="P5940">
        <v>21871</v>
      </c>
      <c r="Q5940">
        <v>3567</v>
      </c>
      <c r="R5940" t="s">
        <v>23</v>
      </c>
      <c r="S5940" s="1" t="s">
        <v>34218</v>
      </c>
    </row>
    <row r="5941" spans="1:19" x14ac:dyDescent="0.25">
      <c r="A5941">
        <v>100583317</v>
      </c>
      <c r="B5941" t="s">
        <v>14478</v>
      </c>
      <c r="C5941" t="s">
        <v>472</v>
      </c>
      <c r="G5941" t="s">
        <v>14479</v>
      </c>
      <c r="H5941" t="s">
        <v>2050</v>
      </c>
      <c r="I5941" t="s">
        <v>148</v>
      </c>
      <c r="J5941">
        <v>21921</v>
      </c>
      <c r="K5941">
        <v>6449</v>
      </c>
      <c r="L5941" t="s">
        <v>23</v>
      </c>
      <c r="M5941" t="s">
        <v>14479</v>
      </c>
      <c r="N5941" t="s">
        <v>2050</v>
      </c>
      <c r="O5941" t="s">
        <v>148</v>
      </c>
      <c r="P5941">
        <v>21921</v>
      </c>
      <c r="Q5941">
        <v>6449</v>
      </c>
      <c r="R5941" t="s">
        <v>23</v>
      </c>
      <c r="S5941" s="1" t="s">
        <v>34218</v>
      </c>
    </row>
    <row r="5942" spans="1:19" x14ac:dyDescent="0.25">
      <c r="A5942">
        <v>100581480</v>
      </c>
      <c r="B5942" t="s">
        <v>11989</v>
      </c>
      <c r="C5942" t="s">
        <v>123</v>
      </c>
      <c r="G5942" t="s">
        <v>14480</v>
      </c>
      <c r="H5942" t="s">
        <v>4953</v>
      </c>
      <c r="I5942" t="s">
        <v>2566</v>
      </c>
      <c r="J5942">
        <v>99801</v>
      </c>
      <c r="K5942">
        <v>1933</v>
      </c>
      <c r="L5942" t="s">
        <v>23</v>
      </c>
      <c r="M5942" t="s">
        <v>14480</v>
      </c>
      <c r="N5942" t="s">
        <v>4953</v>
      </c>
      <c r="O5942" t="s">
        <v>2566</v>
      </c>
      <c r="P5942">
        <v>99801</v>
      </c>
      <c r="Q5942">
        <v>1933</v>
      </c>
      <c r="R5942" t="s">
        <v>23</v>
      </c>
      <c r="S5942" s="1" t="s">
        <v>34218</v>
      </c>
    </row>
    <row r="5943" spans="1:19" x14ac:dyDescent="0.25">
      <c r="A5943">
        <v>100584632</v>
      </c>
      <c r="B5943" t="s">
        <v>14481</v>
      </c>
      <c r="C5943" t="s">
        <v>382</v>
      </c>
      <c r="G5943" t="s">
        <v>14482</v>
      </c>
      <c r="H5943" t="s">
        <v>6964</v>
      </c>
      <c r="I5943" t="s">
        <v>178</v>
      </c>
      <c r="J5943">
        <v>44090</v>
      </c>
      <c r="K5943">
        <v>9820</v>
      </c>
      <c r="L5943" t="s">
        <v>23</v>
      </c>
      <c r="M5943" t="s">
        <v>14482</v>
      </c>
      <c r="N5943" t="s">
        <v>6964</v>
      </c>
      <c r="O5943" t="s">
        <v>178</v>
      </c>
      <c r="P5943">
        <v>44090</v>
      </c>
      <c r="Q5943">
        <v>9820</v>
      </c>
      <c r="R5943" t="s">
        <v>23</v>
      </c>
      <c r="S5943" s="1" t="s">
        <v>34218</v>
      </c>
    </row>
    <row r="5944" spans="1:19" x14ac:dyDescent="0.25">
      <c r="A5944">
        <v>100593753</v>
      </c>
      <c r="B5944" t="s">
        <v>14483</v>
      </c>
      <c r="C5944" t="s">
        <v>12846</v>
      </c>
      <c r="G5944" t="s">
        <v>14484</v>
      </c>
      <c r="H5944" t="s">
        <v>13219</v>
      </c>
      <c r="I5944" t="s">
        <v>117</v>
      </c>
      <c r="J5944">
        <v>11801</v>
      </c>
      <c r="K5944">
        <v>3864</v>
      </c>
      <c r="L5944" t="s">
        <v>23</v>
      </c>
      <c r="M5944" t="s">
        <v>14484</v>
      </c>
      <c r="N5944" t="s">
        <v>13219</v>
      </c>
      <c r="O5944" t="s">
        <v>117</v>
      </c>
      <c r="P5944">
        <v>11801</v>
      </c>
      <c r="Q5944">
        <v>3864</v>
      </c>
      <c r="R5944" t="s">
        <v>23</v>
      </c>
      <c r="S5944" s="1" t="s">
        <v>34218</v>
      </c>
    </row>
    <row r="5945" spans="1:19" x14ac:dyDescent="0.25">
      <c r="A5945">
        <v>100589310</v>
      </c>
      <c r="B5945" t="s">
        <v>216</v>
      </c>
      <c r="C5945" t="s">
        <v>1773</v>
      </c>
      <c r="G5945" t="s">
        <v>14485</v>
      </c>
      <c r="H5945" t="s">
        <v>6973</v>
      </c>
      <c r="I5945" t="s">
        <v>2566</v>
      </c>
      <c r="J5945">
        <v>99835</v>
      </c>
      <c r="K5945">
        <v>7030</v>
      </c>
      <c r="L5945" t="s">
        <v>23</v>
      </c>
      <c r="M5945" t="s">
        <v>14485</v>
      </c>
      <c r="N5945" t="s">
        <v>6973</v>
      </c>
      <c r="O5945" t="s">
        <v>2566</v>
      </c>
      <c r="P5945">
        <v>99835</v>
      </c>
      <c r="Q5945">
        <v>7030</v>
      </c>
      <c r="R5945" t="s">
        <v>23</v>
      </c>
      <c r="S5945" s="1" t="s">
        <v>34218</v>
      </c>
    </row>
    <row r="5946" spans="1:19" x14ac:dyDescent="0.25">
      <c r="A5946">
        <v>100595371</v>
      </c>
      <c r="B5946" t="s">
        <v>2074</v>
      </c>
      <c r="C5946" t="s">
        <v>3376</v>
      </c>
      <c r="G5946" t="s">
        <v>14486</v>
      </c>
      <c r="H5946" t="s">
        <v>12456</v>
      </c>
      <c r="I5946" t="s">
        <v>178</v>
      </c>
      <c r="J5946">
        <v>44074</v>
      </c>
      <c r="K5946">
        <v>1725</v>
      </c>
      <c r="L5946" t="s">
        <v>23</v>
      </c>
      <c r="M5946" t="s">
        <v>14486</v>
      </c>
      <c r="N5946" t="s">
        <v>12456</v>
      </c>
      <c r="O5946" t="s">
        <v>178</v>
      </c>
      <c r="P5946">
        <v>44074</v>
      </c>
      <c r="Q5946">
        <v>1725</v>
      </c>
      <c r="R5946" t="s">
        <v>23</v>
      </c>
      <c r="S5946" s="1" t="s">
        <v>34218</v>
      </c>
    </row>
    <row r="5947" spans="1:19" x14ac:dyDescent="0.25">
      <c r="A5947">
        <v>100594811</v>
      </c>
      <c r="B5947" t="s">
        <v>3893</v>
      </c>
      <c r="C5947" t="s">
        <v>787</v>
      </c>
      <c r="G5947" t="s">
        <v>14487</v>
      </c>
      <c r="H5947" t="s">
        <v>11984</v>
      </c>
      <c r="I5947" t="s">
        <v>43</v>
      </c>
      <c r="J5947">
        <v>97035</v>
      </c>
      <c r="K5947">
        <v>3592</v>
      </c>
      <c r="L5947" t="s">
        <v>23</v>
      </c>
      <c r="M5947" t="s">
        <v>14487</v>
      </c>
      <c r="N5947" t="s">
        <v>11984</v>
      </c>
      <c r="O5947" t="s">
        <v>43</v>
      </c>
      <c r="P5947">
        <v>97035</v>
      </c>
      <c r="Q5947">
        <v>3592</v>
      </c>
      <c r="R5947" t="s">
        <v>23</v>
      </c>
      <c r="S5947" s="1" t="s">
        <v>34218</v>
      </c>
    </row>
    <row r="5948" spans="1:19" x14ac:dyDescent="0.25">
      <c r="A5948">
        <v>100595098</v>
      </c>
      <c r="B5948" t="s">
        <v>14488</v>
      </c>
      <c r="C5948" t="s">
        <v>472</v>
      </c>
      <c r="F5948" t="str">
        <f>"8452680000"</f>
        <v>8452680000</v>
      </c>
      <c r="G5948" t="s">
        <v>14489</v>
      </c>
      <c r="H5948" t="s">
        <v>14490</v>
      </c>
      <c r="I5948" t="s">
        <v>117</v>
      </c>
      <c r="J5948">
        <v>10989</v>
      </c>
      <c r="K5948">
        <v>1949</v>
      </c>
      <c r="L5948" t="s">
        <v>23</v>
      </c>
      <c r="M5948" t="s">
        <v>14489</v>
      </c>
      <c r="N5948" t="s">
        <v>14490</v>
      </c>
      <c r="O5948" t="s">
        <v>117</v>
      </c>
      <c r="P5948">
        <v>10989</v>
      </c>
      <c r="Q5948">
        <v>1949</v>
      </c>
      <c r="R5948" t="s">
        <v>23</v>
      </c>
      <c r="S5948" s="1" t="s">
        <v>34218</v>
      </c>
    </row>
    <row r="5949" spans="1:19" x14ac:dyDescent="0.25">
      <c r="A5949">
        <v>100598508</v>
      </c>
      <c r="B5949" t="s">
        <v>6328</v>
      </c>
      <c r="C5949" t="s">
        <v>1278</v>
      </c>
      <c r="G5949" t="s">
        <v>14491</v>
      </c>
      <c r="H5949" t="s">
        <v>6735</v>
      </c>
      <c r="I5949" t="s">
        <v>236</v>
      </c>
      <c r="J5949">
        <v>1966</v>
      </c>
      <c r="K5949">
        <v>1006</v>
      </c>
      <c r="L5949" t="s">
        <v>23</v>
      </c>
      <c r="M5949" t="s">
        <v>14491</v>
      </c>
      <c r="N5949" t="s">
        <v>6735</v>
      </c>
      <c r="O5949" t="s">
        <v>236</v>
      </c>
      <c r="P5949">
        <v>1966</v>
      </c>
      <c r="Q5949">
        <v>1006</v>
      </c>
      <c r="R5949" t="s">
        <v>23</v>
      </c>
      <c r="S5949" s="1" t="s">
        <v>34218</v>
      </c>
    </row>
    <row r="5950" spans="1:19" x14ac:dyDescent="0.25">
      <c r="A5950">
        <v>100598025</v>
      </c>
      <c r="B5950" t="s">
        <v>7367</v>
      </c>
      <c r="C5950" t="s">
        <v>158</v>
      </c>
      <c r="G5950" t="s">
        <v>14492</v>
      </c>
      <c r="H5950" t="s">
        <v>37</v>
      </c>
      <c r="I5950" t="s">
        <v>38</v>
      </c>
      <c r="J5950">
        <v>78704</v>
      </c>
      <c r="K5950">
        <v>3110</v>
      </c>
      <c r="L5950" t="s">
        <v>23</v>
      </c>
      <c r="M5950" t="s">
        <v>14492</v>
      </c>
      <c r="N5950" t="s">
        <v>37</v>
      </c>
      <c r="O5950" t="s">
        <v>38</v>
      </c>
      <c r="P5950">
        <v>78704</v>
      </c>
      <c r="Q5950">
        <v>3110</v>
      </c>
      <c r="R5950" t="s">
        <v>23</v>
      </c>
      <c r="S5950" s="1" t="s">
        <v>34218</v>
      </c>
    </row>
    <row r="5951" spans="1:19" x14ac:dyDescent="0.25">
      <c r="A5951">
        <v>100590546</v>
      </c>
      <c r="B5951" t="s">
        <v>14493</v>
      </c>
      <c r="C5951" t="s">
        <v>2796</v>
      </c>
      <c r="G5951" t="s">
        <v>14494</v>
      </c>
      <c r="H5951" t="s">
        <v>4172</v>
      </c>
      <c r="I5951" t="s">
        <v>43</v>
      </c>
      <c r="J5951">
        <v>97132</v>
      </c>
      <c r="K5951">
        <v>7496</v>
      </c>
      <c r="L5951" t="s">
        <v>23</v>
      </c>
      <c r="M5951" t="s">
        <v>14494</v>
      </c>
      <c r="N5951" t="s">
        <v>4172</v>
      </c>
      <c r="O5951" t="s">
        <v>43</v>
      </c>
      <c r="P5951">
        <v>97132</v>
      </c>
      <c r="Q5951">
        <v>7496</v>
      </c>
      <c r="R5951" t="s">
        <v>23</v>
      </c>
      <c r="S5951" s="1" t="s">
        <v>34218</v>
      </c>
    </row>
    <row r="5952" spans="1:19" x14ac:dyDescent="0.25">
      <c r="A5952">
        <v>100599798</v>
      </c>
      <c r="B5952" t="s">
        <v>14495</v>
      </c>
      <c r="C5952" t="s">
        <v>1124</v>
      </c>
      <c r="G5952" t="s">
        <v>14496</v>
      </c>
      <c r="H5952" t="s">
        <v>14497</v>
      </c>
      <c r="I5952" t="s">
        <v>255</v>
      </c>
      <c r="J5952">
        <v>24558</v>
      </c>
      <c r="K5952">
        <v>2137</v>
      </c>
      <c r="L5952" t="s">
        <v>23</v>
      </c>
      <c r="M5952" t="s">
        <v>14496</v>
      </c>
      <c r="N5952" t="s">
        <v>14497</v>
      </c>
      <c r="O5952" t="s">
        <v>255</v>
      </c>
      <c r="P5952">
        <v>24558</v>
      </c>
      <c r="Q5952">
        <v>2137</v>
      </c>
      <c r="R5952" t="s">
        <v>23</v>
      </c>
      <c r="S5952" s="1" t="s">
        <v>34218</v>
      </c>
    </row>
    <row r="5953" spans="1:19" x14ac:dyDescent="0.25">
      <c r="A5953">
        <v>100602933</v>
      </c>
      <c r="B5953" t="s">
        <v>14498</v>
      </c>
      <c r="C5953" t="s">
        <v>1239</v>
      </c>
      <c r="G5953" t="s">
        <v>14499</v>
      </c>
      <c r="H5953" t="s">
        <v>14500</v>
      </c>
      <c r="I5953" t="s">
        <v>84</v>
      </c>
      <c r="J5953">
        <v>98166</v>
      </c>
      <c r="K5953">
        <v>4243</v>
      </c>
      <c r="L5953" t="s">
        <v>23</v>
      </c>
      <c r="M5953" t="s">
        <v>14499</v>
      </c>
      <c r="N5953" t="s">
        <v>14500</v>
      </c>
      <c r="O5953" t="s">
        <v>84</v>
      </c>
      <c r="P5953">
        <v>98166</v>
      </c>
      <c r="Q5953">
        <v>4243</v>
      </c>
      <c r="R5953" t="s">
        <v>23</v>
      </c>
      <c r="S5953" s="1" t="s">
        <v>34218</v>
      </c>
    </row>
    <row r="5954" spans="1:19" x14ac:dyDescent="0.25">
      <c r="A5954">
        <v>100785165</v>
      </c>
      <c r="B5954" t="s">
        <v>1164</v>
      </c>
      <c r="C5954" t="s">
        <v>6055</v>
      </c>
      <c r="G5954" t="s">
        <v>14501</v>
      </c>
      <c r="H5954" t="s">
        <v>11620</v>
      </c>
      <c r="I5954" t="s">
        <v>236</v>
      </c>
      <c r="J5954">
        <v>1267</v>
      </c>
      <c r="K5954">
        <v>2943</v>
      </c>
      <c r="L5954" t="s">
        <v>23</v>
      </c>
      <c r="M5954" t="s">
        <v>14501</v>
      </c>
      <c r="N5954" t="s">
        <v>11620</v>
      </c>
      <c r="O5954" t="s">
        <v>236</v>
      </c>
      <c r="P5954">
        <v>1267</v>
      </c>
      <c r="Q5954">
        <v>2943</v>
      </c>
      <c r="R5954" t="s">
        <v>23</v>
      </c>
      <c r="S5954" s="1" t="s">
        <v>34218</v>
      </c>
    </row>
    <row r="5955" spans="1:19" x14ac:dyDescent="0.25">
      <c r="A5955">
        <v>100792708</v>
      </c>
      <c r="B5955" t="s">
        <v>3429</v>
      </c>
      <c r="C5955" t="s">
        <v>382</v>
      </c>
      <c r="G5955" t="s">
        <v>14502</v>
      </c>
      <c r="H5955" t="s">
        <v>130</v>
      </c>
      <c r="I5955" t="s">
        <v>22</v>
      </c>
      <c r="J5955">
        <v>94110</v>
      </c>
      <c r="K5955">
        <v>1525</v>
      </c>
      <c r="L5955" t="s">
        <v>23</v>
      </c>
      <c r="M5955" t="s">
        <v>14502</v>
      </c>
      <c r="N5955" t="s">
        <v>130</v>
      </c>
      <c r="O5955" t="s">
        <v>22</v>
      </c>
      <c r="P5955">
        <v>94110</v>
      </c>
      <c r="Q5955">
        <v>1525</v>
      </c>
      <c r="R5955" t="s">
        <v>23</v>
      </c>
      <c r="S5955" s="1" t="s">
        <v>34218</v>
      </c>
    </row>
    <row r="5956" spans="1:19" x14ac:dyDescent="0.25">
      <c r="A5956">
        <v>100792706</v>
      </c>
      <c r="B5956" t="s">
        <v>3228</v>
      </c>
      <c r="C5956" t="s">
        <v>30</v>
      </c>
      <c r="F5956" t="str">
        <f>"3102044525"</f>
        <v>3102044525</v>
      </c>
      <c r="G5956" t="s">
        <v>14503</v>
      </c>
      <c r="H5956" t="s">
        <v>299</v>
      </c>
      <c r="I5956" t="s">
        <v>22</v>
      </c>
      <c r="J5956">
        <v>90034</v>
      </c>
      <c r="K5956">
        <v>4983</v>
      </c>
      <c r="L5956" t="s">
        <v>23</v>
      </c>
      <c r="M5956" t="s">
        <v>14503</v>
      </c>
      <c r="N5956" t="s">
        <v>299</v>
      </c>
      <c r="O5956" t="s">
        <v>22</v>
      </c>
      <c r="P5956">
        <v>90034</v>
      </c>
      <c r="Q5956">
        <v>4983</v>
      </c>
      <c r="R5956" t="s">
        <v>23</v>
      </c>
      <c r="S5956" s="1" t="s">
        <v>34218</v>
      </c>
    </row>
    <row r="5957" spans="1:19" x14ac:dyDescent="0.25">
      <c r="A5957">
        <v>100787968</v>
      </c>
      <c r="B5957" t="s">
        <v>14504</v>
      </c>
      <c r="C5957" t="s">
        <v>403</v>
      </c>
      <c r="G5957" t="s">
        <v>14505</v>
      </c>
      <c r="H5957" t="s">
        <v>14506</v>
      </c>
      <c r="I5957" t="s">
        <v>52</v>
      </c>
      <c r="J5957">
        <v>33150</v>
      </c>
      <c r="K5957">
        <v>1207</v>
      </c>
      <c r="L5957" t="s">
        <v>23</v>
      </c>
      <c r="M5957" t="s">
        <v>14505</v>
      </c>
      <c r="N5957" t="s">
        <v>14506</v>
      </c>
      <c r="O5957" t="s">
        <v>52</v>
      </c>
      <c r="P5957">
        <v>33150</v>
      </c>
      <c r="Q5957">
        <v>1207</v>
      </c>
      <c r="R5957" t="s">
        <v>23</v>
      </c>
      <c r="S5957" s="1" t="s">
        <v>34218</v>
      </c>
    </row>
    <row r="5958" spans="1:19" x14ac:dyDescent="0.25">
      <c r="A5958">
        <v>100787860</v>
      </c>
      <c r="B5958" t="s">
        <v>3828</v>
      </c>
      <c r="C5958" t="s">
        <v>1377</v>
      </c>
      <c r="G5958" t="s">
        <v>14507</v>
      </c>
      <c r="H5958" t="s">
        <v>3129</v>
      </c>
      <c r="I5958" t="s">
        <v>84</v>
      </c>
      <c r="J5958">
        <v>99208</v>
      </c>
      <c r="K5958">
        <v>6159</v>
      </c>
      <c r="L5958" t="s">
        <v>23</v>
      </c>
      <c r="M5958" t="s">
        <v>14507</v>
      </c>
      <c r="N5958" t="s">
        <v>3129</v>
      </c>
      <c r="O5958" t="s">
        <v>84</v>
      </c>
      <c r="P5958">
        <v>99208</v>
      </c>
      <c r="Q5958">
        <v>6159</v>
      </c>
      <c r="R5958" t="s">
        <v>23</v>
      </c>
      <c r="S5958" s="1" t="s">
        <v>34218</v>
      </c>
    </row>
    <row r="5959" spans="1:19" x14ac:dyDescent="0.25">
      <c r="A5959">
        <v>100794717</v>
      </c>
      <c r="B5959" t="s">
        <v>14508</v>
      </c>
      <c r="C5959" t="s">
        <v>14509</v>
      </c>
      <c r="G5959" t="s">
        <v>14510</v>
      </c>
      <c r="H5959" t="s">
        <v>14511</v>
      </c>
      <c r="I5959" t="s">
        <v>135</v>
      </c>
      <c r="J5959">
        <v>61813</v>
      </c>
      <c r="K5959">
        <v>1553</v>
      </c>
      <c r="L5959" t="s">
        <v>23</v>
      </c>
      <c r="M5959" t="s">
        <v>14510</v>
      </c>
      <c r="N5959" t="s">
        <v>14511</v>
      </c>
      <c r="O5959" t="s">
        <v>135</v>
      </c>
      <c r="P5959">
        <v>61813</v>
      </c>
      <c r="Q5959">
        <v>1553</v>
      </c>
      <c r="R5959" t="s">
        <v>23</v>
      </c>
      <c r="S5959" s="1" t="s">
        <v>34218</v>
      </c>
    </row>
    <row r="5960" spans="1:19" x14ac:dyDescent="0.25">
      <c r="A5960">
        <v>100803909</v>
      </c>
      <c r="B5960" t="s">
        <v>829</v>
      </c>
      <c r="C5960" t="s">
        <v>102</v>
      </c>
      <c r="G5960" t="s">
        <v>14512</v>
      </c>
      <c r="H5960" t="s">
        <v>3884</v>
      </c>
      <c r="I5960" t="s">
        <v>84</v>
      </c>
      <c r="J5960">
        <v>98260</v>
      </c>
      <c r="K5960">
        <v>112</v>
      </c>
      <c r="L5960" t="s">
        <v>23</v>
      </c>
      <c r="M5960" t="s">
        <v>14512</v>
      </c>
      <c r="N5960" t="s">
        <v>3884</v>
      </c>
      <c r="O5960" t="s">
        <v>84</v>
      </c>
      <c r="P5960">
        <v>98260</v>
      </c>
      <c r="Q5960">
        <v>112</v>
      </c>
      <c r="R5960" t="s">
        <v>23</v>
      </c>
      <c r="S5960" s="1" t="s">
        <v>34218</v>
      </c>
    </row>
    <row r="5961" spans="1:19" x14ac:dyDescent="0.25">
      <c r="A5961">
        <v>100804979</v>
      </c>
      <c r="B5961" t="s">
        <v>14513</v>
      </c>
      <c r="C5961" t="s">
        <v>64</v>
      </c>
      <c r="F5961" t="str">
        <f>"6508567809"</f>
        <v>6508567809</v>
      </c>
      <c r="G5961" t="s">
        <v>14514</v>
      </c>
      <c r="H5961" t="s">
        <v>1325</v>
      </c>
      <c r="I5961" t="s">
        <v>22</v>
      </c>
      <c r="J5961">
        <v>94306</v>
      </c>
      <c r="K5961">
        <v>2944</v>
      </c>
      <c r="L5961" t="s">
        <v>23</v>
      </c>
      <c r="M5961" t="s">
        <v>14514</v>
      </c>
      <c r="N5961" t="s">
        <v>1325</v>
      </c>
      <c r="O5961" t="s">
        <v>22</v>
      </c>
      <c r="P5961">
        <v>94306</v>
      </c>
      <c r="Q5961">
        <v>2944</v>
      </c>
      <c r="R5961" t="s">
        <v>23</v>
      </c>
      <c r="S5961" s="1" t="s">
        <v>34218</v>
      </c>
    </row>
    <row r="5962" spans="1:19" x14ac:dyDescent="0.25">
      <c r="A5962">
        <v>101019277</v>
      </c>
      <c r="B5962" t="s">
        <v>1339</v>
      </c>
      <c r="C5962" t="s">
        <v>406</v>
      </c>
      <c r="G5962" t="s">
        <v>14515</v>
      </c>
      <c r="H5962" t="s">
        <v>14516</v>
      </c>
      <c r="I5962" t="s">
        <v>100</v>
      </c>
      <c r="J5962">
        <v>53074</v>
      </c>
      <c r="K5962">
        <v>1211</v>
      </c>
      <c r="L5962" t="s">
        <v>23</v>
      </c>
      <c r="M5962" t="s">
        <v>14515</v>
      </c>
      <c r="N5962" t="s">
        <v>14516</v>
      </c>
      <c r="O5962" t="s">
        <v>100</v>
      </c>
      <c r="P5962">
        <v>53074</v>
      </c>
      <c r="Q5962">
        <v>1211</v>
      </c>
      <c r="R5962" t="s">
        <v>23</v>
      </c>
      <c r="S5962" s="1" t="s">
        <v>34218</v>
      </c>
    </row>
    <row r="5963" spans="1:19" x14ac:dyDescent="0.25">
      <c r="A5963">
        <v>101018974</v>
      </c>
      <c r="B5963" t="s">
        <v>1714</v>
      </c>
      <c r="C5963" t="s">
        <v>644</v>
      </c>
      <c r="G5963" t="s">
        <v>14517</v>
      </c>
      <c r="H5963" t="s">
        <v>3169</v>
      </c>
      <c r="I5963" t="s">
        <v>84</v>
      </c>
      <c r="J5963">
        <v>98402</v>
      </c>
      <c r="K5963">
        <v>3724</v>
      </c>
      <c r="L5963" t="s">
        <v>23</v>
      </c>
      <c r="M5963" t="s">
        <v>14517</v>
      </c>
      <c r="N5963" t="s">
        <v>3169</v>
      </c>
      <c r="O5963" t="s">
        <v>84</v>
      </c>
      <c r="P5963">
        <v>98402</v>
      </c>
      <c r="Q5963">
        <v>3724</v>
      </c>
      <c r="R5963" t="s">
        <v>23</v>
      </c>
      <c r="S5963" s="1" t="s">
        <v>34218</v>
      </c>
    </row>
    <row r="5964" spans="1:19" x14ac:dyDescent="0.25">
      <c r="A5964">
        <v>101019001</v>
      </c>
      <c r="B5964" t="s">
        <v>5379</v>
      </c>
      <c r="C5964" t="s">
        <v>180</v>
      </c>
      <c r="G5964" t="s">
        <v>14518</v>
      </c>
      <c r="H5964" t="s">
        <v>3571</v>
      </c>
      <c r="I5964" t="s">
        <v>62</v>
      </c>
      <c r="J5964">
        <v>74074</v>
      </c>
      <c r="K5964">
        <v>2389</v>
      </c>
      <c r="L5964" t="s">
        <v>23</v>
      </c>
      <c r="M5964" t="s">
        <v>14518</v>
      </c>
      <c r="N5964" t="s">
        <v>3571</v>
      </c>
      <c r="O5964" t="s">
        <v>62</v>
      </c>
      <c r="P5964">
        <v>74074</v>
      </c>
      <c r="Q5964">
        <v>2389</v>
      </c>
      <c r="R5964" t="s">
        <v>23</v>
      </c>
      <c r="S5964" s="1" t="s">
        <v>34218</v>
      </c>
    </row>
    <row r="5965" spans="1:19" x14ac:dyDescent="0.25">
      <c r="A5965">
        <v>101025593</v>
      </c>
      <c r="B5965" t="s">
        <v>14519</v>
      </c>
      <c r="C5965" t="s">
        <v>14520</v>
      </c>
      <c r="G5965" t="s">
        <v>14521</v>
      </c>
      <c r="H5965" t="s">
        <v>134</v>
      </c>
      <c r="I5965" t="s">
        <v>135</v>
      </c>
      <c r="J5965">
        <v>60639</v>
      </c>
      <c r="K5965">
        <v>5220</v>
      </c>
      <c r="L5965" t="s">
        <v>23</v>
      </c>
      <c r="M5965" t="s">
        <v>14521</v>
      </c>
      <c r="N5965" t="s">
        <v>134</v>
      </c>
      <c r="O5965" t="s">
        <v>135</v>
      </c>
      <c r="P5965">
        <v>60639</v>
      </c>
      <c r="Q5965">
        <v>5220</v>
      </c>
      <c r="R5965" t="s">
        <v>23</v>
      </c>
      <c r="S5965" s="1" t="s">
        <v>34218</v>
      </c>
    </row>
    <row r="5966" spans="1:19" x14ac:dyDescent="0.25">
      <c r="A5966">
        <v>101025012</v>
      </c>
      <c r="B5966" t="s">
        <v>14522</v>
      </c>
      <c r="C5966" t="s">
        <v>1579</v>
      </c>
      <c r="G5966" t="s">
        <v>14523</v>
      </c>
      <c r="H5966" t="s">
        <v>134</v>
      </c>
      <c r="I5966" t="s">
        <v>135</v>
      </c>
      <c r="J5966">
        <v>60617</v>
      </c>
      <c r="K5966">
        <v>5545</v>
      </c>
      <c r="L5966" t="s">
        <v>23</v>
      </c>
      <c r="M5966" t="s">
        <v>14523</v>
      </c>
      <c r="N5966" t="s">
        <v>134</v>
      </c>
      <c r="O5966" t="s">
        <v>135</v>
      </c>
      <c r="P5966">
        <v>60617</v>
      </c>
      <c r="Q5966">
        <v>5545</v>
      </c>
      <c r="R5966" t="s">
        <v>23</v>
      </c>
      <c r="S5966" s="1" t="s">
        <v>34218</v>
      </c>
    </row>
    <row r="5967" spans="1:19" x14ac:dyDescent="0.25">
      <c r="A5967">
        <v>101032312</v>
      </c>
      <c r="B5967" t="s">
        <v>14524</v>
      </c>
      <c r="C5967" t="s">
        <v>9958</v>
      </c>
      <c r="G5967" t="s">
        <v>14525</v>
      </c>
      <c r="H5967" t="s">
        <v>1535</v>
      </c>
      <c r="I5967" t="s">
        <v>22</v>
      </c>
      <c r="J5967">
        <v>94941</v>
      </c>
      <c r="K5967">
        <v>3933</v>
      </c>
      <c r="L5967" t="s">
        <v>23</v>
      </c>
      <c r="M5967" t="s">
        <v>14525</v>
      </c>
      <c r="N5967" t="s">
        <v>1535</v>
      </c>
      <c r="O5967" t="s">
        <v>22</v>
      </c>
      <c r="P5967">
        <v>94941</v>
      </c>
      <c r="Q5967">
        <v>3933</v>
      </c>
      <c r="R5967" t="s">
        <v>23</v>
      </c>
      <c r="S5967" s="1" t="s">
        <v>34218</v>
      </c>
    </row>
    <row r="5968" spans="1:19" x14ac:dyDescent="0.25">
      <c r="A5968">
        <v>101482825</v>
      </c>
      <c r="B5968" t="s">
        <v>9471</v>
      </c>
      <c r="C5968" t="s">
        <v>9096</v>
      </c>
      <c r="G5968" t="s">
        <v>14526</v>
      </c>
      <c r="H5968" t="s">
        <v>805</v>
      </c>
      <c r="I5968" t="s">
        <v>57</v>
      </c>
      <c r="J5968">
        <v>47150</v>
      </c>
      <c r="K5968">
        <v>9111</v>
      </c>
      <c r="L5968" t="s">
        <v>23</v>
      </c>
      <c r="M5968" t="s">
        <v>14526</v>
      </c>
      <c r="N5968" t="s">
        <v>805</v>
      </c>
      <c r="O5968" t="s">
        <v>57</v>
      </c>
      <c r="P5968">
        <v>47150</v>
      </c>
      <c r="Q5968">
        <v>9111</v>
      </c>
      <c r="R5968" t="s">
        <v>23</v>
      </c>
      <c r="S5968" s="1" t="s">
        <v>34218</v>
      </c>
    </row>
    <row r="5969" spans="1:19" x14ac:dyDescent="0.25">
      <c r="A5969">
        <v>100660650</v>
      </c>
      <c r="B5969" t="s">
        <v>14527</v>
      </c>
      <c r="C5969" t="s">
        <v>286</v>
      </c>
      <c r="G5969" t="s">
        <v>14528</v>
      </c>
      <c r="H5969" t="s">
        <v>650</v>
      </c>
      <c r="I5969" t="s">
        <v>22</v>
      </c>
      <c r="J5969">
        <v>95818</v>
      </c>
      <c r="K5969">
        <v>3929</v>
      </c>
      <c r="L5969" t="s">
        <v>23</v>
      </c>
      <c r="M5969" t="s">
        <v>14528</v>
      </c>
      <c r="N5969" t="s">
        <v>650</v>
      </c>
      <c r="O5969" t="s">
        <v>22</v>
      </c>
      <c r="P5969">
        <v>95818</v>
      </c>
      <c r="Q5969">
        <v>3929</v>
      </c>
      <c r="R5969" t="s">
        <v>23</v>
      </c>
      <c r="S5969" s="1" t="s">
        <v>34218</v>
      </c>
    </row>
    <row r="5970" spans="1:19" x14ac:dyDescent="0.25">
      <c r="A5970">
        <v>100663054</v>
      </c>
      <c r="B5970" t="s">
        <v>1508</v>
      </c>
      <c r="C5970" t="s">
        <v>664</v>
      </c>
      <c r="G5970" t="s">
        <v>14529</v>
      </c>
      <c r="H5970" t="s">
        <v>14530</v>
      </c>
      <c r="I5970" t="s">
        <v>22</v>
      </c>
      <c r="J5970">
        <v>93924</v>
      </c>
      <c r="K5970">
        <v>9755</v>
      </c>
      <c r="L5970" t="s">
        <v>23</v>
      </c>
      <c r="M5970" t="s">
        <v>14529</v>
      </c>
      <c r="N5970" t="s">
        <v>14530</v>
      </c>
      <c r="O5970" t="s">
        <v>22</v>
      </c>
      <c r="P5970">
        <v>93924</v>
      </c>
      <c r="Q5970">
        <v>9755</v>
      </c>
      <c r="R5970" t="s">
        <v>23</v>
      </c>
      <c r="S5970" s="1" t="s">
        <v>34218</v>
      </c>
    </row>
    <row r="5971" spans="1:19" x14ac:dyDescent="0.25">
      <c r="A5971">
        <v>100662374</v>
      </c>
      <c r="B5971" t="s">
        <v>1800</v>
      </c>
      <c r="C5971" t="s">
        <v>30</v>
      </c>
      <c r="G5971" t="s">
        <v>14531</v>
      </c>
      <c r="H5971" t="s">
        <v>7232</v>
      </c>
      <c r="I5971" t="s">
        <v>71</v>
      </c>
      <c r="J5971">
        <v>80437</v>
      </c>
      <c r="K5971">
        <v>1425</v>
      </c>
      <c r="L5971" t="s">
        <v>23</v>
      </c>
      <c r="M5971" t="s">
        <v>14531</v>
      </c>
      <c r="N5971" t="s">
        <v>7232</v>
      </c>
      <c r="O5971" t="s">
        <v>71</v>
      </c>
      <c r="P5971">
        <v>80437</v>
      </c>
      <c r="Q5971">
        <v>1425</v>
      </c>
      <c r="R5971" t="s">
        <v>23</v>
      </c>
      <c r="S5971" s="1" t="s">
        <v>34218</v>
      </c>
    </row>
    <row r="5972" spans="1:19" x14ac:dyDescent="0.25">
      <c r="A5972">
        <v>100664390</v>
      </c>
      <c r="B5972" t="s">
        <v>2637</v>
      </c>
      <c r="C5972" t="s">
        <v>14532</v>
      </c>
      <c r="G5972" t="s">
        <v>14533</v>
      </c>
      <c r="H5972" t="s">
        <v>13992</v>
      </c>
      <c r="I5972" t="s">
        <v>52</v>
      </c>
      <c r="J5972">
        <v>32779</v>
      </c>
      <c r="K5972">
        <v>4973</v>
      </c>
      <c r="L5972" t="s">
        <v>23</v>
      </c>
      <c r="M5972" t="s">
        <v>14533</v>
      </c>
      <c r="N5972" t="s">
        <v>13992</v>
      </c>
      <c r="O5972" t="s">
        <v>52</v>
      </c>
      <c r="P5972">
        <v>32779</v>
      </c>
      <c r="Q5972">
        <v>4973</v>
      </c>
      <c r="R5972" t="s">
        <v>23</v>
      </c>
      <c r="S5972" s="1" t="s">
        <v>34218</v>
      </c>
    </row>
    <row r="5973" spans="1:19" x14ac:dyDescent="0.25">
      <c r="A5973">
        <v>100668531</v>
      </c>
      <c r="B5973" t="s">
        <v>14534</v>
      </c>
      <c r="C5973" t="s">
        <v>14535</v>
      </c>
      <c r="G5973" t="s">
        <v>14536</v>
      </c>
      <c r="H5973" t="s">
        <v>1889</v>
      </c>
      <c r="I5973" t="s">
        <v>38</v>
      </c>
      <c r="J5973">
        <v>75082</v>
      </c>
      <c r="K5973">
        <v>3258</v>
      </c>
      <c r="L5973" t="s">
        <v>23</v>
      </c>
      <c r="M5973" t="s">
        <v>14536</v>
      </c>
      <c r="N5973" t="s">
        <v>1889</v>
      </c>
      <c r="O5973" t="s">
        <v>38</v>
      </c>
      <c r="P5973">
        <v>75082</v>
      </c>
      <c r="Q5973">
        <v>3258</v>
      </c>
      <c r="R5973" t="s">
        <v>23</v>
      </c>
      <c r="S5973" s="1" t="s">
        <v>34218</v>
      </c>
    </row>
    <row r="5974" spans="1:19" x14ac:dyDescent="0.25">
      <c r="A5974">
        <v>100670925</v>
      </c>
      <c r="B5974" t="s">
        <v>14537</v>
      </c>
      <c r="C5974" t="s">
        <v>14538</v>
      </c>
      <c r="G5974" t="s">
        <v>14539</v>
      </c>
      <c r="H5974" t="s">
        <v>9018</v>
      </c>
      <c r="I5974" t="s">
        <v>22</v>
      </c>
      <c r="J5974">
        <v>92677</v>
      </c>
      <c r="K5974">
        <v>5724</v>
      </c>
      <c r="L5974" t="s">
        <v>23</v>
      </c>
      <c r="M5974" t="s">
        <v>14539</v>
      </c>
      <c r="N5974" t="s">
        <v>9018</v>
      </c>
      <c r="O5974" t="s">
        <v>22</v>
      </c>
      <c r="P5974">
        <v>92677</v>
      </c>
      <c r="Q5974">
        <v>5724</v>
      </c>
      <c r="R5974" t="s">
        <v>23</v>
      </c>
      <c r="S5974" s="1" t="s">
        <v>34218</v>
      </c>
    </row>
    <row r="5975" spans="1:19" x14ac:dyDescent="0.25">
      <c r="A5975">
        <v>100674903</v>
      </c>
      <c r="B5975" t="s">
        <v>14540</v>
      </c>
      <c r="C5975" t="s">
        <v>14541</v>
      </c>
      <c r="G5975" t="s">
        <v>14542</v>
      </c>
      <c r="H5975" t="s">
        <v>14543</v>
      </c>
      <c r="I5975" t="s">
        <v>236</v>
      </c>
      <c r="J5975">
        <v>1337</v>
      </c>
      <c r="K5975">
        <v>9413</v>
      </c>
      <c r="L5975" t="s">
        <v>23</v>
      </c>
      <c r="M5975" t="s">
        <v>14542</v>
      </c>
      <c r="N5975" t="s">
        <v>14543</v>
      </c>
      <c r="O5975" t="s">
        <v>236</v>
      </c>
      <c r="P5975">
        <v>1337</v>
      </c>
      <c r="Q5975">
        <v>9413</v>
      </c>
      <c r="R5975" t="s">
        <v>23</v>
      </c>
      <c r="S5975" s="1" t="s">
        <v>34218</v>
      </c>
    </row>
    <row r="5976" spans="1:19" x14ac:dyDescent="0.25">
      <c r="A5976">
        <v>100675720</v>
      </c>
      <c r="B5976" t="s">
        <v>14544</v>
      </c>
      <c r="C5976" t="s">
        <v>1602</v>
      </c>
      <c r="G5976" t="s">
        <v>14545</v>
      </c>
      <c r="H5976" t="s">
        <v>14546</v>
      </c>
      <c r="I5976" t="s">
        <v>57</v>
      </c>
      <c r="J5976">
        <v>46979</v>
      </c>
      <c r="K5976">
        <v>9744</v>
      </c>
      <c r="L5976" t="s">
        <v>23</v>
      </c>
      <c r="M5976" t="s">
        <v>14545</v>
      </c>
      <c r="N5976" t="s">
        <v>14546</v>
      </c>
      <c r="O5976" t="s">
        <v>57</v>
      </c>
      <c r="P5976">
        <v>46979</v>
      </c>
      <c r="Q5976">
        <v>9744</v>
      </c>
      <c r="R5976" t="s">
        <v>23</v>
      </c>
      <c r="S5976" s="1" t="s">
        <v>34218</v>
      </c>
    </row>
    <row r="5977" spans="1:19" x14ac:dyDescent="0.25">
      <c r="A5977">
        <v>100675765</v>
      </c>
      <c r="B5977" t="s">
        <v>14547</v>
      </c>
      <c r="C5977" t="s">
        <v>641</v>
      </c>
      <c r="G5977" t="s">
        <v>14548</v>
      </c>
      <c r="H5977" t="s">
        <v>14549</v>
      </c>
      <c r="I5977" t="s">
        <v>187</v>
      </c>
      <c r="J5977">
        <v>55340</v>
      </c>
      <c r="K5977">
        <v>9719</v>
      </c>
      <c r="L5977" t="s">
        <v>23</v>
      </c>
      <c r="M5977" t="s">
        <v>14548</v>
      </c>
      <c r="N5977" t="s">
        <v>14549</v>
      </c>
      <c r="O5977" t="s">
        <v>187</v>
      </c>
      <c r="P5977">
        <v>55340</v>
      </c>
      <c r="Q5977">
        <v>9719</v>
      </c>
      <c r="R5977" t="s">
        <v>23</v>
      </c>
      <c r="S5977" s="1" t="s">
        <v>34218</v>
      </c>
    </row>
    <row r="5978" spans="1:19" x14ac:dyDescent="0.25">
      <c r="A5978">
        <v>100679537</v>
      </c>
      <c r="B5978" t="s">
        <v>416</v>
      </c>
      <c r="C5978" t="s">
        <v>1205</v>
      </c>
      <c r="G5978" t="s">
        <v>14550</v>
      </c>
      <c r="H5978" t="s">
        <v>3884</v>
      </c>
      <c r="I5978" t="s">
        <v>84</v>
      </c>
      <c r="J5978">
        <v>98260</v>
      </c>
      <c r="K5978">
        <v>8727</v>
      </c>
      <c r="L5978" t="s">
        <v>23</v>
      </c>
      <c r="M5978" t="s">
        <v>14550</v>
      </c>
      <c r="N5978" t="s">
        <v>3884</v>
      </c>
      <c r="O5978" t="s">
        <v>84</v>
      </c>
      <c r="P5978">
        <v>98260</v>
      </c>
      <c r="Q5978">
        <v>8727</v>
      </c>
      <c r="R5978" t="s">
        <v>23</v>
      </c>
      <c r="S5978" s="1" t="s">
        <v>34218</v>
      </c>
    </row>
    <row r="5979" spans="1:19" x14ac:dyDescent="0.25">
      <c r="A5979">
        <v>100676213</v>
      </c>
      <c r="B5979" t="s">
        <v>3927</v>
      </c>
      <c r="C5979" t="s">
        <v>8403</v>
      </c>
      <c r="G5979" t="s">
        <v>14551</v>
      </c>
      <c r="H5979" t="s">
        <v>481</v>
      </c>
      <c r="I5979" t="s">
        <v>22</v>
      </c>
      <c r="J5979">
        <v>95128</v>
      </c>
      <c r="K5979">
        <v>5213</v>
      </c>
      <c r="L5979" t="s">
        <v>23</v>
      </c>
      <c r="M5979" t="s">
        <v>14551</v>
      </c>
      <c r="N5979" t="s">
        <v>481</v>
      </c>
      <c r="O5979" t="s">
        <v>22</v>
      </c>
      <c r="P5979">
        <v>95128</v>
      </c>
      <c r="Q5979">
        <v>5213</v>
      </c>
      <c r="R5979" t="s">
        <v>23</v>
      </c>
      <c r="S5979" s="1" t="s">
        <v>34218</v>
      </c>
    </row>
    <row r="5980" spans="1:19" x14ac:dyDescent="0.25">
      <c r="A5980">
        <v>100680582</v>
      </c>
      <c r="B5980" t="s">
        <v>9033</v>
      </c>
      <c r="C5980" t="s">
        <v>167</v>
      </c>
      <c r="D5980" t="s">
        <v>3705</v>
      </c>
      <c r="G5980" t="s">
        <v>14552</v>
      </c>
      <c r="H5980" t="s">
        <v>227</v>
      </c>
      <c r="I5980" t="s">
        <v>43</v>
      </c>
      <c r="J5980">
        <v>97215</v>
      </c>
      <c r="K5980">
        <v>1130</v>
      </c>
      <c r="L5980" t="s">
        <v>23</v>
      </c>
      <c r="M5980" t="s">
        <v>14552</v>
      </c>
      <c r="N5980" t="s">
        <v>227</v>
      </c>
      <c r="O5980" t="s">
        <v>43</v>
      </c>
      <c r="P5980">
        <v>97215</v>
      </c>
      <c r="Q5980">
        <v>1130</v>
      </c>
      <c r="R5980" t="s">
        <v>23</v>
      </c>
      <c r="S5980" s="1" t="s">
        <v>34218</v>
      </c>
    </row>
    <row r="5981" spans="1:19" x14ac:dyDescent="0.25">
      <c r="A5981">
        <v>100868419</v>
      </c>
      <c r="B5981" t="s">
        <v>6438</v>
      </c>
      <c r="C5981" t="s">
        <v>2127</v>
      </c>
      <c r="G5981" t="s">
        <v>14553</v>
      </c>
      <c r="H5981" t="s">
        <v>2191</v>
      </c>
      <c r="I5981" t="s">
        <v>22</v>
      </c>
      <c r="J5981">
        <v>91214</v>
      </c>
      <c r="K5981">
        <v>2007</v>
      </c>
      <c r="L5981" t="s">
        <v>23</v>
      </c>
      <c r="M5981" t="s">
        <v>14553</v>
      </c>
      <c r="N5981" t="s">
        <v>2191</v>
      </c>
      <c r="O5981" t="s">
        <v>22</v>
      </c>
      <c r="P5981">
        <v>91214</v>
      </c>
      <c r="Q5981">
        <v>2007</v>
      </c>
      <c r="R5981" t="s">
        <v>23</v>
      </c>
      <c r="S5981" s="1" t="s">
        <v>34218</v>
      </c>
    </row>
    <row r="5982" spans="1:19" x14ac:dyDescent="0.25">
      <c r="A5982">
        <v>100868540</v>
      </c>
      <c r="B5982" t="s">
        <v>13553</v>
      </c>
      <c r="C5982" t="s">
        <v>1161</v>
      </c>
      <c r="G5982" t="s">
        <v>14554</v>
      </c>
      <c r="H5982" t="s">
        <v>822</v>
      </c>
      <c r="I5982" t="s">
        <v>140</v>
      </c>
      <c r="J5982">
        <v>48917</v>
      </c>
      <c r="K5982">
        <v>9605</v>
      </c>
      <c r="L5982" t="s">
        <v>23</v>
      </c>
      <c r="M5982" t="s">
        <v>14554</v>
      </c>
      <c r="N5982" t="s">
        <v>822</v>
      </c>
      <c r="O5982" t="s">
        <v>140</v>
      </c>
      <c r="P5982">
        <v>48917</v>
      </c>
      <c r="Q5982">
        <v>9605</v>
      </c>
      <c r="R5982" t="s">
        <v>23</v>
      </c>
      <c r="S5982" s="1" t="s">
        <v>34218</v>
      </c>
    </row>
    <row r="5983" spans="1:19" x14ac:dyDescent="0.25">
      <c r="A5983">
        <v>100873622</v>
      </c>
      <c r="B5983" t="s">
        <v>216</v>
      </c>
      <c r="C5983" t="s">
        <v>286</v>
      </c>
      <c r="G5983" t="s">
        <v>14555</v>
      </c>
      <c r="H5983" t="s">
        <v>88</v>
      </c>
      <c r="I5983" t="s">
        <v>914</v>
      </c>
      <c r="J5983">
        <v>38060</v>
      </c>
      <c r="K5983">
        <v>4820</v>
      </c>
      <c r="L5983" t="s">
        <v>23</v>
      </c>
      <c r="M5983" t="s">
        <v>14555</v>
      </c>
      <c r="N5983" t="s">
        <v>88</v>
      </c>
      <c r="O5983" t="s">
        <v>914</v>
      </c>
      <c r="P5983">
        <v>38060</v>
      </c>
      <c r="Q5983">
        <v>4820</v>
      </c>
      <c r="R5983" t="s">
        <v>23</v>
      </c>
      <c r="S5983" s="1" t="s">
        <v>34218</v>
      </c>
    </row>
    <row r="5984" spans="1:19" x14ac:dyDescent="0.25">
      <c r="A5984">
        <v>100875782</v>
      </c>
      <c r="B5984" t="s">
        <v>14556</v>
      </c>
      <c r="C5984" t="s">
        <v>1043</v>
      </c>
      <c r="G5984" t="s">
        <v>14557</v>
      </c>
      <c r="H5984" t="s">
        <v>14558</v>
      </c>
      <c r="I5984" t="s">
        <v>7839</v>
      </c>
      <c r="J5984">
        <v>58601</v>
      </c>
      <c r="K5984">
        <v>4927</v>
      </c>
      <c r="L5984" t="s">
        <v>23</v>
      </c>
      <c r="M5984" t="s">
        <v>14557</v>
      </c>
      <c r="N5984" t="s">
        <v>14558</v>
      </c>
      <c r="O5984" t="s">
        <v>7839</v>
      </c>
      <c r="P5984">
        <v>58601</v>
      </c>
      <c r="Q5984">
        <v>4927</v>
      </c>
      <c r="R5984" t="s">
        <v>23</v>
      </c>
      <c r="S5984" s="1" t="s">
        <v>34218</v>
      </c>
    </row>
    <row r="5985" spans="1:19" x14ac:dyDescent="0.25">
      <c r="A5985">
        <v>100877616</v>
      </c>
      <c r="B5985" t="s">
        <v>3494</v>
      </c>
      <c r="C5985" t="s">
        <v>2127</v>
      </c>
      <c r="G5985" t="s">
        <v>14559</v>
      </c>
      <c r="H5985" t="s">
        <v>1439</v>
      </c>
      <c r="I5985" t="s">
        <v>365</v>
      </c>
      <c r="J5985">
        <v>85748</v>
      </c>
      <c r="K5985">
        <v>7610</v>
      </c>
      <c r="L5985" t="s">
        <v>23</v>
      </c>
      <c r="M5985" t="s">
        <v>14559</v>
      </c>
      <c r="N5985" t="s">
        <v>1439</v>
      </c>
      <c r="O5985" t="s">
        <v>365</v>
      </c>
      <c r="P5985">
        <v>85748</v>
      </c>
      <c r="Q5985">
        <v>7610</v>
      </c>
      <c r="R5985" t="s">
        <v>23</v>
      </c>
      <c r="S5985" s="1" t="s">
        <v>34218</v>
      </c>
    </row>
    <row r="5986" spans="1:19" x14ac:dyDescent="0.25">
      <c r="A5986">
        <v>100876952</v>
      </c>
      <c r="B5986" t="s">
        <v>14560</v>
      </c>
      <c r="C5986" t="s">
        <v>505</v>
      </c>
      <c r="G5986" t="s">
        <v>14561</v>
      </c>
      <c r="H5986" t="s">
        <v>2031</v>
      </c>
      <c r="I5986" t="s">
        <v>22</v>
      </c>
      <c r="J5986">
        <v>94062</v>
      </c>
      <c r="K5986">
        <v>2752</v>
      </c>
      <c r="L5986" t="s">
        <v>23</v>
      </c>
      <c r="M5986" t="s">
        <v>14561</v>
      </c>
      <c r="N5986" t="s">
        <v>2031</v>
      </c>
      <c r="O5986" t="s">
        <v>22</v>
      </c>
      <c r="P5986">
        <v>94062</v>
      </c>
      <c r="Q5986">
        <v>2752</v>
      </c>
      <c r="R5986" t="s">
        <v>23</v>
      </c>
      <c r="S5986" s="1" t="s">
        <v>34218</v>
      </c>
    </row>
    <row r="5987" spans="1:19" x14ac:dyDescent="0.25">
      <c r="A5987">
        <v>100877049</v>
      </c>
      <c r="B5987" t="s">
        <v>9867</v>
      </c>
      <c r="C5987" t="s">
        <v>403</v>
      </c>
      <c r="G5987" t="s">
        <v>14562</v>
      </c>
      <c r="H5987" t="s">
        <v>70</v>
      </c>
      <c r="I5987" t="s">
        <v>71</v>
      </c>
      <c r="J5987">
        <v>80004</v>
      </c>
      <c r="K5987">
        <v>1685</v>
      </c>
      <c r="L5987" t="s">
        <v>23</v>
      </c>
      <c r="M5987" t="s">
        <v>14562</v>
      </c>
      <c r="N5987" t="s">
        <v>70</v>
      </c>
      <c r="O5987" t="s">
        <v>71</v>
      </c>
      <c r="P5987">
        <v>80004</v>
      </c>
      <c r="Q5987">
        <v>1685</v>
      </c>
      <c r="R5987" t="s">
        <v>23</v>
      </c>
      <c r="S5987" s="1" t="s">
        <v>34218</v>
      </c>
    </row>
    <row r="5988" spans="1:19" x14ac:dyDescent="0.25">
      <c r="A5988">
        <v>100880513</v>
      </c>
      <c r="B5988" t="s">
        <v>14563</v>
      </c>
      <c r="C5988" t="s">
        <v>5613</v>
      </c>
      <c r="G5988" t="s">
        <v>14564</v>
      </c>
      <c r="H5988" t="s">
        <v>11984</v>
      </c>
      <c r="I5988" t="s">
        <v>43</v>
      </c>
      <c r="J5988">
        <v>97034</v>
      </c>
      <c r="K5988">
        <v>6814</v>
      </c>
      <c r="L5988" t="s">
        <v>23</v>
      </c>
      <c r="M5988" t="s">
        <v>14564</v>
      </c>
      <c r="N5988" t="s">
        <v>11984</v>
      </c>
      <c r="O5988" t="s">
        <v>43</v>
      </c>
      <c r="P5988">
        <v>97034</v>
      </c>
      <c r="Q5988">
        <v>6814</v>
      </c>
      <c r="R5988" t="s">
        <v>23</v>
      </c>
      <c r="S5988" s="1" t="s">
        <v>34218</v>
      </c>
    </row>
    <row r="5989" spans="1:19" x14ac:dyDescent="0.25">
      <c r="A5989">
        <v>100888338</v>
      </c>
      <c r="B5989" t="s">
        <v>14565</v>
      </c>
      <c r="C5989" t="s">
        <v>1933</v>
      </c>
      <c r="G5989" t="s">
        <v>14566</v>
      </c>
      <c r="H5989" t="s">
        <v>2231</v>
      </c>
      <c r="I5989" t="s">
        <v>365</v>
      </c>
      <c r="J5989">
        <v>85306</v>
      </c>
      <c r="K5989">
        <v>1502</v>
      </c>
      <c r="L5989" t="s">
        <v>23</v>
      </c>
      <c r="M5989" t="s">
        <v>14566</v>
      </c>
      <c r="N5989" t="s">
        <v>2231</v>
      </c>
      <c r="O5989" t="s">
        <v>365</v>
      </c>
      <c r="P5989">
        <v>85306</v>
      </c>
      <c r="Q5989">
        <v>1502</v>
      </c>
      <c r="R5989" t="s">
        <v>23</v>
      </c>
      <c r="S5989" s="1" t="s">
        <v>34218</v>
      </c>
    </row>
    <row r="5990" spans="1:19" x14ac:dyDescent="0.25">
      <c r="A5990">
        <v>100887919</v>
      </c>
      <c r="B5990" t="s">
        <v>14567</v>
      </c>
      <c r="C5990" t="s">
        <v>81</v>
      </c>
      <c r="G5990" t="s">
        <v>14568</v>
      </c>
      <c r="H5990" t="s">
        <v>2375</v>
      </c>
      <c r="I5990" t="s">
        <v>100</v>
      </c>
      <c r="J5990">
        <v>53714</v>
      </c>
      <c r="K5990">
        <v>2540</v>
      </c>
      <c r="L5990" t="s">
        <v>23</v>
      </c>
      <c r="M5990" t="s">
        <v>14568</v>
      </c>
      <c r="N5990" t="s">
        <v>2375</v>
      </c>
      <c r="O5990" t="s">
        <v>100</v>
      </c>
      <c r="P5990">
        <v>53714</v>
      </c>
      <c r="Q5990">
        <v>2540</v>
      </c>
      <c r="R5990" t="s">
        <v>23</v>
      </c>
      <c r="S5990" s="1" t="s">
        <v>34218</v>
      </c>
    </row>
    <row r="5991" spans="1:19" x14ac:dyDescent="0.25">
      <c r="A5991">
        <v>101041015</v>
      </c>
      <c r="B5991" t="s">
        <v>14569</v>
      </c>
      <c r="C5991" t="s">
        <v>216</v>
      </c>
      <c r="F5991" t="str">
        <f>"6317511753"</f>
        <v>6317511753</v>
      </c>
      <c r="G5991" t="s">
        <v>14570</v>
      </c>
      <c r="H5991" t="s">
        <v>14571</v>
      </c>
      <c r="I5991" t="s">
        <v>117</v>
      </c>
      <c r="J5991">
        <v>11790</v>
      </c>
      <c r="K5991">
        <v>2402</v>
      </c>
      <c r="L5991" t="s">
        <v>23</v>
      </c>
      <c r="M5991" t="s">
        <v>14570</v>
      </c>
      <c r="N5991" t="s">
        <v>14571</v>
      </c>
      <c r="O5991" t="s">
        <v>117</v>
      </c>
      <c r="P5991">
        <v>11790</v>
      </c>
      <c r="Q5991">
        <v>2402</v>
      </c>
      <c r="R5991" t="s">
        <v>23</v>
      </c>
      <c r="S5991" s="1" t="s">
        <v>34218</v>
      </c>
    </row>
    <row r="5992" spans="1:19" x14ac:dyDescent="0.25">
      <c r="A5992">
        <v>101423343</v>
      </c>
      <c r="B5992" t="s">
        <v>14572</v>
      </c>
      <c r="C5992" t="s">
        <v>1939</v>
      </c>
      <c r="G5992" t="s">
        <v>14573</v>
      </c>
      <c r="H5992" t="s">
        <v>913</v>
      </c>
      <c r="I5992" t="s">
        <v>914</v>
      </c>
      <c r="J5992">
        <v>37221</v>
      </c>
      <c r="K5992">
        <v>1156</v>
      </c>
      <c r="L5992" t="s">
        <v>23</v>
      </c>
      <c r="M5992" t="s">
        <v>14573</v>
      </c>
      <c r="N5992" t="s">
        <v>913</v>
      </c>
      <c r="O5992" t="s">
        <v>914</v>
      </c>
      <c r="P5992">
        <v>37221</v>
      </c>
      <c r="Q5992">
        <v>1156</v>
      </c>
      <c r="R5992" t="s">
        <v>23</v>
      </c>
      <c r="S5992" s="1" t="s">
        <v>34218</v>
      </c>
    </row>
    <row r="5993" spans="1:19" x14ac:dyDescent="0.25">
      <c r="A5993">
        <v>101206132</v>
      </c>
      <c r="B5993" t="s">
        <v>3089</v>
      </c>
      <c r="C5993" t="s">
        <v>1331</v>
      </c>
      <c r="G5993" t="s">
        <v>14574</v>
      </c>
      <c r="H5993" t="s">
        <v>3270</v>
      </c>
      <c r="I5993" t="s">
        <v>348</v>
      </c>
      <c r="J5993">
        <v>83704</v>
      </c>
      <c r="K5993">
        <v>9778</v>
      </c>
      <c r="L5993" t="s">
        <v>23</v>
      </c>
      <c r="M5993" t="s">
        <v>14574</v>
      </c>
      <c r="N5993" t="s">
        <v>3270</v>
      </c>
      <c r="O5993" t="s">
        <v>348</v>
      </c>
      <c r="P5993">
        <v>83704</v>
      </c>
      <c r="Q5993">
        <v>9778</v>
      </c>
      <c r="R5993" t="s">
        <v>23</v>
      </c>
      <c r="S5993" s="1" t="s">
        <v>34218</v>
      </c>
    </row>
    <row r="5994" spans="1:19" x14ac:dyDescent="0.25">
      <c r="A5994">
        <v>101297834</v>
      </c>
      <c r="B5994" t="s">
        <v>14575</v>
      </c>
      <c r="C5994" t="s">
        <v>14576</v>
      </c>
      <c r="G5994" t="s">
        <v>14577</v>
      </c>
      <c r="H5994" t="s">
        <v>1579</v>
      </c>
      <c r="I5994" t="s">
        <v>71</v>
      </c>
      <c r="J5994" t="s">
        <v>14578</v>
      </c>
      <c r="K5994">
        <v>6322</v>
      </c>
      <c r="L5994" t="s">
        <v>23</v>
      </c>
      <c r="M5994" t="s">
        <v>14577</v>
      </c>
      <c r="N5994" t="s">
        <v>1579</v>
      </c>
      <c r="O5994" t="s">
        <v>71</v>
      </c>
      <c r="P5994" t="s">
        <v>14578</v>
      </c>
      <c r="Q5994">
        <v>6322</v>
      </c>
      <c r="R5994" t="s">
        <v>23</v>
      </c>
      <c r="S5994" s="1" t="s">
        <v>34218</v>
      </c>
    </row>
    <row r="5995" spans="1:19" x14ac:dyDescent="0.25">
      <c r="A5995">
        <v>101392620</v>
      </c>
      <c r="B5995" t="s">
        <v>14579</v>
      </c>
      <c r="C5995" t="s">
        <v>7058</v>
      </c>
      <c r="G5995" t="s">
        <v>14580</v>
      </c>
      <c r="H5995" t="s">
        <v>6620</v>
      </c>
      <c r="I5995" t="s">
        <v>984</v>
      </c>
      <c r="J5995">
        <v>96754</v>
      </c>
      <c r="K5995">
        <v>5346</v>
      </c>
      <c r="L5995" t="s">
        <v>23</v>
      </c>
      <c r="M5995" t="s">
        <v>14580</v>
      </c>
      <c r="N5995" t="s">
        <v>6620</v>
      </c>
      <c r="O5995" t="s">
        <v>984</v>
      </c>
      <c r="P5995">
        <v>96754</v>
      </c>
      <c r="Q5995">
        <v>5346</v>
      </c>
      <c r="R5995" t="s">
        <v>23</v>
      </c>
      <c r="S5995" s="1" t="s">
        <v>34218</v>
      </c>
    </row>
    <row r="5996" spans="1:19" x14ac:dyDescent="0.25">
      <c r="A5996">
        <v>100555748</v>
      </c>
      <c r="B5996" t="s">
        <v>11204</v>
      </c>
      <c r="C5996" t="s">
        <v>579</v>
      </c>
      <c r="G5996" t="s">
        <v>14581</v>
      </c>
      <c r="H5996" t="s">
        <v>7797</v>
      </c>
      <c r="I5996" t="s">
        <v>43</v>
      </c>
      <c r="J5996">
        <v>97032</v>
      </c>
      <c r="K5996">
        <v>9200</v>
      </c>
      <c r="L5996" t="s">
        <v>23</v>
      </c>
      <c r="M5996" t="s">
        <v>14581</v>
      </c>
      <c r="N5996" t="s">
        <v>7797</v>
      </c>
      <c r="O5996" t="s">
        <v>43</v>
      </c>
      <c r="P5996">
        <v>97032</v>
      </c>
      <c r="Q5996">
        <v>9200</v>
      </c>
      <c r="R5996" t="s">
        <v>23</v>
      </c>
      <c r="S5996" s="1" t="s">
        <v>34218</v>
      </c>
    </row>
    <row r="5997" spans="1:19" x14ac:dyDescent="0.25">
      <c r="A5997">
        <v>101446727</v>
      </c>
      <c r="B5997" t="s">
        <v>14582</v>
      </c>
      <c r="C5997" t="s">
        <v>2758</v>
      </c>
      <c r="G5997" t="s">
        <v>14583</v>
      </c>
      <c r="H5997" t="s">
        <v>867</v>
      </c>
      <c r="I5997" t="s">
        <v>84</v>
      </c>
      <c r="J5997">
        <v>98577</v>
      </c>
      <c r="K5997">
        <v>9650</v>
      </c>
      <c r="L5997" t="s">
        <v>23</v>
      </c>
      <c r="M5997" t="s">
        <v>14583</v>
      </c>
      <c r="N5997" t="s">
        <v>867</v>
      </c>
      <c r="O5997" t="s">
        <v>84</v>
      </c>
      <c r="P5997">
        <v>98577</v>
      </c>
      <c r="Q5997">
        <v>9650</v>
      </c>
      <c r="R5997" t="s">
        <v>23</v>
      </c>
      <c r="S5997" s="1" t="s">
        <v>34218</v>
      </c>
    </row>
    <row r="5998" spans="1:19" x14ac:dyDescent="0.25">
      <c r="A5998">
        <v>100981687</v>
      </c>
      <c r="B5998" t="s">
        <v>14584</v>
      </c>
      <c r="C5998" t="s">
        <v>2151</v>
      </c>
      <c r="G5998" t="s">
        <v>14585</v>
      </c>
      <c r="H5998" t="s">
        <v>4640</v>
      </c>
      <c r="I5998" t="s">
        <v>71</v>
      </c>
      <c r="J5998">
        <v>81131</v>
      </c>
      <c r="K5998">
        <v>627</v>
      </c>
      <c r="L5998" t="s">
        <v>23</v>
      </c>
      <c r="M5998" t="s">
        <v>14585</v>
      </c>
      <c r="N5998" t="s">
        <v>4640</v>
      </c>
      <c r="O5998" t="s">
        <v>71</v>
      </c>
      <c r="P5998">
        <v>81131</v>
      </c>
      <c r="Q5998">
        <v>627</v>
      </c>
      <c r="R5998" t="s">
        <v>23</v>
      </c>
      <c r="S5998" s="1" t="s">
        <v>34218</v>
      </c>
    </row>
    <row r="5999" spans="1:19" x14ac:dyDescent="0.25">
      <c r="A5999">
        <v>100984818</v>
      </c>
      <c r="B5999" t="s">
        <v>14586</v>
      </c>
      <c r="C5999" t="s">
        <v>30</v>
      </c>
      <c r="D5999" t="s">
        <v>1859</v>
      </c>
      <c r="G5999" t="s">
        <v>14587</v>
      </c>
      <c r="H5999" t="s">
        <v>14588</v>
      </c>
      <c r="I5999" t="s">
        <v>135</v>
      </c>
      <c r="J5999">
        <v>60171</v>
      </c>
      <c r="K5999">
        <v>1710</v>
      </c>
      <c r="L5999" t="s">
        <v>23</v>
      </c>
      <c r="M5999" t="s">
        <v>14587</v>
      </c>
      <c r="N5999" t="s">
        <v>14588</v>
      </c>
      <c r="O5999" t="s">
        <v>135</v>
      </c>
      <c r="P5999">
        <v>60171</v>
      </c>
      <c r="Q5999">
        <v>1710</v>
      </c>
      <c r="R5999" t="s">
        <v>23</v>
      </c>
      <c r="S5999" s="1" t="s">
        <v>34218</v>
      </c>
    </row>
    <row r="6000" spans="1:19" x14ac:dyDescent="0.25">
      <c r="A6000">
        <v>100983792</v>
      </c>
      <c r="B6000" t="s">
        <v>14589</v>
      </c>
      <c r="C6000" t="s">
        <v>440</v>
      </c>
      <c r="F6000" t="str">
        <f>"5413311448"</f>
        <v>5413311448</v>
      </c>
      <c r="G6000" t="s">
        <v>14590</v>
      </c>
      <c r="H6000" t="s">
        <v>7201</v>
      </c>
      <c r="I6000" t="s">
        <v>43</v>
      </c>
      <c r="J6000">
        <v>97603</v>
      </c>
      <c r="K6000">
        <v>8303</v>
      </c>
      <c r="L6000" t="s">
        <v>23</v>
      </c>
      <c r="M6000" t="s">
        <v>14590</v>
      </c>
      <c r="N6000" t="s">
        <v>7201</v>
      </c>
      <c r="O6000" t="s">
        <v>43</v>
      </c>
      <c r="P6000">
        <v>97603</v>
      </c>
      <c r="Q6000">
        <v>8303</v>
      </c>
      <c r="R6000" t="s">
        <v>23</v>
      </c>
      <c r="S6000" s="1" t="s">
        <v>34218</v>
      </c>
    </row>
    <row r="6001" spans="1:19" x14ac:dyDescent="0.25">
      <c r="A6001">
        <v>100983780</v>
      </c>
      <c r="B6001" t="s">
        <v>14591</v>
      </c>
      <c r="C6001" t="s">
        <v>1658</v>
      </c>
      <c r="G6001" t="s">
        <v>14592</v>
      </c>
      <c r="H6001" t="s">
        <v>552</v>
      </c>
      <c r="I6001" t="s">
        <v>117</v>
      </c>
      <c r="J6001">
        <v>11554</v>
      </c>
      <c r="K6001">
        <v>4250</v>
      </c>
      <c r="L6001" t="s">
        <v>23</v>
      </c>
      <c r="M6001" t="s">
        <v>14592</v>
      </c>
      <c r="N6001" t="s">
        <v>552</v>
      </c>
      <c r="O6001" t="s">
        <v>117</v>
      </c>
      <c r="P6001">
        <v>11554</v>
      </c>
      <c r="Q6001">
        <v>4250</v>
      </c>
      <c r="R6001" t="s">
        <v>23</v>
      </c>
      <c r="S6001" s="1" t="s">
        <v>34218</v>
      </c>
    </row>
    <row r="6002" spans="1:19" x14ac:dyDescent="0.25">
      <c r="A6002">
        <v>100986183</v>
      </c>
      <c r="B6002" t="s">
        <v>3774</v>
      </c>
      <c r="C6002" t="s">
        <v>14593</v>
      </c>
      <c r="F6002" t="str">
        <f>"7078473332"</f>
        <v>7078473332</v>
      </c>
      <c r="G6002" t="s">
        <v>14594</v>
      </c>
      <c r="H6002" t="s">
        <v>14595</v>
      </c>
      <c r="I6002" t="s">
        <v>22</v>
      </c>
      <c r="J6002">
        <v>95421</v>
      </c>
      <c r="K6002">
        <v>9793</v>
      </c>
      <c r="L6002" t="s">
        <v>23</v>
      </c>
      <c r="M6002" t="s">
        <v>14594</v>
      </c>
      <c r="N6002" t="s">
        <v>14595</v>
      </c>
      <c r="O6002" t="s">
        <v>22</v>
      </c>
      <c r="P6002">
        <v>95421</v>
      </c>
      <c r="Q6002">
        <v>9793</v>
      </c>
      <c r="R6002" t="s">
        <v>23</v>
      </c>
      <c r="S6002" s="1" t="s">
        <v>34218</v>
      </c>
    </row>
    <row r="6003" spans="1:19" x14ac:dyDescent="0.25">
      <c r="A6003">
        <v>100993451</v>
      </c>
      <c r="B6003" t="s">
        <v>14596</v>
      </c>
      <c r="C6003" t="s">
        <v>14597</v>
      </c>
      <c r="G6003" t="s">
        <v>14598</v>
      </c>
      <c r="H6003" t="s">
        <v>2540</v>
      </c>
      <c r="I6003" t="s">
        <v>161</v>
      </c>
      <c r="J6003">
        <v>6851</v>
      </c>
      <c r="K6003">
        <v>5922</v>
      </c>
      <c r="L6003" t="s">
        <v>23</v>
      </c>
      <c r="M6003" t="s">
        <v>14598</v>
      </c>
      <c r="N6003" t="s">
        <v>2540</v>
      </c>
      <c r="O6003" t="s">
        <v>161</v>
      </c>
      <c r="P6003">
        <v>6851</v>
      </c>
      <c r="Q6003">
        <v>5922</v>
      </c>
      <c r="R6003" t="s">
        <v>23</v>
      </c>
      <c r="S6003" s="1" t="s">
        <v>34218</v>
      </c>
    </row>
    <row r="6004" spans="1:19" x14ac:dyDescent="0.25">
      <c r="A6004">
        <v>101179368</v>
      </c>
      <c r="B6004" t="s">
        <v>86</v>
      </c>
      <c r="C6004" t="s">
        <v>890</v>
      </c>
      <c r="G6004" t="s">
        <v>14599</v>
      </c>
      <c r="H6004" t="s">
        <v>4439</v>
      </c>
      <c r="I6004" t="s">
        <v>178</v>
      </c>
      <c r="J6004">
        <v>44070</v>
      </c>
      <c r="K6004">
        <v>2719</v>
      </c>
      <c r="L6004" t="s">
        <v>23</v>
      </c>
      <c r="M6004" t="s">
        <v>14599</v>
      </c>
      <c r="N6004" t="s">
        <v>4439</v>
      </c>
      <c r="O6004" t="s">
        <v>178</v>
      </c>
      <c r="P6004">
        <v>44070</v>
      </c>
      <c r="Q6004">
        <v>2719</v>
      </c>
      <c r="R6004" t="s">
        <v>23</v>
      </c>
      <c r="S6004" s="1" t="s">
        <v>34218</v>
      </c>
    </row>
    <row r="6005" spans="1:19" x14ac:dyDescent="0.25">
      <c r="A6005">
        <v>101179341</v>
      </c>
      <c r="B6005" t="s">
        <v>3917</v>
      </c>
      <c r="C6005" t="s">
        <v>14600</v>
      </c>
      <c r="G6005" t="s">
        <v>14601</v>
      </c>
      <c r="H6005" t="s">
        <v>1126</v>
      </c>
      <c r="I6005" t="s">
        <v>191</v>
      </c>
      <c r="J6005">
        <v>4088</v>
      </c>
      <c r="K6005">
        <v>3446</v>
      </c>
      <c r="L6005" t="s">
        <v>23</v>
      </c>
      <c r="M6005" t="s">
        <v>14601</v>
      </c>
      <c r="N6005" t="s">
        <v>1126</v>
      </c>
      <c r="O6005" t="s">
        <v>191</v>
      </c>
      <c r="P6005">
        <v>4088</v>
      </c>
      <c r="Q6005">
        <v>3446</v>
      </c>
      <c r="R6005" t="s">
        <v>23</v>
      </c>
      <c r="S6005" s="1" t="s">
        <v>34218</v>
      </c>
    </row>
    <row r="6006" spans="1:19" x14ac:dyDescent="0.25">
      <c r="A6006">
        <v>101178556</v>
      </c>
      <c r="B6006" t="s">
        <v>14602</v>
      </c>
      <c r="C6006" t="s">
        <v>1616</v>
      </c>
      <c r="G6006" t="s">
        <v>14603</v>
      </c>
      <c r="H6006" t="s">
        <v>12153</v>
      </c>
      <c r="I6006" t="s">
        <v>250</v>
      </c>
      <c r="J6006">
        <v>7601</v>
      </c>
      <c r="K6006">
        <v>2612</v>
      </c>
      <c r="L6006" t="s">
        <v>23</v>
      </c>
      <c r="M6006" t="s">
        <v>14603</v>
      </c>
      <c r="N6006" t="s">
        <v>12153</v>
      </c>
      <c r="O6006" t="s">
        <v>250</v>
      </c>
      <c r="P6006">
        <v>7601</v>
      </c>
      <c r="Q6006">
        <v>2612</v>
      </c>
      <c r="R6006" t="s">
        <v>23</v>
      </c>
      <c r="S6006" s="1" t="s">
        <v>34218</v>
      </c>
    </row>
    <row r="6007" spans="1:19" x14ac:dyDescent="0.25">
      <c r="A6007">
        <v>101174992</v>
      </c>
      <c r="B6007" t="s">
        <v>141</v>
      </c>
      <c r="C6007" t="s">
        <v>1374</v>
      </c>
      <c r="G6007" t="s">
        <v>14604</v>
      </c>
      <c r="H6007" t="s">
        <v>14605</v>
      </c>
      <c r="I6007" t="s">
        <v>914</v>
      </c>
      <c r="J6007">
        <v>38347</v>
      </c>
      <c r="K6007">
        <v>1795</v>
      </c>
      <c r="L6007" t="s">
        <v>23</v>
      </c>
      <c r="M6007" t="s">
        <v>14604</v>
      </c>
      <c r="N6007" t="s">
        <v>14605</v>
      </c>
      <c r="O6007" t="s">
        <v>914</v>
      </c>
      <c r="P6007">
        <v>38347</v>
      </c>
      <c r="Q6007">
        <v>1795</v>
      </c>
      <c r="R6007" t="s">
        <v>23</v>
      </c>
      <c r="S6007" s="1" t="s">
        <v>34218</v>
      </c>
    </row>
    <row r="6008" spans="1:19" x14ac:dyDescent="0.25">
      <c r="A6008">
        <v>101177963</v>
      </c>
      <c r="B6008" t="s">
        <v>14606</v>
      </c>
      <c r="C6008" t="s">
        <v>64</v>
      </c>
      <c r="G6008" t="s">
        <v>14607</v>
      </c>
      <c r="H6008" t="s">
        <v>14608</v>
      </c>
      <c r="I6008" t="s">
        <v>22</v>
      </c>
      <c r="J6008">
        <v>95758</v>
      </c>
      <c r="K6008">
        <v>7205</v>
      </c>
      <c r="L6008" t="s">
        <v>23</v>
      </c>
      <c r="M6008" t="s">
        <v>14607</v>
      </c>
      <c r="N6008" t="s">
        <v>14608</v>
      </c>
      <c r="O6008" t="s">
        <v>22</v>
      </c>
      <c r="P6008">
        <v>95758</v>
      </c>
      <c r="Q6008">
        <v>7205</v>
      </c>
      <c r="R6008" t="s">
        <v>23</v>
      </c>
      <c r="S6008" s="1" t="s">
        <v>34218</v>
      </c>
    </row>
    <row r="6009" spans="1:19" x14ac:dyDescent="0.25">
      <c r="A6009">
        <v>101175172</v>
      </c>
      <c r="B6009" t="s">
        <v>14609</v>
      </c>
      <c r="C6009" t="s">
        <v>14610</v>
      </c>
      <c r="F6009" t="str">
        <f>"5307566426"</f>
        <v>5307566426</v>
      </c>
      <c r="G6009" t="s">
        <v>14611</v>
      </c>
      <c r="H6009" t="s">
        <v>276</v>
      </c>
      <c r="I6009" t="s">
        <v>22</v>
      </c>
      <c r="J6009">
        <v>95618</v>
      </c>
      <c r="K6009">
        <v>5421</v>
      </c>
      <c r="L6009" t="s">
        <v>23</v>
      </c>
      <c r="M6009" t="s">
        <v>14611</v>
      </c>
      <c r="N6009" t="s">
        <v>276</v>
      </c>
      <c r="O6009" t="s">
        <v>22</v>
      </c>
      <c r="P6009">
        <v>95618</v>
      </c>
      <c r="Q6009">
        <v>5421</v>
      </c>
      <c r="R6009" t="s">
        <v>23</v>
      </c>
      <c r="S6009" s="1" t="s">
        <v>34218</v>
      </c>
    </row>
    <row r="6010" spans="1:19" x14ac:dyDescent="0.25">
      <c r="A6010">
        <v>101185697</v>
      </c>
      <c r="B6010" t="s">
        <v>9858</v>
      </c>
      <c r="C6010" t="s">
        <v>14612</v>
      </c>
      <c r="G6010" t="s">
        <v>14613</v>
      </c>
      <c r="H6010" t="s">
        <v>27</v>
      </c>
      <c r="I6010" t="s">
        <v>28</v>
      </c>
      <c r="J6010">
        <v>30345</v>
      </c>
      <c r="K6010">
        <v>2628</v>
      </c>
      <c r="L6010" t="s">
        <v>23</v>
      </c>
      <c r="M6010" t="s">
        <v>14613</v>
      </c>
      <c r="N6010" t="s">
        <v>27</v>
      </c>
      <c r="O6010" t="s">
        <v>28</v>
      </c>
      <c r="P6010">
        <v>30345</v>
      </c>
      <c r="Q6010">
        <v>2628</v>
      </c>
      <c r="R6010" t="s">
        <v>23</v>
      </c>
      <c r="S6010" s="1" t="s">
        <v>34218</v>
      </c>
    </row>
    <row r="6011" spans="1:19" x14ac:dyDescent="0.25">
      <c r="A6011">
        <v>101186654</v>
      </c>
      <c r="B6011" t="s">
        <v>826</v>
      </c>
      <c r="C6011" t="s">
        <v>1309</v>
      </c>
      <c r="G6011" t="s">
        <v>14614</v>
      </c>
      <c r="H6011" t="s">
        <v>10328</v>
      </c>
      <c r="I6011" t="s">
        <v>161</v>
      </c>
      <c r="J6011">
        <v>6010</v>
      </c>
      <c r="K6011">
        <v>9013</v>
      </c>
      <c r="L6011" t="s">
        <v>23</v>
      </c>
      <c r="M6011" t="s">
        <v>14614</v>
      </c>
      <c r="N6011" t="s">
        <v>10328</v>
      </c>
      <c r="O6011" t="s">
        <v>161</v>
      </c>
      <c r="P6011">
        <v>6010</v>
      </c>
      <c r="Q6011">
        <v>9013</v>
      </c>
      <c r="R6011" t="s">
        <v>23</v>
      </c>
      <c r="S6011" s="1" t="s">
        <v>34218</v>
      </c>
    </row>
    <row r="6012" spans="1:19" x14ac:dyDescent="0.25">
      <c r="A6012">
        <v>101184119</v>
      </c>
      <c r="B6012" t="s">
        <v>14615</v>
      </c>
      <c r="C6012" t="s">
        <v>3228</v>
      </c>
      <c r="G6012" t="s">
        <v>14616</v>
      </c>
      <c r="H6012" t="s">
        <v>3481</v>
      </c>
      <c r="I6012" t="s">
        <v>140</v>
      </c>
      <c r="J6012">
        <v>49696</v>
      </c>
      <c r="K6012">
        <v>8949</v>
      </c>
      <c r="L6012" t="s">
        <v>23</v>
      </c>
      <c r="M6012" t="s">
        <v>14616</v>
      </c>
      <c r="N6012" t="s">
        <v>3481</v>
      </c>
      <c r="O6012" t="s">
        <v>140</v>
      </c>
      <c r="P6012">
        <v>49696</v>
      </c>
      <c r="Q6012">
        <v>8949</v>
      </c>
      <c r="R6012" t="s">
        <v>23</v>
      </c>
      <c r="S6012" s="1" t="s">
        <v>34218</v>
      </c>
    </row>
    <row r="6013" spans="1:19" x14ac:dyDescent="0.25">
      <c r="A6013">
        <v>101187104</v>
      </c>
      <c r="B6013" t="s">
        <v>5505</v>
      </c>
      <c r="C6013" t="s">
        <v>406</v>
      </c>
      <c r="G6013" t="s">
        <v>14617</v>
      </c>
      <c r="H6013" t="s">
        <v>1489</v>
      </c>
      <c r="I6013" t="s">
        <v>62</v>
      </c>
      <c r="J6013">
        <v>74107</v>
      </c>
      <c r="K6013">
        <v>4544</v>
      </c>
      <c r="L6013" t="s">
        <v>23</v>
      </c>
      <c r="M6013" t="s">
        <v>14617</v>
      </c>
      <c r="N6013" t="s">
        <v>1489</v>
      </c>
      <c r="O6013" t="s">
        <v>62</v>
      </c>
      <c r="P6013">
        <v>74107</v>
      </c>
      <c r="Q6013">
        <v>4544</v>
      </c>
      <c r="R6013" t="s">
        <v>23</v>
      </c>
      <c r="S6013" s="1" t="s">
        <v>34218</v>
      </c>
    </row>
    <row r="6014" spans="1:19" x14ac:dyDescent="0.25">
      <c r="A6014">
        <v>101190630</v>
      </c>
      <c r="B6014" t="s">
        <v>14618</v>
      </c>
      <c r="C6014" t="s">
        <v>1176</v>
      </c>
      <c r="G6014" t="s">
        <v>14619</v>
      </c>
      <c r="H6014" t="s">
        <v>13911</v>
      </c>
      <c r="I6014" t="s">
        <v>250</v>
      </c>
      <c r="J6014">
        <v>7438</v>
      </c>
      <c r="K6014">
        <v>9119</v>
      </c>
      <c r="L6014" t="s">
        <v>23</v>
      </c>
      <c r="M6014" t="s">
        <v>14619</v>
      </c>
      <c r="N6014" t="s">
        <v>13911</v>
      </c>
      <c r="O6014" t="s">
        <v>250</v>
      </c>
      <c r="P6014">
        <v>7438</v>
      </c>
      <c r="Q6014">
        <v>9119</v>
      </c>
      <c r="R6014" t="s">
        <v>23</v>
      </c>
      <c r="S6014" s="1" t="s">
        <v>34218</v>
      </c>
    </row>
    <row r="6015" spans="1:19" x14ac:dyDescent="0.25">
      <c r="A6015">
        <v>101193763</v>
      </c>
      <c r="B6015" t="s">
        <v>14620</v>
      </c>
      <c r="C6015" t="s">
        <v>119</v>
      </c>
      <c r="G6015" t="s">
        <v>14621</v>
      </c>
      <c r="H6015" t="s">
        <v>14622</v>
      </c>
      <c r="I6015" t="s">
        <v>84</v>
      </c>
      <c r="J6015">
        <v>98376</v>
      </c>
      <c r="K6015">
        <v>640</v>
      </c>
      <c r="L6015" t="s">
        <v>23</v>
      </c>
      <c r="M6015" t="s">
        <v>14621</v>
      </c>
      <c r="N6015" t="s">
        <v>14622</v>
      </c>
      <c r="O6015" t="s">
        <v>84</v>
      </c>
      <c r="P6015">
        <v>98376</v>
      </c>
      <c r="Q6015">
        <v>640</v>
      </c>
      <c r="R6015" t="s">
        <v>23</v>
      </c>
      <c r="S6015" s="1" t="s">
        <v>34218</v>
      </c>
    </row>
    <row r="6016" spans="1:19" x14ac:dyDescent="0.25">
      <c r="A6016">
        <v>101199695</v>
      </c>
      <c r="B6016" t="s">
        <v>14623</v>
      </c>
      <c r="C6016" t="s">
        <v>14624</v>
      </c>
      <c r="G6016" t="s">
        <v>14625</v>
      </c>
      <c r="H6016" t="s">
        <v>11402</v>
      </c>
      <c r="I6016" t="s">
        <v>178</v>
      </c>
      <c r="J6016">
        <v>44022</v>
      </c>
      <c r="K6016">
        <v>4221</v>
      </c>
      <c r="L6016" t="s">
        <v>23</v>
      </c>
      <c r="M6016" t="s">
        <v>14625</v>
      </c>
      <c r="N6016" t="s">
        <v>11402</v>
      </c>
      <c r="O6016" t="s">
        <v>178</v>
      </c>
      <c r="P6016">
        <v>44022</v>
      </c>
      <c r="Q6016">
        <v>4221</v>
      </c>
      <c r="R6016" t="s">
        <v>23</v>
      </c>
      <c r="S6016" s="1" t="s">
        <v>34218</v>
      </c>
    </row>
    <row r="6017" spans="1:19" x14ac:dyDescent="0.25">
      <c r="A6017">
        <v>101197821</v>
      </c>
      <c r="B6017" t="s">
        <v>6400</v>
      </c>
      <c r="C6017" t="s">
        <v>452</v>
      </c>
      <c r="G6017" t="s">
        <v>14626</v>
      </c>
      <c r="H6017" t="s">
        <v>14627</v>
      </c>
      <c r="I6017" t="s">
        <v>446</v>
      </c>
      <c r="J6017">
        <v>28523</v>
      </c>
      <c r="K6017">
        <v>9514</v>
      </c>
      <c r="L6017" t="s">
        <v>23</v>
      </c>
      <c r="M6017" t="s">
        <v>14626</v>
      </c>
      <c r="N6017" t="s">
        <v>14627</v>
      </c>
      <c r="O6017" t="s">
        <v>446</v>
      </c>
      <c r="P6017">
        <v>28523</v>
      </c>
      <c r="Q6017">
        <v>9514</v>
      </c>
      <c r="R6017" t="s">
        <v>23</v>
      </c>
      <c r="S6017" s="1" t="s">
        <v>34218</v>
      </c>
    </row>
    <row r="6018" spans="1:19" x14ac:dyDescent="0.25">
      <c r="A6018">
        <v>101199940</v>
      </c>
      <c r="B6018" t="s">
        <v>13289</v>
      </c>
      <c r="C6018" t="s">
        <v>286</v>
      </c>
      <c r="G6018" t="s">
        <v>14628</v>
      </c>
      <c r="H6018" t="s">
        <v>14629</v>
      </c>
      <c r="I6018" t="s">
        <v>43</v>
      </c>
      <c r="J6018">
        <v>97502</v>
      </c>
      <c r="K6018">
        <v>3614</v>
      </c>
      <c r="L6018" t="s">
        <v>23</v>
      </c>
      <c r="M6018" t="s">
        <v>14628</v>
      </c>
      <c r="N6018" t="s">
        <v>14629</v>
      </c>
      <c r="O6018" t="s">
        <v>43</v>
      </c>
      <c r="P6018">
        <v>97502</v>
      </c>
      <c r="Q6018">
        <v>3614</v>
      </c>
      <c r="R6018" t="s">
        <v>23</v>
      </c>
      <c r="S6018" s="1" t="s">
        <v>34218</v>
      </c>
    </row>
    <row r="6019" spans="1:19" x14ac:dyDescent="0.25">
      <c r="A6019">
        <v>101335553</v>
      </c>
      <c r="B6019" t="s">
        <v>3096</v>
      </c>
      <c r="C6019" t="s">
        <v>1470</v>
      </c>
      <c r="G6019" t="s">
        <v>14630</v>
      </c>
      <c r="H6019" t="s">
        <v>5732</v>
      </c>
      <c r="I6019" t="s">
        <v>148</v>
      </c>
      <c r="J6019" t="s">
        <v>14631</v>
      </c>
      <c r="K6019">
        <v>1612</v>
      </c>
      <c r="L6019" t="s">
        <v>23</v>
      </c>
      <c r="M6019" t="s">
        <v>14630</v>
      </c>
      <c r="N6019" t="s">
        <v>5732</v>
      </c>
      <c r="O6019" t="s">
        <v>148</v>
      </c>
      <c r="P6019" t="s">
        <v>14631</v>
      </c>
      <c r="Q6019">
        <v>1612</v>
      </c>
      <c r="R6019" t="s">
        <v>23</v>
      </c>
      <c r="S6019" s="1" t="s">
        <v>34218</v>
      </c>
    </row>
    <row r="6020" spans="1:19" x14ac:dyDescent="0.25">
      <c r="A6020">
        <v>100555581</v>
      </c>
      <c r="B6020" t="s">
        <v>14632</v>
      </c>
      <c r="C6020" t="s">
        <v>167</v>
      </c>
      <c r="F6020" t="str">
        <f>"4154222292"</f>
        <v>4154222292</v>
      </c>
      <c r="G6020" t="s">
        <v>14633</v>
      </c>
      <c r="H6020" t="s">
        <v>14634</v>
      </c>
      <c r="I6020" t="s">
        <v>22</v>
      </c>
      <c r="J6020" t="s">
        <v>14635</v>
      </c>
      <c r="K6020">
        <v>698</v>
      </c>
      <c r="L6020" t="s">
        <v>23</v>
      </c>
      <c r="M6020" t="s">
        <v>14633</v>
      </c>
      <c r="N6020" t="s">
        <v>14634</v>
      </c>
      <c r="O6020" t="s">
        <v>22</v>
      </c>
      <c r="P6020" t="s">
        <v>14635</v>
      </c>
      <c r="Q6020">
        <v>698</v>
      </c>
      <c r="R6020" t="s">
        <v>23</v>
      </c>
      <c r="S6020" s="1" t="s">
        <v>34218</v>
      </c>
    </row>
    <row r="6021" spans="1:19" x14ac:dyDescent="0.25">
      <c r="A6021">
        <v>101049215</v>
      </c>
      <c r="B6021" t="s">
        <v>14636</v>
      </c>
      <c r="C6021" t="s">
        <v>119</v>
      </c>
      <c r="G6021" t="s">
        <v>14637</v>
      </c>
      <c r="H6021" t="s">
        <v>1052</v>
      </c>
      <c r="I6021" t="s">
        <v>117</v>
      </c>
      <c r="J6021">
        <v>12210</v>
      </c>
      <c r="K6021">
        <v>1905</v>
      </c>
      <c r="L6021" t="s">
        <v>23</v>
      </c>
      <c r="M6021" t="s">
        <v>14637</v>
      </c>
      <c r="N6021" t="s">
        <v>1052</v>
      </c>
      <c r="O6021" t="s">
        <v>117</v>
      </c>
      <c r="P6021">
        <v>12210</v>
      </c>
      <c r="Q6021">
        <v>1905</v>
      </c>
      <c r="R6021" t="s">
        <v>23</v>
      </c>
      <c r="S6021" s="1" t="s">
        <v>34218</v>
      </c>
    </row>
    <row r="6022" spans="1:19" x14ac:dyDescent="0.25">
      <c r="A6022">
        <v>101052178</v>
      </c>
      <c r="B6022" t="s">
        <v>1669</v>
      </c>
      <c r="C6022" t="s">
        <v>829</v>
      </c>
      <c r="F6022" t="str">
        <f>"5555555555"</f>
        <v>5555555555</v>
      </c>
      <c r="G6022" t="s">
        <v>14638</v>
      </c>
      <c r="H6022" t="s">
        <v>14639</v>
      </c>
      <c r="I6022" t="s">
        <v>236</v>
      </c>
      <c r="J6022">
        <v>2379</v>
      </c>
      <c r="K6022">
        <v>1240</v>
      </c>
      <c r="L6022" t="s">
        <v>23</v>
      </c>
      <c r="M6022" t="s">
        <v>14638</v>
      </c>
      <c r="N6022" t="s">
        <v>14639</v>
      </c>
      <c r="O6022" t="s">
        <v>236</v>
      </c>
      <c r="P6022">
        <v>2379</v>
      </c>
      <c r="Q6022">
        <v>1240</v>
      </c>
      <c r="R6022" t="s">
        <v>23</v>
      </c>
      <c r="S6022" s="1" t="s">
        <v>34218</v>
      </c>
    </row>
    <row r="6023" spans="1:19" x14ac:dyDescent="0.25">
      <c r="A6023">
        <v>101048622</v>
      </c>
      <c r="B6023" t="s">
        <v>276</v>
      </c>
      <c r="C6023" t="s">
        <v>14640</v>
      </c>
      <c r="G6023" t="s">
        <v>14641</v>
      </c>
      <c r="H6023" t="s">
        <v>14642</v>
      </c>
      <c r="I6023" t="s">
        <v>33</v>
      </c>
      <c r="J6023">
        <v>17771</v>
      </c>
      <c r="K6023">
        <v>8924</v>
      </c>
      <c r="L6023" t="s">
        <v>23</v>
      </c>
      <c r="M6023" t="s">
        <v>14641</v>
      </c>
      <c r="N6023" t="s">
        <v>14642</v>
      </c>
      <c r="O6023" t="s">
        <v>33</v>
      </c>
      <c r="P6023">
        <v>17771</v>
      </c>
      <c r="Q6023">
        <v>8924</v>
      </c>
      <c r="R6023" t="s">
        <v>23</v>
      </c>
      <c r="S6023" s="1" t="s">
        <v>34218</v>
      </c>
    </row>
    <row r="6024" spans="1:19" x14ac:dyDescent="0.25">
      <c r="A6024">
        <v>101050288</v>
      </c>
      <c r="B6024" t="s">
        <v>14643</v>
      </c>
      <c r="C6024" t="s">
        <v>281</v>
      </c>
      <c r="G6024" t="s">
        <v>14644</v>
      </c>
      <c r="H6024" t="s">
        <v>5795</v>
      </c>
      <c r="I6024" t="s">
        <v>255</v>
      </c>
      <c r="J6024">
        <v>20110</v>
      </c>
      <c r="K6024">
        <v>3616</v>
      </c>
      <c r="L6024" t="s">
        <v>23</v>
      </c>
      <c r="M6024" t="s">
        <v>14644</v>
      </c>
      <c r="N6024" t="s">
        <v>5795</v>
      </c>
      <c r="O6024" t="s">
        <v>255</v>
      </c>
      <c r="P6024">
        <v>20110</v>
      </c>
      <c r="Q6024">
        <v>3616</v>
      </c>
      <c r="R6024" t="s">
        <v>23</v>
      </c>
      <c r="S6024" s="1" t="s">
        <v>34218</v>
      </c>
    </row>
    <row r="6025" spans="1:19" x14ac:dyDescent="0.25">
      <c r="A6025">
        <v>101051602</v>
      </c>
      <c r="B6025" t="s">
        <v>14645</v>
      </c>
      <c r="C6025" t="s">
        <v>382</v>
      </c>
      <c r="G6025" t="s">
        <v>14646</v>
      </c>
      <c r="H6025" t="s">
        <v>14647</v>
      </c>
      <c r="I6025" t="s">
        <v>307</v>
      </c>
      <c r="J6025">
        <v>5450</v>
      </c>
      <c r="K6025">
        <v>5087</v>
      </c>
      <c r="L6025" t="s">
        <v>23</v>
      </c>
      <c r="M6025" t="s">
        <v>14646</v>
      </c>
      <c r="N6025" t="s">
        <v>14647</v>
      </c>
      <c r="O6025" t="s">
        <v>307</v>
      </c>
      <c r="P6025">
        <v>5450</v>
      </c>
      <c r="Q6025">
        <v>5087</v>
      </c>
      <c r="R6025" t="s">
        <v>23</v>
      </c>
      <c r="S6025" s="1" t="s">
        <v>34218</v>
      </c>
    </row>
    <row r="6026" spans="1:19" x14ac:dyDescent="0.25">
      <c r="A6026">
        <v>101054501</v>
      </c>
      <c r="B6026" t="s">
        <v>14648</v>
      </c>
      <c r="C6026" t="s">
        <v>14649</v>
      </c>
      <c r="G6026" t="s">
        <v>14650</v>
      </c>
      <c r="H6026" t="s">
        <v>174</v>
      </c>
      <c r="I6026" t="s">
        <v>22</v>
      </c>
      <c r="J6026">
        <v>93101</v>
      </c>
      <c r="K6026">
        <v>1304</v>
      </c>
      <c r="L6026" t="s">
        <v>23</v>
      </c>
      <c r="M6026" t="s">
        <v>14650</v>
      </c>
      <c r="N6026" t="s">
        <v>174</v>
      </c>
      <c r="O6026" t="s">
        <v>22</v>
      </c>
      <c r="P6026">
        <v>93101</v>
      </c>
      <c r="Q6026">
        <v>1304</v>
      </c>
      <c r="R6026" t="s">
        <v>23</v>
      </c>
      <c r="S6026" s="1" t="s">
        <v>34218</v>
      </c>
    </row>
    <row r="6027" spans="1:19" x14ac:dyDescent="0.25">
      <c r="A6027">
        <v>101057416</v>
      </c>
      <c r="B6027" t="s">
        <v>2637</v>
      </c>
      <c r="C6027" t="s">
        <v>1616</v>
      </c>
      <c r="G6027" t="s">
        <v>14651</v>
      </c>
      <c r="H6027" t="s">
        <v>1113</v>
      </c>
      <c r="I6027" t="s">
        <v>365</v>
      </c>
      <c r="J6027">
        <v>86005</v>
      </c>
      <c r="K6027">
        <v>8944</v>
      </c>
      <c r="L6027" t="s">
        <v>23</v>
      </c>
      <c r="M6027" t="s">
        <v>14651</v>
      </c>
      <c r="N6027" t="s">
        <v>1113</v>
      </c>
      <c r="O6027" t="s">
        <v>365</v>
      </c>
      <c r="P6027">
        <v>86005</v>
      </c>
      <c r="Q6027">
        <v>8944</v>
      </c>
      <c r="R6027" t="s">
        <v>23</v>
      </c>
      <c r="S6027" s="1" t="s">
        <v>34218</v>
      </c>
    </row>
    <row r="6028" spans="1:19" x14ac:dyDescent="0.25">
      <c r="A6028">
        <v>100527811</v>
      </c>
      <c r="B6028" t="s">
        <v>14652</v>
      </c>
      <c r="C6028" t="s">
        <v>522</v>
      </c>
      <c r="G6028" t="s">
        <v>14653</v>
      </c>
      <c r="H6028" t="s">
        <v>14654</v>
      </c>
      <c r="I6028" t="s">
        <v>2537</v>
      </c>
      <c r="J6028">
        <v>72301</v>
      </c>
      <c r="K6028">
        <v>4966</v>
      </c>
      <c r="L6028" t="s">
        <v>23</v>
      </c>
      <c r="M6028" t="s">
        <v>14653</v>
      </c>
      <c r="N6028" t="s">
        <v>14654</v>
      </c>
      <c r="O6028" t="s">
        <v>2537</v>
      </c>
      <c r="P6028">
        <v>72301</v>
      </c>
      <c r="Q6028">
        <v>4966</v>
      </c>
      <c r="R6028" t="s">
        <v>23</v>
      </c>
      <c r="S6028" s="1" t="s">
        <v>34218</v>
      </c>
    </row>
    <row r="6029" spans="1:19" x14ac:dyDescent="0.25">
      <c r="A6029">
        <v>100528577</v>
      </c>
      <c r="B6029" t="s">
        <v>1164</v>
      </c>
      <c r="C6029" t="s">
        <v>233</v>
      </c>
      <c r="G6029" t="s">
        <v>14655</v>
      </c>
      <c r="H6029" t="s">
        <v>11092</v>
      </c>
      <c r="I6029" t="s">
        <v>984</v>
      </c>
      <c r="J6029">
        <v>96734</v>
      </c>
      <c r="K6029">
        <v>3020</v>
      </c>
      <c r="L6029" t="s">
        <v>23</v>
      </c>
      <c r="M6029" t="s">
        <v>14655</v>
      </c>
      <c r="N6029" t="s">
        <v>11092</v>
      </c>
      <c r="O6029" t="s">
        <v>984</v>
      </c>
      <c r="P6029">
        <v>96734</v>
      </c>
      <c r="Q6029">
        <v>3020</v>
      </c>
      <c r="R6029" t="s">
        <v>23</v>
      </c>
      <c r="S6029" s="1" t="s">
        <v>34218</v>
      </c>
    </row>
    <row r="6030" spans="1:19" x14ac:dyDescent="0.25">
      <c r="A6030">
        <v>100716680</v>
      </c>
      <c r="B6030" t="s">
        <v>14656</v>
      </c>
      <c r="C6030" t="s">
        <v>110</v>
      </c>
      <c r="G6030" t="s">
        <v>14657</v>
      </c>
      <c r="H6030" t="s">
        <v>14658</v>
      </c>
      <c r="I6030" t="s">
        <v>236</v>
      </c>
      <c r="J6030">
        <v>2026</v>
      </c>
      <c r="K6030">
        <v>6332</v>
      </c>
      <c r="L6030" t="s">
        <v>23</v>
      </c>
      <c r="M6030" t="s">
        <v>14657</v>
      </c>
      <c r="N6030" t="s">
        <v>14658</v>
      </c>
      <c r="O6030" t="s">
        <v>236</v>
      </c>
      <c r="P6030">
        <v>2026</v>
      </c>
      <c r="Q6030">
        <v>6332</v>
      </c>
      <c r="R6030" t="s">
        <v>23</v>
      </c>
      <c r="S6030" s="1" t="s">
        <v>34218</v>
      </c>
    </row>
    <row r="6031" spans="1:19" x14ac:dyDescent="0.25">
      <c r="A6031">
        <v>100715151</v>
      </c>
      <c r="B6031" t="s">
        <v>44</v>
      </c>
      <c r="C6031" t="s">
        <v>193</v>
      </c>
      <c r="G6031" t="s">
        <v>14659</v>
      </c>
      <c r="H6031" t="s">
        <v>3363</v>
      </c>
      <c r="I6031" t="s">
        <v>33</v>
      </c>
      <c r="J6031">
        <v>15232</v>
      </c>
      <c r="K6031">
        <v>2479</v>
      </c>
      <c r="L6031" t="s">
        <v>23</v>
      </c>
      <c r="M6031" t="s">
        <v>14659</v>
      </c>
      <c r="N6031" t="s">
        <v>3363</v>
      </c>
      <c r="O6031" t="s">
        <v>33</v>
      </c>
      <c r="P6031">
        <v>15232</v>
      </c>
      <c r="Q6031">
        <v>2479</v>
      </c>
      <c r="R6031" t="s">
        <v>23</v>
      </c>
      <c r="S6031" s="1" t="s">
        <v>34218</v>
      </c>
    </row>
    <row r="6032" spans="1:19" x14ac:dyDescent="0.25">
      <c r="A6032">
        <v>100715407</v>
      </c>
      <c r="B6032" t="s">
        <v>14660</v>
      </c>
      <c r="C6032" t="s">
        <v>2127</v>
      </c>
      <c r="G6032" t="s">
        <v>14661</v>
      </c>
      <c r="H6032" t="s">
        <v>13062</v>
      </c>
      <c r="I6032" t="s">
        <v>52</v>
      </c>
      <c r="J6032">
        <v>32935</v>
      </c>
      <c r="K6032">
        <v>2043</v>
      </c>
      <c r="L6032" t="s">
        <v>23</v>
      </c>
      <c r="M6032" t="s">
        <v>14661</v>
      </c>
      <c r="N6032" t="s">
        <v>13062</v>
      </c>
      <c r="O6032" t="s">
        <v>52</v>
      </c>
      <c r="P6032">
        <v>32935</v>
      </c>
      <c r="Q6032">
        <v>2043</v>
      </c>
      <c r="R6032" t="s">
        <v>23</v>
      </c>
      <c r="S6032" s="1" t="s">
        <v>34218</v>
      </c>
    </row>
    <row r="6033" spans="1:19" x14ac:dyDescent="0.25">
      <c r="A6033">
        <v>100722113</v>
      </c>
      <c r="B6033" t="s">
        <v>3303</v>
      </c>
      <c r="C6033" t="s">
        <v>505</v>
      </c>
      <c r="G6033" t="s">
        <v>14662</v>
      </c>
      <c r="H6033" t="s">
        <v>13242</v>
      </c>
      <c r="I6033" t="s">
        <v>38</v>
      </c>
      <c r="J6033">
        <v>76550</v>
      </c>
      <c r="K6033">
        <v>34</v>
      </c>
      <c r="L6033" t="s">
        <v>23</v>
      </c>
      <c r="M6033" t="s">
        <v>14662</v>
      </c>
      <c r="N6033" t="s">
        <v>13242</v>
      </c>
      <c r="O6033" t="s">
        <v>38</v>
      </c>
      <c r="P6033">
        <v>76550</v>
      </c>
      <c r="Q6033">
        <v>34</v>
      </c>
      <c r="R6033" t="s">
        <v>23</v>
      </c>
      <c r="S6033" s="1" t="s">
        <v>34218</v>
      </c>
    </row>
    <row r="6034" spans="1:19" x14ac:dyDescent="0.25">
      <c r="A6034">
        <v>100730844</v>
      </c>
      <c r="B6034" t="s">
        <v>2509</v>
      </c>
      <c r="C6034" t="s">
        <v>180</v>
      </c>
      <c r="F6034" t="str">
        <f>"3236622492"</f>
        <v>3236622492</v>
      </c>
      <c r="G6034" t="s">
        <v>14663</v>
      </c>
      <c r="H6034" t="s">
        <v>299</v>
      </c>
      <c r="I6034" t="s">
        <v>22</v>
      </c>
      <c r="J6034">
        <v>90027</v>
      </c>
      <c r="K6034">
        <v>1118</v>
      </c>
      <c r="L6034" t="s">
        <v>23</v>
      </c>
      <c r="M6034" t="s">
        <v>14663</v>
      </c>
      <c r="N6034" t="s">
        <v>299</v>
      </c>
      <c r="O6034" t="s">
        <v>22</v>
      </c>
      <c r="P6034">
        <v>90027</v>
      </c>
      <c r="Q6034">
        <v>1118</v>
      </c>
      <c r="R6034" t="s">
        <v>23</v>
      </c>
      <c r="S6034" s="1" t="s">
        <v>34218</v>
      </c>
    </row>
    <row r="6035" spans="1:19" x14ac:dyDescent="0.25">
      <c r="A6035">
        <v>100729220</v>
      </c>
      <c r="B6035" t="s">
        <v>247</v>
      </c>
      <c r="C6035" t="s">
        <v>12345</v>
      </c>
      <c r="G6035" t="s">
        <v>14664</v>
      </c>
      <c r="H6035" t="s">
        <v>14665</v>
      </c>
      <c r="I6035" t="s">
        <v>327</v>
      </c>
      <c r="J6035">
        <v>26554</v>
      </c>
      <c r="K6035">
        <v>9639</v>
      </c>
      <c r="L6035" t="s">
        <v>23</v>
      </c>
      <c r="M6035" t="s">
        <v>14664</v>
      </c>
      <c r="N6035" t="s">
        <v>14665</v>
      </c>
      <c r="O6035" t="s">
        <v>327</v>
      </c>
      <c r="P6035">
        <v>26554</v>
      </c>
      <c r="Q6035">
        <v>9639</v>
      </c>
      <c r="R6035" t="s">
        <v>23</v>
      </c>
      <c r="S6035" s="1" t="s">
        <v>34218</v>
      </c>
    </row>
    <row r="6036" spans="1:19" x14ac:dyDescent="0.25">
      <c r="A6036">
        <v>100729381</v>
      </c>
      <c r="B6036" t="s">
        <v>2778</v>
      </c>
      <c r="C6036" t="s">
        <v>77</v>
      </c>
      <c r="F6036" t="str">
        <f>"7064673104"</f>
        <v>7064673104</v>
      </c>
      <c r="G6036" t="s">
        <v>14666</v>
      </c>
      <c r="H6036" t="s">
        <v>12564</v>
      </c>
      <c r="I6036" t="s">
        <v>28</v>
      </c>
      <c r="J6036">
        <v>30642</v>
      </c>
      <c r="K6036">
        <v>4899</v>
      </c>
      <c r="L6036" t="s">
        <v>23</v>
      </c>
      <c r="M6036" t="s">
        <v>14666</v>
      </c>
      <c r="N6036" t="s">
        <v>12564</v>
      </c>
      <c r="O6036" t="s">
        <v>28</v>
      </c>
      <c r="P6036">
        <v>30642</v>
      </c>
      <c r="Q6036">
        <v>4899</v>
      </c>
      <c r="R6036" t="s">
        <v>23</v>
      </c>
      <c r="S6036" s="1" t="s">
        <v>34218</v>
      </c>
    </row>
    <row r="6037" spans="1:19" x14ac:dyDescent="0.25">
      <c r="A6037">
        <v>100729427</v>
      </c>
      <c r="B6037" t="s">
        <v>14667</v>
      </c>
      <c r="C6037" t="s">
        <v>305</v>
      </c>
      <c r="G6037" t="s">
        <v>14668</v>
      </c>
      <c r="H6037" t="s">
        <v>12888</v>
      </c>
      <c r="I6037" t="s">
        <v>57</v>
      </c>
      <c r="J6037">
        <v>46151</v>
      </c>
      <c r="K6037">
        <v>1318</v>
      </c>
      <c r="L6037" t="s">
        <v>23</v>
      </c>
      <c r="M6037" t="s">
        <v>14668</v>
      </c>
      <c r="N6037" t="s">
        <v>12888</v>
      </c>
      <c r="O6037" t="s">
        <v>57</v>
      </c>
      <c r="P6037">
        <v>46151</v>
      </c>
      <c r="Q6037">
        <v>1318</v>
      </c>
      <c r="R6037" t="s">
        <v>23</v>
      </c>
      <c r="S6037" s="1" t="s">
        <v>34218</v>
      </c>
    </row>
    <row r="6038" spans="1:19" x14ac:dyDescent="0.25">
      <c r="A6038">
        <v>100920348</v>
      </c>
      <c r="B6038" t="s">
        <v>14669</v>
      </c>
      <c r="C6038" t="s">
        <v>406</v>
      </c>
      <c r="G6038" t="s">
        <v>14670</v>
      </c>
      <c r="H6038" t="s">
        <v>227</v>
      </c>
      <c r="I6038" t="s">
        <v>43</v>
      </c>
      <c r="J6038">
        <v>97205</v>
      </c>
      <c r="K6038">
        <v>1401</v>
      </c>
      <c r="L6038" t="s">
        <v>23</v>
      </c>
      <c r="M6038" t="s">
        <v>14670</v>
      </c>
      <c r="N6038" t="s">
        <v>227</v>
      </c>
      <c r="O6038" t="s">
        <v>43</v>
      </c>
      <c r="P6038">
        <v>97205</v>
      </c>
      <c r="Q6038">
        <v>1401</v>
      </c>
      <c r="R6038" t="s">
        <v>23</v>
      </c>
      <c r="S6038" s="1" t="s">
        <v>34218</v>
      </c>
    </row>
    <row r="6039" spans="1:19" x14ac:dyDescent="0.25">
      <c r="A6039">
        <v>100915270</v>
      </c>
      <c r="B6039" t="s">
        <v>1291</v>
      </c>
      <c r="C6039" t="s">
        <v>644</v>
      </c>
      <c r="G6039" t="s">
        <v>14671</v>
      </c>
      <c r="H6039" t="s">
        <v>6109</v>
      </c>
      <c r="I6039" t="s">
        <v>100</v>
      </c>
      <c r="J6039">
        <v>53151</v>
      </c>
      <c r="K6039">
        <v>2437</v>
      </c>
      <c r="L6039" t="s">
        <v>23</v>
      </c>
      <c r="M6039" t="s">
        <v>14671</v>
      </c>
      <c r="N6039" t="s">
        <v>6109</v>
      </c>
      <c r="O6039" t="s">
        <v>100</v>
      </c>
      <c r="P6039">
        <v>53151</v>
      </c>
      <c r="Q6039">
        <v>2437</v>
      </c>
      <c r="R6039" t="s">
        <v>23</v>
      </c>
      <c r="S6039" s="1" t="s">
        <v>34218</v>
      </c>
    </row>
    <row r="6040" spans="1:19" x14ac:dyDescent="0.25">
      <c r="A6040">
        <v>100918171</v>
      </c>
      <c r="B6040" t="s">
        <v>208</v>
      </c>
      <c r="C6040" t="s">
        <v>1363</v>
      </c>
      <c r="G6040" t="s">
        <v>14672</v>
      </c>
      <c r="H6040" t="s">
        <v>2250</v>
      </c>
      <c r="I6040" t="s">
        <v>148</v>
      </c>
      <c r="J6040">
        <v>21403</v>
      </c>
      <c r="K6040">
        <v>1527</v>
      </c>
      <c r="L6040" t="s">
        <v>23</v>
      </c>
      <c r="M6040" t="s">
        <v>14672</v>
      </c>
      <c r="N6040" t="s">
        <v>2250</v>
      </c>
      <c r="O6040" t="s">
        <v>148</v>
      </c>
      <c r="P6040">
        <v>21403</v>
      </c>
      <c r="Q6040">
        <v>1527</v>
      </c>
      <c r="R6040" t="s">
        <v>23</v>
      </c>
      <c r="S6040" s="1" t="s">
        <v>34218</v>
      </c>
    </row>
    <row r="6041" spans="1:19" x14ac:dyDescent="0.25">
      <c r="A6041">
        <v>100910939</v>
      </c>
      <c r="B6041" t="s">
        <v>14673</v>
      </c>
      <c r="C6041" t="s">
        <v>1398</v>
      </c>
      <c r="G6041" t="s">
        <v>14674</v>
      </c>
      <c r="H6041" t="s">
        <v>1122</v>
      </c>
      <c r="I6041" t="s">
        <v>126</v>
      </c>
      <c r="J6041">
        <v>64063</v>
      </c>
      <c r="K6041">
        <v>3405</v>
      </c>
      <c r="L6041" t="s">
        <v>23</v>
      </c>
      <c r="M6041" t="s">
        <v>14674</v>
      </c>
      <c r="N6041" t="s">
        <v>1122</v>
      </c>
      <c r="O6041" t="s">
        <v>126</v>
      </c>
      <c r="P6041">
        <v>64063</v>
      </c>
      <c r="Q6041">
        <v>3405</v>
      </c>
      <c r="R6041" t="s">
        <v>23</v>
      </c>
      <c r="S6041" s="1" t="s">
        <v>34218</v>
      </c>
    </row>
    <row r="6042" spans="1:19" x14ac:dyDescent="0.25">
      <c r="A6042">
        <v>100918476</v>
      </c>
      <c r="B6042" t="s">
        <v>14675</v>
      </c>
      <c r="C6042" t="s">
        <v>14676</v>
      </c>
      <c r="G6042" t="s">
        <v>14677</v>
      </c>
      <c r="H6042" t="s">
        <v>9832</v>
      </c>
      <c r="I6042" t="s">
        <v>1387</v>
      </c>
      <c r="J6042">
        <v>36549</v>
      </c>
      <c r="K6042">
        <v>5325</v>
      </c>
      <c r="L6042" t="s">
        <v>23</v>
      </c>
      <c r="M6042" t="s">
        <v>14677</v>
      </c>
      <c r="N6042" t="s">
        <v>9832</v>
      </c>
      <c r="O6042" t="s">
        <v>1387</v>
      </c>
      <c r="P6042">
        <v>36549</v>
      </c>
      <c r="Q6042">
        <v>5325</v>
      </c>
      <c r="R6042" t="s">
        <v>23</v>
      </c>
      <c r="S6042" s="1" t="s">
        <v>34218</v>
      </c>
    </row>
    <row r="6043" spans="1:19" x14ac:dyDescent="0.25">
      <c r="A6043">
        <v>100919785</v>
      </c>
      <c r="B6043" t="s">
        <v>14678</v>
      </c>
      <c r="C6043" t="s">
        <v>1873</v>
      </c>
      <c r="G6043" t="s">
        <v>14679</v>
      </c>
      <c r="H6043" t="s">
        <v>14680</v>
      </c>
      <c r="I6043" t="s">
        <v>161</v>
      </c>
      <c r="J6043">
        <v>6279</v>
      </c>
      <c r="K6043">
        <v>1646</v>
      </c>
      <c r="L6043" t="s">
        <v>23</v>
      </c>
      <c r="M6043" t="s">
        <v>14679</v>
      </c>
      <c r="N6043" t="s">
        <v>14680</v>
      </c>
      <c r="O6043" t="s">
        <v>161</v>
      </c>
      <c r="P6043">
        <v>6279</v>
      </c>
      <c r="Q6043">
        <v>1646</v>
      </c>
      <c r="R6043" t="s">
        <v>23</v>
      </c>
      <c r="S6043" s="1" t="s">
        <v>34218</v>
      </c>
    </row>
    <row r="6044" spans="1:19" x14ac:dyDescent="0.25">
      <c r="A6044">
        <v>100922791</v>
      </c>
      <c r="B6044" t="s">
        <v>3535</v>
      </c>
      <c r="C6044" t="s">
        <v>30</v>
      </c>
      <c r="G6044" t="s">
        <v>14681</v>
      </c>
      <c r="H6044" t="s">
        <v>9846</v>
      </c>
      <c r="I6044" t="s">
        <v>33</v>
      </c>
      <c r="J6044">
        <v>19003</v>
      </c>
      <c r="K6044">
        <v>2907</v>
      </c>
      <c r="L6044" t="s">
        <v>23</v>
      </c>
      <c r="M6044" t="s">
        <v>14681</v>
      </c>
      <c r="N6044" t="s">
        <v>9846</v>
      </c>
      <c r="O6044" t="s">
        <v>33</v>
      </c>
      <c r="P6044">
        <v>19003</v>
      </c>
      <c r="Q6044">
        <v>2907</v>
      </c>
      <c r="R6044" t="s">
        <v>23</v>
      </c>
      <c r="S6044" s="1" t="s">
        <v>34218</v>
      </c>
    </row>
    <row r="6045" spans="1:19" x14ac:dyDescent="0.25">
      <c r="A6045">
        <v>100927402</v>
      </c>
      <c r="B6045" t="s">
        <v>14682</v>
      </c>
      <c r="C6045" t="s">
        <v>252</v>
      </c>
      <c r="G6045" t="s">
        <v>14683</v>
      </c>
      <c r="H6045" t="s">
        <v>10619</v>
      </c>
      <c r="I6045" t="s">
        <v>84</v>
      </c>
      <c r="J6045">
        <v>98133</v>
      </c>
      <c r="K6045">
        <v>3922</v>
      </c>
      <c r="L6045" t="s">
        <v>23</v>
      </c>
      <c r="M6045" t="s">
        <v>14683</v>
      </c>
      <c r="N6045" t="s">
        <v>10619</v>
      </c>
      <c r="O6045" t="s">
        <v>84</v>
      </c>
      <c r="P6045">
        <v>98133</v>
      </c>
      <c r="Q6045">
        <v>3922</v>
      </c>
      <c r="R6045" t="s">
        <v>23</v>
      </c>
      <c r="S6045" s="1" t="s">
        <v>34218</v>
      </c>
    </row>
    <row r="6046" spans="1:19" x14ac:dyDescent="0.25">
      <c r="A6046">
        <v>100935089</v>
      </c>
      <c r="B6046" t="s">
        <v>14684</v>
      </c>
      <c r="C6046" t="s">
        <v>5283</v>
      </c>
      <c r="G6046" t="s">
        <v>14685</v>
      </c>
      <c r="H6046" t="s">
        <v>14686</v>
      </c>
      <c r="I6046" t="s">
        <v>250</v>
      </c>
      <c r="J6046">
        <v>8831</v>
      </c>
      <c r="K6046">
        <v>7638</v>
      </c>
      <c r="L6046" t="s">
        <v>23</v>
      </c>
      <c r="M6046" t="s">
        <v>14685</v>
      </c>
      <c r="N6046" t="s">
        <v>14686</v>
      </c>
      <c r="O6046" t="s">
        <v>250</v>
      </c>
      <c r="P6046">
        <v>8831</v>
      </c>
      <c r="Q6046">
        <v>7638</v>
      </c>
      <c r="R6046" t="s">
        <v>23</v>
      </c>
      <c r="S6046" s="1" t="s">
        <v>34218</v>
      </c>
    </row>
    <row r="6047" spans="1:19" x14ac:dyDescent="0.25">
      <c r="A6047">
        <v>100934128</v>
      </c>
      <c r="B6047" t="s">
        <v>2287</v>
      </c>
      <c r="C6047" t="s">
        <v>1859</v>
      </c>
      <c r="G6047" t="s">
        <v>14687</v>
      </c>
      <c r="H6047" t="s">
        <v>1535</v>
      </c>
      <c r="I6047" t="s">
        <v>22</v>
      </c>
      <c r="J6047">
        <v>94941</v>
      </c>
      <c r="K6047">
        <v>2956</v>
      </c>
      <c r="L6047" t="s">
        <v>23</v>
      </c>
      <c r="M6047" t="s">
        <v>14687</v>
      </c>
      <c r="N6047" t="s">
        <v>1535</v>
      </c>
      <c r="O6047" t="s">
        <v>22</v>
      </c>
      <c r="P6047">
        <v>94941</v>
      </c>
      <c r="Q6047">
        <v>2956</v>
      </c>
      <c r="R6047" t="s">
        <v>23</v>
      </c>
      <c r="S6047" s="1" t="s">
        <v>34218</v>
      </c>
    </row>
    <row r="6048" spans="1:19" x14ac:dyDescent="0.25">
      <c r="A6048">
        <v>100936513</v>
      </c>
      <c r="B6048" t="s">
        <v>14688</v>
      </c>
      <c r="C6048" t="s">
        <v>145</v>
      </c>
      <c r="F6048" t="str">
        <f>"5419732828"</f>
        <v>5419732828</v>
      </c>
      <c r="G6048" t="s">
        <v>14689</v>
      </c>
      <c r="H6048" t="s">
        <v>14629</v>
      </c>
      <c r="I6048" t="s">
        <v>43</v>
      </c>
      <c r="J6048">
        <v>97502</v>
      </c>
      <c r="K6048">
        <v>1379</v>
      </c>
      <c r="L6048" t="s">
        <v>23</v>
      </c>
      <c r="M6048" t="s">
        <v>14689</v>
      </c>
      <c r="N6048" t="s">
        <v>14629</v>
      </c>
      <c r="O6048" t="s">
        <v>43</v>
      </c>
      <c r="P6048">
        <v>97502</v>
      </c>
      <c r="Q6048">
        <v>1379</v>
      </c>
      <c r="R6048" t="s">
        <v>23</v>
      </c>
      <c r="S6048" s="1" t="s">
        <v>34218</v>
      </c>
    </row>
    <row r="6049" spans="1:19" x14ac:dyDescent="0.25">
      <c r="A6049">
        <v>100935485</v>
      </c>
      <c r="B6049" t="s">
        <v>14690</v>
      </c>
      <c r="C6049" t="s">
        <v>1327</v>
      </c>
      <c r="G6049" t="s">
        <v>14691</v>
      </c>
      <c r="H6049" t="s">
        <v>14692</v>
      </c>
      <c r="I6049" t="s">
        <v>984</v>
      </c>
      <c r="J6049">
        <v>96772</v>
      </c>
      <c r="K6049">
        <v>17</v>
      </c>
      <c r="L6049" t="s">
        <v>23</v>
      </c>
      <c r="M6049" t="s">
        <v>14691</v>
      </c>
      <c r="N6049" t="s">
        <v>14692</v>
      </c>
      <c r="O6049" t="s">
        <v>984</v>
      </c>
      <c r="P6049">
        <v>96772</v>
      </c>
      <c r="Q6049">
        <v>17</v>
      </c>
      <c r="R6049" t="s">
        <v>23</v>
      </c>
      <c r="S6049" s="1" t="s">
        <v>34218</v>
      </c>
    </row>
    <row r="6050" spans="1:19" x14ac:dyDescent="0.25">
      <c r="A6050">
        <v>100927379</v>
      </c>
      <c r="B6050" t="s">
        <v>14693</v>
      </c>
      <c r="C6050" t="s">
        <v>25</v>
      </c>
      <c r="G6050" t="s">
        <v>14694</v>
      </c>
      <c r="H6050" t="s">
        <v>6324</v>
      </c>
      <c r="I6050" t="s">
        <v>117</v>
      </c>
      <c r="J6050">
        <v>12020</v>
      </c>
      <c r="K6050">
        <v>4377</v>
      </c>
      <c r="L6050" t="s">
        <v>23</v>
      </c>
      <c r="M6050" t="s">
        <v>14694</v>
      </c>
      <c r="N6050" t="s">
        <v>6324</v>
      </c>
      <c r="O6050" t="s">
        <v>117</v>
      </c>
      <c r="P6050">
        <v>12020</v>
      </c>
      <c r="Q6050">
        <v>4377</v>
      </c>
      <c r="R6050" t="s">
        <v>23</v>
      </c>
      <c r="S6050" s="1" t="s">
        <v>34218</v>
      </c>
    </row>
    <row r="6051" spans="1:19" x14ac:dyDescent="0.25">
      <c r="A6051">
        <v>100930999</v>
      </c>
      <c r="B6051" t="s">
        <v>14695</v>
      </c>
      <c r="C6051" t="s">
        <v>5836</v>
      </c>
      <c r="F6051" t="str">
        <f>"7609677673"</f>
        <v>7609677673</v>
      </c>
      <c r="G6051" t="s">
        <v>14696</v>
      </c>
      <c r="H6051" t="s">
        <v>1614</v>
      </c>
      <c r="I6051" t="s">
        <v>22</v>
      </c>
      <c r="J6051">
        <v>92054</v>
      </c>
      <c r="K6051">
        <v>4040</v>
      </c>
      <c r="L6051" t="s">
        <v>23</v>
      </c>
      <c r="M6051" t="s">
        <v>14696</v>
      </c>
      <c r="N6051" t="s">
        <v>1614</v>
      </c>
      <c r="O6051" t="s">
        <v>22</v>
      </c>
      <c r="P6051">
        <v>92054</v>
      </c>
      <c r="Q6051">
        <v>4040</v>
      </c>
      <c r="R6051" t="s">
        <v>23</v>
      </c>
      <c r="S6051" s="1" t="s">
        <v>34218</v>
      </c>
    </row>
    <row r="6052" spans="1:19" x14ac:dyDescent="0.25">
      <c r="A6052">
        <v>100927409</v>
      </c>
      <c r="B6052" t="s">
        <v>10269</v>
      </c>
      <c r="C6052" t="s">
        <v>5671</v>
      </c>
      <c r="G6052" t="s">
        <v>14697</v>
      </c>
      <c r="H6052" t="s">
        <v>198</v>
      </c>
      <c r="I6052" t="s">
        <v>22</v>
      </c>
      <c r="J6052">
        <v>92103</v>
      </c>
      <c r="K6052">
        <v>1251</v>
      </c>
      <c r="L6052" t="s">
        <v>23</v>
      </c>
      <c r="M6052" t="s">
        <v>14697</v>
      </c>
      <c r="N6052" t="s">
        <v>198</v>
      </c>
      <c r="O6052" t="s">
        <v>22</v>
      </c>
      <c r="P6052">
        <v>92103</v>
      </c>
      <c r="Q6052">
        <v>1251</v>
      </c>
      <c r="R6052" t="s">
        <v>23</v>
      </c>
      <c r="S6052" s="1" t="s">
        <v>34218</v>
      </c>
    </row>
    <row r="6053" spans="1:19" x14ac:dyDescent="0.25">
      <c r="A6053">
        <v>100922297</v>
      </c>
      <c r="B6053" t="s">
        <v>826</v>
      </c>
      <c r="C6053" t="s">
        <v>3774</v>
      </c>
      <c r="F6053" t="str">
        <f>"7732945640"</f>
        <v>7732945640</v>
      </c>
      <c r="G6053" t="s">
        <v>14698</v>
      </c>
      <c r="H6053" t="s">
        <v>134</v>
      </c>
      <c r="I6053" t="s">
        <v>135</v>
      </c>
      <c r="J6053">
        <v>60622</v>
      </c>
      <c r="K6053">
        <v>5005</v>
      </c>
      <c r="L6053" t="s">
        <v>23</v>
      </c>
      <c r="M6053" t="s">
        <v>14698</v>
      </c>
      <c r="N6053" t="s">
        <v>134</v>
      </c>
      <c r="O6053" t="s">
        <v>135</v>
      </c>
      <c r="P6053">
        <v>60622</v>
      </c>
      <c r="Q6053">
        <v>5005</v>
      </c>
      <c r="R6053" t="s">
        <v>23</v>
      </c>
      <c r="S6053" s="1" t="s">
        <v>34218</v>
      </c>
    </row>
    <row r="6054" spans="1:19" x14ac:dyDescent="0.25">
      <c r="A6054">
        <v>100932667</v>
      </c>
      <c r="B6054" t="s">
        <v>7693</v>
      </c>
      <c r="C6054" t="s">
        <v>180</v>
      </c>
      <c r="G6054" t="s">
        <v>14699</v>
      </c>
      <c r="H6054" t="s">
        <v>9212</v>
      </c>
      <c r="I6054" t="s">
        <v>446</v>
      </c>
      <c r="J6054">
        <v>28105</v>
      </c>
      <c r="K6054">
        <v>3881</v>
      </c>
      <c r="L6054" t="s">
        <v>23</v>
      </c>
      <c r="M6054" t="s">
        <v>14699</v>
      </c>
      <c r="N6054" t="s">
        <v>9212</v>
      </c>
      <c r="O6054" t="s">
        <v>446</v>
      </c>
      <c r="P6054">
        <v>28105</v>
      </c>
      <c r="Q6054">
        <v>3881</v>
      </c>
      <c r="R6054" t="s">
        <v>23</v>
      </c>
      <c r="S6054" s="1" t="s">
        <v>34218</v>
      </c>
    </row>
    <row r="6055" spans="1:19" x14ac:dyDescent="0.25">
      <c r="A6055">
        <v>101425732</v>
      </c>
      <c r="B6055" t="s">
        <v>14700</v>
      </c>
      <c r="C6055" t="s">
        <v>571</v>
      </c>
      <c r="G6055" t="s">
        <v>14701</v>
      </c>
      <c r="H6055" t="s">
        <v>1765</v>
      </c>
      <c r="I6055" t="s">
        <v>84</v>
      </c>
      <c r="J6055">
        <v>98502</v>
      </c>
      <c r="K6055">
        <v>8175</v>
      </c>
      <c r="L6055" t="s">
        <v>23</v>
      </c>
      <c r="M6055" t="s">
        <v>14701</v>
      </c>
      <c r="N6055" t="s">
        <v>1765</v>
      </c>
      <c r="O6055" t="s">
        <v>84</v>
      </c>
      <c r="P6055">
        <v>98502</v>
      </c>
      <c r="Q6055">
        <v>8175</v>
      </c>
      <c r="R6055" t="s">
        <v>23</v>
      </c>
      <c r="S6055" s="1" t="s">
        <v>34218</v>
      </c>
    </row>
    <row r="6056" spans="1:19" x14ac:dyDescent="0.25">
      <c r="A6056">
        <v>100547974</v>
      </c>
      <c r="B6056" t="s">
        <v>1800</v>
      </c>
      <c r="C6056" t="s">
        <v>1873</v>
      </c>
      <c r="G6056" t="s">
        <v>14702</v>
      </c>
      <c r="H6056" t="s">
        <v>14703</v>
      </c>
      <c r="I6056" t="s">
        <v>117</v>
      </c>
      <c r="J6056">
        <v>13329</v>
      </c>
      <c r="K6056">
        <v>2120</v>
      </c>
      <c r="L6056" t="s">
        <v>23</v>
      </c>
      <c r="M6056" t="s">
        <v>14702</v>
      </c>
      <c r="N6056" t="s">
        <v>14703</v>
      </c>
      <c r="O6056" t="s">
        <v>117</v>
      </c>
      <c r="P6056">
        <v>13329</v>
      </c>
      <c r="Q6056">
        <v>2120</v>
      </c>
      <c r="R6056" t="s">
        <v>23</v>
      </c>
      <c r="S6056" s="1" t="s">
        <v>34218</v>
      </c>
    </row>
    <row r="6057" spans="1:19" x14ac:dyDescent="0.25">
      <c r="A6057">
        <v>100548126</v>
      </c>
      <c r="B6057" t="s">
        <v>14704</v>
      </c>
      <c r="C6057" t="s">
        <v>12829</v>
      </c>
      <c r="F6057" t="str">
        <f>"5624557789"</f>
        <v>5624557789</v>
      </c>
      <c r="G6057" t="s">
        <v>14705</v>
      </c>
      <c r="H6057" t="s">
        <v>14706</v>
      </c>
      <c r="I6057" t="s">
        <v>22</v>
      </c>
      <c r="J6057">
        <v>92317</v>
      </c>
      <c r="K6057">
        <v>836</v>
      </c>
      <c r="L6057" t="s">
        <v>23</v>
      </c>
      <c r="M6057" t="s">
        <v>14705</v>
      </c>
      <c r="N6057" t="s">
        <v>14706</v>
      </c>
      <c r="O6057" t="s">
        <v>22</v>
      </c>
      <c r="P6057">
        <v>92317</v>
      </c>
      <c r="Q6057">
        <v>836</v>
      </c>
      <c r="R6057" t="s">
        <v>23</v>
      </c>
      <c r="S6057" s="1" t="s">
        <v>34218</v>
      </c>
    </row>
    <row r="6058" spans="1:19" x14ac:dyDescent="0.25">
      <c r="A6058">
        <v>100555578</v>
      </c>
      <c r="B6058" t="s">
        <v>14707</v>
      </c>
      <c r="C6058" t="s">
        <v>14708</v>
      </c>
      <c r="G6058" t="s">
        <v>14709</v>
      </c>
      <c r="H6058" t="s">
        <v>6314</v>
      </c>
      <c r="I6058" t="s">
        <v>236</v>
      </c>
      <c r="J6058">
        <v>1740</v>
      </c>
      <c r="K6058">
        <v>1421</v>
      </c>
      <c r="L6058" t="s">
        <v>23</v>
      </c>
      <c r="M6058" t="s">
        <v>14709</v>
      </c>
      <c r="N6058" t="s">
        <v>6314</v>
      </c>
      <c r="O6058" t="s">
        <v>236</v>
      </c>
      <c r="P6058">
        <v>1740</v>
      </c>
      <c r="Q6058">
        <v>1421</v>
      </c>
      <c r="R6058" t="s">
        <v>23</v>
      </c>
      <c r="S6058" s="1" t="s">
        <v>34218</v>
      </c>
    </row>
    <row r="6059" spans="1:19" x14ac:dyDescent="0.25">
      <c r="A6059">
        <v>100555528</v>
      </c>
      <c r="B6059" t="s">
        <v>14710</v>
      </c>
      <c r="C6059" t="s">
        <v>9860</v>
      </c>
      <c r="G6059" t="s">
        <v>14711</v>
      </c>
      <c r="H6059" t="s">
        <v>6041</v>
      </c>
      <c r="I6059" t="s">
        <v>22</v>
      </c>
      <c r="J6059">
        <v>95476</v>
      </c>
      <c r="K6059">
        <v>3462</v>
      </c>
      <c r="L6059" t="s">
        <v>23</v>
      </c>
      <c r="M6059" t="s">
        <v>14711</v>
      </c>
      <c r="N6059" t="s">
        <v>6041</v>
      </c>
      <c r="O6059" t="s">
        <v>22</v>
      </c>
      <c r="P6059">
        <v>95476</v>
      </c>
      <c r="Q6059">
        <v>3462</v>
      </c>
      <c r="R6059" t="s">
        <v>23</v>
      </c>
      <c r="S6059" s="1" t="s">
        <v>34218</v>
      </c>
    </row>
    <row r="6060" spans="1:19" x14ac:dyDescent="0.25">
      <c r="A6060">
        <v>100552864</v>
      </c>
      <c r="B6060" t="s">
        <v>14283</v>
      </c>
      <c r="C6060" t="s">
        <v>7530</v>
      </c>
      <c r="F6060" t="str">
        <f>"3037449907"</f>
        <v>3037449907</v>
      </c>
      <c r="G6060" t="s">
        <v>14712</v>
      </c>
      <c r="H6060" t="s">
        <v>393</v>
      </c>
      <c r="I6060" t="s">
        <v>71</v>
      </c>
      <c r="J6060">
        <v>80210</v>
      </c>
      <c r="K6060">
        <v>1512</v>
      </c>
      <c r="L6060" t="s">
        <v>23</v>
      </c>
      <c r="M6060" t="s">
        <v>14712</v>
      </c>
      <c r="N6060" t="s">
        <v>393</v>
      </c>
      <c r="O6060" t="s">
        <v>71</v>
      </c>
      <c r="P6060">
        <v>80210</v>
      </c>
      <c r="Q6060">
        <v>1512</v>
      </c>
      <c r="R6060" t="s">
        <v>23</v>
      </c>
      <c r="S6060" s="1" t="s">
        <v>34218</v>
      </c>
    </row>
    <row r="6061" spans="1:19" x14ac:dyDescent="0.25">
      <c r="A6061">
        <v>100559602</v>
      </c>
      <c r="B6061" t="s">
        <v>14713</v>
      </c>
      <c r="C6061" t="s">
        <v>2134</v>
      </c>
      <c r="G6061" t="s">
        <v>14714</v>
      </c>
      <c r="H6061" t="s">
        <v>1229</v>
      </c>
      <c r="I6061" t="s">
        <v>38</v>
      </c>
      <c r="J6061">
        <v>78217</v>
      </c>
      <c r="K6061">
        <v>4674</v>
      </c>
      <c r="L6061" t="s">
        <v>23</v>
      </c>
      <c r="M6061" t="s">
        <v>14714</v>
      </c>
      <c r="N6061" t="s">
        <v>1229</v>
      </c>
      <c r="O6061" t="s">
        <v>38</v>
      </c>
      <c r="P6061">
        <v>78217</v>
      </c>
      <c r="Q6061">
        <v>4674</v>
      </c>
      <c r="R6061" t="s">
        <v>23</v>
      </c>
      <c r="S6061" s="1" t="s">
        <v>34218</v>
      </c>
    </row>
    <row r="6062" spans="1:19" x14ac:dyDescent="0.25">
      <c r="A6062">
        <v>100562320</v>
      </c>
      <c r="B6062" t="s">
        <v>14715</v>
      </c>
      <c r="C6062" t="s">
        <v>2044</v>
      </c>
      <c r="G6062" t="s">
        <v>14716</v>
      </c>
      <c r="H6062" t="s">
        <v>311</v>
      </c>
      <c r="I6062" t="s">
        <v>22</v>
      </c>
      <c r="J6062">
        <v>90803</v>
      </c>
      <c r="K6062">
        <v>2793</v>
      </c>
      <c r="L6062" t="s">
        <v>23</v>
      </c>
      <c r="M6062" t="s">
        <v>14716</v>
      </c>
      <c r="N6062" t="s">
        <v>311</v>
      </c>
      <c r="O6062" t="s">
        <v>22</v>
      </c>
      <c r="P6062">
        <v>90803</v>
      </c>
      <c r="Q6062">
        <v>2793</v>
      </c>
      <c r="R6062" t="s">
        <v>23</v>
      </c>
      <c r="S6062" s="1" t="s">
        <v>34218</v>
      </c>
    </row>
    <row r="6063" spans="1:19" x14ac:dyDescent="0.25">
      <c r="A6063">
        <v>100560757</v>
      </c>
      <c r="B6063" t="s">
        <v>14717</v>
      </c>
      <c r="C6063" t="s">
        <v>123</v>
      </c>
      <c r="G6063" t="s">
        <v>14718</v>
      </c>
      <c r="H6063" t="s">
        <v>573</v>
      </c>
      <c r="I6063" t="s">
        <v>33</v>
      </c>
      <c r="J6063">
        <v>19119</v>
      </c>
      <c r="K6063">
        <v>2439</v>
      </c>
      <c r="L6063" t="s">
        <v>23</v>
      </c>
      <c r="M6063" t="s">
        <v>14718</v>
      </c>
      <c r="N6063" t="s">
        <v>573</v>
      </c>
      <c r="O6063" t="s">
        <v>33</v>
      </c>
      <c r="P6063">
        <v>19119</v>
      </c>
      <c r="Q6063">
        <v>2439</v>
      </c>
      <c r="R6063" t="s">
        <v>23</v>
      </c>
      <c r="S6063" s="1" t="s">
        <v>34218</v>
      </c>
    </row>
    <row r="6064" spans="1:19" x14ac:dyDescent="0.25">
      <c r="A6064">
        <v>100569650</v>
      </c>
      <c r="B6064" t="s">
        <v>14719</v>
      </c>
      <c r="C6064" t="s">
        <v>2653</v>
      </c>
      <c r="F6064" t="str">
        <f>"6094948668"</f>
        <v>6094948668</v>
      </c>
      <c r="G6064" t="s">
        <v>14720</v>
      </c>
      <c r="H6064" t="s">
        <v>14721</v>
      </c>
      <c r="I6064" t="s">
        <v>250</v>
      </c>
      <c r="J6064">
        <v>8008</v>
      </c>
      <c r="K6064">
        <v>5406</v>
      </c>
      <c r="L6064" t="s">
        <v>23</v>
      </c>
      <c r="M6064" t="s">
        <v>14720</v>
      </c>
      <c r="N6064" t="s">
        <v>14721</v>
      </c>
      <c r="O6064" t="s">
        <v>250</v>
      </c>
      <c r="P6064">
        <v>8008</v>
      </c>
      <c r="Q6064">
        <v>5406</v>
      </c>
      <c r="R6064" t="s">
        <v>23</v>
      </c>
      <c r="S6064" s="1" t="s">
        <v>34218</v>
      </c>
    </row>
    <row r="6065" spans="1:19" x14ac:dyDescent="0.25">
      <c r="A6065">
        <v>100569809</v>
      </c>
      <c r="B6065" t="s">
        <v>14722</v>
      </c>
      <c r="C6065" t="s">
        <v>14723</v>
      </c>
      <c r="F6065" t="str">
        <f>"2072363450"</f>
        <v>2072363450</v>
      </c>
      <c r="G6065" t="s">
        <v>14724</v>
      </c>
      <c r="H6065" t="s">
        <v>14725</v>
      </c>
      <c r="I6065" t="s">
        <v>191</v>
      </c>
      <c r="J6065">
        <v>4843</v>
      </c>
      <c r="K6065">
        <v>2228</v>
      </c>
      <c r="L6065" t="s">
        <v>23</v>
      </c>
      <c r="M6065" t="s">
        <v>14724</v>
      </c>
      <c r="N6065" t="s">
        <v>14725</v>
      </c>
      <c r="O6065" t="s">
        <v>191</v>
      </c>
      <c r="P6065">
        <v>4843</v>
      </c>
      <c r="Q6065">
        <v>2228</v>
      </c>
      <c r="R6065" t="s">
        <v>23</v>
      </c>
      <c r="S6065" s="1" t="s">
        <v>34218</v>
      </c>
    </row>
    <row r="6066" spans="1:19" x14ac:dyDescent="0.25">
      <c r="A6066">
        <v>100573640</v>
      </c>
      <c r="B6066" t="s">
        <v>14726</v>
      </c>
      <c r="C6066" t="s">
        <v>14727</v>
      </c>
      <c r="G6066" t="s">
        <v>14728</v>
      </c>
      <c r="H6066" t="s">
        <v>2136</v>
      </c>
      <c r="I6066" t="s">
        <v>117</v>
      </c>
      <c r="J6066">
        <v>12603</v>
      </c>
      <c r="K6066">
        <v>1615</v>
      </c>
      <c r="L6066" t="s">
        <v>23</v>
      </c>
      <c r="M6066" t="s">
        <v>14728</v>
      </c>
      <c r="N6066" t="s">
        <v>2136</v>
      </c>
      <c r="O6066" t="s">
        <v>117</v>
      </c>
      <c r="P6066">
        <v>12603</v>
      </c>
      <c r="Q6066">
        <v>1615</v>
      </c>
      <c r="R6066" t="s">
        <v>23</v>
      </c>
      <c r="S6066" s="1" t="s">
        <v>34218</v>
      </c>
    </row>
    <row r="6067" spans="1:19" x14ac:dyDescent="0.25">
      <c r="A6067">
        <v>100759483</v>
      </c>
      <c r="B6067" t="s">
        <v>6681</v>
      </c>
      <c r="C6067" t="s">
        <v>14729</v>
      </c>
      <c r="G6067" t="s">
        <v>14730</v>
      </c>
      <c r="H6067" t="s">
        <v>7649</v>
      </c>
      <c r="I6067" t="s">
        <v>57</v>
      </c>
      <c r="J6067">
        <v>46203</v>
      </c>
      <c r="K6067">
        <v>2501</v>
      </c>
      <c r="L6067" t="s">
        <v>23</v>
      </c>
      <c r="M6067" t="s">
        <v>14730</v>
      </c>
      <c r="N6067" t="s">
        <v>7649</v>
      </c>
      <c r="O6067" t="s">
        <v>57</v>
      </c>
      <c r="P6067">
        <v>46203</v>
      </c>
      <c r="Q6067">
        <v>2501</v>
      </c>
      <c r="R6067" t="s">
        <v>23</v>
      </c>
      <c r="S6067" s="1" t="s">
        <v>34218</v>
      </c>
    </row>
    <row r="6068" spans="1:19" x14ac:dyDescent="0.25">
      <c r="A6068">
        <v>100757719</v>
      </c>
      <c r="B6068" t="s">
        <v>14731</v>
      </c>
      <c r="C6068" t="s">
        <v>479</v>
      </c>
      <c r="G6068" t="s">
        <v>14732</v>
      </c>
      <c r="H6068" t="s">
        <v>7195</v>
      </c>
      <c r="I6068" t="s">
        <v>57</v>
      </c>
      <c r="J6068">
        <v>46952</v>
      </c>
      <c r="K6068">
        <v>2320</v>
      </c>
      <c r="L6068" t="s">
        <v>23</v>
      </c>
      <c r="M6068" t="s">
        <v>14732</v>
      </c>
      <c r="N6068" t="s">
        <v>7195</v>
      </c>
      <c r="O6068" t="s">
        <v>57</v>
      </c>
      <c r="P6068">
        <v>46952</v>
      </c>
      <c r="Q6068">
        <v>2320</v>
      </c>
      <c r="R6068" t="s">
        <v>23</v>
      </c>
      <c r="S6068" s="1" t="s">
        <v>34218</v>
      </c>
    </row>
    <row r="6069" spans="1:19" x14ac:dyDescent="0.25">
      <c r="A6069">
        <v>100764527</v>
      </c>
      <c r="B6069" t="s">
        <v>14733</v>
      </c>
      <c r="C6069" t="s">
        <v>14734</v>
      </c>
      <c r="G6069" t="s">
        <v>14735</v>
      </c>
      <c r="H6069" t="s">
        <v>14736</v>
      </c>
      <c r="I6069" t="s">
        <v>2566</v>
      </c>
      <c r="J6069">
        <v>99577</v>
      </c>
      <c r="L6069" t="s">
        <v>23</v>
      </c>
      <c r="M6069" t="s">
        <v>14735</v>
      </c>
      <c r="N6069" t="s">
        <v>14736</v>
      </c>
      <c r="O6069" t="s">
        <v>2566</v>
      </c>
      <c r="P6069">
        <v>99577</v>
      </c>
      <c r="R6069" t="s">
        <v>23</v>
      </c>
      <c r="S6069" s="1" t="s">
        <v>34218</v>
      </c>
    </row>
    <row r="6070" spans="1:19" x14ac:dyDescent="0.25">
      <c r="A6070">
        <v>100763553</v>
      </c>
      <c r="B6070" t="s">
        <v>14737</v>
      </c>
      <c r="C6070" t="s">
        <v>9958</v>
      </c>
      <c r="G6070" t="s">
        <v>14738</v>
      </c>
      <c r="H6070" t="s">
        <v>14739</v>
      </c>
      <c r="I6070" t="s">
        <v>140</v>
      </c>
      <c r="J6070">
        <v>49801</v>
      </c>
      <c r="K6070">
        <v>4029</v>
      </c>
      <c r="L6070" t="s">
        <v>23</v>
      </c>
      <c r="M6070" t="s">
        <v>14738</v>
      </c>
      <c r="N6070" t="s">
        <v>14739</v>
      </c>
      <c r="O6070" t="s">
        <v>140</v>
      </c>
      <c r="P6070">
        <v>49801</v>
      </c>
      <c r="Q6070">
        <v>4029</v>
      </c>
      <c r="R6070" t="s">
        <v>23</v>
      </c>
      <c r="S6070" s="1" t="s">
        <v>34218</v>
      </c>
    </row>
    <row r="6071" spans="1:19" x14ac:dyDescent="0.25">
      <c r="A6071">
        <v>100763894</v>
      </c>
      <c r="B6071" t="s">
        <v>14740</v>
      </c>
      <c r="C6071" t="s">
        <v>403</v>
      </c>
      <c r="G6071" t="s">
        <v>14741</v>
      </c>
      <c r="H6071" t="s">
        <v>3243</v>
      </c>
      <c r="I6071" t="s">
        <v>140</v>
      </c>
      <c r="J6071">
        <v>48357</v>
      </c>
      <c r="K6071">
        <v>3324</v>
      </c>
      <c r="L6071" t="s">
        <v>23</v>
      </c>
      <c r="M6071" t="s">
        <v>14741</v>
      </c>
      <c r="N6071" t="s">
        <v>3243</v>
      </c>
      <c r="O6071" t="s">
        <v>140</v>
      </c>
      <c r="P6071">
        <v>48357</v>
      </c>
      <c r="Q6071">
        <v>3324</v>
      </c>
      <c r="R6071" t="s">
        <v>23</v>
      </c>
      <c r="S6071" s="1" t="s">
        <v>34218</v>
      </c>
    </row>
    <row r="6072" spans="1:19" x14ac:dyDescent="0.25">
      <c r="A6072">
        <v>100771439</v>
      </c>
      <c r="B6072" t="s">
        <v>14742</v>
      </c>
      <c r="C6072" t="s">
        <v>274</v>
      </c>
      <c r="G6072" t="s">
        <v>14743</v>
      </c>
      <c r="H6072" t="s">
        <v>1452</v>
      </c>
      <c r="I6072" t="s">
        <v>43</v>
      </c>
      <c r="J6072">
        <v>97405</v>
      </c>
      <c r="K6072">
        <v>3944</v>
      </c>
      <c r="L6072" t="s">
        <v>23</v>
      </c>
      <c r="M6072" t="s">
        <v>14743</v>
      </c>
      <c r="N6072" t="s">
        <v>1452</v>
      </c>
      <c r="O6072" t="s">
        <v>43</v>
      </c>
      <c r="P6072">
        <v>97405</v>
      </c>
      <c r="Q6072">
        <v>3944</v>
      </c>
      <c r="R6072" t="s">
        <v>23</v>
      </c>
      <c r="S6072" s="1" t="s">
        <v>34218</v>
      </c>
    </row>
    <row r="6073" spans="1:19" x14ac:dyDescent="0.25">
      <c r="A6073">
        <v>100777084</v>
      </c>
      <c r="B6073" t="s">
        <v>14744</v>
      </c>
      <c r="C6073" t="s">
        <v>14745</v>
      </c>
      <c r="F6073" t="str">
        <f>"7604712087"</f>
        <v>7604712087</v>
      </c>
      <c r="G6073" t="s">
        <v>14746</v>
      </c>
      <c r="H6073" t="s">
        <v>5820</v>
      </c>
      <c r="I6073" t="s">
        <v>22</v>
      </c>
      <c r="J6073">
        <v>92069</v>
      </c>
      <c r="K6073">
        <v>1182</v>
      </c>
      <c r="L6073" t="s">
        <v>23</v>
      </c>
      <c r="M6073" t="s">
        <v>14746</v>
      </c>
      <c r="N6073" t="s">
        <v>5820</v>
      </c>
      <c r="O6073" t="s">
        <v>22</v>
      </c>
      <c r="P6073">
        <v>92069</v>
      </c>
      <c r="Q6073">
        <v>1182</v>
      </c>
      <c r="R6073" t="s">
        <v>23</v>
      </c>
      <c r="S6073" s="1" t="s">
        <v>34218</v>
      </c>
    </row>
    <row r="6074" spans="1:19" x14ac:dyDescent="0.25">
      <c r="A6074">
        <v>100772820</v>
      </c>
      <c r="B6074" t="s">
        <v>3011</v>
      </c>
      <c r="C6074" t="s">
        <v>1873</v>
      </c>
      <c r="G6074" t="s">
        <v>14747</v>
      </c>
      <c r="H6074" t="s">
        <v>14748</v>
      </c>
      <c r="I6074" t="s">
        <v>135</v>
      </c>
      <c r="J6074">
        <v>61080</v>
      </c>
      <c r="K6074">
        <v>2491</v>
      </c>
      <c r="L6074" t="s">
        <v>23</v>
      </c>
      <c r="M6074" t="s">
        <v>14747</v>
      </c>
      <c r="N6074" t="s">
        <v>14748</v>
      </c>
      <c r="O6074" t="s">
        <v>135</v>
      </c>
      <c r="P6074">
        <v>61080</v>
      </c>
      <c r="Q6074">
        <v>2491</v>
      </c>
      <c r="R6074" t="s">
        <v>23</v>
      </c>
      <c r="S6074" s="1" t="s">
        <v>34218</v>
      </c>
    </row>
    <row r="6075" spans="1:19" x14ac:dyDescent="0.25">
      <c r="A6075">
        <v>100783755</v>
      </c>
      <c r="B6075" t="s">
        <v>10360</v>
      </c>
      <c r="C6075" t="s">
        <v>251</v>
      </c>
      <c r="G6075" t="s">
        <v>14749</v>
      </c>
      <c r="H6075" t="s">
        <v>13701</v>
      </c>
      <c r="I6075" t="s">
        <v>43</v>
      </c>
      <c r="J6075">
        <v>97411</v>
      </c>
      <c r="K6075">
        <v>6318</v>
      </c>
      <c r="L6075" t="s">
        <v>23</v>
      </c>
      <c r="M6075" t="s">
        <v>14749</v>
      </c>
      <c r="N6075" t="s">
        <v>13701</v>
      </c>
      <c r="O6075" t="s">
        <v>43</v>
      </c>
      <c r="P6075">
        <v>97411</v>
      </c>
      <c r="Q6075">
        <v>6318</v>
      </c>
      <c r="R6075" t="s">
        <v>23</v>
      </c>
      <c r="S6075" s="1" t="s">
        <v>34218</v>
      </c>
    </row>
    <row r="6076" spans="1:19" x14ac:dyDescent="0.25">
      <c r="A6076">
        <v>100781536</v>
      </c>
      <c r="B6076" t="s">
        <v>14750</v>
      </c>
      <c r="C6076" t="s">
        <v>403</v>
      </c>
      <c r="G6076" t="s">
        <v>14751</v>
      </c>
      <c r="H6076" t="s">
        <v>6620</v>
      </c>
      <c r="I6076" t="s">
        <v>984</v>
      </c>
      <c r="J6076">
        <v>96754</v>
      </c>
      <c r="K6076">
        <v>815</v>
      </c>
      <c r="L6076" t="s">
        <v>23</v>
      </c>
      <c r="M6076" t="s">
        <v>14751</v>
      </c>
      <c r="N6076" t="s">
        <v>6620</v>
      </c>
      <c r="O6076" t="s">
        <v>984</v>
      </c>
      <c r="P6076">
        <v>96754</v>
      </c>
      <c r="Q6076">
        <v>815</v>
      </c>
      <c r="R6076" t="s">
        <v>23</v>
      </c>
      <c r="S6076" s="1" t="s">
        <v>34218</v>
      </c>
    </row>
    <row r="6077" spans="1:19" x14ac:dyDescent="0.25">
      <c r="A6077">
        <v>100783605</v>
      </c>
      <c r="B6077" t="s">
        <v>910</v>
      </c>
      <c r="C6077" t="s">
        <v>1327</v>
      </c>
      <c r="G6077" t="s">
        <v>14752</v>
      </c>
      <c r="H6077" t="s">
        <v>47</v>
      </c>
      <c r="I6077" t="s">
        <v>250</v>
      </c>
      <c r="J6077">
        <v>8055</v>
      </c>
      <c r="K6077">
        <v>3410</v>
      </c>
      <c r="L6077" t="s">
        <v>23</v>
      </c>
      <c r="M6077" t="s">
        <v>14752</v>
      </c>
      <c r="N6077" t="s">
        <v>47</v>
      </c>
      <c r="O6077" t="s">
        <v>250</v>
      </c>
      <c r="P6077">
        <v>8055</v>
      </c>
      <c r="Q6077">
        <v>3410</v>
      </c>
      <c r="R6077" t="s">
        <v>23</v>
      </c>
      <c r="S6077" s="1" t="s">
        <v>34218</v>
      </c>
    </row>
    <row r="6078" spans="1:19" x14ac:dyDescent="0.25">
      <c r="A6078">
        <v>100783651</v>
      </c>
      <c r="B6078" t="s">
        <v>14753</v>
      </c>
      <c r="C6078" t="s">
        <v>7022</v>
      </c>
      <c r="G6078" t="s">
        <v>14754</v>
      </c>
      <c r="H6078" t="s">
        <v>412</v>
      </c>
      <c r="I6078" t="s">
        <v>117</v>
      </c>
      <c r="J6078">
        <v>11201</v>
      </c>
      <c r="K6078">
        <v>8211</v>
      </c>
      <c r="L6078" t="s">
        <v>23</v>
      </c>
      <c r="M6078" t="s">
        <v>14754</v>
      </c>
      <c r="N6078" t="s">
        <v>412</v>
      </c>
      <c r="O6078" t="s">
        <v>117</v>
      </c>
      <c r="P6078">
        <v>11201</v>
      </c>
      <c r="Q6078">
        <v>8211</v>
      </c>
      <c r="R6078" t="s">
        <v>23</v>
      </c>
      <c r="S6078" s="1" t="s">
        <v>34218</v>
      </c>
    </row>
    <row r="6079" spans="1:19" x14ac:dyDescent="0.25">
      <c r="A6079">
        <v>100939811</v>
      </c>
      <c r="B6079" t="s">
        <v>14755</v>
      </c>
      <c r="C6079" t="s">
        <v>644</v>
      </c>
      <c r="G6079" t="s">
        <v>14756</v>
      </c>
      <c r="H6079" t="s">
        <v>14757</v>
      </c>
      <c r="I6079" t="s">
        <v>370</v>
      </c>
      <c r="J6079">
        <v>68955</v>
      </c>
      <c r="K6079">
        <v>2164</v>
      </c>
      <c r="L6079" t="s">
        <v>23</v>
      </c>
      <c r="M6079" t="s">
        <v>14756</v>
      </c>
      <c r="N6079" t="s">
        <v>14757</v>
      </c>
      <c r="O6079" t="s">
        <v>370</v>
      </c>
      <c r="P6079">
        <v>68955</v>
      </c>
      <c r="Q6079">
        <v>2164</v>
      </c>
      <c r="R6079" t="s">
        <v>23</v>
      </c>
      <c r="S6079" s="1" t="s">
        <v>34218</v>
      </c>
    </row>
    <row r="6080" spans="1:19" x14ac:dyDescent="0.25">
      <c r="A6080">
        <v>100941118</v>
      </c>
      <c r="B6080" t="s">
        <v>14758</v>
      </c>
      <c r="C6080" t="s">
        <v>1205</v>
      </c>
      <c r="F6080" t="str">
        <f>"3178795674"</f>
        <v>3178795674</v>
      </c>
      <c r="G6080" t="s">
        <v>14759</v>
      </c>
      <c r="H6080" t="s">
        <v>7649</v>
      </c>
      <c r="I6080" t="s">
        <v>57</v>
      </c>
      <c r="J6080">
        <v>46226</v>
      </c>
      <c r="K6080">
        <v>1030</v>
      </c>
      <c r="L6080" t="s">
        <v>23</v>
      </c>
      <c r="M6080" t="s">
        <v>14759</v>
      </c>
      <c r="N6080" t="s">
        <v>7649</v>
      </c>
      <c r="O6080" t="s">
        <v>57</v>
      </c>
      <c r="P6080">
        <v>46226</v>
      </c>
      <c r="Q6080">
        <v>1030</v>
      </c>
      <c r="R6080" t="s">
        <v>23</v>
      </c>
      <c r="S6080" s="1" t="s">
        <v>34218</v>
      </c>
    </row>
    <row r="6081" spans="1:19" x14ac:dyDescent="0.25">
      <c r="A6081">
        <v>100940136</v>
      </c>
      <c r="B6081" t="s">
        <v>76</v>
      </c>
      <c r="C6081" t="s">
        <v>483</v>
      </c>
      <c r="G6081" t="s">
        <v>7131</v>
      </c>
      <c r="H6081" t="s">
        <v>5738</v>
      </c>
      <c r="I6081" t="s">
        <v>135</v>
      </c>
      <c r="J6081">
        <v>60076</v>
      </c>
      <c r="K6081">
        <v>1128</v>
      </c>
      <c r="L6081" t="s">
        <v>23</v>
      </c>
      <c r="M6081" t="s">
        <v>7131</v>
      </c>
      <c r="N6081" t="s">
        <v>5738</v>
      </c>
      <c r="O6081" t="s">
        <v>135</v>
      </c>
      <c r="P6081">
        <v>60076</v>
      </c>
      <c r="Q6081">
        <v>1128</v>
      </c>
      <c r="R6081" t="s">
        <v>23</v>
      </c>
      <c r="S6081" s="1" t="s">
        <v>34218</v>
      </c>
    </row>
    <row r="6082" spans="1:19" x14ac:dyDescent="0.25">
      <c r="A6082">
        <v>100940135</v>
      </c>
      <c r="B6082" t="s">
        <v>6899</v>
      </c>
      <c r="C6082" t="s">
        <v>1327</v>
      </c>
      <c r="G6082" t="s">
        <v>14760</v>
      </c>
      <c r="H6082" t="s">
        <v>1604</v>
      </c>
      <c r="I6082" t="s">
        <v>250</v>
      </c>
      <c r="J6082">
        <v>7832</v>
      </c>
      <c r="K6082">
        <v>2727</v>
      </c>
      <c r="L6082" t="s">
        <v>23</v>
      </c>
      <c r="M6082" t="s">
        <v>14760</v>
      </c>
      <c r="N6082" t="s">
        <v>1604</v>
      </c>
      <c r="O6082" t="s">
        <v>250</v>
      </c>
      <c r="P6082">
        <v>7832</v>
      </c>
      <c r="Q6082">
        <v>2727</v>
      </c>
      <c r="R6082" t="s">
        <v>23</v>
      </c>
      <c r="S6082" s="1" t="s">
        <v>34218</v>
      </c>
    </row>
    <row r="6083" spans="1:19" x14ac:dyDescent="0.25">
      <c r="A6083">
        <v>101124231</v>
      </c>
      <c r="B6083" t="s">
        <v>14761</v>
      </c>
      <c r="C6083" t="s">
        <v>2776</v>
      </c>
      <c r="G6083" t="s">
        <v>14762</v>
      </c>
      <c r="H6083" t="s">
        <v>1096</v>
      </c>
      <c r="I6083" t="s">
        <v>1097</v>
      </c>
      <c r="J6083">
        <v>40214</v>
      </c>
      <c r="K6083">
        <v>4222</v>
      </c>
      <c r="L6083" t="s">
        <v>23</v>
      </c>
      <c r="M6083" t="s">
        <v>14762</v>
      </c>
      <c r="N6083" t="s">
        <v>1096</v>
      </c>
      <c r="O6083" t="s">
        <v>1097</v>
      </c>
      <c r="P6083">
        <v>40214</v>
      </c>
      <c r="Q6083">
        <v>4222</v>
      </c>
      <c r="R6083" t="s">
        <v>23</v>
      </c>
      <c r="S6083" s="1" t="s">
        <v>34218</v>
      </c>
    </row>
    <row r="6084" spans="1:19" x14ac:dyDescent="0.25">
      <c r="A6084">
        <v>101128063</v>
      </c>
      <c r="B6084" t="s">
        <v>14763</v>
      </c>
      <c r="C6084" t="s">
        <v>2232</v>
      </c>
      <c r="G6084" t="s">
        <v>14764</v>
      </c>
      <c r="H6084" t="s">
        <v>11169</v>
      </c>
      <c r="I6084" t="s">
        <v>100</v>
      </c>
      <c r="J6084">
        <v>54701</v>
      </c>
      <c r="K6084">
        <v>9659</v>
      </c>
      <c r="L6084" t="s">
        <v>23</v>
      </c>
      <c r="M6084" t="s">
        <v>14764</v>
      </c>
      <c r="N6084" t="s">
        <v>11169</v>
      </c>
      <c r="O6084" t="s">
        <v>100</v>
      </c>
      <c r="P6084">
        <v>54701</v>
      </c>
      <c r="Q6084">
        <v>9659</v>
      </c>
      <c r="R6084" t="s">
        <v>23</v>
      </c>
      <c r="S6084" s="1" t="s">
        <v>34218</v>
      </c>
    </row>
    <row r="6085" spans="1:19" x14ac:dyDescent="0.25">
      <c r="A6085">
        <v>101125451</v>
      </c>
      <c r="B6085" t="s">
        <v>8253</v>
      </c>
      <c r="C6085" t="s">
        <v>2509</v>
      </c>
      <c r="G6085" t="s">
        <v>14765</v>
      </c>
      <c r="H6085" t="s">
        <v>1007</v>
      </c>
      <c r="I6085" t="s">
        <v>332</v>
      </c>
      <c r="J6085">
        <v>84302</v>
      </c>
      <c r="K6085">
        <v>4151</v>
      </c>
      <c r="L6085" t="s">
        <v>23</v>
      </c>
      <c r="M6085" t="s">
        <v>14765</v>
      </c>
      <c r="N6085" t="s">
        <v>1007</v>
      </c>
      <c r="O6085" t="s">
        <v>332</v>
      </c>
      <c r="P6085">
        <v>84302</v>
      </c>
      <c r="Q6085">
        <v>4151</v>
      </c>
      <c r="R6085" t="s">
        <v>23</v>
      </c>
      <c r="S6085" s="1" t="s">
        <v>34218</v>
      </c>
    </row>
    <row r="6086" spans="1:19" x14ac:dyDescent="0.25">
      <c r="A6086">
        <v>101126670</v>
      </c>
      <c r="B6086" t="s">
        <v>14766</v>
      </c>
      <c r="C6086" t="s">
        <v>286</v>
      </c>
      <c r="G6086" t="s">
        <v>14767</v>
      </c>
      <c r="H6086" t="s">
        <v>5014</v>
      </c>
      <c r="I6086" t="s">
        <v>255</v>
      </c>
      <c r="J6086">
        <v>23703</v>
      </c>
      <c r="K6086">
        <v>1738</v>
      </c>
      <c r="L6086" t="s">
        <v>23</v>
      </c>
      <c r="M6086" t="s">
        <v>14767</v>
      </c>
      <c r="N6086" t="s">
        <v>5014</v>
      </c>
      <c r="O6086" t="s">
        <v>255</v>
      </c>
      <c r="P6086">
        <v>23703</v>
      </c>
      <c r="Q6086">
        <v>1738</v>
      </c>
      <c r="R6086" t="s">
        <v>23</v>
      </c>
      <c r="S6086" s="1" t="s">
        <v>34218</v>
      </c>
    </row>
    <row r="6087" spans="1:19" x14ac:dyDescent="0.25">
      <c r="A6087">
        <v>101132852</v>
      </c>
      <c r="B6087" t="s">
        <v>13785</v>
      </c>
      <c r="C6087" t="s">
        <v>7445</v>
      </c>
      <c r="G6087" t="s">
        <v>14768</v>
      </c>
      <c r="H6087" t="s">
        <v>6026</v>
      </c>
      <c r="I6087" t="s">
        <v>307</v>
      </c>
      <c r="J6087">
        <v>5039</v>
      </c>
      <c r="K6087">
        <v>9621</v>
      </c>
      <c r="L6087" t="s">
        <v>23</v>
      </c>
      <c r="M6087" t="s">
        <v>14768</v>
      </c>
      <c r="N6087" t="s">
        <v>6026</v>
      </c>
      <c r="O6087" t="s">
        <v>307</v>
      </c>
      <c r="P6087">
        <v>5039</v>
      </c>
      <c r="Q6087">
        <v>9621</v>
      </c>
      <c r="R6087" t="s">
        <v>23</v>
      </c>
      <c r="S6087" s="1" t="s">
        <v>34218</v>
      </c>
    </row>
    <row r="6088" spans="1:19" x14ac:dyDescent="0.25">
      <c r="A6088">
        <v>101131912</v>
      </c>
      <c r="B6088" t="s">
        <v>14769</v>
      </c>
      <c r="C6088" t="s">
        <v>8877</v>
      </c>
      <c r="G6088" t="s">
        <v>14770</v>
      </c>
      <c r="H6088" t="s">
        <v>299</v>
      </c>
      <c r="I6088" t="s">
        <v>22</v>
      </c>
      <c r="J6088">
        <v>90034</v>
      </c>
      <c r="K6088">
        <v>3409</v>
      </c>
      <c r="L6088" t="s">
        <v>23</v>
      </c>
      <c r="M6088" t="s">
        <v>14770</v>
      </c>
      <c r="N6088" t="s">
        <v>299</v>
      </c>
      <c r="O6088" t="s">
        <v>22</v>
      </c>
      <c r="P6088">
        <v>90034</v>
      </c>
      <c r="Q6088">
        <v>3409</v>
      </c>
      <c r="R6088" t="s">
        <v>23</v>
      </c>
      <c r="S6088" s="1" t="s">
        <v>34218</v>
      </c>
    </row>
    <row r="6089" spans="1:19" x14ac:dyDescent="0.25">
      <c r="A6089">
        <v>101133102</v>
      </c>
      <c r="B6089" t="s">
        <v>14771</v>
      </c>
      <c r="C6089" t="s">
        <v>1327</v>
      </c>
      <c r="D6089" t="s">
        <v>14772</v>
      </c>
      <c r="G6089" t="s">
        <v>14773</v>
      </c>
      <c r="H6089" t="s">
        <v>14774</v>
      </c>
      <c r="I6089" t="s">
        <v>148</v>
      </c>
      <c r="J6089">
        <v>21152</v>
      </c>
      <c r="K6089">
        <v>9767</v>
      </c>
      <c r="L6089" t="s">
        <v>23</v>
      </c>
      <c r="M6089" t="s">
        <v>14773</v>
      </c>
      <c r="N6089" t="s">
        <v>14774</v>
      </c>
      <c r="O6089" t="s">
        <v>148</v>
      </c>
      <c r="P6089">
        <v>21152</v>
      </c>
      <c r="Q6089">
        <v>9767</v>
      </c>
      <c r="R6089" t="s">
        <v>23</v>
      </c>
      <c r="S6089" s="1" t="s">
        <v>34218</v>
      </c>
    </row>
    <row r="6090" spans="1:19" x14ac:dyDescent="0.25">
      <c r="A6090">
        <v>101131997</v>
      </c>
      <c r="B6090" t="s">
        <v>14775</v>
      </c>
      <c r="C6090" t="s">
        <v>1327</v>
      </c>
      <c r="G6090" t="s">
        <v>14776</v>
      </c>
      <c r="H6090" t="s">
        <v>14777</v>
      </c>
      <c r="I6090" t="s">
        <v>140</v>
      </c>
      <c r="J6090">
        <v>49267</v>
      </c>
      <c r="K6090">
        <v>9728</v>
      </c>
      <c r="L6090" t="s">
        <v>23</v>
      </c>
      <c r="M6090" t="s">
        <v>14776</v>
      </c>
      <c r="N6090" t="s">
        <v>14777</v>
      </c>
      <c r="O6090" t="s">
        <v>140</v>
      </c>
      <c r="P6090">
        <v>49267</v>
      </c>
      <c r="Q6090">
        <v>9728</v>
      </c>
      <c r="R6090" t="s">
        <v>23</v>
      </c>
      <c r="S6090" s="1" t="s">
        <v>34218</v>
      </c>
    </row>
    <row r="6091" spans="1:19" x14ac:dyDescent="0.25">
      <c r="A6091">
        <v>100863394</v>
      </c>
      <c r="B6091" t="s">
        <v>14778</v>
      </c>
      <c r="C6091" t="s">
        <v>403</v>
      </c>
      <c r="G6091" t="s">
        <v>14779</v>
      </c>
      <c r="H6091" t="s">
        <v>7191</v>
      </c>
      <c r="I6091" t="s">
        <v>914</v>
      </c>
      <c r="J6091">
        <v>37027</v>
      </c>
      <c r="K6091">
        <v>8012</v>
      </c>
      <c r="L6091" t="s">
        <v>23</v>
      </c>
      <c r="M6091" t="s">
        <v>14779</v>
      </c>
      <c r="N6091" t="s">
        <v>7191</v>
      </c>
      <c r="O6091" t="s">
        <v>914</v>
      </c>
      <c r="P6091">
        <v>37027</v>
      </c>
      <c r="Q6091">
        <v>8012</v>
      </c>
      <c r="R6091" t="s">
        <v>23</v>
      </c>
      <c r="S6091" s="1" t="s">
        <v>34218</v>
      </c>
    </row>
    <row r="6092" spans="1:19" x14ac:dyDescent="0.25">
      <c r="A6092">
        <v>100864813</v>
      </c>
      <c r="B6092" t="s">
        <v>8184</v>
      </c>
      <c r="C6092" t="s">
        <v>3566</v>
      </c>
      <c r="G6092" t="s">
        <v>14780</v>
      </c>
      <c r="H6092" t="s">
        <v>14781</v>
      </c>
      <c r="I6092" t="s">
        <v>140</v>
      </c>
      <c r="J6092">
        <v>49431</v>
      </c>
      <c r="K6092">
        <v>2215</v>
      </c>
      <c r="L6092" t="s">
        <v>23</v>
      </c>
      <c r="M6092" t="s">
        <v>14780</v>
      </c>
      <c r="N6092" t="s">
        <v>14781</v>
      </c>
      <c r="O6092" t="s">
        <v>140</v>
      </c>
      <c r="P6092">
        <v>49431</v>
      </c>
      <c r="Q6092">
        <v>2215</v>
      </c>
      <c r="R6092" t="s">
        <v>23</v>
      </c>
      <c r="S6092" s="1" t="s">
        <v>34218</v>
      </c>
    </row>
    <row r="6093" spans="1:19" x14ac:dyDescent="0.25">
      <c r="A6093">
        <v>101069505</v>
      </c>
      <c r="B6093" t="s">
        <v>14782</v>
      </c>
      <c r="C6093" t="s">
        <v>874</v>
      </c>
      <c r="G6093" t="s">
        <v>14783</v>
      </c>
      <c r="H6093" t="s">
        <v>14784</v>
      </c>
      <c r="I6093" t="s">
        <v>117</v>
      </c>
      <c r="J6093">
        <v>10516</v>
      </c>
      <c r="K6093">
        <v>3746</v>
      </c>
      <c r="L6093" t="s">
        <v>23</v>
      </c>
      <c r="M6093" t="s">
        <v>14783</v>
      </c>
      <c r="N6093" t="s">
        <v>14784</v>
      </c>
      <c r="O6093" t="s">
        <v>117</v>
      </c>
      <c r="P6093">
        <v>10516</v>
      </c>
      <c r="Q6093">
        <v>3746</v>
      </c>
      <c r="R6093" t="s">
        <v>23</v>
      </c>
      <c r="S6093" s="1" t="s">
        <v>34218</v>
      </c>
    </row>
    <row r="6094" spans="1:19" x14ac:dyDescent="0.25">
      <c r="A6094">
        <v>101076551</v>
      </c>
      <c r="B6094" t="s">
        <v>1668</v>
      </c>
      <c r="C6094" t="s">
        <v>247</v>
      </c>
      <c r="G6094" t="s">
        <v>14785</v>
      </c>
      <c r="H6094" t="s">
        <v>5523</v>
      </c>
      <c r="I6094" t="s">
        <v>984</v>
      </c>
      <c r="J6094">
        <v>96768</v>
      </c>
      <c r="K6094">
        <v>7352</v>
      </c>
      <c r="L6094" t="s">
        <v>23</v>
      </c>
      <c r="M6094" t="s">
        <v>14785</v>
      </c>
      <c r="N6094" t="s">
        <v>5523</v>
      </c>
      <c r="O6094" t="s">
        <v>984</v>
      </c>
      <c r="P6094">
        <v>96768</v>
      </c>
      <c r="Q6094">
        <v>7352</v>
      </c>
      <c r="R6094" t="s">
        <v>23</v>
      </c>
      <c r="S6094" s="1" t="s">
        <v>34218</v>
      </c>
    </row>
    <row r="6095" spans="1:19" x14ac:dyDescent="0.25">
      <c r="A6095">
        <v>101075139</v>
      </c>
      <c r="B6095" t="s">
        <v>14786</v>
      </c>
      <c r="C6095" t="s">
        <v>14787</v>
      </c>
      <c r="G6095" t="s">
        <v>14788</v>
      </c>
      <c r="H6095" t="s">
        <v>4162</v>
      </c>
      <c r="I6095" t="s">
        <v>43</v>
      </c>
      <c r="J6095">
        <v>97124</v>
      </c>
      <c r="K6095">
        <v>2905</v>
      </c>
      <c r="L6095" t="s">
        <v>23</v>
      </c>
      <c r="M6095" t="s">
        <v>14788</v>
      </c>
      <c r="N6095" t="s">
        <v>4162</v>
      </c>
      <c r="O6095" t="s">
        <v>43</v>
      </c>
      <c r="P6095">
        <v>97124</v>
      </c>
      <c r="Q6095">
        <v>2905</v>
      </c>
      <c r="R6095" t="s">
        <v>23</v>
      </c>
      <c r="S6095" s="1" t="s">
        <v>34218</v>
      </c>
    </row>
    <row r="6096" spans="1:19" x14ac:dyDescent="0.25">
      <c r="A6096">
        <v>101076608</v>
      </c>
      <c r="B6096" t="s">
        <v>14789</v>
      </c>
      <c r="C6096" t="s">
        <v>1669</v>
      </c>
      <c r="G6096" t="s">
        <v>14790</v>
      </c>
      <c r="H6096" t="s">
        <v>1967</v>
      </c>
      <c r="I6096" t="s">
        <v>984</v>
      </c>
      <c r="J6096">
        <v>96790</v>
      </c>
      <c r="K6096">
        <v>7440</v>
      </c>
      <c r="L6096" t="s">
        <v>23</v>
      </c>
      <c r="M6096" t="s">
        <v>14790</v>
      </c>
      <c r="N6096" t="s">
        <v>1967</v>
      </c>
      <c r="O6096" t="s">
        <v>984</v>
      </c>
      <c r="P6096">
        <v>96790</v>
      </c>
      <c r="Q6096">
        <v>7440</v>
      </c>
      <c r="R6096" t="s">
        <v>23</v>
      </c>
      <c r="S6096" s="1" t="s">
        <v>34218</v>
      </c>
    </row>
    <row r="6097" spans="1:19" x14ac:dyDescent="0.25">
      <c r="A6097">
        <v>101075170</v>
      </c>
      <c r="B6097" t="s">
        <v>14791</v>
      </c>
      <c r="C6097" t="s">
        <v>522</v>
      </c>
      <c r="G6097" t="s">
        <v>14792</v>
      </c>
      <c r="H6097" t="s">
        <v>1325</v>
      </c>
      <c r="I6097" t="s">
        <v>22</v>
      </c>
      <c r="J6097">
        <v>94301</v>
      </c>
      <c r="K6097">
        <v>3939</v>
      </c>
      <c r="L6097" t="s">
        <v>23</v>
      </c>
      <c r="M6097" t="s">
        <v>14792</v>
      </c>
      <c r="N6097" t="s">
        <v>1325</v>
      </c>
      <c r="O6097" t="s">
        <v>22</v>
      </c>
      <c r="P6097">
        <v>94301</v>
      </c>
      <c r="Q6097">
        <v>3939</v>
      </c>
      <c r="R6097" t="s">
        <v>23</v>
      </c>
      <c r="S6097" s="1" t="s">
        <v>34218</v>
      </c>
    </row>
    <row r="6098" spans="1:19" x14ac:dyDescent="0.25">
      <c r="A6098">
        <v>101082187</v>
      </c>
      <c r="B6098" t="s">
        <v>3953</v>
      </c>
      <c r="C6098" t="s">
        <v>535</v>
      </c>
      <c r="G6098" t="s">
        <v>14793</v>
      </c>
      <c r="H6098" t="s">
        <v>1052</v>
      </c>
      <c r="I6098" t="s">
        <v>117</v>
      </c>
      <c r="J6098">
        <v>12205</v>
      </c>
      <c r="K6098">
        <v>3501</v>
      </c>
      <c r="L6098" t="s">
        <v>23</v>
      </c>
      <c r="M6098" t="s">
        <v>14793</v>
      </c>
      <c r="N6098" t="s">
        <v>1052</v>
      </c>
      <c r="O6098" t="s">
        <v>117</v>
      </c>
      <c r="P6098">
        <v>12205</v>
      </c>
      <c r="Q6098">
        <v>3501</v>
      </c>
      <c r="R6098" t="s">
        <v>23</v>
      </c>
      <c r="S6098" s="1" t="s">
        <v>34218</v>
      </c>
    </row>
    <row r="6099" spans="1:19" x14ac:dyDescent="0.25">
      <c r="A6099">
        <v>101077477</v>
      </c>
      <c r="B6099" t="s">
        <v>14794</v>
      </c>
      <c r="C6099" t="s">
        <v>3350</v>
      </c>
      <c r="G6099" t="s">
        <v>14795</v>
      </c>
      <c r="H6099" t="s">
        <v>1431</v>
      </c>
      <c r="I6099" t="s">
        <v>639</v>
      </c>
      <c r="J6099">
        <v>87506</v>
      </c>
      <c r="K6099">
        <v>1112</v>
      </c>
      <c r="L6099" t="s">
        <v>23</v>
      </c>
      <c r="M6099" t="s">
        <v>14795</v>
      </c>
      <c r="N6099" t="s">
        <v>1431</v>
      </c>
      <c r="O6099" t="s">
        <v>639</v>
      </c>
      <c r="P6099">
        <v>87506</v>
      </c>
      <c r="Q6099">
        <v>1112</v>
      </c>
      <c r="R6099" t="s">
        <v>23</v>
      </c>
      <c r="S6099" s="1" t="s">
        <v>34218</v>
      </c>
    </row>
    <row r="6100" spans="1:19" x14ac:dyDescent="0.25">
      <c r="A6100">
        <v>101085117</v>
      </c>
      <c r="B6100" t="s">
        <v>5612</v>
      </c>
      <c r="C6100" t="s">
        <v>1179</v>
      </c>
      <c r="G6100" t="s">
        <v>14796</v>
      </c>
      <c r="H6100" t="s">
        <v>1463</v>
      </c>
      <c r="I6100" t="s">
        <v>236</v>
      </c>
      <c r="J6100">
        <v>1902</v>
      </c>
      <c r="K6100">
        <v>3144</v>
      </c>
      <c r="L6100" t="s">
        <v>23</v>
      </c>
      <c r="M6100" t="s">
        <v>14796</v>
      </c>
      <c r="N6100" t="s">
        <v>1463</v>
      </c>
      <c r="O6100" t="s">
        <v>236</v>
      </c>
      <c r="P6100">
        <v>1902</v>
      </c>
      <c r="Q6100">
        <v>3144</v>
      </c>
      <c r="R6100" t="s">
        <v>23</v>
      </c>
      <c r="S6100" s="1" t="s">
        <v>34218</v>
      </c>
    </row>
    <row r="6101" spans="1:19" x14ac:dyDescent="0.25">
      <c r="A6101">
        <v>101084111</v>
      </c>
      <c r="B6101" t="s">
        <v>14797</v>
      </c>
      <c r="C6101" t="s">
        <v>3110</v>
      </c>
      <c r="G6101" t="s">
        <v>14798</v>
      </c>
      <c r="H6101" t="s">
        <v>14608</v>
      </c>
      <c r="I6101" t="s">
        <v>22</v>
      </c>
      <c r="J6101">
        <v>95624</v>
      </c>
      <c r="K6101">
        <v>2125</v>
      </c>
      <c r="L6101" t="s">
        <v>23</v>
      </c>
      <c r="M6101" t="s">
        <v>14798</v>
      </c>
      <c r="N6101" t="s">
        <v>14608</v>
      </c>
      <c r="O6101" t="s">
        <v>22</v>
      </c>
      <c r="P6101">
        <v>95624</v>
      </c>
      <c r="Q6101">
        <v>2125</v>
      </c>
      <c r="R6101" t="s">
        <v>23</v>
      </c>
      <c r="S6101" s="1" t="s">
        <v>34218</v>
      </c>
    </row>
    <row r="6102" spans="1:19" x14ac:dyDescent="0.25">
      <c r="A6102">
        <v>101085049</v>
      </c>
      <c r="B6102" t="s">
        <v>9969</v>
      </c>
      <c r="C6102" t="s">
        <v>1241</v>
      </c>
      <c r="G6102" t="s">
        <v>14799</v>
      </c>
      <c r="H6102" t="s">
        <v>4220</v>
      </c>
      <c r="I6102" t="s">
        <v>126</v>
      </c>
      <c r="J6102">
        <v>65046</v>
      </c>
      <c r="K6102">
        <v>2332</v>
      </c>
      <c r="L6102" t="s">
        <v>23</v>
      </c>
      <c r="M6102" t="s">
        <v>14799</v>
      </c>
      <c r="N6102" t="s">
        <v>4220</v>
      </c>
      <c r="O6102" t="s">
        <v>126</v>
      </c>
      <c r="P6102">
        <v>65046</v>
      </c>
      <c r="Q6102">
        <v>2332</v>
      </c>
      <c r="R6102" t="s">
        <v>23</v>
      </c>
      <c r="S6102" s="1" t="s">
        <v>34218</v>
      </c>
    </row>
    <row r="6103" spans="1:19" x14ac:dyDescent="0.25">
      <c r="A6103">
        <v>101088437</v>
      </c>
      <c r="B6103" t="s">
        <v>14800</v>
      </c>
      <c r="C6103" t="s">
        <v>7530</v>
      </c>
      <c r="F6103" t="str">
        <f>"9269250630"</f>
        <v>9269250630</v>
      </c>
      <c r="G6103" t="s">
        <v>14801</v>
      </c>
      <c r="H6103" t="s">
        <v>3794</v>
      </c>
      <c r="I6103" t="s">
        <v>22</v>
      </c>
      <c r="J6103">
        <v>94526</v>
      </c>
      <c r="K6103">
        <v>3928</v>
      </c>
      <c r="L6103" t="s">
        <v>23</v>
      </c>
      <c r="M6103" t="s">
        <v>14801</v>
      </c>
      <c r="N6103" t="s">
        <v>3794</v>
      </c>
      <c r="O6103" t="s">
        <v>22</v>
      </c>
      <c r="P6103">
        <v>94526</v>
      </c>
      <c r="Q6103">
        <v>3928</v>
      </c>
      <c r="R6103" t="s">
        <v>23</v>
      </c>
      <c r="S6103" s="1" t="s">
        <v>34218</v>
      </c>
    </row>
    <row r="6104" spans="1:19" x14ac:dyDescent="0.25">
      <c r="A6104">
        <v>101091556</v>
      </c>
      <c r="B6104" t="s">
        <v>4874</v>
      </c>
      <c r="C6104" t="s">
        <v>90</v>
      </c>
      <c r="G6104" t="s">
        <v>14802</v>
      </c>
      <c r="H6104" t="s">
        <v>5063</v>
      </c>
      <c r="I6104" t="s">
        <v>22</v>
      </c>
      <c r="J6104">
        <v>95762</v>
      </c>
      <c r="K6104">
        <v>3625</v>
      </c>
      <c r="L6104" t="s">
        <v>23</v>
      </c>
      <c r="M6104" t="s">
        <v>14802</v>
      </c>
      <c r="N6104" t="s">
        <v>5063</v>
      </c>
      <c r="O6104" t="s">
        <v>22</v>
      </c>
      <c r="P6104">
        <v>95762</v>
      </c>
      <c r="Q6104">
        <v>3625</v>
      </c>
      <c r="R6104" t="s">
        <v>23</v>
      </c>
      <c r="S6104" s="1" t="s">
        <v>34218</v>
      </c>
    </row>
    <row r="6105" spans="1:19" x14ac:dyDescent="0.25">
      <c r="A6105">
        <v>101310571</v>
      </c>
      <c r="B6105" t="s">
        <v>14803</v>
      </c>
      <c r="C6105" t="s">
        <v>6572</v>
      </c>
      <c r="G6105" t="s">
        <v>14804</v>
      </c>
      <c r="H6105" t="s">
        <v>869</v>
      </c>
      <c r="I6105" t="s">
        <v>52</v>
      </c>
      <c r="J6105">
        <v>33173</v>
      </c>
      <c r="K6105">
        <v>2241</v>
      </c>
      <c r="L6105" t="s">
        <v>23</v>
      </c>
      <c r="M6105" t="s">
        <v>14804</v>
      </c>
      <c r="N6105" t="s">
        <v>869</v>
      </c>
      <c r="O6105" t="s">
        <v>52</v>
      </c>
      <c r="P6105">
        <v>33173</v>
      </c>
      <c r="Q6105">
        <v>2241</v>
      </c>
      <c r="R6105" t="s">
        <v>23</v>
      </c>
      <c r="S6105" s="1" t="s">
        <v>34218</v>
      </c>
    </row>
    <row r="6106" spans="1:19" x14ac:dyDescent="0.25">
      <c r="A6106">
        <v>101309852</v>
      </c>
      <c r="B6106" t="s">
        <v>1124</v>
      </c>
      <c r="C6106" t="s">
        <v>11294</v>
      </c>
      <c r="G6106" t="s">
        <v>14805</v>
      </c>
      <c r="H6106" t="s">
        <v>682</v>
      </c>
      <c r="I6106" t="s">
        <v>365</v>
      </c>
      <c r="J6106">
        <v>85028</v>
      </c>
      <c r="K6106">
        <v>3029</v>
      </c>
      <c r="L6106" t="s">
        <v>23</v>
      </c>
      <c r="M6106" t="s">
        <v>14805</v>
      </c>
      <c r="N6106" t="s">
        <v>682</v>
      </c>
      <c r="O6106" t="s">
        <v>365</v>
      </c>
      <c r="P6106">
        <v>85028</v>
      </c>
      <c r="Q6106">
        <v>3029</v>
      </c>
      <c r="R6106" t="s">
        <v>23</v>
      </c>
      <c r="S6106" s="1" t="s">
        <v>34218</v>
      </c>
    </row>
    <row r="6107" spans="1:19" x14ac:dyDescent="0.25">
      <c r="A6107">
        <v>101302034</v>
      </c>
      <c r="B6107" t="s">
        <v>3287</v>
      </c>
      <c r="C6107" t="s">
        <v>247</v>
      </c>
      <c r="G6107" t="s">
        <v>14806</v>
      </c>
      <c r="H6107" t="s">
        <v>892</v>
      </c>
      <c r="I6107" t="s">
        <v>135</v>
      </c>
      <c r="J6107">
        <v>62305</v>
      </c>
      <c r="K6107">
        <v>1402</v>
      </c>
      <c r="L6107" t="s">
        <v>23</v>
      </c>
      <c r="M6107" t="s">
        <v>14806</v>
      </c>
      <c r="N6107" t="s">
        <v>892</v>
      </c>
      <c r="O6107" t="s">
        <v>135</v>
      </c>
      <c r="P6107">
        <v>62305</v>
      </c>
      <c r="Q6107">
        <v>1402</v>
      </c>
      <c r="R6107" t="s">
        <v>23</v>
      </c>
      <c r="S6107" s="1" t="s">
        <v>34218</v>
      </c>
    </row>
    <row r="6108" spans="1:19" x14ac:dyDescent="0.25">
      <c r="A6108">
        <v>101302146</v>
      </c>
      <c r="B6108" t="s">
        <v>10213</v>
      </c>
      <c r="C6108" t="s">
        <v>4318</v>
      </c>
      <c r="G6108" t="s">
        <v>14807</v>
      </c>
      <c r="H6108" t="s">
        <v>3035</v>
      </c>
      <c r="I6108" t="s">
        <v>178</v>
      </c>
      <c r="J6108">
        <v>44147</v>
      </c>
      <c r="K6108">
        <v>1033</v>
      </c>
      <c r="L6108" t="s">
        <v>23</v>
      </c>
      <c r="M6108" t="s">
        <v>14807</v>
      </c>
      <c r="N6108" t="s">
        <v>3035</v>
      </c>
      <c r="O6108" t="s">
        <v>178</v>
      </c>
      <c r="P6108">
        <v>44147</v>
      </c>
      <c r="Q6108">
        <v>1033</v>
      </c>
      <c r="R6108" t="s">
        <v>23</v>
      </c>
      <c r="S6108" s="1" t="s">
        <v>34218</v>
      </c>
    </row>
    <row r="6109" spans="1:19" x14ac:dyDescent="0.25">
      <c r="A6109">
        <v>101303083</v>
      </c>
      <c r="B6109" t="s">
        <v>2253</v>
      </c>
      <c r="C6109" t="s">
        <v>11529</v>
      </c>
      <c r="F6109" t="str">
        <f>"8014862462"</f>
        <v>8014862462</v>
      </c>
      <c r="G6109" t="s">
        <v>14808</v>
      </c>
      <c r="H6109" t="s">
        <v>14809</v>
      </c>
      <c r="I6109" t="s">
        <v>332</v>
      </c>
      <c r="J6109">
        <v>84105</v>
      </c>
      <c r="K6109">
        <v>2807</v>
      </c>
      <c r="L6109" t="s">
        <v>23</v>
      </c>
      <c r="M6109" t="s">
        <v>14808</v>
      </c>
      <c r="N6109" t="s">
        <v>14809</v>
      </c>
      <c r="O6109" t="s">
        <v>332</v>
      </c>
      <c r="P6109">
        <v>84105</v>
      </c>
      <c r="Q6109">
        <v>2807</v>
      </c>
      <c r="R6109" t="s">
        <v>23</v>
      </c>
      <c r="S6109" s="1" t="s">
        <v>34218</v>
      </c>
    </row>
    <row r="6110" spans="1:19" x14ac:dyDescent="0.25">
      <c r="A6110">
        <v>101306861</v>
      </c>
      <c r="B6110" t="s">
        <v>4972</v>
      </c>
      <c r="C6110" t="s">
        <v>7569</v>
      </c>
      <c r="F6110" t="str">
        <f>"5555555555"</f>
        <v>5555555555</v>
      </c>
      <c r="G6110" t="s">
        <v>14810</v>
      </c>
      <c r="H6110" t="s">
        <v>3086</v>
      </c>
      <c r="I6110" t="s">
        <v>52</v>
      </c>
      <c r="J6110">
        <v>33543</v>
      </c>
      <c r="K6110">
        <v>8144</v>
      </c>
      <c r="L6110" t="s">
        <v>23</v>
      </c>
      <c r="M6110" t="s">
        <v>14810</v>
      </c>
      <c r="N6110" t="s">
        <v>3086</v>
      </c>
      <c r="O6110" t="s">
        <v>52</v>
      </c>
      <c r="P6110">
        <v>33543</v>
      </c>
      <c r="Q6110">
        <v>8144</v>
      </c>
      <c r="R6110" t="s">
        <v>23</v>
      </c>
      <c r="S6110" s="1" t="s">
        <v>34218</v>
      </c>
    </row>
    <row r="6111" spans="1:19" x14ac:dyDescent="0.25">
      <c r="A6111">
        <v>101310035</v>
      </c>
      <c r="B6111" t="s">
        <v>14811</v>
      </c>
      <c r="C6111" t="s">
        <v>8984</v>
      </c>
      <c r="G6111" t="s">
        <v>14812</v>
      </c>
      <c r="H6111" t="s">
        <v>625</v>
      </c>
      <c r="I6111" t="s">
        <v>71</v>
      </c>
      <c r="J6111">
        <v>81643</v>
      </c>
      <c r="K6111">
        <v>295</v>
      </c>
      <c r="L6111" t="s">
        <v>23</v>
      </c>
      <c r="M6111" t="s">
        <v>14812</v>
      </c>
      <c r="N6111" t="s">
        <v>625</v>
      </c>
      <c r="O6111" t="s">
        <v>71</v>
      </c>
      <c r="P6111">
        <v>81643</v>
      </c>
      <c r="Q6111">
        <v>295</v>
      </c>
      <c r="R6111" t="s">
        <v>23</v>
      </c>
      <c r="S6111" s="1" t="s">
        <v>34218</v>
      </c>
    </row>
    <row r="6112" spans="1:19" x14ac:dyDescent="0.25">
      <c r="A6112">
        <v>101310153</v>
      </c>
      <c r="B6112" t="s">
        <v>14813</v>
      </c>
      <c r="C6112" t="s">
        <v>406</v>
      </c>
      <c r="G6112" t="s">
        <v>14814</v>
      </c>
      <c r="H6112" t="s">
        <v>12935</v>
      </c>
      <c r="I6112" t="s">
        <v>140</v>
      </c>
      <c r="J6112">
        <v>48169</v>
      </c>
      <c r="K6112">
        <v>9123</v>
      </c>
      <c r="L6112" t="s">
        <v>23</v>
      </c>
      <c r="M6112" t="s">
        <v>14814</v>
      </c>
      <c r="N6112" t="s">
        <v>12935</v>
      </c>
      <c r="O6112" t="s">
        <v>140</v>
      </c>
      <c r="P6112">
        <v>48169</v>
      </c>
      <c r="Q6112">
        <v>9123</v>
      </c>
      <c r="R6112" t="s">
        <v>23</v>
      </c>
      <c r="S6112" s="1" t="s">
        <v>34218</v>
      </c>
    </row>
    <row r="6113" spans="1:19" x14ac:dyDescent="0.25">
      <c r="A6113">
        <v>101311611</v>
      </c>
      <c r="B6113" t="s">
        <v>1335</v>
      </c>
      <c r="C6113" t="s">
        <v>1581</v>
      </c>
      <c r="F6113" t="str">
        <f>"9169235171"</f>
        <v>9169235171</v>
      </c>
      <c r="G6113" t="s">
        <v>14815</v>
      </c>
      <c r="H6113" t="s">
        <v>650</v>
      </c>
      <c r="I6113" t="s">
        <v>22</v>
      </c>
      <c r="J6113">
        <v>95815</v>
      </c>
      <c r="K6113">
        <v>3534</v>
      </c>
      <c r="L6113" t="s">
        <v>23</v>
      </c>
      <c r="M6113" t="s">
        <v>14815</v>
      </c>
      <c r="N6113" t="s">
        <v>650</v>
      </c>
      <c r="O6113" t="s">
        <v>22</v>
      </c>
      <c r="P6113">
        <v>95815</v>
      </c>
      <c r="Q6113">
        <v>3534</v>
      </c>
      <c r="R6113" t="s">
        <v>23</v>
      </c>
      <c r="S6113" s="1" t="s">
        <v>34218</v>
      </c>
    </row>
    <row r="6114" spans="1:19" x14ac:dyDescent="0.25">
      <c r="A6114">
        <v>101318257</v>
      </c>
      <c r="B6114" t="s">
        <v>105</v>
      </c>
      <c r="C6114" t="s">
        <v>1327</v>
      </c>
      <c r="G6114" t="s">
        <v>14816</v>
      </c>
      <c r="H6114" t="s">
        <v>3363</v>
      </c>
      <c r="I6114" t="s">
        <v>33</v>
      </c>
      <c r="J6114">
        <v>15217</v>
      </c>
      <c r="K6114">
        <v>1002</v>
      </c>
      <c r="L6114" t="s">
        <v>23</v>
      </c>
      <c r="M6114" t="s">
        <v>14816</v>
      </c>
      <c r="N6114" t="s">
        <v>3363</v>
      </c>
      <c r="O6114" t="s">
        <v>33</v>
      </c>
      <c r="P6114">
        <v>15217</v>
      </c>
      <c r="Q6114">
        <v>1002</v>
      </c>
      <c r="R6114" t="s">
        <v>23</v>
      </c>
      <c r="S6114" s="1" t="s">
        <v>34218</v>
      </c>
    </row>
    <row r="6115" spans="1:19" x14ac:dyDescent="0.25">
      <c r="A6115">
        <v>101318279</v>
      </c>
      <c r="B6115" t="s">
        <v>497</v>
      </c>
      <c r="C6115" t="s">
        <v>3110</v>
      </c>
      <c r="F6115" t="str">
        <f>"2063623796"</f>
        <v>2063623796</v>
      </c>
      <c r="G6115" t="s">
        <v>14817</v>
      </c>
      <c r="H6115" t="s">
        <v>14818</v>
      </c>
      <c r="I6115" t="s">
        <v>84</v>
      </c>
      <c r="J6115">
        <v>98304</v>
      </c>
      <c r="K6115">
        <v>416</v>
      </c>
      <c r="L6115" t="s">
        <v>23</v>
      </c>
      <c r="M6115" t="s">
        <v>14817</v>
      </c>
      <c r="N6115" t="s">
        <v>14818</v>
      </c>
      <c r="O6115" t="s">
        <v>84</v>
      </c>
      <c r="P6115">
        <v>98304</v>
      </c>
      <c r="Q6115">
        <v>416</v>
      </c>
      <c r="R6115" t="s">
        <v>23</v>
      </c>
      <c r="S6115" s="1" t="s">
        <v>34218</v>
      </c>
    </row>
    <row r="6116" spans="1:19" x14ac:dyDescent="0.25">
      <c r="A6116">
        <v>101320192</v>
      </c>
      <c r="B6116" t="s">
        <v>654</v>
      </c>
      <c r="C6116" t="s">
        <v>286</v>
      </c>
      <c r="G6116" t="s">
        <v>14819</v>
      </c>
      <c r="H6116" t="s">
        <v>272</v>
      </c>
      <c r="I6116" t="s">
        <v>236</v>
      </c>
      <c r="J6116">
        <v>2130</v>
      </c>
      <c r="K6116">
        <v>1911</v>
      </c>
      <c r="L6116" t="s">
        <v>23</v>
      </c>
      <c r="M6116" t="s">
        <v>14819</v>
      </c>
      <c r="N6116" t="s">
        <v>272</v>
      </c>
      <c r="O6116" t="s">
        <v>236</v>
      </c>
      <c r="P6116">
        <v>2130</v>
      </c>
      <c r="Q6116">
        <v>1911</v>
      </c>
      <c r="R6116" t="s">
        <v>23</v>
      </c>
      <c r="S6116" s="1" t="s">
        <v>34218</v>
      </c>
    </row>
    <row r="6117" spans="1:19" x14ac:dyDescent="0.25">
      <c r="A6117">
        <v>101325778</v>
      </c>
      <c r="B6117" t="s">
        <v>14820</v>
      </c>
      <c r="C6117" t="s">
        <v>309</v>
      </c>
      <c r="G6117" t="s">
        <v>14821</v>
      </c>
      <c r="H6117" t="s">
        <v>7002</v>
      </c>
      <c r="I6117" t="s">
        <v>117</v>
      </c>
      <c r="J6117">
        <v>11743</v>
      </c>
      <c r="K6117">
        <v>1439</v>
      </c>
      <c r="L6117" t="s">
        <v>23</v>
      </c>
      <c r="M6117" t="s">
        <v>14821</v>
      </c>
      <c r="N6117" t="s">
        <v>7002</v>
      </c>
      <c r="O6117" t="s">
        <v>117</v>
      </c>
      <c r="P6117">
        <v>11743</v>
      </c>
      <c r="Q6117">
        <v>1439</v>
      </c>
      <c r="R6117" t="s">
        <v>23</v>
      </c>
      <c r="S6117" s="1" t="s">
        <v>34218</v>
      </c>
    </row>
    <row r="6118" spans="1:19" x14ac:dyDescent="0.25">
      <c r="A6118">
        <v>101331296</v>
      </c>
      <c r="B6118" t="s">
        <v>14822</v>
      </c>
      <c r="C6118" t="s">
        <v>14823</v>
      </c>
      <c r="G6118" t="s">
        <v>14824</v>
      </c>
      <c r="H6118" t="s">
        <v>412</v>
      </c>
      <c r="I6118" t="s">
        <v>117</v>
      </c>
      <c r="J6118">
        <v>11234</v>
      </c>
      <c r="K6118">
        <v>4507</v>
      </c>
      <c r="L6118" t="s">
        <v>23</v>
      </c>
      <c r="M6118" t="s">
        <v>14824</v>
      </c>
      <c r="N6118" t="s">
        <v>412</v>
      </c>
      <c r="O6118" t="s">
        <v>117</v>
      </c>
      <c r="P6118">
        <v>11234</v>
      </c>
      <c r="Q6118">
        <v>4507</v>
      </c>
      <c r="R6118" t="s">
        <v>23</v>
      </c>
      <c r="S6118" s="1" t="s">
        <v>34218</v>
      </c>
    </row>
    <row r="6119" spans="1:19" x14ac:dyDescent="0.25">
      <c r="A6119">
        <v>100682430</v>
      </c>
      <c r="B6119" t="s">
        <v>7093</v>
      </c>
      <c r="C6119" t="s">
        <v>1306</v>
      </c>
      <c r="G6119" t="s">
        <v>14825</v>
      </c>
      <c r="H6119" t="s">
        <v>2894</v>
      </c>
      <c r="I6119" t="s">
        <v>178</v>
      </c>
      <c r="J6119">
        <v>43613</v>
      </c>
      <c r="K6119">
        <v>5242</v>
      </c>
      <c r="L6119" t="s">
        <v>23</v>
      </c>
      <c r="M6119" t="s">
        <v>14825</v>
      </c>
      <c r="N6119" t="s">
        <v>2894</v>
      </c>
      <c r="O6119" t="s">
        <v>178</v>
      </c>
      <c r="P6119">
        <v>43613</v>
      </c>
      <c r="Q6119">
        <v>5242</v>
      </c>
      <c r="R6119" t="s">
        <v>23</v>
      </c>
      <c r="S6119" s="1" t="s">
        <v>34218</v>
      </c>
    </row>
    <row r="6120" spans="1:19" x14ac:dyDescent="0.25">
      <c r="A6120">
        <v>100689662</v>
      </c>
      <c r="B6120" t="s">
        <v>205</v>
      </c>
      <c r="C6120" t="s">
        <v>3566</v>
      </c>
      <c r="G6120" t="s">
        <v>14826</v>
      </c>
      <c r="H6120" t="s">
        <v>3373</v>
      </c>
      <c r="I6120" t="s">
        <v>178</v>
      </c>
      <c r="J6120">
        <v>44135</v>
      </c>
      <c r="K6120">
        <v>2140</v>
      </c>
      <c r="L6120" t="s">
        <v>23</v>
      </c>
      <c r="M6120" t="s">
        <v>14826</v>
      </c>
      <c r="N6120" t="s">
        <v>3373</v>
      </c>
      <c r="O6120" t="s">
        <v>178</v>
      </c>
      <c r="P6120">
        <v>44135</v>
      </c>
      <c r="Q6120">
        <v>2140</v>
      </c>
      <c r="R6120" t="s">
        <v>23</v>
      </c>
      <c r="S6120" s="1" t="s">
        <v>34218</v>
      </c>
    </row>
    <row r="6121" spans="1:19" x14ac:dyDescent="0.25">
      <c r="A6121">
        <v>100689181</v>
      </c>
      <c r="B6121" t="s">
        <v>14827</v>
      </c>
      <c r="C6121" t="s">
        <v>1714</v>
      </c>
      <c r="G6121" t="s">
        <v>14828</v>
      </c>
      <c r="H6121" t="s">
        <v>174</v>
      </c>
      <c r="I6121" t="s">
        <v>22</v>
      </c>
      <c r="J6121">
        <v>93110</v>
      </c>
      <c r="K6121">
        <v>1650</v>
      </c>
      <c r="L6121" t="s">
        <v>23</v>
      </c>
      <c r="M6121" t="s">
        <v>14828</v>
      </c>
      <c r="N6121" t="s">
        <v>174</v>
      </c>
      <c r="O6121" t="s">
        <v>22</v>
      </c>
      <c r="P6121">
        <v>93110</v>
      </c>
      <c r="Q6121">
        <v>1650</v>
      </c>
      <c r="R6121" t="s">
        <v>23</v>
      </c>
      <c r="S6121" s="1" t="s">
        <v>34218</v>
      </c>
    </row>
    <row r="6122" spans="1:19" x14ac:dyDescent="0.25">
      <c r="A6122">
        <v>100694864</v>
      </c>
      <c r="B6122" t="s">
        <v>14829</v>
      </c>
      <c r="C6122" t="s">
        <v>145</v>
      </c>
      <c r="G6122" t="s">
        <v>14830</v>
      </c>
      <c r="H6122" t="s">
        <v>88</v>
      </c>
      <c r="I6122" t="s">
        <v>250</v>
      </c>
      <c r="J6122">
        <v>7436</v>
      </c>
      <c r="K6122">
        <v>3310</v>
      </c>
      <c r="L6122" t="s">
        <v>23</v>
      </c>
      <c r="M6122" t="s">
        <v>14830</v>
      </c>
      <c r="N6122" t="s">
        <v>88</v>
      </c>
      <c r="O6122" t="s">
        <v>250</v>
      </c>
      <c r="P6122">
        <v>7436</v>
      </c>
      <c r="Q6122">
        <v>3310</v>
      </c>
      <c r="R6122" t="s">
        <v>23</v>
      </c>
      <c r="S6122" s="1" t="s">
        <v>34218</v>
      </c>
    </row>
    <row r="6123" spans="1:19" x14ac:dyDescent="0.25">
      <c r="A6123">
        <v>100690407</v>
      </c>
      <c r="B6123" t="s">
        <v>14831</v>
      </c>
      <c r="C6123" t="s">
        <v>252</v>
      </c>
      <c r="G6123" t="s">
        <v>14832</v>
      </c>
      <c r="H6123" t="s">
        <v>419</v>
      </c>
      <c r="I6123" t="s">
        <v>38</v>
      </c>
      <c r="J6123">
        <v>76107</v>
      </c>
      <c r="K6123">
        <v>4531</v>
      </c>
      <c r="L6123" t="s">
        <v>23</v>
      </c>
      <c r="M6123" t="s">
        <v>14832</v>
      </c>
      <c r="N6123" t="s">
        <v>419</v>
      </c>
      <c r="O6123" t="s">
        <v>38</v>
      </c>
      <c r="P6123">
        <v>76107</v>
      </c>
      <c r="Q6123">
        <v>4531</v>
      </c>
      <c r="R6123" t="s">
        <v>23</v>
      </c>
      <c r="S6123" s="1" t="s">
        <v>34218</v>
      </c>
    </row>
    <row r="6124" spans="1:19" x14ac:dyDescent="0.25">
      <c r="A6124">
        <v>100695098</v>
      </c>
      <c r="B6124" t="s">
        <v>14833</v>
      </c>
      <c r="C6124" t="s">
        <v>1278</v>
      </c>
      <c r="G6124" t="s">
        <v>14834</v>
      </c>
      <c r="H6124" t="s">
        <v>134</v>
      </c>
      <c r="I6124" t="s">
        <v>135</v>
      </c>
      <c r="J6124">
        <v>60646</v>
      </c>
      <c r="K6124">
        <v>5063</v>
      </c>
      <c r="L6124" t="s">
        <v>23</v>
      </c>
      <c r="M6124" t="s">
        <v>14834</v>
      </c>
      <c r="N6124" t="s">
        <v>134</v>
      </c>
      <c r="O6124" t="s">
        <v>135</v>
      </c>
      <c r="P6124">
        <v>60646</v>
      </c>
      <c r="Q6124">
        <v>5063</v>
      </c>
      <c r="R6124" t="s">
        <v>23</v>
      </c>
      <c r="S6124" s="1" t="s">
        <v>34218</v>
      </c>
    </row>
    <row r="6125" spans="1:19" x14ac:dyDescent="0.25">
      <c r="A6125">
        <v>100691134</v>
      </c>
      <c r="B6125" t="s">
        <v>14835</v>
      </c>
      <c r="C6125" t="s">
        <v>4800</v>
      </c>
      <c r="G6125" t="s">
        <v>14836</v>
      </c>
      <c r="H6125" t="s">
        <v>682</v>
      </c>
      <c r="I6125" t="s">
        <v>365</v>
      </c>
      <c r="J6125">
        <v>85032</v>
      </c>
      <c r="K6125">
        <v>3924</v>
      </c>
      <c r="L6125" t="s">
        <v>23</v>
      </c>
      <c r="M6125" t="s">
        <v>14836</v>
      </c>
      <c r="N6125" t="s">
        <v>682</v>
      </c>
      <c r="O6125" t="s">
        <v>365</v>
      </c>
      <c r="P6125">
        <v>85032</v>
      </c>
      <c r="Q6125">
        <v>3924</v>
      </c>
      <c r="R6125" t="s">
        <v>23</v>
      </c>
      <c r="S6125" s="1" t="s">
        <v>34218</v>
      </c>
    </row>
    <row r="6126" spans="1:19" x14ac:dyDescent="0.25">
      <c r="A6126">
        <v>100694405</v>
      </c>
      <c r="B6126" t="s">
        <v>4058</v>
      </c>
      <c r="C6126" t="s">
        <v>8852</v>
      </c>
      <c r="G6126" t="s">
        <v>14837</v>
      </c>
      <c r="H6126" t="s">
        <v>4947</v>
      </c>
      <c r="I6126" t="s">
        <v>2537</v>
      </c>
      <c r="J6126">
        <v>72727</v>
      </c>
      <c r="K6126">
        <v>9306</v>
      </c>
      <c r="L6126" t="s">
        <v>23</v>
      </c>
      <c r="M6126" t="s">
        <v>14837</v>
      </c>
      <c r="N6126" t="s">
        <v>4947</v>
      </c>
      <c r="O6126" t="s">
        <v>2537</v>
      </c>
      <c r="P6126">
        <v>72727</v>
      </c>
      <c r="Q6126">
        <v>9306</v>
      </c>
      <c r="R6126" t="s">
        <v>23</v>
      </c>
      <c r="S6126" s="1" t="s">
        <v>34218</v>
      </c>
    </row>
    <row r="6127" spans="1:19" x14ac:dyDescent="0.25">
      <c r="A6127">
        <v>100701416</v>
      </c>
      <c r="B6127" t="s">
        <v>14838</v>
      </c>
      <c r="C6127" t="s">
        <v>3376</v>
      </c>
      <c r="G6127" t="s">
        <v>14839</v>
      </c>
      <c r="H6127" t="s">
        <v>11688</v>
      </c>
      <c r="I6127" t="s">
        <v>984</v>
      </c>
      <c r="J6127">
        <v>96706</v>
      </c>
      <c r="K6127">
        <v>5957</v>
      </c>
      <c r="L6127" t="s">
        <v>23</v>
      </c>
      <c r="M6127" t="s">
        <v>14839</v>
      </c>
      <c r="N6127" t="s">
        <v>11688</v>
      </c>
      <c r="O6127" t="s">
        <v>984</v>
      </c>
      <c r="P6127">
        <v>96706</v>
      </c>
      <c r="Q6127">
        <v>5957</v>
      </c>
      <c r="R6127" t="s">
        <v>23</v>
      </c>
      <c r="S6127" s="1" t="s">
        <v>34218</v>
      </c>
    </row>
    <row r="6128" spans="1:19" x14ac:dyDescent="0.25">
      <c r="A6128">
        <v>100698402</v>
      </c>
      <c r="B6128" t="s">
        <v>3562</v>
      </c>
      <c r="C6128" t="s">
        <v>557</v>
      </c>
      <c r="G6128" t="s">
        <v>14840</v>
      </c>
      <c r="H6128" t="s">
        <v>3270</v>
      </c>
      <c r="I6128" t="s">
        <v>348</v>
      </c>
      <c r="J6128">
        <v>83714</v>
      </c>
      <c r="K6128">
        <v>4047</v>
      </c>
      <c r="L6128" t="s">
        <v>23</v>
      </c>
      <c r="M6128" t="s">
        <v>14840</v>
      </c>
      <c r="N6128" t="s">
        <v>3270</v>
      </c>
      <c r="O6128" t="s">
        <v>348</v>
      </c>
      <c r="P6128">
        <v>83714</v>
      </c>
      <c r="Q6128">
        <v>4047</v>
      </c>
      <c r="R6128" t="s">
        <v>23</v>
      </c>
      <c r="S6128" s="1" t="s">
        <v>34218</v>
      </c>
    </row>
    <row r="6129" spans="1:19" x14ac:dyDescent="0.25">
      <c r="A6129">
        <v>100703225</v>
      </c>
      <c r="B6129" t="s">
        <v>14841</v>
      </c>
      <c r="C6129" t="s">
        <v>707</v>
      </c>
      <c r="G6129" t="s">
        <v>14842</v>
      </c>
      <c r="H6129" t="s">
        <v>160</v>
      </c>
      <c r="I6129" t="s">
        <v>307</v>
      </c>
      <c r="J6129">
        <v>5676</v>
      </c>
      <c r="K6129">
        <v>9117</v>
      </c>
      <c r="L6129" t="s">
        <v>23</v>
      </c>
      <c r="M6129" t="s">
        <v>14842</v>
      </c>
      <c r="N6129" t="s">
        <v>160</v>
      </c>
      <c r="O6129" t="s">
        <v>307</v>
      </c>
      <c r="P6129">
        <v>5676</v>
      </c>
      <c r="Q6129">
        <v>9117</v>
      </c>
      <c r="R6129" t="s">
        <v>23</v>
      </c>
      <c r="S6129" s="1" t="s">
        <v>34218</v>
      </c>
    </row>
    <row r="6130" spans="1:19" x14ac:dyDescent="0.25">
      <c r="A6130">
        <v>100705171</v>
      </c>
      <c r="B6130" t="s">
        <v>14843</v>
      </c>
      <c r="C6130" t="s">
        <v>1161</v>
      </c>
      <c r="G6130" t="s">
        <v>14844</v>
      </c>
      <c r="H6130" t="s">
        <v>818</v>
      </c>
      <c r="I6130" t="s">
        <v>43</v>
      </c>
      <c r="J6130">
        <v>97006</v>
      </c>
      <c r="K6130">
        <v>4004</v>
      </c>
      <c r="L6130" t="s">
        <v>23</v>
      </c>
      <c r="M6130" t="s">
        <v>14844</v>
      </c>
      <c r="N6130" t="s">
        <v>818</v>
      </c>
      <c r="O6130" t="s">
        <v>43</v>
      </c>
      <c r="P6130">
        <v>97006</v>
      </c>
      <c r="Q6130">
        <v>4004</v>
      </c>
      <c r="R6130" t="s">
        <v>23</v>
      </c>
      <c r="S6130" s="1" t="s">
        <v>34218</v>
      </c>
    </row>
    <row r="6131" spans="1:19" x14ac:dyDescent="0.25">
      <c r="A6131">
        <v>100892908</v>
      </c>
      <c r="B6131" t="s">
        <v>14845</v>
      </c>
      <c r="C6131" t="s">
        <v>274</v>
      </c>
      <c r="G6131" t="s">
        <v>14846</v>
      </c>
      <c r="H6131" t="s">
        <v>14847</v>
      </c>
      <c r="I6131" t="s">
        <v>178</v>
      </c>
      <c r="J6131">
        <v>44001</v>
      </c>
      <c r="K6131">
        <v>3053</v>
      </c>
      <c r="L6131" t="s">
        <v>23</v>
      </c>
      <c r="M6131" t="s">
        <v>14846</v>
      </c>
      <c r="N6131" t="s">
        <v>14847</v>
      </c>
      <c r="O6131" t="s">
        <v>178</v>
      </c>
      <c r="P6131">
        <v>44001</v>
      </c>
      <c r="Q6131">
        <v>3053</v>
      </c>
      <c r="R6131" t="s">
        <v>23</v>
      </c>
      <c r="S6131" s="1" t="s">
        <v>34218</v>
      </c>
    </row>
    <row r="6132" spans="1:19" x14ac:dyDescent="0.25">
      <c r="A6132">
        <v>100894117</v>
      </c>
      <c r="B6132" t="s">
        <v>2457</v>
      </c>
      <c r="C6132" t="s">
        <v>483</v>
      </c>
      <c r="G6132" t="s">
        <v>14848</v>
      </c>
      <c r="H6132" t="s">
        <v>14849</v>
      </c>
      <c r="I6132" t="s">
        <v>662</v>
      </c>
      <c r="J6132">
        <v>2818</v>
      </c>
      <c r="K6132">
        <v>4610</v>
      </c>
      <c r="L6132" t="s">
        <v>23</v>
      </c>
      <c r="M6132" t="s">
        <v>14848</v>
      </c>
      <c r="N6132" t="s">
        <v>14849</v>
      </c>
      <c r="O6132" t="s">
        <v>662</v>
      </c>
      <c r="P6132">
        <v>2818</v>
      </c>
      <c r="Q6132">
        <v>4610</v>
      </c>
      <c r="R6132" t="s">
        <v>23</v>
      </c>
      <c r="S6132" s="1" t="s">
        <v>34218</v>
      </c>
    </row>
    <row r="6133" spans="1:19" x14ac:dyDescent="0.25">
      <c r="A6133">
        <v>100898953</v>
      </c>
      <c r="B6133" t="s">
        <v>9344</v>
      </c>
      <c r="C6133" t="s">
        <v>1370</v>
      </c>
      <c r="F6133" t="str">
        <f>"4087396973"</f>
        <v>4087396973</v>
      </c>
      <c r="G6133" t="s">
        <v>14850</v>
      </c>
      <c r="H6133" t="s">
        <v>360</v>
      </c>
      <c r="I6133" t="s">
        <v>22</v>
      </c>
      <c r="J6133">
        <v>94086</v>
      </c>
      <c r="K6133">
        <v>6324</v>
      </c>
      <c r="L6133" t="s">
        <v>23</v>
      </c>
      <c r="M6133" t="s">
        <v>14850</v>
      </c>
      <c r="N6133" t="s">
        <v>360</v>
      </c>
      <c r="O6133" t="s">
        <v>22</v>
      </c>
      <c r="P6133">
        <v>94086</v>
      </c>
      <c r="Q6133">
        <v>6324</v>
      </c>
      <c r="R6133" t="s">
        <v>23</v>
      </c>
      <c r="S6133" s="1" t="s">
        <v>34218</v>
      </c>
    </row>
    <row r="6134" spans="1:19" x14ac:dyDescent="0.25">
      <c r="A6134">
        <v>100918597</v>
      </c>
      <c r="B6134" t="s">
        <v>14851</v>
      </c>
      <c r="C6134" t="s">
        <v>8532</v>
      </c>
      <c r="G6134" t="s">
        <v>14852</v>
      </c>
      <c r="H6134" t="s">
        <v>198</v>
      </c>
      <c r="I6134" t="s">
        <v>22</v>
      </c>
      <c r="J6134">
        <v>92102</v>
      </c>
      <c r="K6134">
        <v>1441</v>
      </c>
      <c r="L6134" t="s">
        <v>23</v>
      </c>
      <c r="M6134" t="s">
        <v>14852</v>
      </c>
      <c r="N6134" t="s">
        <v>198</v>
      </c>
      <c r="O6134" t="s">
        <v>22</v>
      </c>
      <c r="P6134">
        <v>92102</v>
      </c>
      <c r="Q6134">
        <v>1441</v>
      </c>
      <c r="R6134" t="s">
        <v>23</v>
      </c>
      <c r="S6134" s="1" t="s">
        <v>34218</v>
      </c>
    </row>
    <row r="6135" spans="1:19" x14ac:dyDescent="0.25">
      <c r="A6135">
        <v>101101551</v>
      </c>
      <c r="B6135" t="s">
        <v>14853</v>
      </c>
      <c r="C6135" t="s">
        <v>664</v>
      </c>
      <c r="F6135" t="str">
        <f>"5592247541"</f>
        <v>5592247541</v>
      </c>
      <c r="G6135" t="s">
        <v>14854</v>
      </c>
      <c r="H6135" t="s">
        <v>207</v>
      </c>
      <c r="I6135" t="s">
        <v>22</v>
      </c>
      <c r="J6135">
        <v>93704</v>
      </c>
      <c r="K6135">
        <v>4808</v>
      </c>
      <c r="L6135" t="s">
        <v>23</v>
      </c>
      <c r="M6135" t="s">
        <v>14854</v>
      </c>
      <c r="N6135" t="s">
        <v>207</v>
      </c>
      <c r="O6135" t="s">
        <v>22</v>
      </c>
      <c r="P6135">
        <v>93704</v>
      </c>
      <c r="Q6135">
        <v>4808</v>
      </c>
      <c r="R6135" t="s">
        <v>23</v>
      </c>
      <c r="S6135" s="1" t="s">
        <v>34218</v>
      </c>
    </row>
    <row r="6136" spans="1:19" x14ac:dyDescent="0.25">
      <c r="A6136">
        <v>101103031</v>
      </c>
      <c r="B6136" t="s">
        <v>14855</v>
      </c>
      <c r="C6136" t="s">
        <v>1398</v>
      </c>
      <c r="G6136" t="s">
        <v>14856</v>
      </c>
      <c r="H6136" t="s">
        <v>761</v>
      </c>
      <c r="I6136" t="s">
        <v>236</v>
      </c>
      <c r="J6136">
        <v>1742</v>
      </c>
      <c r="K6136">
        <v>2654</v>
      </c>
      <c r="L6136" t="s">
        <v>23</v>
      </c>
      <c r="M6136" t="s">
        <v>14856</v>
      </c>
      <c r="N6136" t="s">
        <v>761</v>
      </c>
      <c r="O6136" t="s">
        <v>236</v>
      </c>
      <c r="P6136">
        <v>1742</v>
      </c>
      <c r="Q6136">
        <v>2654</v>
      </c>
      <c r="R6136" t="s">
        <v>23</v>
      </c>
      <c r="S6136" s="1" t="s">
        <v>34218</v>
      </c>
    </row>
    <row r="6137" spans="1:19" x14ac:dyDescent="0.25">
      <c r="A6137">
        <v>100783652</v>
      </c>
      <c r="B6137" t="s">
        <v>14857</v>
      </c>
      <c r="C6137" t="s">
        <v>11184</v>
      </c>
      <c r="G6137" t="s">
        <v>14858</v>
      </c>
      <c r="H6137" t="s">
        <v>14859</v>
      </c>
      <c r="I6137" t="s">
        <v>100</v>
      </c>
      <c r="J6137">
        <v>54115</v>
      </c>
      <c r="K6137">
        <v>8606</v>
      </c>
      <c r="L6137" t="s">
        <v>23</v>
      </c>
      <c r="M6137" t="s">
        <v>14858</v>
      </c>
      <c r="N6137" t="s">
        <v>14859</v>
      </c>
      <c r="O6137" t="s">
        <v>100</v>
      </c>
      <c r="P6137">
        <v>54115</v>
      </c>
      <c r="Q6137">
        <v>8606</v>
      </c>
      <c r="R6137" t="s">
        <v>23</v>
      </c>
      <c r="S6137" s="1" t="s">
        <v>34218</v>
      </c>
    </row>
    <row r="6138" spans="1:19" x14ac:dyDescent="0.25">
      <c r="A6138">
        <v>100972585</v>
      </c>
      <c r="B6138" t="s">
        <v>14860</v>
      </c>
      <c r="C6138" t="s">
        <v>1906</v>
      </c>
      <c r="G6138" t="s">
        <v>14861</v>
      </c>
      <c r="H6138" t="s">
        <v>11588</v>
      </c>
      <c r="I6138" t="s">
        <v>33</v>
      </c>
      <c r="J6138">
        <v>15642</v>
      </c>
      <c r="K6138">
        <v>3490</v>
      </c>
      <c r="L6138" t="s">
        <v>23</v>
      </c>
      <c r="M6138" t="s">
        <v>14861</v>
      </c>
      <c r="N6138" t="s">
        <v>11588</v>
      </c>
      <c r="O6138" t="s">
        <v>33</v>
      </c>
      <c r="P6138">
        <v>15642</v>
      </c>
      <c r="Q6138">
        <v>3490</v>
      </c>
      <c r="R6138" t="s">
        <v>23</v>
      </c>
      <c r="S6138" s="1" t="s">
        <v>34218</v>
      </c>
    </row>
    <row r="6139" spans="1:19" x14ac:dyDescent="0.25">
      <c r="A6139">
        <v>100968037</v>
      </c>
      <c r="B6139" t="s">
        <v>5569</v>
      </c>
      <c r="C6139" t="s">
        <v>5353</v>
      </c>
      <c r="G6139" t="s">
        <v>14862</v>
      </c>
      <c r="H6139" t="s">
        <v>3129</v>
      </c>
      <c r="I6139" t="s">
        <v>84</v>
      </c>
      <c r="J6139">
        <v>99205</v>
      </c>
      <c r="K6139">
        <v>3210</v>
      </c>
      <c r="L6139" t="s">
        <v>23</v>
      </c>
      <c r="M6139" t="s">
        <v>14862</v>
      </c>
      <c r="N6139" t="s">
        <v>3129</v>
      </c>
      <c r="O6139" t="s">
        <v>84</v>
      </c>
      <c r="P6139">
        <v>99205</v>
      </c>
      <c r="Q6139">
        <v>3210</v>
      </c>
      <c r="R6139" t="s">
        <v>23</v>
      </c>
      <c r="S6139" s="1" t="s">
        <v>34218</v>
      </c>
    </row>
    <row r="6140" spans="1:19" x14ac:dyDescent="0.25">
      <c r="A6140">
        <v>100967962</v>
      </c>
      <c r="B6140" t="s">
        <v>14863</v>
      </c>
      <c r="C6140" t="s">
        <v>5822</v>
      </c>
      <c r="F6140" t="str">
        <f>"7156348575"</f>
        <v>7156348575</v>
      </c>
      <c r="G6140" t="s">
        <v>14864</v>
      </c>
      <c r="H6140" t="s">
        <v>521</v>
      </c>
      <c r="I6140" t="s">
        <v>100</v>
      </c>
      <c r="J6140">
        <v>54843</v>
      </c>
      <c r="K6140">
        <v>5176</v>
      </c>
      <c r="L6140" t="s">
        <v>23</v>
      </c>
      <c r="M6140" t="s">
        <v>14864</v>
      </c>
      <c r="N6140" t="s">
        <v>521</v>
      </c>
      <c r="O6140" t="s">
        <v>100</v>
      </c>
      <c r="P6140">
        <v>54843</v>
      </c>
      <c r="Q6140">
        <v>5176</v>
      </c>
      <c r="R6140" t="s">
        <v>23</v>
      </c>
      <c r="S6140" s="1" t="s">
        <v>34218</v>
      </c>
    </row>
    <row r="6141" spans="1:19" x14ac:dyDescent="0.25">
      <c r="A6141">
        <v>100977336</v>
      </c>
      <c r="B6141" t="s">
        <v>14865</v>
      </c>
      <c r="C6141" t="s">
        <v>4184</v>
      </c>
      <c r="F6141" t="str">
        <f>"7734569452"</f>
        <v>7734569452</v>
      </c>
      <c r="G6141" t="s">
        <v>14866</v>
      </c>
      <c r="H6141" t="s">
        <v>134</v>
      </c>
      <c r="I6141" t="s">
        <v>135</v>
      </c>
      <c r="J6141">
        <v>60630</v>
      </c>
      <c r="K6141">
        <v>3216</v>
      </c>
      <c r="L6141" t="s">
        <v>23</v>
      </c>
      <c r="M6141" t="s">
        <v>14866</v>
      </c>
      <c r="N6141" t="s">
        <v>134</v>
      </c>
      <c r="O6141" t="s">
        <v>135</v>
      </c>
      <c r="P6141">
        <v>60630</v>
      </c>
      <c r="Q6141">
        <v>3216</v>
      </c>
      <c r="R6141" t="s">
        <v>23</v>
      </c>
      <c r="S6141" s="1" t="s">
        <v>34218</v>
      </c>
    </row>
    <row r="6142" spans="1:19" x14ac:dyDescent="0.25">
      <c r="A6142">
        <v>100576094</v>
      </c>
      <c r="B6142" t="s">
        <v>14867</v>
      </c>
      <c r="C6142" t="s">
        <v>286</v>
      </c>
      <c r="G6142" t="s">
        <v>14868</v>
      </c>
      <c r="H6142" t="s">
        <v>1402</v>
      </c>
      <c r="I6142" t="s">
        <v>38</v>
      </c>
      <c r="J6142">
        <v>77096</v>
      </c>
      <c r="K6142">
        <v>2623</v>
      </c>
      <c r="L6142" t="s">
        <v>23</v>
      </c>
      <c r="M6142" t="s">
        <v>14868</v>
      </c>
      <c r="N6142" t="s">
        <v>1402</v>
      </c>
      <c r="O6142" t="s">
        <v>38</v>
      </c>
      <c r="P6142">
        <v>77096</v>
      </c>
      <c r="Q6142">
        <v>2623</v>
      </c>
      <c r="R6142" t="s">
        <v>23</v>
      </c>
      <c r="S6142" s="1" t="s">
        <v>34218</v>
      </c>
    </row>
    <row r="6143" spans="1:19" x14ac:dyDescent="0.25">
      <c r="A6143">
        <v>100579595</v>
      </c>
      <c r="B6143" t="s">
        <v>1239</v>
      </c>
      <c r="C6143" t="s">
        <v>119</v>
      </c>
      <c r="G6143" t="s">
        <v>14869</v>
      </c>
      <c r="H6143" t="s">
        <v>14286</v>
      </c>
      <c r="I6143" t="s">
        <v>140</v>
      </c>
      <c r="J6143">
        <v>49341</v>
      </c>
      <c r="K6143">
        <v>9663</v>
      </c>
      <c r="L6143" t="s">
        <v>23</v>
      </c>
      <c r="M6143" t="s">
        <v>14869</v>
      </c>
      <c r="N6143" t="s">
        <v>14286</v>
      </c>
      <c r="O6143" t="s">
        <v>140</v>
      </c>
      <c r="P6143">
        <v>49341</v>
      </c>
      <c r="Q6143">
        <v>9663</v>
      </c>
      <c r="R6143" t="s">
        <v>23</v>
      </c>
      <c r="S6143" s="1" t="s">
        <v>34218</v>
      </c>
    </row>
    <row r="6144" spans="1:19" x14ac:dyDescent="0.25">
      <c r="A6144">
        <v>100581563</v>
      </c>
      <c r="B6144" t="s">
        <v>11606</v>
      </c>
      <c r="C6144" t="s">
        <v>483</v>
      </c>
      <c r="G6144" t="s">
        <v>14870</v>
      </c>
      <c r="H6144" t="s">
        <v>3686</v>
      </c>
      <c r="I6144" t="s">
        <v>57</v>
      </c>
      <c r="J6144">
        <v>47715</v>
      </c>
      <c r="K6144">
        <v>8913</v>
      </c>
      <c r="L6144" t="s">
        <v>23</v>
      </c>
      <c r="M6144" t="s">
        <v>14870</v>
      </c>
      <c r="N6144" t="s">
        <v>3686</v>
      </c>
      <c r="O6144" t="s">
        <v>57</v>
      </c>
      <c r="P6144">
        <v>47715</v>
      </c>
      <c r="Q6144">
        <v>8913</v>
      </c>
      <c r="R6144" t="s">
        <v>23</v>
      </c>
      <c r="S6144" s="1" t="s">
        <v>34218</v>
      </c>
    </row>
    <row r="6145" spans="1:19" x14ac:dyDescent="0.25">
      <c r="A6145">
        <v>100581506</v>
      </c>
      <c r="B6145" t="s">
        <v>14871</v>
      </c>
      <c r="C6145" t="s">
        <v>180</v>
      </c>
      <c r="G6145" t="s">
        <v>14872</v>
      </c>
      <c r="H6145" t="s">
        <v>3385</v>
      </c>
      <c r="I6145" t="s">
        <v>236</v>
      </c>
      <c r="J6145">
        <v>2138</v>
      </c>
      <c r="K6145">
        <v>1969</v>
      </c>
      <c r="L6145" t="s">
        <v>23</v>
      </c>
      <c r="M6145" t="s">
        <v>14872</v>
      </c>
      <c r="N6145" t="s">
        <v>3385</v>
      </c>
      <c r="O6145" t="s">
        <v>236</v>
      </c>
      <c r="P6145">
        <v>2138</v>
      </c>
      <c r="Q6145">
        <v>1969</v>
      </c>
      <c r="R6145" t="s">
        <v>23</v>
      </c>
      <c r="S6145" s="1" t="s">
        <v>34218</v>
      </c>
    </row>
    <row r="6146" spans="1:19" x14ac:dyDescent="0.25">
      <c r="A6146">
        <v>100587647</v>
      </c>
      <c r="B6146" t="s">
        <v>14873</v>
      </c>
      <c r="C6146" t="s">
        <v>14874</v>
      </c>
      <c r="G6146" t="s">
        <v>14875</v>
      </c>
      <c r="H6146" t="s">
        <v>861</v>
      </c>
      <c r="I6146" t="s">
        <v>33</v>
      </c>
      <c r="J6146">
        <v>19355</v>
      </c>
      <c r="K6146">
        <v>2710</v>
      </c>
      <c r="L6146" t="s">
        <v>23</v>
      </c>
      <c r="M6146" t="s">
        <v>14875</v>
      </c>
      <c r="N6146" t="s">
        <v>861</v>
      </c>
      <c r="O6146" t="s">
        <v>33</v>
      </c>
      <c r="P6146">
        <v>19355</v>
      </c>
      <c r="Q6146">
        <v>2710</v>
      </c>
      <c r="R6146" t="s">
        <v>23</v>
      </c>
      <c r="S6146" s="1" t="s">
        <v>34218</v>
      </c>
    </row>
    <row r="6147" spans="1:19" x14ac:dyDescent="0.25">
      <c r="A6147">
        <v>100588346</v>
      </c>
      <c r="B6147" t="s">
        <v>14876</v>
      </c>
      <c r="C6147" t="s">
        <v>9349</v>
      </c>
      <c r="G6147" t="s">
        <v>14877</v>
      </c>
      <c r="H6147" t="s">
        <v>1508</v>
      </c>
      <c r="I6147" t="s">
        <v>84</v>
      </c>
      <c r="J6147">
        <v>98020</v>
      </c>
      <c r="K6147">
        <v>5929</v>
      </c>
      <c r="L6147" t="s">
        <v>23</v>
      </c>
      <c r="M6147" t="s">
        <v>14877</v>
      </c>
      <c r="N6147" t="s">
        <v>1508</v>
      </c>
      <c r="O6147" t="s">
        <v>84</v>
      </c>
      <c r="P6147">
        <v>98020</v>
      </c>
      <c r="Q6147">
        <v>5929</v>
      </c>
      <c r="R6147" t="s">
        <v>23</v>
      </c>
      <c r="S6147" s="1" t="s">
        <v>34218</v>
      </c>
    </row>
    <row r="6148" spans="1:19" x14ac:dyDescent="0.25">
      <c r="A6148">
        <v>100588474</v>
      </c>
      <c r="B6148" t="s">
        <v>14878</v>
      </c>
      <c r="C6148" t="s">
        <v>216</v>
      </c>
      <c r="G6148" t="s">
        <v>14879</v>
      </c>
      <c r="H6148" t="s">
        <v>2820</v>
      </c>
      <c r="I6148" t="s">
        <v>365</v>
      </c>
      <c r="J6148">
        <v>85704</v>
      </c>
      <c r="K6148">
        <v>7436</v>
      </c>
      <c r="L6148" t="s">
        <v>23</v>
      </c>
      <c r="M6148" t="s">
        <v>14879</v>
      </c>
      <c r="N6148" t="s">
        <v>2820</v>
      </c>
      <c r="O6148" t="s">
        <v>365</v>
      </c>
      <c r="P6148">
        <v>85704</v>
      </c>
      <c r="Q6148">
        <v>7436</v>
      </c>
      <c r="R6148" t="s">
        <v>23</v>
      </c>
      <c r="S6148" s="1" t="s">
        <v>34218</v>
      </c>
    </row>
    <row r="6149" spans="1:19" x14ac:dyDescent="0.25">
      <c r="A6149">
        <v>100597486</v>
      </c>
      <c r="B6149" t="s">
        <v>14880</v>
      </c>
      <c r="C6149" t="s">
        <v>119</v>
      </c>
      <c r="F6149" t="str">
        <f>"5097583934"</f>
        <v>5097583934</v>
      </c>
      <c r="G6149" t="s">
        <v>14881</v>
      </c>
      <c r="H6149" t="s">
        <v>7951</v>
      </c>
      <c r="I6149" t="s">
        <v>84</v>
      </c>
      <c r="J6149">
        <v>99403</v>
      </c>
      <c r="K6149">
        <v>2576</v>
      </c>
      <c r="L6149" t="s">
        <v>23</v>
      </c>
      <c r="M6149" t="s">
        <v>14881</v>
      </c>
      <c r="N6149" t="s">
        <v>7951</v>
      </c>
      <c r="O6149" t="s">
        <v>84</v>
      </c>
      <c r="P6149">
        <v>99403</v>
      </c>
      <c r="Q6149">
        <v>2576</v>
      </c>
      <c r="R6149" t="s">
        <v>23</v>
      </c>
      <c r="S6149" s="1" t="s">
        <v>34218</v>
      </c>
    </row>
    <row r="6150" spans="1:19" x14ac:dyDescent="0.25">
      <c r="A6150">
        <v>100600579</v>
      </c>
      <c r="B6150" t="s">
        <v>14882</v>
      </c>
      <c r="C6150" t="s">
        <v>313</v>
      </c>
      <c r="G6150" t="s">
        <v>14883</v>
      </c>
      <c r="H6150" t="s">
        <v>1060</v>
      </c>
      <c r="I6150" t="s">
        <v>22</v>
      </c>
      <c r="J6150">
        <v>93405</v>
      </c>
      <c r="K6150">
        <v>1080</v>
      </c>
      <c r="L6150" t="s">
        <v>23</v>
      </c>
      <c r="M6150" t="s">
        <v>14883</v>
      </c>
      <c r="N6150" t="s">
        <v>1060</v>
      </c>
      <c r="O6150" t="s">
        <v>22</v>
      </c>
      <c r="P6150">
        <v>93405</v>
      </c>
      <c r="Q6150">
        <v>1080</v>
      </c>
      <c r="R6150" t="s">
        <v>23</v>
      </c>
      <c r="S6150" s="1" t="s">
        <v>34218</v>
      </c>
    </row>
    <row r="6151" spans="1:19" x14ac:dyDescent="0.25">
      <c r="A6151">
        <v>100601781</v>
      </c>
      <c r="B6151" t="s">
        <v>14884</v>
      </c>
      <c r="C6151" t="s">
        <v>5836</v>
      </c>
      <c r="G6151" t="s">
        <v>14885</v>
      </c>
      <c r="H6151" t="s">
        <v>7994</v>
      </c>
      <c r="I6151" t="s">
        <v>84</v>
      </c>
      <c r="J6151">
        <v>98036</v>
      </c>
      <c r="K6151">
        <v>6224</v>
      </c>
      <c r="L6151" t="s">
        <v>23</v>
      </c>
      <c r="M6151" t="s">
        <v>14885</v>
      </c>
      <c r="N6151" t="s">
        <v>7994</v>
      </c>
      <c r="O6151" t="s">
        <v>84</v>
      </c>
      <c r="P6151">
        <v>98036</v>
      </c>
      <c r="Q6151">
        <v>6224</v>
      </c>
      <c r="R6151" t="s">
        <v>23</v>
      </c>
      <c r="S6151" s="1" t="s">
        <v>34218</v>
      </c>
    </row>
    <row r="6152" spans="1:19" x14ac:dyDescent="0.25">
      <c r="A6152">
        <v>100602472</v>
      </c>
      <c r="B6152" t="s">
        <v>829</v>
      </c>
      <c r="C6152" t="s">
        <v>1153</v>
      </c>
      <c r="G6152" t="s">
        <v>14886</v>
      </c>
      <c r="H6152" t="s">
        <v>13601</v>
      </c>
      <c r="I6152" t="s">
        <v>140</v>
      </c>
      <c r="J6152">
        <v>48150</v>
      </c>
      <c r="K6152">
        <v>3157</v>
      </c>
      <c r="L6152" t="s">
        <v>23</v>
      </c>
      <c r="M6152" t="s">
        <v>14886</v>
      </c>
      <c r="N6152" t="s">
        <v>13601</v>
      </c>
      <c r="O6152" t="s">
        <v>140</v>
      </c>
      <c r="P6152">
        <v>48150</v>
      </c>
      <c r="Q6152">
        <v>3157</v>
      </c>
      <c r="R6152" t="s">
        <v>23</v>
      </c>
      <c r="S6152" s="1" t="s">
        <v>34218</v>
      </c>
    </row>
    <row r="6153" spans="1:19" x14ac:dyDescent="0.25">
      <c r="A6153">
        <v>100600814</v>
      </c>
      <c r="B6153" t="s">
        <v>2328</v>
      </c>
      <c r="C6153" t="s">
        <v>1588</v>
      </c>
      <c r="G6153" t="s">
        <v>14887</v>
      </c>
      <c r="H6153" t="s">
        <v>423</v>
      </c>
      <c r="I6153" t="s">
        <v>71</v>
      </c>
      <c r="J6153">
        <v>80308</v>
      </c>
      <c r="K6153">
        <v>394</v>
      </c>
      <c r="L6153" t="s">
        <v>23</v>
      </c>
      <c r="M6153" t="s">
        <v>14887</v>
      </c>
      <c r="N6153" t="s">
        <v>423</v>
      </c>
      <c r="O6153" t="s">
        <v>71</v>
      </c>
      <c r="P6153">
        <v>80308</v>
      </c>
      <c r="Q6153">
        <v>394</v>
      </c>
      <c r="R6153" t="s">
        <v>23</v>
      </c>
      <c r="S6153" s="1" t="s">
        <v>34218</v>
      </c>
    </row>
    <row r="6154" spans="1:19" x14ac:dyDescent="0.25">
      <c r="A6154">
        <v>100790960</v>
      </c>
      <c r="B6154" t="s">
        <v>14888</v>
      </c>
      <c r="C6154" t="s">
        <v>4124</v>
      </c>
      <c r="G6154" t="s">
        <v>14889</v>
      </c>
      <c r="H6154" t="s">
        <v>10995</v>
      </c>
      <c r="I6154" t="s">
        <v>135</v>
      </c>
      <c r="J6154">
        <v>60436</v>
      </c>
      <c r="K6154">
        <v>1216</v>
      </c>
      <c r="L6154" t="s">
        <v>23</v>
      </c>
      <c r="M6154" t="s">
        <v>14889</v>
      </c>
      <c r="N6154" t="s">
        <v>10995</v>
      </c>
      <c r="O6154" t="s">
        <v>135</v>
      </c>
      <c r="P6154">
        <v>60436</v>
      </c>
      <c r="Q6154">
        <v>1216</v>
      </c>
      <c r="R6154" t="s">
        <v>23</v>
      </c>
      <c r="S6154" s="1" t="s">
        <v>34218</v>
      </c>
    </row>
    <row r="6155" spans="1:19" x14ac:dyDescent="0.25">
      <c r="A6155">
        <v>100791206</v>
      </c>
      <c r="B6155" t="s">
        <v>14890</v>
      </c>
      <c r="C6155" t="s">
        <v>110</v>
      </c>
      <c r="G6155" t="s">
        <v>14891</v>
      </c>
      <c r="H6155" t="s">
        <v>4347</v>
      </c>
      <c r="I6155" t="s">
        <v>71</v>
      </c>
      <c r="J6155">
        <v>81301</v>
      </c>
      <c r="K6155">
        <v>8223</v>
      </c>
      <c r="L6155" t="s">
        <v>23</v>
      </c>
      <c r="M6155" t="s">
        <v>14891</v>
      </c>
      <c r="N6155" t="s">
        <v>4347</v>
      </c>
      <c r="O6155" t="s">
        <v>71</v>
      </c>
      <c r="P6155">
        <v>81301</v>
      </c>
      <c r="Q6155">
        <v>8223</v>
      </c>
      <c r="R6155" t="s">
        <v>23</v>
      </c>
      <c r="S6155" s="1" t="s">
        <v>34218</v>
      </c>
    </row>
    <row r="6156" spans="1:19" x14ac:dyDescent="0.25">
      <c r="A6156">
        <v>100793573</v>
      </c>
      <c r="B6156" t="s">
        <v>6598</v>
      </c>
      <c r="C6156" t="s">
        <v>30</v>
      </c>
      <c r="F6156" t="str">
        <f>"8188004747"</f>
        <v>8188004747</v>
      </c>
      <c r="G6156" t="s">
        <v>14892</v>
      </c>
      <c r="H6156" t="s">
        <v>7122</v>
      </c>
      <c r="I6156" t="s">
        <v>22</v>
      </c>
      <c r="J6156">
        <v>91302</v>
      </c>
      <c r="K6156">
        <v>2612</v>
      </c>
      <c r="L6156" t="s">
        <v>23</v>
      </c>
      <c r="M6156" t="s">
        <v>14892</v>
      </c>
      <c r="N6156" t="s">
        <v>7122</v>
      </c>
      <c r="O6156" t="s">
        <v>22</v>
      </c>
      <c r="P6156">
        <v>91302</v>
      </c>
      <c r="Q6156">
        <v>2612</v>
      </c>
      <c r="R6156" t="s">
        <v>23</v>
      </c>
      <c r="S6156" s="1" t="s">
        <v>34218</v>
      </c>
    </row>
    <row r="6157" spans="1:19" x14ac:dyDescent="0.25">
      <c r="A6157">
        <v>100792522</v>
      </c>
      <c r="B6157" t="s">
        <v>3537</v>
      </c>
      <c r="C6157" t="s">
        <v>3606</v>
      </c>
      <c r="G6157" t="s">
        <v>14893</v>
      </c>
      <c r="H6157" t="s">
        <v>14894</v>
      </c>
      <c r="I6157" t="s">
        <v>250</v>
      </c>
      <c r="J6157">
        <v>7719</v>
      </c>
      <c r="K6157">
        <v>9458</v>
      </c>
      <c r="L6157" t="s">
        <v>23</v>
      </c>
      <c r="M6157" t="s">
        <v>14893</v>
      </c>
      <c r="N6157" t="s">
        <v>14894</v>
      </c>
      <c r="O6157" t="s">
        <v>250</v>
      </c>
      <c r="P6157">
        <v>7719</v>
      </c>
      <c r="Q6157">
        <v>9458</v>
      </c>
      <c r="R6157" t="s">
        <v>23</v>
      </c>
      <c r="S6157" s="1" t="s">
        <v>34218</v>
      </c>
    </row>
    <row r="6158" spans="1:19" x14ac:dyDescent="0.25">
      <c r="A6158">
        <v>100799972</v>
      </c>
      <c r="B6158" t="s">
        <v>14895</v>
      </c>
      <c r="C6158" t="s">
        <v>1306</v>
      </c>
      <c r="F6158" t="str">
        <f>"6088311232"</f>
        <v>6088311232</v>
      </c>
      <c r="G6158" t="s">
        <v>14896</v>
      </c>
      <c r="H6158" t="s">
        <v>2125</v>
      </c>
      <c r="I6158" t="s">
        <v>100</v>
      </c>
      <c r="J6158">
        <v>53562</v>
      </c>
      <c r="K6158">
        <v>1846</v>
      </c>
      <c r="L6158" t="s">
        <v>23</v>
      </c>
      <c r="M6158" t="s">
        <v>14896</v>
      </c>
      <c r="N6158" t="s">
        <v>2125</v>
      </c>
      <c r="O6158" t="s">
        <v>100</v>
      </c>
      <c r="P6158">
        <v>53562</v>
      </c>
      <c r="Q6158">
        <v>1846</v>
      </c>
      <c r="R6158" t="s">
        <v>23</v>
      </c>
      <c r="S6158" s="1" t="s">
        <v>34218</v>
      </c>
    </row>
    <row r="6159" spans="1:19" x14ac:dyDescent="0.25">
      <c r="A6159">
        <v>100799930</v>
      </c>
      <c r="B6159" t="s">
        <v>14897</v>
      </c>
      <c r="C6159" t="s">
        <v>1533</v>
      </c>
      <c r="G6159" t="s">
        <v>14898</v>
      </c>
      <c r="H6159" t="s">
        <v>8675</v>
      </c>
      <c r="I6159" t="s">
        <v>33</v>
      </c>
      <c r="J6159">
        <v>18034</v>
      </c>
      <c r="K6159">
        <v>9797</v>
      </c>
      <c r="L6159" t="s">
        <v>23</v>
      </c>
      <c r="M6159" t="s">
        <v>14898</v>
      </c>
      <c r="N6159" t="s">
        <v>8675</v>
      </c>
      <c r="O6159" t="s">
        <v>33</v>
      </c>
      <c r="P6159">
        <v>18034</v>
      </c>
      <c r="Q6159">
        <v>9797</v>
      </c>
      <c r="R6159" t="s">
        <v>23</v>
      </c>
      <c r="S6159" s="1" t="s">
        <v>34218</v>
      </c>
    </row>
    <row r="6160" spans="1:19" x14ac:dyDescent="0.25">
      <c r="A6160">
        <v>100803024</v>
      </c>
      <c r="B6160" t="s">
        <v>14899</v>
      </c>
      <c r="C6160" t="s">
        <v>7521</v>
      </c>
      <c r="F6160" t="str">
        <f>"6237489745"</f>
        <v>6237489745</v>
      </c>
      <c r="G6160" t="s">
        <v>14900</v>
      </c>
      <c r="H6160" t="s">
        <v>9485</v>
      </c>
      <c r="I6160" t="s">
        <v>365</v>
      </c>
      <c r="J6160">
        <v>85375</v>
      </c>
      <c r="K6160">
        <v>4552</v>
      </c>
      <c r="L6160" t="s">
        <v>23</v>
      </c>
      <c r="M6160" t="s">
        <v>14900</v>
      </c>
      <c r="N6160" t="s">
        <v>9485</v>
      </c>
      <c r="O6160" t="s">
        <v>365</v>
      </c>
      <c r="P6160">
        <v>85375</v>
      </c>
      <c r="Q6160">
        <v>4552</v>
      </c>
      <c r="R6160" t="s">
        <v>23</v>
      </c>
      <c r="S6160" s="1" t="s">
        <v>34218</v>
      </c>
    </row>
    <row r="6161" spans="1:19" x14ac:dyDescent="0.25">
      <c r="A6161">
        <v>100801206</v>
      </c>
      <c r="B6161" t="s">
        <v>3494</v>
      </c>
      <c r="C6161" t="s">
        <v>14901</v>
      </c>
      <c r="G6161" t="s">
        <v>14902</v>
      </c>
      <c r="H6161" t="s">
        <v>3105</v>
      </c>
      <c r="I6161" t="s">
        <v>84</v>
      </c>
      <c r="J6161">
        <v>98337</v>
      </c>
      <c r="K6161">
        <v>1356</v>
      </c>
      <c r="L6161" t="s">
        <v>23</v>
      </c>
      <c r="M6161" t="s">
        <v>14902</v>
      </c>
      <c r="N6161" t="s">
        <v>3105</v>
      </c>
      <c r="O6161" t="s">
        <v>84</v>
      </c>
      <c r="P6161">
        <v>98337</v>
      </c>
      <c r="Q6161">
        <v>1356</v>
      </c>
      <c r="R6161" t="s">
        <v>23</v>
      </c>
      <c r="S6161" s="1" t="s">
        <v>34218</v>
      </c>
    </row>
    <row r="6162" spans="1:19" x14ac:dyDescent="0.25">
      <c r="A6162">
        <v>100807062</v>
      </c>
      <c r="B6162" t="s">
        <v>14239</v>
      </c>
      <c r="C6162" t="s">
        <v>14903</v>
      </c>
      <c r="G6162" t="s">
        <v>14904</v>
      </c>
      <c r="H6162" t="s">
        <v>7195</v>
      </c>
      <c r="I6162" t="s">
        <v>178</v>
      </c>
      <c r="J6162">
        <v>43302</v>
      </c>
      <c r="K6162">
        <v>5213</v>
      </c>
      <c r="L6162" t="s">
        <v>23</v>
      </c>
      <c r="M6162" t="s">
        <v>14904</v>
      </c>
      <c r="N6162" t="s">
        <v>7195</v>
      </c>
      <c r="O6162" t="s">
        <v>178</v>
      </c>
      <c r="P6162">
        <v>43302</v>
      </c>
      <c r="Q6162">
        <v>5213</v>
      </c>
      <c r="R6162" t="s">
        <v>23</v>
      </c>
      <c r="S6162" s="1" t="s">
        <v>34218</v>
      </c>
    </row>
    <row r="6163" spans="1:19" x14ac:dyDescent="0.25">
      <c r="A6163">
        <v>100804261</v>
      </c>
      <c r="B6163" t="s">
        <v>14905</v>
      </c>
      <c r="C6163" t="s">
        <v>1598</v>
      </c>
      <c r="G6163" t="s">
        <v>14906</v>
      </c>
      <c r="H6163" t="s">
        <v>14907</v>
      </c>
      <c r="I6163" t="s">
        <v>348</v>
      </c>
      <c r="J6163">
        <v>83854</v>
      </c>
      <c r="K6163">
        <v>5863</v>
      </c>
      <c r="L6163" t="s">
        <v>23</v>
      </c>
      <c r="M6163" t="s">
        <v>14906</v>
      </c>
      <c r="N6163" t="s">
        <v>14907</v>
      </c>
      <c r="O6163" t="s">
        <v>348</v>
      </c>
      <c r="P6163">
        <v>83854</v>
      </c>
      <c r="Q6163">
        <v>5863</v>
      </c>
      <c r="R6163" t="s">
        <v>23</v>
      </c>
      <c r="S6163" s="1" t="s">
        <v>34218</v>
      </c>
    </row>
    <row r="6164" spans="1:19" x14ac:dyDescent="0.25">
      <c r="A6164">
        <v>100805300</v>
      </c>
      <c r="B6164" t="s">
        <v>14908</v>
      </c>
      <c r="C6164" t="s">
        <v>305</v>
      </c>
      <c r="G6164" t="s">
        <v>14909</v>
      </c>
      <c r="H6164" t="s">
        <v>8089</v>
      </c>
      <c r="I6164" t="s">
        <v>117</v>
      </c>
      <c r="J6164">
        <v>11746</v>
      </c>
      <c r="K6164">
        <v>1035</v>
      </c>
      <c r="L6164" t="s">
        <v>23</v>
      </c>
      <c r="M6164" t="s">
        <v>14909</v>
      </c>
      <c r="N6164" t="s">
        <v>8089</v>
      </c>
      <c r="O6164" t="s">
        <v>117</v>
      </c>
      <c r="P6164">
        <v>11746</v>
      </c>
      <c r="Q6164">
        <v>1035</v>
      </c>
      <c r="R6164" t="s">
        <v>23</v>
      </c>
      <c r="S6164" s="1" t="s">
        <v>34218</v>
      </c>
    </row>
    <row r="6165" spans="1:19" x14ac:dyDescent="0.25">
      <c r="A6165">
        <v>100807402</v>
      </c>
      <c r="B6165" t="s">
        <v>232</v>
      </c>
      <c r="C6165" t="s">
        <v>6917</v>
      </c>
      <c r="G6165" t="s">
        <v>14910</v>
      </c>
      <c r="H6165" t="s">
        <v>88</v>
      </c>
      <c r="I6165" t="s">
        <v>22</v>
      </c>
      <c r="J6165">
        <v>94618</v>
      </c>
      <c r="K6165">
        <v>1948</v>
      </c>
      <c r="L6165" t="s">
        <v>23</v>
      </c>
      <c r="M6165" t="s">
        <v>14910</v>
      </c>
      <c r="N6165" t="s">
        <v>88</v>
      </c>
      <c r="O6165" t="s">
        <v>22</v>
      </c>
      <c r="P6165">
        <v>94618</v>
      </c>
      <c r="Q6165">
        <v>1948</v>
      </c>
      <c r="R6165" t="s">
        <v>23</v>
      </c>
      <c r="S6165" s="1" t="s">
        <v>34218</v>
      </c>
    </row>
    <row r="6166" spans="1:19" x14ac:dyDescent="0.25">
      <c r="A6166">
        <v>101108137</v>
      </c>
      <c r="B6166" t="s">
        <v>14911</v>
      </c>
      <c r="C6166" t="s">
        <v>274</v>
      </c>
      <c r="G6166" t="s">
        <v>14912</v>
      </c>
      <c r="H6166" t="s">
        <v>1214</v>
      </c>
      <c r="I6166" t="s">
        <v>140</v>
      </c>
      <c r="J6166">
        <v>48312</v>
      </c>
      <c r="K6166">
        <v>3766</v>
      </c>
      <c r="L6166" t="s">
        <v>23</v>
      </c>
      <c r="M6166" t="s">
        <v>14912</v>
      </c>
      <c r="N6166" t="s">
        <v>1214</v>
      </c>
      <c r="O6166" t="s">
        <v>140</v>
      </c>
      <c r="P6166">
        <v>48312</v>
      </c>
      <c r="Q6166">
        <v>3766</v>
      </c>
      <c r="R6166" t="s">
        <v>23</v>
      </c>
      <c r="S6166" s="1" t="s">
        <v>34218</v>
      </c>
    </row>
    <row r="6167" spans="1:19" x14ac:dyDescent="0.25">
      <c r="A6167">
        <v>101106822</v>
      </c>
      <c r="B6167" t="s">
        <v>14913</v>
      </c>
      <c r="C6167" t="s">
        <v>1036</v>
      </c>
      <c r="F6167" t="str">
        <f>"7035210174"</f>
        <v>7035210174</v>
      </c>
      <c r="G6167" t="s">
        <v>14914</v>
      </c>
      <c r="H6167" t="s">
        <v>1748</v>
      </c>
      <c r="I6167" t="s">
        <v>255</v>
      </c>
      <c r="J6167">
        <v>22204</v>
      </c>
      <c r="K6167">
        <v>6220</v>
      </c>
      <c r="L6167" t="s">
        <v>23</v>
      </c>
      <c r="M6167" t="s">
        <v>14914</v>
      </c>
      <c r="N6167" t="s">
        <v>1748</v>
      </c>
      <c r="O6167" t="s">
        <v>255</v>
      </c>
      <c r="P6167">
        <v>22204</v>
      </c>
      <c r="Q6167">
        <v>6220</v>
      </c>
      <c r="R6167" t="s">
        <v>23</v>
      </c>
      <c r="S6167" s="1" t="s">
        <v>34218</v>
      </c>
    </row>
    <row r="6168" spans="1:19" x14ac:dyDescent="0.25">
      <c r="A6168">
        <v>101105690</v>
      </c>
      <c r="B6168" t="s">
        <v>6546</v>
      </c>
      <c r="C6168" t="s">
        <v>699</v>
      </c>
      <c r="G6168" t="s">
        <v>14915</v>
      </c>
      <c r="H6168" t="s">
        <v>14916</v>
      </c>
      <c r="I6168" t="s">
        <v>255</v>
      </c>
      <c r="J6168">
        <v>23901</v>
      </c>
      <c r="K6168">
        <v>4502</v>
      </c>
      <c r="L6168" t="s">
        <v>23</v>
      </c>
      <c r="M6168" t="s">
        <v>14915</v>
      </c>
      <c r="N6168" t="s">
        <v>14916</v>
      </c>
      <c r="O6168" t="s">
        <v>255</v>
      </c>
      <c r="P6168">
        <v>23901</v>
      </c>
      <c r="Q6168">
        <v>4502</v>
      </c>
      <c r="R6168" t="s">
        <v>23</v>
      </c>
      <c r="S6168" s="1" t="s">
        <v>34218</v>
      </c>
    </row>
    <row r="6169" spans="1:19" x14ac:dyDescent="0.25">
      <c r="A6169">
        <v>101104850</v>
      </c>
      <c r="B6169" t="s">
        <v>14917</v>
      </c>
      <c r="C6169" t="s">
        <v>158</v>
      </c>
      <c r="G6169" t="s">
        <v>14918</v>
      </c>
      <c r="H6169" t="s">
        <v>14919</v>
      </c>
      <c r="I6169" t="s">
        <v>22</v>
      </c>
      <c r="J6169">
        <v>91344</v>
      </c>
      <c r="K6169">
        <v>2857</v>
      </c>
      <c r="L6169" t="s">
        <v>23</v>
      </c>
      <c r="M6169" t="s">
        <v>14918</v>
      </c>
      <c r="N6169" t="s">
        <v>14919</v>
      </c>
      <c r="O6169" t="s">
        <v>22</v>
      </c>
      <c r="P6169">
        <v>91344</v>
      </c>
      <c r="Q6169">
        <v>2857</v>
      </c>
      <c r="R6169" t="s">
        <v>23</v>
      </c>
      <c r="S6169" s="1" t="s">
        <v>34218</v>
      </c>
    </row>
    <row r="6170" spans="1:19" x14ac:dyDescent="0.25">
      <c r="A6170">
        <v>101103749</v>
      </c>
      <c r="B6170" t="s">
        <v>14920</v>
      </c>
      <c r="C6170" t="s">
        <v>1374</v>
      </c>
      <c r="G6170" t="s">
        <v>14921</v>
      </c>
      <c r="H6170" t="s">
        <v>6813</v>
      </c>
      <c r="I6170" t="s">
        <v>135</v>
      </c>
      <c r="J6170">
        <v>60440</v>
      </c>
      <c r="K6170">
        <v>6122</v>
      </c>
      <c r="L6170" t="s">
        <v>23</v>
      </c>
      <c r="M6170" t="s">
        <v>14921</v>
      </c>
      <c r="N6170" t="s">
        <v>6813</v>
      </c>
      <c r="O6170" t="s">
        <v>135</v>
      </c>
      <c r="P6170">
        <v>60440</v>
      </c>
      <c r="Q6170">
        <v>6122</v>
      </c>
      <c r="R6170" t="s">
        <v>23</v>
      </c>
      <c r="S6170" s="1" t="s">
        <v>34218</v>
      </c>
    </row>
    <row r="6171" spans="1:19" x14ac:dyDescent="0.25">
      <c r="A6171">
        <v>101111942</v>
      </c>
      <c r="B6171" t="s">
        <v>4984</v>
      </c>
      <c r="C6171" t="s">
        <v>11182</v>
      </c>
      <c r="F6171" t="str">
        <f>"5033484356"</f>
        <v>5033484356</v>
      </c>
      <c r="G6171" t="s">
        <v>14922</v>
      </c>
      <c r="H6171" t="s">
        <v>4172</v>
      </c>
      <c r="I6171" t="s">
        <v>43</v>
      </c>
      <c r="J6171">
        <v>97132</v>
      </c>
      <c r="K6171">
        <v>6583</v>
      </c>
      <c r="L6171" t="s">
        <v>23</v>
      </c>
      <c r="M6171" t="s">
        <v>14922</v>
      </c>
      <c r="N6171" t="s">
        <v>4172</v>
      </c>
      <c r="O6171" t="s">
        <v>43</v>
      </c>
      <c r="P6171">
        <v>97132</v>
      </c>
      <c r="Q6171">
        <v>6583</v>
      </c>
      <c r="R6171" t="s">
        <v>23</v>
      </c>
      <c r="S6171" s="1" t="s">
        <v>34218</v>
      </c>
    </row>
    <row r="6172" spans="1:19" x14ac:dyDescent="0.25">
      <c r="A6172">
        <v>101114535</v>
      </c>
      <c r="B6172" t="s">
        <v>14923</v>
      </c>
      <c r="C6172" t="s">
        <v>102</v>
      </c>
      <c r="G6172" t="s">
        <v>14924</v>
      </c>
      <c r="H6172" t="s">
        <v>14925</v>
      </c>
      <c r="I6172" t="s">
        <v>161</v>
      </c>
      <c r="J6172">
        <v>6417</v>
      </c>
      <c r="K6172">
        <v>1932</v>
      </c>
      <c r="L6172" t="s">
        <v>23</v>
      </c>
      <c r="M6172" t="s">
        <v>14924</v>
      </c>
      <c r="N6172" t="s">
        <v>14925</v>
      </c>
      <c r="O6172" t="s">
        <v>161</v>
      </c>
      <c r="P6172">
        <v>6417</v>
      </c>
      <c r="Q6172">
        <v>1932</v>
      </c>
      <c r="R6172" t="s">
        <v>23</v>
      </c>
      <c r="S6172" s="1" t="s">
        <v>34218</v>
      </c>
    </row>
    <row r="6173" spans="1:19" x14ac:dyDescent="0.25">
      <c r="A6173">
        <v>101116403</v>
      </c>
      <c r="B6173" t="s">
        <v>14926</v>
      </c>
      <c r="C6173" t="s">
        <v>132</v>
      </c>
      <c r="G6173" t="s">
        <v>14927</v>
      </c>
      <c r="H6173" t="s">
        <v>3211</v>
      </c>
      <c r="I6173" t="s">
        <v>250</v>
      </c>
      <c r="J6173">
        <v>7960</v>
      </c>
      <c r="K6173">
        <v>5057</v>
      </c>
      <c r="L6173" t="s">
        <v>23</v>
      </c>
      <c r="M6173" t="s">
        <v>14927</v>
      </c>
      <c r="N6173" t="s">
        <v>3211</v>
      </c>
      <c r="O6173" t="s">
        <v>250</v>
      </c>
      <c r="P6173">
        <v>7960</v>
      </c>
      <c r="Q6173">
        <v>5057</v>
      </c>
      <c r="R6173" t="s">
        <v>23</v>
      </c>
      <c r="S6173" s="1" t="s">
        <v>34218</v>
      </c>
    </row>
    <row r="6174" spans="1:19" x14ac:dyDescent="0.25">
      <c r="A6174">
        <v>101117868</v>
      </c>
      <c r="B6174" t="s">
        <v>3696</v>
      </c>
      <c r="C6174" t="s">
        <v>14928</v>
      </c>
      <c r="G6174" t="s">
        <v>14929</v>
      </c>
      <c r="H6174" t="s">
        <v>2391</v>
      </c>
      <c r="I6174" t="s">
        <v>43</v>
      </c>
      <c r="J6174">
        <v>97702</v>
      </c>
      <c r="K6174">
        <v>3679</v>
      </c>
      <c r="L6174" t="s">
        <v>23</v>
      </c>
      <c r="M6174" t="s">
        <v>14929</v>
      </c>
      <c r="N6174" t="s">
        <v>2391</v>
      </c>
      <c r="O6174" t="s">
        <v>43</v>
      </c>
      <c r="P6174">
        <v>97702</v>
      </c>
      <c r="Q6174">
        <v>3679</v>
      </c>
      <c r="R6174" t="s">
        <v>23</v>
      </c>
      <c r="S6174" s="1" t="s">
        <v>34218</v>
      </c>
    </row>
    <row r="6175" spans="1:19" x14ac:dyDescent="0.25">
      <c r="A6175">
        <v>101119762</v>
      </c>
      <c r="B6175" t="s">
        <v>14930</v>
      </c>
      <c r="C6175" t="s">
        <v>543</v>
      </c>
      <c r="F6175" t="str">
        <f>"2628957727"</f>
        <v>2628957727</v>
      </c>
      <c r="G6175" t="s">
        <v>14931</v>
      </c>
      <c r="H6175" t="s">
        <v>1126</v>
      </c>
      <c r="I6175" t="s">
        <v>100</v>
      </c>
      <c r="J6175">
        <v>53185</v>
      </c>
      <c r="K6175">
        <v>2008</v>
      </c>
      <c r="L6175" t="s">
        <v>23</v>
      </c>
      <c r="M6175" t="s">
        <v>14931</v>
      </c>
      <c r="N6175" t="s">
        <v>1126</v>
      </c>
      <c r="O6175" t="s">
        <v>100</v>
      </c>
      <c r="P6175">
        <v>53185</v>
      </c>
      <c r="Q6175">
        <v>2008</v>
      </c>
      <c r="R6175" t="s">
        <v>23</v>
      </c>
      <c r="S6175" s="1" t="s">
        <v>34218</v>
      </c>
    </row>
    <row r="6176" spans="1:19" x14ac:dyDescent="0.25">
      <c r="A6176">
        <v>101345688</v>
      </c>
      <c r="B6176" t="s">
        <v>7177</v>
      </c>
      <c r="C6176" t="s">
        <v>1327</v>
      </c>
      <c r="G6176" t="s">
        <v>14932</v>
      </c>
      <c r="H6176" t="s">
        <v>14933</v>
      </c>
      <c r="I6176" t="s">
        <v>22</v>
      </c>
      <c r="J6176">
        <v>92563</v>
      </c>
      <c r="K6176">
        <v>5716</v>
      </c>
      <c r="L6176" t="s">
        <v>23</v>
      </c>
      <c r="M6176" t="s">
        <v>14932</v>
      </c>
      <c r="N6176" t="s">
        <v>14933</v>
      </c>
      <c r="O6176" t="s">
        <v>22</v>
      </c>
      <c r="P6176">
        <v>92563</v>
      </c>
      <c r="Q6176">
        <v>5716</v>
      </c>
      <c r="R6176" t="s">
        <v>23</v>
      </c>
      <c r="S6176" s="1" t="s">
        <v>34218</v>
      </c>
    </row>
    <row r="6177" spans="1:19" x14ac:dyDescent="0.25">
      <c r="A6177">
        <v>101347370</v>
      </c>
      <c r="B6177" t="s">
        <v>14934</v>
      </c>
      <c r="C6177" t="s">
        <v>180</v>
      </c>
      <c r="G6177" t="s">
        <v>14935</v>
      </c>
      <c r="H6177" t="s">
        <v>1877</v>
      </c>
      <c r="I6177" t="s">
        <v>43</v>
      </c>
      <c r="J6177">
        <v>97301</v>
      </c>
      <c r="K6177">
        <v>9603</v>
      </c>
      <c r="L6177" t="s">
        <v>23</v>
      </c>
      <c r="M6177" t="s">
        <v>14935</v>
      </c>
      <c r="N6177" t="s">
        <v>1877</v>
      </c>
      <c r="O6177" t="s">
        <v>43</v>
      </c>
      <c r="P6177">
        <v>97301</v>
      </c>
      <c r="Q6177">
        <v>9603</v>
      </c>
      <c r="R6177" t="s">
        <v>23</v>
      </c>
      <c r="S6177" s="1" t="s">
        <v>34218</v>
      </c>
    </row>
    <row r="6178" spans="1:19" x14ac:dyDescent="0.25">
      <c r="A6178">
        <v>101345841</v>
      </c>
      <c r="B6178" t="s">
        <v>14936</v>
      </c>
      <c r="C6178" t="s">
        <v>846</v>
      </c>
      <c r="G6178" t="s">
        <v>14937</v>
      </c>
      <c r="H6178" t="s">
        <v>364</v>
      </c>
      <c r="I6178" t="s">
        <v>365</v>
      </c>
      <c r="J6178">
        <v>86314</v>
      </c>
      <c r="K6178">
        <v>8517</v>
      </c>
      <c r="L6178" t="s">
        <v>23</v>
      </c>
      <c r="M6178" t="s">
        <v>14937</v>
      </c>
      <c r="N6178" t="s">
        <v>364</v>
      </c>
      <c r="O6178" t="s">
        <v>365</v>
      </c>
      <c r="P6178">
        <v>86314</v>
      </c>
      <c r="Q6178">
        <v>8517</v>
      </c>
      <c r="R6178" t="s">
        <v>23</v>
      </c>
      <c r="S6178" s="1" t="s">
        <v>34218</v>
      </c>
    </row>
    <row r="6179" spans="1:19" x14ac:dyDescent="0.25">
      <c r="A6179">
        <v>101353167</v>
      </c>
      <c r="B6179" t="s">
        <v>14938</v>
      </c>
      <c r="C6179" t="s">
        <v>45</v>
      </c>
      <c r="F6179" t="str">
        <f>"7077922303"</f>
        <v>7077922303</v>
      </c>
      <c r="G6179" t="s">
        <v>14939</v>
      </c>
      <c r="H6179" t="s">
        <v>8432</v>
      </c>
      <c r="I6179" t="s">
        <v>22</v>
      </c>
      <c r="J6179">
        <v>94931</v>
      </c>
      <c r="K6179">
        <v>892</v>
      </c>
      <c r="L6179" t="s">
        <v>23</v>
      </c>
      <c r="M6179" t="s">
        <v>14939</v>
      </c>
      <c r="N6179" t="s">
        <v>8432</v>
      </c>
      <c r="O6179" t="s">
        <v>22</v>
      </c>
      <c r="P6179">
        <v>94931</v>
      </c>
      <c r="Q6179">
        <v>892</v>
      </c>
      <c r="R6179" t="s">
        <v>23</v>
      </c>
      <c r="S6179" s="1" t="s">
        <v>34218</v>
      </c>
    </row>
    <row r="6180" spans="1:19" x14ac:dyDescent="0.25">
      <c r="A6180">
        <v>101360907</v>
      </c>
      <c r="B6180" t="s">
        <v>14940</v>
      </c>
      <c r="C6180" t="s">
        <v>3817</v>
      </c>
      <c r="G6180" t="s">
        <v>14941</v>
      </c>
      <c r="H6180" t="s">
        <v>134</v>
      </c>
      <c r="I6180" t="s">
        <v>135</v>
      </c>
      <c r="J6180">
        <v>60625</v>
      </c>
      <c r="K6180">
        <v>2604</v>
      </c>
      <c r="L6180" t="s">
        <v>23</v>
      </c>
      <c r="M6180" t="s">
        <v>14941</v>
      </c>
      <c r="N6180" t="s">
        <v>134</v>
      </c>
      <c r="O6180" t="s">
        <v>135</v>
      </c>
      <c r="P6180">
        <v>60625</v>
      </c>
      <c r="Q6180">
        <v>2604</v>
      </c>
      <c r="R6180" t="s">
        <v>23</v>
      </c>
      <c r="S6180" s="1" t="s">
        <v>34218</v>
      </c>
    </row>
    <row r="6181" spans="1:19" x14ac:dyDescent="0.25">
      <c r="A6181">
        <v>100788321</v>
      </c>
      <c r="B6181" t="s">
        <v>14942</v>
      </c>
      <c r="C6181" t="s">
        <v>382</v>
      </c>
      <c r="G6181" t="s">
        <v>14943</v>
      </c>
      <c r="H6181" t="s">
        <v>75</v>
      </c>
      <c r="I6181" t="s">
        <v>22</v>
      </c>
      <c r="J6181">
        <v>94558</v>
      </c>
      <c r="K6181">
        <v>9622</v>
      </c>
      <c r="L6181" t="s">
        <v>23</v>
      </c>
      <c r="M6181" t="s">
        <v>14943</v>
      </c>
      <c r="N6181" t="s">
        <v>75</v>
      </c>
      <c r="O6181" t="s">
        <v>22</v>
      </c>
      <c r="P6181">
        <v>94558</v>
      </c>
      <c r="Q6181">
        <v>9622</v>
      </c>
      <c r="R6181" t="s">
        <v>23</v>
      </c>
      <c r="S6181" s="1" t="s">
        <v>34218</v>
      </c>
    </row>
    <row r="6182" spans="1:19" x14ac:dyDescent="0.25">
      <c r="A6182">
        <v>100962852</v>
      </c>
      <c r="B6182" t="s">
        <v>14944</v>
      </c>
      <c r="C6182" t="s">
        <v>14660</v>
      </c>
      <c r="G6182" t="s">
        <v>14945</v>
      </c>
      <c r="H6182" t="s">
        <v>14946</v>
      </c>
      <c r="I6182" t="s">
        <v>365</v>
      </c>
      <c r="J6182">
        <v>86335</v>
      </c>
      <c r="K6182">
        <v>5635</v>
      </c>
      <c r="L6182" t="s">
        <v>23</v>
      </c>
      <c r="M6182" t="s">
        <v>14945</v>
      </c>
      <c r="N6182" t="s">
        <v>14946</v>
      </c>
      <c r="O6182" t="s">
        <v>365</v>
      </c>
      <c r="P6182">
        <v>86335</v>
      </c>
      <c r="Q6182">
        <v>5635</v>
      </c>
      <c r="R6182" t="s">
        <v>23</v>
      </c>
      <c r="S6182" s="1" t="s">
        <v>34218</v>
      </c>
    </row>
    <row r="6183" spans="1:19" x14ac:dyDescent="0.25">
      <c r="A6183">
        <v>100968349</v>
      </c>
      <c r="B6183" t="s">
        <v>14947</v>
      </c>
      <c r="C6183" t="s">
        <v>10366</v>
      </c>
      <c r="G6183" t="s">
        <v>14948</v>
      </c>
      <c r="H6183" t="s">
        <v>855</v>
      </c>
      <c r="I6183" t="s">
        <v>84</v>
      </c>
      <c r="J6183">
        <v>98368</v>
      </c>
      <c r="K6183">
        <v>639</v>
      </c>
      <c r="L6183" t="s">
        <v>23</v>
      </c>
      <c r="M6183" t="s">
        <v>14948</v>
      </c>
      <c r="N6183" t="s">
        <v>855</v>
      </c>
      <c r="O6183" t="s">
        <v>84</v>
      </c>
      <c r="P6183">
        <v>98368</v>
      </c>
      <c r="Q6183">
        <v>639</v>
      </c>
      <c r="R6183" t="s">
        <v>23</v>
      </c>
      <c r="S6183" s="1" t="s">
        <v>34218</v>
      </c>
    </row>
    <row r="6184" spans="1:19" x14ac:dyDescent="0.25">
      <c r="A6184">
        <v>100978392</v>
      </c>
      <c r="B6184" t="s">
        <v>14949</v>
      </c>
      <c r="C6184" t="s">
        <v>579</v>
      </c>
      <c r="G6184" t="s">
        <v>14950</v>
      </c>
      <c r="H6184" t="s">
        <v>11381</v>
      </c>
      <c r="I6184" t="s">
        <v>100</v>
      </c>
      <c r="J6184">
        <v>53076</v>
      </c>
      <c r="K6184">
        <v>9609</v>
      </c>
      <c r="L6184" t="s">
        <v>23</v>
      </c>
      <c r="M6184" t="s">
        <v>14950</v>
      </c>
      <c r="N6184" t="s">
        <v>11381</v>
      </c>
      <c r="O6184" t="s">
        <v>100</v>
      </c>
      <c r="P6184">
        <v>53076</v>
      </c>
      <c r="Q6184">
        <v>9609</v>
      </c>
      <c r="R6184" t="s">
        <v>23</v>
      </c>
      <c r="S6184" s="1" t="s">
        <v>34218</v>
      </c>
    </row>
    <row r="6185" spans="1:19" x14ac:dyDescent="0.25">
      <c r="A6185">
        <v>100973246</v>
      </c>
      <c r="B6185" t="s">
        <v>14951</v>
      </c>
      <c r="C6185" t="s">
        <v>535</v>
      </c>
      <c r="G6185" t="s">
        <v>14952</v>
      </c>
      <c r="H6185" t="s">
        <v>653</v>
      </c>
      <c r="I6185" t="s">
        <v>117</v>
      </c>
      <c r="J6185">
        <v>10019</v>
      </c>
      <c r="K6185">
        <v>6461</v>
      </c>
      <c r="L6185" t="s">
        <v>23</v>
      </c>
      <c r="M6185" t="s">
        <v>14952</v>
      </c>
      <c r="N6185" t="s">
        <v>653</v>
      </c>
      <c r="O6185" t="s">
        <v>117</v>
      </c>
      <c r="P6185">
        <v>10019</v>
      </c>
      <c r="Q6185">
        <v>6461</v>
      </c>
      <c r="R6185" t="s">
        <v>23</v>
      </c>
      <c r="S6185" s="1" t="s">
        <v>34218</v>
      </c>
    </row>
    <row r="6186" spans="1:19" x14ac:dyDescent="0.25">
      <c r="A6186">
        <v>100983896</v>
      </c>
      <c r="B6186" t="s">
        <v>14953</v>
      </c>
      <c r="C6186" t="s">
        <v>2127</v>
      </c>
      <c r="G6186" t="s">
        <v>14954</v>
      </c>
      <c r="H6186" t="s">
        <v>1671</v>
      </c>
      <c r="I6186" t="s">
        <v>2537</v>
      </c>
      <c r="J6186">
        <v>72002</v>
      </c>
      <c r="K6186">
        <v>1807</v>
      </c>
      <c r="L6186" t="s">
        <v>23</v>
      </c>
      <c r="M6186" t="s">
        <v>14954</v>
      </c>
      <c r="N6186" t="s">
        <v>1671</v>
      </c>
      <c r="O6186" t="s">
        <v>2537</v>
      </c>
      <c r="P6186">
        <v>72002</v>
      </c>
      <c r="Q6186">
        <v>1807</v>
      </c>
      <c r="R6186" t="s">
        <v>23</v>
      </c>
      <c r="S6186" s="1" t="s">
        <v>34218</v>
      </c>
    </row>
    <row r="6187" spans="1:19" x14ac:dyDescent="0.25">
      <c r="A6187">
        <v>100983388</v>
      </c>
      <c r="B6187" t="s">
        <v>14955</v>
      </c>
      <c r="C6187" t="s">
        <v>14956</v>
      </c>
      <c r="G6187" t="s">
        <v>14957</v>
      </c>
      <c r="H6187" t="s">
        <v>423</v>
      </c>
      <c r="I6187" t="s">
        <v>71</v>
      </c>
      <c r="J6187">
        <v>80301</v>
      </c>
      <c r="K6187">
        <v>2144</v>
      </c>
      <c r="L6187" t="s">
        <v>23</v>
      </c>
      <c r="M6187" t="s">
        <v>14957</v>
      </c>
      <c r="N6187" t="s">
        <v>423</v>
      </c>
      <c r="O6187" t="s">
        <v>71</v>
      </c>
      <c r="P6187">
        <v>80301</v>
      </c>
      <c r="Q6187">
        <v>2144</v>
      </c>
      <c r="R6187" t="s">
        <v>23</v>
      </c>
      <c r="S6187" s="1" t="s">
        <v>34218</v>
      </c>
    </row>
    <row r="6188" spans="1:19" x14ac:dyDescent="0.25">
      <c r="A6188">
        <v>100985747</v>
      </c>
      <c r="B6188" t="s">
        <v>14958</v>
      </c>
      <c r="C6188" t="s">
        <v>266</v>
      </c>
      <c r="G6188" t="s">
        <v>14959</v>
      </c>
      <c r="H6188" t="s">
        <v>14960</v>
      </c>
      <c r="I6188" t="s">
        <v>57</v>
      </c>
      <c r="J6188">
        <v>46996</v>
      </c>
      <c r="K6188">
        <v>1527</v>
      </c>
      <c r="L6188" t="s">
        <v>23</v>
      </c>
      <c r="M6188" t="s">
        <v>14959</v>
      </c>
      <c r="N6188" t="s">
        <v>14960</v>
      </c>
      <c r="O6188" t="s">
        <v>57</v>
      </c>
      <c r="P6188">
        <v>46996</v>
      </c>
      <c r="Q6188">
        <v>1527</v>
      </c>
      <c r="R6188" t="s">
        <v>23</v>
      </c>
      <c r="S6188" s="1" t="s">
        <v>34218</v>
      </c>
    </row>
    <row r="6189" spans="1:19" x14ac:dyDescent="0.25">
      <c r="A6189">
        <v>100988649</v>
      </c>
      <c r="B6189" t="s">
        <v>14961</v>
      </c>
      <c r="C6189" t="s">
        <v>1506</v>
      </c>
      <c r="G6189" t="s">
        <v>14962</v>
      </c>
      <c r="H6189" t="s">
        <v>1508</v>
      </c>
      <c r="I6189" t="s">
        <v>84</v>
      </c>
      <c r="J6189">
        <v>98026</v>
      </c>
      <c r="K6189">
        <v>5334</v>
      </c>
      <c r="L6189" t="s">
        <v>23</v>
      </c>
      <c r="M6189" t="s">
        <v>14962</v>
      </c>
      <c r="N6189" t="s">
        <v>1508</v>
      </c>
      <c r="O6189" t="s">
        <v>84</v>
      </c>
      <c r="P6189">
        <v>98026</v>
      </c>
      <c r="Q6189">
        <v>5334</v>
      </c>
      <c r="R6189" t="s">
        <v>23</v>
      </c>
      <c r="S6189" s="1" t="s">
        <v>34218</v>
      </c>
    </row>
    <row r="6190" spans="1:19" x14ac:dyDescent="0.25">
      <c r="A6190">
        <v>100989459</v>
      </c>
      <c r="B6190" t="s">
        <v>14963</v>
      </c>
      <c r="C6190" t="s">
        <v>30</v>
      </c>
      <c r="G6190" t="s">
        <v>14964</v>
      </c>
      <c r="H6190" t="s">
        <v>9575</v>
      </c>
      <c r="I6190" t="s">
        <v>84</v>
      </c>
      <c r="J6190">
        <v>99362</v>
      </c>
      <c r="K6190">
        <v>1311</v>
      </c>
      <c r="L6190" t="s">
        <v>23</v>
      </c>
      <c r="M6190" t="s">
        <v>14964</v>
      </c>
      <c r="N6190" t="s">
        <v>9575</v>
      </c>
      <c r="O6190" t="s">
        <v>84</v>
      </c>
      <c r="P6190">
        <v>99362</v>
      </c>
      <c r="Q6190">
        <v>1311</v>
      </c>
      <c r="R6190" t="s">
        <v>23</v>
      </c>
      <c r="S6190" s="1" t="s">
        <v>34218</v>
      </c>
    </row>
    <row r="6191" spans="1:19" x14ac:dyDescent="0.25">
      <c r="A6191">
        <v>100982899</v>
      </c>
      <c r="B6191" t="s">
        <v>7013</v>
      </c>
      <c r="C6191" t="s">
        <v>305</v>
      </c>
      <c r="G6191" t="s">
        <v>14965</v>
      </c>
      <c r="H6191" t="s">
        <v>526</v>
      </c>
      <c r="I6191" t="s">
        <v>353</v>
      </c>
      <c r="J6191">
        <v>3755</v>
      </c>
      <c r="K6191">
        <v>3106</v>
      </c>
      <c r="L6191" t="s">
        <v>23</v>
      </c>
      <c r="M6191" t="s">
        <v>14965</v>
      </c>
      <c r="N6191" t="s">
        <v>526</v>
      </c>
      <c r="O6191" t="s">
        <v>353</v>
      </c>
      <c r="P6191">
        <v>3755</v>
      </c>
      <c r="Q6191">
        <v>3106</v>
      </c>
      <c r="R6191" t="s">
        <v>23</v>
      </c>
      <c r="S6191" s="1" t="s">
        <v>34218</v>
      </c>
    </row>
    <row r="6192" spans="1:19" x14ac:dyDescent="0.25">
      <c r="A6192">
        <v>100990043</v>
      </c>
      <c r="B6192" t="s">
        <v>5310</v>
      </c>
      <c r="C6192" t="s">
        <v>2047</v>
      </c>
      <c r="G6192" t="s">
        <v>14966</v>
      </c>
      <c r="H6192" t="s">
        <v>2338</v>
      </c>
      <c r="I6192" t="s">
        <v>22</v>
      </c>
      <c r="J6192">
        <v>93546</v>
      </c>
      <c r="L6192" t="s">
        <v>23</v>
      </c>
      <c r="M6192" t="s">
        <v>14966</v>
      </c>
      <c r="N6192" t="s">
        <v>2338</v>
      </c>
      <c r="O6192" t="s">
        <v>22</v>
      </c>
      <c r="P6192">
        <v>93546</v>
      </c>
      <c r="R6192" t="s">
        <v>23</v>
      </c>
      <c r="S6192" s="1" t="s">
        <v>34218</v>
      </c>
    </row>
    <row r="6193" spans="1:19" x14ac:dyDescent="0.25">
      <c r="A6193">
        <v>101173923</v>
      </c>
      <c r="B6193" t="s">
        <v>14967</v>
      </c>
      <c r="C6193" t="s">
        <v>1153</v>
      </c>
      <c r="G6193" t="s">
        <v>14968</v>
      </c>
      <c r="H6193" t="s">
        <v>7751</v>
      </c>
      <c r="I6193" t="s">
        <v>914</v>
      </c>
      <c r="J6193">
        <v>37130</v>
      </c>
      <c r="K6193">
        <v>4562</v>
      </c>
      <c r="L6193" t="s">
        <v>23</v>
      </c>
      <c r="M6193" t="s">
        <v>14968</v>
      </c>
      <c r="N6193" t="s">
        <v>7751</v>
      </c>
      <c r="O6193" t="s">
        <v>914</v>
      </c>
      <c r="P6193">
        <v>37130</v>
      </c>
      <c r="Q6193">
        <v>4562</v>
      </c>
      <c r="R6193" t="s">
        <v>23</v>
      </c>
      <c r="S6193" s="1" t="s">
        <v>34218</v>
      </c>
    </row>
    <row r="6194" spans="1:19" x14ac:dyDescent="0.25">
      <c r="A6194">
        <v>101180327</v>
      </c>
      <c r="B6194" t="s">
        <v>11361</v>
      </c>
      <c r="C6194" t="s">
        <v>14969</v>
      </c>
      <c r="F6194" t="str">
        <f>"7247768338"</f>
        <v>7247768338</v>
      </c>
      <c r="G6194" t="s">
        <v>14970</v>
      </c>
      <c r="H6194" t="s">
        <v>14971</v>
      </c>
      <c r="I6194" t="s">
        <v>33</v>
      </c>
      <c r="J6194">
        <v>16066</v>
      </c>
      <c r="K6194">
        <v>4240</v>
      </c>
      <c r="L6194" t="s">
        <v>23</v>
      </c>
      <c r="M6194" t="s">
        <v>14970</v>
      </c>
      <c r="N6194" t="s">
        <v>14971</v>
      </c>
      <c r="O6194" t="s">
        <v>33</v>
      </c>
      <c r="P6194">
        <v>16066</v>
      </c>
      <c r="Q6194">
        <v>4240</v>
      </c>
      <c r="R6194" t="s">
        <v>23</v>
      </c>
      <c r="S6194" s="1" t="s">
        <v>34218</v>
      </c>
    </row>
    <row r="6195" spans="1:19" x14ac:dyDescent="0.25">
      <c r="A6195">
        <v>100807582</v>
      </c>
      <c r="B6195" t="s">
        <v>5255</v>
      </c>
      <c r="C6195" t="s">
        <v>274</v>
      </c>
      <c r="G6195" t="s">
        <v>14972</v>
      </c>
      <c r="H6195" t="s">
        <v>14973</v>
      </c>
      <c r="I6195" t="s">
        <v>62</v>
      </c>
      <c r="J6195">
        <v>74604</v>
      </c>
      <c r="K6195">
        <v>3906</v>
      </c>
      <c r="L6195" t="s">
        <v>23</v>
      </c>
      <c r="M6195" t="s">
        <v>14972</v>
      </c>
      <c r="N6195" t="s">
        <v>14973</v>
      </c>
      <c r="O6195" t="s">
        <v>62</v>
      </c>
      <c r="P6195">
        <v>74604</v>
      </c>
      <c r="Q6195">
        <v>3906</v>
      </c>
      <c r="R6195" t="s">
        <v>23</v>
      </c>
      <c r="S6195" s="1" t="s">
        <v>34218</v>
      </c>
    </row>
    <row r="6196" spans="1:19" x14ac:dyDescent="0.25">
      <c r="A6196">
        <v>100810069</v>
      </c>
      <c r="B6196" t="s">
        <v>320</v>
      </c>
      <c r="C6196" t="s">
        <v>1208</v>
      </c>
      <c r="G6196" t="s">
        <v>14974</v>
      </c>
      <c r="H6196" t="s">
        <v>2161</v>
      </c>
      <c r="I6196" t="s">
        <v>187</v>
      </c>
      <c r="J6196">
        <v>55123</v>
      </c>
      <c r="K6196">
        <v>1721</v>
      </c>
      <c r="L6196" t="s">
        <v>23</v>
      </c>
      <c r="M6196" t="s">
        <v>14974</v>
      </c>
      <c r="N6196" t="s">
        <v>2161</v>
      </c>
      <c r="O6196" t="s">
        <v>187</v>
      </c>
      <c r="P6196">
        <v>55123</v>
      </c>
      <c r="Q6196">
        <v>1721</v>
      </c>
      <c r="R6196" t="s">
        <v>23</v>
      </c>
      <c r="S6196" s="1" t="s">
        <v>34218</v>
      </c>
    </row>
    <row r="6197" spans="1:19" x14ac:dyDescent="0.25">
      <c r="A6197">
        <v>101020276</v>
      </c>
      <c r="B6197" t="s">
        <v>14975</v>
      </c>
      <c r="C6197" t="s">
        <v>575</v>
      </c>
      <c r="G6197" t="s">
        <v>14976</v>
      </c>
      <c r="H6197" t="s">
        <v>5700</v>
      </c>
      <c r="I6197" t="s">
        <v>117</v>
      </c>
      <c r="J6197">
        <v>12498</v>
      </c>
      <c r="K6197">
        <v>931</v>
      </c>
      <c r="L6197" t="s">
        <v>23</v>
      </c>
      <c r="M6197" t="s">
        <v>14976</v>
      </c>
      <c r="N6197" t="s">
        <v>5700</v>
      </c>
      <c r="O6197" t="s">
        <v>117</v>
      </c>
      <c r="P6197">
        <v>12498</v>
      </c>
      <c r="Q6197">
        <v>931</v>
      </c>
      <c r="R6197" t="s">
        <v>23</v>
      </c>
      <c r="S6197" s="1" t="s">
        <v>34218</v>
      </c>
    </row>
    <row r="6198" spans="1:19" x14ac:dyDescent="0.25">
      <c r="A6198">
        <v>101018907</v>
      </c>
      <c r="B6198" t="s">
        <v>14977</v>
      </c>
      <c r="C6198" t="s">
        <v>14978</v>
      </c>
      <c r="G6198" t="s">
        <v>14979</v>
      </c>
      <c r="H6198" t="s">
        <v>1803</v>
      </c>
      <c r="I6198" t="s">
        <v>38</v>
      </c>
      <c r="J6198">
        <v>78621</v>
      </c>
      <c r="K6198">
        <v>1423</v>
      </c>
      <c r="L6198" t="s">
        <v>23</v>
      </c>
      <c r="M6198" t="s">
        <v>14979</v>
      </c>
      <c r="N6198" t="s">
        <v>1803</v>
      </c>
      <c r="O6198" t="s">
        <v>38</v>
      </c>
      <c r="P6198">
        <v>78621</v>
      </c>
      <c r="Q6198">
        <v>1423</v>
      </c>
      <c r="R6198" t="s">
        <v>23</v>
      </c>
      <c r="S6198" s="1" t="s">
        <v>34218</v>
      </c>
    </row>
    <row r="6199" spans="1:19" x14ac:dyDescent="0.25">
      <c r="A6199">
        <v>101025308</v>
      </c>
      <c r="B6199" t="s">
        <v>14980</v>
      </c>
      <c r="C6199" t="s">
        <v>278</v>
      </c>
      <c r="G6199" t="s">
        <v>14981</v>
      </c>
      <c r="H6199" t="s">
        <v>11455</v>
      </c>
      <c r="I6199" t="s">
        <v>22</v>
      </c>
      <c r="J6199">
        <v>95368</v>
      </c>
      <c r="K6199">
        <v>9062</v>
      </c>
      <c r="L6199" t="s">
        <v>23</v>
      </c>
      <c r="M6199" t="s">
        <v>14981</v>
      </c>
      <c r="N6199" t="s">
        <v>11455</v>
      </c>
      <c r="O6199" t="s">
        <v>22</v>
      </c>
      <c r="P6199">
        <v>95368</v>
      </c>
      <c r="Q6199">
        <v>9062</v>
      </c>
      <c r="R6199" t="s">
        <v>23</v>
      </c>
      <c r="S6199" s="1" t="s">
        <v>34218</v>
      </c>
    </row>
    <row r="6200" spans="1:19" x14ac:dyDescent="0.25">
      <c r="A6200">
        <v>101023586</v>
      </c>
      <c r="B6200" t="s">
        <v>14982</v>
      </c>
      <c r="C6200" t="s">
        <v>644</v>
      </c>
      <c r="G6200" t="s">
        <v>14983</v>
      </c>
      <c r="H6200" t="s">
        <v>14984</v>
      </c>
      <c r="I6200" t="s">
        <v>52</v>
      </c>
      <c r="J6200">
        <v>32174</v>
      </c>
      <c r="K6200">
        <v>3896</v>
      </c>
      <c r="L6200" t="s">
        <v>23</v>
      </c>
      <c r="M6200" t="s">
        <v>14983</v>
      </c>
      <c r="N6200" t="s">
        <v>14984</v>
      </c>
      <c r="O6200" t="s">
        <v>52</v>
      </c>
      <c r="P6200">
        <v>32174</v>
      </c>
      <c r="Q6200">
        <v>3896</v>
      </c>
      <c r="R6200" t="s">
        <v>23</v>
      </c>
      <c r="S6200" s="1" t="s">
        <v>34218</v>
      </c>
    </row>
    <row r="6201" spans="1:19" x14ac:dyDescent="0.25">
      <c r="A6201">
        <v>101032326</v>
      </c>
      <c r="B6201" t="s">
        <v>10326</v>
      </c>
      <c r="C6201" t="s">
        <v>209</v>
      </c>
      <c r="G6201" t="s">
        <v>14985</v>
      </c>
      <c r="H6201" t="s">
        <v>227</v>
      </c>
      <c r="I6201" t="s">
        <v>43</v>
      </c>
      <c r="J6201">
        <v>97219</v>
      </c>
      <c r="K6201">
        <v>1345</v>
      </c>
      <c r="L6201" t="s">
        <v>23</v>
      </c>
      <c r="M6201" t="s">
        <v>14985</v>
      </c>
      <c r="N6201" t="s">
        <v>227</v>
      </c>
      <c r="O6201" t="s">
        <v>43</v>
      </c>
      <c r="P6201">
        <v>97219</v>
      </c>
      <c r="Q6201">
        <v>1345</v>
      </c>
      <c r="R6201" t="s">
        <v>23</v>
      </c>
      <c r="S6201" s="1" t="s">
        <v>34218</v>
      </c>
    </row>
    <row r="6202" spans="1:19" x14ac:dyDescent="0.25">
      <c r="A6202">
        <v>101305660</v>
      </c>
      <c r="B6202" t="s">
        <v>14986</v>
      </c>
      <c r="C6202" t="s">
        <v>1069</v>
      </c>
      <c r="G6202" t="s">
        <v>14987</v>
      </c>
      <c r="H6202" t="s">
        <v>3571</v>
      </c>
      <c r="I6202" t="s">
        <v>117</v>
      </c>
      <c r="J6202">
        <v>12170</v>
      </c>
      <c r="K6202">
        <v>2110</v>
      </c>
      <c r="L6202" t="s">
        <v>23</v>
      </c>
      <c r="M6202" t="s">
        <v>14987</v>
      </c>
      <c r="N6202" t="s">
        <v>3571</v>
      </c>
      <c r="O6202" t="s">
        <v>117</v>
      </c>
      <c r="P6202">
        <v>12170</v>
      </c>
      <c r="Q6202">
        <v>2110</v>
      </c>
      <c r="R6202" t="s">
        <v>23</v>
      </c>
      <c r="S6202" s="1" t="s">
        <v>34218</v>
      </c>
    </row>
    <row r="6203" spans="1:19" x14ac:dyDescent="0.25">
      <c r="A6203">
        <v>100628393</v>
      </c>
      <c r="B6203" t="s">
        <v>14988</v>
      </c>
      <c r="C6203" t="s">
        <v>14989</v>
      </c>
      <c r="G6203" t="s">
        <v>14990</v>
      </c>
      <c r="H6203" t="s">
        <v>3236</v>
      </c>
      <c r="I6203" t="s">
        <v>236</v>
      </c>
      <c r="J6203">
        <v>2135</v>
      </c>
      <c r="K6203">
        <v>3201</v>
      </c>
      <c r="L6203" t="s">
        <v>23</v>
      </c>
      <c r="M6203" t="s">
        <v>14990</v>
      </c>
      <c r="N6203" t="s">
        <v>3236</v>
      </c>
      <c r="O6203" t="s">
        <v>236</v>
      </c>
      <c r="P6203">
        <v>2135</v>
      </c>
      <c r="Q6203">
        <v>3201</v>
      </c>
      <c r="R6203" t="s">
        <v>23</v>
      </c>
      <c r="S6203" s="1" t="s">
        <v>34218</v>
      </c>
    </row>
    <row r="6204" spans="1:19" x14ac:dyDescent="0.25">
      <c r="A6204">
        <v>100630437</v>
      </c>
      <c r="B6204" t="s">
        <v>14991</v>
      </c>
      <c r="C6204" t="s">
        <v>4960</v>
      </c>
      <c r="G6204" t="s">
        <v>14992</v>
      </c>
      <c r="H6204" t="s">
        <v>14993</v>
      </c>
      <c r="I6204" t="s">
        <v>135</v>
      </c>
      <c r="J6204">
        <v>60101</v>
      </c>
      <c r="K6204">
        <v>3165</v>
      </c>
      <c r="L6204" t="s">
        <v>23</v>
      </c>
      <c r="M6204" t="s">
        <v>14992</v>
      </c>
      <c r="N6204" t="s">
        <v>14993</v>
      </c>
      <c r="O6204" t="s">
        <v>135</v>
      </c>
      <c r="P6204">
        <v>60101</v>
      </c>
      <c r="Q6204">
        <v>3165</v>
      </c>
      <c r="R6204" t="s">
        <v>23</v>
      </c>
      <c r="S6204" s="1" t="s">
        <v>34218</v>
      </c>
    </row>
    <row r="6205" spans="1:19" x14ac:dyDescent="0.25">
      <c r="A6205">
        <v>100636266</v>
      </c>
      <c r="B6205" t="s">
        <v>14994</v>
      </c>
      <c r="C6205" t="s">
        <v>522</v>
      </c>
      <c r="G6205" t="s">
        <v>14995</v>
      </c>
      <c r="H6205" t="s">
        <v>14996</v>
      </c>
      <c r="I6205" t="s">
        <v>52</v>
      </c>
      <c r="J6205">
        <v>33811</v>
      </c>
      <c r="K6205">
        <v>2316</v>
      </c>
      <c r="L6205" t="s">
        <v>23</v>
      </c>
      <c r="M6205" t="s">
        <v>14995</v>
      </c>
      <c r="N6205" t="s">
        <v>14996</v>
      </c>
      <c r="O6205" t="s">
        <v>52</v>
      </c>
      <c r="P6205">
        <v>33811</v>
      </c>
      <c r="Q6205">
        <v>2316</v>
      </c>
      <c r="R6205" t="s">
        <v>23</v>
      </c>
      <c r="S6205" s="1" t="s">
        <v>34218</v>
      </c>
    </row>
    <row r="6206" spans="1:19" x14ac:dyDescent="0.25">
      <c r="A6206">
        <v>100635477</v>
      </c>
      <c r="B6206" t="s">
        <v>14997</v>
      </c>
      <c r="C6206" t="s">
        <v>208</v>
      </c>
      <c r="G6206" t="s">
        <v>14998</v>
      </c>
      <c r="H6206" t="s">
        <v>5876</v>
      </c>
      <c r="I6206" t="s">
        <v>52</v>
      </c>
      <c r="J6206">
        <v>34210</v>
      </c>
      <c r="K6206">
        <v>3271</v>
      </c>
      <c r="L6206" t="s">
        <v>23</v>
      </c>
      <c r="M6206" t="s">
        <v>14998</v>
      </c>
      <c r="N6206" t="s">
        <v>5876</v>
      </c>
      <c r="O6206" t="s">
        <v>52</v>
      </c>
      <c r="P6206">
        <v>34210</v>
      </c>
      <c r="Q6206">
        <v>3271</v>
      </c>
      <c r="R6206" t="s">
        <v>23</v>
      </c>
      <c r="S6206" s="1" t="s">
        <v>34218</v>
      </c>
    </row>
    <row r="6207" spans="1:19" x14ac:dyDescent="0.25">
      <c r="A6207">
        <v>100641170</v>
      </c>
      <c r="B6207" t="s">
        <v>14999</v>
      </c>
      <c r="C6207" t="s">
        <v>2127</v>
      </c>
      <c r="G6207" t="s">
        <v>15000</v>
      </c>
      <c r="H6207" t="s">
        <v>976</v>
      </c>
      <c r="I6207" t="s">
        <v>140</v>
      </c>
      <c r="J6207">
        <v>48103</v>
      </c>
      <c r="K6207">
        <v>1722</v>
      </c>
      <c r="L6207" t="s">
        <v>23</v>
      </c>
      <c r="M6207" t="s">
        <v>15000</v>
      </c>
      <c r="N6207" t="s">
        <v>976</v>
      </c>
      <c r="O6207" t="s">
        <v>140</v>
      </c>
      <c r="P6207">
        <v>48103</v>
      </c>
      <c r="Q6207">
        <v>1722</v>
      </c>
      <c r="R6207" t="s">
        <v>23</v>
      </c>
      <c r="S6207" s="1" t="s">
        <v>34218</v>
      </c>
    </row>
    <row r="6208" spans="1:19" x14ac:dyDescent="0.25">
      <c r="A6208">
        <v>100646659</v>
      </c>
      <c r="B6208" t="s">
        <v>15001</v>
      </c>
      <c r="C6208" t="s">
        <v>1141</v>
      </c>
      <c r="G6208" t="s">
        <v>15002</v>
      </c>
      <c r="H6208" t="s">
        <v>4247</v>
      </c>
      <c r="I6208" t="s">
        <v>33</v>
      </c>
      <c r="J6208">
        <v>19067</v>
      </c>
      <c r="K6208">
        <v>2024</v>
      </c>
      <c r="L6208" t="s">
        <v>23</v>
      </c>
      <c r="M6208" t="s">
        <v>15002</v>
      </c>
      <c r="N6208" t="s">
        <v>4247</v>
      </c>
      <c r="O6208" t="s">
        <v>33</v>
      </c>
      <c r="P6208">
        <v>19067</v>
      </c>
      <c r="Q6208">
        <v>2024</v>
      </c>
      <c r="R6208" t="s">
        <v>23</v>
      </c>
      <c r="S6208" s="1" t="s">
        <v>34218</v>
      </c>
    </row>
    <row r="6209" spans="1:19" x14ac:dyDescent="0.25">
      <c r="A6209">
        <v>100650544</v>
      </c>
      <c r="B6209" t="s">
        <v>15003</v>
      </c>
      <c r="C6209" t="s">
        <v>15004</v>
      </c>
      <c r="G6209" t="s">
        <v>15005</v>
      </c>
      <c r="H6209" t="s">
        <v>3485</v>
      </c>
      <c r="I6209" t="s">
        <v>914</v>
      </c>
      <c r="J6209">
        <v>37615</v>
      </c>
      <c r="K6209">
        <v>4081</v>
      </c>
      <c r="L6209" t="s">
        <v>23</v>
      </c>
      <c r="M6209" t="s">
        <v>15005</v>
      </c>
      <c r="N6209" t="s">
        <v>3485</v>
      </c>
      <c r="O6209" t="s">
        <v>914</v>
      </c>
      <c r="P6209">
        <v>37615</v>
      </c>
      <c r="Q6209">
        <v>4081</v>
      </c>
      <c r="R6209" t="s">
        <v>23</v>
      </c>
      <c r="S6209" s="1" t="s">
        <v>34218</v>
      </c>
    </row>
    <row r="6210" spans="1:19" x14ac:dyDescent="0.25">
      <c r="A6210">
        <v>100649183</v>
      </c>
      <c r="B6210" t="s">
        <v>15006</v>
      </c>
      <c r="C6210" t="s">
        <v>6818</v>
      </c>
      <c r="G6210" t="s">
        <v>15007</v>
      </c>
      <c r="H6210" t="s">
        <v>4514</v>
      </c>
      <c r="I6210" t="s">
        <v>2537</v>
      </c>
      <c r="J6210">
        <v>72703</v>
      </c>
      <c r="K6210">
        <v>3958</v>
      </c>
      <c r="L6210" t="s">
        <v>23</v>
      </c>
      <c r="M6210" t="s">
        <v>15007</v>
      </c>
      <c r="N6210" t="s">
        <v>4514</v>
      </c>
      <c r="O6210" t="s">
        <v>2537</v>
      </c>
      <c r="P6210">
        <v>72703</v>
      </c>
      <c r="Q6210">
        <v>3958</v>
      </c>
      <c r="R6210" t="s">
        <v>23</v>
      </c>
      <c r="S6210" s="1" t="s">
        <v>34218</v>
      </c>
    </row>
    <row r="6211" spans="1:19" x14ac:dyDescent="0.25">
      <c r="A6211">
        <v>100654171</v>
      </c>
      <c r="B6211" t="s">
        <v>6658</v>
      </c>
      <c r="C6211" t="s">
        <v>30</v>
      </c>
      <c r="G6211" t="s">
        <v>15008</v>
      </c>
      <c r="H6211" t="s">
        <v>15009</v>
      </c>
      <c r="I6211" t="s">
        <v>327</v>
      </c>
      <c r="J6211">
        <v>24701</v>
      </c>
      <c r="K6211">
        <v>4441</v>
      </c>
      <c r="L6211" t="s">
        <v>23</v>
      </c>
      <c r="M6211" t="s">
        <v>15008</v>
      </c>
      <c r="N6211" t="s">
        <v>15009</v>
      </c>
      <c r="O6211" t="s">
        <v>327</v>
      </c>
      <c r="P6211">
        <v>24701</v>
      </c>
      <c r="Q6211">
        <v>4441</v>
      </c>
      <c r="R6211" t="s">
        <v>23</v>
      </c>
      <c r="S6211" s="1" t="s">
        <v>34218</v>
      </c>
    </row>
    <row r="6212" spans="1:19" x14ac:dyDescent="0.25">
      <c r="A6212">
        <v>100837196</v>
      </c>
      <c r="B6212" t="s">
        <v>15010</v>
      </c>
      <c r="C6212" t="s">
        <v>575</v>
      </c>
      <c r="G6212" t="s">
        <v>15011</v>
      </c>
      <c r="H6212" t="s">
        <v>789</v>
      </c>
      <c r="I6212" t="s">
        <v>38</v>
      </c>
      <c r="J6212">
        <v>78633</v>
      </c>
      <c r="K6212">
        <v>5441</v>
      </c>
      <c r="L6212" t="s">
        <v>23</v>
      </c>
      <c r="M6212" t="s">
        <v>15011</v>
      </c>
      <c r="N6212" t="s">
        <v>789</v>
      </c>
      <c r="O6212" t="s">
        <v>38</v>
      </c>
      <c r="P6212">
        <v>78633</v>
      </c>
      <c r="Q6212">
        <v>5441</v>
      </c>
      <c r="R6212" t="s">
        <v>23</v>
      </c>
      <c r="S6212" s="1" t="s">
        <v>34218</v>
      </c>
    </row>
    <row r="6213" spans="1:19" x14ac:dyDescent="0.25">
      <c r="A6213">
        <v>100840619</v>
      </c>
      <c r="B6213" t="s">
        <v>15012</v>
      </c>
      <c r="C6213" t="s">
        <v>1669</v>
      </c>
      <c r="G6213" t="s">
        <v>15013</v>
      </c>
      <c r="H6213" t="s">
        <v>1857</v>
      </c>
      <c r="I6213" t="s">
        <v>702</v>
      </c>
      <c r="J6213">
        <v>89509</v>
      </c>
      <c r="K6213">
        <v>1031</v>
      </c>
      <c r="L6213" t="s">
        <v>23</v>
      </c>
      <c r="M6213" t="s">
        <v>15013</v>
      </c>
      <c r="N6213" t="s">
        <v>1857</v>
      </c>
      <c r="O6213" t="s">
        <v>702</v>
      </c>
      <c r="P6213">
        <v>89509</v>
      </c>
      <c r="Q6213">
        <v>1031</v>
      </c>
      <c r="R6213" t="s">
        <v>23</v>
      </c>
      <c r="S6213" s="1" t="s">
        <v>34218</v>
      </c>
    </row>
    <row r="6214" spans="1:19" x14ac:dyDescent="0.25">
      <c r="A6214">
        <v>100838742</v>
      </c>
      <c r="B6214" t="s">
        <v>15014</v>
      </c>
      <c r="C6214" t="s">
        <v>102</v>
      </c>
      <c r="G6214" t="s">
        <v>15015</v>
      </c>
      <c r="H6214" t="s">
        <v>15016</v>
      </c>
      <c r="I6214" t="s">
        <v>446</v>
      </c>
      <c r="J6214">
        <v>28786</v>
      </c>
      <c r="K6214">
        <v>5177</v>
      </c>
      <c r="L6214" t="s">
        <v>23</v>
      </c>
      <c r="M6214" t="s">
        <v>15015</v>
      </c>
      <c r="N6214" t="s">
        <v>15016</v>
      </c>
      <c r="O6214" t="s">
        <v>446</v>
      </c>
      <c r="P6214">
        <v>28786</v>
      </c>
      <c r="Q6214">
        <v>5177</v>
      </c>
      <c r="R6214" t="s">
        <v>23</v>
      </c>
      <c r="S6214" s="1" t="s">
        <v>34218</v>
      </c>
    </row>
    <row r="6215" spans="1:19" x14ac:dyDescent="0.25">
      <c r="A6215">
        <v>100840686</v>
      </c>
      <c r="B6215" t="s">
        <v>12303</v>
      </c>
      <c r="C6215" t="s">
        <v>522</v>
      </c>
      <c r="G6215" t="s">
        <v>15017</v>
      </c>
      <c r="H6215" t="s">
        <v>11625</v>
      </c>
      <c r="I6215" t="s">
        <v>353</v>
      </c>
      <c r="J6215">
        <v>3820</v>
      </c>
      <c r="K6215">
        <v>2316</v>
      </c>
      <c r="L6215" t="s">
        <v>23</v>
      </c>
      <c r="M6215" t="s">
        <v>15017</v>
      </c>
      <c r="N6215" t="s">
        <v>11625</v>
      </c>
      <c r="O6215" t="s">
        <v>353</v>
      </c>
      <c r="P6215">
        <v>3820</v>
      </c>
      <c r="Q6215">
        <v>2316</v>
      </c>
      <c r="R6215" t="s">
        <v>23</v>
      </c>
      <c r="S6215" s="1" t="s">
        <v>34218</v>
      </c>
    </row>
    <row r="6216" spans="1:19" x14ac:dyDescent="0.25">
      <c r="A6216">
        <v>100843841</v>
      </c>
      <c r="B6216" t="s">
        <v>15018</v>
      </c>
      <c r="C6216" t="s">
        <v>350</v>
      </c>
      <c r="G6216" t="s">
        <v>15019</v>
      </c>
      <c r="H6216" t="s">
        <v>15020</v>
      </c>
      <c r="I6216" t="s">
        <v>135</v>
      </c>
      <c r="J6216">
        <v>62067</v>
      </c>
      <c r="K6216">
        <v>1702</v>
      </c>
      <c r="L6216" t="s">
        <v>23</v>
      </c>
      <c r="M6216" t="s">
        <v>15019</v>
      </c>
      <c r="N6216" t="s">
        <v>15020</v>
      </c>
      <c r="O6216" t="s">
        <v>135</v>
      </c>
      <c r="P6216">
        <v>62067</v>
      </c>
      <c r="Q6216">
        <v>1702</v>
      </c>
      <c r="R6216" t="s">
        <v>23</v>
      </c>
      <c r="S6216" s="1" t="s">
        <v>34218</v>
      </c>
    </row>
    <row r="6217" spans="1:19" x14ac:dyDescent="0.25">
      <c r="A6217">
        <v>100852760</v>
      </c>
      <c r="B6217" t="s">
        <v>15021</v>
      </c>
      <c r="C6217" t="s">
        <v>11488</v>
      </c>
      <c r="G6217" t="s">
        <v>15022</v>
      </c>
      <c r="H6217" t="s">
        <v>3142</v>
      </c>
      <c r="I6217" t="s">
        <v>236</v>
      </c>
      <c r="J6217">
        <v>2472</v>
      </c>
      <c r="K6217">
        <v>4215</v>
      </c>
      <c r="L6217" t="s">
        <v>23</v>
      </c>
      <c r="M6217" t="s">
        <v>15022</v>
      </c>
      <c r="N6217" t="s">
        <v>3142</v>
      </c>
      <c r="O6217" t="s">
        <v>236</v>
      </c>
      <c r="P6217">
        <v>2472</v>
      </c>
      <c r="Q6217">
        <v>4215</v>
      </c>
      <c r="R6217" t="s">
        <v>23</v>
      </c>
      <c r="S6217" s="1" t="s">
        <v>34218</v>
      </c>
    </row>
    <row r="6218" spans="1:19" x14ac:dyDescent="0.25">
      <c r="A6218">
        <v>100863583</v>
      </c>
      <c r="B6218" t="s">
        <v>9302</v>
      </c>
      <c r="C6218" t="s">
        <v>180</v>
      </c>
      <c r="G6218" t="s">
        <v>15023</v>
      </c>
      <c r="H6218" t="s">
        <v>4180</v>
      </c>
      <c r="I6218" t="s">
        <v>22</v>
      </c>
      <c r="J6218">
        <v>93426</v>
      </c>
      <c r="K6218">
        <v>6955</v>
      </c>
      <c r="L6218" t="s">
        <v>23</v>
      </c>
      <c r="M6218" t="s">
        <v>15023</v>
      </c>
      <c r="N6218" t="s">
        <v>4180</v>
      </c>
      <c r="O6218" t="s">
        <v>22</v>
      </c>
      <c r="P6218">
        <v>93426</v>
      </c>
      <c r="Q6218">
        <v>6955</v>
      </c>
      <c r="R6218" t="s">
        <v>23</v>
      </c>
      <c r="S6218" s="1" t="s">
        <v>34218</v>
      </c>
    </row>
    <row r="6219" spans="1:19" x14ac:dyDescent="0.25">
      <c r="A6219">
        <v>100860188</v>
      </c>
      <c r="B6219" t="s">
        <v>1941</v>
      </c>
      <c r="C6219" t="s">
        <v>547</v>
      </c>
      <c r="G6219" t="s">
        <v>15024</v>
      </c>
      <c r="H6219" t="s">
        <v>573</v>
      </c>
      <c r="I6219" t="s">
        <v>33</v>
      </c>
      <c r="J6219">
        <v>19137</v>
      </c>
      <c r="K6219">
        <v>1601</v>
      </c>
      <c r="L6219" t="s">
        <v>23</v>
      </c>
      <c r="M6219" t="s">
        <v>15024</v>
      </c>
      <c r="N6219" t="s">
        <v>573</v>
      </c>
      <c r="O6219" t="s">
        <v>33</v>
      </c>
      <c r="P6219">
        <v>19137</v>
      </c>
      <c r="Q6219">
        <v>1601</v>
      </c>
      <c r="R6219" t="s">
        <v>23</v>
      </c>
      <c r="S6219" s="1" t="s">
        <v>34218</v>
      </c>
    </row>
    <row r="6220" spans="1:19" x14ac:dyDescent="0.25">
      <c r="A6220">
        <v>100863067</v>
      </c>
      <c r="B6220" t="s">
        <v>15025</v>
      </c>
      <c r="C6220" t="s">
        <v>1309</v>
      </c>
      <c r="G6220" t="s">
        <v>15026</v>
      </c>
      <c r="H6220" t="s">
        <v>805</v>
      </c>
      <c r="I6220" t="s">
        <v>57</v>
      </c>
      <c r="J6220">
        <v>47150</v>
      </c>
      <c r="K6220">
        <v>9637</v>
      </c>
      <c r="L6220" t="s">
        <v>23</v>
      </c>
      <c r="M6220" t="s">
        <v>15026</v>
      </c>
      <c r="N6220" t="s">
        <v>805</v>
      </c>
      <c r="O6220" t="s">
        <v>57</v>
      </c>
      <c r="P6220">
        <v>47150</v>
      </c>
      <c r="Q6220">
        <v>9637</v>
      </c>
      <c r="R6220" t="s">
        <v>23</v>
      </c>
      <c r="S6220" s="1" t="s">
        <v>34218</v>
      </c>
    </row>
    <row r="6221" spans="1:19" x14ac:dyDescent="0.25">
      <c r="A6221">
        <v>101073039</v>
      </c>
      <c r="B6221" t="s">
        <v>4694</v>
      </c>
      <c r="C6221" t="s">
        <v>329</v>
      </c>
      <c r="G6221" t="s">
        <v>15027</v>
      </c>
      <c r="H6221" t="s">
        <v>653</v>
      </c>
      <c r="I6221" t="s">
        <v>117</v>
      </c>
      <c r="J6221">
        <v>10032</v>
      </c>
      <c r="K6221">
        <v>7643</v>
      </c>
      <c r="L6221" t="s">
        <v>23</v>
      </c>
      <c r="M6221" t="s">
        <v>15027</v>
      </c>
      <c r="N6221" t="s">
        <v>653</v>
      </c>
      <c r="O6221" t="s">
        <v>117</v>
      </c>
      <c r="P6221">
        <v>10032</v>
      </c>
      <c r="Q6221">
        <v>7643</v>
      </c>
      <c r="R6221" t="s">
        <v>23</v>
      </c>
      <c r="S6221" s="1" t="s">
        <v>34218</v>
      </c>
    </row>
    <row r="6222" spans="1:19" x14ac:dyDescent="0.25">
      <c r="A6222">
        <v>101072416</v>
      </c>
      <c r="B6222" t="s">
        <v>15028</v>
      </c>
      <c r="C6222" t="s">
        <v>2127</v>
      </c>
      <c r="G6222" t="s">
        <v>15029</v>
      </c>
      <c r="H6222" t="s">
        <v>1091</v>
      </c>
      <c r="I6222" t="s">
        <v>365</v>
      </c>
      <c r="J6222">
        <v>86336</v>
      </c>
      <c r="K6222">
        <v>4358</v>
      </c>
      <c r="L6222" t="s">
        <v>23</v>
      </c>
      <c r="M6222" t="s">
        <v>15029</v>
      </c>
      <c r="N6222" t="s">
        <v>1091</v>
      </c>
      <c r="O6222" t="s">
        <v>365</v>
      </c>
      <c r="P6222">
        <v>86336</v>
      </c>
      <c r="Q6222">
        <v>4358</v>
      </c>
      <c r="R6222" t="s">
        <v>23</v>
      </c>
      <c r="S6222" s="1" t="s">
        <v>34218</v>
      </c>
    </row>
    <row r="6223" spans="1:19" x14ac:dyDescent="0.25">
      <c r="A6223">
        <v>101072550</v>
      </c>
      <c r="B6223" t="s">
        <v>15030</v>
      </c>
      <c r="C6223" t="s">
        <v>10186</v>
      </c>
      <c r="G6223" t="s">
        <v>15031</v>
      </c>
      <c r="H6223" t="s">
        <v>1096</v>
      </c>
      <c r="I6223" t="s">
        <v>1097</v>
      </c>
      <c r="J6223">
        <v>40272</v>
      </c>
      <c r="K6223">
        <v>4895</v>
      </c>
      <c r="L6223" t="s">
        <v>23</v>
      </c>
      <c r="M6223" t="s">
        <v>15031</v>
      </c>
      <c r="N6223" t="s">
        <v>1096</v>
      </c>
      <c r="O6223" t="s">
        <v>1097</v>
      </c>
      <c r="P6223">
        <v>40272</v>
      </c>
      <c r="Q6223">
        <v>4895</v>
      </c>
      <c r="R6223" t="s">
        <v>23</v>
      </c>
      <c r="S6223" s="1" t="s">
        <v>34218</v>
      </c>
    </row>
    <row r="6224" spans="1:19" x14ac:dyDescent="0.25">
      <c r="A6224">
        <v>101060141</v>
      </c>
      <c r="B6224" t="s">
        <v>15032</v>
      </c>
      <c r="C6224" t="s">
        <v>6641</v>
      </c>
      <c r="F6224" t="str">
        <f>"4153888050"</f>
        <v>4153888050</v>
      </c>
      <c r="G6224" t="s">
        <v>15033</v>
      </c>
      <c r="H6224" t="s">
        <v>2499</v>
      </c>
      <c r="I6224" t="s">
        <v>22</v>
      </c>
      <c r="J6224">
        <v>94920</v>
      </c>
      <c r="K6224">
        <v>2036</v>
      </c>
      <c r="L6224" t="s">
        <v>23</v>
      </c>
      <c r="M6224" t="s">
        <v>15033</v>
      </c>
      <c r="N6224" t="s">
        <v>2499</v>
      </c>
      <c r="O6224" t="s">
        <v>22</v>
      </c>
      <c r="P6224">
        <v>94920</v>
      </c>
      <c r="Q6224">
        <v>2036</v>
      </c>
      <c r="R6224" t="s">
        <v>23</v>
      </c>
      <c r="S6224" s="1" t="s">
        <v>34218</v>
      </c>
    </row>
    <row r="6225" spans="1:19" x14ac:dyDescent="0.25">
      <c r="A6225">
        <v>101059256</v>
      </c>
      <c r="B6225" t="s">
        <v>247</v>
      </c>
      <c r="C6225" t="s">
        <v>1828</v>
      </c>
      <c r="G6225" t="s">
        <v>15034</v>
      </c>
      <c r="H6225" t="s">
        <v>1439</v>
      </c>
      <c r="I6225" t="s">
        <v>365</v>
      </c>
      <c r="J6225">
        <v>85748</v>
      </c>
      <c r="K6225">
        <v>2073</v>
      </c>
      <c r="L6225" t="s">
        <v>23</v>
      </c>
      <c r="M6225" t="s">
        <v>15034</v>
      </c>
      <c r="N6225" t="s">
        <v>1439</v>
      </c>
      <c r="O6225" t="s">
        <v>365</v>
      </c>
      <c r="P6225">
        <v>85748</v>
      </c>
      <c r="Q6225">
        <v>2073</v>
      </c>
      <c r="R6225" t="s">
        <v>23</v>
      </c>
      <c r="S6225" s="1" t="s">
        <v>34218</v>
      </c>
    </row>
    <row r="6226" spans="1:19" x14ac:dyDescent="0.25">
      <c r="A6226">
        <v>101061065</v>
      </c>
      <c r="B6226" t="s">
        <v>15035</v>
      </c>
      <c r="C6226" t="s">
        <v>2127</v>
      </c>
      <c r="G6226" t="s">
        <v>15036</v>
      </c>
      <c r="H6226" t="s">
        <v>15037</v>
      </c>
      <c r="I6226" t="s">
        <v>178</v>
      </c>
      <c r="J6226">
        <v>43756</v>
      </c>
      <c r="K6226">
        <v>1276</v>
      </c>
      <c r="L6226" t="s">
        <v>23</v>
      </c>
      <c r="M6226" t="s">
        <v>15036</v>
      </c>
      <c r="N6226" t="s">
        <v>15037</v>
      </c>
      <c r="O6226" t="s">
        <v>178</v>
      </c>
      <c r="P6226">
        <v>43756</v>
      </c>
      <c r="Q6226">
        <v>1276</v>
      </c>
      <c r="R6226" t="s">
        <v>23</v>
      </c>
      <c r="S6226" s="1" t="s">
        <v>34218</v>
      </c>
    </row>
    <row r="6227" spans="1:19" x14ac:dyDescent="0.25">
      <c r="A6227">
        <v>101066127</v>
      </c>
      <c r="B6227" t="s">
        <v>15038</v>
      </c>
      <c r="C6227" t="s">
        <v>1616</v>
      </c>
      <c r="G6227" t="s">
        <v>15039</v>
      </c>
      <c r="H6227" t="s">
        <v>169</v>
      </c>
      <c r="I6227" t="s">
        <v>170</v>
      </c>
      <c r="J6227">
        <v>20007</v>
      </c>
      <c r="K6227">
        <v>4623</v>
      </c>
      <c r="L6227" t="s">
        <v>23</v>
      </c>
      <c r="M6227" t="s">
        <v>15039</v>
      </c>
      <c r="N6227" t="s">
        <v>169</v>
      </c>
      <c r="O6227" t="s">
        <v>170</v>
      </c>
      <c r="P6227">
        <v>20007</v>
      </c>
      <c r="Q6227">
        <v>4623</v>
      </c>
      <c r="R6227" t="s">
        <v>23</v>
      </c>
      <c r="S6227" s="1" t="s">
        <v>34218</v>
      </c>
    </row>
    <row r="6228" spans="1:19" x14ac:dyDescent="0.25">
      <c r="A6228">
        <v>101065470</v>
      </c>
      <c r="B6228" t="s">
        <v>15040</v>
      </c>
      <c r="C6228" t="s">
        <v>15041</v>
      </c>
      <c r="G6228" t="s">
        <v>15042</v>
      </c>
      <c r="H6228" t="s">
        <v>14543</v>
      </c>
      <c r="I6228" t="s">
        <v>236</v>
      </c>
      <c r="J6228">
        <v>1337</v>
      </c>
      <c r="K6228">
        <v>9470</v>
      </c>
      <c r="L6228" t="s">
        <v>23</v>
      </c>
      <c r="M6228" t="s">
        <v>15042</v>
      </c>
      <c r="N6228" t="s">
        <v>14543</v>
      </c>
      <c r="O6228" t="s">
        <v>236</v>
      </c>
      <c r="P6228">
        <v>1337</v>
      </c>
      <c r="Q6228">
        <v>9470</v>
      </c>
      <c r="R6228" t="s">
        <v>23</v>
      </c>
      <c r="S6228" s="1" t="s">
        <v>34218</v>
      </c>
    </row>
    <row r="6229" spans="1:19" x14ac:dyDescent="0.25">
      <c r="A6229">
        <v>101066513</v>
      </c>
      <c r="B6229" t="s">
        <v>15043</v>
      </c>
      <c r="C6229" t="s">
        <v>13834</v>
      </c>
      <c r="G6229" t="s">
        <v>15044</v>
      </c>
      <c r="H6229" t="s">
        <v>9854</v>
      </c>
      <c r="I6229" t="s">
        <v>236</v>
      </c>
      <c r="J6229">
        <v>1568</v>
      </c>
      <c r="K6229">
        <v>1424</v>
      </c>
      <c r="L6229" t="s">
        <v>23</v>
      </c>
      <c r="M6229" t="s">
        <v>15044</v>
      </c>
      <c r="N6229" t="s">
        <v>9854</v>
      </c>
      <c r="O6229" t="s">
        <v>236</v>
      </c>
      <c r="P6229">
        <v>1568</v>
      </c>
      <c r="Q6229">
        <v>1424</v>
      </c>
      <c r="R6229" t="s">
        <v>23</v>
      </c>
      <c r="S6229" s="1" t="s">
        <v>34218</v>
      </c>
    </row>
    <row r="6230" spans="1:19" x14ac:dyDescent="0.25">
      <c r="A6230">
        <v>101065707</v>
      </c>
      <c r="B6230" t="s">
        <v>15045</v>
      </c>
      <c r="C6230" t="s">
        <v>15046</v>
      </c>
      <c r="G6230" t="s">
        <v>15047</v>
      </c>
      <c r="H6230" t="s">
        <v>4150</v>
      </c>
      <c r="I6230" t="s">
        <v>365</v>
      </c>
      <c r="J6230">
        <v>85382</v>
      </c>
      <c r="K6230">
        <v>4503</v>
      </c>
      <c r="L6230" t="s">
        <v>23</v>
      </c>
      <c r="M6230" t="s">
        <v>15047</v>
      </c>
      <c r="N6230" t="s">
        <v>4150</v>
      </c>
      <c r="O6230" t="s">
        <v>365</v>
      </c>
      <c r="P6230">
        <v>85382</v>
      </c>
      <c r="Q6230">
        <v>4503</v>
      </c>
      <c r="R6230" t="s">
        <v>23</v>
      </c>
      <c r="S6230" s="1" t="s">
        <v>34218</v>
      </c>
    </row>
    <row r="6231" spans="1:19" x14ac:dyDescent="0.25">
      <c r="A6231">
        <v>101274767</v>
      </c>
      <c r="B6231" t="s">
        <v>15048</v>
      </c>
      <c r="C6231" t="s">
        <v>1050</v>
      </c>
      <c r="G6231" t="s">
        <v>15049</v>
      </c>
      <c r="H6231" t="s">
        <v>15050</v>
      </c>
      <c r="I6231" t="s">
        <v>22</v>
      </c>
      <c r="J6231">
        <v>92886</v>
      </c>
      <c r="K6231">
        <v>3850</v>
      </c>
      <c r="L6231" t="s">
        <v>23</v>
      </c>
      <c r="M6231" t="s">
        <v>15049</v>
      </c>
      <c r="N6231" t="s">
        <v>15050</v>
      </c>
      <c r="O6231" t="s">
        <v>22</v>
      </c>
      <c r="P6231">
        <v>92886</v>
      </c>
      <c r="Q6231">
        <v>3850</v>
      </c>
      <c r="R6231" t="s">
        <v>23</v>
      </c>
      <c r="S6231" s="1" t="s">
        <v>34218</v>
      </c>
    </row>
    <row r="6232" spans="1:19" x14ac:dyDescent="0.25">
      <c r="A6232">
        <v>101279334</v>
      </c>
      <c r="B6232" t="s">
        <v>15051</v>
      </c>
      <c r="C6232" t="s">
        <v>582</v>
      </c>
      <c r="G6232" t="s">
        <v>15052</v>
      </c>
      <c r="H6232" t="s">
        <v>1982</v>
      </c>
      <c r="I6232" t="s">
        <v>33</v>
      </c>
      <c r="J6232">
        <v>19460</v>
      </c>
      <c r="K6232">
        <v>1525</v>
      </c>
      <c r="L6232" t="s">
        <v>23</v>
      </c>
      <c r="M6232" t="s">
        <v>15052</v>
      </c>
      <c r="N6232" t="s">
        <v>1982</v>
      </c>
      <c r="O6232" t="s">
        <v>33</v>
      </c>
      <c r="P6232">
        <v>19460</v>
      </c>
      <c r="Q6232">
        <v>1525</v>
      </c>
      <c r="R6232" t="s">
        <v>23</v>
      </c>
      <c r="S6232" s="1" t="s">
        <v>34218</v>
      </c>
    </row>
    <row r="6233" spans="1:19" x14ac:dyDescent="0.25">
      <c r="A6233">
        <v>101273987</v>
      </c>
      <c r="B6233" t="s">
        <v>2932</v>
      </c>
      <c r="C6233" t="s">
        <v>2127</v>
      </c>
      <c r="G6233" t="s">
        <v>15053</v>
      </c>
      <c r="H6233" t="s">
        <v>8986</v>
      </c>
      <c r="I6233" t="s">
        <v>22</v>
      </c>
      <c r="J6233">
        <v>94588</v>
      </c>
      <c r="K6233">
        <v>3411</v>
      </c>
      <c r="L6233" t="s">
        <v>23</v>
      </c>
      <c r="M6233" t="s">
        <v>15053</v>
      </c>
      <c r="N6233" t="s">
        <v>8986</v>
      </c>
      <c r="O6233" t="s">
        <v>22</v>
      </c>
      <c r="P6233">
        <v>94588</v>
      </c>
      <c r="Q6233">
        <v>3411</v>
      </c>
      <c r="R6233" t="s">
        <v>23</v>
      </c>
      <c r="S6233" s="1" t="s">
        <v>34218</v>
      </c>
    </row>
    <row r="6234" spans="1:19" x14ac:dyDescent="0.25">
      <c r="A6234">
        <v>101273978</v>
      </c>
      <c r="B6234" t="s">
        <v>15054</v>
      </c>
      <c r="C6234" t="s">
        <v>2232</v>
      </c>
      <c r="G6234" t="s">
        <v>15055</v>
      </c>
      <c r="H6234" t="s">
        <v>3268</v>
      </c>
      <c r="I6234" t="s">
        <v>161</v>
      </c>
      <c r="J6234">
        <v>6514</v>
      </c>
      <c r="K6234">
        <v>1843</v>
      </c>
      <c r="L6234" t="s">
        <v>23</v>
      </c>
      <c r="M6234" t="s">
        <v>15055</v>
      </c>
      <c r="N6234" t="s">
        <v>3268</v>
      </c>
      <c r="O6234" t="s">
        <v>161</v>
      </c>
      <c r="P6234">
        <v>6514</v>
      </c>
      <c r="Q6234">
        <v>1843</v>
      </c>
      <c r="R6234" t="s">
        <v>23</v>
      </c>
      <c r="S6234" s="1" t="s">
        <v>34218</v>
      </c>
    </row>
    <row r="6235" spans="1:19" x14ac:dyDescent="0.25">
      <c r="A6235">
        <v>101285441</v>
      </c>
      <c r="B6235" t="s">
        <v>15056</v>
      </c>
      <c r="C6235" t="s">
        <v>90</v>
      </c>
      <c r="G6235" t="s">
        <v>15057</v>
      </c>
      <c r="H6235" t="s">
        <v>207</v>
      </c>
      <c r="I6235" t="s">
        <v>22</v>
      </c>
      <c r="J6235">
        <v>93728</v>
      </c>
      <c r="K6235">
        <v>2941</v>
      </c>
      <c r="L6235" t="s">
        <v>23</v>
      </c>
      <c r="M6235" t="s">
        <v>15057</v>
      </c>
      <c r="N6235" t="s">
        <v>207</v>
      </c>
      <c r="O6235" t="s">
        <v>22</v>
      </c>
      <c r="P6235">
        <v>93728</v>
      </c>
      <c r="Q6235">
        <v>2941</v>
      </c>
      <c r="R6235" t="s">
        <v>23</v>
      </c>
      <c r="S6235" s="1" t="s">
        <v>34218</v>
      </c>
    </row>
    <row r="6236" spans="1:19" x14ac:dyDescent="0.25">
      <c r="A6236">
        <v>101284043</v>
      </c>
      <c r="B6236" t="s">
        <v>10951</v>
      </c>
      <c r="C6236" t="s">
        <v>1208</v>
      </c>
      <c r="F6236" t="str">
        <f>"8478365528"</f>
        <v>8478365528</v>
      </c>
      <c r="G6236" t="s">
        <v>15058</v>
      </c>
      <c r="H6236" t="s">
        <v>7960</v>
      </c>
      <c r="I6236" t="s">
        <v>135</v>
      </c>
      <c r="J6236">
        <v>60110</v>
      </c>
      <c r="K6236">
        <v>3300</v>
      </c>
      <c r="L6236" t="s">
        <v>23</v>
      </c>
      <c r="M6236" t="s">
        <v>15058</v>
      </c>
      <c r="N6236" t="s">
        <v>7960</v>
      </c>
      <c r="O6236" t="s">
        <v>135</v>
      </c>
      <c r="P6236">
        <v>60110</v>
      </c>
      <c r="Q6236">
        <v>3300</v>
      </c>
      <c r="R6236" t="s">
        <v>23</v>
      </c>
      <c r="S6236" s="1" t="s">
        <v>34218</v>
      </c>
    </row>
    <row r="6237" spans="1:19" x14ac:dyDescent="0.25">
      <c r="A6237">
        <v>101286981</v>
      </c>
      <c r="B6237" t="s">
        <v>1297</v>
      </c>
      <c r="C6237" t="s">
        <v>2792</v>
      </c>
      <c r="G6237" t="s">
        <v>15059</v>
      </c>
      <c r="H6237" t="s">
        <v>130</v>
      </c>
      <c r="I6237" t="s">
        <v>22</v>
      </c>
      <c r="J6237">
        <v>94114</v>
      </c>
      <c r="K6237">
        <v>3617</v>
      </c>
      <c r="L6237" t="s">
        <v>23</v>
      </c>
      <c r="M6237" t="s">
        <v>15059</v>
      </c>
      <c r="N6237" t="s">
        <v>130</v>
      </c>
      <c r="O6237" t="s">
        <v>22</v>
      </c>
      <c r="P6237">
        <v>94114</v>
      </c>
      <c r="Q6237">
        <v>3617</v>
      </c>
      <c r="R6237" t="s">
        <v>23</v>
      </c>
      <c r="S6237" s="1" t="s">
        <v>34218</v>
      </c>
    </row>
    <row r="6238" spans="1:19" x14ac:dyDescent="0.25">
      <c r="A6238">
        <v>101286337</v>
      </c>
      <c r="B6238" t="s">
        <v>2074</v>
      </c>
      <c r="C6238" t="s">
        <v>403</v>
      </c>
      <c r="G6238" t="s">
        <v>15060</v>
      </c>
      <c r="H6238" t="s">
        <v>1439</v>
      </c>
      <c r="I6238" t="s">
        <v>365</v>
      </c>
      <c r="J6238">
        <v>85745</v>
      </c>
      <c r="K6238">
        <v>9327</v>
      </c>
      <c r="L6238" t="s">
        <v>23</v>
      </c>
      <c r="M6238" t="s">
        <v>15060</v>
      </c>
      <c r="N6238" t="s">
        <v>1439</v>
      </c>
      <c r="O6238" t="s">
        <v>365</v>
      </c>
      <c r="P6238">
        <v>85745</v>
      </c>
      <c r="Q6238">
        <v>9327</v>
      </c>
      <c r="R6238" t="s">
        <v>23</v>
      </c>
      <c r="S6238" s="1" t="s">
        <v>34218</v>
      </c>
    </row>
    <row r="6239" spans="1:19" x14ac:dyDescent="0.25">
      <c r="A6239">
        <v>101282815</v>
      </c>
      <c r="B6239" t="s">
        <v>15061</v>
      </c>
      <c r="C6239" t="s">
        <v>15062</v>
      </c>
      <c r="G6239" t="s">
        <v>15063</v>
      </c>
      <c r="H6239" t="s">
        <v>13428</v>
      </c>
      <c r="I6239" t="s">
        <v>135</v>
      </c>
      <c r="J6239">
        <v>62966</v>
      </c>
      <c r="K6239">
        <v>6240</v>
      </c>
      <c r="L6239" t="s">
        <v>23</v>
      </c>
      <c r="M6239" t="s">
        <v>15063</v>
      </c>
      <c r="N6239" t="s">
        <v>13428</v>
      </c>
      <c r="O6239" t="s">
        <v>135</v>
      </c>
      <c r="P6239">
        <v>62966</v>
      </c>
      <c r="Q6239">
        <v>6240</v>
      </c>
      <c r="R6239" t="s">
        <v>23</v>
      </c>
      <c r="S6239" s="1" t="s">
        <v>34218</v>
      </c>
    </row>
    <row r="6240" spans="1:19" x14ac:dyDescent="0.25">
      <c r="A6240">
        <v>101288021</v>
      </c>
      <c r="B6240" t="s">
        <v>15064</v>
      </c>
      <c r="C6240" t="s">
        <v>432</v>
      </c>
      <c r="G6240" t="s">
        <v>15065</v>
      </c>
      <c r="H6240" t="s">
        <v>4580</v>
      </c>
      <c r="I6240" t="s">
        <v>117</v>
      </c>
      <c r="J6240">
        <v>12477</v>
      </c>
      <c r="K6240">
        <v>4044</v>
      </c>
      <c r="L6240" t="s">
        <v>23</v>
      </c>
      <c r="M6240" t="s">
        <v>15065</v>
      </c>
      <c r="N6240" t="s">
        <v>4580</v>
      </c>
      <c r="O6240" t="s">
        <v>117</v>
      </c>
      <c r="P6240">
        <v>12477</v>
      </c>
      <c r="Q6240">
        <v>4044</v>
      </c>
      <c r="R6240" t="s">
        <v>23</v>
      </c>
      <c r="S6240" s="1" t="s">
        <v>34218</v>
      </c>
    </row>
    <row r="6241" spans="1:19" x14ac:dyDescent="0.25">
      <c r="A6241">
        <v>101291614</v>
      </c>
      <c r="B6241" t="s">
        <v>15066</v>
      </c>
      <c r="C6241" t="s">
        <v>172</v>
      </c>
      <c r="G6241" t="s">
        <v>15067</v>
      </c>
      <c r="H6241" t="s">
        <v>5512</v>
      </c>
      <c r="I6241" t="s">
        <v>2537</v>
      </c>
      <c r="J6241">
        <v>72653</v>
      </c>
      <c r="K6241">
        <v>6806</v>
      </c>
      <c r="L6241" t="s">
        <v>23</v>
      </c>
      <c r="M6241" t="s">
        <v>15067</v>
      </c>
      <c r="N6241" t="s">
        <v>5512</v>
      </c>
      <c r="O6241" t="s">
        <v>2537</v>
      </c>
      <c r="P6241">
        <v>72653</v>
      </c>
      <c r="Q6241">
        <v>6806</v>
      </c>
      <c r="R6241" t="s">
        <v>23</v>
      </c>
      <c r="S6241" s="1" t="s">
        <v>34218</v>
      </c>
    </row>
    <row r="6242" spans="1:19" x14ac:dyDescent="0.25">
      <c r="A6242">
        <v>101290295</v>
      </c>
      <c r="B6242" t="s">
        <v>15068</v>
      </c>
      <c r="C6242" t="s">
        <v>1773</v>
      </c>
      <c r="G6242" t="s">
        <v>15069</v>
      </c>
      <c r="H6242" t="s">
        <v>2274</v>
      </c>
      <c r="I6242" t="s">
        <v>250</v>
      </c>
      <c r="J6242">
        <v>8807</v>
      </c>
      <c r="K6242">
        <v>1826</v>
      </c>
      <c r="L6242" t="s">
        <v>23</v>
      </c>
      <c r="M6242" t="s">
        <v>15069</v>
      </c>
      <c r="N6242" t="s">
        <v>2274</v>
      </c>
      <c r="O6242" t="s">
        <v>250</v>
      </c>
      <c r="P6242">
        <v>8807</v>
      </c>
      <c r="Q6242">
        <v>1826</v>
      </c>
      <c r="R6242" t="s">
        <v>23</v>
      </c>
      <c r="S6242" s="1" t="s">
        <v>34218</v>
      </c>
    </row>
    <row r="6243" spans="1:19" x14ac:dyDescent="0.25">
      <c r="A6243">
        <v>101293280</v>
      </c>
      <c r="B6243" t="s">
        <v>15070</v>
      </c>
      <c r="C6243" t="s">
        <v>707</v>
      </c>
      <c r="G6243" t="s">
        <v>15071</v>
      </c>
      <c r="H6243" t="s">
        <v>761</v>
      </c>
      <c r="I6243" t="s">
        <v>22</v>
      </c>
      <c r="J6243">
        <v>94518</v>
      </c>
      <c r="K6243">
        <v>4106</v>
      </c>
      <c r="L6243" t="s">
        <v>23</v>
      </c>
      <c r="M6243" t="s">
        <v>15071</v>
      </c>
      <c r="N6243" t="s">
        <v>761</v>
      </c>
      <c r="O6243" t="s">
        <v>22</v>
      </c>
      <c r="P6243">
        <v>94518</v>
      </c>
      <c r="Q6243">
        <v>4106</v>
      </c>
      <c r="R6243" t="s">
        <v>23</v>
      </c>
      <c r="S6243" s="1" t="s">
        <v>34218</v>
      </c>
    </row>
    <row r="6244" spans="1:19" x14ac:dyDescent="0.25">
      <c r="A6244">
        <v>101291726</v>
      </c>
      <c r="B6244" t="s">
        <v>11075</v>
      </c>
      <c r="C6244" t="s">
        <v>3854</v>
      </c>
      <c r="G6244" t="s">
        <v>15072</v>
      </c>
      <c r="H6244" t="s">
        <v>15073</v>
      </c>
      <c r="I6244" t="s">
        <v>71</v>
      </c>
      <c r="J6244">
        <v>80466</v>
      </c>
      <c r="K6244">
        <v>9635</v>
      </c>
      <c r="L6244" t="s">
        <v>23</v>
      </c>
      <c r="M6244" t="s">
        <v>15072</v>
      </c>
      <c r="N6244" t="s">
        <v>15073</v>
      </c>
      <c r="O6244" t="s">
        <v>71</v>
      </c>
      <c r="P6244">
        <v>80466</v>
      </c>
      <c r="Q6244">
        <v>9635</v>
      </c>
      <c r="R6244" t="s">
        <v>23</v>
      </c>
      <c r="S6244" s="1" t="s">
        <v>34218</v>
      </c>
    </row>
    <row r="6245" spans="1:19" x14ac:dyDescent="0.25">
      <c r="A6245">
        <v>101296131</v>
      </c>
      <c r="B6245" t="s">
        <v>15074</v>
      </c>
      <c r="C6245" t="s">
        <v>15075</v>
      </c>
      <c r="G6245" t="s">
        <v>15076</v>
      </c>
      <c r="H6245" t="s">
        <v>12726</v>
      </c>
      <c r="I6245" t="s">
        <v>100</v>
      </c>
      <c r="J6245">
        <v>53144</v>
      </c>
      <c r="K6245">
        <v>3930</v>
      </c>
      <c r="L6245" t="s">
        <v>23</v>
      </c>
      <c r="M6245" t="s">
        <v>15076</v>
      </c>
      <c r="N6245" t="s">
        <v>12726</v>
      </c>
      <c r="O6245" t="s">
        <v>100</v>
      </c>
      <c r="P6245">
        <v>53144</v>
      </c>
      <c r="Q6245">
        <v>3930</v>
      </c>
      <c r="R6245" t="s">
        <v>23</v>
      </c>
      <c r="S6245" s="1" t="s">
        <v>34218</v>
      </c>
    </row>
    <row r="6246" spans="1:19" x14ac:dyDescent="0.25">
      <c r="A6246">
        <v>101298933</v>
      </c>
      <c r="B6246" t="s">
        <v>15077</v>
      </c>
      <c r="C6246" t="s">
        <v>158</v>
      </c>
      <c r="G6246" t="s">
        <v>15078</v>
      </c>
      <c r="H6246" t="s">
        <v>15079</v>
      </c>
      <c r="I6246" t="s">
        <v>140</v>
      </c>
      <c r="J6246">
        <v>49616</v>
      </c>
      <c r="K6246">
        <v>9757</v>
      </c>
      <c r="L6246" t="s">
        <v>23</v>
      </c>
      <c r="M6246" t="s">
        <v>15078</v>
      </c>
      <c r="N6246" t="s">
        <v>15079</v>
      </c>
      <c r="O6246" t="s">
        <v>140</v>
      </c>
      <c r="P6246">
        <v>49616</v>
      </c>
      <c r="Q6246">
        <v>9757</v>
      </c>
      <c r="R6246" t="s">
        <v>23</v>
      </c>
      <c r="S6246" s="1" t="s">
        <v>34218</v>
      </c>
    </row>
    <row r="6247" spans="1:19" x14ac:dyDescent="0.25">
      <c r="A6247">
        <v>100971800</v>
      </c>
      <c r="B6247" t="s">
        <v>3828</v>
      </c>
      <c r="C6247" t="s">
        <v>5180</v>
      </c>
      <c r="G6247" t="s">
        <v>15080</v>
      </c>
      <c r="H6247" t="s">
        <v>15081</v>
      </c>
      <c r="I6247" t="s">
        <v>250</v>
      </c>
      <c r="J6247">
        <v>7079</v>
      </c>
      <c r="K6247">
        <v>1829</v>
      </c>
      <c r="L6247" t="s">
        <v>23</v>
      </c>
      <c r="M6247" t="s">
        <v>15080</v>
      </c>
      <c r="N6247" t="s">
        <v>15081</v>
      </c>
      <c r="O6247" t="s">
        <v>250</v>
      </c>
      <c r="P6247">
        <v>7079</v>
      </c>
      <c r="Q6247">
        <v>1829</v>
      </c>
      <c r="R6247" t="s">
        <v>23</v>
      </c>
      <c r="S6247" s="1" t="s">
        <v>34218</v>
      </c>
    </row>
    <row r="6248" spans="1:19" x14ac:dyDescent="0.25">
      <c r="A6248">
        <v>100972949</v>
      </c>
      <c r="B6248" t="s">
        <v>1194</v>
      </c>
      <c r="C6248" t="s">
        <v>1176</v>
      </c>
      <c r="G6248" t="s">
        <v>15082</v>
      </c>
      <c r="H6248" t="s">
        <v>1052</v>
      </c>
      <c r="I6248" t="s">
        <v>117</v>
      </c>
      <c r="J6248">
        <v>12202</v>
      </c>
      <c r="K6248">
        <v>1108</v>
      </c>
      <c r="L6248" t="s">
        <v>23</v>
      </c>
      <c r="M6248" t="s">
        <v>15082</v>
      </c>
      <c r="N6248" t="s">
        <v>1052</v>
      </c>
      <c r="O6248" t="s">
        <v>117</v>
      </c>
      <c r="P6248">
        <v>12202</v>
      </c>
      <c r="Q6248">
        <v>1108</v>
      </c>
      <c r="R6248" t="s">
        <v>23</v>
      </c>
      <c r="S6248" s="1" t="s">
        <v>34218</v>
      </c>
    </row>
    <row r="6249" spans="1:19" x14ac:dyDescent="0.25">
      <c r="A6249">
        <v>100977571</v>
      </c>
      <c r="B6249" t="s">
        <v>15083</v>
      </c>
      <c r="C6249" t="s">
        <v>15084</v>
      </c>
      <c r="G6249" t="s">
        <v>15085</v>
      </c>
      <c r="H6249" t="s">
        <v>4751</v>
      </c>
      <c r="I6249" t="s">
        <v>140</v>
      </c>
      <c r="J6249">
        <v>49120</v>
      </c>
      <c r="K6249">
        <v>7906</v>
      </c>
      <c r="L6249" t="s">
        <v>23</v>
      </c>
      <c r="M6249" t="s">
        <v>15085</v>
      </c>
      <c r="N6249" t="s">
        <v>4751</v>
      </c>
      <c r="O6249" t="s">
        <v>140</v>
      </c>
      <c r="P6249">
        <v>49120</v>
      </c>
      <c r="Q6249">
        <v>7906</v>
      </c>
      <c r="R6249" t="s">
        <v>23</v>
      </c>
      <c r="S6249" s="1" t="s">
        <v>34218</v>
      </c>
    </row>
    <row r="6250" spans="1:19" x14ac:dyDescent="0.25">
      <c r="A6250">
        <v>100983877</v>
      </c>
      <c r="B6250" t="s">
        <v>15086</v>
      </c>
      <c r="C6250" t="s">
        <v>1600</v>
      </c>
      <c r="G6250" t="s">
        <v>15087</v>
      </c>
      <c r="H6250" t="s">
        <v>2319</v>
      </c>
      <c r="I6250" t="s">
        <v>117</v>
      </c>
      <c r="J6250">
        <v>10312</v>
      </c>
      <c r="K6250">
        <v>4165</v>
      </c>
      <c r="L6250" t="s">
        <v>23</v>
      </c>
      <c r="M6250" t="s">
        <v>15087</v>
      </c>
      <c r="N6250" t="s">
        <v>2319</v>
      </c>
      <c r="O6250" t="s">
        <v>117</v>
      </c>
      <c r="P6250">
        <v>10312</v>
      </c>
      <c r="Q6250">
        <v>4165</v>
      </c>
      <c r="R6250" t="s">
        <v>23</v>
      </c>
      <c r="S6250" s="1" t="s">
        <v>34218</v>
      </c>
    </row>
    <row r="6251" spans="1:19" x14ac:dyDescent="0.25">
      <c r="A6251">
        <v>100982378</v>
      </c>
      <c r="B6251" t="s">
        <v>2637</v>
      </c>
      <c r="C6251" t="s">
        <v>15088</v>
      </c>
      <c r="G6251" t="s">
        <v>15089</v>
      </c>
      <c r="H6251" t="s">
        <v>3498</v>
      </c>
      <c r="I6251" t="s">
        <v>43</v>
      </c>
      <c r="J6251">
        <v>97330</v>
      </c>
      <c r="K6251">
        <v>9118</v>
      </c>
      <c r="L6251" t="s">
        <v>23</v>
      </c>
      <c r="M6251" t="s">
        <v>15089</v>
      </c>
      <c r="N6251" t="s">
        <v>3498</v>
      </c>
      <c r="O6251" t="s">
        <v>43</v>
      </c>
      <c r="P6251">
        <v>97330</v>
      </c>
      <c r="Q6251">
        <v>9118</v>
      </c>
      <c r="R6251" t="s">
        <v>23</v>
      </c>
      <c r="S6251" s="1" t="s">
        <v>34218</v>
      </c>
    </row>
    <row r="6252" spans="1:19" x14ac:dyDescent="0.25">
      <c r="A6252">
        <v>101156785</v>
      </c>
      <c r="B6252" t="s">
        <v>15090</v>
      </c>
      <c r="C6252" t="s">
        <v>2365</v>
      </c>
      <c r="G6252" t="s">
        <v>15091</v>
      </c>
      <c r="H6252" t="s">
        <v>15092</v>
      </c>
      <c r="I6252" t="s">
        <v>135</v>
      </c>
      <c r="J6252">
        <v>61265</v>
      </c>
      <c r="K6252">
        <v>2465</v>
      </c>
      <c r="L6252" t="s">
        <v>23</v>
      </c>
      <c r="M6252" t="s">
        <v>15091</v>
      </c>
      <c r="N6252" t="s">
        <v>15092</v>
      </c>
      <c r="O6252" t="s">
        <v>135</v>
      </c>
      <c r="P6252">
        <v>61265</v>
      </c>
      <c r="Q6252">
        <v>2465</v>
      </c>
      <c r="R6252" t="s">
        <v>23</v>
      </c>
      <c r="S6252" s="1" t="s">
        <v>34218</v>
      </c>
    </row>
    <row r="6253" spans="1:19" x14ac:dyDescent="0.25">
      <c r="A6253">
        <v>101164844</v>
      </c>
      <c r="B6253" t="s">
        <v>3222</v>
      </c>
      <c r="C6253" t="s">
        <v>4245</v>
      </c>
      <c r="G6253" t="s">
        <v>15093</v>
      </c>
      <c r="H6253" t="s">
        <v>2530</v>
      </c>
      <c r="I6253" t="s">
        <v>236</v>
      </c>
      <c r="J6253">
        <v>2176</v>
      </c>
      <c r="K6253">
        <v>1141</v>
      </c>
      <c r="L6253" t="s">
        <v>23</v>
      </c>
      <c r="M6253" t="s">
        <v>15093</v>
      </c>
      <c r="N6253" t="s">
        <v>2530</v>
      </c>
      <c r="O6253" t="s">
        <v>236</v>
      </c>
      <c r="P6253">
        <v>2176</v>
      </c>
      <c r="Q6253">
        <v>1141</v>
      </c>
      <c r="R6253" t="s">
        <v>23</v>
      </c>
      <c r="S6253" s="1" t="s">
        <v>34218</v>
      </c>
    </row>
    <row r="6254" spans="1:19" x14ac:dyDescent="0.25">
      <c r="A6254">
        <v>101161134</v>
      </c>
      <c r="B6254" t="s">
        <v>15094</v>
      </c>
      <c r="C6254" t="s">
        <v>15095</v>
      </c>
      <c r="G6254" t="s">
        <v>15096</v>
      </c>
      <c r="H6254" t="s">
        <v>412</v>
      </c>
      <c r="I6254" t="s">
        <v>117</v>
      </c>
      <c r="J6254">
        <v>11217</v>
      </c>
      <c r="K6254">
        <v>2594</v>
      </c>
      <c r="L6254" t="s">
        <v>23</v>
      </c>
      <c r="M6254" t="s">
        <v>15096</v>
      </c>
      <c r="N6254" t="s">
        <v>412</v>
      </c>
      <c r="O6254" t="s">
        <v>117</v>
      </c>
      <c r="P6254">
        <v>11217</v>
      </c>
      <c r="Q6254">
        <v>2594</v>
      </c>
      <c r="R6254" t="s">
        <v>23</v>
      </c>
      <c r="S6254" s="1" t="s">
        <v>34218</v>
      </c>
    </row>
    <row r="6255" spans="1:19" x14ac:dyDescent="0.25">
      <c r="A6255">
        <v>101170600</v>
      </c>
      <c r="B6255" t="s">
        <v>4170</v>
      </c>
      <c r="C6255" t="s">
        <v>208</v>
      </c>
      <c r="G6255" t="s">
        <v>15097</v>
      </c>
      <c r="H6255" t="s">
        <v>976</v>
      </c>
      <c r="I6255" t="s">
        <v>140</v>
      </c>
      <c r="J6255">
        <v>48103</v>
      </c>
      <c r="K6255">
        <v>8980</v>
      </c>
      <c r="L6255" t="s">
        <v>23</v>
      </c>
      <c r="M6255" t="s">
        <v>15097</v>
      </c>
      <c r="N6255" t="s">
        <v>976</v>
      </c>
      <c r="O6255" t="s">
        <v>140</v>
      </c>
      <c r="P6255">
        <v>48103</v>
      </c>
      <c r="Q6255">
        <v>8980</v>
      </c>
      <c r="R6255" t="s">
        <v>23</v>
      </c>
      <c r="S6255" s="1" t="s">
        <v>34218</v>
      </c>
    </row>
    <row r="6256" spans="1:19" x14ac:dyDescent="0.25">
      <c r="A6256">
        <v>101169863</v>
      </c>
      <c r="B6256" t="s">
        <v>15098</v>
      </c>
      <c r="C6256" t="s">
        <v>123</v>
      </c>
      <c r="G6256" t="s">
        <v>15099</v>
      </c>
      <c r="H6256" t="s">
        <v>15100</v>
      </c>
      <c r="I6256" t="s">
        <v>255</v>
      </c>
      <c r="J6256">
        <v>23692</v>
      </c>
      <c r="K6256">
        <v>3098</v>
      </c>
      <c r="L6256" t="s">
        <v>23</v>
      </c>
      <c r="M6256" t="s">
        <v>15099</v>
      </c>
      <c r="N6256" t="s">
        <v>15100</v>
      </c>
      <c r="O6256" t="s">
        <v>255</v>
      </c>
      <c r="P6256">
        <v>23692</v>
      </c>
      <c r="Q6256">
        <v>3098</v>
      </c>
      <c r="R6256" t="s">
        <v>23</v>
      </c>
      <c r="S6256" s="1" t="s">
        <v>34218</v>
      </c>
    </row>
    <row r="6257" spans="1:19" x14ac:dyDescent="0.25">
      <c r="A6257">
        <v>101418333</v>
      </c>
      <c r="B6257" t="s">
        <v>15101</v>
      </c>
      <c r="C6257" t="s">
        <v>15102</v>
      </c>
      <c r="G6257" t="s">
        <v>15103</v>
      </c>
      <c r="H6257" t="s">
        <v>15104</v>
      </c>
      <c r="I6257" t="s">
        <v>100</v>
      </c>
      <c r="J6257" t="s">
        <v>15105</v>
      </c>
      <c r="K6257">
        <v>3606</v>
      </c>
      <c r="L6257" t="s">
        <v>23</v>
      </c>
      <c r="M6257" t="s">
        <v>15103</v>
      </c>
      <c r="N6257" t="s">
        <v>15104</v>
      </c>
      <c r="O6257" t="s">
        <v>100</v>
      </c>
      <c r="P6257" t="s">
        <v>15105</v>
      </c>
      <c r="Q6257">
        <v>3606</v>
      </c>
      <c r="R6257" t="s">
        <v>23</v>
      </c>
      <c r="S6257" s="1" t="s">
        <v>34218</v>
      </c>
    </row>
    <row r="6258" spans="1:19" x14ac:dyDescent="0.25">
      <c r="A6258">
        <v>100838607</v>
      </c>
      <c r="B6258" t="s">
        <v>15106</v>
      </c>
      <c r="C6258" t="s">
        <v>9050</v>
      </c>
      <c r="F6258" t="str">
        <f>"8024533745"</f>
        <v>8024533745</v>
      </c>
      <c r="G6258" t="s">
        <v>15107</v>
      </c>
      <c r="H6258" t="s">
        <v>10328</v>
      </c>
      <c r="I6258" t="s">
        <v>307</v>
      </c>
      <c r="J6258" t="s">
        <v>15108</v>
      </c>
      <c r="K6258">
        <v>1012</v>
      </c>
      <c r="L6258" t="s">
        <v>23</v>
      </c>
      <c r="M6258" t="s">
        <v>15107</v>
      </c>
      <c r="N6258" t="s">
        <v>10328</v>
      </c>
      <c r="O6258" t="s">
        <v>307</v>
      </c>
      <c r="P6258" t="s">
        <v>15108</v>
      </c>
      <c r="Q6258">
        <v>1012</v>
      </c>
      <c r="R6258" t="s">
        <v>23</v>
      </c>
      <c r="S6258" s="1" t="s">
        <v>34218</v>
      </c>
    </row>
    <row r="6259" spans="1:19" x14ac:dyDescent="0.25">
      <c r="A6259">
        <v>101034106</v>
      </c>
      <c r="B6259" t="s">
        <v>15109</v>
      </c>
      <c r="C6259" t="s">
        <v>403</v>
      </c>
      <c r="G6259" t="s">
        <v>15110</v>
      </c>
      <c r="H6259" t="s">
        <v>1803</v>
      </c>
      <c r="I6259" t="s">
        <v>135</v>
      </c>
      <c r="J6259" t="s">
        <v>15111</v>
      </c>
      <c r="K6259">
        <v>3141</v>
      </c>
      <c r="L6259" t="s">
        <v>23</v>
      </c>
      <c r="M6259" t="s">
        <v>15110</v>
      </c>
      <c r="N6259" t="s">
        <v>1803</v>
      </c>
      <c r="O6259" t="s">
        <v>135</v>
      </c>
      <c r="P6259" t="s">
        <v>15111</v>
      </c>
      <c r="Q6259">
        <v>3141</v>
      </c>
      <c r="R6259" t="s">
        <v>23</v>
      </c>
      <c r="S6259" s="1" t="s">
        <v>34218</v>
      </c>
    </row>
    <row r="6260" spans="1:19" x14ac:dyDescent="0.25">
      <c r="A6260">
        <v>100515230</v>
      </c>
      <c r="B6260" t="s">
        <v>9914</v>
      </c>
      <c r="C6260" t="s">
        <v>15112</v>
      </c>
      <c r="G6260" t="s">
        <v>15113</v>
      </c>
      <c r="H6260" t="s">
        <v>1594</v>
      </c>
      <c r="I6260" t="s">
        <v>84</v>
      </c>
      <c r="J6260" t="s">
        <v>15114</v>
      </c>
      <c r="K6260">
        <v>2585</v>
      </c>
      <c r="L6260" t="s">
        <v>23</v>
      </c>
      <c r="M6260" t="s">
        <v>15113</v>
      </c>
      <c r="N6260" t="s">
        <v>1594</v>
      </c>
      <c r="O6260" t="s">
        <v>84</v>
      </c>
      <c r="P6260" t="s">
        <v>15114</v>
      </c>
      <c r="Q6260">
        <v>2585</v>
      </c>
      <c r="R6260" t="s">
        <v>23</v>
      </c>
      <c r="S6260" s="1" t="s">
        <v>34218</v>
      </c>
    </row>
    <row r="6261" spans="1:19" x14ac:dyDescent="0.25">
      <c r="A6261">
        <v>101293371</v>
      </c>
      <c r="B6261" t="s">
        <v>3650</v>
      </c>
      <c r="C6261" t="s">
        <v>1212</v>
      </c>
      <c r="G6261" t="s">
        <v>15115</v>
      </c>
      <c r="H6261" t="s">
        <v>15116</v>
      </c>
      <c r="I6261" t="s">
        <v>52</v>
      </c>
      <c r="J6261" t="s">
        <v>15117</v>
      </c>
      <c r="K6261">
        <v>3735</v>
      </c>
      <c r="L6261" t="s">
        <v>23</v>
      </c>
      <c r="M6261" t="s">
        <v>15115</v>
      </c>
      <c r="N6261" t="s">
        <v>15116</v>
      </c>
      <c r="O6261" t="s">
        <v>52</v>
      </c>
      <c r="P6261" t="s">
        <v>15117</v>
      </c>
      <c r="Q6261">
        <v>3735</v>
      </c>
      <c r="R6261" t="s">
        <v>23</v>
      </c>
      <c r="S6261" s="1" t="s">
        <v>34218</v>
      </c>
    </row>
    <row r="6262" spans="1:19" x14ac:dyDescent="0.25">
      <c r="A6262">
        <v>101313382</v>
      </c>
      <c r="B6262" t="s">
        <v>3843</v>
      </c>
      <c r="C6262" t="s">
        <v>1298</v>
      </c>
      <c r="G6262" t="s">
        <v>15118</v>
      </c>
      <c r="H6262" t="s">
        <v>10416</v>
      </c>
      <c r="I6262" t="s">
        <v>1097</v>
      </c>
      <c r="J6262" t="s">
        <v>15119</v>
      </c>
      <c r="K6262">
        <v>3354</v>
      </c>
      <c r="L6262" t="s">
        <v>23</v>
      </c>
      <c r="M6262" t="s">
        <v>15118</v>
      </c>
      <c r="N6262" t="s">
        <v>10416</v>
      </c>
      <c r="O6262" t="s">
        <v>1097</v>
      </c>
      <c r="P6262" t="s">
        <v>15119</v>
      </c>
      <c r="Q6262">
        <v>3354</v>
      </c>
      <c r="R6262" t="s">
        <v>23</v>
      </c>
      <c r="S6262" s="1" t="s">
        <v>34218</v>
      </c>
    </row>
    <row r="6263" spans="1:19" x14ac:dyDescent="0.25">
      <c r="A6263">
        <v>101121246</v>
      </c>
      <c r="B6263" t="s">
        <v>15120</v>
      </c>
      <c r="C6263" t="s">
        <v>1835</v>
      </c>
      <c r="G6263" t="s">
        <v>15121</v>
      </c>
      <c r="H6263" t="s">
        <v>7784</v>
      </c>
      <c r="I6263" t="s">
        <v>117</v>
      </c>
      <c r="J6263">
        <v>11096</v>
      </c>
      <c r="K6263">
        <v>1213</v>
      </c>
      <c r="L6263" t="s">
        <v>23</v>
      </c>
      <c r="M6263" t="s">
        <v>15121</v>
      </c>
      <c r="N6263" t="s">
        <v>7784</v>
      </c>
      <c r="O6263" t="s">
        <v>117</v>
      </c>
      <c r="P6263">
        <v>11096</v>
      </c>
      <c r="Q6263">
        <v>1213</v>
      </c>
      <c r="R6263" t="s">
        <v>23</v>
      </c>
      <c r="S6263" s="1" t="s">
        <v>34218</v>
      </c>
    </row>
    <row r="6264" spans="1:19" x14ac:dyDescent="0.25">
      <c r="A6264">
        <v>101339582</v>
      </c>
      <c r="B6264" t="s">
        <v>10838</v>
      </c>
      <c r="C6264" t="s">
        <v>3633</v>
      </c>
      <c r="G6264" t="s">
        <v>15122</v>
      </c>
      <c r="H6264" t="s">
        <v>419</v>
      </c>
      <c r="I6264" t="s">
        <v>38</v>
      </c>
      <c r="J6264">
        <v>76137</v>
      </c>
      <c r="K6264">
        <v>5476</v>
      </c>
      <c r="L6264" t="s">
        <v>23</v>
      </c>
      <c r="M6264" t="s">
        <v>15122</v>
      </c>
      <c r="N6264" t="s">
        <v>419</v>
      </c>
      <c r="O6264" t="s">
        <v>38</v>
      </c>
      <c r="P6264">
        <v>76137</v>
      </c>
      <c r="Q6264">
        <v>5476</v>
      </c>
      <c r="R6264" t="s">
        <v>23</v>
      </c>
      <c r="S6264" s="1" t="s">
        <v>34218</v>
      </c>
    </row>
    <row r="6265" spans="1:19" x14ac:dyDescent="0.25">
      <c r="A6265">
        <v>101341608</v>
      </c>
      <c r="B6265" t="s">
        <v>15123</v>
      </c>
      <c r="C6265" t="s">
        <v>180</v>
      </c>
      <c r="G6265" t="s">
        <v>15124</v>
      </c>
      <c r="H6265" t="s">
        <v>15125</v>
      </c>
      <c r="I6265" t="s">
        <v>57</v>
      </c>
      <c r="J6265">
        <v>46374</v>
      </c>
      <c r="K6265">
        <v>9682</v>
      </c>
      <c r="L6265" t="s">
        <v>23</v>
      </c>
      <c r="M6265" t="s">
        <v>15124</v>
      </c>
      <c r="N6265" t="s">
        <v>15125</v>
      </c>
      <c r="O6265" t="s">
        <v>57</v>
      </c>
      <c r="P6265">
        <v>46374</v>
      </c>
      <c r="Q6265">
        <v>9682</v>
      </c>
      <c r="R6265" t="s">
        <v>23</v>
      </c>
      <c r="S6265" s="1" t="s">
        <v>34218</v>
      </c>
    </row>
    <row r="6266" spans="1:19" x14ac:dyDescent="0.25">
      <c r="A6266">
        <v>101346824</v>
      </c>
      <c r="B6266" t="s">
        <v>3109</v>
      </c>
      <c r="C6266" t="s">
        <v>367</v>
      </c>
      <c r="G6266" t="s">
        <v>15126</v>
      </c>
      <c r="H6266" t="s">
        <v>423</v>
      </c>
      <c r="I6266" t="s">
        <v>71</v>
      </c>
      <c r="J6266">
        <v>80304</v>
      </c>
      <c r="K6266">
        <v>3006</v>
      </c>
      <c r="L6266" t="s">
        <v>23</v>
      </c>
      <c r="M6266" t="s">
        <v>15126</v>
      </c>
      <c r="N6266" t="s">
        <v>423</v>
      </c>
      <c r="O6266" t="s">
        <v>71</v>
      </c>
      <c r="P6266">
        <v>80304</v>
      </c>
      <c r="Q6266">
        <v>3006</v>
      </c>
      <c r="R6266" t="s">
        <v>23</v>
      </c>
      <c r="S6266" s="1" t="s">
        <v>34218</v>
      </c>
    </row>
    <row r="6267" spans="1:19" x14ac:dyDescent="0.25">
      <c r="A6267">
        <v>101357788</v>
      </c>
      <c r="B6267" t="s">
        <v>7493</v>
      </c>
      <c r="C6267" t="s">
        <v>15127</v>
      </c>
      <c r="G6267" t="s">
        <v>15128</v>
      </c>
      <c r="H6267" t="s">
        <v>15129</v>
      </c>
      <c r="I6267" t="s">
        <v>100</v>
      </c>
      <c r="J6267">
        <v>53147</v>
      </c>
      <c r="K6267">
        <v>4164</v>
      </c>
      <c r="L6267" t="s">
        <v>23</v>
      </c>
      <c r="M6267" t="s">
        <v>15128</v>
      </c>
      <c r="N6267" t="s">
        <v>15129</v>
      </c>
      <c r="O6267" t="s">
        <v>100</v>
      </c>
      <c r="P6267">
        <v>53147</v>
      </c>
      <c r="Q6267">
        <v>4164</v>
      </c>
      <c r="R6267" t="s">
        <v>23</v>
      </c>
      <c r="S6267" s="1" t="s">
        <v>34218</v>
      </c>
    </row>
    <row r="6268" spans="1:19" x14ac:dyDescent="0.25">
      <c r="A6268">
        <v>101348665</v>
      </c>
      <c r="B6268" t="s">
        <v>15130</v>
      </c>
      <c r="C6268" t="s">
        <v>1327</v>
      </c>
      <c r="F6268" t="str">
        <f>"7329470359"</f>
        <v>7329470359</v>
      </c>
      <c r="G6268" t="s">
        <v>15131</v>
      </c>
      <c r="H6268" t="s">
        <v>4033</v>
      </c>
      <c r="I6268" t="s">
        <v>250</v>
      </c>
      <c r="J6268">
        <v>8837</v>
      </c>
      <c r="K6268">
        <v>2924</v>
      </c>
      <c r="L6268" t="s">
        <v>23</v>
      </c>
      <c r="M6268" t="s">
        <v>15131</v>
      </c>
      <c r="N6268" t="s">
        <v>4033</v>
      </c>
      <c r="O6268" t="s">
        <v>250</v>
      </c>
      <c r="P6268">
        <v>8837</v>
      </c>
      <c r="Q6268">
        <v>2924</v>
      </c>
      <c r="R6268" t="s">
        <v>23</v>
      </c>
      <c r="S6268" s="1" t="s">
        <v>34218</v>
      </c>
    </row>
    <row r="6269" spans="1:19" x14ac:dyDescent="0.25">
      <c r="A6269">
        <v>101354390</v>
      </c>
      <c r="B6269" t="s">
        <v>15132</v>
      </c>
      <c r="C6269" t="s">
        <v>102</v>
      </c>
      <c r="G6269" t="s">
        <v>15133</v>
      </c>
      <c r="H6269" t="s">
        <v>7649</v>
      </c>
      <c r="I6269" t="s">
        <v>57</v>
      </c>
      <c r="J6269">
        <v>46240</v>
      </c>
      <c r="K6269">
        <v>2351</v>
      </c>
      <c r="L6269" t="s">
        <v>23</v>
      </c>
      <c r="M6269" t="s">
        <v>15133</v>
      </c>
      <c r="N6269" t="s">
        <v>7649</v>
      </c>
      <c r="O6269" t="s">
        <v>57</v>
      </c>
      <c r="P6269">
        <v>46240</v>
      </c>
      <c r="Q6269">
        <v>2351</v>
      </c>
      <c r="R6269" t="s">
        <v>23</v>
      </c>
      <c r="S6269" s="1" t="s">
        <v>34218</v>
      </c>
    </row>
    <row r="6270" spans="1:19" x14ac:dyDescent="0.25">
      <c r="A6270">
        <v>101359618</v>
      </c>
      <c r="B6270" t="s">
        <v>15134</v>
      </c>
      <c r="C6270" t="s">
        <v>216</v>
      </c>
      <c r="G6270" t="s">
        <v>15135</v>
      </c>
      <c r="H6270" t="s">
        <v>1452</v>
      </c>
      <c r="I6270" t="s">
        <v>43</v>
      </c>
      <c r="J6270">
        <v>97402</v>
      </c>
      <c r="K6270">
        <v>418</v>
      </c>
      <c r="L6270" t="s">
        <v>23</v>
      </c>
      <c r="M6270" t="s">
        <v>15135</v>
      </c>
      <c r="N6270" t="s">
        <v>1452</v>
      </c>
      <c r="O6270" t="s">
        <v>43</v>
      </c>
      <c r="P6270">
        <v>97402</v>
      </c>
      <c r="Q6270">
        <v>418</v>
      </c>
      <c r="R6270" t="s">
        <v>23</v>
      </c>
      <c r="S6270" s="1" t="s">
        <v>34218</v>
      </c>
    </row>
    <row r="6271" spans="1:19" x14ac:dyDescent="0.25">
      <c r="A6271">
        <v>101349856</v>
      </c>
      <c r="B6271" t="s">
        <v>1376</v>
      </c>
      <c r="C6271" t="s">
        <v>30</v>
      </c>
      <c r="G6271" t="s">
        <v>15136</v>
      </c>
      <c r="H6271" t="s">
        <v>1604</v>
      </c>
      <c r="I6271" t="s">
        <v>1482</v>
      </c>
      <c r="J6271">
        <v>29204</v>
      </c>
      <c r="K6271">
        <v>2611</v>
      </c>
      <c r="L6271" t="s">
        <v>23</v>
      </c>
      <c r="M6271" t="s">
        <v>15136</v>
      </c>
      <c r="N6271" t="s">
        <v>1604</v>
      </c>
      <c r="O6271" t="s">
        <v>1482</v>
      </c>
      <c r="P6271">
        <v>29204</v>
      </c>
      <c r="Q6271">
        <v>2611</v>
      </c>
      <c r="R6271" t="s">
        <v>23</v>
      </c>
      <c r="S6271" s="1" t="s">
        <v>34218</v>
      </c>
    </row>
    <row r="6272" spans="1:19" x14ac:dyDescent="0.25">
      <c r="A6272">
        <v>101350053</v>
      </c>
      <c r="B6272" t="s">
        <v>15137</v>
      </c>
      <c r="C6272" t="s">
        <v>4228</v>
      </c>
      <c r="G6272" t="s">
        <v>15138</v>
      </c>
      <c r="H6272" t="s">
        <v>1835</v>
      </c>
      <c r="I6272" t="s">
        <v>33</v>
      </c>
      <c r="J6272">
        <v>19087</v>
      </c>
      <c r="K6272">
        <v>4217</v>
      </c>
      <c r="L6272" t="s">
        <v>23</v>
      </c>
      <c r="M6272" t="s">
        <v>15138</v>
      </c>
      <c r="N6272" t="s">
        <v>1835</v>
      </c>
      <c r="O6272" t="s">
        <v>33</v>
      </c>
      <c r="P6272">
        <v>19087</v>
      </c>
      <c r="Q6272">
        <v>4217</v>
      </c>
      <c r="R6272" t="s">
        <v>23</v>
      </c>
      <c r="S6272" s="1" t="s">
        <v>34218</v>
      </c>
    </row>
    <row r="6273" spans="1:19" x14ac:dyDescent="0.25">
      <c r="A6273">
        <v>101364633</v>
      </c>
      <c r="B6273" t="s">
        <v>15139</v>
      </c>
      <c r="C6273" t="s">
        <v>810</v>
      </c>
      <c r="G6273" t="s">
        <v>15140</v>
      </c>
      <c r="H6273" t="s">
        <v>5070</v>
      </c>
      <c r="I6273" t="s">
        <v>84</v>
      </c>
      <c r="J6273">
        <v>98665</v>
      </c>
      <c r="K6273">
        <v>9534</v>
      </c>
      <c r="L6273" t="s">
        <v>23</v>
      </c>
      <c r="M6273" t="s">
        <v>15140</v>
      </c>
      <c r="N6273" t="s">
        <v>5070</v>
      </c>
      <c r="O6273" t="s">
        <v>84</v>
      </c>
      <c r="P6273">
        <v>98665</v>
      </c>
      <c r="Q6273">
        <v>9534</v>
      </c>
      <c r="R6273" t="s">
        <v>23</v>
      </c>
      <c r="S6273" s="1" t="s">
        <v>34218</v>
      </c>
    </row>
    <row r="6274" spans="1:19" x14ac:dyDescent="0.25">
      <c r="A6274">
        <v>101364680</v>
      </c>
      <c r="B6274" t="s">
        <v>12242</v>
      </c>
      <c r="C6274" t="s">
        <v>15141</v>
      </c>
      <c r="G6274" t="s">
        <v>15142</v>
      </c>
      <c r="H6274" t="s">
        <v>4632</v>
      </c>
      <c r="I6274" t="s">
        <v>178</v>
      </c>
      <c r="J6274">
        <v>43224</v>
      </c>
      <c r="K6274">
        <v>2645</v>
      </c>
      <c r="L6274" t="s">
        <v>23</v>
      </c>
      <c r="M6274" t="s">
        <v>15142</v>
      </c>
      <c r="N6274" t="s">
        <v>4632</v>
      </c>
      <c r="O6274" t="s">
        <v>178</v>
      </c>
      <c r="P6274">
        <v>43224</v>
      </c>
      <c r="Q6274">
        <v>2645</v>
      </c>
      <c r="R6274" t="s">
        <v>23</v>
      </c>
      <c r="S6274" s="1" t="s">
        <v>34218</v>
      </c>
    </row>
    <row r="6275" spans="1:19" x14ac:dyDescent="0.25">
      <c r="A6275">
        <v>101365233</v>
      </c>
      <c r="B6275" t="s">
        <v>1991</v>
      </c>
      <c r="C6275" t="s">
        <v>2610</v>
      </c>
      <c r="G6275" t="s">
        <v>6385</v>
      </c>
      <c r="H6275" t="s">
        <v>6386</v>
      </c>
      <c r="I6275" t="s">
        <v>84</v>
      </c>
      <c r="J6275">
        <v>99101</v>
      </c>
      <c r="K6275">
        <v>9712</v>
      </c>
      <c r="L6275" t="s">
        <v>23</v>
      </c>
      <c r="M6275" t="s">
        <v>6385</v>
      </c>
      <c r="N6275" t="s">
        <v>6386</v>
      </c>
      <c r="O6275" t="s">
        <v>84</v>
      </c>
      <c r="P6275">
        <v>99101</v>
      </c>
      <c r="Q6275">
        <v>9712</v>
      </c>
      <c r="R6275" t="s">
        <v>23</v>
      </c>
      <c r="S6275" s="1" t="s">
        <v>34218</v>
      </c>
    </row>
    <row r="6276" spans="1:19" x14ac:dyDescent="0.25">
      <c r="A6276">
        <v>101376314</v>
      </c>
      <c r="B6276" t="s">
        <v>5379</v>
      </c>
      <c r="C6276" t="s">
        <v>1309</v>
      </c>
      <c r="G6276" t="s">
        <v>15143</v>
      </c>
      <c r="H6276" t="s">
        <v>15144</v>
      </c>
      <c r="I6276" t="s">
        <v>191</v>
      </c>
      <c r="J6276">
        <v>4614</v>
      </c>
      <c r="K6276">
        <v>5819</v>
      </c>
      <c r="L6276" t="s">
        <v>23</v>
      </c>
      <c r="M6276" t="s">
        <v>15143</v>
      </c>
      <c r="N6276" t="s">
        <v>15144</v>
      </c>
      <c r="O6276" t="s">
        <v>191</v>
      </c>
      <c r="P6276">
        <v>4614</v>
      </c>
      <c r="Q6276">
        <v>5819</v>
      </c>
      <c r="R6276" t="s">
        <v>23</v>
      </c>
      <c r="S6276" s="1" t="s">
        <v>34218</v>
      </c>
    </row>
    <row r="6277" spans="1:19" x14ac:dyDescent="0.25">
      <c r="A6277">
        <v>101367051</v>
      </c>
      <c r="B6277" t="s">
        <v>3828</v>
      </c>
      <c r="C6277" t="s">
        <v>1050</v>
      </c>
      <c r="G6277" t="s">
        <v>15145</v>
      </c>
      <c r="H6277" t="s">
        <v>4890</v>
      </c>
      <c r="I6277" t="s">
        <v>57</v>
      </c>
      <c r="J6277">
        <v>46060</v>
      </c>
      <c r="K6277">
        <v>5442</v>
      </c>
      <c r="L6277" t="s">
        <v>23</v>
      </c>
      <c r="M6277" t="s">
        <v>15145</v>
      </c>
      <c r="N6277" t="s">
        <v>4890</v>
      </c>
      <c r="O6277" t="s">
        <v>57</v>
      </c>
      <c r="P6277">
        <v>46060</v>
      </c>
      <c r="Q6277">
        <v>5442</v>
      </c>
      <c r="R6277" t="s">
        <v>23</v>
      </c>
      <c r="S6277" s="1" t="s">
        <v>34218</v>
      </c>
    </row>
    <row r="6278" spans="1:19" x14ac:dyDescent="0.25">
      <c r="A6278">
        <v>101388866</v>
      </c>
      <c r="B6278" t="s">
        <v>15146</v>
      </c>
      <c r="C6278" t="s">
        <v>4299</v>
      </c>
      <c r="F6278" t="str">
        <f>"6826675407"</f>
        <v>6826675407</v>
      </c>
      <c r="G6278" t="s">
        <v>15147</v>
      </c>
      <c r="H6278" t="s">
        <v>6512</v>
      </c>
      <c r="I6278" t="s">
        <v>38</v>
      </c>
      <c r="J6278">
        <v>76262</v>
      </c>
      <c r="K6278">
        <v>5847</v>
      </c>
      <c r="L6278" t="s">
        <v>23</v>
      </c>
      <c r="M6278" t="s">
        <v>15147</v>
      </c>
      <c r="N6278" t="s">
        <v>6512</v>
      </c>
      <c r="O6278" t="s">
        <v>38</v>
      </c>
      <c r="P6278">
        <v>76262</v>
      </c>
      <c r="Q6278">
        <v>5847</v>
      </c>
      <c r="R6278" t="s">
        <v>23</v>
      </c>
      <c r="S6278" s="1" t="s">
        <v>34218</v>
      </c>
    </row>
    <row r="6279" spans="1:19" x14ac:dyDescent="0.25">
      <c r="A6279">
        <v>100797709</v>
      </c>
      <c r="B6279" t="s">
        <v>6555</v>
      </c>
      <c r="C6279" t="s">
        <v>110</v>
      </c>
      <c r="G6279" t="s">
        <v>15148</v>
      </c>
      <c r="H6279" t="s">
        <v>1139</v>
      </c>
      <c r="I6279" t="s">
        <v>22</v>
      </c>
      <c r="J6279">
        <v>94565</v>
      </c>
      <c r="K6279">
        <v>5626</v>
      </c>
      <c r="L6279" t="s">
        <v>23</v>
      </c>
      <c r="M6279" t="s">
        <v>15148</v>
      </c>
      <c r="N6279" t="s">
        <v>1139</v>
      </c>
      <c r="O6279" t="s">
        <v>22</v>
      </c>
      <c r="P6279">
        <v>94565</v>
      </c>
      <c r="Q6279">
        <v>5626</v>
      </c>
      <c r="R6279" t="s">
        <v>23</v>
      </c>
      <c r="S6279" s="1" t="s">
        <v>34218</v>
      </c>
    </row>
    <row r="6280" spans="1:19" x14ac:dyDescent="0.25">
      <c r="A6280">
        <v>101430312</v>
      </c>
      <c r="B6280" t="s">
        <v>1807</v>
      </c>
      <c r="C6280" t="s">
        <v>40</v>
      </c>
      <c r="G6280" t="s">
        <v>15149</v>
      </c>
      <c r="H6280" t="s">
        <v>5838</v>
      </c>
      <c r="I6280" t="s">
        <v>914</v>
      </c>
      <c r="J6280">
        <v>37411</v>
      </c>
      <c r="K6280">
        <v>4529</v>
      </c>
      <c r="L6280" t="s">
        <v>23</v>
      </c>
      <c r="M6280" t="s">
        <v>15149</v>
      </c>
      <c r="N6280" t="s">
        <v>5838</v>
      </c>
      <c r="O6280" t="s">
        <v>914</v>
      </c>
      <c r="P6280">
        <v>37411</v>
      </c>
      <c r="Q6280">
        <v>4529</v>
      </c>
      <c r="R6280" t="s">
        <v>23</v>
      </c>
      <c r="S6280" s="1" t="s">
        <v>34218</v>
      </c>
    </row>
    <row r="6281" spans="1:19" x14ac:dyDescent="0.25">
      <c r="A6281">
        <v>101368927</v>
      </c>
      <c r="B6281" t="s">
        <v>10038</v>
      </c>
      <c r="C6281" t="s">
        <v>15150</v>
      </c>
      <c r="G6281" t="s">
        <v>15151</v>
      </c>
      <c r="H6281" t="s">
        <v>653</v>
      </c>
      <c r="I6281" t="s">
        <v>117</v>
      </c>
      <c r="J6281" t="s">
        <v>15152</v>
      </c>
      <c r="K6281">
        <v>1518</v>
      </c>
      <c r="L6281" t="s">
        <v>23</v>
      </c>
      <c r="M6281" t="s">
        <v>15151</v>
      </c>
      <c r="N6281" t="s">
        <v>653</v>
      </c>
      <c r="O6281" t="s">
        <v>117</v>
      </c>
      <c r="P6281" t="s">
        <v>15152</v>
      </c>
      <c r="Q6281">
        <v>1518</v>
      </c>
      <c r="R6281" t="s">
        <v>23</v>
      </c>
      <c r="S6281" s="1" t="s">
        <v>34218</v>
      </c>
    </row>
    <row r="6282" spans="1:19" x14ac:dyDescent="0.25">
      <c r="A6282">
        <v>101324626</v>
      </c>
      <c r="B6282" t="s">
        <v>15153</v>
      </c>
      <c r="C6282" t="s">
        <v>571</v>
      </c>
      <c r="G6282" t="s">
        <v>15154</v>
      </c>
      <c r="H6282" t="s">
        <v>5525</v>
      </c>
      <c r="I6282" t="s">
        <v>178</v>
      </c>
      <c r="J6282" t="s">
        <v>15155</v>
      </c>
      <c r="K6282">
        <v>8505</v>
      </c>
      <c r="L6282" t="s">
        <v>23</v>
      </c>
      <c r="M6282" t="s">
        <v>15154</v>
      </c>
      <c r="N6282" t="s">
        <v>5525</v>
      </c>
      <c r="O6282" t="s">
        <v>178</v>
      </c>
      <c r="P6282" t="s">
        <v>15155</v>
      </c>
      <c r="Q6282">
        <v>8505</v>
      </c>
      <c r="R6282" t="s">
        <v>23</v>
      </c>
      <c r="S6282" s="1" t="s">
        <v>34218</v>
      </c>
    </row>
    <row r="6283" spans="1:19" x14ac:dyDescent="0.25">
      <c r="A6283">
        <v>100863466</v>
      </c>
      <c r="B6283" t="s">
        <v>15156</v>
      </c>
      <c r="C6283" t="s">
        <v>329</v>
      </c>
      <c r="G6283" t="s">
        <v>15157</v>
      </c>
      <c r="H6283" t="s">
        <v>15158</v>
      </c>
      <c r="I6283" t="s">
        <v>28</v>
      </c>
      <c r="J6283" t="s">
        <v>15159</v>
      </c>
      <c r="K6283">
        <v>7811</v>
      </c>
      <c r="L6283" t="s">
        <v>23</v>
      </c>
      <c r="M6283" t="s">
        <v>15157</v>
      </c>
      <c r="N6283" t="s">
        <v>15158</v>
      </c>
      <c r="O6283" t="s">
        <v>28</v>
      </c>
      <c r="P6283" t="s">
        <v>15159</v>
      </c>
      <c r="Q6283">
        <v>7811</v>
      </c>
      <c r="R6283" t="s">
        <v>23</v>
      </c>
      <c r="S6283" s="1" t="s">
        <v>34218</v>
      </c>
    </row>
    <row r="6284" spans="1:19" x14ac:dyDescent="0.25">
      <c r="A6284">
        <v>101337483</v>
      </c>
      <c r="B6284" t="s">
        <v>15160</v>
      </c>
      <c r="C6284" t="s">
        <v>4545</v>
      </c>
      <c r="G6284" t="s">
        <v>15161</v>
      </c>
      <c r="H6284" t="s">
        <v>10129</v>
      </c>
      <c r="I6284" t="s">
        <v>140</v>
      </c>
      <c r="J6284" t="s">
        <v>15162</v>
      </c>
      <c r="K6284">
        <v>1338</v>
      </c>
      <c r="L6284" t="s">
        <v>23</v>
      </c>
      <c r="M6284" t="s">
        <v>15161</v>
      </c>
      <c r="N6284" t="s">
        <v>10129</v>
      </c>
      <c r="O6284" t="s">
        <v>140</v>
      </c>
      <c r="P6284" t="s">
        <v>15162</v>
      </c>
      <c r="Q6284">
        <v>1338</v>
      </c>
      <c r="R6284" t="s">
        <v>23</v>
      </c>
      <c r="S6284" s="1" t="s">
        <v>34218</v>
      </c>
    </row>
    <row r="6285" spans="1:19" x14ac:dyDescent="0.25">
      <c r="A6285">
        <v>101031690</v>
      </c>
      <c r="B6285" t="s">
        <v>308</v>
      </c>
      <c r="C6285" t="s">
        <v>15163</v>
      </c>
      <c r="G6285" t="s">
        <v>15164</v>
      </c>
      <c r="H6285" t="s">
        <v>3286</v>
      </c>
      <c r="I6285" t="s">
        <v>22</v>
      </c>
      <c r="J6285" t="s">
        <v>15165</v>
      </c>
      <c r="K6285">
        <v>2031</v>
      </c>
      <c r="L6285" t="s">
        <v>23</v>
      </c>
      <c r="M6285" t="s">
        <v>15164</v>
      </c>
      <c r="N6285" t="s">
        <v>3286</v>
      </c>
      <c r="O6285" t="s">
        <v>22</v>
      </c>
      <c r="P6285" t="s">
        <v>15165</v>
      </c>
      <c r="Q6285">
        <v>2031</v>
      </c>
      <c r="R6285" t="s">
        <v>23</v>
      </c>
      <c r="S6285" s="1" t="s">
        <v>34218</v>
      </c>
    </row>
    <row r="6286" spans="1:19" x14ac:dyDescent="0.25">
      <c r="A6286">
        <v>101411734</v>
      </c>
      <c r="B6286" t="s">
        <v>15166</v>
      </c>
      <c r="C6286" t="s">
        <v>15167</v>
      </c>
      <c r="G6286" t="s">
        <v>15168</v>
      </c>
      <c r="H6286" t="s">
        <v>15169</v>
      </c>
      <c r="I6286" t="s">
        <v>33</v>
      </c>
      <c r="J6286" t="s">
        <v>15170</v>
      </c>
      <c r="K6286">
        <v>2606</v>
      </c>
      <c r="L6286" t="s">
        <v>23</v>
      </c>
      <c r="M6286" t="s">
        <v>15168</v>
      </c>
      <c r="N6286" t="s">
        <v>15169</v>
      </c>
      <c r="O6286" t="s">
        <v>33</v>
      </c>
      <c r="P6286" t="s">
        <v>15170</v>
      </c>
      <c r="Q6286">
        <v>2606</v>
      </c>
      <c r="R6286" t="s">
        <v>23</v>
      </c>
      <c r="S6286" s="1" t="s">
        <v>34218</v>
      </c>
    </row>
    <row r="6287" spans="1:19" x14ac:dyDescent="0.25">
      <c r="A6287">
        <v>101300269</v>
      </c>
      <c r="B6287" t="s">
        <v>15171</v>
      </c>
      <c r="C6287" t="s">
        <v>621</v>
      </c>
      <c r="G6287" t="s">
        <v>15172</v>
      </c>
      <c r="H6287" t="s">
        <v>227</v>
      </c>
      <c r="I6287" t="s">
        <v>43</v>
      </c>
      <c r="J6287">
        <v>97211</v>
      </c>
      <c r="K6287">
        <v>5011</v>
      </c>
      <c r="L6287" t="s">
        <v>23</v>
      </c>
      <c r="M6287" t="s">
        <v>15172</v>
      </c>
      <c r="N6287" t="s">
        <v>227</v>
      </c>
      <c r="O6287" t="s">
        <v>43</v>
      </c>
      <c r="P6287">
        <v>97211</v>
      </c>
      <c r="Q6287">
        <v>5011</v>
      </c>
      <c r="R6287" t="s">
        <v>23</v>
      </c>
      <c r="S6287" s="1" t="s">
        <v>34218</v>
      </c>
    </row>
    <row r="6288" spans="1:19" x14ac:dyDescent="0.25">
      <c r="A6288">
        <v>101300303</v>
      </c>
      <c r="B6288" t="s">
        <v>3117</v>
      </c>
      <c r="C6288" t="s">
        <v>119</v>
      </c>
      <c r="G6288" t="s">
        <v>15173</v>
      </c>
      <c r="H6288" t="s">
        <v>15174</v>
      </c>
      <c r="I6288" t="s">
        <v>1387</v>
      </c>
      <c r="J6288">
        <v>35124</v>
      </c>
      <c r="K6288">
        <v>3115</v>
      </c>
      <c r="L6288" t="s">
        <v>23</v>
      </c>
      <c r="M6288" t="s">
        <v>15173</v>
      </c>
      <c r="N6288" t="s">
        <v>15174</v>
      </c>
      <c r="O6288" t="s">
        <v>1387</v>
      </c>
      <c r="P6288">
        <v>35124</v>
      </c>
      <c r="Q6288">
        <v>3115</v>
      </c>
      <c r="R6288" t="s">
        <v>23</v>
      </c>
      <c r="S6288" s="1" t="s">
        <v>34218</v>
      </c>
    </row>
    <row r="6289" spans="1:19" x14ac:dyDescent="0.25">
      <c r="A6289">
        <v>101294022</v>
      </c>
      <c r="B6289" t="s">
        <v>15175</v>
      </c>
      <c r="C6289" t="s">
        <v>4046</v>
      </c>
      <c r="G6289" t="s">
        <v>15176</v>
      </c>
      <c r="H6289" t="s">
        <v>4810</v>
      </c>
      <c r="I6289" t="s">
        <v>236</v>
      </c>
      <c r="J6289">
        <v>1606</v>
      </c>
      <c r="K6289">
        <v>1769</v>
      </c>
      <c r="L6289" t="s">
        <v>23</v>
      </c>
      <c r="M6289" t="s">
        <v>15176</v>
      </c>
      <c r="N6289" t="s">
        <v>4810</v>
      </c>
      <c r="O6289" t="s">
        <v>236</v>
      </c>
      <c r="P6289">
        <v>1606</v>
      </c>
      <c r="Q6289">
        <v>1769</v>
      </c>
      <c r="R6289" t="s">
        <v>23</v>
      </c>
      <c r="S6289" s="1" t="s">
        <v>34218</v>
      </c>
    </row>
    <row r="6290" spans="1:19" x14ac:dyDescent="0.25">
      <c r="A6290">
        <v>101300880</v>
      </c>
      <c r="B6290" t="s">
        <v>6084</v>
      </c>
      <c r="C6290" t="s">
        <v>4900</v>
      </c>
      <c r="G6290" t="s">
        <v>15177</v>
      </c>
      <c r="H6290" t="s">
        <v>688</v>
      </c>
      <c r="I6290" t="s">
        <v>117</v>
      </c>
      <c r="J6290">
        <v>14617</v>
      </c>
      <c r="K6290">
        <v>3711</v>
      </c>
      <c r="L6290" t="s">
        <v>23</v>
      </c>
      <c r="M6290" t="s">
        <v>15177</v>
      </c>
      <c r="N6290" t="s">
        <v>688</v>
      </c>
      <c r="O6290" t="s">
        <v>117</v>
      </c>
      <c r="P6290">
        <v>14617</v>
      </c>
      <c r="Q6290">
        <v>3711</v>
      </c>
      <c r="R6290" t="s">
        <v>23</v>
      </c>
      <c r="S6290" s="1" t="s">
        <v>34218</v>
      </c>
    </row>
    <row r="6291" spans="1:19" x14ac:dyDescent="0.25">
      <c r="A6291">
        <v>101297918</v>
      </c>
      <c r="B6291" t="s">
        <v>15178</v>
      </c>
      <c r="C6291" t="s">
        <v>2776</v>
      </c>
      <c r="G6291" t="s">
        <v>15179</v>
      </c>
      <c r="H6291" t="s">
        <v>4738</v>
      </c>
      <c r="I6291" t="s">
        <v>117</v>
      </c>
      <c r="J6291">
        <v>13053</v>
      </c>
      <c r="K6291">
        <v>9711</v>
      </c>
      <c r="L6291" t="s">
        <v>23</v>
      </c>
      <c r="M6291" t="s">
        <v>15179</v>
      </c>
      <c r="N6291" t="s">
        <v>4738</v>
      </c>
      <c r="O6291" t="s">
        <v>117</v>
      </c>
      <c r="P6291">
        <v>13053</v>
      </c>
      <c r="Q6291">
        <v>9711</v>
      </c>
      <c r="R6291" t="s">
        <v>23</v>
      </c>
      <c r="S6291" s="1" t="s">
        <v>34218</v>
      </c>
    </row>
    <row r="6292" spans="1:19" x14ac:dyDescent="0.25">
      <c r="A6292">
        <v>101296674</v>
      </c>
      <c r="B6292" t="s">
        <v>15180</v>
      </c>
      <c r="C6292" t="s">
        <v>1906</v>
      </c>
      <c r="G6292" t="s">
        <v>15181</v>
      </c>
      <c r="H6292" t="s">
        <v>311</v>
      </c>
      <c r="I6292" t="s">
        <v>22</v>
      </c>
      <c r="J6292">
        <v>90806</v>
      </c>
      <c r="K6292">
        <v>1436</v>
      </c>
      <c r="L6292" t="s">
        <v>23</v>
      </c>
      <c r="M6292" t="s">
        <v>15181</v>
      </c>
      <c r="N6292" t="s">
        <v>311</v>
      </c>
      <c r="O6292" t="s">
        <v>22</v>
      </c>
      <c r="P6292">
        <v>90806</v>
      </c>
      <c r="Q6292">
        <v>1436</v>
      </c>
      <c r="R6292" t="s">
        <v>23</v>
      </c>
      <c r="S6292" s="1" t="s">
        <v>34218</v>
      </c>
    </row>
    <row r="6293" spans="1:19" x14ac:dyDescent="0.25">
      <c r="A6293">
        <v>101307300</v>
      </c>
      <c r="B6293" t="s">
        <v>15182</v>
      </c>
      <c r="C6293" t="s">
        <v>11569</v>
      </c>
      <c r="G6293" t="s">
        <v>15183</v>
      </c>
      <c r="H6293" t="s">
        <v>709</v>
      </c>
      <c r="I6293" t="s">
        <v>565</v>
      </c>
      <c r="J6293">
        <v>52246</v>
      </c>
      <c r="K6293">
        <v>4804</v>
      </c>
      <c r="L6293" t="s">
        <v>23</v>
      </c>
      <c r="M6293" t="s">
        <v>15183</v>
      </c>
      <c r="N6293" t="s">
        <v>709</v>
      </c>
      <c r="O6293" t="s">
        <v>565</v>
      </c>
      <c r="P6293">
        <v>52246</v>
      </c>
      <c r="Q6293">
        <v>4804</v>
      </c>
      <c r="R6293" t="s">
        <v>23</v>
      </c>
      <c r="S6293" s="1" t="s">
        <v>34218</v>
      </c>
    </row>
    <row r="6294" spans="1:19" x14ac:dyDescent="0.25">
      <c r="A6294">
        <v>100727279</v>
      </c>
      <c r="B6294" t="s">
        <v>1034</v>
      </c>
      <c r="C6294" t="s">
        <v>3350</v>
      </c>
      <c r="G6294" t="s">
        <v>15184</v>
      </c>
      <c r="H6294" t="s">
        <v>1579</v>
      </c>
      <c r="I6294" t="s">
        <v>71</v>
      </c>
      <c r="J6294">
        <v>80011</v>
      </c>
      <c r="L6294" t="s">
        <v>23</v>
      </c>
      <c r="M6294" t="s">
        <v>15184</v>
      </c>
      <c r="N6294" t="s">
        <v>1579</v>
      </c>
      <c r="O6294" t="s">
        <v>71</v>
      </c>
      <c r="P6294">
        <v>80011</v>
      </c>
      <c r="R6294" t="s">
        <v>23</v>
      </c>
      <c r="S6294" s="1" t="s">
        <v>34218</v>
      </c>
    </row>
    <row r="6295" spans="1:19" x14ac:dyDescent="0.25">
      <c r="A6295">
        <v>100685708</v>
      </c>
      <c r="B6295" t="s">
        <v>15185</v>
      </c>
      <c r="C6295" t="s">
        <v>7530</v>
      </c>
      <c r="G6295" t="s">
        <v>15186</v>
      </c>
      <c r="H6295" t="s">
        <v>4632</v>
      </c>
      <c r="I6295" t="s">
        <v>178</v>
      </c>
      <c r="J6295">
        <v>43202</v>
      </c>
      <c r="K6295">
        <v>3109</v>
      </c>
      <c r="L6295" t="s">
        <v>23</v>
      </c>
      <c r="M6295" t="s">
        <v>15186</v>
      </c>
      <c r="N6295" t="s">
        <v>4632</v>
      </c>
      <c r="O6295" t="s">
        <v>178</v>
      </c>
      <c r="P6295">
        <v>43202</v>
      </c>
      <c r="Q6295">
        <v>3109</v>
      </c>
      <c r="R6295" t="s">
        <v>23</v>
      </c>
      <c r="S6295" s="1" t="s">
        <v>34218</v>
      </c>
    </row>
    <row r="6296" spans="1:19" x14ac:dyDescent="0.25">
      <c r="A6296">
        <v>101280756</v>
      </c>
      <c r="B6296" t="s">
        <v>15187</v>
      </c>
      <c r="C6296" t="s">
        <v>12846</v>
      </c>
      <c r="G6296" t="s">
        <v>15188</v>
      </c>
      <c r="H6296" t="s">
        <v>15189</v>
      </c>
      <c r="I6296" t="s">
        <v>178</v>
      </c>
      <c r="J6296">
        <v>44266</v>
      </c>
      <c r="K6296">
        <v>9553</v>
      </c>
      <c r="L6296" t="s">
        <v>23</v>
      </c>
      <c r="M6296" t="s">
        <v>15188</v>
      </c>
      <c r="N6296" t="s">
        <v>15189</v>
      </c>
      <c r="O6296" t="s">
        <v>178</v>
      </c>
      <c r="P6296">
        <v>44266</v>
      </c>
      <c r="Q6296">
        <v>9553</v>
      </c>
      <c r="R6296" t="s">
        <v>23</v>
      </c>
      <c r="S6296" s="1" t="s">
        <v>34218</v>
      </c>
    </row>
    <row r="6297" spans="1:19" x14ac:dyDescent="0.25">
      <c r="A6297">
        <v>101078952</v>
      </c>
      <c r="B6297" t="s">
        <v>15190</v>
      </c>
      <c r="C6297" t="s">
        <v>3705</v>
      </c>
      <c r="G6297" t="s">
        <v>15191</v>
      </c>
      <c r="H6297" t="s">
        <v>15192</v>
      </c>
      <c r="I6297" t="s">
        <v>52</v>
      </c>
      <c r="J6297">
        <v>34491</v>
      </c>
      <c r="K6297">
        <v>4421</v>
      </c>
      <c r="L6297" t="s">
        <v>23</v>
      </c>
      <c r="M6297" t="s">
        <v>15191</v>
      </c>
      <c r="N6297" t="s">
        <v>15192</v>
      </c>
      <c r="O6297" t="s">
        <v>52</v>
      </c>
      <c r="P6297">
        <v>34491</v>
      </c>
      <c r="Q6297">
        <v>4421</v>
      </c>
      <c r="R6297" t="s">
        <v>23</v>
      </c>
      <c r="S6297" s="1" t="s">
        <v>34218</v>
      </c>
    </row>
    <row r="6298" spans="1:19" x14ac:dyDescent="0.25">
      <c r="A6298">
        <v>101311456</v>
      </c>
      <c r="B6298" t="s">
        <v>15193</v>
      </c>
      <c r="C6298" t="s">
        <v>15194</v>
      </c>
      <c r="G6298" t="s">
        <v>15195</v>
      </c>
      <c r="H6298" t="s">
        <v>2784</v>
      </c>
      <c r="I6298" t="s">
        <v>140</v>
      </c>
      <c r="J6298">
        <v>48083</v>
      </c>
      <c r="K6298">
        <v>2445</v>
      </c>
      <c r="L6298" t="s">
        <v>23</v>
      </c>
      <c r="M6298" t="s">
        <v>15195</v>
      </c>
      <c r="N6298" t="s">
        <v>2784</v>
      </c>
      <c r="O6298" t="s">
        <v>140</v>
      </c>
      <c r="P6298">
        <v>48083</v>
      </c>
      <c r="Q6298">
        <v>2445</v>
      </c>
      <c r="R6298" t="s">
        <v>23</v>
      </c>
      <c r="S6298" s="1" t="s">
        <v>34218</v>
      </c>
    </row>
    <row r="6299" spans="1:19" x14ac:dyDescent="0.25">
      <c r="A6299">
        <v>100539672</v>
      </c>
      <c r="B6299" t="s">
        <v>654</v>
      </c>
      <c r="C6299" t="s">
        <v>15196</v>
      </c>
      <c r="G6299" t="s">
        <v>15197</v>
      </c>
      <c r="H6299" t="s">
        <v>5523</v>
      </c>
      <c r="I6299" t="s">
        <v>984</v>
      </c>
      <c r="J6299">
        <v>96768</v>
      </c>
      <c r="K6299">
        <v>8522</v>
      </c>
      <c r="L6299" t="s">
        <v>23</v>
      </c>
      <c r="M6299" t="s">
        <v>15197</v>
      </c>
      <c r="N6299" t="s">
        <v>5523</v>
      </c>
      <c r="O6299" t="s">
        <v>984</v>
      </c>
      <c r="P6299">
        <v>96768</v>
      </c>
      <c r="Q6299">
        <v>8522</v>
      </c>
      <c r="R6299" t="s">
        <v>23</v>
      </c>
      <c r="S6299" s="1" t="s">
        <v>34218</v>
      </c>
    </row>
    <row r="6300" spans="1:19" x14ac:dyDescent="0.25">
      <c r="A6300">
        <v>101456728</v>
      </c>
      <c r="B6300" t="s">
        <v>15198</v>
      </c>
      <c r="C6300" t="s">
        <v>1859</v>
      </c>
      <c r="G6300" t="s">
        <v>15199</v>
      </c>
      <c r="H6300" t="s">
        <v>1975</v>
      </c>
      <c r="I6300" t="s">
        <v>52</v>
      </c>
      <c r="J6300">
        <v>33321</v>
      </c>
      <c r="K6300">
        <v>1233</v>
      </c>
      <c r="L6300" t="s">
        <v>23</v>
      </c>
      <c r="M6300" t="s">
        <v>15199</v>
      </c>
      <c r="N6300" t="s">
        <v>1975</v>
      </c>
      <c r="O6300" t="s">
        <v>52</v>
      </c>
      <c r="P6300">
        <v>33321</v>
      </c>
      <c r="Q6300">
        <v>1233</v>
      </c>
      <c r="R6300" t="s">
        <v>23</v>
      </c>
      <c r="S6300" s="1" t="s">
        <v>34218</v>
      </c>
    </row>
    <row r="6301" spans="1:19" x14ac:dyDescent="0.25">
      <c r="A6301">
        <v>100983947</v>
      </c>
      <c r="B6301" t="s">
        <v>15200</v>
      </c>
      <c r="C6301" t="s">
        <v>1676</v>
      </c>
      <c r="G6301" t="s">
        <v>15201</v>
      </c>
      <c r="H6301" t="s">
        <v>1096</v>
      </c>
      <c r="I6301" t="s">
        <v>1097</v>
      </c>
      <c r="J6301">
        <v>40223</v>
      </c>
      <c r="K6301">
        <v>2779</v>
      </c>
      <c r="L6301" t="s">
        <v>23</v>
      </c>
      <c r="M6301" t="s">
        <v>15201</v>
      </c>
      <c r="N6301" t="s">
        <v>1096</v>
      </c>
      <c r="O6301" t="s">
        <v>1097</v>
      </c>
      <c r="P6301">
        <v>40223</v>
      </c>
      <c r="Q6301">
        <v>2779</v>
      </c>
      <c r="R6301" t="s">
        <v>23</v>
      </c>
      <c r="S6301" s="1" t="s">
        <v>34218</v>
      </c>
    </row>
    <row r="6302" spans="1:19" x14ac:dyDescent="0.25">
      <c r="A6302">
        <v>100545178</v>
      </c>
      <c r="B6302" t="s">
        <v>3843</v>
      </c>
      <c r="C6302" t="s">
        <v>2287</v>
      </c>
      <c r="G6302" t="s">
        <v>15202</v>
      </c>
      <c r="H6302" t="s">
        <v>174</v>
      </c>
      <c r="I6302" t="s">
        <v>22</v>
      </c>
      <c r="J6302">
        <v>93110</v>
      </c>
      <c r="L6302" t="s">
        <v>23</v>
      </c>
      <c r="M6302" t="s">
        <v>15202</v>
      </c>
      <c r="N6302" t="s">
        <v>174</v>
      </c>
      <c r="O6302" t="s">
        <v>22</v>
      </c>
      <c r="P6302">
        <v>93110</v>
      </c>
      <c r="R6302" t="s">
        <v>23</v>
      </c>
      <c r="S6302" s="1" t="s">
        <v>34218</v>
      </c>
    </row>
    <row r="6303" spans="1:19" x14ac:dyDescent="0.25">
      <c r="A6303">
        <v>100712497</v>
      </c>
      <c r="B6303" t="s">
        <v>7677</v>
      </c>
      <c r="C6303" t="s">
        <v>172</v>
      </c>
      <c r="G6303" t="s">
        <v>15203</v>
      </c>
      <c r="H6303" t="s">
        <v>15204</v>
      </c>
      <c r="I6303" t="s">
        <v>84</v>
      </c>
      <c r="J6303">
        <v>98852</v>
      </c>
      <c r="K6303">
        <v>9801</v>
      </c>
      <c r="L6303" t="s">
        <v>23</v>
      </c>
      <c r="M6303" t="s">
        <v>15203</v>
      </c>
      <c r="N6303" t="s">
        <v>15204</v>
      </c>
      <c r="O6303" t="s">
        <v>84</v>
      </c>
      <c r="P6303">
        <v>98852</v>
      </c>
      <c r="Q6303">
        <v>9801</v>
      </c>
      <c r="R6303" t="s">
        <v>23</v>
      </c>
      <c r="S6303" s="1" t="s">
        <v>34218</v>
      </c>
    </row>
    <row r="6304" spans="1:19" x14ac:dyDescent="0.25">
      <c r="A6304">
        <v>100815321</v>
      </c>
      <c r="B6304" t="s">
        <v>15205</v>
      </c>
      <c r="C6304" t="s">
        <v>1873</v>
      </c>
      <c r="G6304" t="s">
        <v>15206</v>
      </c>
      <c r="H6304" t="s">
        <v>3449</v>
      </c>
      <c r="I6304" t="s">
        <v>84</v>
      </c>
      <c r="J6304">
        <v>98346</v>
      </c>
      <c r="K6304">
        <v>8619</v>
      </c>
      <c r="L6304" t="s">
        <v>23</v>
      </c>
      <c r="M6304" t="s">
        <v>15206</v>
      </c>
      <c r="N6304" t="s">
        <v>3449</v>
      </c>
      <c r="O6304" t="s">
        <v>84</v>
      </c>
      <c r="P6304">
        <v>98346</v>
      </c>
      <c r="Q6304">
        <v>8619</v>
      </c>
      <c r="R6304" t="s">
        <v>23</v>
      </c>
      <c r="S6304" s="1" t="s">
        <v>34218</v>
      </c>
    </row>
    <row r="6305" spans="1:19" x14ac:dyDescent="0.25">
      <c r="A6305">
        <v>101230328</v>
      </c>
      <c r="B6305" t="s">
        <v>15207</v>
      </c>
      <c r="C6305" t="s">
        <v>11597</v>
      </c>
      <c r="G6305" t="s">
        <v>15208</v>
      </c>
      <c r="H6305" t="s">
        <v>15209</v>
      </c>
      <c r="I6305" t="s">
        <v>191</v>
      </c>
      <c r="J6305">
        <v>4049</v>
      </c>
      <c r="K6305">
        <v>3319</v>
      </c>
      <c r="L6305" t="s">
        <v>23</v>
      </c>
      <c r="M6305" t="s">
        <v>15208</v>
      </c>
      <c r="N6305" t="s">
        <v>15209</v>
      </c>
      <c r="O6305" t="s">
        <v>191</v>
      </c>
      <c r="P6305">
        <v>4049</v>
      </c>
      <c r="Q6305">
        <v>3319</v>
      </c>
      <c r="R6305" t="s">
        <v>23</v>
      </c>
      <c r="S6305" s="1" t="s">
        <v>34218</v>
      </c>
    </row>
    <row r="6306" spans="1:19" x14ac:dyDescent="0.25">
      <c r="A6306">
        <v>101218387</v>
      </c>
      <c r="B6306" t="s">
        <v>15210</v>
      </c>
      <c r="C6306" t="s">
        <v>15211</v>
      </c>
      <c r="G6306" t="s">
        <v>15212</v>
      </c>
      <c r="H6306" t="s">
        <v>1151</v>
      </c>
      <c r="I6306" t="s">
        <v>43</v>
      </c>
      <c r="J6306">
        <v>97030</v>
      </c>
      <c r="K6306">
        <v>4056</v>
      </c>
      <c r="L6306" t="s">
        <v>23</v>
      </c>
      <c r="M6306" t="s">
        <v>15212</v>
      </c>
      <c r="N6306" t="s">
        <v>1151</v>
      </c>
      <c r="O6306" t="s">
        <v>43</v>
      </c>
      <c r="P6306">
        <v>97030</v>
      </c>
      <c r="Q6306">
        <v>4056</v>
      </c>
      <c r="R6306" t="s">
        <v>23</v>
      </c>
      <c r="S6306" s="1" t="s">
        <v>34218</v>
      </c>
    </row>
    <row r="6307" spans="1:19" x14ac:dyDescent="0.25">
      <c r="A6307">
        <v>101241281</v>
      </c>
      <c r="B6307" t="s">
        <v>15213</v>
      </c>
      <c r="C6307" t="s">
        <v>329</v>
      </c>
      <c r="G6307" t="s">
        <v>15214</v>
      </c>
      <c r="H6307" t="s">
        <v>11700</v>
      </c>
      <c r="I6307" t="s">
        <v>57</v>
      </c>
      <c r="J6307">
        <v>46135</v>
      </c>
      <c r="K6307">
        <v>551</v>
      </c>
      <c r="L6307" t="s">
        <v>23</v>
      </c>
      <c r="M6307" t="s">
        <v>15214</v>
      </c>
      <c r="N6307" t="s">
        <v>11700</v>
      </c>
      <c r="O6307" t="s">
        <v>57</v>
      </c>
      <c r="P6307">
        <v>46135</v>
      </c>
      <c r="Q6307">
        <v>551</v>
      </c>
      <c r="R6307" t="s">
        <v>23</v>
      </c>
      <c r="S6307" s="1" t="s">
        <v>34218</v>
      </c>
    </row>
    <row r="6308" spans="1:19" x14ac:dyDescent="0.25">
      <c r="A6308">
        <v>101324727</v>
      </c>
      <c r="B6308" t="s">
        <v>11099</v>
      </c>
      <c r="C6308" t="s">
        <v>1632</v>
      </c>
      <c r="G6308" t="s">
        <v>15215</v>
      </c>
      <c r="H6308" t="s">
        <v>15216</v>
      </c>
      <c r="I6308" t="s">
        <v>38</v>
      </c>
      <c r="J6308">
        <v>79201</v>
      </c>
      <c r="K6308">
        <v>2226</v>
      </c>
      <c r="L6308" t="s">
        <v>23</v>
      </c>
      <c r="M6308" t="s">
        <v>15215</v>
      </c>
      <c r="N6308" t="s">
        <v>15216</v>
      </c>
      <c r="O6308" t="s">
        <v>38</v>
      </c>
      <c r="P6308">
        <v>79201</v>
      </c>
      <c r="Q6308">
        <v>2226</v>
      </c>
      <c r="R6308" t="s">
        <v>23</v>
      </c>
      <c r="S6308" s="1" t="s">
        <v>34218</v>
      </c>
    </row>
    <row r="6309" spans="1:19" x14ac:dyDescent="0.25">
      <c r="A6309">
        <v>101276654</v>
      </c>
      <c r="B6309" t="s">
        <v>15217</v>
      </c>
      <c r="C6309" t="s">
        <v>1463</v>
      </c>
      <c r="G6309" t="s">
        <v>15218</v>
      </c>
      <c r="H6309" t="s">
        <v>5650</v>
      </c>
      <c r="I6309" t="s">
        <v>191</v>
      </c>
      <c r="J6309">
        <v>4105</v>
      </c>
      <c r="K6309">
        <v>1430</v>
      </c>
      <c r="L6309" t="s">
        <v>23</v>
      </c>
      <c r="M6309" t="s">
        <v>15218</v>
      </c>
      <c r="N6309" t="s">
        <v>5650</v>
      </c>
      <c r="O6309" t="s">
        <v>191</v>
      </c>
      <c r="P6309">
        <v>4105</v>
      </c>
      <c r="Q6309">
        <v>1430</v>
      </c>
      <c r="R6309" t="s">
        <v>23</v>
      </c>
      <c r="S6309" s="1" t="s">
        <v>34218</v>
      </c>
    </row>
    <row r="6310" spans="1:19" x14ac:dyDescent="0.25">
      <c r="A6310">
        <v>101110658</v>
      </c>
      <c r="B6310" t="s">
        <v>8540</v>
      </c>
      <c r="C6310" t="s">
        <v>406</v>
      </c>
      <c r="G6310" t="s">
        <v>15219</v>
      </c>
      <c r="H6310" t="s">
        <v>1875</v>
      </c>
      <c r="I6310" t="s">
        <v>250</v>
      </c>
      <c r="J6310">
        <v>7856</v>
      </c>
      <c r="K6310">
        <v>1370</v>
      </c>
      <c r="L6310" t="s">
        <v>23</v>
      </c>
      <c r="M6310" t="s">
        <v>15219</v>
      </c>
      <c r="N6310" t="s">
        <v>1875</v>
      </c>
      <c r="O6310" t="s">
        <v>250</v>
      </c>
      <c r="P6310">
        <v>7856</v>
      </c>
      <c r="Q6310">
        <v>1370</v>
      </c>
      <c r="R6310" t="s">
        <v>23</v>
      </c>
      <c r="S6310" s="1" t="s">
        <v>34218</v>
      </c>
    </row>
    <row r="6311" spans="1:19" x14ac:dyDescent="0.25">
      <c r="A6311">
        <v>101117418</v>
      </c>
      <c r="B6311" t="s">
        <v>15220</v>
      </c>
      <c r="C6311" t="s">
        <v>15221</v>
      </c>
      <c r="G6311" t="s">
        <v>15222</v>
      </c>
      <c r="H6311" t="s">
        <v>481</v>
      </c>
      <c r="I6311" t="s">
        <v>22</v>
      </c>
      <c r="J6311">
        <v>95138</v>
      </c>
      <c r="K6311">
        <v>2320</v>
      </c>
      <c r="L6311" t="s">
        <v>23</v>
      </c>
      <c r="M6311" t="s">
        <v>15222</v>
      </c>
      <c r="N6311" t="s">
        <v>481</v>
      </c>
      <c r="O6311" t="s">
        <v>22</v>
      </c>
      <c r="P6311">
        <v>95138</v>
      </c>
      <c r="Q6311">
        <v>2320</v>
      </c>
      <c r="R6311" t="s">
        <v>23</v>
      </c>
      <c r="S6311" s="1" t="s">
        <v>34218</v>
      </c>
    </row>
    <row r="6312" spans="1:19" x14ac:dyDescent="0.25">
      <c r="A6312">
        <v>101336633</v>
      </c>
      <c r="B6312" t="s">
        <v>15223</v>
      </c>
      <c r="C6312" t="s">
        <v>1835</v>
      </c>
      <c r="G6312" t="s">
        <v>15224</v>
      </c>
      <c r="H6312" t="s">
        <v>15225</v>
      </c>
      <c r="I6312" t="s">
        <v>161</v>
      </c>
      <c r="J6312">
        <v>6067</v>
      </c>
      <c r="K6312">
        <v>2014</v>
      </c>
      <c r="L6312" t="s">
        <v>23</v>
      </c>
      <c r="M6312" t="s">
        <v>15224</v>
      </c>
      <c r="N6312" t="s">
        <v>15225</v>
      </c>
      <c r="O6312" t="s">
        <v>161</v>
      </c>
      <c r="P6312">
        <v>6067</v>
      </c>
      <c r="Q6312">
        <v>2014</v>
      </c>
      <c r="R6312" t="s">
        <v>23</v>
      </c>
      <c r="S6312" s="1" t="s">
        <v>34218</v>
      </c>
    </row>
    <row r="6313" spans="1:19" x14ac:dyDescent="0.25">
      <c r="A6313">
        <v>100983838</v>
      </c>
      <c r="B6313" t="s">
        <v>15226</v>
      </c>
      <c r="C6313" t="s">
        <v>641</v>
      </c>
      <c r="G6313" t="s">
        <v>15227</v>
      </c>
      <c r="H6313" t="s">
        <v>1579</v>
      </c>
      <c r="I6313" t="s">
        <v>135</v>
      </c>
      <c r="J6313">
        <v>60505</v>
      </c>
      <c r="L6313" t="s">
        <v>23</v>
      </c>
      <c r="M6313" t="s">
        <v>15227</v>
      </c>
      <c r="N6313" t="s">
        <v>1579</v>
      </c>
      <c r="O6313" t="s">
        <v>135</v>
      </c>
      <c r="P6313">
        <v>60505</v>
      </c>
      <c r="R6313" t="s">
        <v>23</v>
      </c>
      <c r="S6313" s="1" t="s">
        <v>34218</v>
      </c>
    </row>
    <row r="6314" spans="1:19" x14ac:dyDescent="0.25">
      <c r="A6314">
        <v>100983832</v>
      </c>
      <c r="B6314" t="s">
        <v>15228</v>
      </c>
      <c r="C6314" t="s">
        <v>15229</v>
      </c>
      <c r="G6314" t="s">
        <v>15230</v>
      </c>
      <c r="H6314" t="s">
        <v>3214</v>
      </c>
      <c r="I6314" t="s">
        <v>22</v>
      </c>
      <c r="J6314">
        <v>91362</v>
      </c>
      <c r="K6314">
        <v>1460</v>
      </c>
      <c r="L6314" t="s">
        <v>23</v>
      </c>
      <c r="M6314" t="s">
        <v>15230</v>
      </c>
      <c r="N6314" t="s">
        <v>3214</v>
      </c>
      <c r="O6314" t="s">
        <v>22</v>
      </c>
      <c r="P6314">
        <v>91362</v>
      </c>
      <c r="Q6314">
        <v>1460</v>
      </c>
      <c r="R6314" t="s">
        <v>23</v>
      </c>
      <c r="S6314" s="1" t="s">
        <v>34218</v>
      </c>
    </row>
    <row r="6315" spans="1:19" x14ac:dyDescent="0.25">
      <c r="A6315">
        <v>100987641</v>
      </c>
      <c r="B6315" t="s">
        <v>1294</v>
      </c>
      <c r="C6315" t="s">
        <v>180</v>
      </c>
      <c r="G6315" t="s">
        <v>15231</v>
      </c>
      <c r="H6315" t="s">
        <v>2125</v>
      </c>
      <c r="I6315" t="s">
        <v>100</v>
      </c>
      <c r="J6315">
        <v>53562</v>
      </c>
      <c r="K6315">
        <v>1301</v>
      </c>
      <c r="L6315" t="s">
        <v>23</v>
      </c>
      <c r="M6315" t="s">
        <v>15231</v>
      </c>
      <c r="N6315" t="s">
        <v>2125</v>
      </c>
      <c r="O6315" t="s">
        <v>100</v>
      </c>
      <c r="P6315">
        <v>53562</v>
      </c>
      <c r="Q6315">
        <v>1301</v>
      </c>
      <c r="R6315" t="s">
        <v>23</v>
      </c>
      <c r="S6315" s="1" t="s">
        <v>34218</v>
      </c>
    </row>
    <row r="6316" spans="1:19" x14ac:dyDescent="0.25">
      <c r="A6316">
        <v>100982799</v>
      </c>
      <c r="B6316" t="s">
        <v>3869</v>
      </c>
      <c r="C6316" t="s">
        <v>3714</v>
      </c>
      <c r="F6316" t="str">
        <f>"6192812531"</f>
        <v>6192812531</v>
      </c>
      <c r="G6316" t="s">
        <v>15232</v>
      </c>
      <c r="H6316" t="s">
        <v>198</v>
      </c>
      <c r="I6316" t="s">
        <v>22</v>
      </c>
      <c r="J6316">
        <v>92104</v>
      </c>
      <c r="K6316">
        <v>5412</v>
      </c>
      <c r="L6316" t="s">
        <v>23</v>
      </c>
      <c r="M6316" t="s">
        <v>15232</v>
      </c>
      <c r="N6316" t="s">
        <v>198</v>
      </c>
      <c r="O6316" t="s">
        <v>22</v>
      </c>
      <c r="P6316">
        <v>92104</v>
      </c>
      <c r="Q6316">
        <v>5412</v>
      </c>
      <c r="R6316" t="s">
        <v>23</v>
      </c>
      <c r="S6316" s="1" t="s">
        <v>34218</v>
      </c>
    </row>
    <row r="6317" spans="1:19" x14ac:dyDescent="0.25">
      <c r="A6317">
        <v>101171791</v>
      </c>
      <c r="B6317" t="s">
        <v>378</v>
      </c>
      <c r="C6317" t="s">
        <v>690</v>
      </c>
      <c r="F6317" t="str">
        <f>"8047479221"</f>
        <v>8047479221</v>
      </c>
      <c r="G6317" t="s">
        <v>15233</v>
      </c>
      <c r="H6317" t="s">
        <v>2901</v>
      </c>
      <c r="I6317" t="s">
        <v>255</v>
      </c>
      <c r="J6317">
        <v>23060</v>
      </c>
      <c r="K6317">
        <v>6371</v>
      </c>
      <c r="L6317" t="s">
        <v>23</v>
      </c>
      <c r="M6317" t="s">
        <v>15233</v>
      </c>
      <c r="N6317" t="s">
        <v>2901</v>
      </c>
      <c r="O6317" t="s">
        <v>255</v>
      </c>
      <c r="P6317">
        <v>23060</v>
      </c>
      <c r="Q6317">
        <v>6371</v>
      </c>
      <c r="R6317" t="s">
        <v>23</v>
      </c>
      <c r="S6317" s="1" t="s">
        <v>34218</v>
      </c>
    </row>
    <row r="6318" spans="1:19" x14ac:dyDescent="0.25">
      <c r="A6318">
        <v>101179294</v>
      </c>
      <c r="B6318" t="s">
        <v>15234</v>
      </c>
      <c r="C6318" t="s">
        <v>579</v>
      </c>
      <c r="G6318" t="s">
        <v>15235</v>
      </c>
      <c r="H6318" t="s">
        <v>15236</v>
      </c>
      <c r="I6318" t="s">
        <v>117</v>
      </c>
      <c r="J6318">
        <v>11365</v>
      </c>
      <c r="K6318">
        <v>3533</v>
      </c>
      <c r="L6318" t="s">
        <v>23</v>
      </c>
      <c r="M6318" t="s">
        <v>15235</v>
      </c>
      <c r="N6318" t="s">
        <v>15236</v>
      </c>
      <c r="O6318" t="s">
        <v>117</v>
      </c>
      <c r="P6318">
        <v>11365</v>
      </c>
      <c r="Q6318">
        <v>3533</v>
      </c>
      <c r="R6318" t="s">
        <v>23</v>
      </c>
      <c r="S6318" s="1" t="s">
        <v>34218</v>
      </c>
    </row>
    <row r="6319" spans="1:19" x14ac:dyDescent="0.25">
      <c r="A6319">
        <v>101179379</v>
      </c>
      <c r="B6319" t="s">
        <v>3457</v>
      </c>
      <c r="C6319" t="s">
        <v>2417</v>
      </c>
      <c r="G6319" t="s">
        <v>15237</v>
      </c>
      <c r="H6319" t="s">
        <v>818</v>
      </c>
      <c r="I6319" t="s">
        <v>43</v>
      </c>
      <c r="J6319">
        <v>97008</v>
      </c>
      <c r="K6319">
        <v>7800</v>
      </c>
      <c r="L6319" t="s">
        <v>23</v>
      </c>
      <c r="M6319" t="s">
        <v>15237</v>
      </c>
      <c r="N6319" t="s">
        <v>818</v>
      </c>
      <c r="O6319" t="s">
        <v>43</v>
      </c>
      <c r="P6319">
        <v>97008</v>
      </c>
      <c r="Q6319">
        <v>7800</v>
      </c>
      <c r="R6319" t="s">
        <v>23</v>
      </c>
      <c r="S6319" s="1" t="s">
        <v>34218</v>
      </c>
    </row>
    <row r="6320" spans="1:19" x14ac:dyDescent="0.25">
      <c r="A6320">
        <v>101175755</v>
      </c>
      <c r="B6320" t="s">
        <v>93</v>
      </c>
      <c r="C6320" t="s">
        <v>54</v>
      </c>
      <c r="G6320" t="s">
        <v>15238</v>
      </c>
      <c r="H6320" t="s">
        <v>2910</v>
      </c>
      <c r="I6320" t="s">
        <v>52</v>
      </c>
      <c r="J6320">
        <v>34238</v>
      </c>
      <c r="K6320">
        <v>4524</v>
      </c>
      <c r="L6320" t="s">
        <v>23</v>
      </c>
      <c r="M6320" t="s">
        <v>15238</v>
      </c>
      <c r="N6320" t="s">
        <v>2910</v>
      </c>
      <c r="O6320" t="s">
        <v>52</v>
      </c>
      <c r="P6320">
        <v>34238</v>
      </c>
      <c r="Q6320">
        <v>4524</v>
      </c>
      <c r="R6320" t="s">
        <v>23</v>
      </c>
      <c r="S6320" s="1" t="s">
        <v>34218</v>
      </c>
    </row>
    <row r="6321" spans="1:19" x14ac:dyDescent="0.25">
      <c r="A6321">
        <v>101181584</v>
      </c>
      <c r="B6321" t="s">
        <v>15239</v>
      </c>
      <c r="C6321" t="s">
        <v>90</v>
      </c>
      <c r="G6321" t="s">
        <v>15240</v>
      </c>
      <c r="H6321" t="s">
        <v>299</v>
      </c>
      <c r="I6321" t="s">
        <v>22</v>
      </c>
      <c r="J6321">
        <v>90048</v>
      </c>
      <c r="K6321">
        <v>3503</v>
      </c>
      <c r="L6321" t="s">
        <v>23</v>
      </c>
      <c r="M6321" t="s">
        <v>15240</v>
      </c>
      <c r="N6321" t="s">
        <v>299</v>
      </c>
      <c r="O6321" t="s">
        <v>22</v>
      </c>
      <c r="P6321">
        <v>90048</v>
      </c>
      <c r="Q6321">
        <v>3503</v>
      </c>
      <c r="R6321" t="s">
        <v>23</v>
      </c>
      <c r="S6321" s="1" t="s">
        <v>34218</v>
      </c>
    </row>
    <row r="6322" spans="1:19" x14ac:dyDescent="0.25">
      <c r="A6322">
        <v>101181067</v>
      </c>
      <c r="B6322" t="s">
        <v>5585</v>
      </c>
      <c r="C6322" t="s">
        <v>406</v>
      </c>
      <c r="G6322" t="s">
        <v>15241</v>
      </c>
      <c r="H6322" t="s">
        <v>15242</v>
      </c>
      <c r="I6322" t="s">
        <v>236</v>
      </c>
      <c r="J6322">
        <v>1566</v>
      </c>
      <c r="K6322">
        <v>1221</v>
      </c>
      <c r="L6322" t="s">
        <v>23</v>
      </c>
      <c r="M6322" t="s">
        <v>15241</v>
      </c>
      <c r="N6322" t="s">
        <v>15242</v>
      </c>
      <c r="O6322" t="s">
        <v>236</v>
      </c>
      <c r="P6322">
        <v>1566</v>
      </c>
      <c r="Q6322">
        <v>1221</v>
      </c>
      <c r="R6322" t="s">
        <v>23</v>
      </c>
      <c r="S6322" s="1" t="s">
        <v>34218</v>
      </c>
    </row>
    <row r="6323" spans="1:19" x14ac:dyDescent="0.25">
      <c r="A6323">
        <v>101182742</v>
      </c>
      <c r="B6323" t="s">
        <v>15243</v>
      </c>
      <c r="C6323" t="s">
        <v>1588</v>
      </c>
      <c r="G6323" t="s">
        <v>15244</v>
      </c>
      <c r="H6323" t="s">
        <v>13314</v>
      </c>
      <c r="I6323" t="s">
        <v>140</v>
      </c>
      <c r="J6323">
        <v>48080</v>
      </c>
      <c r="K6323">
        <v>4093</v>
      </c>
      <c r="L6323" t="s">
        <v>23</v>
      </c>
      <c r="M6323" t="s">
        <v>15244</v>
      </c>
      <c r="N6323" t="s">
        <v>13314</v>
      </c>
      <c r="O6323" t="s">
        <v>140</v>
      </c>
      <c r="P6323">
        <v>48080</v>
      </c>
      <c r="Q6323">
        <v>4093</v>
      </c>
      <c r="R6323" t="s">
        <v>23</v>
      </c>
      <c r="S6323" s="1" t="s">
        <v>34218</v>
      </c>
    </row>
    <row r="6324" spans="1:19" x14ac:dyDescent="0.25">
      <c r="A6324">
        <v>101182870</v>
      </c>
      <c r="B6324" t="s">
        <v>10315</v>
      </c>
      <c r="C6324" t="s">
        <v>4502</v>
      </c>
      <c r="G6324" t="s">
        <v>15245</v>
      </c>
      <c r="H6324" t="s">
        <v>15246</v>
      </c>
      <c r="I6324" t="s">
        <v>84</v>
      </c>
      <c r="J6324">
        <v>98280</v>
      </c>
      <c r="K6324">
        <v>193</v>
      </c>
      <c r="L6324" t="s">
        <v>23</v>
      </c>
      <c r="M6324" t="s">
        <v>15245</v>
      </c>
      <c r="N6324" t="s">
        <v>15246</v>
      </c>
      <c r="O6324" t="s">
        <v>84</v>
      </c>
      <c r="P6324">
        <v>98280</v>
      </c>
      <c r="Q6324">
        <v>193</v>
      </c>
      <c r="R6324" t="s">
        <v>23</v>
      </c>
      <c r="S6324" s="1" t="s">
        <v>34218</v>
      </c>
    </row>
    <row r="6325" spans="1:19" x14ac:dyDescent="0.25">
      <c r="A6325">
        <v>101187607</v>
      </c>
      <c r="B6325" t="s">
        <v>15247</v>
      </c>
      <c r="C6325" t="s">
        <v>15248</v>
      </c>
      <c r="G6325" t="s">
        <v>15249</v>
      </c>
      <c r="H6325" t="s">
        <v>726</v>
      </c>
      <c r="I6325" t="s">
        <v>22</v>
      </c>
      <c r="J6325">
        <v>90404</v>
      </c>
      <c r="K6325">
        <v>4262</v>
      </c>
      <c r="L6325" t="s">
        <v>23</v>
      </c>
      <c r="M6325" t="s">
        <v>15249</v>
      </c>
      <c r="N6325" t="s">
        <v>726</v>
      </c>
      <c r="O6325" t="s">
        <v>22</v>
      </c>
      <c r="P6325">
        <v>90404</v>
      </c>
      <c r="Q6325">
        <v>4262</v>
      </c>
      <c r="R6325" t="s">
        <v>23</v>
      </c>
      <c r="S6325" s="1" t="s">
        <v>34218</v>
      </c>
    </row>
    <row r="6326" spans="1:19" x14ac:dyDescent="0.25">
      <c r="A6326">
        <v>101190742</v>
      </c>
      <c r="B6326" t="s">
        <v>29</v>
      </c>
      <c r="C6326" t="s">
        <v>119</v>
      </c>
      <c r="G6326" t="s">
        <v>15250</v>
      </c>
      <c r="H6326" t="s">
        <v>15251</v>
      </c>
      <c r="I6326" t="s">
        <v>33</v>
      </c>
      <c r="J6326">
        <v>16232</v>
      </c>
      <c r="K6326">
        <v>6328</v>
      </c>
      <c r="L6326" t="s">
        <v>23</v>
      </c>
      <c r="M6326" t="s">
        <v>15250</v>
      </c>
      <c r="N6326" t="s">
        <v>15251</v>
      </c>
      <c r="O6326" t="s">
        <v>33</v>
      </c>
      <c r="P6326">
        <v>16232</v>
      </c>
      <c r="Q6326">
        <v>6328</v>
      </c>
      <c r="R6326" t="s">
        <v>23</v>
      </c>
      <c r="S6326" s="1" t="s">
        <v>34218</v>
      </c>
    </row>
    <row r="6327" spans="1:19" x14ac:dyDescent="0.25">
      <c r="A6327">
        <v>101192575</v>
      </c>
      <c r="B6327" t="s">
        <v>15252</v>
      </c>
      <c r="C6327" t="s">
        <v>2892</v>
      </c>
      <c r="G6327" t="s">
        <v>15253</v>
      </c>
      <c r="H6327" t="s">
        <v>7002</v>
      </c>
      <c r="I6327" t="s">
        <v>117</v>
      </c>
      <c r="J6327">
        <v>11743</v>
      </c>
      <c r="K6327">
        <v>7114</v>
      </c>
      <c r="L6327" t="s">
        <v>23</v>
      </c>
      <c r="M6327" t="s">
        <v>15253</v>
      </c>
      <c r="N6327" t="s">
        <v>7002</v>
      </c>
      <c r="O6327" t="s">
        <v>117</v>
      </c>
      <c r="P6327">
        <v>11743</v>
      </c>
      <c r="Q6327">
        <v>7114</v>
      </c>
      <c r="R6327" t="s">
        <v>23</v>
      </c>
      <c r="S6327" s="1" t="s">
        <v>34218</v>
      </c>
    </row>
    <row r="6328" spans="1:19" x14ac:dyDescent="0.25">
      <c r="A6328">
        <v>101193854</v>
      </c>
      <c r="B6328" t="s">
        <v>15254</v>
      </c>
      <c r="C6328" t="s">
        <v>123</v>
      </c>
      <c r="F6328" t="str">
        <f>"4074641407"</f>
        <v>4074641407</v>
      </c>
      <c r="G6328" t="s">
        <v>15255</v>
      </c>
      <c r="H6328" t="s">
        <v>2345</v>
      </c>
      <c r="I6328" t="s">
        <v>52</v>
      </c>
      <c r="J6328">
        <v>32712</v>
      </c>
      <c r="K6328">
        <v>5839</v>
      </c>
      <c r="L6328" t="s">
        <v>23</v>
      </c>
      <c r="M6328" t="s">
        <v>15255</v>
      </c>
      <c r="N6328" t="s">
        <v>2345</v>
      </c>
      <c r="O6328" t="s">
        <v>52</v>
      </c>
      <c r="P6328">
        <v>32712</v>
      </c>
      <c r="Q6328">
        <v>5839</v>
      </c>
      <c r="R6328" t="s">
        <v>23</v>
      </c>
      <c r="S6328" s="1" t="s">
        <v>34218</v>
      </c>
    </row>
    <row r="6329" spans="1:19" x14ac:dyDescent="0.25">
      <c r="A6329">
        <v>101199188</v>
      </c>
      <c r="B6329" t="s">
        <v>15256</v>
      </c>
      <c r="C6329" t="s">
        <v>432</v>
      </c>
      <c r="G6329" t="s">
        <v>15257</v>
      </c>
      <c r="H6329" t="s">
        <v>694</v>
      </c>
      <c r="I6329" t="s">
        <v>135</v>
      </c>
      <c r="J6329">
        <v>60564</v>
      </c>
      <c r="K6329">
        <v>5751</v>
      </c>
      <c r="L6329" t="s">
        <v>23</v>
      </c>
      <c r="M6329" t="s">
        <v>15257</v>
      </c>
      <c r="N6329" t="s">
        <v>694</v>
      </c>
      <c r="O6329" t="s">
        <v>135</v>
      </c>
      <c r="P6329">
        <v>60564</v>
      </c>
      <c r="Q6329">
        <v>5751</v>
      </c>
      <c r="R6329" t="s">
        <v>23</v>
      </c>
      <c r="S6329" s="1" t="s">
        <v>34218</v>
      </c>
    </row>
    <row r="6330" spans="1:19" x14ac:dyDescent="0.25">
      <c r="A6330">
        <v>101199910</v>
      </c>
      <c r="B6330" t="s">
        <v>3075</v>
      </c>
      <c r="C6330" t="s">
        <v>4159</v>
      </c>
      <c r="G6330" t="s">
        <v>15258</v>
      </c>
      <c r="H6330" t="s">
        <v>15259</v>
      </c>
      <c r="I6330" t="s">
        <v>117</v>
      </c>
      <c r="J6330">
        <v>11937</v>
      </c>
      <c r="K6330">
        <v>401</v>
      </c>
      <c r="L6330" t="s">
        <v>23</v>
      </c>
      <c r="M6330" t="s">
        <v>15258</v>
      </c>
      <c r="N6330" t="s">
        <v>15259</v>
      </c>
      <c r="O6330" t="s">
        <v>117</v>
      </c>
      <c r="P6330">
        <v>11937</v>
      </c>
      <c r="Q6330">
        <v>401</v>
      </c>
      <c r="R6330" t="s">
        <v>23</v>
      </c>
      <c r="S6330" s="1" t="s">
        <v>34218</v>
      </c>
    </row>
    <row r="6331" spans="1:19" x14ac:dyDescent="0.25">
      <c r="A6331">
        <v>101247542</v>
      </c>
      <c r="B6331" t="s">
        <v>15260</v>
      </c>
      <c r="C6331" t="s">
        <v>15261</v>
      </c>
      <c r="G6331" t="s">
        <v>15262</v>
      </c>
      <c r="H6331" t="s">
        <v>11512</v>
      </c>
      <c r="I6331" t="s">
        <v>255</v>
      </c>
      <c r="J6331" t="s">
        <v>15263</v>
      </c>
      <c r="K6331">
        <v>8812</v>
      </c>
      <c r="L6331" t="s">
        <v>23</v>
      </c>
      <c r="M6331" t="s">
        <v>15262</v>
      </c>
      <c r="N6331" t="s">
        <v>11512</v>
      </c>
      <c r="O6331" t="s">
        <v>255</v>
      </c>
      <c r="P6331" t="s">
        <v>15263</v>
      </c>
      <c r="Q6331">
        <v>8812</v>
      </c>
      <c r="R6331" t="s">
        <v>23</v>
      </c>
      <c r="S6331" s="1" t="s">
        <v>34218</v>
      </c>
    </row>
    <row r="6332" spans="1:19" x14ac:dyDescent="0.25">
      <c r="A6332">
        <v>101317885</v>
      </c>
      <c r="B6332" t="s">
        <v>15264</v>
      </c>
      <c r="C6332" t="s">
        <v>641</v>
      </c>
      <c r="G6332" t="s">
        <v>15265</v>
      </c>
      <c r="H6332" t="s">
        <v>445</v>
      </c>
      <c r="I6332" t="s">
        <v>446</v>
      </c>
      <c r="J6332" t="s">
        <v>15266</v>
      </c>
      <c r="K6332">
        <v>1542</v>
      </c>
      <c r="L6332" t="s">
        <v>23</v>
      </c>
      <c r="M6332" t="s">
        <v>15265</v>
      </c>
      <c r="N6332" t="s">
        <v>445</v>
      </c>
      <c r="O6332" t="s">
        <v>446</v>
      </c>
      <c r="P6332" t="s">
        <v>15266</v>
      </c>
      <c r="Q6332">
        <v>1542</v>
      </c>
      <c r="R6332" t="s">
        <v>23</v>
      </c>
      <c r="S6332" s="1" t="s">
        <v>34218</v>
      </c>
    </row>
    <row r="6333" spans="1:19" x14ac:dyDescent="0.25">
      <c r="A6333">
        <v>101422331</v>
      </c>
      <c r="B6333" t="s">
        <v>15267</v>
      </c>
      <c r="C6333" t="s">
        <v>432</v>
      </c>
      <c r="G6333" t="s">
        <v>15268</v>
      </c>
      <c r="H6333" t="s">
        <v>573</v>
      </c>
      <c r="I6333" t="s">
        <v>33</v>
      </c>
      <c r="J6333" t="s">
        <v>15269</v>
      </c>
      <c r="K6333">
        <v>3429</v>
      </c>
      <c r="L6333" t="s">
        <v>23</v>
      </c>
      <c r="M6333" t="s">
        <v>15268</v>
      </c>
      <c r="N6333" t="s">
        <v>573</v>
      </c>
      <c r="O6333" t="s">
        <v>33</v>
      </c>
      <c r="P6333" t="s">
        <v>15269</v>
      </c>
      <c r="Q6333">
        <v>3429</v>
      </c>
      <c r="R6333" t="s">
        <v>23</v>
      </c>
      <c r="S6333" s="1" t="s">
        <v>34218</v>
      </c>
    </row>
    <row r="6334" spans="1:19" x14ac:dyDescent="0.25">
      <c r="A6334">
        <v>101124118</v>
      </c>
      <c r="B6334" t="s">
        <v>15270</v>
      </c>
      <c r="C6334" t="s">
        <v>1384</v>
      </c>
      <c r="G6334" t="s">
        <v>15271</v>
      </c>
      <c r="H6334" t="s">
        <v>412</v>
      </c>
      <c r="I6334" t="s">
        <v>117</v>
      </c>
      <c r="J6334" t="s">
        <v>15272</v>
      </c>
      <c r="K6334">
        <v>5914</v>
      </c>
      <c r="L6334" t="s">
        <v>23</v>
      </c>
      <c r="M6334" t="s">
        <v>15271</v>
      </c>
      <c r="N6334" t="s">
        <v>412</v>
      </c>
      <c r="O6334" t="s">
        <v>117</v>
      </c>
      <c r="P6334" t="s">
        <v>15272</v>
      </c>
      <c r="Q6334">
        <v>5914</v>
      </c>
      <c r="R6334" t="s">
        <v>23</v>
      </c>
      <c r="S6334" s="1" t="s">
        <v>34218</v>
      </c>
    </row>
    <row r="6335" spans="1:19" x14ac:dyDescent="0.25">
      <c r="A6335">
        <v>101308656</v>
      </c>
      <c r="B6335" t="s">
        <v>15273</v>
      </c>
      <c r="C6335" t="s">
        <v>2411</v>
      </c>
      <c r="G6335" t="s">
        <v>15274</v>
      </c>
      <c r="H6335" t="s">
        <v>15275</v>
      </c>
      <c r="I6335" t="s">
        <v>2537</v>
      </c>
      <c r="J6335" t="s">
        <v>15276</v>
      </c>
      <c r="K6335">
        <v>653</v>
      </c>
      <c r="L6335" t="s">
        <v>23</v>
      </c>
      <c r="M6335" t="s">
        <v>15274</v>
      </c>
      <c r="N6335" t="s">
        <v>15275</v>
      </c>
      <c r="O6335" t="s">
        <v>2537</v>
      </c>
      <c r="P6335" t="s">
        <v>15276</v>
      </c>
      <c r="Q6335">
        <v>653</v>
      </c>
      <c r="R6335" t="s">
        <v>23</v>
      </c>
      <c r="S6335" s="1" t="s">
        <v>34218</v>
      </c>
    </row>
    <row r="6336" spans="1:19" x14ac:dyDescent="0.25">
      <c r="A6336">
        <v>100711179</v>
      </c>
      <c r="B6336" t="s">
        <v>15277</v>
      </c>
      <c r="C6336" t="s">
        <v>1703</v>
      </c>
      <c r="G6336" t="s">
        <v>15278</v>
      </c>
      <c r="H6336" t="s">
        <v>2762</v>
      </c>
      <c r="I6336" t="s">
        <v>236</v>
      </c>
      <c r="J6336" t="s">
        <v>15279</v>
      </c>
      <c r="K6336">
        <v>1049</v>
      </c>
      <c r="L6336" t="s">
        <v>23</v>
      </c>
      <c r="M6336" t="s">
        <v>15278</v>
      </c>
      <c r="N6336" t="s">
        <v>2762</v>
      </c>
      <c r="O6336" t="s">
        <v>236</v>
      </c>
      <c r="P6336" t="s">
        <v>15279</v>
      </c>
      <c r="Q6336">
        <v>1049</v>
      </c>
      <c r="R6336" t="s">
        <v>23</v>
      </c>
      <c r="S6336" s="1" t="s">
        <v>34218</v>
      </c>
    </row>
    <row r="6337" spans="1:19" x14ac:dyDescent="0.25">
      <c r="A6337">
        <v>101473451</v>
      </c>
      <c r="B6337" t="s">
        <v>15280</v>
      </c>
      <c r="C6337" t="s">
        <v>641</v>
      </c>
      <c r="G6337" t="s">
        <v>15281</v>
      </c>
      <c r="H6337" t="s">
        <v>15282</v>
      </c>
      <c r="I6337" t="s">
        <v>33</v>
      </c>
      <c r="J6337">
        <v>17565</v>
      </c>
      <c r="K6337">
        <v>9003</v>
      </c>
      <c r="L6337" t="s">
        <v>23</v>
      </c>
      <c r="M6337" t="s">
        <v>15281</v>
      </c>
      <c r="N6337" t="s">
        <v>15282</v>
      </c>
      <c r="O6337" t="s">
        <v>33</v>
      </c>
      <c r="P6337">
        <v>17565</v>
      </c>
      <c r="Q6337">
        <v>9003</v>
      </c>
      <c r="R6337" t="s">
        <v>23</v>
      </c>
      <c r="S6337" s="1" t="s">
        <v>34218</v>
      </c>
    </row>
    <row r="6338" spans="1:19" x14ac:dyDescent="0.25">
      <c r="A6338">
        <v>101453175</v>
      </c>
      <c r="B6338" t="s">
        <v>15283</v>
      </c>
      <c r="C6338" t="s">
        <v>403</v>
      </c>
      <c r="G6338" t="s">
        <v>15284</v>
      </c>
      <c r="H6338" t="s">
        <v>15285</v>
      </c>
      <c r="I6338" t="s">
        <v>117</v>
      </c>
      <c r="J6338">
        <v>11779</v>
      </c>
      <c r="K6338">
        <v>3527</v>
      </c>
      <c r="L6338" t="s">
        <v>23</v>
      </c>
      <c r="M6338" t="s">
        <v>15284</v>
      </c>
      <c r="N6338" t="s">
        <v>15285</v>
      </c>
      <c r="O6338" t="s">
        <v>117</v>
      </c>
      <c r="P6338">
        <v>11779</v>
      </c>
      <c r="Q6338">
        <v>3527</v>
      </c>
      <c r="R6338" t="s">
        <v>23</v>
      </c>
      <c r="S6338" s="1" t="s">
        <v>34218</v>
      </c>
    </row>
    <row r="6339" spans="1:19" x14ac:dyDescent="0.25">
      <c r="A6339">
        <v>101410399</v>
      </c>
      <c r="B6339" t="s">
        <v>14032</v>
      </c>
      <c r="C6339" t="s">
        <v>15286</v>
      </c>
      <c r="G6339" t="s">
        <v>15287</v>
      </c>
      <c r="H6339" t="s">
        <v>134</v>
      </c>
      <c r="I6339" t="s">
        <v>135</v>
      </c>
      <c r="J6339">
        <v>60654</v>
      </c>
      <c r="K6339">
        <v>8766</v>
      </c>
      <c r="L6339" t="s">
        <v>23</v>
      </c>
      <c r="M6339" t="s">
        <v>15287</v>
      </c>
      <c r="N6339" t="s">
        <v>134</v>
      </c>
      <c r="O6339" t="s">
        <v>135</v>
      </c>
      <c r="P6339">
        <v>60654</v>
      </c>
      <c r="Q6339">
        <v>8766</v>
      </c>
      <c r="R6339" t="s">
        <v>23</v>
      </c>
      <c r="S6339" s="1" t="s">
        <v>34218</v>
      </c>
    </row>
    <row r="6340" spans="1:19" x14ac:dyDescent="0.25">
      <c r="A6340">
        <v>101399137</v>
      </c>
      <c r="B6340" t="s">
        <v>15288</v>
      </c>
      <c r="C6340" t="s">
        <v>1773</v>
      </c>
      <c r="G6340" t="s">
        <v>15289</v>
      </c>
      <c r="H6340" t="s">
        <v>11092</v>
      </c>
      <c r="I6340" t="s">
        <v>984</v>
      </c>
      <c r="J6340">
        <v>96734</v>
      </c>
      <c r="K6340">
        <v>3302</v>
      </c>
      <c r="L6340" t="s">
        <v>23</v>
      </c>
      <c r="M6340" t="s">
        <v>15289</v>
      </c>
      <c r="N6340" t="s">
        <v>11092</v>
      </c>
      <c r="O6340" t="s">
        <v>984</v>
      </c>
      <c r="P6340">
        <v>96734</v>
      </c>
      <c r="Q6340">
        <v>3302</v>
      </c>
      <c r="R6340" t="s">
        <v>23</v>
      </c>
      <c r="S6340" s="1" t="s">
        <v>34218</v>
      </c>
    </row>
    <row r="6341" spans="1:19" x14ac:dyDescent="0.25">
      <c r="A6341">
        <v>101469335</v>
      </c>
      <c r="B6341" t="s">
        <v>1144</v>
      </c>
      <c r="C6341" t="s">
        <v>1208</v>
      </c>
      <c r="G6341" t="s">
        <v>15290</v>
      </c>
      <c r="H6341" t="s">
        <v>7169</v>
      </c>
      <c r="I6341" t="s">
        <v>22</v>
      </c>
      <c r="J6341">
        <v>93010</v>
      </c>
      <c r="K6341">
        <v>1155</v>
      </c>
      <c r="L6341" t="s">
        <v>23</v>
      </c>
      <c r="M6341" t="s">
        <v>15290</v>
      </c>
      <c r="N6341" t="s">
        <v>7169</v>
      </c>
      <c r="O6341" t="s">
        <v>22</v>
      </c>
      <c r="P6341">
        <v>93010</v>
      </c>
      <c r="Q6341">
        <v>1155</v>
      </c>
      <c r="R6341" t="s">
        <v>23</v>
      </c>
      <c r="S6341" s="1" t="s">
        <v>34218</v>
      </c>
    </row>
    <row r="6342" spans="1:19" x14ac:dyDescent="0.25">
      <c r="A6342">
        <v>100926646</v>
      </c>
      <c r="B6342" t="s">
        <v>15291</v>
      </c>
      <c r="C6342" t="s">
        <v>4078</v>
      </c>
      <c r="G6342" t="s">
        <v>15292</v>
      </c>
      <c r="H6342" t="s">
        <v>2250</v>
      </c>
      <c r="I6342" t="s">
        <v>148</v>
      </c>
      <c r="J6342">
        <v>21401</v>
      </c>
      <c r="K6342">
        <v>6819</v>
      </c>
      <c r="L6342" t="s">
        <v>23</v>
      </c>
      <c r="M6342" t="s">
        <v>15292</v>
      </c>
      <c r="N6342" t="s">
        <v>2250</v>
      </c>
      <c r="O6342" t="s">
        <v>148</v>
      </c>
      <c r="P6342">
        <v>21401</v>
      </c>
      <c r="Q6342">
        <v>6819</v>
      </c>
      <c r="R6342" t="s">
        <v>23</v>
      </c>
      <c r="S6342" s="1" t="s">
        <v>34218</v>
      </c>
    </row>
    <row r="6343" spans="1:19" x14ac:dyDescent="0.25">
      <c r="A6343">
        <v>101287991</v>
      </c>
      <c r="B6343" t="s">
        <v>15293</v>
      </c>
      <c r="C6343" t="s">
        <v>12085</v>
      </c>
      <c r="G6343" t="s">
        <v>15294</v>
      </c>
      <c r="H6343" t="s">
        <v>134</v>
      </c>
      <c r="I6343" t="s">
        <v>135</v>
      </c>
      <c r="J6343">
        <v>60617</v>
      </c>
      <c r="K6343">
        <v>1148</v>
      </c>
      <c r="L6343" t="s">
        <v>23</v>
      </c>
      <c r="M6343" t="s">
        <v>15294</v>
      </c>
      <c r="N6343" t="s">
        <v>134</v>
      </c>
      <c r="O6343" t="s">
        <v>135</v>
      </c>
      <c r="P6343">
        <v>60617</v>
      </c>
      <c r="Q6343">
        <v>1148</v>
      </c>
      <c r="R6343" t="s">
        <v>23</v>
      </c>
      <c r="S6343" s="1" t="s">
        <v>34218</v>
      </c>
    </row>
    <row r="6344" spans="1:19" x14ac:dyDescent="0.25">
      <c r="A6344">
        <v>101296398</v>
      </c>
      <c r="B6344" t="s">
        <v>15295</v>
      </c>
      <c r="C6344" t="s">
        <v>5753</v>
      </c>
      <c r="G6344" t="s">
        <v>15296</v>
      </c>
      <c r="H6344" t="s">
        <v>10938</v>
      </c>
      <c r="I6344" t="s">
        <v>38</v>
      </c>
      <c r="J6344">
        <v>77598</v>
      </c>
      <c r="K6344">
        <v>2214</v>
      </c>
      <c r="L6344" t="s">
        <v>23</v>
      </c>
      <c r="M6344" t="s">
        <v>15296</v>
      </c>
      <c r="N6344" t="s">
        <v>10938</v>
      </c>
      <c r="O6344" t="s">
        <v>38</v>
      </c>
      <c r="P6344">
        <v>77598</v>
      </c>
      <c r="Q6344">
        <v>2214</v>
      </c>
      <c r="R6344" t="s">
        <v>23</v>
      </c>
      <c r="S6344" s="1" t="s">
        <v>34218</v>
      </c>
    </row>
    <row r="6345" spans="1:19" x14ac:dyDescent="0.25">
      <c r="A6345">
        <v>101295943</v>
      </c>
      <c r="B6345" t="s">
        <v>1004</v>
      </c>
      <c r="C6345" t="s">
        <v>15297</v>
      </c>
      <c r="G6345" t="s">
        <v>15298</v>
      </c>
      <c r="H6345" t="s">
        <v>15299</v>
      </c>
      <c r="I6345" t="s">
        <v>38</v>
      </c>
      <c r="J6345">
        <v>77489</v>
      </c>
      <c r="K6345">
        <v>6213</v>
      </c>
      <c r="L6345" t="s">
        <v>23</v>
      </c>
      <c r="M6345" t="s">
        <v>15298</v>
      </c>
      <c r="N6345" t="s">
        <v>15299</v>
      </c>
      <c r="O6345" t="s">
        <v>38</v>
      </c>
      <c r="P6345">
        <v>77489</v>
      </c>
      <c r="Q6345">
        <v>6213</v>
      </c>
      <c r="R6345" t="s">
        <v>23</v>
      </c>
      <c r="S6345" s="1" t="s">
        <v>34218</v>
      </c>
    </row>
    <row r="6346" spans="1:19" x14ac:dyDescent="0.25">
      <c r="A6346">
        <v>101047043</v>
      </c>
      <c r="B6346" t="s">
        <v>15300</v>
      </c>
      <c r="C6346" t="s">
        <v>483</v>
      </c>
      <c r="G6346" t="s">
        <v>15301</v>
      </c>
      <c r="H6346" t="s">
        <v>4235</v>
      </c>
      <c r="I6346" t="s">
        <v>984</v>
      </c>
      <c r="J6346">
        <v>96815</v>
      </c>
      <c r="K6346">
        <v>1315</v>
      </c>
      <c r="L6346" t="s">
        <v>23</v>
      </c>
      <c r="M6346" t="s">
        <v>15301</v>
      </c>
      <c r="N6346" t="s">
        <v>4235</v>
      </c>
      <c r="O6346" t="s">
        <v>984</v>
      </c>
      <c r="P6346">
        <v>96815</v>
      </c>
      <c r="Q6346">
        <v>1315</v>
      </c>
      <c r="R6346" t="s">
        <v>23</v>
      </c>
      <c r="S6346" s="1" t="s">
        <v>34218</v>
      </c>
    </row>
    <row r="6347" spans="1:19" x14ac:dyDescent="0.25">
      <c r="A6347">
        <v>101446759</v>
      </c>
      <c r="B6347" t="s">
        <v>1204</v>
      </c>
      <c r="C6347" t="s">
        <v>15302</v>
      </c>
      <c r="G6347" t="s">
        <v>15303</v>
      </c>
      <c r="H6347" t="s">
        <v>9304</v>
      </c>
      <c r="I6347" t="s">
        <v>191</v>
      </c>
      <c r="J6347">
        <v>4072</v>
      </c>
      <c r="K6347">
        <v>9693</v>
      </c>
      <c r="L6347" t="s">
        <v>23</v>
      </c>
      <c r="M6347" t="s">
        <v>15303</v>
      </c>
      <c r="N6347" t="s">
        <v>9304</v>
      </c>
      <c r="O6347" t="s">
        <v>191</v>
      </c>
      <c r="P6347">
        <v>4072</v>
      </c>
      <c r="Q6347">
        <v>9693</v>
      </c>
      <c r="R6347" t="s">
        <v>23</v>
      </c>
      <c r="S6347" s="1" t="s">
        <v>34218</v>
      </c>
    </row>
    <row r="6348" spans="1:19" x14ac:dyDescent="0.25">
      <c r="A6348">
        <v>100515523</v>
      </c>
      <c r="B6348" t="s">
        <v>15304</v>
      </c>
      <c r="C6348" t="s">
        <v>810</v>
      </c>
      <c r="G6348" t="s">
        <v>15305</v>
      </c>
      <c r="H6348" t="s">
        <v>14996</v>
      </c>
      <c r="I6348" t="s">
        <v>52</v>
      </c>
      <c r="J6348">
        <v>33815</v>
      </c>
      <c r="K6348">
        <v>4434</v>
      </c>
      <c r="L6348" t="s">
        <v>23</v>
      </c>
      <c r="M6348" t="s">
        <v>15305</v>
      </c>
      <c r="N6348" t="s">
        <v>14996</v>
      </c>
      <c r="O6348" t="s">
        <v>52</v>
      </c>
      <c r="P6348">
        <v>33815</v>
      </c>
      <c r="Q6348">
        <v>4434</v>
      </c>
      <c r="R6348" t="s">
        <v>23</v>
      </c>
      <c r="S6348" s="1" t="s">
        <v>34218</v>
      </c>
    </row>
    <row r="6349" spans="1:19" x14ac:dyDescent="0.25">
      <c r="A6349">
        <v>100871671</v>
      </c>
      <c r="B6349" t="s">
        <v>15306</v>
      </c>
      <c r="C6349" t="s">
        <v>448</v>
      </c>
      <c r="G6349" t="s">
        <v>15307</v>
      </c>
      <c r="H6349" t="s">
        <v>12185</v>
      </c>
      <c r="I6349" t="s">
        <v>117</v>
      </c>
      <c r="J6349">
        <v>14424</v>
      </c>
      <c r="K6349">
        <v>2391</v>
      </c>
      <c r="L6349" t="s">
        <v>23</v>
      </c>
      <c r="M6349" t="s">
        <v>15307</v>
      </c>
      <c r="N6349" t="s">
        <v>12185</v>
      </c>
      <c r="O6349" t="s">
        <v>117</v>
      </c>
      <c r="P6349">
        <v>14424</v>
      </c>
      <c r="Q6349">
        <v>2391</v>
      </c>
      <c r="R6349" t="s">
        <v>23</v>
      </c>
      <c r="S6349" s="1" t="s">
        <v>34218</v>
      </c>
    </row>
    <row r="6350" spans="1:19" x14ac:dyDescent="0.25">
      <c r="A6350">
        <v>101389059</v>
      </c>
      <c r="B6350" t="s">
        <v>15308</v>
      </c>
      <c r="C6350" t="s">
        <v>1107</v>
      </c>
      <c r="G6350" t="s">
        <v>15309</v>
      </c>
      <c r="H6350" t="s">
        <v>3089</v>
      </c>
      <c r="I6350" t="s">
        <v>203</v>
      </c>
      <c r="J6350">
        <v>83014</v>
      </c>
      <c r="K6350">
        <v>712</v>
      </c>
      <c r="L6350" t="s">
        <v>23</v>
      </c>
      <c r="M6350" t="s">
        <v>15309</v>
      </c>
      <c r="N6350" t="s">
        <v>3089</v>
      </c>
      <c r="O6350" t="s">
        <v>203</v>
      </c>
      <c r="P6350">
        <v>83014</v>
      </c>
      <c r="Q6350">
        <v>712</v>
      </c>
      <c r="R6350" t="s">
        <v>23</v>
      </c>
      <c r="S6350" s="1" t="s">
        <v>34218</v>
      </c>
    </row>
    <row r="6351" spans="1:19" x14ac:dyDescent="0.25">
      <c r="A6351">
        <v>101257455</v>
      </c>
      <c r="B6351" t="s">
        <v>15310</v>
      </c>
      <c r="C6351" t="s">
        <v>180</v>
      </c>
      <c r="G6351" t="s">
        <v>15311</v>
      </c>
      <c r="H6351" t="s">
        <v>9023</v>
      </c>
      <c r="I6351" t="s">
        <v>236</v>
      </c>
      <c r="J6351">
        <v>1057</v>
      </c>
      <c r="K6351">
        <v>9692</v>
      </c>
      <c r="L6351" t="s">
        <v>23</v>
      </c>
      <c r="M6351" t="s">
        <v>15311</v>
      </c>
      <c r="N6351" t="s">
        <v>9023</v>
      </c>
      <c r="O6351" t="s">
        <v>236</v>
      </c>
      <c r="P6351">
        <v>1057</v>
      </c>
      <c r="Q6351">
        <v>9692</v>
      </c>
      <c r="R6351" t="s">
        <v>23</v>
      </c>
      <c r="S6351" s="1" t="s">
        <v>34218</v>
      </c>
    </row>
    <row r="6352" spans="1:19" x14ac:dyDescent="0.25">
      <c r="A6352">
        <v>101228238</v>
      </c>
      <c r="B6352" t="s">
        <v>15312</v>
      </c>
      <c r="C6352" t="s">
        <v>1506</v>
      </c>
      <c r="G6352" t="s">
        <v>15313</v>
      </c>
      <c r="H6352" t="s">
        <v>15314</v>
      </c>
      <c r="I6352" t="s">
        <v>135</v>
      </c>
      <c r="J6352">
        <v>60030</v>
      </c>
      <c r="K6352">
        <v>4200</v>
      </c>
      <c r="L6352" t="s">
        <v>23</v>
      </c>
      <c r="M6352" t="s">
        <v>15313</v>
      </c>
      <c r="N6352" t="s">
        <v>15314</v>
      </c>
      <c r="O6352" t="s">
        <v>135</v>
      </c>
      <c r="P6352">
        <v>60030</v>
      </c>
      <c r="Q6352">
        <v>4200</v>
      </c>
      <c r="R6352" t="s">
        <v>23</v>
      </c>
      <c r="S6352" s="1" t="s">
        <v>34218</v>
      </c>
    </row>
    <row r="6353" spans="1:19" x14ac:dyDescent="0.25">
      <c r="A6353">
        <v>101297455</v>
      </c>
      <c r="B6353" t="s">
        <v>15315</v>
      </c>
      <c r="C6353" t="s">
        <v>1873</v>
      </c>
      <c r="G6353" t="s">
        <v>15316</v>
      </c>
      <c r="H6353" t="s">
        <v>15317</v>
      </c>
      <c r="I6353" t="s">
        <v>84</v>
      </c>
      <c r="J6353">
        <v>99163</v>
      </c>
      <c r="K6353">
        <v>3698</v>
      </c>
      <c r="L6353" t="s">
        <v>23</v>
      </c>
      <c r="M6353" t="s">
        <v>15316</v>
      </c>
      <c r="N6353" t="s">
        <v>15317</v>
      </c>
      <c r="O6353" t="s">
        <v>84</v>
      </c>
      <c r="P6353">
        <v>99163</v>
      </c>
      <c r="Q6353">
        <v>3698</v>
      </c>
      <c r="R6353" t="s">
        <v>23</v>
      </c>
      <c r="S6353" s="1" t="s">
        <v>34218</v>
      </c>
    </row>
    <row r="6354" spans="1:19" x14ac:dyDescent="0.25">
      <c r="A6354">
        <v>101259369</v>
      </c>
      <c r="B6354" t="s">
        <v>15318</v>
      </c>
      <c r="C6354" t="s">
        <v>123</v>
      </c>
      <c r="G6354" t="s">
        <v>15319</v>
      </c>
      <c r="H6354" t="s">
        <v>1625</v>
      </c>
      <c r="I6354" t="s">
        <v>702</v>
      </c>
      <c r="J6354">
        <v>89052</v>
      </c>
      <c r="K6354">
        <v>6839</v>
      </c>
      <c r="L6354" t="s">
        <v>23</v>
      </c>
      <c r="M6354" t="s">
        <v>15319</v>
      </c>
      <c r="N6354" t="s">
        <v>1625</v>
      </c>
      <c r="O6354" t="s">
        <v>702</v>
      </c>
      <c r="P6354">
        <v>89052</v>
      </c>
      <c r="Q6354">
        <v>6839</v>
      </c>
      <c r="R6354" t="s">
        <v>23</v>
      </c>
      <c r="S6354" s="1" t="s">
        <v>34218</v>
      </c>
    </row>
    <row r="6355" spans="1:19" x14ac:dyDescent="0.25">
      <c r="A6355">
        <v>101437728</v>
      </c>
      <c r="B6355" t="s">
        <v>15320</v>
      </c>
      <c r="C6355" t="s">
        <v>12846</v>
      </c>
      <c r="G6355" t="s">
        <v>15321</v>
      </c>
      <c r="H6355" t="s">
        <v>15322</v>
      </c>
      <c r="I6355" t="s">
        <v>250</v>
      </c>
      <c r="J6355">
        <v>8043</v>
      </c>
      <c r="K6355">
        <v>1626</v>
      </c>
      <c r="L6355" t="s">
        <v>23</v>
      </c>
      <c r="M6355" t="s">
        <v>15321</v>
      </c>
      <c r="N6355" t="s">
        <v>15322</v>
      </c>
      <c r="O6355" t="s">
        <v>250</v>
      </c>
      <c r="P6355">
        <v>8043</v>
      </c>
      <c r="Q6355">
        <v>1626</v>
      </c>
      <c r="R6355" t="s">
        <v>23</v>
      </c>
      <c r="S6355" s="1" t="s">
        <v>34218</v>
      </c>
    </row>
    <row r="6356" spans="1:19" x14ac:dyDescent="0.25">
      <c r="A6356">
        <v>101288360</v>
      </c>
      <c r="B6356" t="s">
        <v>9149</v>
      </c>
      <c r="C6356" t="s">
        <v>403</v>
      </c>
      <c r="G6356" t="s">
        <v>9151</v>
      </c>
      <c r="H6356" t="s">
        <v>1626</v>
      </c>
      <c r="I6356" t="s">
        <v>702</v>
      </c>
      <c r="J6356">
        <v>89434</v>
      </c>
      <c r="K6356">
        <v>3433</v>
      </c>
      <c r="L6356" t="s">
        <v>23</v>
      </c>
      <c r="M6356" t="s">
        <v>9151</v>
      </c>
      <c r="N6356" t="s">
        <v>1626</v>
      </c>
      <c r="O6356" t="s">
        <v>702</v>
      </c>
      <c r="P6356">
        <v>89434</v>
      </c>
      <c r="Q6356">
        <v>3433</v>
      </c>
      <c r="R6356" t="s">
        <v>23</v>
      </c>
      <c r="S6356" s="1" t="s">
        <v>34218</v>
      </c>
    </row>
    <row r="6357" spans="1:19" x14ac:dyDescent="0.25">
      <c r="A6357">
        <v>101289635</v>
      </c>
      <c r="B6357" t="s">
        <v>5893</v>
      </c>
      <c r="C6357" t="s">
        <v>15323</v>
      </c>
      <c r="G6357" t="s">
        <v>15324</v>
      </c>
      <c r="H6357" t="s">
        <v>1254</v>
      </c>
      <c r="I6357" t="s">
        <v>52</v>
      </c>
      <c r="J6357">
        <v>33467</v>
      </c>
      <c r="K6357">
        <v>3522</v>
      </c>
      <c r="L6357" t="s">
        <v>23</v>
      </c>
      <c r="M6357" t="s">
        <v>15324</v>
      </c>
      <c r="N6357" t="s">
        <v>1254</v>
      </c>
      <c r="O6357" t="s">
        <v>52</v>
      </c>
      <c r="P6357">
        <v>33467</v>
      </c>
      <c r="Q6357">
        <v>3522</v>
      </c>
      <c r="R6357" t="s">
        <v>23</v>
      </c>
      <c r="S6357" s="1" t="s">
        <v>34218</v>
      </c>
    </row>
    <row r="6358" spans="1:19" x14ac:dyDescent="0.25">
      <c r="A6358">
        <v>101288330</v>
      </c>
      <c r="B6358" t="s">
        <v>15325</v>
      </c>
      <c r="C6358" t="s">
        <v>1153</v>
      </c>
      <c r="G6358" t="s">
        <v>15326</v>
      </c>
      <c r="H6358" t="s">
        <v>21</v>
      </c>
      <c r="I6358" t="s">
        <v>22</v>
      </c>
      <c r="J6358">
        <v>95401</v>
      </c>
      <c r="K6358">
        <v>4711</v>
      </c>
      <c r="L6358" t="s">
        <v>23</v>
      </c>
      <c r="M6358" t="s">
        <v>15326</v>
      </c>
      <c r="N6358" t="s">
        <v>21</v>
      </c>
      <c r="O6358" t="s">
        <v>22</v>
      </c>
      <c r="P6358">
        <v>95401</v>
      </c>
      <c r="Q6358">
        <v>4711</v>
      </c>
      <c r="R6358" t="s">
        <v>23</v>
      </c>
      <c r="S6358" s="1" t="s">
        <v>34218</v>
      </c>
    </row>
    <row r="6359" spans="1:19" x14ac:dyDescent="0.25">
      <c r="A6359">
        <v>101291138</v>
      </c>
      <c r="B6359" t="s">
        <v>15327</v>
      </c>
      <c r="C6359" t="s">
        <v>15328</v>
      </c>
      <c r="F6359" t="str">
        <f>"9786498844"</f>
        <v>9786498844</v>
      </c>
      <c r="G6359" t="s">
        <v>15329</v>
      </c>
      <c r="H6359" t="s">
        <v>15330</v>
      </c>
      <c r="I6359" t="s">
        <v>236</v>
      </c>
      <c r="J6359">
        <v>1827</v>
      </c>
      <c r="K6359">
        <v>2307</v>
      </c>
      <c r="L6359" t="s">
        <v>23</v>
      </c>
      <c r="M6359" t="s">
        <v>15329</v>
      </c>
      <c r="N6359" t="s">
        <v>15330</v>
      </c>
      <c r="O6359" t="s">
        <v>236</v>
      </c>
      <c r="P6359">
        <v>1827</v>
      </c>
      <c r="Q6359">
        <v>2307</v>
      </c>
      <c r="R6359" t="s">
        <v>23</v>
      </c>
      <c r="S6359" s="1" t="s">
        <v>34218</v>
      </c>
    </row>
    <row r="6360" spans="1:19" x14ac:dyDescent="0.25">
      <c r="A6360">
        <v>101291157</v>
      </c>
      <c r="B6360" t="s">
        <v>1823</v>
      </c>
      <c r="C6360" t="s">
        <v>40</v>
      </c>
      <c r="G6360" t="s">
        <v>15331</v>
      </c>
      <c r="H6360" t="s">
        <v>10838</v>
      </c>
      <c r="I6360" t="s">
        <v>71</v>
      </c>
      <c r="J6360">
        <v>80134</v>
      </c>
      <c r="K6360">
        <v>5835</v>
      </c>
      <c r="L6360" t="s">
        <v>23</v>
      </c>
      <c r="M6360" t="s">
        <v>15331</v>
      </c>
      <c r="N6360" t="s">
        <v>10838</v>
      </c>
      <c r="O6360" t="s">
        <v>71</v>
      </c>
      <c r="P6360">
        <v>80134</v>
      </c>
      <c r="Q6360">
        <v>5835</v>
      </c>
      <c r="R6360" t="s">
        <v>23</v>
      </c>
      <c r="S6360" s="1" t="s">
        <v>34218</v>
      </c>
    </row>
    <row r="6361" spans="1:19" x14ac:dyDescent="0.25">
      <c r="A6361">
        <v>101294935</v>
      </c>
      <c r="B6361" t="s">
        <v>15332</v>
      </c>
      <c r="C6361" t="s">
        <v>40</v>
      </c>
      <c r="G6361" t="s">
        <v>15333</v>
      </c>
      <c r="H6361" t="s">
        <v>12997</v>
      </c>
      <c r="I6361" t="s">
        <v>140</v>
      </c>
      <c r="J6361">
        <v>48036</v>
      </c>
      <c r="K6361">
        <v>4402</v>
      </c>
      <c r="L6361" t="s">
        <v>23</v>
      </c>
      <c r="M6361" t="s">
        <v>15333</v>
      </c>
      <c r="N6361" t="s">
        <v>12997</v>
      </c>
      <c r="O6361" t="s">
        <v>140</v>
      </c>
      <c r="P6361">
        <v>48036</v>
      </c>
      <c r="Q6361">
        <v>4402</v>
      </c>
      <c r="R6361" t="s">
        <v>23</v>
      </c>
      <c r="S6361" s="1" t="s">
        <v>34218</v>
      </c>
    </row>
    <row r="6362" spans="1:19" x14ac:dyDescent="0.25">
      <c r="A6362">
        <v>101291405</v>
      </c>
      <c r="B6362" t="s">
        <v>497</v>
      </c>
      <c r="C6362" t="s">
        <v>30</v>
      </c>
      <c r="G6362" t="s">
        <v>15334</v>
      </c>
      <c r="H6362" t="s">
        <v>2514</v>
      </c>
      <c r="I6362" t="s">
        <v>236</v>
      </c>
      <c r="J6362">
        <v>2210</v>
      </c>
      <c r="K6362">
        <v>1615</v>
      </c>
      <c r="L6362" t="s">
        <v>23</v>
      </c>
      <c r="M6362" t="s">
        <v>15334</v>
      </c>
      <c r="N6362" t="s">
        <v>2514</v>
      </c>
      <c r="O6362" t="s">
        <v>236</v>
      </c>
      <c r="P6362">
        <v>2210</v>
      </c>
      <c r="Q6362">
        <v>1615</v>
      </c>
      <c r="R6362" t="s">
        <v>23</v>
      </c>
      <c r="S6362" s="1" t="s">
        <v>34218</v>
      </c>
    </row>
    <row r="6363" spans="1:19" x14ac:dyDescent="0.25">
      <c r="A6363">
        <v>101297531</v>
      </c>
      <c r="B6363" t="s">
        <v>15335</v>
      </c>
      <c r="C6363" t="s">
        <v>7445</v>
      </c>
      <c r="G6363" t="s">
        <v>15336</v>
      </c>
      <c r="H6363" t="s">
        <v>15337</v>
      </c>
      <c r="I6363" t="s">
        <v>178</v>
      </c>
      <c r="J6363">
        <v>44839</v>
      </c>
      <c r="K6363">
        <v>2326</v>
      </c>
      <c r="L6363" t="s">
        <v>23</v>
      </c>
      <c r="M6363" t="s">
        <v>15336</v>
      </c>
      <c r="N6363" t="s">
        <v>15337</v>
      </c>
      <c r="O6363" t="s">
        <v>178</v>
      </c>
      <c r="P6363">
        <v>44839</v>
      </c>
      <c r="Q6363">
        <v>2326</v>
      </c>
      <c r="R6363" t="s">
        <v>23</v>
      </c>
      <c r="S6363" s="1" t="s">
        <v>34218</v>
      </c>
    </row>
    <row r="6364" spans="1:19" x14ac:dyDescent="0.25">
      <c r="A6364">
        <v>101291507</v>
      </c>
      <c r="B6364" t="s">
        <v>812</v>
      </c>
      <c r="C6364" t="s">
        <v>2127</v>
      </c>
      <c r="F6364" t="str">
        <f>"7209877917"</f>
        <v>7209877917</v>
      </c>
      <c r="G6364" t="s">
        <v>15338</v>
      </c>
      <c r="H6364" t="s">
        <v>438</v>
      </c>
      <c r="I6364" t="s">
        <v>71</v>
      </c>
      <c r="J6364">
        <v>80501</v>
      </c>
      <c r="K6364">
        <v>5649</v>
      </c>
      <c r="L6364" t="s">
        <v>23</v>
      </c>
      <c r="M6364" t="s">
        <v>15338</v>
      </c>
      <c r="N6364" t="s">
        <v>438</v>
      </c>
      <c r="O6364" t="s">
        <v>71</v>
      </c>
      <c r="P6364">
        <v>80501</v>
      </c>
      <c r="Q6364">
        <v>5649</v>
      </c>
      <c r="R6364" t="s">
        <v>23</v>
      </c>
      <c r="S6364" s="1" t="s">
        <v>34218</v>
      </c>
    </row>
    <row r="6365" spans="1:19" x14ac:dyDescent="0.25">
      <c r="A6365">
        <v>101295495</v>
      </c>
      <c r="B6365" t="s">
        <v>15339</v>
      </c>
      <c r="C6365" t="s">
        <v>102</v>
      </c>
      <c r="G6365" t="s">
        <v>15340</v>
      </c>
      <c r="H6365" t="s">
        <v>401</v>
      </c>
      <c r="I6365" t="s">
        <v>353</v>
      </c>
      <c r="J6365">
        <v>3051</v>
      </c>
      <c r="K6365">
        <v>5075</v>
      </c>
      <c r="L6365" t="s">
        <v>23</v>
      </c>
      <c r="M6365" t="s">
        <v>15340</v>
      </c>
      <c r="N6365" t="s">
        <v>401</v>
      </c>
      <c r="O6365" t="s">
        <v>353</v>
      </c>
      <c r="P6365">
        <v>3051</v>
      </c>
      <c r="Q6365">
        <v>5075</v>
      </c>
      <c r="R6365" t="s">
        <v>23</v>
      </c>
      <c r="S6365" s="1" t="s">
        <v>34218</v>
      </c>
    </row>
    <row r="6366" spans="1:19" x14ac:dyDescent="0.25">
      <c r="A6366">
        <v>101301074</v>
      </c>
      <c r="B6366" t="s">
        <v>15341</v>
      </c>
      <c r="C6366" t="s">
        <v>90</v>
      </c>
      <c r="G6366" t="s">
        <v>15342</v>
      </c>
      <c r="H6366" t="s">
        <v>2393</v>
      </c>
      <c r="I6366" t="s">
        <v>22</v>
      </c>
      <c r="J6366">
        <v>95993</v>
      </c>
      <c r="K6366">
        <v>9695</v>
      </c>
      <c r="L6366" t="s">
        <v>23</v>
      </c>
      <c r="M6366" t="s">
        <v>15342</v>
      </c>
      <c r="N6366" t="s">
        <v>2393</v>
      </c>
      <c r="O6366" t="s">
        <v>22</v>
      </c>
      <c r="P6366">
        <v>95993</v>
      </c>
      <c r="Q6366">
        <v>9695</v>
      </c>
      <c r="R6366" t="s">
        <v>23</v>
      </c>
      <c r="S6366" s="1" t="s">
        <v>34218</v>
      </c>
    </row>
    <row r="6367" spans="1:19" x14ac:dyDescent="0.25">
      <c r="A6367">
        <v>101305908</v>
      </c>
      <c r="B6367" t="s">
        <v>4562</v>
      </c>
      <c r="C6367" t="s">
        <v>123</v>
      </c>
      <c r="G6367" t="s">
        <v>15343</v>
      </c>
      <c r="H6367" t="s">
        <v>15344</v>
      </c>
      <c r="I6367" t="s">
        <v>33</v>
      </c>
      <c r="J6367">
        <v>19041</v>
      </c>
      <c r="K6367">
        <v>1531</v>
      </c>
      <c r="L6367" t="s">
        <v>23</v>
      </c>
      <c r="M6367" t="s">
        <v>15343</v>
      </c>
      <c r="N6367" t="s">
        <v>15344</v>
      </c>
      <c r="O6367" t="s">
        <v>33</v>
      </c>
      <c r="P6367">
        <v>19041</v>
      </c>
      <c r="Q6367">
        <v>1531</v>
      </c>
      <c r="R6367" t="s">
        <v>23</v>
      </c>
      <c r="S6367" s="1" t="s">
        <v>34218</v>
      </c>
    </row>
    <row r="6368" spans="1:19" x14ac:dyDescent="0.25">
      <c r="A6368">
        <v>101228980</v>
      </c>
      <c r="B6368" t="s">
        <v>15345</v>
      </c>
      <c r="C6368" t="s">
        <v>1036</v>
      </c>
      <c r="F6368" t="str">
        <f>"7738855257"</f>
        <v>7738855257</v>
      </c>
      <c r="G6368" t="s">
        <v>15346</v>
      </c>
      <c r="H6368" t="s">
        <v>134</v>
      </c>
      <c r="I6368" t="s">
        <v>135</v>
      </c>
      <c r="J6368">
        <v>60659</v>
      </c>
      <c r="K6368">
        <v>2995</v>
      </c>
      <c r="L6368" t="s">
        <v>23</v>
      </c>
      <c r="M6368" t="s">
        <v>15346</v>
      </c>
      <c r="N6368" t="s">
        <v>134</v>
      </c>
      <c r="O6368" t="s">
        <v>135</v>
      </c>
      <c r="P6368">
        <v>60659</v>
      </c>
      <c r="Q6368">
        <v>2995</v>
      </c>
      <c r="R6368" t="s">
        <v>23</v>
      </c>
      <c r="S6368" s="1" t="s">
        <v>34218</v>
      </c>
    </row>
    <row r="6369" spans="1:19" x14ac:dyDescent="0.25">
      <c r="A6369">
        <v>101347395</v>
      </c>
      <c r="B6369" t="s">
        <v>15347</v>
      </c>
      <c r="C6369" t="s">
        <v>15348</v>
      </c>
      <c r="G6369" t="s">
        <v>15349</v>
      </c>
      <c r="H6369" t="s">
        <v>15350</v>
      </c>
      <c r="I6369" t="s">
        <v>984</v>
      </c>
      <c r="J6369">
        <v>96727</v>
      </c>
      <c r="L6369" t="s">
        <v>23</v>
      </c>
      <c r="M6369" t="s">
        <v>15349</v>
      </c>
      <c r="N6369" t="s">
        <v>15350</v>
      </c>
      <c r="O6369" t="s">
        <v>984</v>
      </c>
      <c r="P6369">
        <v>96727</v>
      </c>
      <c r="R6369" t="s">
        <v>23</v>
      </c>
      <c r="S6369" s="1" t="s">
        <v>34218</v>
      </c>
    </row>
    <row r="6370" spans="1:19" x14ac:dyDescent="0.25">
      <c r="A6370">
        <v>101386448</v>
      </c>
      <c r="B6370" t="s">
        <v>15351</v>
      </c>
      <c r="C6370" t="s">
        <v>15352</v>
      </c>
      <c r="G6370" t="s">
        <v>15353</v>
      </c>
      <c r="H6370" t="s">
        <v>8220</v>
      </c>
      <c r="I6370" t="s">
        <v>22</v>
      </c>
      <c r="J6370">
        <v>92805</v>
      </c>
      <c r="K6370">
        <v>3927</v>
      </c>
      <c r="L6370" t="s">
        <v>23</v>
      </c>
      <c r="M6370" t="s">
        <v>15353</v>
      </c>
      <c r="N6370" t="s">
        <v>8220</v>
      </c>
      <c r="O6370" t="s">
        <v>22</v>
      </c>
      <c r="P6370">
        <v>92805</v>
      </c>
      <c r="Q6370">
        <v>3927</v>
      </c>
      <c r="R6370" t="s">
        <v>23</v>
      </c>
      <c r="S6370" s="1" t="s">
        <v>34218</v>
      </c>
    </row>
    <row r="6371" spans="1:19" x14ac:dyDescent="0.25">
      <c r="A6371">
        <v>101319991</v>
      </c>
      <c r="B6371" t="s">
        <v>1239</v>
      </c>
      <c r="C6371" t="s">
        <v>217</v>
      </c>
      <c r="G6371" t="s">
        <v>15354</v>
      </c>
      <c r="H6371" t="s">
        <v>380</v>
      </c>
      <c r="I6371" t="s">
        <v>38</v>
      </c>
      <c r="J6371">
        <v>75237</v>
      </c>
      <c r="K6371">
        <v>2053</v>
      </c>
      <c r="L6371" t="s">
        <v>23</v>
      </c>
      <c r="M6371" t="s">
        <v>15354</v>
      </c>
      <c r="N6371" t="s">
        <v>380</v>
      </c>
      <c r="O6371" t="s">
        <v>38</v>
      </c>
      <c r="P6371">
        <v>75237</v>
      </c>
      <c r="Q6371">
        <v>2053</v>
      </c>
      <c r="R6371" t="s">
        <v>23</v>
      </c>
      <c r="S6371" s="1" t="s">
        <v>34218</v>
      </c>
    </row>
    <row r="6372" spans="1:19" x14ac:dyDescent="0.25">
      <c r="A6372">
        <v>101235533</v>
      </c>
      <c r="B6372" t="s">
        <v>15355</v>
      </c>
      <c r="C6372" t="s">
        <v>30</v>
      </c>
      <c r="G6372" t="s">
        <v>15356</v>
      </c>
      <c r="H6372" t="s">
        <v>4439</v>
      </c>
      <c r="I6372" t="s">
        <v>178</v>
      </c>
      <c r="J6372">
        <v>44070</v>
      </c>
      <c r="K6372">
        <v>4142</v>
      </c>
      <c r="L6372" t="s">
        <v>23</v>
      </c>
      <c r="M6372" t="s">
        <v>15356</v>
      </c>
      <c r="N6372" t="s">
        <v>4439</v>
      </c>
      <c r="O6372" t="s">
        <v>178</v>
      </c>
      <c r="P6372">
        <v>44070</v>
      </c>
      <c r="Q6372">
        <v>4142</v>
      </c>
      <c r="R6372" t="s">
        <v>23</v>
      </c>
      <c r="S6372" s="1" t="s">
        <v>34218</v>
      </c>
    </row>
    <row r="6373" spans="1:19" x14ac:dyDescent="0.25">
      <c r="A6373">
        <v>101437335</v>
      </c>
      <c r="B6373" t="s">
        <v>12257</v>
      </c>
      <c r="C6373" t="s">
        <v>2232</v>
      </c>
      <c r="G6373" t="s">
        <v>15357</v>
      </c>
      <c r="H6373" t="s">
        <v>3074</v>
      </c>
      <c r="I6373" t="s">
        <v>148</v>
      </c>
      <c r="J6373">
        <v>21286</v>
      </c>
      <c r="K6373">
        <v>8930</v>
      </c>
      <c r="L6373" t="s">
        <v>23</v>
      </c>
      <c r="M6373" t="s">
        <v>15357</v>
      </c>
      <c r="N6373" t="s">
        <v>3074</v>
      </c>
      <c r="O6373" t="s">
        <v>148</v>
      </c>
      <c r="P6373">
        <v>21286</v>
      </c>
      <c r="Q6373">
        <v>8930</v>
      </c>
      <c r="R6373" t="s">
        <v>23</v>
      </c>
      <c r="S6373" s="1" t="s">
        <v>34218</v>
      </c>
    </row>
    <row r="6374" spans="1:19" x14ac:dyDescent="0.25">
      <c r="A6374">
        <v>101409594</v>
      </c>
      <c r="B6374" t="s">
        <v>15358</v>
      </c>
      <c r="C6374" t="s">
        <v>110</v>
      </c>
      <c r="G6374" t="s">
        <v>15359</v>
      </c>
      <c r="H6374" t="s">
        <v>112</v>
      </c>
      <c r="I6374" t="s">
        <v>22</v>
      </c>
      <c r="J6374">
        <v>93117</v>
      </c>
      <c r="K6374">
        <v>1500</v>
      </c>
      <c r="L6374" t="s">
        <v>23</v>
      </c>
      <c r="M6374" t="s">
        <v>15359</v>
      </c>
      <c r="N6374" t="s">
        <v>112</v>
      </c>
      <c r="O6374" t="s">
        <v>22</v>
      </c>
      <c r="P6374">
        <v>93117</v>
      </c>
      <c r="Q6374">
        <v>1500</v>
      </c>
      <c r="R6374" t="s">
        <v>23</v>
      </c>
      <c r="S6374" s="1" t="s">
        <v>34218</v>
      </c>
    </row>
    <row r="6375" spans="1:19" x14ac:dyDescent="0.25">
      <c r="A6375">
        <v>101447059</v>
      </c>
      <c r="B6375" t="s">
        <v>15360</v>
      </c>
      <c r="C6375" t="s">
        <v>15361</v>
      </c>
      <c r="G6375" t="s">
        <v>15362</v>
      </c>
      <c r="H6375" t="s">
        <v>3466</v>
      </c>
      <c r="I6375" t="s">
        <v>57</v>
      </c>
      <c r="J6375">
        <v>47374</v>
      </c>
      <c r="K6375">
        <v>6407</v>
      </c>
      <c r="L6375" t="s">
        <v>23</v>
      </c>
      <c r="M6375" t="s">
        <v>15362</v>
      </c>
      <c r="N6375" t="s">
        <v>3466</v>
      </c>
      <c r="O6375" t="s">
        <v>57</v>
      </c>
      <c r="P6375">
        <v>47374</v>
      </c>
      <c r="Q6375">
        <v>6407</v>
      </c>
      <c r="R6375" t="s">
        <v>23</v>
      </c>
      <c r="S6375" s="1" t="s">
        <v>34218</v>
      </c>
    </row>
    <row r="6376" spans="1:19" x14ac:dyDescent="0.25">
      <c r="A6376">
        <v>101309699</v>
      </c>
      <c r="B6376" t="s">
        <v>15363</v>
      </c>
      <c r="C6376" t="s">
        <v>11325</v>
      </c>
      <c r="G6376" t="s">
        <v>15364</v>
      </c>
      <c r="H6376" t="s">
        <v>7440</v>
      </c>
      <c r="I6376" t="s">
        <v>117</v>
      </c>
      <c r="J6376">
        <v>14075</v>
      </c>
      <c r="K6376">
        <v>7321</v>
      </c>
      <c r="L6376" t="s">
        <v>23</v>
      </c>
      <c r="M6376" t="s">
        <v>15364</v>
      </c>
      <c r="N6376" t="s">
        <v>7440</v>
      </c>
      <c r="O6376" t="s">
        <v>117</v>
      </c>
      <c r="P6376">
        <v>14075</v>
      </c>
      <c r="Q6376">
        <v>7321</v>
      </c>
      <c r="R6376" t="s">
        <v>23</v>
      </c>
      <c r="S6376" s="1" t="s">
        <v>34218</v>
      </c>
    </row>
    <row r="6377" spans="1:19" x14ac:dyDescent="0.25">
      <c r="A6377">
        <v>101249675</v>
      </c>
      <c r="B6377" t="s">
        <v>15365</v>
      </c>
      <c r="C6377" t="s">
        <v>15366</v>
      </c>
      <c r="G6377" t="s">
        <v>15367</v>
      </c>
      <c r="H6377" t="s">
        <v>638</v>
      </c>
      <c r="I6377" t="s">
        <v>639</v>
      </c>
      <c r="J6377">
        <v>87110</v>
      </c>
      <c r="K6377">
        <v>1905</v>
      </c>
      <c r="L6377" t="s">
        <v>23</v>
      </c>
      <c r="M6377" t="s">
        <v>15367</v>
      </c>
      <c r="N6377" t="s">
        <v>638</v>
      </c>
      <c r="O6377" t="s">
        <v>639</v>
      </c>
      <c r="P6377">
        <v>87110</v>
      </c>
      <c r="Q6377">
        <v>1905</v>
      </c>
      <c r="R6377" t="s">
        <v>23</v>
      </c>
      <c r="S6377" s="1" t="s">
        <v>34218</v>
      </c>
    </row>
    <row r="6378" spans="1:19" x14ac:dyDescent="0.25">
      <c r="A6378">
        <v>101435157</v>
      </c>
      <c r="B6378" t="s">
        <v>15368</v>
      </c>
      <c r="C6378" t="s">
        <v>155</v>
      </c>
      <c r="G6378" t="s">
        <v>15369</v>
      </c>
      <c r="H6378" t="s">
        <v>638</v>
      </c>
      <c r="I6378" t="s">
        <v>639</v>
      </c>
      <c r="J6378">
        <v>87123</v>
      </c>
      <c r="K6378">
        <v>1871</v>
      </c>
      <c r="L6378" t="s">
        <v>23</v>
      </c>
      <c r="M6378" t="s">
        <v>15369</v>
      </c>
      <c r="N6378" t="s">
        <v>638</v>
      </c>
      <c r="O6378" t="s">
        <v>639</v>
      </c>
      <c r="P6378">
        <v>87123</v>
      </c>
      <c r="Q6378">
        <v>1871</v>
      </c>
      <c r="R6378" t="s">
        <v>23</v>
      </c>
      <c r="S6378" s="1" t="s">
        <v>34218</v>
      </c>
    </row>
    <row r="6379" spans="1:19" x14ac:dyDescent="0.25">
      <c r="A6379">
        <v>101349508</v>
      </c>
      <c r="B6379" t="s">
        <v>15370</v>
      </c>
      <c r="C6379" t="s">
        <v>15371</v>
      </c>
      <c r="G6379" t="s">
        <v>15372</v>
      </c>
      <c r="H6379" t="s">
        <v>507</v>
      </c>
      <c r="I6379" t="s">
        <v>250</v>
      </c>
      <c r="J6379">
        <v>7022</v>
      </c>
      <c r="K6379">
        <v>1716</v>
      </c>
      <c r="L6379" t="s">
        <v>23</v>
      </c>
      <c r="M6379" t="s">
        <v>15372</v>
      </c>
      <c r="N6379" t="s">
        <v>507</v>
      </c>
      <c r="O6379" t="s">
        <v>250</v>
      </c>
      <c r="P6379">
        <v>7022</v>
      </c>
      <c r="Q6379">
        <v>1716</v>
      </c>
      <c r="R6379" t="s">
        <v>23</v>
      </c>
      <c r="S6379" s="1" t="s">
        <v>34218</v>
      </c>
    </row>
    <row r="6380" spans="1:19" x14ac:dyDescent="0.25">
      <c r="A6380">
        <v>100561709</v>
      </c>
      <c r="B6380" t="s">
        <v>15373</v>
      </c>
      <c r="C6380" t="s">
        <v>9958</v>
      </c>
      <c r="G6380" t="s">
        <v>15374</v>
      </c>
      <c r="H6380" t="s">
        <v>6717</v>
      </c>
      <c r="I6380" t="s">
        <v>250</v>
      </c>
      <c r="J6380">
        <v>8054</v>
      </c>
      <c r="L6380" t="s">
        <v>23</v>
      </c>
      <c r="M6380" t="s">
        <v>15374</v>
      </c>
      <c r="N6380" t="s">
        <v>6717</v>
      </c>
      <c r="O6380" t="s">
        <v>250</v>
      </c>
      <c r="P6380">
        <v>8054</v>
      </c>
      <c r="R6380" t="s">
        <v>23</v>
      </c>
      <c r="S6380" s="1" t="s">
        <v>34218</v>
      </c>
    </row>
    <row r="6381" spans="1:19" x14ac:dyDescent="0.25">
      <c r="A6381">
        <v>101261513</v>
      </c>
      <c r="B6381" t="s">
        <v>4110</v>
      </c>
      <c r="C6381" t="s">
        <v>40</v>
      </c>
      <c r="G6381" t="s">
        <v>15375</v>
      </c>
      <c r="H6381" t="s">
        <v>1951</v>
      </c>
      <c r="I6381" t="s">
        <v>236</v>
      </c>
      <c r="J6381">
        <v>1085</v>
      </c>
      <c r="K6381">
        <v>3028</v>
      </c>
      <c r="L6381" t="s">
        <v>23</v>
      </c>
      <c r="M6381" t="s">
        <v>15375</v>
      </c>
      <c r="N6381" t="s">
        <v>1951</v>
      </c>
      <c r="O6381" t="s">
        <v>236</v>
      </c>
      <c r="P6381">
        <v>1085</v>
      </c>
      <c r="Q6381">
        <v>3028</v>
      </c>
      <c r="R6381" t="s">
        <v>23</v>
      </c>
      <c r="S6381" s="1" t="s">
        <v>34218</v>
      </c>
    </row>
    <row r="6382" spans="1:19" x14ac:dyDescent="0.25">
      <c r="A6382">
        <v>100945752</v>
      </c>
      <c r="B6382" t="s">
        <v>15376</v>
      </c>
      <c r="C6382" t="s">
        <v>4828</v>
      </c>
      <c r="G6382" t="s">
        <v>15377</v>
      </c>
      <c r="H6382" t="s">
        <v>15378</v>
      </c>
      <c r="I6382" t="s">
        <v>117</v>
      </c>
      <c r="J6382">
        <v>11949</v>
      </c>
      <c r="K6382">
        <v>3004</v>
      </c>
      <c r="L6382" t="s">
        <v>23</v>
      </c>
      <c r="M6382" t="s">
        <v>15377</v>
      </c>
      <c r="N6382" t="s">
        <v>15378</v>
      </c>
      <c r="O6382" t="s">
        <v>117</v>
      </c>
      <c r="P6382">
        <v>11949</v>
      </c>
      <c r="Q6382">
        <v>3004</v>
      </c>
      <c r="R6382" t="s">
        <v>23</v>
      </c>
      <c r="S6382" s="1" t="s">
        <v>34218</v>
      </c>
    </row>
    <row r="6383" spans="1:19" x14ac:dyDescent="0.25">
      <c r="A6383">
        <v>100952235</v>
      </c>
      <c r="B6383" t="s">
        <v>15379</v>
      </c>
      <c r="C6383" t="s">
        <v>367</v>
      </c>
      <c r="G6383" t="s">
        <v>15380</v>
      </c>
      <c r="H6383" t="s">
        <v>134</v>
      </c>
      <c r="I6383" t="s">
        <v>135</v>
      </c>
      <c r="J6383">
        <v>60638</v>
      </c>
      <c r="K6383">
        <v>2518</v>
      </c>
      <c r="L6383" t="s">
        <v>23</v>
      </c>
      <c r="M6383" t="s">
        <v>15380</v>
      </c>
      <c r="N6383" t="s">
        <v>134</v>
      </c>
      <c r="O6383" t="s">
        <v>135</v>
      </c>
      <c r="P6383">
        <v>60638</v>
      </c>
      <c r="Q6383">
        <v>2518</v>
      </c>
      <c r="R6383" t="s">
        <v>23</v>
      </c>
      <c r="S6383" s="1" t="s">
        <v>34218</v>
      </c>
    </row>
    <row r="6384" spans="1:19" x14ac:dyDescent="0.25">
      <c r="A6384">
        <v>100949885</v>
      </c>
      <c r="B6384" t="s">
        <v>15381</v>
      </c>
      <c r="C6384" t="s">
        <v>119</v>
      </c>
      <c r="G6384" t="s">
        <v>15382</v>
      </c>
      <c r="H6384" t="s">
        <v>2285</v>
      </c>
      <c r="I6384" t="s">
        <v>22</v>
      </c>
      <c r="J6384">
        <v>92037</v>
      </c>
      <c r="K6384">
        <v>5405</v>
      </c>
      <c r="L6384" t="s">
        <v>23</v>
      </c>
      <c r="M6384" t="s">
        <v>15382</v>
      </c>
      <c r="N6384" t="s">
        <v>2285</v>
      </c>
      <c r="O6384" t="s">
        <v>22</v>
      </c>
      <c r="P6384">
        <v>92037</v>
      </c>
      <c r="Q6384">
        <v>5405</v>
      </c>
      <c r="R6384" t="s">
        <v>23</v>
      </c>
      <c r="S6384" s="1" t="s">
        <v>34218</v>
      </c>
    </row>
    <row r="6385" spans="1:19" x14ac:dyDescent="0.25">
      <c r="A6385">
        <v>100947032</v>
      </c>
      <c r="B6385" t="s">
        <v>15383</v>
      </c>
      <c r="C6385" t="s">
        <v>2248</v>
      </c>
      <c r="G6385" t="s">
        <v>15384</v>
      </c>
      <c r="H6385" t="s">
        <v>2841</v>
      </c>
      <c r="I6385" t="s">
        <v>71</v>
      </c>
      <c r="J6385">
        <v>80401</v>
      </c>
      <c r="K6385">
        <v>5342</v>
      </c>
      <c r="L6385" t="s">
        <v>23</v>
      </c>
      <c r="M6385" t="s">
        <v>15384</v>
      </c>
      <c r="N6385" t="s">
        <v>2841</v>
      </c>
      <c r="O6385" t="s">
        <v>71</v>
      </c>
      <c r="P6385">
        <v>80401</v>
      </c>
      <c r="Q6385">
        <v>5342</v>
      </c>
      <c r="R6385" t="s">
        <v>23</v>
      </c>
      <c r="S6385" s="1" t="s">
        <v>34218</v>
      </c>
    </row>
    <row r="6386" spans="1:19" x14ac:dyDescent="0.25">
      <c r="A6386">
        <v>100953157</v>
      </c>
      <c r="B6386" t="s">
        <v>15385</v>
      </c>
      <c r="C6386" t="s">
        <v>4245</v>
      </c>
      <c r="G6386" t="s">
        <v>15386</v>
      </c>
      <c r="H6386" t="s">
        <v>3884</v>
      </c>
      <c r="I6386" t="s">
        <v>84</v>
      </c>
      <c r="J6386">
        <v>98260</v>
      </c>
      <c r="K6386">
        <v>9526</v>
      </c>
      <c r="L6386" t="s">
        <v>23</v>
      </c>
      <c r="M6386" t="s">
        <v>15386</v>
      </c>
      <c r="N6386" t="s">
        <v>3884</v>
      </c>
      <c r="O6386" t="s">
        <v>84</v>
      </c>
      <c r="P6386">
        <v>98260</v>
      </c>
      <c r="Q6386">
        <v>9526</v>
      </c>
      <c r="R6386" t="s">
        <v>23</v>
      </c>
      <c r="S6386" s="1" t="s">
        <v>34218</v>
      </c>
    </row>
    <row r="6387" spans="1:19" x14ac:dyDescent="0.25">
      <c r="A6387">
        <v>100953480</v>
      </c>
      <c r="B6387" t="s">
        <v>15387</v>
      </c>
      <c r="C6387" t="s">
        <v>180</v>
      </c>
      <c r="F6387" t="str">
        <f>"8456879001"</f>
        <v>8456879001</v>
      </c>
      <c r="G6387" t="s">
        <v>15388</v>
      </c>
      <c r="H6387" t="s">
        <v>15389</v>
      </c>
      <c r="I6387" t="s">
        <v>117</v>
      </c>
      <c r="J6387">
        <v>12440</v>
      </c>
      <c r="K6387">
        <v>5413</v>
      </c>
      <c r="L6387" t="s">
        <v>23</v>
      </c>
      <c r="M6387" t="s">
        <v>15388</v>
      </c>
      <c r="N6387" t="s">
        <v>15389</v>
      </c>
      <c r="O6387" t="s">
        <v>117</v>
      </c>
      <c r="P6387">
        <v>12440</v>
      </c>
      <c r="Q6387">
        <v>5413</v>
      </c>
      <c r="R6387" t="s">
        <v>23</v>
      </c>
      <c r="S6387" s="1" t="s">
        <v>34218</v>
      </c>
    </row>
    <row r="6388" spans="1:19" x14ac:dyDescent="0.25">
      <c r="A6388">
        <v>100957328</v>
      </c>
      <c r="B6388" t="s">
        <v>15390</v>
      </c>
      <c r="C6388" t="s">
        <v>466</v>
      </c>
      <c r="F6388" t="str">
        <f>"9732584092"</f>
        <v>9732584092</v>
      </c>
      <c r="G6388" t="s">
        <v>15391</v>
      </c>
      <c r="H6388" t="s">
        <v>15392</v>
      </c>
      <c r="I6388" t="s">
        <v>250</v>
      </c>
      <c r="J6388">
        <v>7078</v>
      </c>
      <c r="K6388">
        <v>1611</v>
      </c>
      <c r="L6388" t="s">
        <v>23</v>
      </c>
      <c r="M6388" t="s">
        <v>15391</v>
      </c>
      <c r="N6388" t="s">
        <v>15392</v>
      </c>
      <c r="O6388" t="s">
        <v>250</v>
      </c>
      <c r="P6388">
        <v>7078</v>
      </c>
      <c r="Q6388">
        <v>1611</v>
      </c>
      <c r="R6388" t="s">
        <v>23</v>
      </c>
      <c r="S6388" s="1" t="s">
        <v>34218</v>
      </c>
    </row>
    <row r="6389" spans="1:19" x14ac:dyDescent="0.25">
      <c r="A6389">
        <v>100960135</v>
      </c>
      <c r="B6389" t="s">
        <v>15393</v>
      </c>
      <c r="C6389" t="s">
        <v>15394</v>
      </c>
      <c r="G6389" t="s">
        <v>15395</v>
      </c>
      <c r="H6389" t="s">
        <v>15396</v>
      </c>
      <c r="I6389" t="s">
        <v>33</v>
      </c>
      <c r="J6389">
        <v>15701</v>
      </c>
      <c r="K6389">
        <v>1576</v>
      </c>
      <c r="L6389" t="s">
        <v>23</v>
      </c>
      <c r="M6389" t="s">
        <v>15395</v>
      </c>
      <c r="N6389" t="s">
        <v>15396</v>
      </c>
      <c r="O6389" t="s">
        <v>33</v>
      </c>
      <c r="P6389">
        <v>15701</v>
      </c>
      <c r="Q6389">
        <v>1576</v>
      </c>
      <c r="R6389" t="s">
        <v>23</v>
      </c>
      <c r="S6389" s="1" t="s">
        <v>34218</v>
      </c>
    </row>
    <row r="6390" spans="1:19" x14ac:dyDescent="0.25">
      <c r="A6390">
        <v>100961011</v>
      </c>
      <c r="B6390" t="s">
        <v>15397</v>
      </c>
      <c r="C6390" t="s">
        <v>274</v>
      </c>
      <c r="G6390" t="s">
        <v>15398</v>
      </c>
      <c r="H6390" t="s">
        <v>869</v>
      </c>
      <c r="I6390" t="s">
        <v>52</v>
      </c>
      <c r="J6390">
        <v>33155</v>
      </c>
      <c r="K6390">
        <v>4238</v>
      </c>
      <c r="L6390" t="s">
        <v>23</v>
      </c>
      <c r="M6390" t="s">
        <v>15398</v>
      </c>
      <c r="N6390" t="s">
        <v>869</v>
      </c>
      <c r="O6390" t="s">
        <v>52</v>
      </c>
      <c r="P6390">
        <v>33155</v>
      </c>
      <c r="Q6390">
        <v>4238</v>
      </c>
      <c r="R6390" t="s">
        <v>23</v>
      </c>
      <c r="S6390" s="1" t="s">
        <v>34218</v>
      </c>
    </row>
    <row r="6391" spans="1:19" x14ac:dyDescent="0.25">
      <c r="A6391">
        <v>100964954</v>
      </c>
      <c r="B6391" t="s">
        <v>29</v>
      </c>
      <c r="C6391" t="s">
        <v>15399</v>
      </c>
      <c r="G6391" t="s">
        <v>15400</v>
      </c>
      <c r="H6391" t="s">
        <v>1405</v>
      </c>
      <c r="I6391" t="s">
        <v>187</v>
      </c>
      <c r="J6391">
        <v>55106</v>
      </c>
      <c r="K6391">
        <v>4548</v>
      </c>
      <c r="L6391" t="s">
        <v>23</v>
      </c>
      <c r="M6391" t="s">
        <v>15400</v>
      </c>
      <c r="N6391" t="s">
        <v>1405</v>
      </c>
      <c r="O6391" t="s">
        <v>187</v>
      </c>
      <c r="P6391">
        <v>55106</v>
      </c>
      <c r="Q6391">
        <v>4548</v>
      </c>
      <c r="R6391" t="s">
        <v>23</v>
      </c>
      <c r="S6391" s="1" t="s">
        <v>34218</v>
      </c>
    </row>
    <row r="6392" spans="1:19" x14ac:dyDescent="0.25">
      <c r="A6392">
        <v>100965883</v>
      </c>
      <c r="B6392" t="s">
        <v>1134</v>
      </c>
      <c r="C6392" t="s">
        <v>1542</v>
      </c>
      <c r="G6392" t="s">
        <v>15401</v>
      </c>
      <c r="H6392" t="s">
        <v>1877</v>
      </c>
      <c r="I6392" t="s">
        <v>43</v>
      </c>
      <c r="J6392">
        <v>97305</v>
      </c>
      <c r="K6392">
        <v>1937</v>
      </c>
      <c r="L6392" t="s">
        <v>23</v>
      </c>
      <c r="M6392" t="s">
        <v>15401</v>
      </c>
      <c r="N6392" t="s">
        <v>1877</v>
      </c>
      <c r="O6392" t="s">
        <v>43</v>
      </c>
      <c r="P6392">
        <v>97305</v>
      </c>
      <c r="Q6392">
        <v>1937</v>
      </c>
      <c r="R6392" t="s">
        <v>23</v>
      </c>
      <c r="S6392" s="1" t="s">
        <v>34218</v>
      </c>
    </row>
    <row r="6393" spans="1:19" x14ac:dyDescent="0.25">
      <c r="A6393">
        <v>101150304</v>
      </c>
      <c r="B6393" t="s">
        <v>15402</v>
      </c>
      <c r="C6393" t="s">
        <v>90</v>
      </c>
      <c r="G6393" t="s">
        <v>15403</v>
      </c>
      <c r="H6393" t="s">
        <v>15404</v>
      </c>
      <c r="I6393" t="s">
        <v>84</v>
      </c>
      <c r="J6393">
        <v>98391</v>
      </c>
      <c r="K6393">
        <v>9163</v>
      </c>
      <c r="L6393" t="s">
        <v>23</v>
      </c>
      <c r="M6393" t="s">
        <v>15403</v>
      </c>
      <c r="N6393" t="s">
        <v>15404</v>
      </c>
      <c r="O6393" t="s">
        <v>84</v>
      </c>
      <c r="P6393">
        <v>98391</v>
      </c>
      <c r="Q6393">
        <v>9163</v>
      </c>
      <c r="R6393" t="s">
        <v>23</v>
      </c>
      <c r="S6393" s="1" t="s">
        <v>34218</v>
      </c>
    </row>
    <row r="6394" spans="1:19" x14ac:dyDescent="0.25">
      <c r="A6394">
        <v>101162745</v>
      </c>
      <c r="B6394" t="s">
        <v>15405</v>
      </c>
      <c r="C6394" t="s">
        <v>9784</v>
      </c>
      <c r="G6394" t="s">
        <v>15406</v>
      </c>
      <c r="H6394" t="s">
        <v>344</v>
      </c>
      <c r="I6394" t="s">
        <v>28</v>
      </c>
      <c r="J6394">
        <v>30076</v>
      </c>
      <c r="K6394">
        <v>3727</v>
      </c>
      <c r="L6394" t="s">
        <v>23</v>
      </c>
      <c r="M6394" t="s">
        <v>15406</v>
      </c>
      <c r="N6394" t="s">
        <v>344</v>
      </c>
      <c r="O6394" t="s">
        <v>28</v>
      </c>
      <c r="P6394">
        <v>30076</v>
      </c>
      <c r="Q6394">
        <v>3727</v>
      </c>
      <c r="R6394" t="s">
        <v>23</v>
      </c>
      <c r="S6394" s="1" t="s">
        <v>34218</v>
      </c>
    </row>
    <row r="6395" spans="1:19" x14ac:dyDescent="0.25">
      <c r="A6395">
        <v>101163447</v>
      </c>
      <c r="B6395" t="s">
        <v>15407</v>
      </c>
      <c r="C6395" t="s">
        <v>2557</v>
      </c>
      <c r="G6395" t="s">
        <v>15408</v>
      </c>
      <c r="H6395" t="s">
        <v>12124</v>
      </c>
      <c r="I6395" t="s">
        <v>250</v>
      </c>
      <c r="J6395">
        <v>7701</v>
      </c>
      <c r="K6395">
        <v>1402</v>
      </c>
      <c r="L6395" t="s">
        <v>23</v>
      </c>
      <c r="M6395" t="s">
        <v>15408</v>
      </c>
      <c r="N6395" t="s">
        <v>12124</v>
      </c>
      <c r="O6395" t="s">
        <v>250</v>
      </c>
      <c r="P6395">
        <v>7701</v>
      </c>
      <c r="Q6395">
        <v>1402</v>
      </c>
      <c r="R6395" t="s">
        <v>23</v>
      </c>
      <c r="S6395" s="1" t="s">
        <v>34218</v>
      </c>
    </row>
    <row r="6396" spans="1:19" x14ac:dyDescent="0.25">
      <c r="A6396">
        <v>101163467</v>
      </c>
      <c r="B6396" t="s">
        <v>9534</v>
      </c>
      <c r="C6396" t="s">
        <v>1647</v>
      </c>
      <c r="G6396" t="s">
        <v>15409</v>
      </c>
      <c r="H6396" t="s">
        <v>726</v>
      </c>
      <c r="I6396" t="s">
        <v>22</v>
      </c>
      <c r="J6396">
        <v>90405</v>
      </c>
      <c r="K6396">
        <v>2443</v>
      </c>
      <c r="L6396" t="s">
        <v>23</v>
      </c>
      <c r="M6396" t="s">
        <v>15409</v>
      </c>
      <c r="N6396" t="s">
        <v>726</v>
      </c>
      <c r="O6396" t="s">
        <v>22</v>
      </c>
      <c r="P6396">
        <v>90405</v>
      </c>
      <c r="Q6396">
        <v>2443</v>
      </c>
      <c r="R6396" t="s">
        <v>23</v>
      </c>
      <c r="S6396" s="1" t="s">
        <v>34218</v>
      </c>
    </row>
    <row r="6397" spans="1:19" x14ac:dyDescent="0.25">
      <c r="A6397">
        <v>101297222</v>
      </c>
      <c r="B6397" t="s">
        <v>15410</v>
      </c>
      <c r="C6397" t="s">
        <v>9522</v>
      </c>
      <c r="G6397" t="s">
        <v>15411</v>
      </c>
      <c r="H6397" t="s">
        <v>15412</v>
      </c>
      <c r="I6397" t="s">
        <v>140</v>
      </c>
      <c r="J6397">
        <v>48176</v>
      </c>
      <c r="K6397">
        <v>1134</v>
      </c>
      <c r="L6397" t="s">
        <v>23</v>
      </c>
      <c r="M6397" t="s">
        <v>15411</v>
      </c>
      <c r="N6397" t="s">
        <v>15412</v>
      </c>
      <c r="O6397" t="s">
        <v>140</v>
      </c>
      <c r="P6397">
        <v>48176</v>
      </c>
      <c r="Q6397">
        <v>1134</v>
      </c>
      <c r="R6397" t="s">
        <v>23</v>
      </c>
      <c r="S6397" s="1" t="s">
        <v>34218</v>
      </c>
    </row>
    <row r="6398" spans="1:19" x14ac:dyDescent="0.25">
      <c r="A6398">
        <v>101303207</v>
      </c>
      <c r="B6398" t="s">
        <v>5919</v>
      </c>
      <c r="C6398" t="s">
        <v>571</v>
      </c>
      <c r="F6398" t="str">
        <f>"3233377797"</f>
        <v>3233377797</v>
      </c>
      <c r="G6398" t="s">
        <v>15413</v>
      </c>
      <c r="H6398" t="s">
        <v>299</v>
      </c>
      <c r="I6398" t="s">
        <v>22</v>
      </c>
      <c r="J6398">
        <v>90027</v>
      </c>
      <c r="K6398">
        <v>3616</v>
      </c>
      <c r="L6398" t="s">
        <v>23</v>
      </c>
      <c r="M6398" t="s">
        <v>15413</v>
      </c>
      <c r="N6398" t="s">
        <v>299</v>
      </c>
      <c r="O6398" t="s">
        <v>22</v>
      </c>
      <c r="P6398">
        <v>90027</v>
      </c>
      <c r="Q6398">
        <v>3616</v>
      </c>
      <c r="R6398" t="s">
        <v>23</v>
      </c>
      <c r="S6398" s="1" t="s">
        <v>34218</v>
      </c>
    </row>
    <row r="6399" spans="1:19" x14ac:dyDescent="0.25">
      <c r="A6399">
        <v>101304728</v>
      </c>
      <c r="B6399" t="s">
        <v>3843</v>
      </c>
      <c r="C6399" t="s">
        <v>1492</v>
      </c>
      <c r="G6399" t="s">
        <v>15414</v>
      </c>
      <c r="H6399" t="s">
        <v>6104</v>
      </c>
      <c r="I6399" t="s">
        <v>565</v>
      </c>
      <c r="J6399">
        <v>50208</v>
      </c>
      <c r="K6399">
        <v>2521</v>
      </c>
      <c r="L6399" t="s">
        <v>23</v>
      </c>
      <c r="M6399" t="s">
        <v>15414</v>
      </c>
      <c r="N6399" t="s">
        <v>6104</v>
      </c>
      <c r="O6399" t="s">
        <v>565</v>
      </c>
      <c r="P6399">
        <v>50208</v>
      </c>
      <c r="Q6399">
        <v>2521</v>
      </c>
      <c r="R6399" t="s">
        <v>23</v>
      </c>
      <c r="S6399" s="1" t="s">
        <v>34218</v>
      </c>
    </row>
    <row r="6400" spans="1:19" x14ac:dyDescent="0.25">
      <c r="A6400">
        <v>101300094</v>
      </c>
      <c r="B6400" t="s">
        <v>15415</v>
      </c>
      <c r="C6400" t="s">
        <v>15416</v>
      </c>
      <c r="F6400" t="str">
        <f>"2126273991"</f>
        <v>2126273991</v>
      </c>
      <c r="G6400" t="s">
        <v>15417</v>
      </c>
      <c r="H6400" t="s">
        <v>653</v>
      </c>
      <c r="I6400" t="s">
        <v>117</v>
      </c>
      <c r="J6400">
        <v>10011</v>
      </c>
      <c r="K6400">
        <v>6565</v>
      </c>
      <c r="L6400" t="s">
        <v>23</v>
      </c>
      <c r="M6400" t="s">
        <v>15417</v>
      </c>
      <c r="N6400" t="s">
        <v>653</v>
      </c>
      <c r="O6400" t="s">
        <v>117</v>
      </c>
      <c r="P6400">
        <v>10011</v>
      </c>
      <c r="Q6400">
        <v>6565</v>
      </c>
      <c r="R6400" t="s">
        <v>23</v>
      </c>
      <c r="S6400" s="1" t="s">
        <v>34218</v>
      </c>
    </row>
    <row r="6401" spans="1:19" x14ac:dyDescent="0.25">
      <c r="A6401">
        <v>101292780</v>
      </c>
      <c r="B6401" t="s">
        <v>15418</v>
      </c>
      <c r="C6401" t="s">
        <v>1327</v>
      </c>
      <c r="G6401" t="s">
        <v>15419</v>
      </c>
      <c r="H6401" t="s">
        <v>2514</v>
      </c>
      <c r="I6401" t="s">
        <v>236</v>
      </c>
      <c r="J6401">
        <v>2210</v>
      </c>
      <c r="K6401">
        <v>1131</v>
      </c>
      <c r="L6401" t="s">
        <v>23</v>
      </c>
      <c r="M6401" t="s">
        <v>15419</v>
      </c>
      <c r="N6401" t="s">
        <v>2514</v>
      </c>
      <c r="O6401" t="s">
        <v>236</v>
      </c>
      <c r="P6401">
        <v>2210</v>
      </c>
      <c r="Q6401">
        <v>1131</v>
      </c>
      <c r="R6401" t="s">
        <v>23</v>
      </c>
      <c r="S6401" s="1" t="s">
        <v>34218</v>
      </c>
    </row>
    <row r="6402" spans="1:19" x14ac:dyDescent="0.25">
      <c r="A6402">
        <v>101310494</v>
      </c>
      <c r="B6402" t="s">
        <v>15420</v>
      </c>
      <c r="C6402" t="s">
        <v>2151</v>
      </c>
      <c r="G6402" t="s">
        <v>15421</v>
      </c>
      <c r="H6402" t="s">
        <v>1988</v>
      </c>
      <c r="I6402" t="s">
        <v>984</v>
      </c>
      <c r="J6402">
        <v>96740</v>
      </c>
      <c r="K6402">
        <v>1942</v>
      </c>
      <c r="L6402" t="s">
        <v>23</v>
      </c>
      <c r="M6402" t="s">
        <v>15421</v>
      </c>
      <c r="N6402" t="s">
        <v>1988</v>
      </c>
      <c r="O6402" t="s">
        <v>984</v>
      </c>
      <c r="P6402">
        <v>96740</v>
      </c>
      <c r="Q6402">
        <v>1942</v>
      </c>
      <c r="R6402" t="s">
        <v>23</v>
      </c>
      <c r="S6402" s="1" t="s">
        <v>34218</v>
      </c>
    </row>
    <row r="6403" spans="1:19" x14ac:dyDescent="0.25">
      <c r="A6403">
        <v>101293972</v>
      </c>
      <c r="B6403" t="s">
        <v>10513</v>
      </c>
      <c r="C6403" t="s">
        <v>4966</v>
      </c>
      <c r="G6403" t="s">
        <v>15422</v>
      </c>
      <c r="H6403" t="s">
        <v>2684</v>
      </c>
      <c r="I6403" t="s">
        <v>22</v>
      </c>
      <c r="J6403">
        <v>94903</v>
      </c>
      <c r="K6403">
        <v>1648</v>
      </c>
      <c r="L6403" t="s">
        <v>23</v>
      </c>
      <c r="M6403" t="s">
        <v>15422</v>
      </c>
      <c r="N6403" t="s">
        <v>2684</v>
      </c>
      <c r="O6403" t="s">
        <v>22</v>
      </c>
      <c r="P6403">
        <v>94903</v>
      </c>
      <c r="Q6403">
        <v>1648</v>
      </c>
      <c r="R6403" t="s">
        <v>23</v>
      </c>
      <c r="S6403" s="1" t="s">
        <v>34218</v>
      </c>
    </row>
    <row r="6404" spans="1:19" x14ac:dyDescent="0.25">
      <c r="A6404">
        <v>101347301</v>
      </c>
      <c r="B6404" t="s">
        <v>1581</v>
      </c>
      <c r="C6404" t="s">
        <v>180</v>
      </c>
      <c r="G6404" t="s">
        <v>15423</v>
      </c>
      <c r="H6404" t="s">
        <v>569</v>
      </c>
      <c r="I6404" t="s">
        <v>187</v>
      </c>
      <c r="J6404">
        <v>55432</v>
      </c>
      <c r="K6404">
        <v>4921</v>
      </c>
      <c r="L6404" t="s">
        <v>23</v>
      </c>
      <c r="M6404" t="s">
        <v>15423</v>
      </c>
      <c r="N6404" t="s">
        <v>569</v>
      </c>
      <c r="O6404" t="s">
        <v>187</v>
      </c>
      <c r="P6404">
        <v>55432</v>
      </c>
      <c r="Q6404">
        <v>4921</v>
      </c>
      <c r="R6404" t="s">
        <v>23</v>
      </c>
      <c r="S6404" s="1" t="s">
        <v>34218</v>
      </c>
    </row>
    <row r="6405" spans="1:19" x14ac:dyDescent="0.25">
      <c r="A6405">
        <v>101408980</v>
      </c>
      <c r="B6405" t="s">
        <v>15424</v>
      </c>
      <c r="C6405" t="s">
        <v>644</v>
      </c>
      <c r="G6405" t="s">
        <v>15425</v>
      </c>
      <c r="H6405" t="s">
        <v>741</v>
      </c>
      <c r="I6405" t="s">
        <v>22</v>
      </c>
      <c r="J6405">
        <v>91365</v>
      </c>
      <c r="K6405">
        <v>7071</v>
      </c>
      <c r="L6405" t="s">
        <v>23</v>
      </c>
      <c r="M6405" t="s">
        <v>15425</v>
      </c>
      <c r="N6405" t="s">
        <v>741</v>
      </c>
      <c r="O6405" t="s">
        <v>22</v>
      </c>
      <c r="P6405">
        <v>91365</v>
      </c>
      <c r="Q6405">
        <v>7071</v>
      </c>
      <c r="R6405" t="s">
        <v>23</v>
      </c>
      <c r="S6405" s="1" t="s">
        <v>34218</v>
      </c>
    </row>
    <row r="6406" spans="1:19" x14ac:dyDescent="0.25">
      <c r="A6406">
        <v>100517202</v>
      </c>
      <c r="B6406" t="s">
        <v>1662</v>
      </c>
      <c r="C6406" t="s">
        <v>329</v>
      </c>
      <c r="G6406" t="s">
        <v>15426</v>
      </c>
      <c r="H6406" t="s">
        <v>15427</v>
      </c>
      <c r="I6406" t="s">
        <v>22</v>
      </c>
      <c r="J6406">
        <v>95422</v>
      </c>
      <c r="K6406">
        <v>8934</v>
      </c>
      <c r="L6406" t="s">
        <v>23</v>
      </c>
      <c r="M6406" t="s">
        <v>15426</v>
      </c>
      <c r="N6406" t="s">
        <v>15427</v>
      </c>
      <c r="O6406" t="s">
        <v>22</v>
      </c>
      <c r="P6406">
        <v>95422</v>
      </c>
      <c r="Q6406">
        <v>8934</v>
      </c>
      <c r="R6406" t="s">
        <v>23</v>
      </c>
      <c r="S6406" s="1" t="s">
        <v>34218</v>
      </c>
    </row>
    <row r="6407" spans="1:19" x14ac:dyDescent="0.25">
      <c r="A6407">
        <v>101346337</v>
      </c>
      <c r="B6407" t="s">
        <v>1714</v>
      </c>
      <c r="C6407" t="s">
        <v>1658</v>
      </c>
      <c r="G6407" t="s">
        <v>15428</v>
      </c>
      <c r="H6407" t="s">
        <v>15429</v>
      </c>
      <c r="I6407" t="s">
        <v>71</v>
      </c>
      <c r="J6407">
        <v>80132</v>
      </c>
      <c r="K6407">
        <v>6051</v>
      </c>
      <c r="L6407" t="s">
        <v>23</v>
      </c>
      <c r="M6407" t="s">
        <v>15428</v>
      </c>
      <c r="N6407" t="s">
        <v>15429</v>
      </c>
      <c r="O6407" t="s">
        <v>71</v>
      </c>
      <c r="P6407">
        <v>80132</v>
      </c>
      <c r="Q6407">
        <v>6051</v>
      </c>
      <c r="R6407" t="s">
        <v>23</v>
      </c>
      <c r="S6407" s="1" t="s">
        <v>34218</v>
      </c>
    </row>
    <row r="6408" spans="1:19" x14ac:dyDescent="0.25">
      <c r="A6408">
        <v>101273277</v>
      </c>
      <c r="B6408" t="s">
        <v>15430</v>
      </c>
      <c r="C6408" t="s">
        <v>1581</v>
      </c>
      <c r="G6408" t="s">
        <v>15431</v>
      </c>
      <c r="H6408" t="s">
        <v>15432</v>
      </c>
      <c r="I6408" t="s">
        <v>28</v>
      </c>
      <c r="J6408">
        <v>30340</v>
      </c>
      <c r="K6408">
        <v>5645</v>
      </c>
      <c r="L6408" t="s">
        <v>23</v>
      </c>
      <c r="M6408" t="s">
        <v>15431</v>
      </c>
      <c r="N6408" t="s">
        <v>15432</v>
      </c>
      <c r="O6408" t="s">
        <v>28</v>
      </c>
      <c r="P6408">
        <v>30340</v>
      </c>
      <c r="Q6408">
        <v>5645</v>
      </c>
      <c r="R6408" t="s">
        <v>23</v>
      </c>
      <c r="S6408" s="1" t="s">
        <v>34218</v>
      </c>
    </row>
    <row r="6409" spans="1:19" x14ac:dyDescent="0.25">
      <c r="A6409">
        <v>101434620</v>
      </c>
      <c r="B6409" t="s">
        <v>11830</v>
      </c>
      <c r="C6409" t="s">
        <v>15433</v>
      </c>
      <c r="G6409" t="s">
        <v>15434</v>
      </c>
      <c r="H6409" t="s">
        <v>15435</v>
      </c>
      <c r="I6409" t="s">
        <v>38</v>
      </c>
      <c r="J6409">
        <v>78676</v>
      </c>
      <c r="K6409">
        <v>5033</v>
      </c>
      <c r="L6409" t="s">
        <v>23</v>
      </c>
      <c r="M6409" t="s">
        <v>15434</v>
      </c>
      <c r="N6409" t="s">
        <v>15435</v>
      </c>
      <c r="O6409" t="s">
        <v>38</v>
      </c>
      <c r="P6409">
        <v>78676</v>
      </c>
      <c r="Q6409">
        <v>5033</v>
      </c>
      <c r="R6409" t="s">
        <v>23</v>
      </c>
      <c r="S6409" s="1" t="s">
        <v>34218</v>
      </c>
    </row>
    <row r="6410" spans="1:19" x14ac:dyDescent="0.25">
      <c r="A6410">
        <v>101129329</v>
      </c>
      <c r="B6410" t="s">
        <v>4475</v>
      </c>
      <c r="C6410" t="s">
        <v>4927</v>
      </c>
      <c r="G6410" t="s">
        <v>15436</v>
      </c>
      <c r="H6410" t="s">
        <v>134</v>
      </c>
      <c r="I6410" t="s">
        <v>135</v>
      </c>
      <c r="J6410">
        <v>60657</v>
      </c>
      <c r="K6410">
        <v>2242</v>
      </c>
      <c r="L6410" t="s">
        <v>23</v>
      </c>
      <c r="M6410" t="s">
        <v>15436</v>
      </c>
      <c r="N6410" t="s">
        <v>134</v>
      </c>
      <c r="O6410" t="s">
        <v>135</v>
      </c>
      <c r="P6410">
        <v>60657</v>
      </c>
      <c r="Q6410">
        <v>2242</v>
      </c>
      <c r="R6410" t="s">
        <v>23</v>
      </c>
      <c r="S6410" s="1" t="s">
        <v>34218</v>
      </c>
    </row>
    <row r="6411" spans="1:19" x14ac:dyDescent="0.25">
      <c r="A6411">
        <v>101123878</v>
      </c>
      <c r="B6411" t="s">
        <v>15437</v>
      </c>
      <c r="C6411" t="s">
        <v>8451</v>
      </c>
      <c r="G6411" t="s">
        <v>15438</v>
      </c>
      <c r="H6411" t="s">
        <v>5644</v>
      </c>
      <c r="I6411" t="s">
        <v>370</v>
      </c>
      <c r="J6411">
        <v>68135</v>
      </c>
      <c r="K6411">
        <v>4362</v>
      </c>
      <c r="L6411" t="s">
        <v>23</v>
      </c>
      <c r="M6411" t="s">
        <v>15438</v>
      </c>
      <c r="N6411" t="s">
        <v>5644</v>
      </c>
      <c r="O6411" t="s">
        <v>370</v>
      </c>
      <c r="P6411">
        <v>68135</v>
      </c>
      <c r="Q6411">
        <v>4362</v>
      </c>
      <c r="R6411" t="s">
        <v>23</v>
      </c>
      <c r="S6411" s="1" t="s">
        <v>34218</v>
      </c>
    </row>
    <row r="6412" spans="1:19" x14ac:dyDescent="0.25">
      <c r="A6412">
        <v>101131539</v>
      </c>
      <c r="B6412" t="s">
        <v>15439</v>
      </c>
      <c r="C6412" t="s">
        <v>1542</v>
      </c>
      <c r="G6412" t="s">
        <v>15440</v>
      </c>
      <c r="H6412" t="s">
        <v>311</v>
      </c>
      <c r="I6412" t="s">
        <v>22</v>
      </c>
      <c r="J6412">
        <v>90815</v>
      </c>
      <c r="K6412">
        <v>5007</v>
      </c>
      <c r="L6412" t="s">
        <v>23</v>
      </c>
      <c r="M6412" t="s">
        <v>15440</v>
      </c>
      <c r="N6412" t="s">
        <v>311</v>
      </c>
      <c r="O6412" t="s">
        <v>22</v>
      </c>
      <c r="P6412">
        <v>90815</v>
      </c>
      <c r="Q6412">
        <v>5007</v>
      </c>
      <c r="R6412" t="s">
        <v>23</v>
      </c>
      <c r="S6412" s="1" t="s">
        <v>34218</v>
      </c>
    </row>
    <row r="6413" spans="1:19" x14ac:dyDescent="0.25">
      <c r="A6413">
        <v>101131704</v>
      </c>
      <c r="B6413" t="s">
        <v>3749</v>
      </c>
      <c r="C6413" t="s">
        <v>216</v>
      </c>
      <c r="G6413" t="s">
        <v>15441</v>
      </c>
      <c r="H6413" t="s">
        <v>2399</v>
      </c>
      <c r="I6413" t="s">
        <v>71</v>
      </c>
      <c r="J6413">
        <v>80521</v>
      </c>
      <c r="K6413">
        <v>2059</v>
      </c>
      <c r="L6413" t="s">
        <v>23</v>
      </c>
      <c r="M6413" t="s">
        <v>15441</v>
      </c>
      <c r="N6413" t="s">
        <v>2399</v>
      </c>
      <c r="O6413" t="s">
        <v>71</v>
      </c>
      <c r="P6413">
        <v>80521</v>
      </c>
      <c r="Q6413">
        <v>2059</v>
      </c>
      <c r="R6413" t="s">
        <v>23</v>
      </c>
      <c r="S6413" s="1" t="s">
        <v>34218</v>
      </c>
    </row>
    <row r="6414" spans="1:19" x14ac:dyDescent="0.25">
      <c r="A6414">
        <v>101135763</v>
      </c>
      <c r="B6414" t="s">
        <v>15442</v>
      </c>
      <c r="C6414" t="s">
        <v>15443</v>
      </c>
      <c r="G6414" t="s">
        <v>15444</v>
      </c>
      <c r="H6414" t="s">
        <v>1280</v>
      </c>
      <c r="I6414" t="s">
        <v>22</v>
      </c>
      <c r="J6414">
        <v>93950</v>
      </c>
      <c r="K6414">
        <v>5526</v>
      </c>
      <c r="L6414" t="s">
        <v>23</v>
      </c>
      <c r="M6414" t="s">
        <v>15444</v>
      </c>
      <c r="N6414" t="s">
        <v>1280</v>
      </c>
      <c r="O6414" t="s">
        <v>22</v>
      </c>
      <c r="P6414">
        <v>93950</v>
      </c>
      <c r="Q6414">
        <v>5526</v>
      </c>
      <c r="R6414" t="s">
        <v>23</v>
      </c>
      <c r="S6414" s="1" t="s">
        <v>34218</v>
      </c>
    </row>
    <row r="6415" spans="1:19" x14ac:dyDescent="0.25">
      <c r="A6415">
        <v>101137787</v>
      </c>
      <c r="B6415" t="s">
        <v>12335</v>
      </c>
      <c r="C6415" t="s">
        <v>2802</v>
      </c>
      <c r="F6415" t="str">
        <f>"5052754784"</f>
        <v>5052754784</v>
      </c>
      <c r="G6415" t="s">
        <v>15445</v>
      </c>
      <c r="H6415" t="s">
        <v>638</v>
      </c>
      <c r="I6415" t="s">
        <v>639</v>
      </c>
      <c r="J6415">
        <v>87111</v>
      </c>
      <c r="K6415">
        <v>3311</v>
      </c>
      <c r="L6415" t="s">
        <v>23</v>
      </c>
      <c r="M6415" t="s">
        <v>15445</v>
      </c>
      <c r="N6415" t="s">
        <v>638</v>
      </c>
      <c r="O6415" t="s">
        <v>639</v>
      </c>
      <c r="P6415">
        <v>87111</v>
      </c>
      <c r="Q6415">
        <v>3311</v>
      </c>
      <c r="R6415" t="s">
        <v>23</v>
      </c>
      <c r="S6415" s="1" t="s">
        <v>34218</v>
      </c>
    </row>
    <row r="6416" spans="1:19" x14ac:dyDescent="0.25">
      <c r="A6416">
        <v>101133899</v>
      </c>
      <c r="B6416" t="s">
        <v>15446</v>
      </c>
      <c r="C6416" t="s">
        <v>3361</v>
      </c>
      <c r="G6416" t="s">
        <v>15447</v>
      </c>
      <c r="H6416" t="s">
        <v>5054</v>
      </c>
      <c r="I6416" t="s">
        <v>52</v>
      </c>
      <c r="J6416">
        <v>34761</v>
      </c>
      <c r="K6416">
        <v>8124</v>
      </c>
      <c r="L6416" t="s">
        <v>23</v>
      </c>
      <c r="M6416" t="s">
        <v>15447</v>
      </c>
      <c r="N6416" t="s">
        <v>5054</v>
      </c>
      <c r="O6416" t="s">
        <v>52</v>
      </c>
      <c r="P6416">
        <v>34761</v>
      </c>
      <c r="Q6416">
        <v>8124</v>
      </c>
      <c r="R6416" t="s">
        <v>23</v>
      </c>
      <c r="S6416" s="1" t="s">
        <v>34218</v>
      </c>
    </row>
    <row r="6417" spans="1:19" x14ac:dyDescent="0.25">
      <c r="A6417">
        <v>101143155</v>
      </c>
      <c r="B6417" t="s">
        <v>15448</v>
      </c>
      <c r="C6417" t="s">
        <v>6397</v>
      </c>
      <c r="G6417" t="s">
        <v>15449</v>
      </c>
      <c r="H6417" t="s">
        <v>15450</v>
      </c>
      <c r="I6417" t="s">
        <v>178</v>
      </c>
      <c r="J6417">
        <v>44442</v>
      </c>
      <c r="K6417">
        <v>9444</v>
      </c>
      <c r="L6417" t="s">
        <v>23</v>
      </c>
      <c r="M6417" t="s">
        <v>15449</v>
      </c>
      <c r="N6417" t="s">
        <v>15450</v>
      </c>
      <c r="O6417" t="s">
        <v>178</v>
      </c>
      <c r="P6417">
        <v>44442</v>
      </c>
      <c r="Q6417">
        <v>9444</v>
      </c>
      <c r="R6417" t="s">
        <v>23</v>
      </c>
      <c r="S6417" s="1" t="s">
        <v>34218</v>
      </c>
    </row>
    <row r="6418" spans="1:19" x14ac:dyDescent="0.25">
      <c r="A6418">
        <v>101142581</v>
      </c>
      <c r="B6418" t="s">
        <v>15451</v>
      </c>
      <c r="C6418" t="s">
        <v>2044</v>
      </c>
      <c r="F6418" t="str">
        <f>"3607664490"</f>
        <v>3607664490</v>
      </c>
      <c r="G6418" t="s">
        <v>15452</v>
      </c>
      <c r="H6418" t="s">
        <v>15453</v>
      </c>
      <c r="I6418" t="s">
        <v>84</v>
      </c>
      <c r="J6418">
        <v>98232</v>
      </c>
      <c r="K6418">
        <v>9246</v>
      </c>
      <c r="L6418" t="s">
        <v>23</v>
      </c>
      <c r="M6418" t="s">
        <v>15452</v>
      </c>
      <c r="N6418" t="s">
        <v>15453</v>
      </c>
      <c r="O6418" t="s">
        <v>84</v>
      </c>
      <c r="P6418">
        <v>98232</v>
      </c>
      <c r="Q6418">
        <v>9246</v>
      </c>
      <c r="R6418" t="s">
        <v>23</v>
      </c>
      <c r="S6418" s="1" t="s">
        <v>34218</v>
      </c>
    </row>
    <row r="6419" spans="1:19" x14ac:dyDescent="0.25">
      <c r="A6419">
        <v>101145929</v>
      </c>
      <c r="B6419" t="s">
        <v>15454</v>
      </c>
      <c r="C6419" t="s">
        <v>209</v>
      </c>
      <c r="G6419" t="s">
        <v>15455</v>
      </c>
      <c r="H6419" t="s">
        <v>15456</v>
      </c>
      <c r="I6419" t="s">
        <v>914</v>
      </c>
      <c r="J6419">
        <v>37779</v>
      </c>
      <c r="K6419">
        <v>2913</v>
      </c>
      <c r="L6419" t="s">
        <v>23</v>
      </c>
      <c r="M6419" t="s">
        <v>15455</v>
      </c>
      <c r="N6419" t="s">
        <v>15456</v>
      </c>
      <c r="O6419" t="s">
        <v>914</v>
      </c>
      <c r="P6419">
        <v>37779</v>
      </c>
      <c r="Q6419">
        <v>2913</v>
      </c>
      <c r="R6419" t="s">
        <v>23</v>
      </c>
      <c r="S6419" s="1" t="s">
        <v>34218</v>
      </c>
    </row>
    <row r="6420" spans="1:19" x14ac:dyDescent="0.25">
      <c r="A6420">
        <v>101145539</v>
      </c>
      <c r="B6420" t="s">
        <v>15457</v>
      </c>
      <c r="C6420" t="s">
        <v>1467</v>
      </c>
      <c r="G6420" t="s">
        <v>15458</v>
      </c>
      <c r="H6420" t="s">
        <v>14090</v>
      </c>
      <c r="I6420" t="s">
        <v>135</v>
      </c>
      <c r="J6420">
        <v>60004</v>
      </c>
      <c r="K6420">
        <v>4036</v>
      </c>
      <c r="L6420" t="s">
        <v>23</v>
      </c>
      <c r="M6420" t="s">
        <v>15458</v>
      </c>
      <c r="N6420" t="s">
        <v>14090</v>
      </c>
      <c r="O6420" t="s">
        <v>135</v>
      </c>
      <c r="P6420">
        <v>60004</v>
      </c>
      <c r="Q6420">
        <v>4036</v>
      </c>
      <c r="R6420" t="s">
        <v>23</v>
      </c>
      <c r="S6420" s="1" t="s">
        <v>34218</v>
      </c>
    </row>
    <row r="6421" spans="1:19" x14ac:dyDescent="0.25">
      <c r="A6421">
        <v>101145629</v>
      </c>
      <c r="B6421" t="s">
        <v>15459</v>
      </c>
      <c r="C6421" t="s">
        <v>498</v>
      </c>
      <c r="G6421" t="s">
        <v>15460</v>
      </c>
      <c r="H6421" t="s">
        <v>4170</v>
      </c>
      <c r="I6421" t="s">
        <v>2537</v>
      </c>
      <c r="J6421">
        <v>72758</v>
      </c>
      <c r="K6421">
        <v>1393</v>
      </c>
      <c r="L6421" t="s">
        <v>23</v>
      </c>
      <c r="M6421" t="s">
        <v>15460</v>
      </c>
      <c r="N6421" t="s">
        <v>4170</v>
      </c>
      <c r="O6421" t="s">
        <v>2537</v>
      </c>
      <c r="P6421">
        <v>72758</v>
      </c>
      <c r="Q6421">
        <v>1393</v>
      </c>
      <c r="R6421" t="s">
        <v>23</v>
      </c>
      <c r="S6421" s="1" t="s">
        <v>34218</v>
      </c>
    </row>
    <row r="6422" spans="1:19" x14ac:dyDescent="0.25">
      <c r="A6422">
        <v>101143656</v>
      </c>
      <c r="B6422" t="s">
        <v>15461</v>
      </c>
      <c r="C6422" t="s">
        <v>225</v>
      </c>
      <c r="G6422" t="s">
        <v>15462</v>
      </c>
      <c r="H6422" t="s">
        <v>15463</v>
      </c>
      <c r="I6422" t="s">
        <v>126</v>
      </c>
      <c r="J6422">
        <v>63501</v>
      </c>
      <c r="K6422">
        <v>3877</v>
      </c>
      <c r="L6422" t="s">
        <v>23</v>
      </c>
      <c r="M6422" t="s">
        <v>15462</v>
      </c>
      <c r="N6422" t="s">
        <v>15463</v>
      </c>
      <c r="O6422" t="s">
        <v>126</v>
      </c>
      <c r="P6422">
        <v>63501</v>
      </c>
      <c r="Q6422">
        <v>3877</v>
      </c>
      <c r="R6422" t="s">
        <v>23</v>
      </c>
      <c r="S6422" s="1" t="s">
        <v>34218</v>
      </c>
    </row>
    <row r="6423" spans="1:19" x14ac:dyDescent="0.25">
      <c r="A6423">
        <v>101391188</v>
      </c>
      <c r="B6423" t="s">
        <v>15464</v>
      </c>
      <c r="C6423" t="s">
        <v>2790</v>
      </c>
      <c r="G6423" t="s">
        <v>15465</v>
      </c>
      <c r="H6423" t="s">
        <v>5367</v>
      </c>
      <c r="I6423" t="s">
        <v>255</v>
      </c>
      <c r="J6423">
        <v>20165</v>
      </c>
      <c r="K6423">
        <v>5101</v>
      </c>
      <c r="L6423" t="s">
        <v>23</v>
      </c>
      <c r="M6423" t="s">
        <v>15465</v>
      </c>
      <c r="N6423" t="s">
        <v>5367</v>
      </c>
      <c r="O6423" t="s">
        <v>255</v>
      </c>
      <c r="P6423">
        <v>20165</v>
      </c>
      <c r="Q6423">
        <v>5101</v>
      </c>
      <c r="R6423" t="s">
        <v>23</v>
      </c>
      <c r="S6423" s="1" t="s">
        <v>34218</v>
      </c>
    </row>
    <row r="6424" spans="1:19" x14ac:dyDescent="0.25">
      <c r="A6424">
        <v>101381205</v>
      </c>
      <c r="B6424" t="s">
        <v>15466</v>
      </c>
      <c r="C6424" t="s">
        <v>274</v>
      </c>
      <c r="G6424" t="s">
        <v>15467</v>
      </c>
      <c r="H6424" t="s">
        <v>15468</v>
      </c>
      <c r="I6424" t="s">
        <v>38</v>
      </c>
      <c r="J6424">
        <v>75019</v>
      </c>
      <c r="K6424">
        <v>2454</v>
      </c>
      <c r="L6424" t="s">
        <v>23</v>
      </c>
      <c r="M6424" t="s">
        <v>15467</v>
      </c>
      <c r="N6424" t="s">
        <v>15468</v>
      </c>
      <c r="O6424" t="s">
        <v>38</v>
      </c>
      <c r="P6424">
        <v>75019</v>
      </c>
      <c r="Q6424">
        <v>2454</v>
      </c>
      <c r="R6424" t="s">
        <v>23</v>
      </c>
      <c r="S6424" s="1" t="s">
        <v>34218</v>
      </c>
    </row>
    <row r="6425" spans="1:19" x14ac:dyDescent="0.25">
      <c r="A6425">
        <v>101386261</v>
      </c>
      <c r="B6425" t="s">
        <v>6486</v>
      </c>
      <c r="C6425" t="s">
        <v>13886</v>
      </c>
      <c r="G6425" t="s">
        <v>15469</v>
      </c>
      <c r="H6425" t="s">
        <v>15470</v>
      </c>
      <c r="I6425" t="s">
        <v>178</v>
      </c>
      <c r="J6425">
        <v>44730</v>
      </c>
      <c r="K6425">
        <v>1010</v>
      </c>
      <c r="L6425" t="s">
        <v>23</v>
      </c>
      <c r="M6425" t="s">
        <v>15469</v>
      </c>
      <c r="N6425" t="s">
        <v>15470</v>
      </c>
      <c r="O6425" t="s">
        <v>178</v>
      </c>
      <c r="P6425">
        <v>44730</v>
      </c>
      <c r="Q6425">
        <v>1010</v>
      </c>
      <c r="R6425" t="s">
        <v>23</v>
      </c>
      <c r="S6425" s="1" t="s">
        <v>34218</v>
      </c>
    </row>
    <row r="6426" spans="1:19" x14ac:dyDescent="0.25">
      <c r="A6426">
        <v>101170567</v>
      </c>
      <c r="B6426" t="s">
        <v>15471</v>
      </c>
      <c r="C6426" t="s">
        <v>2127</v>
      </c>
      <c r="G6426" t="s">
        <v>15472</v>
      </c>
      <c r="H6426" t="s">
        <v>1229</v>
      </c>
      <c r="I6426" t="s">
        <v>38</v>
      </c>
      <c r="J6426">
        <v>78258</v>
      </c>
      <c r="K6426">
        <v>7870</v>
      </c>
      <c r="L6426" t="s">
        <v>23</v>
      </c>
      <c r="M6426" t="s">
        <v>15472</v>
      </c>
      <c r="N6426" t="s">
        <v>1229</v>
      </c>
      <c r="O6426" t="s">
        <v>38</v>
      </c>
      <c r="P6426">
        <v>78258</v>
      </c>
      <c r="Q6426">
        <v>7870</v>
      </c>
      <c r="R6426" t="s">
        <v>23</v>
      </c>
      <c r="S6426" s="1" t="s">
        <v>34218</v>
      </c>
    </row>
    <row r="6427" spans="1:19" x14ac:dyDescent="0.25">
      <c r="A6427">
        <v>101169848</v>
      </c>
      <c r="B6427" t="s">
        <v>1831</v>
      </c>
      <c r="C6427" t="s">
        <v>3066</v>
      </c>
      <c r="G6427" t="s">
        <v>15473</v>
      </c>
      <c r="H6427" t="s">
        <v>10707</v>
      </c>
      <c r="I6427" t="s">
        <v>191</v>
      </c>
      <c r="J6427">
        <v>4345</v>
      </c>
      <c r="K6427">
        <v>2517</v>
      </c>
      <c r="L6427" t="s">
        <v>23</v>
      </c>
      <c r="M6427" t="s">
        <v>15473</v>
      </c>
      <c r="N6427" t="s">
        <v>10707</v>
      </c>
      <c r="O6427" t="s">
        <v>191</v>
      </c>
      <c r="P6427">
        <v>4345</v>
      </c>
      <c r="Q6427">
        <v>2517</v>
      </c>
      <c r="R6427" t="s">
        <v>23</v>
      </c>
      <c r="S6427" s="1" t="s">
        <v>34218</v>
      </c>
    </row>
    <row r="6428" spans="1:19" x14ac:dyDescent="0.25">
      <c r="A6428">
        <v>101169900</v>
      </c>
      <c r="B6428" t="s">
        <v>3482</v>
      </c>
      <c r="C6428" t="s">
        <v>1363</v>
      </c>
      <c r="G6428" t="s">
        <v>15474</v>
      </c>
      <c r="H6428" t="s">
        <v>15475</v>
      </c>
      <c r="I6428" t="s">
        <v>52</v>
      </c>
      <c r="J6428">
        <v>32789</v>
      </c>
      <c r="K6428">
        <v>5703</v>
      </c>
      <c r="L6428" t="s">
        <v>23</v>
      </c>
      <c r="M6428" t="s">
        <v>15474</v>
      </c>
      <c r="N6428" t="s">
        <v>15475</v>
      </c>
      <c r="O6428" t="s">
        <v>52</v>
      </c>
      <c r="P6428">
        <v>32789</v>
      </c>
      <c r="Q6428">
        <v>5703</v>
      </c>
      <c r="R6428" t="s">
        <v>23</v>
      </c>
      <c r="S6428" s="1" t="s">
        <v>34218</v>
      </c>
    </row>
    <row r="6429" spans="1:19" x14ac:dyDescent="0.25">
      <c r="A6429">
        <v>101334921</v>
      </c>
      <c r="B6429" t="s">
        <v>9522</v>
      </c>
      <c r="C6429" t="s">
        <v>1208</v>
      </c>
      <c r="G6429" t="s">
        <v>15476</v>
      </c>
      <c r="H6429" t="s">
        <v>1957</v>
      </c>
      <c r="I6429" t="s">
        <v>100</v>
      </c>
      <c r="J6429" t="s">
        <v>15477</v>
      </c>
      <c r="K6429">
        <v>6483</v>
      </c>
      <c r="L6429" t="s">
        <v>23</v>
      </c>
      <c r="M6429" t="s">
        <v>15476</v>
      </c>
      <c r="N6429" t="s">
        <v>1957</v>
      </c>
      <c r="O6429" t="s">
        <v>100</v>
      </c>
      <c r="P6429" t="s">
        <v>15477</v>
      </c>
      <c r="Q6429">
        <v>6483</v>
      </c>
      <c r="R6429" t="s">
        <v>23</v>
      </c>
      <c r="S6429" s="1" t="s">
        <v>34218</v>
      </c>
    </row>
    <row r="6430" spans="1:19" x14ac:dyDescent="0.25">
      <c r="A6430">
        <v>101418406</v>
      </c>
      <c r="B6430" t="s">
        <v>15478</v>
      </c>
      <c r="C6430" t="s">
        <v>25</v>
      </c>
      <c r="G6430" t="s">
        <v>15479</v>
      </c>
      <c r="H6430" t="s">
        <v>15480</v>
      </c>
      <c r="I6430" t="s">
        <v>52</v>
      </c>
      <c r="J6430" t="s">
        <v>15481</v>
      </c>
      <c r="K6430">
        <v>1014</v>
      </c>
      <c r="L6430" t="s">
        <v>23</v>
      </c>
      <c r="M6430" t="s">
        <v>15479</v>
      </c>
      <c r="N6430" t="s">
        <v>15480</v>
      </c>
      <c r="O6430" t="s">
        <v>52</v>
      </c>
      <c r="P6430" t="s">
        <v>15481</v>
      </c>
      <c r="Q6430">
        <v>1014</v>
      </c>
      <c r="R6430" t="s">
        <v>23</v>
      </c>
      <c r="S6430" s="1" t="s">
        <v>34218</v>
      </c>
    </row>
    <row r="6431" spans="1:19" x14ac:dyDescent="0.25">
      <c r="A6431">
        <v>101418427</v>
      </c>
      <c r="B6431" t="s">
        <v>2132</v>
      </c>
      <c r="C6431" t="s">
        <v>2417</v>
      </c>
      <c r="G6431" t="s">
        <v>15482</v>
      </c>
      <c r="H6431" t="s">
        <v>9011</v>
      </c>
      <c r="I6431" t="s">
        <v>639</v>
      </c>
      <c r="J6431" t="s">
        <v>15483</v>
      </c>
      <c r="K6431">
        <v>6757</v>
      </c>
      <c r="L6431" t="s">
        <v>23</v>
      </c>
      <c r="M6431" t="s">
        <v>15482</v>
      </c>
      <c r="N6431" t="s">
        <v>9011</v>
      </c>
      <c r="O6431" t="s">
        <v>639</v>
      </c>
      <c r="P6431" t="s">
        <v>15483</v>
      </c>
      <c r="Q6431">
        <v>6757</v>
      </c>
      <c r="R6431" t="s">
        <v>23</v>
      </c>
      <c r="S6431" s="1" t="s">
        <v>34218</v>
      </c>
    </row>
    <row r="6432" spans="1:19" x14ac:dyDescent="0.25">
      <c r="A6432">
        <v>101324663</v>
      </c>
      <c r="B6432" t="s">
        <v>15484</v>
      </c>
      <c r="C6432" t="s">
        <v>15485</v>
      </c>
      <c r="G6432" t="s">
        <v>15486</v>
      </c>
      <c r="H6432" t="s">
        <v>15487</v>
      </c>
      <c r="I6432" t="s">
        <v>84</v>
      </c>
      <c r="J6432" t="s">
        <v>15488</v>
      </c>
      <c r="K6432">
        <v>97</v>
      </c>
      <c r="L6432" t="s">
        <v>23</v>
      </c>
      <c r="M6432" t="s">
        <v>15486</v>
      </c>
      <c r="N6432" t="s">
        <v>15487</v>
      </c>
      <c r="O6432" t="s">
        <v>84</v>
      </c>
      <c r="P6432" t="s">
        <v>15488</v>
      </c>
      <c r="Q6432">
        <v>97</v>
      </c>
      <c r="R6432" t="s">
        <v>23</v>
      </c>
      <c r="S6432" s="1" t="s">
        <v>34218</v>
      </c>
    </row>
    <row r="6433" spans="1:19" x14ac:dyDescent="0.25">
      <c r="A6433">
        <v>100937546</v>
      </c>
      <c r="B6433" t="s">
        <v>5505</v>
      </c>
      <c r="C6433" t="s">
        <v>229</v>
      </c>
      <c r="G6433" t="s">
        <v>15489</v>
      </c>
      <c r="H6433" t="s">
        <v>682</v>
      </c>
      <c r="I6433" t="s">
        <v>365</v>
      </c>
      <c r="J6433" t="s">
        <v>15490</v>
      </c>
      <c r="K6433">
        <v>2633</v>
      </c>
      <c r="L6433" t="s">
        <v>23</v>
      </c>
      <c r="M6433" t="s">
        <v>15489</v>
      </c>
      <c r="N6433" t="s">
        <v>682</v>
      </c>
      <c r="O6433" t="s">
        <v>365</v>
      </c>
      <c r="P6433" t="s">
        <v>15490</v>
      </c>
      <c r="Q6433">
        <v>2633</v>
      </c>
      <c r="R6433" t="s">
        <v>23</v>
      </c>
      <c r="S6433" s="1" t="s">
        <v>34218</v>
      </c>
    </row>
    <row r="6434" spans="1:19" x14ac:dyDescent="0.25">
      <c r="A6434">
        <v>101415315</v>
      </c>
      <c r="B6434" t="s">
        <v>15491</v>
      </c>
      <c r="C6434" t="s">
        <v>1422</v>
      </c>
      <c r="G6434" t="s">
        <v>15492</v>
      </c>
      <c r="H6434" t="s">
        <v>1276</v>
      </c>
      <c r="I6434" t="s">
        <v>446</v>
      </c>
      <c r="J6434" t="s">
        <v>15493</v>
      </c>
      <c r="K6434">
        <v>7911</v>
      </c>
      <c r="L6434" t="s">
        <v>23</v>
      </c>
      <c r="M6434" t="s">
        <v>15492</v>
      </c>
      <c r="N6434" t="s">
        <v>1276</v>
      </c>
      <c r="O6434" t="s">
        <v>446</v>
      </c>
      <c r="P6434" t="s">
        <v>15493</v>
      </c>
      <c r="Q6434">
        <v>7911</v>
      </c>
      <c r="R6434" t="s">
        <v>23</v>
      </c>
      <c r="S6434" s="1" t="s">
        <v>34218</v>
      </c>
    </row>
    <row r="6435" spans="1:19" x14ac:dyDescent="0.25">
      <c r="A6435">
        <v>101418606</v>
      </c>
      <c r="B6435" t="s">
        <v>7236</v>
      </c>
      <c r="C6435" t="s">
        <v>846</v>
      </c>
      <c r="G6435" t="s">
        <v>15494</v>
      </c>
      <c r="H6435" t="s">
        <v>2582</v>
      </c>
      <c r="I6435" t="s">
        <v>84</v>
      </c>
      <c r="J6435" t="s">
        <v>15495</v>
      </c>
      <c r="K6435">
        <v>8003</v>
      </c>
      <c r="L6435" t="s">
        <v>23</v>
      </c>
      <c r="M6435" t="s">
        <v>15494</v>
      </c>
      <c r="N6435" t="s">
        <v>2582</v>
      </c>
      <c r="O6435" t="s">
        <v>84</v>
      </c>
      <c r="P6435" t="s">
        <v>15495</v>
      </c>
      <c r="Q6435">
        <v>8003</v>
      </c>
      <c r="R6435" t="s">
        <v>23</v>
      </c>
      <c r="S6435" s="1" t="s">
        <v>34218</v>
      </c>
    </row>
    <row r="6436" spans="1:19" x14ac:dyDescent="0.25">
      <c r="A6436">
        <v>101362902</v>
      </c>
      <c r="B6436" t="s">
        <v>2044</v>
      </c>
      <c r="C6436" t="s">
        <v>208</v>
      </c>
      <c r="G6436" t="s">
        <v>15496</v>
      </c>
      <c r="H6436" t="s">
        <v>160</v>
      </c>
      <c r="I6436" t="s">
        <v>161</v>
      </c>
      <c r="J6436" t="s">
        <v>15497</v>
      </c>
      <c r="K6436">
        <v>1142</v>
      </c>
      <c r="L6436" t="s">
        <v>23</v>
      </c>
      <c r="M6436" t="s">
        <v>15496</v>
      </c>
      <c r="N6436" t="s">
        <v>160</v>
      </c>
      <c r="O6436" t="s">
        <v>161</v>
      </c>
      <c r="P6436" t="s">
        <v>15497</v>
      </c>
      <c r="Q6436">
        <v>1142</v>
      </c>
      <c r="R6436" t="s">
        <v>23</v>
      </c>
      <c r="S6436" s="1" t="s">
        <v>34218</v>
      </c>
    </row>
    <row r="6437" spans="1:19" x14ac:dyDescent="0.25">
      <c r="A6437">
        <v>101308583</v>
      </c>
      <c r="B6437" t="s">
        <v>15498</v>
      </c>
      <c r="C6437" t="s">
        <v>498</v>
      </c>
      <c r="G6437" t="s">
        <v>15499</v>
      </c>
      <c r="H6437" t="s">
        <v>88</v>
      </c>
      <c r="I6437" t="s">
        <v>250</v>
      </c>
      <c r="J6437" t="s">
        <v>15500</v>
      </c>
      <c r="K6437">
        <v>3009</v>
      </c>
      <c r="L6437" t="s">
        <v>23</v>
      </c>
      <c r="M6437" t="s">
        <v>15499</v>
      </c>
      <c r="N6437" t="s">
        <v>88</v>
      </c>
      <c r="O6437" t="s">
        <v>250</v>
      </c>
      <c r="P6437" t="s">
        <v>15500</v>
      </c>
      <c r="Q6437">
        <v>3009</v>
      </c>
      <c r="R6437" t="s">
        <v>23</v>
      </c>
      <c r="S6437" s="1" t="s">
        <v>34218</v>
      </c>
    </row>
    <row r="6438" spans="1:19" x14ac:dyDescent="0.25">
      <c r="A6438">
        <v>100658359</v>
      </c>
      <c r="B6438" t="s">
        <v>15501</v>
      </c>
      <c r="C6438" t="s">
        <v>2420</v>
      </c>
      <c r="G6438" t="s">
        <v>15502</v>
      </c>
      <c r="H6438" t="s">
        <v>198</v>
      </c>
      <c r="I6438" t="s">
        <v>22</v>
      </c>
      <c r="J6438" t="s">
        <v>15503</v>
      </c>
      <c r="K6438">
        <v>1503</v>
      </c>
      <c r="L6438" t="s">
        <v>23</v>
      </c>
      <c r="M6438" t="s">
        <v>15502</v>
      </c>
      <c r="N6438" t="s">
        <v>198</v>
      </c>
      <c r="O6438" t="s">
        <v>22</v>
      </c>
      <c r="P6438" t="s">
        <v>15503</v>
      </c>
      <c r="Q6438">
        <v>1503</v>
      </c>
      <c r="R6438" t="s">
        <v>23</v>
      </c>
      <c r="S6438" s="1" t="s">
        <v>34218</v>
      </c>
    </row>
    <row r="6439" spans="1:19" x14ac:dyDescent="0.25">
      <c r="A6439">
        <v>100938666</v>
      </c>
      <c r="B6439" t="s">
        <v>7173</v>
      </c>
      <c r="C6439" t="s">
        <v>305</v>
      </c>
      <c r="G6439" t="s">
        <v>15504</v>
      </c>
      <c r="H6439" t="s">
        <v>1867</v>
      </c>
      <c r="I6439" t="s">
        <v>353</v>
      </c>
      <c r="J6439">
        <v>3766</v>
      </c>
      <c r="K6439">
        <v>1204</v>
      </c>
      <c r="L6439" t="s">
        <v>23</v>
      </c>
      <c r="M6439" t="s">
        <v>15504</v>
      </c>
      <c r="N6439" t="s">
        <v>1867</v>
      </c>
      <c r="O6439" t="s">
        <v>353</v>
      </c>
      <c r="P6439">
        <v>3766</v>
      </c>
      <c r="Q6439">
        <v>1204</v>
      </c>
      <c r="R6439" t="s">
        <v>23</v>
      </c>
      <c r="S6439" s="1" t="s">
        <v>34218</v>
      </c>
    </row>
    <row r="6440" spans="1:19" x14ac:dyDescent="0.25">
      <c r="A6440">
        <v>100940191</v>
      </c>
      <c r="B6440" t="s">
        <v>4984</v>
      </c>
      <c r="C6440" t="s">
        <v>8782</v>
      </c>
      <c r="G6440" t="s">
        <v>15505</v>
      </c>
      <c r="H6440" t="s">
        <v>1600</v>
      </c>
      <c r="I6440" t="s">
        <v>28</v>
      </c>
      <c r="J6440">
        <v>30064</v>
      </c>
      <c r="K6440">
        <v>1737</v>
      </c>
      <c r="L6440" t="s">
        <v>23</v>
      </c>
      <c r="M6440" t="s">
        <v>15505</v>
      </c>
      <c r="N6440" t="s">
        <v>1600</v>
      </c>
      <c r="O6440" t="s">
        <v>28</v>
      </c>
      <c r="P6440">
        <v>30064</v>
      </c>
      <c r="Q6440">
        <v>1737</v>
      </c>
      <c r="R6440" t="s">
        <v>23</v>
      </c>
      <c r="S6440" s="1" t="s">
        <v>34218</v>
      </c>
    </row>
    <row r="6441" spans="1:19" x14ac:dyDescent="0.25">
      <c r="A6441">
        <v>101125095</v>
      </c>
      <c r="B6441" t="s">
        <v>4747</v>
      </c>
      <c r="C6441" t="s">
        <v>5599</v>
      </c>
      <c r="G6441" t="s">
        <v>15506</v>
      </c>
      <c r="H6441" t="s">
        <v>13062</v>
      </c>
      <c r="I6441" t="s">
        <v>52</v>
      </c>
      <c r="J6441">
        <v>32940</v>
      </c>
      <c r="K6441">
        <v>7706</v>
      </c>
      <c r="L6441" t="s">
        <v>23</v>
      </c>
      <c r="M6441" t="s">
        <v>15506</v>
      </c>
      <c r="N6441" t="s">
        <v>13062</v>
      </c>
      <c r="O6441" t="s">
        <v>52</v>
      </c>
      <c r="P6441">
        <v>32940</v>
      </c>
      <c r="Q6441">
        <v>7706</v>
      </c>
      <c r="R6441" t="s">
        <v>23</v>
      </c>
      <c r="S6441" s="1" t="s">
        <v>34218</v>
      </c>
    </row>
    <row r="6442" spans="1:19" x14ac:dyDescent="0.25">
      <c r="A6442">
        <v>101126615</v>
      </c>
      <c r="B6442" t="s">
        <v>15507</v>
      </c>
      <c r="C6442" t="s">
        <v>3618</v>
      </c>
      <c r="G6442" t="s">
        <v>15508</v>
      </c>
      <c r="H6442" t="s">
        <v>471</v>
      </c>
      <c r="I6442" t="s">
        <v>365</v>
      </c>
      <c r="J6442">
        <v>85257</v>
      </c>
      <c r="K6442">
        <v>2565</v>
      </c>
      <c r="L6442" t="s">
        <v>23</v>
      </c>
      <c r="M6442" t="s">
        <v>15508</v>
      </c>
      <c r="N6442" t="s">
        <v>471</v>
      </c>
      <c r="O6442" t="s">
        <v>365</v>
      </c>
      <c r="P6442">
        <v>85257</v>
      </c>
      <c r="Q6442">
        <v>2565</v>
      </c>
      <c r="R6442" t="s">
        <v>23</v>
      </c>
      <c r="S6442" s="1" t="s">
        <v>34218</v>
      </c>
    </row>
    <row r="6443" spans="1:19" x14ac:dyDescent="0.25">
      <c r="A6443">
        <v>101128180</v>
      </c>
      <c r="B6443" t="s">
        <v>4727</v>
      </c>
      <c r="C6443" t="s">
        <v>15509</v>
      </c>
      <c r="G6443" t="s">
        <v>15510</v>
      </c>
      <c r="H6443" t="s">
        <v>1985</v>
      </c>
      <c r="I6443" t="s">
        <v>71</v>
      </c>
      <c r="J6443">
        <v>80905</v>
      </c>
      <c r="K6443">
        <v>2167</v>
      </c>
      <c r="L6443" t="s">
        <v>23</v>
      </c>
      <c r="M6443" t="s">
        <v>15510</v>
      </c>
      <c r="N6443" t="s">
        <v>1985</v>
      </c>
      <c r="O6443" t="s">
        <v>71</v>
      </c>
      <c r="P6443">
        <v>80905</v>
      </c>
      <c r="Q6443">
        <v>2167</v>
      </c>
      <c r="R6443" t="s">
        <v>23</v>
      </c>
      <c r="S6443" s="1" t="s">
        <v>34218</v>
      </c>
    </row>
    <row r="6444" spans="1:19" x14ac:dyDescent="0.25">
      <c r="A6444">
        <v>101133184</v>
      </c>
      <c r="B6444" t="s">
        <v>15511</v>
      </c>
      <c r="C6444" t="s">
        <v>1873</v>
      </c>
      <c r="F6444" t="str">
        <f>"3238741625"</f>
        <v>3238741625</v>
      </c>
      <c r="G6444" t="s">
        <v>15512</v>
      </c>
      <c r="H6444" t="s">
        <v>299</v>
      </c>
      <c r="I6444" t="s">
        <v>22</v>
      </c>
      <c r="J6444">
        <v>90046</v>
      </c>
      <c r="K6444">
        <v>1706</v>
      </c>
      <c r="L6444" t="s">
        <v>23</v>
      </c>
      <c r="M6444" t="s">
        <v>15512</v>
      </c>
      <c r="N6444" t="s">
        <v>299</v>
      </c>
      <c r="O6444" t="s">
        <v>22</v>
      </c>
      <c r="P6444">
        <v>90046</v>
      </c>
      <c r="Q6444">
        <v>1706</v>
      </c>
      <c r="R6444" t="s">
        <v>23</v>
      </c>
      <c r="S6444" s="1" t="s">
        <v>34218</v>
      </c>
    </row>
    <row r="6445" spans="1:19" x14ac:dyDescent="0.25">
      <c r="A6445">
        <v>101131585</v>
      </c>
      <c r="B6445" t="s">
        <v>4186</v>
      </c>
      <c r="C6445" t="s">
        <v>15513</v>
      </c>
      <c r="G6445" t="s">
        <v>15514</v>
      </c>
      <c r="H6445" t="s">
        <v>14993</v>
      </c>
      <c r="I6445" t="s">
        <v>38</v>
      </c>
      <c r="J6445">
        <v>75001</v>
      </c>
      <c r="K6445">
        <v>7970</v>
      </c>
      <c r="L6445" t="s">
        <v>23</v>
      </c>
      <c r="M6445" t="s">
        <v>15514</v>
      </c>
      <c r="N6445" t="s">
        <v>14993</v>
      </c>
      <c r="O6445" t="s">
        <v>38</v>
      </c>
      <c r="P6445">
        <v>75001</v>
      </c>
      <c r="Q6445">
        <v>7970</v>
      </c>
      <c r="R6445" t="s">
        <v>23</v>
      </c>
      <c r="S6445" s="1" t="s">
        <v>34218</v>
      </c>
    </row>
    <row r="6446" spans="1:19" x14ac:dyDescent="0.25">
      <c r="A6446">
        <v>101134485</v>
      </c>
      <c r="B6446" t="s">
        <v>8042</v>
      </c>
      <c r="C6446" t="s">
        <v>90</v>
      </c>
      <c r="G6446" t="s">
        <v>15515</v>
      </c>
      <c r="H6446" t="s">
        <v>6192</v>
      </c>
      <c r="I6446" t="s">
        <v>140</v>
      </c>
      <c r="J6446">
        <v>48433</v>
      </c>
      <c r="K6446">
        <v>8863</v>
      </c>
      <c r="L6446" t="s">
        <v>23</v>
      </c>
      <c r="M6446" t="s">
        <v>15515</v>
      </c>
      <c r="N6446" t="s">
        <v>6192</v>
      </c>
      <c r="O6446" t="s">
        <v>140</v>
      </c>
      <c r="P6446">
        <v>48433</v>
      </c>
      <c r="Q6446">
        <v>8863</v>
      </c>
      <c r="R6446" t="s">
        <v>23</v>
      </c>
      <c r="S6446" s="1" t="s">
        <v>34218</v>
      </c>
    </row>
    <row r="6447" spans="1:19" x14ac:dyDescent="0.25">
      <c r="A6447">
        <v>101137703</v>
      </c>
      <c r="B6447" t="s">
        <v>15516</v>
      </c>
      <c r="C6447" t="s">
        <v>1027</v>
      </c>
      <c r="F6447" t="str">
        <f>"7733390353"</f>
        <v>7733390353</v>
      </c>
      <c r="G6447" t="s">
        <v>15517</v>
      </c>
      <c r="H6447" t="s">
        <v>134</v>
      </c>
      <c r="I6447" t="s">
        <v>135</v>
      </c>
      <c r="J6447">
        <v>60660</v>
      </c>
      <c r="K6447">
        <v>8707</v>
      </c>
      <c r="L6447" t="s">
        <v>23</v>
      </c>
      <c r="M6447" t="s">
        <v>15517</v>
      </c>
      <c r="N6447" t="s">
        <v>134</v>
      </c>
      <c r="O6447" t="s">
        <v>135</v>
      </c>
      <c r="P6447">
        <v>60660</v>
      </c>
      <c r="Q6447">
        <v>8707</v>
      </c>
      <c r="R6447" t="s">
        <v>23</v>
      </c>
      <c r="S6447" s="1" t="s">
        <v>34218</v>
      </c>
    </row>
    <row r="6448" spans="1:19" x14ac:dyDescent="0.25">
      <c r="A6448">
        <v>101133960</v>
      </c>
      <c r="B6448" t="s">
        <v>15518</v>
      </c>
      <c r="C6448" t="s">
        <v>15519</v>
      </c>
      <c r="G6448" t="s">
        <v>15520</v>
      </c>
      <c r="H6448" t="s">
        <v>125</v>
      </c>
      <c r="I6448" t="s">
        <v>126</v>
      </c>
      <c r="J6448">
        <v>63118</v>
      </c>
      <c r="K6448">
        <v>2622</v>
      </c>
      <c r="L6448" t="s">
        <v>23</v>
      </c>
      <c r="M6448" t="s">
        <v>15520</v>
      </c>
      <c r="N6448" t="s">
        <v>125</v>
      </c>
      <c r="O6448" t="s">
        <v>126</v>
      </c>
      <c r="P6448">
        <v>63118</v>
      </c>
      <c r="Q6448">
        <v>2622</v>
      </c>
      <c r="R6448" t="s">
        <v>23</v>
      </c>
      <c r="S6448" s="1" t="s">
        <v>34218</v>
      </c>
    </row>
    <row r="6449" spans="1:19" x14ac:dyDescent="0.25">
      <c r="A6449">
        <v>101387586</v>
      </c>
      <c r="B6449" t="s">
        <v>15521</v>
      </c>
      <c r="C6449" t="s">
        <v>1327</v>
      </c>
      <c r="G6449" t="s">
        <v>15522</v>
      </c>
      <c r="H6449" t="s">
        <v>15523</v>
      </c>
      <c r="I6449" t="s">
        <v>191</v>
      </c>
      <c r="J6449">
        <v>4076</v>
      </c>
      <c r="K6449">
        <v>3120</v>
      </c>
      <c r="L6449" t="s">
        <v>23</v>
      </c>
      <c r="M6449" t="s">
        <v>15522</v>
      </c>
      <c r="N6449" t="s">
        <v>15523</v>
      </c>
      <c r="O6449" t="s">
        <v>191</v>
      </c>
      <c r="P6449">
        <v>4076</v>
      </c>
      <c r="Q6449">
        <v>3120</v>
      </c>
      <c r="R6449" t="s">
        <v>23</v>
      </c>
      <c r="S6449" s="1" t="s">
        <v>34218</v>
      </c>
    </row>
    <row r="6450" spans="1:19" x14ac:dyDescent="0.25">
      <c r="A6450">
        <v>101394629</v>
      </c>
      <c r="B6450" t="s">
        <v>12257</v>
      </c>
      <c r="C6450" t="s">
        <v>13091</v>
      </c>
      <c r="G6450" t="s">
        <v>15524</v>
      </c>
      <c r="H6450" t="s">
        <v>7810</v>
      </c>
      <c r="I6450" t="s">
        <v>33</v>
      </c>
      <c r="J6450">
        <v>19020</v>
      </c>
      <c r="K6450">
        <v>4132</v>
      </c>
      <c r="L6450" t="s">
        <v>23</v>
      </c>
      <c r="M6450" t="s">
        <v>15524</v>
      </c>
      <c r="N6450" t="s">
        <v>7810</v>
      </c>
      <c r="O6450" t="s">
        <v>33</v>
      </c>
      <c r="P6450">
        <v>19020</v>
      </c>
      <c r="Q6450">
        <v>4132</v>
      </c>
      <c r="R6450" t="s">
        <v>23</v>
      </c>
      <c r="S6450" s="1" t="s">
        <v>34218</v>
      </c>
    </row>
    <row r="6451" spans="1:19" x14ac:dyDescent="0.25">
      <c r="A6451">
        <v>101391848</v>
      </c>
      <c r="B6451" t="s">
        <v>13155</v>
      </c>
      <c r="C6451" t="s">
        <v>15525</v>
      </c>
      <c r="G6451" t="s">
        <v>15526</v>
      </c>
      <c r="H6451" t="s">
        <v>4235</v>
      </c>
      <c r="I6451" t="s">
        <v>984</v>
      </c>
      <c r="J6451">
        <v>96813</v>
      </c>
      <c r="K6451">
        <v>1205</v>
      </c>
      <c r="L6451" t="s">
        <v>23</v>
      </c>
      <c r="M6451" t="s">
        <v>15526</v>
      </c>
      <c r="N6451" t="s">
        <v>4235</v>
      </c>
      <c r="O6451" t="s">
        <v>984</v>
      </c>
      <c r="P6451">
        <v>96813</v>
      </c>
      <c r="Q6451">
        <v>1205</v>
      </c>
      <c r="R6451" t="s">
        <v>23</v>
      </c>
      <c r="S6451" s="1" t="s">
        <v>34218</v>
      </c>
    </row>
    <row r="6452" spans="1:19" x14ac:dyDescent="0.25">
      <c r="A6452">
        <v>101391861</v>
      </c>
      <c r="B6452" t="s">
        <v>3956</v>
      </c>
      <c r="C6452" t="s">
        <v>233</v>
      </c>
      <c r="G6452" t="s">
        <v>15527</v>
      </c>
      <c r="H6452" t="s">
        <v>15528</v>
      </c>
      <c r="I6452" t="s">
        <v>22</v>
      </c>
      <c r="J6452">
        <v>91108</v>
      </c>
      <c r="K6452">
        <v>2640</v>
      </c>
      <c r="L6452" t="s">
        <v>23</v>
      </c>
      <c r="M6452" t="s">
        <v>15527</v>
      </c>
      <c r="N6452" t="s">
        <v>15528</v>
      </c>
      <c r="O6452" t="s">
        <v>22</v>
      </c>
      <c r="P6452">
        <v>91108</v>
      </c>
      <c r="Q6452">
        <v>2640</v>
      </c>
      <c r="R6452" t="s">
        <v>23</v>
      </c>
      <c r="S6452" s="1" t="s">
        <v>34218</v>
      </c>
    </row>
    <row r="6453" spans="1:19" x14ac:dyDescent="0.25">
      <c r="A6453">
        <v>101398247</v>
      </c>
      <c r="B6453" t="s">
        <v>15529</v>
      </c>
      <c r="C6453" t="s">
        <v>1205</v>
      </c>
      <c r="G6453" t="s">
        <v>15530</v>
      </c>
      <c r="H6453" t="s">
        <v>5940</v>
      </c>
      <c r="I6453" t="s">
        <v>52</v>
      </c>
      <c r="J6453">
        <v>32608</v>
      </c>
      <c r="K6453">
        <v>8929</v>
      </c>
      <c r="L6453" t="s">
        <v>23</v>
      </c>
      <c r="M6453" t="s">
        <v>15530</v>
      </c>
      <c r="N6453" t="s">
        <v>5940</v>
      </c>
      <c r="O6453" t="s">
        <v>52</v>
      </c>
      <c r="P6453">
        <v>32608</v>
      </c>
      <c r="Q6453">
        <v>8929</v>
      </c>
      <c r="R6453" t="s">
        <v>23</v>
      </c>
      <c r="S6453" s="1" t="s">
        <v>34218</v>
      </c>
    </row>
    <row r="6454" spans="1:19" x14ac:dyDescent="0.25">
      <c r="A6454">
        <v>101473717</v>
      </c>
      <c r="B6454" t="s">
        <v>15531</v>
      </c>
      <c r="C6454" t="s">
        <v>15532</v>
      </c>
      <c r="G6454" t="s">
        <v>15533</v>
      </c>
      <c r="H6454" t="s">
        <v>4685</v>
      </c>
      <c r="I6454" t="s">
        <v>1000</v>
      </c>
      <c r="J6454">
        <v>59404</v>
      </c>
      <c r="K6454">
        <v>1752</v>
      </c>
      <c r="L6454" t="s">
        <v>23</v>
      </c>
      <c r="M6454" t="s">
        <v>15533</v>
      </c>
      <c r="N6454" t="s">
        <v>4685</v>
      </c>
      <c r="O6454" t="s">
        <v>1000</v>
      </c>
      <c r="P6454">
        <v>59404</v>
      </c>
      <c r="Q6454">
        <v>1752</v>
      </c>
      <c r="R6454" t="s">
        <v>23</v>
      </c>
      <c r="S6454" s="1" t="s">
        <v>34218</v>
      </c>
    </row>
    <row r="6455" spans="1:19" x14ac:dyDescent="0.25">
      <c r="A6455">
        <v>101226129</v>
      </c>
      <c r="B6455" t="s">
        <v>2471</v>
      </c>
      <c r="C6455" t="s">
        <v>1176</v>
      </c>
      <c r="G6455" t="s">
        <v>15534</v>
      </c>
      <c r="H6455" t="s">
        <v>3510</v>
      </c>
      <c r="I6455" t="s">
        <v>38</v>
      </c>
      <c r="J6455" t="s">
        <v>15535</v>
      </c>
      <c r="K6455">
        <v>5640</v>
      </c>
      <c r="L6455" t="s">
        <v>23</v>
      </c>
      <c r="M6455" t="s">
        <v>15534</v>
      </c>
      <c r="N6455" t="s">
        <v>3510</v>
      </c>
      <c r="O6455" t="s">
        <v>38</v>
      </c>
      <c r="P6455" t="s">
        <v>15535</v>
      </c>
      <c r="Q6455">
        <v>5640</v>
      </c>
      <c r="R6455" t="s">
        <v>23</v>
      </c>
      <c r="S6455" s="1" t="s">
        <v>34218</v>
      </c>
    </row>
    <row r="6456" spans="1:19" x14ac:dyDescent="0.25">
      <c r="A6456">
        <v>100649631</v>
      </c>
      <c r="B6456" t="s">
        <v>3011</v>
      </c>
      <c r="C6456" t="s">
        <v>15536</v>
      </c>
      <c r="G6456" t="s">
        <v>15537</v>
      </c>
      <c r="H6456" t="s">
        <v>3470</v>
      </c>
      <c r="I6456" t="s">
        <v>187</v>
      </c>
      <c r="J6456">
        <v>55346</v>
      </c>
      <c r="L6456" t="s">
        <v>23</v>
      </c>
      <c r="M6456" t="s">
        <v>15537</v>
      </c>
      <c r="N6456" t="s">
        <v>3470</v>
      </c>
      <c r="O6456" t="s">
        <v>187</v>
      </c>
      <c r="P6456">
        <v>55346</v>
      </c>
      <c r="R6456" t="s">
        <v>23</v>
      </c>
      <c r="S6456" s="1" t="s">
        <v>34218</v>
      </c>
    </row>
    <row r="6457" spans="1:19" x14ac:dyDescent="0.25">
      <c r="A6457">
        <v>101273280</v>
      </c>
      <c r="B6457" t="s">
        <v>497</v>
      </c>
      <c r="C6457" t="s">
        <v>1223</v>
      </c>
      <c r="G6457" t="s">
        <v>15538</v>
      </c>
      <c r="H6457" t="s">
        <v>15539</v>
      </c>
      <c r="I6457" t="s">
        <v>22</v>
      </c>
      <c r="J6457" t="s">
        <v>15540</v>
      </c>
      <c r="K6457">
        <v>3515</v>
      </c>
      <c r="L6457" t="s">
        <v>23</v>
      </c>
      <c r="M6457" t="s">
        <v>15538</v>
      </c>
      <c r="N6457" t="s">
        <v>15539</v>
      </c>
      <c r="O6457" t="s">
        <v>22</v>
      </c>
      <c r="P6457" t="s">
        <v>15540</v>
      </c>
      <c r="Q6457">
        <v>3515</v>
      </c>
      <c r="R6457" t="s">
        <v>23</v>
      </c>
      <c r="S6457" s="1" t="s">
        <v>34218</v>
      </c>
    </row>
    <row r="6458" spans="1:19" x14ac:dyDescent="0.25">
      <c r="A6458">
        <v>101271977</v>
      </c>
      <c r="B6458" t="s">
        <v>11825</v>
      </c>
      <c r="C6458" t="s">
        <v>1588</v>
      </c>
      <c r="G6458" t="s">
        <v>15541</v>
      </c>
      <c r="H6458" t="s">
        <v>15542</v>
      </c>
      <c r="I6458" t="s">
        <v>52</v>
      </c>
      <c r="J6458" t="s">
        <v>15543</v>
      </c>
      <c r="K6458">
        <v>2307</v>
      </c>
      <c r="L6458" t="s">
        <v>23</v>
      </c>
      <c r="M6458" t="s">
        <v>15541</v>
      </c>
      <c r="N6458" t="s">
        <v>15542</v>
      </c>
      <c r="O6458" t="s">
        <v>52</v>
      </c>
      <c r="P6458" t="s">
        <v>15543</v>
      </c>
      <c r="Q6458">
        <v>2307</v>
      </c>
      <c r="R6458" t="s">
        <v>23</v>
      </c>
      <c r="S6458" s="1" t="s">
        <v>34218</v>
      </c>
    </row>
    <row r="6459" spans="1:19" x14ac:dyDescent="0.25">
      <c r="A6459">
        <v>100892173</v>
      </c>
      <c r="B6459" t="s">
        <v>15544</v>
      </c>
      <c r="C6459" t="s">
        <v>699</v>
      </c>
      <c r="G6459" t="s">
        <v>15545</v>
      </c>
      <c r="H6459" t="s">
        <v>2141</v>
      </c>
      <c r="I6459" t="s">
        <v>1000</v>
      </c>
      <c r="J6459" t="s">
        <v>15546</v>
      </c>
      <c r="K6459">
        <v>9241</v>
      </c>
      <c r="L6459" t="s">
        <v>23</v>
      </c>
      <c r="M6459" t="s">
        <v>15545</v>
      </c>
      <c r="N6459" t="s">
        <v>2141</v>
      </c>
      <c r="O6459" t="s">
        <v>1000</v>
      </c>
      <c r="P6459" t="s">
        <v>15546</v>
      </c>
      <c r="Q6459">
        <v>9241</v>
      </c>
      <c r="R6459" t="s">
        <v>23</v>
      </c>
      <c r="S6459" s="1" t="s">
        <v>34218</v>
      </c>
    </row>
    <row r="6460" spans="1:19" x14ac:dyDescent="0.25">
      <c r="A6460">
        <v>101303155</v>
      </c>
      <c r="B6460" t="s">
        <v>15547</v>
      </c>
      <c r="C6460" t="s">
        <v>1602</v>
      </c>
      <c r="G6460" t="s">
        <v>15548</v>
      </c>
      <c r="H6460" t="s">
        <v>653</v>
      </c>
      <c r="I6460" t="s">
        <v>117</v>
      </c>
      <c r="J6460" t="s">
        <v>15549</v>
      </c>
      <c r="K6460">
        <v>4270</v>
      </c>
      <c r="L6460" t="s">
        <v>23</v>
      </c>
      <c r="M6460" t="s">
        <v>15548</v>
      </c>
      <c r="N6460" t="s">
        <v>653</v>
      </c>
      <c r="O6460" t="s">
        <v>117</v>
      </c>
      <c r="P6460" t="s">
        <v>15549</v>
      </c>
      <c r="Q6460">
        <v>4270</v>
      </c>
      <c r="R6460" t="s">
        <v>23</v>
      </c>
      <c r="S6460" s="1" t="s">
        <v>34218</v>
      </c>
    </row>
    <row r="6461" spans="1:19" x14ac:dyDescent="0.25">
      <c r="A6461">
        <v>101297524</v>
      </c>
      <c r="B6461" t="s">
        <v>867</v>
      </c>
      <c r="C6461" t="s">
        <v>90</v>
      </c>
      <c r="G6461" t="s">
        <v>15550</v>
      </c>
      <c r="H6461" t="s">
        <v>11112</v>
      </c>
      <c r="I6461" t="s">
        <v>140</v>
      </c>
      <c r="J6461" t="s">
        <v>15551</v>
      </c>
      <c r="K6461">
        <v>4512</v>
      </c>
      <c r="L6461" t="s">
        <v>23</v>
      </c>
      <c r="M6461" t="s">
        <v>15550</v>
      </c>
      <c r="N6461" t="s">
        <v>11112</v>
      </c>
      <c r="O6461" t="s">
        <v>140</v>
      </c>
      <c r="P6461" t="s">
        <v>15551</v>
      </c>
      <c r="Q6461">
        <v>4512</v>
      </c>
      <c r="R6461" t="s">
        <v>23</v>
      </c>
      <c r="S6461" s="1" t="s">
        <v>34218</v>
      </c>
    </row>
    <row r="6462" spans="1:19" x14ac:dyDescent="0.25">
      <c r="A6462">
        <v>100923058</v>
      </c>
      <c r="B6462" t="s">
        <v>15552</v>
      </c>
      <c r="C6462" t="s">
        <v>1588</v>
      </c>
      <c r="G6462" t="s">
        <v>15553</v>
      </c>
      <c r="H6462" t="s">
        <v>2910</v>
      </c>
      <c r="I6462" t="s">
        <v>52</v>
      </c>
      <c r="J6462" t="s">
        <v>15554</v>
      </c>
      <c r="K6462">
        <v>6922</v>
      </c>
      <c r="L6462" t="s">
        <v>23</v>
      </c>
      <c r="M6462" t="s">
        <v>15553</v>
      </c>
      <c r="N6462" t="s">
        <v>2910</v>
      </c>
      <c r="O6462" t="s">
        <v>52</v>
      </c>
      <c r="P6462" t="s">
        <v>15554</v>
      </c>
      <c r="Q6462">
        <v>6922</v>
      </c>
      <c r="R6462" t="s">
        <v>23</v>
      </c>
      <c r="S6462" s="1" t="s">
        <v>34218</v>
      </c>
    </row>
    <row r="6463" spans="1:19" x14ac:dyDescent="0.25">
      <c r="A6463">
        <v>101296042</v>
      </c>
      <c r="B6463" t="s">
        <v>15555</v>
      </c>
      <c r="C6463" t="s">
        <v>3442</v>
      </c>
      <c r="G6463" t="s">
        <v>15556</v>
      </c>
      <c r="H6463" t="s">
        <v>380</v>
      </c>
      <c r="I6463" t="s">
        <v>38</v>
      </c>
      <c r="J6463" t="s">
        <v>15557</v>
      </c>
      <c r="K6463">
        <v>2914</v>
      </c>
      <c r="L6463" t="s">
        <v>23</v>
      </c>
      <c r="M6463" t="s">
        <v>15556</v>
      </c>
      <c r="N6463" t="s">
        <v>380</v>
      </c>
      <c r="O6463" t="s">
        <v>38</v>
      </c>
      <c r="P6463" t="s">
        <v>15557</v>
      </c>
      <c r="Q6463">
        <v>2914</v>
      </c>
      <c r="R6463" t="s">
        <v>23</v>
      </c>
      <c r="S6463" s="1" t="s">
        <v>34218</v>
      </c>
    </row>
    <row r="6464" spans="1:19" x14ac:dyDescent="0.25">
      <c r="A6464">
        <v>101252013</v>
      </c>
      <c r="B6464" t="s">
        <v>15558</v>
      </c>
      <c r="C6464" t="s">
        <v>7103</v>
      </c>
      <c r="G6464" t="s">
        <v>15559</v>
      </c>
      <c r="H6464" t="s">
        <v>1531</v>
      </c>
      <c r="I6464" t="s">
        <v>84</v>
      </c>
      <c r="J6464">
        <v>98133</v>
      </c>
      <c r="L6464" t="s">
        <v>23</v>
      </c>
      <c r="M6464" t="s">
        <v>15559</v>
      </c>
      <c r="N6464" t="s">
        <v>1531</v>
      </c>
      <c r="O6464" t="s">
        <v>84</v>
      </c>
      <c r="P6464">
        <v>98133</v>
      </c>
      <c r="R6464" t="s">
        <v>23</v>
      </c>
      <c r="S6464" s="1" t="s">
        <v>34218</v>
      </c>
    </row>
    <row r="6465" spans="1:19" x14ac:dyDescent="0.25">
      <c r="A6465">
        <v>101122718</v>
      </c>
      <c r="B6465" t="s">
        <v>15560</v>
      </c>
      <c r="C6465" t="s">
        <v>8241</v>
      </c>
      <c r="G6465" t="s">
        <v>15561</v>
      </c>
      <c r="H6465" t="s">
        <v>15562</v>
      </c>
      <c r="I6465" t="s">
        <v>52</v>
      </c>
      <c r="J6465" t="s">
        <v>15563</v>
      </c>
      <c r="K6465">
        <v>3330</v>
      </c>
      <c r="L6465" t="s">
        <v>23</v>
      </c>
      <c r="M6465" t="s">
        <v>15561</v>
      </c>
      <c r="N6465" t="s">
        <v>15562</v>
      </c>
      <c r="O6465" t="s">
        <v>52</v>
      </c>
      <c r="P6465" t="s">
        <v>15563</v>
      </c>
      <c r="Q6465">
        <v>3330</v>
      </c>
      <c r="R6465" t="s">
        <v>23</v>
      </c>
      <c r="S6465" s="1" t="s">
        <v>34218</v>
      </c>
    </row>
    <row r="6466" spans="1:19" x14ac:dyDescent="0.25">
      <c r="A6466">
        <v>101357332</v>
      </c>
      <c r="B6466" t="s">
        <v>15564</v>
      </c>
      <c r="C6466" t="s">
        <v>543</v>
      </c>
      <c r="G6466" t="s">
        <v>15565</v>
      </c>
      <c r="H6466" t="s">
        <v>13003</v>
      </c>
      <c r="I6466" t="s">
        <v>332</v>
      </c>
      <c r="J6466" t="s">
        <v>15566</v>
      </c>
      <c r="K6466">
        <v>3715</v>
      </c>
      <c r="L6466" t="s">
        <v>23</v>
      </c>
      <c r="M6466" t="s">
        <v>15565</v>
      </c>
      <c r="N6466" t="s">
        <v>13003</v>
      </c>
      <c r="O6466" t="s">
        <v>332</v>
      </c>
      <c r="P6466" t="s">
        <v>15566</v>
      </c>
      <c r="Q6466">
        <v>3715</v>
      </c>
      <c r="R6466" t="s">
        <v>23</v>
      </c>
      <c r="S6466" s="1" t="s">
        <v>34218</v>
      </c>
    </row>
    <row r="6467" spans="1:19" x14ac:dyDescent="0.25">
      <c r="A6467">
        <v>101262030</v>
      </c>
      <c r="B6467" t="s">
        <v>4477</v>
      </c>
      <c r="C6467" t="s">
        <v>4124</v>
      </c>
      <c r="G6467" t="s">
        <v>15567</v>
      </c>
      <c r="H6467" t="s">
        <v>2847</v>
      </c>
      <c r="I6467" t="s">
        <v>365</v>
      </c>
      <c r="J6467" t="s">
        <v>15568</v>
      </c>
      <c r="K6467">
        <v>7023</v>
      </c>
      <c r="L6467" t="s">
        <v>23</v>
      </c>
      <c r="M6467" t="s">
        <v>15567</v>
      </c>
      <c r="N6467" t="s">
        <v>2847</v>
      </c>
      <c r="O6467" t="s">
        <v>365</v>
      </c>
      <c r="P6467" t="s">
        <v>15568</v>
      </c>
      <c r="Q6467">
        <v>7023</v>
      </c>
      <c r="R6467" t="s">
        <v>23</v>
      </c>
      <c r="S6467" s="1" t="s">
        <v>34218</v>
      </c>
    </row>
    <row r="6468" spans="1:19" x14ac:dyDescent="0.25">
      <c r="A6468">
        <v>100699783</v>
      </c>
      <c r="B6468" t="s">
        <v>15569</v>
      </c>
      <c r="C6468" t="s">
        <v>123</v>
      </c>
      <c r="G6468" t="s">
        <v>15570</v>
      </c>
      <c r="H6468" t="s">
        <v>11162</v>
      </c>
      <c r="I6468" t="s">
        <v>250</v>
      </c>
      <c r="J6468" t="s">
        <v>15571</v>
      </c>
      <c r="K6468">
        <v>3333</v>
      </c>
      <c r="L6468" t="s">
        <v>23</v>
      </c>
      <c r="M6468" t="s">
        <v>15570</v>
      </c>
      <c r="N6468" t="s">
        <v>11162</v>
      </c>
      <c r="O6468" t="s">
        <v>250</v>
      </c>
      <c r="P6468" t="s">
        <v>15571</v>
      </c>
      <c r="Q6468">
        <v>3333</v>
      </c>
      <c r="R6468" t="s">
        <v>23</v>
      </c>
      <c r="S6468" s="1" t="s">
        <v>34218</v>
      </c>
    </row>
    <row r="6469" spans="1:19" x14ac:dyDescent="0.25">
      <c r="A6469">
        <v>101355742</v>
      </c>
      <c r="B6469" t="s">
        <v>15572</v>
      </c>
      <c r="C6469" t="s">
        <v>8782</v>
      </c>
      <c r="G6469" t="s">
        <v>15573</v>
      </c>
      <c r="H6469" t="s">
        <v>15574</v>
      </c>
      <c r="I6469" t="s">
        <v>57</v>
      </c>
      <c r="J6469">
        <v>46544</v>
      </c>
      <c r="K6469">
        <v>2734</v>
      </c>
      <c r="L6469" t="s">
        <v>23</v>
      </c>
      <c r="M6469" t="s">
        <v>15573</v>
      </c>
      <c r="N6469" t="s">
        <v>15574</v>
      </c>
      <c r="O6469" t="s">
        <v>57</v>
      </c>
      <c r="P6469">
        <v>46544</v>
      </c>
      <c r="Q6469">
        <v>2734</v>
      </c>
      <c r="R6469" t="s">
        <v>23</v>
      </c>
      <c r="S6469" s="1" t="s">
        <v>34218</v>
      </c>
    </row>
    <row r="6470" spans="1:19" x14ac:dyDescent="0.25">
      <c r="A6470">
        <v>101354031</v>
      </c>
      <c r="B6470" t="s">
        <v>15575</v>
      </c>
      <c r="C6470" t="s">
        <v>4188</v>
      </c>
      <c r="G6470" t="s">
        <v>15576</v>
      </c>
      <c r="H6470" t="s">
        <v>737</v>
      </c>
      <c r="I6470" t="s">
        <v>255</v>
      </c>
      <c r="J6470">
        <v>23451</v>
      </c>
      <c r="K6470">
        <v>1308</v>
      </c>
      <c r="L6470" t="s">
        <v>23</v>
      </c>
      <c r="M6470" t="s">
        <v>15576</v>
      </c>
      <c r="N6470" t="s">
        <v>737</v>
      </c>
      <c r="O6470" t="s">
        <v>255</v>
      </c>
      <c r="P6470">
        <v>23451</v>
      </c>
      <c r="Q6470">
        <v>1308</v>
      </c>
      <c r="R6470" t="s">
        <v>23</v>
      </c>
      <c r="S6470" s="1" t="s">
        <v>34218</v>
      </c>
    </row>
    <row r="6471" spans="1:19" x14ac:dyDescent="0.25">
      <c r="A6471">
        <v>101351569</v>
      </c>
      <c r="B6471" t="s">
        <v>15577</v>
      </c>
      <c r="C6471" t="s">
        <v>579</v>
      </c>
      <c r="G6471" t="s">
        <v>15578</v>
      </c>
      <c r="H6471" t="s">
        <v>1579</v>
      </c>
      <c r="I6471" t="s">
        <v>71</v>
      </c>
      <c r="J6471">
        <v>80014</v>
      </c>
      <c r="K6471">
        <v>2522</v>
      </c>
      <c r="L6471" t="s">
        <v>23</v>
      </c>
      <c r="M6471" t="s">
        <v>15578</v>
      </c>
      <c r="N6471" t="s">
        <v>1579</v>
      </c>
      <c r="O6471" t="s">
        <v>71</v>
      </c>
      <c r="P6471">
        <v>80014</v>
      </c>
      <c r="Q6471">
        <v>2522</v>
      </c>
      <c r="R6471" t="s">
        <v>23</v>
      </c>
      <c r="S6471" s="1" t="s">
        <v>34218</v>
      </c>
    </row>
    <row r="6472" spans="1:19" x14ac:dyDescent="0.25">
      <c r="A6472">
        <v>101358290</v>
      </c>
      <c r="B6472" t="s">
        <v>15579</v>
      </c>
      <c r="C6472" t="s">
        <v>110</v>
      </c>
      <c r="G6472" t="s">
        <v>15580</v>
      </c>
      <c r="H6472" t="s">
        <v>5179</v>
      </c>
      <c r="I6472" t="s">
        <v>250</v>
      </c>
      <c r="J6472">
        <v>8876</v>
      </c>
      <c r="K6472">
        <v>2416</v>
      </c>
      <c r="L6472" t="s">
        <v>23</v>
      </c>
      <c r="M6472" t="s">
        <v>15580</v>
      </c>
      <c r="N6472" t="s">
        <v>5179</v>
      </c>
      <c r="O6472" t="s">
        <v>250</v>
      </c>
      <c r="P6472">
        <v>8876</v>
      </c>
      <c r="Q6472">
        <v>2416</v>
      </c>
      <c r="R6472" t="s">
        <v>23</v>
      </c>
      <c r="S6472" s="1" t="s">
        <v>34218</v>
      </c>
    </row>
    <row r="6473" spans="1:19" x14ac:dyDescent="0.25">
      <c r="A6473">
        <v>101355226</v>
      </c>
      <c r="B6473" t="s">
        <v>3061</v>
      </c>
      <c r="C6473" t="s">
        <v>2653</v>
      </c>
      <c r="G6473" t="s">
        <v>11669</v>
      </c>
      <c r="H6473" t="s">
        <v>11437</v>
      </c>
      <c r="I6473" t="s">
        <v>43</v>
      </c>
      <c r="J6473">
        <v>97109</v>
      </c>
      <c r="K6473">
        <v>9507</v>
      </c>
      <c r="L6473" t="s">
        <v>23</v>
      </c>
      <c r="M6473" t="s">
        <v>11669</v>
      </c>
      <c r="N6473" t="s">
        <v>11437</v>
      </c>
      <c r="O6473" t="s">
        <v>43</v>
      </c>
      <c r="P6473">
        <v>97109</v>
      </c>
      <c r="Q6473">
        <v>9507</v>
      </c>
      <c r="R6473" t="s">
        <v>23</v>
      </c>
      <c r="S6473" s="1" t="s">
        <v>34218</v>
      </c>
    </row>
    <row r="6474" spans="1:19" x14ac:dyDescent="0.25">
      <c r="A6474">
        <v>101368987</v>
      </c>
      <c r="B6474" t="s">
        <v>15581</v>
      </c>
      <c r="C6474" t="s">
        <v>30</v>
      </c>
      <c r="G6474" t="s">
        <v>15582</v>
      </c>
      <c r="H6474" t="s">
        <v>2289</v>
      </c>
      <c r="I6474" t="s">
        <v>71</v>
      </c>
      <c r="J6474">
        <v>80020</v>
      </c>
      <c r="K6474">
        <v>1151</v>
      </c>
      <c r="L6474" t="s">
        <v>23</v>
      </c>
      <c r="M6474" t="s">
        <v>15582</v>
      </c>
      <c r="N6474" t="s">
        <v>2289</v>
      </c>
      <c r="O6474" t="s">
        <v>71</v>
      </c>
      <c r="P6474">
        <v>80020</v>
      </c>
      <c r="Q6474">
        <v>1151</v>
      </c>
      <c r="R6474" t="s">
        <v>23</v>
      </c>
      <c r="S6474" s="1" t="s">
        <v>34218</v>
      </c>
    </row>
    <row r="6475" spans="1:19" x14ac:dyDescent="0.25">
      <c r="A6475">
        <v>101365574</v>
      </c>
      <c r="B6475" t="s">
        <v>15583</v>
      </c>
      <c r="C6475" t="s">
        <v>1612</v>
      </c>
      <c r="G6475" t="s">
        <v>15584</v>
      </c>
      <c r="H6475" t="s">
        <v>75</v>
      </c>
      <c r="I6475" t="s">
        <v>22</v>
      </c>
      <c r="J6475">
        <v>94558</v>
      </c>
      <c r="K6475">
        <v>9575</v>
      </c>
      <c r="L6475" t="s">
        <v>23</v>
      </c>
      <c r="M6475" t="s">
        <v>15584</v>
      </c>
      <c r="N6475" t="s">
        <v>75</v>
      </c>
      <c r="O6475" t="s">
        <v>22</v>
      </c>
      <c r="P6475">
        <v>94558</v>
      </c>
      <c r="Q6475">
        <v>9575</v>
      </c>
      <c r="R6475" t="s">
        <v>23</v>
      </c>
      <c r="S6475" s="1" t="s">
        <v>34218</v>
      </c>
    </row>
    <row r="6476" spans="1:19" x14ac:dyDescent="0.25">
      <c r="A6476">
        <v>101365577</v>
      </c>
      <c r="B6476" t="s">
        <v>15585</v>
      </c>
      <c r="C6476" t="s">
        <v>1153</v>
      </c>
      <c r="G6476" t="s">
        <v>15586</v>
      </c>
      <c r="H6476" t="s">
        <v>380</v>
      </c>
      <c r="I6476" t="s">
        <v>38</v>
      </c>
      <c r="J6476">
        <v>75248</v>
      </c>
      <c r="K6476">
        <v>2119</v>
      </c>
      <c r="L6476" t="s">
        <v>23</v>
      </c>
      <c r="M6476" t="s">
        <v>15586</v>
      </c>
      <c r="N6476" t="s">
        <v>380</v>
      </c>
      <c r="O6476" t="s">
        <v>38</v>
      </c>
      <c r="P6476">
        <v>75248</v>
      </c>
      <c r="Q6476">
        <v>2119</v>
      </c>
      <c r="R6476" t="s">
        <v>23</v>
      </c>
      <c r="S6476" s="1" t="s">
        <v>34218</v>
      </c>
    </row>
    <row r="6477" spans="1:19" x14ac:dyDescent="0.25">
      <c r="A6477">
        <v>101365205</v>
      </c>
      <c r="B6477" t="s">
        <v>6289</v>
      </c>
      <c r="C6477" t="s">
        <v>30</v>
      </c>
      <c r="G6477" t="s">
        <v>15587</v>
      </c>
      <c r="H6477" t="s">
        <v>2762</v>
      </c>
      <c r="I6477" t="s">
        <v>43</v>
      </c>
      <c r="J6477">
        <v>97439</v>
      </c>
      <c r="K6477">
        <v>8658</v>
      </c>
      <c r="L6477" t="s">
        <v>23</v>
      </c>
      <c r="M6477" t="s">
        <v>15587</v>
      </c>
      <c r="N6477" t="s">
        <v>2762</v>
      </c>
      <c r="O6477" t="s">
        <v>43</v>
      </c>
      <c r="P6477">
        <v>97439</v>
      </c>
      <c r="Q6477">
        <v>8658</v>
      </c>
      <c r="R6477" t="s">
        <v>23</v>
      </c>
      <c r="S6477" s="1" t="s">
        <v>34218</v>
      </c>
    </row>
    <row r="6478" spans="1:19" x14ac:dyDescent="0.25">
      <c r="A6478">
        <v>101366548</v>
      </c>
      <c r="B6478" t="s">
        <v>166</v>
      </c>
      <c r="C6478" t="s">
        <v>2405</v>
      </c>
      <c r="F6478" t="str">
        <f>"8474520039"</f>
        <v>8474520039</v>
      </c>
      <c r="G6478" t="s">
        <v>15588</v>
      </c>
      <c r="H6478" t="s">
        <v>198</v>
      </c>
      <c r="I6478" t="s">
        <v>22</v>
      </c>
      <c r="J6478">
        <v>92131</v>
      </c>
      <c r="K6478">
        <v>1721</v>
      </c>
      <c r="L6478" t="s">
        <v>23</v>
      </c>
      <c r="M6478" t="s">
        <v>15588</v>
      </c>
      <c r="N6478" t="s">
        <v>198</v>
      </c>
      <c r="O6478" t="s">
        <v>22</v>
      </c>
      <c r="P6478">
        <v>92131</v>
      </c>
      <c r="Q6478">
        <v>1721</v>
      </c>
      <c r="R6478" t="s">
        <v>23</v>
      </c>
      <c r="S6478" s="1" t="s">
        <v>34218</v>
      </c>
    </row>
    <row r="6479" spans="1:19" x14ac:dyDescent="0.25">
      <c r="A6479">
        <v>101378753</v>
      </c>
      <c r="B6479" t="s">
        <v>15589</v>
      </c>
      <c r="C6479" t="s">
        <v>699</v>
      </c>
      <c r="G6479" t="s">
        <v>15590</v>
      </c>
      <c r="H6479" t="s">
        <v>6995</v>
      </c>
      <c r="I6479" t="s">
        <v>33</v>
      </c>
      <c r="J6479">
        <v>19036</v>
      </c>
      <c r="K6479">
        <v>1018</v>
      </c>
      <c r="L6479" t="s">
        <v>23</v>
      </c>
      <c r="M6479" t="s">
        <v>15590</v>
      </c>
      <c r="N6479" t="s">
        <v>6995</v>
      </c>
      <c r="O6479" t="s">
        <v>33</v>
      </c>
      <c r="P6479">
        <v>19036</v>
      </c>
      <c r="Q6479">
        <v>1018</v>
      </c>
      <c r="R6479" t="s">
        <v>23</v>
      </c>
      <c r="S6479" s="1" t="s">
        <v>34218</v>
      </c>
    </row>
    <row r="6480" spans="1:19" x14ac:dyDescent="0.25">
      <c r="A6480">
        <v>101433316</v>
      </c>
      <c r="B6480" t="s">
        <v>15591</v>
      </c>
      <c r="C6480" t="s">
        <v>54</v>
      </c>
      <c r="G6480" t="s">
        <v>15592</v>
      </c>
      <c r="H6480" t="s">
        <v>1867</v>
      </c>
      <c r="I6480" t="s">
        <v>33</v>
      </c>
      <c r="J6480">
        <v>17042</v>
      </c>
      <c r="K6480">
        <v>6812</v>
      </c>
      <c r="L6480" t="s">
        <v>23</v>
      </c>
      <c r="M6480" t="s">
        <v>15592</v>
      </c>
      <c r="N6480" t="s">
        <v>1867</v>
      </c>
      <c r="O6480" t="s">
        <v>33</v>
      </c>
      <c r="P6480">
        <v>17042</v>
      </c>
      <c r="Q6480">
        <v>6812</v>
      </c>
      <c r="R6480" t="s">
        <v>23</v>
      </c>
      <c r="S6480" s="1" t="s">
        <v>34218</v>
      </c>
    </row>
    <row r="6481" spans="1:19" x14ac:dyDescent="0.25">
      <c r="A6481">
        <v>101247189</v>
      </c>
      <c r="B6481" t="s">
        <v>15593</v>
      </c>
      <c r="C6481" t="s">
        <v>15594</v>
      </c>
      <c r="G6481" t="s">
        <v>15595</v>
      </c>
      <c r="H6481" t="s">
        <v>15596</v>
      </c>
      <c r="I6481" t="s">
        <v>135</v>
      </c>
      <c r="J6481">
        <v>60707</v>
      </c>
      <c r="K6481">
        <v>3506</v>
      </c>
      <c r="L6481" t="s">
        <v>23</v>
      </c>
      <c r="M6481" t="s">
        <v>15595</v>
      </c>
      <c r="N6481" t="s">
        <v>15596</v>
      </c>
      <c r="O6481" t="s">
        <v>135</v>
      </c>
      <c r="P6481">
        <v>60707</v>
      </c>
      <c r="Q6481">
        <v>3506</v>
      </c>
      <c r="R6481" t="s">
        <v>23</v>
      </c>
      <c r="S6481" s="1" t="s">
        <v>34218</v>
      </c>
    </row>
    <row r="6482" spans="1:19" x14ac:dyDescent="0.25">
      <c r="A6482">
        <v>101432357</v>
      </c>
      <c r="B6482" t="s">
        <v>15597</v>
      </c>
      <c r="C6482" t="s">
        <v>15485</v>
      </c>
      <c r="G6482" t="s">
        <v>15598</v>
      </c>
      <c r="H6482" t="s">
        <v>4177</v>
      </c>
      <c r="I6482" t="s">
        <v>33</v>
      </c>
      <c r="J6482">
        <v>17837</v>
      </c>
      <c r="K6482">
        <v>1744</v>
      </c>
      <c r="L6482" t="s">
        <v>23</v>
      </c>
      <c r="M6482" t="s">
        <v>15598</v>
      </c>
      <c r="N6482" t="s">
        <v>4177</v>
      </c>
      <c r="O6482" t="s">
        <v>33</v>
      </c>
      <c r="P6482">
        <v>17837</v>
      </c>
      <c r="Q6482">
        <v>1744</v>
      </c>
      <c r="R6482" t="s">
        <v>23</v>
      </c>
      <c r="S6482" s="1" t="s">
        <v>34218</v>
      </c>
    </row>
    <row r="6483" spans="1:19" x14ac:dyDescent="0.25">
      <c r="A6483">
        <v>101295957</v>
      </c>
      <c r="B6483" t="s">
        <v>1082</v>
      </c>
      <c r="C6483" t="s">
        <v>846</v>
      </c>
      <c r="G6483" t="s">
        <v>15599</v>
      </c>
      <c r="H6483" t="s">
        <v>14558</v>
      </c>
      <c r="I6483" t="s">
        <v>38</v>
      </c>
      <c r="J6483">
        <v>77539</v>
      </c>
      <c r="K6483">
        <v>9253</v>
      </c>
      <c r="L6483" t="s">
        <v>23</v>
      </c>
      <c r="M6483" t="s">
        <v>15599</v>
      </c>
      <c r="N6483" t="s">
        <v>14558</v>
      </c>
      <c r="O6483" t="s">
        <v>38</v>
      </c>
      <c r="P6483">
        <v>77539</v>
      </c>
      <c r="Q6483">
        <v>9253</v>
      </c>
      <c r="R6483" t="s">
        <v>23</v>
      </c>
      <c r="S6483" s="1" t="s">
        <v>34218</v>
      </c>
    </row>
    <row r="6484" spans="1:19" x14ac:dyDescent="0.25">
      <c r="A6484">
        <v>101033946</v>
      </c>
      <c r="B6484" t="s">
        <v>15600</v>
      </c>
      <c r="C6484" t="s">
        <v>274</v>
      </c>
      <c r="G6484" t="s">
        <v>15601</v>
      </c>
      <c r="H6484" t="s">
        <v>8296</v>
      </c>
      <c r="I6484" t="s">
        <v>984</v>
      </c>
      <c r="J6484">
        <v>96753</v>
      </c>
      <c r="K6484">
        <v>9232</v>
      </c>
      <c r="L6484" t="s">
        <v>23</v>
      </c>
      <c r="M6484" t="s">
        <v>15601</v>
      </c>
      <c r="N6484" t="s">
        <v>8296</v>
      </c>
      <c r="O6484" t="s">
        <v>984</v>
      </c>
      <c r="P6484">
        <v>96753</v>
      </c>
      <c r="Q6484">
        <v>9232</v>
      </c>
      <c r="R6484" t="s">
        <v>23</v>
      </c>
      <c r="S6484" s="1" t="s">
        <v>34218</v>
      </c>
    </row>
    <row r="6485" spans="1:19" x14ac:dyDescent="0.25">
      <c r="A6485">
        <v>101449454</v>
      </c>
      <c r="B6485" t="s">
        <v>15602</v>
      </c>
      <c r="C6485" t="s">
        <v>15603</v>
      </c>
      <c r="G6485" t="s">
        <v>15604</v>
      </c>
      <c r="H6485" t="s">
        <v>653</v>
      </c>
      <c r="I6485" t="s">
        <v>117</v>
      </c>
      <c r="J6485">
        <v>10128</v>
      </c>
      <c r="K6485">
        <v>3613</v>
      </c>
      <c r="L6485" t="s">
        <v>23</v>
      </c>
      <c r="M6485" t="s">
        <v>15604</v>
      </c>
      <c r="N6485" t="s">
        <v>653</v>
      </c>
      <c r="O6485" t="s">
        <v>117</v>
      </c>
      <c r="P6485">
        <v>10128</v>
      </c>
      <c r="Q6485">
        <v>3613</v>
      </c>
      <c r="R6485" t="s">
        <v>23</v>
      </c>
      <c r="S6485" s="1" t="s">
        <v>34218</v>
      </c>
    </row>
    <row r="6486" spans="1:19" x14ac:dyDescent="0.25">
      <c r="A6486">
        <v>101078915</v>
      </c>
      <c r="B6486" t="s">
        <v>15605</v>
      </c>
      <c r="C6486" t="s">
        <v>8578</v>
      </c>
      <c r="G6486" t="s">
        <v>15606</v>
      </c>
      <c r="H6486" t="s">
        <v>15607</v>
      </c>
      <c r="I6486" t="s">
        <v>33</v>
      </c>
      <c r="J6486">
        <v>15773</v>
      </c>
      <c r="L6486" t="s">
        <v>23</v>
      </c>
      <c r="M6486" t="s">
        <v>15606</v>
      </c>
      <c r="N6486" t="s">
        <v>15607</v>
      </c>
      <c r="O6486" t="s">
        <v>33</v>
      </c>
      <c r="P6486">
        <v>15773</v>
      </c>
      <c r="R6486" t="s">
        <v>23</v>
      </c>
      <c r="S6486" s="1" t="s">
        <v>34218</v>
      </c>
    </row>
    <row r="6487" spans="1:19" x14ac:dyDescent="0.25">
      <c r="A6487">
        <v>101437896</v>
      </c>
      <c r="B6487" t="s">
        <v>15608</v>
      </c>
      <c r="C6487" t="s">
        <v>1731</v>
      </c>
      <c r="G6487" t="s">
        <v>15609</v>
      </c>
      <c r="H6487" t="s">
        <v>15610</v>
      </c>
      <c r="I6487" t="s">
        <v>22</v>
      </c>
      <c r="J6487">
        <v>93527</v>
      </c>
      <c r="K6487">
        <v>3228</v>
      </c>
      <c r="L6487" t="s">
        <v>23</v>
      </c>
      <c r="M6487" t="s">
        <v>15609</v>
      </c>
      <c r="N6487" t="s">
        <v>15610</v>
      </c>
      <c r="O6487" t="s">
        <v>22</v>
      </c>
      <c r="P6487">
        <v>93527</v>
      </c>
      <c r="Q6487">
        <v>3228</v>
      </c>
      <c r="R6487" t="s">
        <v>23</v>
      </c>
      <c r="S6487" s="1" t="s">
        <v>34218</v>
      </c>
    </row>
    <row r="6488" spans="1:19" x14ac:dyDescent="0.25">
      <c r="A6488">
        <v>101272779</v>
      </c>
      <c r="B6488" t="s">
        <v>15611</v>
      </c>
      <c r="C6488" t="s">
        <v>209</v>
      </c>
      <c r="G6488" t="s">
        <v>15612</v>
      </c>
      <c r="H6488" t="s">
        <v>2178</v>
      </c>
      <c r="I6488" t="s">
        <v>187</v>
      </c>
      <c r="J6488">
        <v>55811</v>
      </c>
      <c r="K6488">
        <v>2536</v>
      </c>
      <c r="L6488" t="s">
        <v>23</v>
      </c>
      <c r="M6488" t="s">
        <v>15612</v>
      </c>
      <c r="N6488" t="s">
        <v>2178</v>
      </c>
      <c r="O6488" t="s">
        <v>187</v>
      </c>
      <c r="P6488">
        <v>55811</v>
      </c>
      <c r="Q6488">
        <v>2536</v>
      </c>
      <c r="R6488" t="s">
        <v>23</v>
      </c>
      <c r="S6488" s="1" t="s">
        <v>34218</v>
      </c>
    </row>
    <row r="6489" spans="1:19" x14ac:dyDescent="0.25">
      <c r="A6489">
        <v>101434920</v>
      </c>
      <c r="B6489" t="s">
        <v>281</v>
      </c>
      <c r="C6489" t="s">
        <v>200</v>
      </c>
      <c r="G6489" t="s">
        <v>15613</v>
      </c>
      <c r="H6489" t="s">
        <v>13111</v>
      </c>
      <c r="I6489" t="s">
        <v>22</v>
      </c>
      <c r="J6489">
        <v>91604</v>
      </c>
      <c r="K6489">
        <v>4505</v>
      </c>
      <c r="L6489" t="s">
        <v>23</v>
      </c>
      <c r="M6489" t="s">
        <v>15613</v>
      </c>
      <c r="N6489" t="s">
        <v>13111</v>
      </c>
      <c r="O6489" t="s">
        <v>22</v>
      </c>
      <c r="P6489">
        <v>91604</v>
      </c>
      <c r="Q6489">
        <v>4505</v>
      </c>
      <c r="R6489" t="s">
        <v>23</v>
      </c>
      <c r="S6489" s="1" t="s">
        <v>34218</v>
      </c>
    </row>
    <row r="6490" spans="1:19" x14ac:dyDescent="0.25">
      <c r="A6490">
        <v>100634236</v>
      </c>
      <c r="B6490" t="s">
        <v>15614</v>
      </c>
      <c r="C6490" t="s">
        <v>1835</v>
      </c>
      <c r="G6490" t="s">
        <v>15615</v>
      </c>
      <c r="H6490" t="s">
        <v>14043</v>
      </c>
      <c r="I6490" t="s">
        <v>84</v>
      </c>
      <c r="J6490">
        <v>98275</v>
      </c>
      <c r="K6490">
        <v>4835</v>
      </c>
      <c r="L6490" t="s">
        <v>23</v>
      </c>
      <c r="M6490" t="s">
        <v>15615</v>
      </c>
      <c r="N6490" t="s">
        <v>14043</v>
      </c>
      <c r="O6490" t="s">
        <v>84</v>
      </c>
      <c r="P6490">
        <v>98275</v>
      </c>
      <c r="Q6490">
        <v>4835</v>
      </c>
      <c r="R6490" t="s">
        <v>23</v>
      </c>
      <c r="S6490" s="1" t="s">
        <v>34218</v>
      </c>
    </row>
    <row r="6491" spans="1:19" x14ac:dyDescent="0.25">
      <c r="A6491">
        <v>101446773</v>
      </c>
      <c r="B6491" t="s">
        <v>15616</v>
      </c>
      <c r="C6491" t="s">
        <v>15617</v>
      </c>
      <c r="G6491" t="s">
        <v>15618</v>
      </c>
      <c r="H6491" t="s">
        <v>56</v>
      </c>
      <c r="I6491" t="s">
        <v>57</v>
      </c>
      <c r="J6491">
        <v>46825</v>
      </c>
      <c r="K6491">
        <v>6572</v>
      </c>
      <c r="L6491" t="s">
        <v>23</v>
      </c>
      <c r="M6491" t="s">
        <v>15618</v>
      </c>
      <c r="N6491" t="s">
        <v>56</v>
      </c>
      <c r="O6491" t="s">
        <v>57</v>
      </c>
      <c r="P6491">
        <v>46825</v>
      </c>
      <c r="Q6491">
        <v>6572</v>
      </c>
      <c r="R6491" t="s">
        <v>23</v>
      </c>
      <c r="S6491" s="1" t="s">
        <v>34218</v>
      </c>
    </row>
    <row r="6492" spans="1:19" x14ac:dyDescent="0.25">
      <c r="A6492">
        <v>100880017</v>
      </c>
      <c r="B6492" t="s">
        <v>4089</v>
      </c>
      <c r="C6492" t="s">
        <v>313</v>
      </c>
      <c r="G6492" t="s">
        <v>15619</v>
      </c>
      <c r="H6492" t="s">
        <v>99</v>
      </c>
      <c r="I6492" t="s">
        <v>100</v>
      </c>
      <c r="J6492">
        <v>53545</v>
      </c>
      <c r="K6492">
        <v>4351</v>
      </c>
      <c r="L6492" t="s">
        <v>23</v>
      </c>
      <c r="M6492" t="s">
        <v>15619</v>
      </c>
      <c r="N6492" t="s">
        <v>99</v>
      </c>
      <c r="O6492" t="s">
        <v>100</v>
      </c>
      <c r="P6492">
        <v>53545</v>
      </c>
      <c r="Q6492">
        <v>4351</v>
      </c>
      <c r="R6492" t="s">
        <v>23</v>
      </c>
      <c r="S6492" s="1" t="s">
        <v>34218</v>
      </c>
    </row>
    <row r="6493" spans="1:19" x14ac:dyDescent="0.25">
      <c r="A6493">
        <v>101387886</v>
      </c>
      <c r="B6493" t="s">
        <v>15620</v>
      </c>
      <c r="C6493" t="s">
        <v>1205</v>
      </c>
      <c r="G6493" t="s">
        <v>15621</v>
      </c>
      <c r="H6493" t="s">
        <v>15622</v>
      </c>
      <c r="I6493" t="s">
        <v>353</v>
      </c>
      <c r="J6493">
        <v>3053</v>
      </c>
      <c r="K6493">
        <v>2634</v>
      </c>
      <c r="L6493" t="s">
        <v>23</v>
      </c>
      <c r="M6493" t="s">
        <v>15621</v>
      </c>
      <c r="N6493" t="s">
        <v>15622</v>
      </c>
      <c r="O6493" t="s">
        <v>353</v>
      </c>
      <c r="P6493">
        <v>3053</v>
      </c>
      <c r="Q6493">
        <v>2634</v>
      </c>
      <c r="R6493" t="s">
        <v>23</v>
      </c>
      <c r="S6493" s="1" t="s">
        <v>34218</v>
      </c>
    </row>
    <row r="6494" spans="1:19" x14ac:dyDescent="0.25">
      <c r="A6494">
        <v>101434283</v>
      </c>
      <c r="B6494" t="s">
        <v>15623</v>
      </c>
      <c r="C6494" t="s">
        <v>15624</v>
      </c>
      <c r="G6494" t="s">
        <v>15625</v>
      </c>
      <c r="H6494" t="s">
        <v>15626</v>
      </c>
      <c r="I6494" t="s">
        <v>22</v>
      </c>
      <c r="J6494">
        <v>93436</v>
      </c>
      <c r="K6494">
        <v>9606</v>
      </c>
      <c r="L6494" t="s">
        <v>23</v>
      </c>
      <c r="M6494" t="s">
        <v>15625</v>
      </c>
      <c r="N6494" t="s">
        <v>15626</v>
      </c>
      <c r="O6494" t="s">
        <v>22</v>
      </c>
      <c r="P6494">
        <v>93436</v>
      </c>
      <c r="Q6494">
        <v>9606</v>
      </c>
      <c r="R6494" t="s">
        <v>23</v>
      </c>
      <c r="S6494" s="1" t="s">
        <v>34218</v>
      </c>
    </row>
    <row r="6495" spans="1:19" x14ac:dyDescent="0.25">
      <c r="A6495">
        <v>101430529</v>
      </c>
      <c r="B6495" t="s">
        <v>1581</v>
      </c>
      <c r="C6495" t="s">
        <v>1161</v>
      </c>
      <c r="G6495" t="s">
        <v>15627</v>
      </c>
      <c r="H6495" t="s">
        <v>15628</v>
      </c>
      <c r="I6495" t="s">
        <v>370</v>
      </c>
      <c r="J6495">
        <v>68372</v>
      </c>
      <c r="K6495">
        <v>9631</v>
      </c>
      <c r="L6495" t="s">
        <v>23</v>
      </c>
      <c r="M6495" t="s">
        <v>15627</v>
      </c>
      <c r="N6495" t="s">
        <v>15628</v>
      </c>
      <c r="O6495" t="s">
        <v>370</v>
      </c>
      <c r="P6495">
        <v>68372</v>
      </c>
      <c r="Q6495">
        <v>9631</v>
      </c>
      <c r="R6495" t="s">
        <v>23</v>
      </c>
      <c r="S6495" s="1" t="s">
        <v>34218</v>
      </c>
    </row>
    <row r="6496" spans="1:19" x14ac:dyDescent="0.25">
      <c r="A6496">
        <v>101033236</v>
      </c>
      <c r="B6496" t="s">
        <v>15629</v>
      </c>
      <c r="C6496" t="s">
        <v>436</v>
      </c>
      <c r="G6496" t="s">
        <v>15630</v>
      </c>
      <c r="H6496" t="s">
        <v>15631</v>
      </c>
      <c r="I6496" t="s">
        <v>38</v>
      </c>
      <c r="J6496">
        <v>78734</v>
      </c>
      <c r="K6496">
        <v>3844</v>
      </c>
      <c r="L6496" t="s">
        <v>23</v>
      </c>
      <c r="M6496" t="s">
        <v>15630</v>
      </c>
      <c r="N6496" t="s">
        <v>15631</v>
      </c>
      <c r="O6496" t="s">
        <v>38</v>
      </c>
      <c r="P6496">
        <v>78734</v>
      </c>
      <c r="Q6496">
        <v>3844</v>
      </c>
      <c r="R6496" t="s">
        <v>23</v>
      </c>
      <c r="S6496" s="1" t="s">
        <v>34218</v>
      </c>
    </row>
    <row r="6497" spans="1:19" x14ac:dyDescent="0.25">
      <c r="A6497">
        <v>101308551</v>
      </c>
      <c r="B6497" t="s">
        <v>8868</v>
      </c>
      <c r="C6497" t="s">
        <v>2873</v>
      </c>
      <c r="G6497" t="s">
        <v>15632</v>
      </c>
      <c r="H6497" t="s">
        <v>4415</v>
      </c>
      <c r="I6497" t="s">
        <v>565</v>
      </c>
      <c r="J6497">
        <v>50009</v>
      </c>
      <c r="K6497">
        <v>2437</v>
      </c>
      <c r="L6497" t="s">
        <v>23</v>
      </c>
      <c r="M6497" t="s">
        <v>15632</v>
      </c>
      <c r="N6497" t="s">
        <v>4415</v>
      </c>
      <c r="O6497" t="s">
        <v>565</v>
      </c>
      <c r="P6497">
        <v>50009</v>
      </c>
      <c r="Q6497">
        <v>2437</v>
      </c>
      <c r="R6497" t="s">
        <v>23</v>
      </c>
      <c r="S6497" s="1" t="s">
        <v>34218</v>
      </c>
    </row>
    <row r="6498" spans="1:19" x14ac:dyDescent="0.25">
      <c r="A6498">
        <v>100515623</v>
      </c>
      <c r="B6498" t="s">
        <v>3625</v>
      </c>
      <c r="C6498" t="s">
        <v>15633</v>
      </c>
      <c r="G6498" t="s">
        <v>15634</v>
      </c>
      <c r="H6498" t="s">
        <v>4235</v>
      </c>
      <c r="I6498" t="s">
        <v>984</v>
      </c>
      <c r="J6498">
        <v>96813</v>
      </c>
      <c r="K6498">
        <v>1379</v>
      </c>
      <c r="L6498" t="s">
        <v>23</v>
      </c>
      <c r="M6498" t="s">
        <v>15634</v>
      </c>
      <c r="N6498" t="s">
        <v>4235</v>
      </c>
      <c r="O6498" t="s">
        <v>984</v>
      </c>
      <c r="P6498">
        <v>96813</v>
      </c>
      <c r="Q6498">
        <v>1379</v>
      </c>
      <c r="R6498" t="s">
        <v>23</v>
      </c>
      <c r="S6498" s="1" t="s">
        <v>34218</v>
      </c>
    </row>
    <row r="6499" spans="1:19" x14ac:dyDescent="0.25">
      <c r="A6499">
        <v>101446936</v>
      </c>
      <c r="B6499" t="s">
        <v>15635</v>
      </c>
      <c r="C6499" t="s">
        <v>119</v>
      </c>
      <c r="G6499" t="s">
        <v>15636</v>
      </c>
      <c r="H6499" t="s">
        <v>380</v>
      </c>
      <c r="I6499" t="s">
        <v>38</v>
      </c>
      <c r="J6499">
        <v>75220</v>
      </c>
      <c r="K6499">
        <v>2156</v>
      </c>
      <c r="L6499" t="s">
        <v>23</v>
      </c>
      <c r="M6499" t="s">
        <v>15636</v>
      </c>
      <c r="N6499" t="s">
        <v>380</v>
      </c>
      <c r="O6499" t="s">
        <v>38</v>
      </c>
      <c r="P6499">
        <v>75220</v>
      </c>
      <c r="Q6499">
        <v>2156</v>
      </c>
      <c r="R6499" t="s">
        <v>23</v>
      </c>
      <c r="S6499" s="1" t="s">
        <v>34218</v>
      </c>
    </row>
    <row r="6500" spans="1:19" x14ac:dyDescent="0.25">
      <c r="A6500">
        <v>101303181</v>
      </c>
      <c r="B6500" t="s">
        <v>6104</v>
      </c>
      <c r="C6500" t="s">
        <v>5110</v>
      </c>
      <c r="G6500" t="s">
        <v>15637</v>
      </c>
      <c r="H6500" t="s">
        <v>2684</v>
      </c>
      <c r="I6500" t="s">
        <v>22</v>
      </c>
      <c r="J6500">
        <v>94901</v>
      </c>
      <c r="K6500">
        <v>4467</v>
      </c>
      <c r="L6500" t="s">
        <v>23</v>
      </c>
      <c r="M6500" t="s">
        <v>15637</v>
      </c>
      <c r="N6500" t="s">
        <v>2684</v>
      </c>
      <c r="O6500" t="s">
        <v>22</v>
      </c>
      <c r="P6500">
        <v>94901</v>
      </c>
      <c r="Q6500">
        <v>4467</v>
      </c>
      <c r="R6500" t="s">
        <v>23</v>
      </c>
      <c r="S6500" s="1" t="s">
        <v>34218</v>
      </c>
    </row>
    <row r="6501" spans="1:19" x14ac:dyDescent="0.25">
      <c r="A6501">
        <v>101078470</v>
      </c>
      <c r="B6501" t="s">
        <v>15638</v>
      </c>
      <c r="C6501" t="s">
        <v>1865</v>
      </c>
      <c r="H6501" t="s">
        <v>15639</v>
      </c>
      <c r="I6501" t="s">
        <v>662</v>
      </c>
      <c r="J6501">
        <v>2896</v>
      </c>
      <c r="L6501" t="s">
        <v>23</v>
      </c>
      <c r="N6501" t="s">
        <v>15639</v>
      </c>
      <c r="O6501" t="s">
        <v>662</v>
      </c>
      <c r="P6501">
        <v>2896</v>
      </c>
      <c r="R6501" t="s">
        <v>23</v>
      </c>
      <c r="S6501" s="1" t="s">
        <v>34218</v>
      </c>
    </row>
    <row r="6502" spans="1:19" x14ac:dyDescent="0.25">
      <c r="A6502">
        <v>100924708</v>
      </c>
      <c r="B6502" t="s">
        <v>15640</v>
      </c>
      <c r="C6502" t="s">
        <v>313</v>
      </c>
      <c r="F6502" t="str">
        <f>"9169441308"</f>
        <v>9169441308</v>
      </c>
      <c r="G6502" t="s">
        <v>15641</v>
      </c>
      <c r="H6502" t="s">
        <v>481</v>
      </c>
      <c r="I6502" t="s">
        <v>22</v>
      </c>
      <c r="J6502">
        <v>95120</v>
      </c>
      <c r="K6502">
        <v>5918</v>
      </c>
      <c r="L6502" t="s">
        <v>23</v>
      </c>
      <c r="M6502" t="s">
        <v>15641</v>
      </c>
      <c r="N6502" t="s">
        <v>481</v>
      </c>
      <c r="O6502" t="s">
        <v>22</v>
      </c>
      <c r="P6502">
        <v>95120</v>
      </c>
      <c r="Q6502">
        <v>5918</v>
      </c>
      <c r="R6502" t="s">
        <v>23</v>
      </c>
      <c r="S6502" s="1" t="s">
        <v>34218</v>
      </c>
    </row>
    <row r="6503" spans="1:19" x14ac:dyDescent="0.25">
      <c r="A6503">
        <v>101406990</v>
      </c>
      <c r="B6503" t="s">
        <v>15642</v>
      </c>
      <c r="C6503" t="s">
        <v>513</v>
      </c>
      <c r="G6503" t="s">
        <v>15643</v>
      </c>
      <c r="H6503" t="s">
        <v>3385</v>
      </c>
      <c r="I6503" t="s">
        <v>236</v>
      </c>
      <c r="J6503">
        <v>2139</v>
      </c>
      <c r="K6503">
        <v>4738</v>
      </c>
      <c r="L6503" t="s">
        <v>23</v>
      </c>
      <c r="M6503" t="s">
        <v>15643</v>
      </c>
      <c r="N6503" t="s">
        <v>3385</v>
      </c>
      <c r="O6503" t="s">
        <v>236</v>
      </c>
      <c r="P6503">
        <v>2139</v>
      </c>
      <c r="Q6503">
        <v>4738</v>
      </c>
      <c r="R6503" t="s">
        <v>23</v>
      </c>
      <c r="S6503" s="1" t="s">
        <v>34218</v>
      </c>
    </row>
    <row r="6504" spans="1:19" x14ac:dyDescent="0.25">
      <c r="A6504">
        <v>101086235</v>
      </c>
      <c r="B6504" t="s">
        <v>14153</v>
      </c>
      <c r="C6504" t="s">
        <v>1205</v>
      </c>
      <c r="G6504" t="s">
        <v>15644</v>
      </c>
      <c r="H6504" t="s">
        <v>1170</v>
      </c>
      <c r="I6504" t="s">
        <v>135</v>
      </c>
      <c r="J6504">
        <v>60515</v>
      </c>
      <c r="K6504">
        <v>2753</v>
      </c>
      <c r="L6504" t="s">
        <v>23</v>
      </c>
      <c r="M6504" t="s">
        <v>15644</v>
      </c>
      <c r="N6504" t="s">
        <v>1170</v>
      </c>
      <c r="O6504" t="s">
        <v>135</v>
      </c>
      <c r="P6504">
        <v>60515</v>
      </c>
      <c r="Q6504">
        <v>2753</v>
      </c>
      <c r="R6504" t="s">
        <v>23</v>
      </c>
      <c r="S6504" s="1" t="s">
        <v>34218</v>
      </c>
    </row>
    <row r="6505" spans="1:19" x14ac:dyDescent="0.25">
      <c r="A6505">
        <v>101252033</v>
      </c>
      <c r="B6505" t="s">
        <v>15645</v>
      </c>
      <c r="C6505" t="s">
        <v>9405</v>
      </c>
      <c r="G6505" t="s">
        <v>15646</v>
      </c>
      <c r="H6505" t="s">
        <v>11654</v>
      </c>
      <c r="I6505" t="s">
        <v>33</v>
      </c>
      <c r="J6505">
        <v>19446</v>
      </c>
      <c r="K6505">
        <v>4865</v>
      </c>
      <c r="L6505" t="s">
        <v>23</v>
      </c>
      <c r="M6505" t="s">
        <v>15646</v>
      </c>
      <c r="N6505" t="s">
        <v>11654</v>
      </c>
      <c r="O6505" t="s">
        <v>33</v>
      </c>
      <c r="P6505">
        <v>19446</v>
      </c>
      <c r="Q6505">
        <v>4865</v>
      </c>
      <c r="R6505" t="s">
        <v>23</v>
      </c>
      <c r="S6505" s="1" t="s">
        <v>34218</v>
      </c>
    </row>
    <row r="6506" spans="1:19" x14ac:dyDescent="0.25">
      <c r="A6506">
        <v>101423786</v>
      </c>
      <c r="B6506" t="s">
        <v>3494</v>
      </c>
      <c r="C6506" t="s">
        <v>12109</v>
      </c>
      <c r="G6506" t="s">
        <v>15647</v>
      </c>
      <c r="H6506" t="s">
        <v>569</v>
      </c>
      <c r="I6506" t="s">
        <v>187</v>
      </c>
      <c r="J6506">
        <v>55415</v>
      </c>
      <c r="K6506">
        <v>1268</v>
      </c>
      <c r="L6506" t="s">
        <v>23</v>
      </c>
      <c r="M6506" t="s">
        <v>15647</v>
      </c>
      <c r="N6506" t="s">
        <v>569</v>
      </c>
      <c r="O6506" t="s">
        <v>187</v>
      </c>
      <c r="P6506">
        <v>55415</v>
      </c>
      <c r="Q6506">
        <v>1268</v>
      </c>
      <c r="R6506" t="s">
        <v>23</v>
      </c>
      <c r="S6506" s="1" t="s">
        <v>34218</v>
      </c>
    </row>
    <row r="6507" spans="1:19" x14ac:dyDescent="0.25">
      <c r="A6507">
        <v>101296181</v>
      </c>
      <c r="B6507" t="s">
        <v>15648</v>
      </c>
      <c r="C6507" t="s">
        <v>15649</v>
      </c>
      <c r="G6507" t="s">
        <v>15650</v>
      </c>
      <c r="H6507" t="s">
        <v>15651</v>
      </c>
      <c r="I6507" t="s">
        <v>565</v>
      </c>
      <c r="J6507">
        <v>50126</v>
      </c>
      <c r="K6507">
        <v>8902</v>
      </c>
      <c r="L6507" t="s">
        <v>23</v>
      </c>
      <c r="M6507" t="s">
        <v>15650</v>
      </c>
      <c r="N6507" t="s">
        <v>15651</v>
      </c>
      <c r="O6507" t="s">
        <v>565</v>
      </c>
      <c r="P6507">
        <v>50126</v>
      </c>
      <c r="Q6507">
        <v>8902</v>
      </c>
      <c r="R6507" t="s">
        <v>23</v>
      </c>
      <c r="S6507" s="1" t="s">
        <v>34218</v>
      </c>
    </row>
    <row r="6508" spans="1:19" x14ac:dyDescent="0.25">
      <c r="A6508">
        <v>101278561</v>
      </c>
      <c r="B6508" t="s">
        <v>15652</v>
      </c>
      <c r="C6508" t="s">
        <v>4982</v>
      </c>
      <c r="F6508" t="str">
        <f>"7204461987"</f>
        <v>7204461987</v>
      </c>
      <c r="G6508" t="s">
        <v>15653</v>
      </c>
      <c r="H6508" t="s">
        <v>393</v>
      </c>
      <c r="I6508" t="s">
        <v>71</v>
      </c>
      <c r="J6508">
        <v>80202</v>
      </c>
      <c r="K6508">
        <v>1315</v>
      </c>
      <c r="L6508" t="s">
        <v>23</v>
      </c>
      <c r="M6508" t="s">
        <v>15653</v>
      </c>
      <c r="N6508" t="s">
        <v>393</v>
      </c>
      <c r="O6508" t="s">
        <v>71</v>
      </c>
      <c r="P6508">
        <v>80202</v>
      </c>
      <c r="Q6508">
        <v>1315</v>
      </c>
      <c r="R6508" t="s">
        <v>23</v>
      </c>
      <c r="S6508" s="1" t="s">
        <v>34218</v>
      </c>
    </row>
    <row r="6509" spans="1:19" x14ac:dyDescent="0.25">
      <c r="A6509">
        <v>101298945</v>
      </c>
      <c r="B6509" t="s">
        <v>15654</v>
      </c>
      <c r="C6509" t="s">
        <v>2037</v>
      </c>
      <c r="G6509" t="s">
        <v>15655</v>
      </c>
      <c r="H6509" t="s">
        <v>4062</v>
      </c>
      <c r="I6509" t="s">
        <v>307</v>
      </c>
      <c r="J6509">
        <v>5468</v>
      </c>
      <c r="K6509">
        <v>4227</v>
      </c>
      <c r="L6509" t="s">
        <v>23</v>
      </c>
      <c r="M6509" t="s">
        <v>15655</v>
      </c>
      <c r="N6509" t="s">
        <v>4062</v>
      </c>
      <c r="O6509" t="s">
        <v>307</v>
      </c>
      <c r="P6509">
        <v>5468</v>
      </c>
      <c r="Q6509">
        <v>4227</v>
      </c>
      <c r="R6509" t="s">
        <v>23</v>
      </c>
      <c r="S6509" s="1" t="s">
        <v>34218</v>
      </c>
    </row>
    <row r="6510" spans="1:19" x14ac:dyDescent="0.25">
      <c r="A6510">
        <v>101301907</v>
      </c>
      <c r="B6510" t="s">
        <v>15656</v>
      </c>
      <c r="C6510" t="s">
        <v>2127</v>
      </c>
      <c r="G6510" t="s">
        <v>15657</v>
      </c>
      <c r="H6510" t="s">
        <v>2208</v>
      </c>
      <c r="I6510" t="s">
        <v>135</v>
      </c>
      <c r="J6510">
        <v>60012</v>
      </c>
      <c r="K6510">
        <v>1926</v>
      </c>
      <c r="L6510" t="s">
        <v>23</v>
      </c>
      <c r="M6510" t="s">
        <v>15657</v>
      </c>
      <c r="N6510" t="s">
        <v>2208</v>
      </c>
      <c r="O6510" t="s">
        <v>135</v>
      </c>
      <c r="P6510">
        <v>60012</v>
      </c>
      <c r="Q6510">
        <v>1926</v>
      </c>
      <c r="R6510" t="s">
        <v>23</v>
      </c>
      <c r="S6510" s="1" t="s">
        <v>34218</v>
      </c>
    </row>
    <row r="6511" spans="1:19" x14ac:dyDescent="0.25">
      <c r="A6511">
        <v>101296599</v>
      </c>
      <c r="B6511" t="s">
        <v>2438</v>
      </c>
      <c r="C6511" t="s">
        <v>644</v>
      </c>
      <c r="G6511" t="s">
        <v>15658</v>
      </c>
      <c r="H6511" t="s">
        <v>1766</v>
      </c>
      <c r="I6511" t="s">
        <v>22</v>
      </c>
      <c r="J6511">
        <v>94590</v>
      </c>
      <c r="K6511">
        <v>6429</v>
      </c>
      <c r="L6511" t="s">
        <v>23</v>
      </c>
      <c r="M6511" t="s">
        <v>15658</v>
      </c>
      <c r="N6511" t="s">
        <v>1766</v>
      </c>
      <c r="O6511" t="s">
        <v>22</v>
      </c>
      <c r="P6511">
        <v>94590</v>
      </c>
      <c r="Q6511">
        <v>6429</v>
      </c>
      <c r="R6511" t="s">
        <v>23</v>
      </c>
      <c r="S6511" s="1" t="s">
        <v>34218</v>
      </c>
    </row>
    <row r="6512" spans="1:19" x14ac:dyDescent="0.25">
      <c r="A6512">
        <v>101296538</v>
      </c>
      <c r="B6512" t="s">
        <v>15659</v>
      </c>
      <c r="C6512" t="s">
        <v>2343</v>
      </c>
      <c r="G6512" t="s">
        <v>15660</v>
      </c>
      <c r="H6512" t="s">
        <v>14454</v>
      </c>
      <c r="I6512" t="s">
        <v>33</v>
      </c>
      <c r="J6512">
        <v>19055</v>
      </c>
      <c r="K6512">
        <v>2106</v>
      </c>
      <c r="L6512" t="s">
        <v>23</v>
      </c>
      <c r="M6512" t="s">
        <v>15660</v>
      </c>
      <c r="N6512" t="s">
        <v>14454</v>
      </c>
      <c r="O6512" t="s">
        <v>33</v>
      </c>
      <c r="P6512">
        <v>19055</v>
      </c>
      <c r="Q6512">
        <v>2106</v>
      </c>
      <c r="R6512" t="s">
        <v>23</v>
      </c>
      <c r="S6512" s="1" t="s">
        <v>34218</v>
      </c>
    </row>
    <row r="6513" spans="1:19" x14ac:dyDescent="0.25">
      <c r="A6513">
        <v>101298033</v>
      </c>
      <c r="B6513" t="s">
        <v>15661</v>
      </c>
      <c r="C6513" t="s">
        <v>15662</v>
      </c>
      <c r="G6513" t="s">
        <v>15663</v>
      </c>
      <c r="H6513" t="s">
        <v>419</v>
      </c>
      <c r="I6513" t="s">
        <v>38</v>
      </c>
      <c r="J6513">
        <v>76108</v>
      </c>
      <c r="K6513">
        <v>8900</v>
      </c>
      <c r="L6513" t="s">
        <v>23</v>
      </c>
      <c r="M6513" t="s">
        <v>15663</v>
      </c>
      <c r="N6513" t="s">
        <v>419</v>
      </c>
      <c r="O6513" t="s">
        <v>38</v>
      </c>
      <c r="P6513">
        <v>76108</v>
      </c>
      <c r="Q6513">
        <v>8900</v>
      </c>
      <c r="R6513" t="s">
        <v>23</v>
      </c>
      <c r="S6513" s="1" t="s">
        <v>34218</v>
      </c>
    </row>
    <row r="6514" spans="1:19" x14ac:dyDescent="0.25">
      <c r="A6514">
        <v>101299767</v>
      </c>
      <c r="B6514" t="s">
        <v>3466</v>
      </c>
      <c r="C6514" t="s">
        <v>15664</v>
      </c>
      <c r="G6514" t="s">
        <v>15665</v>
      </c>
      <c r="H6514" t="s">
        <v>15666</v>
      </c>
      <c r="I6514" t="s">
        <v>1000</v>
      </c>
      <c r="J6514">
        <v>59072</v>
      </c>
      <c r="K6514">
        <v>6840</v>
      </c>
      <c r="L6514" t="s">
        <v>23</v>
      </c>
      <c r="M6514" t="s">
        <v>15665</v>
      </c>
      <c r="N6514" t="s">
        <v>15666</v>
      </c>
      <c r="O6514" t="s">
        <v>1000</v>
      </c>
      <c r="P6514">
        <v>59072</v>
      </c>
      <c r="Q6514">
        <v>6840</v>
      </c>
      <c r="R6514" t="s">
        <v>23</v>
      </c>
      <c r="S6514" s="1" t="s">
        <v>34218</v>
      </c>
    </row>
    <row r="6515" spans="1:19" x14ac:dyDescent="0.25">
      <c r="A6515">
        <v>101301271</v>
      </c>
      <c r="B6515" t="s">
        <v>15667</v>
      </c>
      <c r="C6515" t="s">
        <v>1470</v>
      </c>
      <c r="G6515" t="s">
        <v>15668</v>
      </c>
      <c r="H6515" t="s">
        <v>4062</v>
      </c>
      <c r="I6515" t="s">
        <v>52</v>
      </c>
      <c r="J6515">
        <v>32570</v>
      </c>
      <c r="K6515">
        <v>8822</v>
      </c>
      <c r="L6515" t="s">
        <v>23</v>
      </c>
      <c r="M6515" t="s">
        <v>15668</v>
      </c>
      <c r="N6515" t="s">
        <v>4062</v>
      </c>
      <c r="O6515" t="s">
        <v>52</v>
      </c>
      <c r="P6515">
        <v>32570</v>
      </c>
      <c r="Q6515">
        <v>8822</v>
      </c>
      <c r="R6515" t="s">
        <v>23</v>
      </c>
      <c r="S6515" s="1" t="s">
        <v>34218</v>
      </c>
    </row>
    <row r="6516" spans="1:19" x14ac:dyDescent="0.25">
      <c r="A6516">
        <v>101301050</v>
      </c>
      <c r="B6516" t="s">
        <v>688</v>
      </c>
      <c r="C6516" t="s">
        <v>2741</v>
      </c>
      <c r="G6516" t="s">
        <v>15669</v>
      </c>
      <c r="H6516" t="s">
        <v>15670</v>
      </c>
      <c r="I6516" t="s">
        <v>71</v>
      </c>
      <c r="J6516">
        <v>80106</v>
      </c>
      <c r="K6516">
        <v>7520</v>
      </c>
      <c r="L6516" t="s">
        <v>23</v>
      </c>
      <c r="M6516" t="s">
        <v>15669</v>
      </c>
      <c r="N6516" t="s">
        <v>15670</v>
      </c>
      <c r="O6516" t="s">
        <v>71</v>
      </c>
      <c r="P6516">
        <v>80106</v>
      </c>
      <c r="Q6516">
        <v>7520</v>
      </c>
      <c r="R6516" t="s">
        <v>23</v>
      </c>
      <c r="S6516" s="1" t="s">
        <v>34218</v>
      </c>
    </row>
    <row r="6517" spans="1:19" x14ac:dyDescent="0.25">
      <c r="A6517">
        <v>101303183</v>
      </c>
      <c r="B6517" t="s">
        <v>3123</v>
      </c>
      <c r="C6517" t="s">
        <v>1161</v>
      </c>
      <c r="F6517" t="str">
        <f>"9203859573"</f>
        <v>9203859573</v>
      </c>
      <c r="G6517" t="s">
        <v>15671</v>
      </c>
      <c r="H6517" t="s">
        <v>6422</v>
      </c>
      <c r="I6517" t="s">
        <v>100</v>
      </c>
      <c r="J6517">
        <v>54901</v>
      </c>
      <c r="K6517">
        <v>1415</v>
      </c>
      <c r="L6517" t="s">
        <v>23</v>
      </c>
      <c r="M6517" t="s">
        <v>15671</v>
      </c>
      <c r="N6517" t="s">
        <v>6422</v>
      </c>
      <c r="O6517" t="s">
        <v>100</v>
      </c>
      <c r="P6517">
        <v>54901</v>
      </c>
      <c r="Q6517">
        <v>1415</v>
      </c>
      <c r="R6517" t="s">
        <v>23</v>
      </c>
      <c r="S6517" s="1" t="s">
        <v>34218</v>
      </c>
    </row>
    <row r="6518" spans="1:19" x14ac:dyDescent="0.25">
      <c r="A6518">
        <v>101307220</v>
      </c>
      <c r="B6518" t="s">
        <v>3708</v>
      </c>
      <c r="C6518" t="s">
        <v>15672</v>
      </c>
      <c r="G6518" t="s">
        <v>15673</v>
      </c>
      <c r="H6518" t="s">
        <v>713</v>
      </c>
      <c r="I6518" t="s">
        <v>22</v>
      </c>
      <c r="J6518">
        <v>90290</v>
      </c>
      <c r="K6518">
        <v>3902</v>
      </c>
      <c r="L6518" t="s">
        <v>23</v>
      </c>
      <c r="M6518" t="s">
        <v>15673</v>
      </c>
      <c r="N6518" t="s">
        <v>713</v>
      </c>
      <c r="O6518" t="s">
        <v>22</v>
      </c>
      <c r="P6518">
        <v>90290</v>
      </c>
      <c r="Q6518">
        <v>3902</v>
      </c>
      <c r="R6518" t="s">
        <v>23</v>
      </c>
      <c r="S6518" s="1" t="s">
        <v>34218</v>
      </c>
    </row>
    <row r="6519" spans="1:19" x14ac:dyDescent="0.25">
      <c r="A6519">
        <v>101301683</v>
      </c>
      <c r="B6519" t="s">
        <v>15674</v>
      </c>
      <c r="C6519" t="s">
        <v>1955</v>
      </c>
      <c r="F6519" t="str">
        <f>"9142773189"</f>
        <v>9142773189</v>
      </c>
      <c r="G6519" t="s">
        <v>15675</v>
      </c>
      <c r="H6519" t="s">
        <v>15676</v>
      </c>
      <c r="I6519" t="s">
        <v>117</v>
      </c>
      <c r="J6519">
        <v>10589</v>
      </c>
      <c r="K6519">
        <v>219</v>
      </c>
      <c r="L6519" t="s">
        <v>23</v>
      </c>
      <c r="M6519" t="s">
        <v>15675</v>
      </c>
      <c r="N6519" t="s">
        <v>15676</v>
      </c>
      <c r="O6519" t="s">
        <v>117</v>
      </c>
      <c r="P6519">
        <v>10589</v>
      </c>
      <c r="Q6519">
        <v>219</v>
      </c>
      <c r="R6519" t="s">
        <v>23</v>
      </c>
      <c r="S6519" s="1" t="s">
        <v>34218</v>
      </c>
    </row>
    <row r="6520" spans="1:19" x14ac:dyDescent="0.25">
      <c r="A6520">
        <v>101292826</v>
      </c>
      <c r="B6520" t="s">
        <v>15677</v>
      </c>
      <c r="C6520" t="s">
        <v>119</v>
      </c>
      <c r="G6520" t="s">
        <v>15678</v>
      </c>
      <c r="H6520" t="s">
        <v>2967</v>
      </c>
      <c r="I6520" t="s">
        <v>71</v>
      </c>
      <c r="J6520">
        <v>81321</v>
      </c>
      <c r="K6520">
        <v>3463</v>
      </c>
      <c r="L6520" t="s">
        <v>23</v>
      </c>
      <c r="M6520" t="s">
        <v>15678</v>
      </c>
      <c r="N6520" t="s">
        <v>2967</v>
      </c>
      <c r="O6520" t="s">
        <v>71</v>
      </c>
      <c r="P6520">
        <v>81321</v>
      </c>
      <c r="Q6520">
        <v>3463</v>
      </c>
      <c r="R6520" t="s">
        <v>23</v>
      </c>
      <c r="S6520" s="1" t="s">
        <v>34218</v>
      </c>
    </row>
    <row r="6521" spans="1:19" x14ac:dyDescent="0.25">
      <c r="A6521">
        <v>101308829</v>
      </c>
      <c r="B6521" t="s">
        <v>3708</v>
      </c>
      <c r="C6521" t="s">
        <v>1933</v>
      </c>
      <c r="F6521" t="str">
        <f>"6313660418"</f>
        <v>6313660418</v>
      </c>
      <c r="G6521" t="s">
        <v>15679</v>
      </c>
      <c r="H6521" t="s">
        <v>430</v>
      </c>
      <c r="I6521" t="s">
        <v>117</v>
      </c>
      <c r="J6521">
        <v>11787</v>
      </c>
      <c r="K6521">
        <v>3474</v>
      </c>
      <c r="L6521" t="s">
        <v>23</v>
      </c>
      <c r="M6521" t="s">
        <v>15679</v>
      </c>
      <c r="N6521" t="s">
        <v>430</v>
      </c>
      <c r="O6521" t="s">
        <v>117</v>
      </c>
      <c r="P6521">
        <v>11787</v>
      </c>
      <c r="Q6521">
        <v>3474</v>
      </c>
      <c r="R6521" t="s">
        <v>23</v>
      </c>
      <c r="S6521" s="1" t="s">
        <v>34218</v>
      </c>
    </row>
    <row r="6522" spans="1:19" x14ac:dyDescent="0.25">
      <c r="A6522">
        <v>101307675</v>
      </c>
      <c r="B6522" t="s">
        <v>15680</v>
      </c>
      <c r="C6522" t="s">
        <v>294</v>
      </c>
      <c r="G6522" t="s">
        <v>15681</v>
      </c>
      <c r="H6522" t="s">
        <v>15682</v>
      </c>
      <c r="I6522" t="s">
        <v>22</v>
      </c>
      <c r="J6522">
        <v>91321</v>
      </c>
      <c r="K6522">
        <v>2247</v>
      </c>
      <c r="L6522" t="s">
        <v>23</v>
      </c>
      <c r="M6522" t="s">
        <v>15681</v>
      </c>
      <c r="N6522" t="s">
        <v>15682</v>
      </c>
      <c r="O6522" t="s">
        <v>22</v>
      </c>
      <c r="P6522">
        <v>91321</v>
      </c>
      <c r="Q6522">
        <v>2247</v>
      </c>
      <c r="R6522" t="s">
        <v>23</v>
      </c>
      <c r="S6522" s="1" t="s">
        <v>34218</v>
      </c>
    </row>
    <row r="6523" spans="1:19" x14ac:dyDescent="0.25">
      <c r="A6523">
        <v>101228274</v>
      </c>
      <c r="B6523" t="s">
        <v>15683</v>
      </c>
      <c r="C6523" t="s">
        <v>114</v>
      </c>
      <c r="G6523" t="s">
        <v>15684</v>
      </c>
      <c r="H6523" t="s">
        <v>1315</v>
      </c>
      <c r="I6523" t="s">
        <v>33</v>
      </c>
      <c r="J6523">
        <v>18017</v>
      </c>
      <c r="K6523">
        <v>5070</v>
      </c>
      <c r="L6523" t="s">
        <v>23</v>
      </c>
      <c r="M6523" t="s">
        <v>15684</v>
      </c>
      <c r="N6523" t="s">
        <v>1315</v>
      </c>
      <c r="O6523" t="s">
        <v>33</v>
      </c>
      <c r="P6523">
        <v>18017</v>
      </c>
      <c r="Q6523">
        <v>5070</v>
      </c>
      <c r="R6523" t="s">
        <v>23</v>
      </c>
      <c r="S6523" s="1" t="s">
        <v>34218</v>
      </c>
    </row>
    <row r="6524" spans="1:19" x14ac:dyDescent="0.25">
      <c r="A6524">
        <v>100916227</v>
      </c>
      <c r="B6524" t="s">
        <v>15685</v>
      </c>
      <c r="C6524" t="s">
        <v>15686</v>
      </c>
      <c r="G6524" t="s">
        <v>15687</v>
      </c>
      <c r="H6524" t="s">
        <v>15688</v>
      </c>
      <c r="I6524" t="s">
        <v>662</v>
      </c>
      <c r="J6524">
        <v>2895</v>
      </c>
      <c r="K6524">
        <v>1929</v>
      </c>
      <c r="L6524" t="s">
        <v>23</v>
      </c>
      <c r="M6524" t="s">
        <v>15687</v>
      </c>
      <c r="N6524" t="s">
        <v>15688</v>
      </c>
      <c r="O6524" t="s">
        <v>662</v>
      </c>
      <c r="P6524">
        <v>2895</v>
      </c>
      <c r="Q6524">
        <v>1929</v>
      </c>
      <c r="R6524" t="s">
        <v>23</v>
      </c>
      <c r="S6524" s="1" t="s">
        <v>34218</v>
      </c>
    </row>
    <row r="6525" spans="1:19" x14ac:dyDescent="0.25">
      <c r="A6525">
        <v>101309687</v>
      </c>
      <c r="B6525" t="s">
        <v>15689</v>
      </c>
      <c r="C6525" t="s">
        <v>554</v>
      </c>
      <c r="G6525" t="s">
        <v>15690</v>
      </c>
      <c r="H6525" t="s">
        <v>134</v>
      </c>
      <c r="I6525" t="s">
        <v>135</v>
      </c>
      <c r="J6525">
        <v>60646</v>
      </c>
      <c r="L6525" t="s">
        <v>23</v>
      </c>
      <c r="M6525" t="s">
        <v>15690</v>
      </c>
      <c r="N6525" t="s">
        <v>134</v>
      </c>
      <c r="O6525" t="s">
        <v>135</v>
      </c>
      <c r="P6525">
        <v>60646</v>
      </c>
      <c r="R6525" t="s">
        <v>23</v>
      </c>
      <c r="S6525" s="1" t="s">
        <v>34218</v>
      </c>
    </row>
    <row r="6526" spans="1:19" x14ac:dyDescent="0.25">
      <c r="A6526">
        <v>100887049</v>
      </c>
      <c r="B6526" t="s">
        <v>15691</v>
      </c>
      <c r="C6526" t="s">
        <v>15692</v>
      </c>
      <c r="G6526" t="s">
        <v>15693</v>
      </c>
      <c r="H6526" t="s">
        <v>653</v>
      </c>
      <c r="I6526" t="s">
        <v>117</v>
      </c>
      <c r="J6526">
        <v>10001</v>
      </c>
      <c r="K6526">
        <v>5219</v>
      </c>
      <c r="L6526" t="s">
        <v>23</v>
      </c>
      <c r="M6526" t="s">
        <v>15693</v>
      </c>
      <c r="N6526" t="s">
        <v>653</v>
      </c>
      <c r="O6526" t="s">
        <v>117</v>
      </c>
      <c r="P6526">
        <v>10001</v>
      </c>
      <c r="Q6526">
        <v>5219</v>
      </c>
      <c r="R6526" t="s">
        <v>23</v>
      </c>
      <c r="S6526" s="1" t="s">
        <v>34218</v>
      </c>
    </row>
    <row r="6527" spans="1:19" x14ac:dyDescent="0.25">
      <c r="A6527">
        <v>100903403</v>
      </c>
      <c r="B6527" t="s">
        <v>9212</v>
      </c>
      <c r="C6527" t="s">
        <v>535</v>
      </c>
      <c r="G6527" t="s">
        <v>15694</v>
      </c>
      <c r="H6527" t="s">
        <v>1402</v>
      </c>
      <c r="I6527" t="s">
        <v>38</v>
      </c>
      <c r="J6527">
        <v>77007</v>
      </c>
      <c r="K6527">
        <v>8226</v>
      </c>
      <c r="L6527" t="s">
        <v>23</v>
      </c>
      <c r="M6527" t="s">
        <v>15694</v>
      </c>
      <c r="N6527" t="s">
        <v>1402</v>
      </c>
      <c r="O6527" t="s">
        <v>38</v>
      </c>
      <c r="P6527">
        <v>77007</v>
      </c>
      <c r="Q6527">
        <v>8226</v>
      </c>
      <c r="R6527" t="s">
        <v>23</v>
      </c>
      <c r="S6527" s="1" t="s">
        <v>34218</v>
      </c>
    </row>
    <row r="6528" spans="1:19" x14ac:dyDescent="0.25">
      <c r="A6528">
        <v>101236743</v>
      </c>
      <c r="B6528" t="s">
        <v>15695</v>
      </c>
      <c r="C6528" t="s">
        <v>867</v>
      </c>
      <c r="G6528" t="s">
        <v>15696</v>
      </c>
      <c r="H6528" t="s">
        <v>10753</v>
      </c>
      <c r="I6528" t="s">
        <v>126</v>
      </c>
      <c r="J6528">
        <v>65781</v>
      </c>
      <c r="K6528">
        <v>9290</v>
      </c>
      <c r="L6528" t="s">
        <v>23</v>
      </c>
      <c r="M6528" t="s">
        <v>15696</v>
      </c>
      <c r="N6528" t="s">
        <v>10753</v>
      </c>
      <c r="O6528" t="s">
        <v>126</v>
      </c>
      <c r="P6528">
        <v>65781</v>
      </c>
      <c r="Q6528">
        <v>9290</v>
      </c>
      <c r="R6528" t="s">
        <v>23</v>
      </c>
      <c r="S6528" s="1" t="s">
        <v>34218</v>
      </c>
    </row>
    <row r="6529" spans="1:19" x14ac:dyDescent="0.25">
      <c r="A6529">
        <v>101426630</v>
      </c>
      <c r="B6529" t="s">
        <v>15697</v>
      </c>
      <c r="C6529" t="s">
        <v>1374</v>
      </c>
      <c r="G6529" t="s">
        <v>15698</v>
      </c>
      <c r="H6529" t="s">
        <v>5278</v>
      </c>
      <c r="I6529" t="s">
        <v>22</v>
      </c>
      <c r="J6529">
        <v>94402</v>
      </c>
      <c r="K6529">
        <v>2426</v>
      </c>
      <c r="L6529" t="s">
        <v>23</v>
      </c>
      <c r="M6529" t="s">
        <v>15698</v>
      </c>
      <c r="N6529" t="s">
        <v>5278</v>
      </c>
      <c r="O6529" t="s">
        <v>22</v>
      </c>
      <c r="P6529">
        <v>94402</v>
      </c>
      <c r="Q6529">
        <v>2426</v>
      </c>
      <c r="R6529" t="s">
        <v>23</v>
      </c>
      <c r="S6529" s="1" t="s">
        <v>34218</v>
      </c>
    </row>
    <row r="6530" spans="1:19" x14ac:dyDescent="0.25">
      <c r="A6530">
        <v>101359471</v>
      </c>
      <c r="B6530" t="s">
        <v>15699</v>
      </c>
      <c r="C6530" t="s">
        <v>6214</v>
      </c>
      <c r="G6530" t="s">
        <v>15700</v>
      </c>
      <c r="H6530" t="s">
        <v>15701</v>
      </c>
      <c r="I6530" t="s">
        <v>71</v>
      </c>
      <c r="J6530">
        <v>81621</v>
      </c>
      <c r="K6530">
        <v>9109</v>
      </c>
      <c r="L6530" t="s">
        <v>23</v>
      </c>
      <c r="M6530" t="s">
        <v>15700</v>
      </c>
      <c r="N6530" t="s">
        <v>15701</v>
      </c>
      <c r="O6530" t="s">
        <v>71</v>
      </c>
      <c r="P6530">
        <v>81621</v>
      </c>
      <c r="Q6530">
        <v>9109</v>
      </c>
      <c r="R6530" t="s">
        <v>23</v>
      </c>
      <c r="S6530" s="1" t="s">
        <v>34218</v>
      </c>
    </row>
    <row r="6531" spans="1:19" x14ac:dyDescent="0.25">
      <c r="A6531">
        <v>101351009</v>
      </c>
      <c r="B6531" t="s">
        <v>1274</v>
      </c>
      <c r="C6531" t="s">
        <v>483</v>
      </c>
      <c r="G6531" t="s">
        <v>15702</v>
      </c>
      <c r="H6531" t="s">
        <v>8280</v>
      </c>
      <c r="I6531" t="s">
        <v>1097</v>
      </c>
      <c r="J6531">
        <v>40504</v>
      </c>
      <c r="L6531" t="s">
        <v>23</v>
      </c>
      <c r="M6531" t="s">
        <v>15702</v>
      </c>
      <c r="N6531" t="s">
        <v>8280</v>
      </c>
      <c r="O6531" t="s">
        <v>1097</v>
      </c>
      <c r="P6531">
        <v>40504</v>
      </c>
      <c r="R6531" t="s">
        <v>23</v>
      </c>
      <c r="S6531" s="1" t="s">
        <v>34218</v>
      </c>
    </row>
    <row r="6532" spans="1:19" x14ac:dyDescent="0.25">
      <c r="A6532">
        <v>101237693</v>
      </c>
      <c r="B6532" t="s">
        <v>15703</v>
      </c>
      <c r="C6532" t="s">
        <v>15704</v>
      </c>
      <c r="G6532" t="s">
        <v>15705</v>
      </c>
      <c r="H6532" t="s">
        <v>5406</v>
      </c>
      <c r="I6532" t="s">
        <v>52</v>
      </c>
      <c r="J6532">
        <v>34698</v>
      </c>
      <c r="K6532">
        <v>2221</v>
      </c>
      <c r="L6532" t="s">
        <v>23</v>
      </c>
      <c r="M6532" t="s">
        <v>15705</v>
      </c>
      <c r="N6532" t="s">
        <v>5406</v>
      </c>
      <c r="O6532" t="s">
        <v>52</v>
      </c>
      <c r="P6532">
        <v>34698</v>
      </c>
      <c r="Q6532">
        <v>2221</v>
      </c>
      <c r="R6532" t="s">
        <v>23</v>
      </c>
      <c r="S6532" s="1" t="s">
        <v>34218</v>
      </c>
    </row>
    <row r="6533" spans="1:19" x14ac:dyDescent="0.25">
      <c r="A6533">
        <v>101328339</v>
      </c>
      <c r="B6533" t="s">
        <v>15706</v>
      </c>
      <c r="C6533" t="s">
        <v>1398</v>
      </c>
      <c r="G6533" t="s">
        <v>15707</v>
      </c>
      <c r="H6533" t="s">
        <v>369</v>
      </c>
      <c r="I6533" t="s">
        <v>307</v>
      </c>
      <c r="J6533">
        <v>5443</v>
      </c>
      <c r="K6533">
        <v>9289</v>
      </c>
      <c r="L6533" t="s">
        <v>23</v>
      </c>
      <c r="M6533" t="s">
        <v>15707</v>
      </c>
      <c r="N6533" t="s">
        <v>369</v>
      </c>
      <c r="O6533" t="s">
        <v>307</v>
      </c>
      <c r="P6533">
        <v>5443</v>
      </c>
      <c r="Q6533">
        <v>9289</v>
      </c>
      <c r="R6533" t="s">
        <v>23</v>
      </c>
      <c r="S6533" s="1" t="s">
        <v>34218</v>
      </c>
    </row>
    <row r="6534" spans="1:19" x14ac:dyDescent="0.25">
      <c r="A6534">
        <v>101370763</v>
      </c>
      <c r="B6534" t="s">
        <v>15708</v>
      </c>
      <c r="C6534" t="s">
        <v>582</v>
      </c>
      <c r="G6534" t="s">
        <v>15709</v>
      </c>
      <c r="H6534" t="s">
        <v>3466</v>
      </c>
      <c r="I6534" t="s">
        <v>22</v>
      </c>
      <c r="J6534">
        <v>94805</v>
      </c>
      <c r="K6534">
        <v>1223</v>
      </c>
      <c r="L6534" t="s">
        <v>23</v>
      </c>
      <c r="M6534" t="s">
        <v>15709</v>
      </c>
      <c r="N6534" t="s">
        <v>3466</v>
      </c>
      <c r="O6534" t="s">
        <v>22</v>
      </c>
      <c r="P6534">
        <v>94805</v>
      </c>
      <c r="Q6534">
        <v>1223</v>
      </c>
      <c r="R6534" t="s">
        <v>23</v>
      </c>
      <c r="S6534" s="1" t="s">
        <v>34218</v>
      </c>
    </row>
    <row r="6535" spans="1:19" x14ac:dyDescent="0.25">
      <c r="A6535">
        <v>100690870</v>
      </c>
      <c r="B6535" t="s">
        <v>15710</v>
      </c>
      <c r="C6535" t="s">
        <v>12085</v>
      </c>
      <c r="G6535" t="s">
        <v>15711</v>
      </c>
      <c r="H6535" t="s">
        <v>737</v>
      </c>
      <c r="I6535" t="s">
        <v>255</v>
      </c>
      <c r="J6535">
        <v>23450</v>
      </c>
      <c r="L6535" t="s">
        <v>23</v>
      </c>
      <c r="M6535" t="s">
        <v>15711</v>
      </c>
      <c r="N6535" t="s">
        <v>737</v>
      </c>
      <c r="O6535" t="s">
        <v>255</v>
      </c>
      <c r="P6535">
        <v>23450</v>
      </c>
      <c r="R6535" t="s">
        <v>23</v>
      </c>
      <c r="S6535" s="1" t="s">
        <v>34218</v>
      </c>
    </row>
    <row r="6536" spans="1:19" x14ac:dyDescent="0.25">
      <c r="A6536">
        <v>101307205</v>
      </c>
      <c r="B6536" t="s">
        <v>15712</v>
      </c>
      <c r="C6536" t="s">
        <v>1331</v>
      </c>
      <c r="G6536" t="s">
        <v>15713</v>
      </c>
      <c r="H6536" t="s">
        <v>1479</v>
      </c>
      <c r="I6536" t="s">
        <v>52</v>
      </c>
      <c r="J6536">
        <v>34997</v>
      </c>
      <c r="K6536">
        <v>1875</v>
      </c>
      <c r="L6536" t="s">
        <v>23</v>
      </c>
      <c r="M6536" t="s">
        <v>15713</v>
      </c>
      <c r="N6536" t="s">
        <v>1479</v>
      </c>
      <c r="O6536" t="s">
        <v>52</v>
      </c>
      <c r="P6536">
        <v>34997</v>
      </c>
      <c r="Q6536">
        <v>1875</v>
      </c>
      <c r="R6536" t="s">
        <v>23</v>
      </c>
      <c r="S6536" s="1" t="s">
        <v>34218</v>
      </c>
    </row>
    <row r="6537" spans="1:19" x14ac:dyDescent="0.25">
      <c r="A6537">
        <v>101278577</v>
      </c>
      <c r="B6537" t="s">
        <v>15714</v>
      </c>
      <c r="C6537" t="s">
        <v>535</v>
      </c>
      <c r="G6537" t="s">
        <v>15715</v>
      </c>
      <c r="H6537" t="s">
        <v>143</v>
      </c>
      <c r="I6537" t="s">
        <v>52</v>
      </c>
      <c r="J6537">
        <v>32217</v>
      </c>
      <c r="K6537">
        <v>4496</v>
      </c>
      <c r="L6537" t="s">
        <v>23</v>
      </c>
      <c r="M6537" t="s">
        <v>15715</v>
      </c>
      <c r="N6537" t="s">
        <v>143</v>
      </c>
      <c r="O6537" t="s">
        <v>52</v>
      </c>
      <c r="P6537">
        <v>32217</v>
      </c>
      <c r="Q6537">
        <v>4496</v>
      </c>
      <c r="R6537" t="s">
        <v>23</v>
      </c>
      <c r="S6537" s="1" t="s">
        <v>34218</v>
      </c>
    </row>
    <row r="6538" spans="1:19" x14ac:dyDescent="0.25">
      <c r="A6538">
        <v>100635708</v>
      </c>
      <c r="B6538" t="s">
        <v>15716</v>
      </c>
      <c r="C6538" t="s">
        <v>1492</v>
      </c>
      <c r="G6538" t="s">
        <v>15717</v>
      </c>
      <c r="H6538" t="s">
        <v>15718</v>
      </c>
      <c r="I6538" t="s">
        <v>117</v>
      </c>
      <c r="J6538">
        <v>11954</v>
      </c>
      <c r="L6538" t="s">
        <v>23</v>
      </c>
      <c r="M6538" t="s">
        <v>15717</v>
      </c>
      <c r="N6538" t="s">
        <v>15718</v>
      </c>
      <c r="O6538" t="s">
        <v>117</v>
      </c>
      <c r="P6538">
        <v>11954</v>
      </c>
      <c r="R6538" t="s">
        <v>23</v>
      </c>
      <c r="S6538" s="1" t="s">
        <v>34218</v>
      </c>
    </row>
    <row r="6539" spans="1:19" x14ac:dyDescent="0.25">
      <c r="A6539">
        <v>101305458</v>
      </c>
      <c r="B6539" t="s">
        <v>1164</v>
      </c>
      <c r="C6539" t="s">
        <v>2193</v>
      </c>
      <c r="G6539" t="s">
        <v>15719</v>
      </c>
      <c r="H6539" t="s">
        <v>125</v>
      </c>
      <c r="I6539" t="s">
        <v>126</v>
      </c>
      <c r="J6539">
        <v>63124</v>
      </c>
      <c r="K6539">
        <v>1605</v>
      </c>
      <c r="L6539" t="s">
        <v>23</v>
      </c>
      <c r="M6539" t="s">
        <v>15719</v>
      </c>
      <c r="N6539" t="s">
        <v>125</v>
      </c>
      <c r="O6539" t="s">
        <v>126</v>
      </c>
      <c r="P6539">
        <v>63124</v>
      </c>
      <c r="Q6539">
        <v>1605</v>
      </c>
      <c r="R6539" t="s">
        <v>23</v>
      </c>
      <c r="S6539" s="1" t="s">
        <v>34218</v>
      </c>
    </row>
    <row r="6540" spans="1:19" x14ac:dyDescent="0.25">
      <c r="A6540">
        <v>101437962</v>
      </c>
      <c r="B6540" t="s">
        <v>4696</v>
      </c>
      <c r="C6540" t="s">
        <v>9687</v>
      </c>
      <c r="G6540" t="s">
        <v>15720</v>
      </c>
      <c r="H6540" t="s">
        <v>15721</v>
      </c>
      <c r="I6540" t="s">
        <v>148</v>
      </c>
      <c r="J6540">
        <v>21776</v>
      </c>
      <c r="K6540">
        <v>8609</v>
      </c>
      <c r="L6540" t="s">
        <v>23</v>
      </c>
      <c r="M6540" t="s">
        <v>15720</v>
      </c>
      <c r="N6540" t="s">
        <v>15721</v>
      </c>
      <c r="O6540" t="s">
        <v>148</v>
      </c>
      <c r="P6540">
        <v>21776</v>
      </c>
      <c r="Q6540">
        <v>8609</v>
      </c>
      <c r="R6540" t="s">
        <v>23</v>
      </c>
      <c r="S6540" s="1" t="s">
        <v>34218</v>
      </c>
    </row>
    <row r="6541" spans="1:19" x14ac:dyDescent="0.25">
      <c r="A6541">
        <v>101456988</v>
      </c>
      <c r="B6541" t="s">
        <v>15722</v>
      </c>
      <c r="C6541" t="s">
        <v>15723</v>
      </c>
      <c r="G6541" t="s">
        <v>15724</v>
      </c>
      <c r="H6541" t="s">
        <v>2640</v>
      </c>
      <c r="I6541" t="s">
        <v>52</v>
      </c>
      <c r="J6541">
        <v>33487</v>
      </c>
      <c r="K6541">
        <v>1436</v>
      </c>
      <c r="L6541" t="s">
        <v>23</v>
      </c>
      <c r="M6541" t="s">
        <v>15724</v>
      </c>
      <c r="N6541" t="s">
        <v>2640</v>
      </c>
      <c r="O6541" t="s">
        <v>52</v>
      </c>
      <c r="P6541">
        <v>33487</v>
      </c>
      <c r="Q6541">
        <v>1436</v>
      </c>
      <c r="R6541" t="s">
        <v>23</v>
      </c>
      <c r="S6541" s="1" t="s">
        <v>34218</v>
      </c>
    </row>
    <row r="6542" spans="1:19" x14ac:dyDescent="0.25">
      <c r="A6542">
        <v>100869618</v>
      </c>
      <c r="B6542" t="s">
        <v>15725</v>
      </c>
      <c r="C6542" t="s">
        <v>119</v>
      </c>
      <c r="G6542" t="s">
        <v>15726</v>
      </c>
      <c r="H6542" t="s">
        <v>1452</v>
      </c>
      <c r="I6542" t="s">
        <v>43</v>
      </c>
      <c r="J6542">
        <v>97403</v>
      </c>
      <c r="K6542">
        <v>2115</v>
      </c>
      <c r="L6542" t="s">
        <v>23</v>
      </c>
      <c r="M6542" t="s">
        <v>15726</v>
      </c>
      <c r="N6542" t="s">
        <v>1452</v>
      </c>
      <c r="O6542" t="s">
        <v>43</v>
      </c>
      <c r="P6542">
        <v>97403</v>
      </c>
      <c r="Q6542">
        <v>2115</v>
      </c>
      <c r="R6542" t="s">
        <v>23</v>
      </c>
      <c r="S6542" s="1" t="s">
        <v>34218</v>
      </c>
    </row>
    <row r="6543" spans="1:19" x14ac:dyDescent="0.25">
      <c r="A6543">
        <v>100900597</v>
      </c>
      <c r="B6543" t="s">
        <v>15727</v>
      </c>
      <c r="C6543" t="s">
        <v>252</v>
      </c>
      <c r="G6543" t="s">
        <v>15728</v>
      </c>
      <c r="H6543" t="s">
        <v>15729</v>
      </c>
      <c r="I6543" t="s">
        <v>117</v>
      </c>
      <c r="J6543">
        <v>12491</v>
      </c>
      <c r="L6543" t="s">
        <v>23</v>
      </c>
      <c r="M6543" t="s">
        <v>15728</v>
      </c>
      <c r="N6543" t="s">
        <v>15729</v>
      </c>
      <c r="O6543" t="s">
        <v>117</v>
      </c>
      <c r="P6543">
        <v>12491</v>
      </c>
      <c r="R6543" t="s">
        <v>23</v>
      </c>
      <c r="S6543" s="1" t="s">
        <v>34218</v>
      </c>
    </row>
    <row r="6544" spans="1:19" x14ac:dyDescent="0.25">
      <c r="A6544">
        <v>100831239</v>
      </c>
      <c r="B6544" t="s">
        <v>15730</v>
      </c>
      <c r="C6544" t="s">
        <v>575</v>
      </c>
      <c r="G6544" t="s">
        <v>15731</v>
      </c>
      <c r="H6544" t="s">
        <v>5525</v>
      </c>
      <c r="I6544" t="s">
        <v>250</v>
      </c>
      <c r="J6544">
        <v>7106</v>
      </c>
      <c r="K6544">
        <v>2530</v>
      </c>
      <c r="L6544" t="s">
        <v>23</v>
      </c>
      <c r="M6544" t="s">
        <v>15731</v>
      </c>
      <c r="N6544" t="s">
        <v>5525</v>
      </c>
      <c r="O6544" t="s">
        <v>250</v>
      </c>
      <c r="P6544">
        <v>7106</v>
      </c>
      <c r="Q6544">
        <v>2530</v>
      </c>
      <c r="R6544" t="s">
        <v>23</v>
      </c>
      <c r="S6544" s="1" t="s">
        <v>34218</v>
      </c>
    </row>
    <row r="6545" spans="1:19" x14ac:dyDescent="0.25">
      <c r="A6545">
        <v>100831151</v>
      </c>
      <c r="B6545" t="s">
        <v>15732</v>
      </c>
      <c r="C6545" t="s">
        <v>770</v>
      </c>
      <c r="F6545" t="str">
        <f>"3366034004"</f>
        <v>3366034004</v>
      </c>
      <c r="G6545" t="s">
        <v>15733</v>
      </c>
      <c r="H6545" t="s">
        <v>15734</v>
      </c>
      <c r="I6545" t="s">
        <v>446</v>
      </c>
      <c r="J6545">
        <v>27249</v>
      </c>
      <c r="K6545">
        <v>9807</v>
      </c>
      <c r="L6545" t="s">
        <v>23</v>
      </c>
      <c r="M6545" t="s">
        <v>15733</v>
      </c>
      <c r="N6545" t="s">
        <v>15734</v>
      </c>
      <c r="O6545" t="s">
        <v>446</v>
      </c>
      <c r="P6545">
        <v>27249</v>
      </c>
      <c r="Q6545">
        <v>9807</v>
      </c>
      <c r="R6545" t="s">
        <v>23</v>
      </c>
      <c r="S6545" s="1" t="s">
        <v>34218</v>
      </c>
    </row>
    <row r="6546" spans="1:19" x14ac:dyDescent="0.25">
      <c r="A6546">
        <v>100831588</v>
      </c>
      <c r="B6546" t="s">
        <v>882</v>
      </c>
      <c r="C6546" t="s">
        <v>613</v>
      </c>
      <c r="G6546" t="s">
        <v>15735</v>
      </c>
      <c r="H6546" t="s">
        <v>3005</v>
      </c>
      <c r="I6546" t="s">
        <v>22</v>
      </c>
      <c r="J6546">
        <v>95014</v>
      </c>
      <c r="K6546">
        <v>3015</v>
      </c>
      <c r="L6546" t="s">
        <v>23</v>
      </c>
      <c r="M6546" t="s">
        <v>15735</v>
      </c>
      <c r="N6546" t="s">
        <v>3005</v>
      </c>
      <c r="O6546" t="s">
        <v>22</v>
      </c>
      <c r="P6546">
        <v>95014</v>
      </c>
      <c r="Q6546">
        <v>3015</v>
      </c>
      <c r="R6546" t="s">
        <v>23</v>
      </c>
      <c r="S6546" s="1" t="s">
        <v>34218</v>
      </c>
    </row>
    <row r="6547" spans="1:19" x14ac:dyDescent="0.25">
      <c r="A6547">
        <v>100835170</v>
      </c>
      <c r="B6547" t="s">
        <v>15736</v>
      </c>
      <c r="C6547" t="s">
        <v>1377</v>
      </c>
      <c r="F6547" t="str">
        <f>"8167293144"</f>
        <v>8167293144</v>
      </c>
      <c r="G6547" t="s">
        <v>15737</v>
      </c>
      <c r="H6547" t="s">
        <v>1122</v>
      </c>
      <c r="I6547" t="s">
        <v>126</v>
      </c>
      <c r="J6547">
        <v>64081</v>
      </c>
      <c r="K6547">
        <v>2337</v>
      </c>
      <c r="L6547" t="s">
        <v>23</v>
      </c>
      <c r="M6547" t="s">
        <v>15737</v>
      </c>
      <c r="N6547" t="s">
        <v>1122</v>
      </c>
      <c r="O6547" t="s">
        <v>126</v>
      </c>
      <c r="P6547">
        <v>64081</v>
      </c>
      <c r="Q6547">
        <v>2337</v>
      </c>
      <c r="R6547" t="s">
        <v>23</v>
      </c>
      <c r="S6547" s="1" t="s">
        <v>34218</v>
      </c>
    </row>
    <row r="6548" spans="1:19" x14ac:dyDescent="0.25">
      <c r="A6548">
        <v>100835204</v>
      </c>
      <c r="B6548" t="s">
        <v>15738</v>
      </c>
      <c r="C6548" t="s">
        <v>1581</v>
      </c>
      <c r="G6548" t="s">
        <v>15739</v>
      </c>
      <c r="H6548" t="s">
        <v>12124</v>
      </c>
      <c r="I6548" t="s">
        <v>250</v>
      </c>
      <c r="J6548">
        <v>7701</v>
      </c>
      <c r="K6548">
        <v>5010</v>
      </c>
      <c r="L6548" t="s">
        <v>23</v>
      </c>
      <c r="M6548" t="s">
        <v>15739</v>
      </c>
      <c r="N6548" t="s">
        <v>12124</v>
      </c>
      <c r="O6548" t="s">
        <v>250</v>
      </c>
      <c r="P6548">
        <v>7701</v>
      </c>
      <c r="Q6548">
        <v>5010</v>
      </c>
      <c r="R6548" t="s">
        <v>23</v>
      </c>
      <c r="S6548" s="1" t="s">
        <v>34218</v>
      </c>
    </row>
    <row r="6549" spans="1:19" x14ac:dyDescent="0.25">
      <c r="A6549">
        <v>100990047</v>
      </c>
      <c r="B6549" t="s">
        <v>15740</v>
      </c>
      <c r="C6549" t="s">
        <v>3058</v>
      </c>
      <c r="F6549" t="str">
        <f>"5124157928"</f>
        <v>5124157928</v>
      </c>
      <c r="G6549" t="s">
        <v>15741</v>
      </c>
      <c r="H6549" t="s">
        <v>37</v>
      </c>
      <c r="I6549" t="s">
        <v>38</v>
      </c>
      <c r="J6549">
        <v>78723</v>
      </c>
      <c r="K6549">
        <v>4001</v>
      </c>
      <c r="L6549" t="s">
        <v>23</v>
      </c>
      <c r="M6549" t="s">
        <v>15741</v>
      </c>
      <c r="N6549" t="s">
        <v>37</v>
      </c>
      <c r="O6549" t="s">
        <v>38</v>
      </c>
      <c r="P6549">
        <v>78723</v>
      </c>
      <c r="Q6549">
        <v>4001</v>
      </c>
      <c r="R6549" t="s">
        <v>23</v>
      </c>
      <c r="S6549" s="1" t="s">
        <v>34218</v>
      </c>
    </row>
    <row r="6550" spans="1:19" x14ac:dyDescent="0.25">
      <c r="A6550">
        <v>100993800</v>
      </c>
      <c r="B6550" t="s">
        <v>9171</v>
      </c>
      <c r="C6550" t="s">
        <v>180</v>
      </c>
      <c r="F6550" t="str">
        <f>"9543285491"</f>
        <v>9543285491</v>
      </c>
      <c r="G6550" t="s">
        <v>15742</v>
      </c>
      <c r="H6550" t="s">
        <v>1975</v>
      </c>
      <c r="I6550" t="s">
        <v>52</v>
      </c>
      <c r="J6550">
        <v>33321</v>
      </c>
      <c r="K6550">
        <v>1336</v>
      </c>
      <c r="L6550" t="s">
        <v>23</v>
      </c>
      <c r="M6550" t="s">
        <v>15742</v>
      </c>
      <c r="N6550" t="s">
        <v>1975</v>
      </c>
      <c r="O6550" t="s">
        <v>52</v>
      </c>
      <c r="P6550">
        <v>33321</v>
      </c>
      <c r="Q6550">
        <v>1336</v>
      </c>
      <c r="R6550" t="s">
        <v>23</v>
      </c>
      <c r="S6550" s="1" t="s">
        <v>34218</v>
      </c>
    </row>
    <row r="6551" spans="1:19" x14ac:dyDescent="0.25">
      <c r="A6551">
        <v>100994811</v>
      </c>
      <c r="B6551" t="s">
        <v>916</v>
      </c>
      <c r="C6551" t="s">
        <v>13414</v>
      </c>
      <c r="G6551" t="s">
        <v>15743</v>
      </c>
      <c r="H6551" t="s">
        <v>1019</v>
      </c>
      <c r="I6551" t="s">
        <v>84</v>
      </c>
      <c r="J6551">
        <v>98034</v>
      </c>
      <c r="K6551">
        <v>404</v>
      </c>
      <c r="L6551" t="s">
        <v>23</v>
      </c>
      <c r="M6551" t="s">
        <v>15743</v>
      </c>
      <c r="N6551" t="s">
        <v>1019</v>
      </c>
      <c r="O6551" t="s">
        <v>84</v>
      </c>
      <c r="P6551">
        <v>98034</v>
      </c>
      <c r="Q6551">
        <v>404</v>
      </c>
      <c r="R6551" t="s">
        <v>23</v>
      </c>
      <c r="S6551" s="1" t="s">
        <v>34218</v>
      </c>
    </row>
    <row r="6552" spans="1:19" x14ac:dyDescent="0.25">
      <c r="A6552">
        <v>100993956</v>
      </c>
      <c r="B6552" t="s">
        <v>15744</v>
      </c>
      <c r="C6552" t="s">
        <v>1492</v>
      </c>
      <c r="F6552" t="str">
        <f>"5074300883"</f>
        <v>5074300883</v>
      </c>
      <c r="G6552" t="s">
        <v>15745</v>
      </c>
      <c r="H6552" t="s">
        <v>15746</v>
      </c>
      <c r="I6552" t="s">
        <v>187</v>
      </c>
      <c r="J6552">
        <v>56283</v>
      </c>
      <c r="K6552">
        <v>3016</v>
      </c>
      <c r="L6552" t="s">
        <v>23</v>
      </c>
      <c r="M6552" t="s">
        <v>15745</v>
      </c>
      <c r="N6552" t="s">
        <v>15746</v>
      </c>
      <c r="O6552" t="s">
        <v>187</v>
      </c>
      <c r="P6552">
        <v>56283</v>
      </c>
      <c r="Q6552">
        <v>3016</v>
      </c>
      <c r="R6552" t="s">
        <v>23</v>
      </c>
      <c r="S6552" s="1" t="s">
        <v>34218</v>
      </c>
    </row>
    <row r="6553" spans="1:19" x14ac:dyDescent="0.25">
      <c r="A6553">
        <v>100996481</v>
      </c>
      <c r="B6553" t="s">
        <v>2637</v>
      </c>
      <c r="C6553" t="s">
        <v>699</v>
      </c>
      <c r="G6553" t="s">
        <v>15747</v>
      </c>
      <c r="H6553" t="s">
        <v>15748</v>
      </c>
      <c r="I6553" t="s">
        <v>914</v>
      </c>
      <c r="J6553">
        <v>37745</v>
      </c>
      <c r="K6553">
        <v>1805</v>
      </c>
      <c r="L6553" t="s">
        <v>23</v>
      </c>
      <c r="M6553" t="s">
        <v>15747</v>
      </c>
      <c r="N6553" t="s">
        <v>15748</v>
      </c>
      <c r="O6553" t="s">
        <v>914</v>
      </c>
      <c r="P6553">
        <v>37745</v>
      </c>
      <c r="Q6553">
        <v>1805</v>
      </c>
      <c r="R6553" t="s">
        <v>23</v>
      </c>
      <c r="S6553" s="1" t="s">
        <v>34218</v>
      </c>
    </row>
    <row r="6554" spans="1:19" x14ac:dyDescent="0.25">
      <c r="A6554">
        <v>101002013</v>
      </c>
      <c r="B6554" t="s">
        <v>15749</v>
      </c>
      <c r="C6554" t="s">
        <v>54</v>
      </c>
      <c r="F6554" t="str">
        <f>"5555555555"</f>
        <v>5555555555</v>
      </c>
      <c r="G6554" t="s">
        <v>15750</v>
      </c>
      <c r="H6554" t="s">
        <v>4510</v>
      </c>
      <c r="I6554" t="s">
        <v>84</v>
      </c>
      <c r="J6554">
        <v>98203</v>
      </c>
      <c r="K6554">
        <v>4584</v>
      </c>
      <c r="L6554" t="s">
        <v>23</v>
      </c>
      <c r="M6554" t="s">
        <v>15750</v>
      </c>
      <c r="N6554" t="s">
        <v>4510</v>
      </c>
      <c r="O6554" t="s">
        <v>84</v>
      </c>
      <c r="P6554">
        <v>98203</v>
      </c>
      <c r="Q6554">
        <v>4584</v>
      </c>
      <c r="R6554" t="s">
        <v>23</v>
      </c>
      <c r="S6554" s="1" t="s">
        <v>34218</v>
      </c>
    </row>
    <row r="6555" spans="1:19" x14ac:dyDescent="0.25">
      <c r="A6555">
        <v>101003484</v>
      </c>
      <c r="B6555" t="s">
        <v>15751</v>
      </c>
      <c r="C6555" t="s">
        <v>11000</v>
      </c>
      <c r="G6555" t="s">
        <v>15752</v>
      </c>
      <c r="H6555" t="s">
        <v>3762</v>
      </c>
      <c r="I6555" t="s">
        <v>117</v>
      </c>
      <c r="J6555">
        <v>10954</v>
      </c>
      <c r="K6555">
        <v>3729</v>
      </c>
      <c r="L6555" t="s">
        <v>23</v>
      </c>
      <c r="M6555" t="s">
        <v>15752</v>
      </c>
      <c r="N6555" t="s">
        <v>3762</v>
      </c>
      <c r="O6555" t="s">
        <v>117</v>
      </c>
      <c r="P6555">
        <v>10954</v>
      </c>
      <c r="Q6555">
        <v>3729</v>
      </c>
      <c r="R6555" t="s">
        <v>23</v>
      </c>
      <c r="S6555" s="1" t="s">
        <v>34218</v>
      </c>
    </row>
    <row r="6556" spans="1:19" x14ac:dyDescent="0.25">
      <c r="A6556">
        <v>101000590</v>
      </c>
      <c r="B6556" t="s">
        <v>15753</v>
      </c>
      <c r="C6556" t="s">
        <v>4982</v>
      </c>
      <c r="G6556" t="s">
        <v>15754</v>
      </c>
      <c r="H6556" t="s">
        <v>3680</v>
      </c>
      <c r="I6556" t="s">
        <v>161</v>
      </c>
      <c r="J6556">
        <v>6825</v>
      </c>
      <c r="K6556">
        <v>1052</v>
      </c>
      <c r="L6556" t="s">
        <v>23</v>
      </c>
      <c r="M6556" t="s">
        <v>15754</v>
      </c>
      <c r="N6556" t="s">
        <v>3680</v>
      </c>
      <c r="O6556" t="s">
        <v>161</v>
      </c>
      <c r="P6556">
        <v>6825</v>
      </c>
      <c r="Q6556">
        <v>1052</v>
      </c>
      <c r="R6556" t="s">
        <v>23</v>
      </c>
      <c r="S6556" s="1" t="s">
        <v>34218</v>
      </c>
    </row>
    <row r="6557" spans="1:19" x14ac:dyDescent="0.25">
      <c r="A6557">
        <v>101004645</v>
      </c>
      <c r="B6557" t="s">
        <v>15755</v>
      </c>
      <c r="C6557" t="s">
        <v>5560</v>
      </c>
      <c r="F6557" t="str">
        <f>"3039195020"</f>
        <v>3039195020</v>
      </c>
      <c r="G6557" t="s">
        <v>15756</v>
      </c>
      <c r="H6557" t="s">
        <v>423</v>
      </c>
      <c r="I6557" t="s">
        <v>71</v>
      </c>
      <c r="J6557">
        <v>80305</v>
      </c>
      <c r="K6557">
        <v>6603</v>
      </c>
      <c r="L6557" t="s">
        <v>23</v>
      </c>
      <c r="M6557" t="s">
        <v>15756</v>
      </c>
      <c r="N6557" t="s">
        <v>423</v>
      </c>
      <c r="O6557" t="s">
        <v>71</v>
      </c>
      <c r="P6557">
        <v>80305</v>
      </c>
      <c r="Q6557">
        <v>6603</v>
      </c>
      <c r="R6557" t="s">
        <v>23</v>
      </c>
      <c r="S6557" s="1" t="s">
        <v>34218</v>
      </c>
    </row>
    <row r="6558" spans="1:19" x14ac:dyDescent="0.25">
      <c r="A6558">
        <v>101003498</v>
      </c>
      <c r="B6558" t="s">
        <v>15757</v>
      </c>
      <c r="C6558" t="s">
        <v>810</v>
      </c>
      <c r="G6558" t="s">
        <v>15758</v>
      </c>
      <c r="H6558" t="s">
        <v>401</v>
      </c>
      <c r="I6558" t="s">
        <v>100</v>
      </c>
      <c r="J6558">
        <v>54016</v>
      </c>
      <c r="K6558">
        <v>6833</v>
      </c>
      <c r="L6558" t="s">
        <v>23</v>
      </c>
      <c r="M6558" t="s">
        <v>15758</v>
      </c>
      <c r="N6558" t="s">
        <v>401</v>
      </c>
      <c r="O6558" t="s">
        <v>100</v>
      </c>
      <c r="P6558">
        <v>54016</v>
      </c>
      <c r="Q6558">
        <v>6833</v>
      </c>
      <c r="R6558" t="s">
        <v>23</v>
      </c>
      <c r="S6558" s="1" t="s">
        <v>34218</v>
      </c>
    </row>
    <row r="6559" spans="1:19" x14ac:dyDescent="0.25">
      <c r="A6559">
        <v>101008885</v>
      </c>
      <c r="B6559" t="s">
        <v>15759</v>
      </c>
      <c r="C6559" t="s">
        <v>2576</v>
      </c>
      <c r="F6559" t="str">
        <f>"7813260459"</f>
        <v>7813260459</v>
      </c>
      <c r="G6559" t="s">
        <v>15760</v>
      </c>
      <c r="H6559" t="s">
        <v>14658</v>
      </c>
      <c r="I6559" t="s">
        <v>236</v>
      </c>
      <c r="J6559">
        <v>2026</v>
      </c>
      <c r="K6559">
        <v>2705</v>
      </c>
      <c r="L6559" t="s">
        <v>23</v>
      </c>
      <c r="M6559" t="s">
        <v>15760</v>
      </c>
      <c r="N6559" t="s">
        <v>14658</v>
      </c>
      <c r="O6559" t="s">
        <v>236</v>
      </c>
      <c r="P6559">
        <v>2026</v>
      </c>
      <c r="Q6559">
        <v>2705</v>
      </c>
      <c r="R6559" t="s">
        <v>23</v>
      </c>
      <c r="S6559" s="1" t="s">
        <v>34218</v>
      </c>
    </row>
    <row r="6560" spans="1:19" x14ac:dyDescent="0.25">
      <c r="A6560">
        <v>101009540</v>
      </c>
      <c r="B6560" t="s">
        <v>11344</v>
      </c>
      <c r="C6560" t="s">
        <v>1285</v>
      </c>
      <c r="G6560" t="s">
        <v>15761</v>
      </c>
      <c r="H6560" t="s">
        <v>1293</v>
      </c>
      <c r="I6560" t="s">
        <v>22</v>
      </c>
      <c r="J6560">
        <v>95062</v>
      </c>
      <c r="K6560">
        <v>1861</v>
      </c>
      <c r="L6560" t="s">
        <v>23</v>
      </c>
      <c r="M6560" t="s">
        <v>15761</v>
      </c>
      <c r="N6560" t="s">
        <v>1293</v>
      </c>
      <c r="O6560" t="s">
        <v>22</v>
      </c>
      <c r="P6560">
        <v>95062</v>
      </c>
      <c r="Q6560">
        <v>1861</v>
      </c>
      <c r="R6560" t="s">
        <v>23</v>
      </c>
      <c r="S6560" s="1" t="s">
        <v>34218</v>
      </c>
    </row>
    <row r="6561" spans="1:19" x14ac:dyDescent="0.25">
      <c r="A6561">
        <v>101013363</v>
      </c>
      <c r="B6561" t="s">
        <v>744</v>
      </c>
      <c r="C6561" t="s">
        <v>11558</v>
      </c>
      <c r="G6561" t="s">
        <v>15762</v>
      </c>
      <c r="H6561" t="s">
        <v>5525</v>
      </c>
      <c r="I6561" t="s">
        <v>250</v>
      </c>
      <c r="J6561">
        <v>7103</v>
      </c>
      <c r="K6561">
        <v>3818</v>
      </c>
      <c r="L6561" t="s">
        <v>23</v>
      </c>
      <c r="M6561" t="s">
        <v>15762</v>
      </c>
      <c r="N6561" t="s">
        <v>5525</v>
      </c>
      <c r="O6561" t="s">
        <v>250</v>
      </c>
      <c r="P6561">
        <v>7103</v>
      </c>
      <c r="Q6561">
        <v>3818</v>
      </c>
      <c r="R6561" t="s">
        <v>23</v>
      </c>
      <c r="S6561" s="1" t="s">
        <v>34218</v>
      </c>
    </row>
    <row r="6562" spans="1:19" x14ac:dyDescent="0.25">
      <c r="A6562">
        <v>101014594</v>
      </c>
      <c r="B6562" t="s">
        <v>2132</v>
      </c>
      <c r="C6562" t="s">
        <v>1153</v>
      </c>
      <c r="G6562" t="s">
        <v>15763</v>
      </c>
      <c r="H6562" t="s">
        <v>1007</v>
      </c>
      <c r="I6562" t="s">
        <v>52</v>
      </c>
      <c r="J6562">
        <v>32347</v>
      </c>
      <c r="K6562">
        <v>2731</v>
      </c>
      <c r="L6562" t="s">
        <v>23</v>
      </c>
      <c r="M6562" t="s">
        <v>15763</v>
      </c>
      <c r="N6562" t="s">
        <v>1007</v>
      </c>
      <c r="O6562" t="s">
        <v>52</v>
      </c>
      <c r="P6562">
        <v>32347</v>
      </c>
      <c r="Q6562">
        <v>2731</v>
      </c>
      <c r="R6562" t="s">
        <v>23</v>
      </c>
      <c r="S6562" s="1" t="s">
        <v>34218</v>
      </c>
    </row>
    <row r="6563" spans="1:19" x14ac:dyDescent="0.25">
      <c r="A6563">
        <v>101007905</v>
      </c>
      <c r="B6563" t="s">
        <v>105</v>
      </c>
      <c r="C6563" t="s">
        <v>644</v>
      </c>
      <c r="F6563" t="str">
        <f>"3606794869"</f>
        <v>3606794869</v>
      </c>
      <c r="G6563" t="s">
        <v>15764</v>
      </c>
      <c r="H6563" t="s">
        <v>15765</v>
      </c>
      <c r="I6563" t="s">
        <v>84</v>
      </c>
      <c r="J6563">
        <v>98277</v>
      </c>
      <c r="K6563">
        <v>4556</v>
      </c>
      <c r="L6563" t="s">
        <v>23</v>
      </c>
      <c r="M6563" t="s">
        <v>15764</v>
      </c>
      <c r="N6563" t="s">
        <v>15765</v>
      </c>
      <c r="O6563" t="s">
        <v>84</v>
      </c>
      <c r="P6563">
        <v>98277</v>
      </c>
      <c r="Q6563">
        <v>4556</v>
      </c>
      <c r="R6563" t="s">
        <v>23</v>
      </c>
      <c r="S6563" s="1" t="s">
        <v>34218</v>
      </c>
    </row>
    <row r="6564" spans="1:19" x14ac:dyDescent="0.25">
      <c r="A6564">
        <v>101010708</v>
      </c>
      <c r="B6564" t="s">
        <v>5945</v>
      </c>
      <c r="C6564" t="s">
        <v>30</v>
      </c>
      <c r="G6564" t="s">
        <v>15766</v>
      </c>
      <c r="H6564" t="s">
        <v>688</v>
      </c>
      <c r="I6564" t="s">
        <v>117</v>
      </c>
      <c r="J6564">
        <v>14618</v>
      </c>
      <c r="K6564">
        <v>3723</v>
      </c>
      <c r="L6564" t="s">
        <v>23</v>
      </c>
      <c r="M6564" t="s">
        <v>15766</v>
      </c>
      <c r="N6564" t="s">
        <v>688</v>
      </c>
      <c r="O6564" t="s">
        <v>117</v>
      </c>
      <c r="P6564">
        <v>14618</v>
      </c>
      <c r="Q6564">
        <v>3723</v>
      </c>
      <c r="R6564" t="s">
        <v>23</v>
      </c>
      <c r="S6564" s="1" t="s">
        <v>34218</v>
      </c>
    </row>
    <row r="6565" spans="1:19" x14ac:dyDescent="0.25">
      <c r="A6565">
        <v>101014776</v>
      </c>
      <c r="B6565" t="s">
        <v>15767</v>
      </c>
      <c r="C6565" t="s">
        <v>15768</v>
      </c>
      <c r="G6565" t="s">
        <v>15769</v>
      </c>
      <c r="H6565" t="s">
        <v>6211</v>
      </c>
      <c r="I6565" t="s">
        <v>33</v>
      </c>
      <c r="J6565">
        <v>18901</v>
      </c>
      <c r="K6565">
        <v>2614</v>
      </c>
      <c r="L6565" t="s">
        <v>23</v>
      </c>
      <c r="M6565" t="s">
        <v>15769</v>
      </c>
      <c r="N6565" t="s">
        <v>6211</v>
      </c>
      <c r="O6565" t="s">
        <v>33</v>
      </c>
      <c r="P6565">
        <v>18901</v>
      </c>
      <c r="Q6565">
        <v>2614</v>
      </c>
      <c r="R6565" t="s">
        <v>23</v>
      </c>
      <c r="S6565" s="1" t="s">
        <v>34218</v>
      </c>
    </row>
    <row r="6566" spans="1:19" x14ac:dyDescent="0.25">
      <c r="A6566">
        <v>101018283</v>
      </c>
      <c r="B6566" t="s">
        <v>5382</v>
      </c>
      <c r="C6566" t="s">
        <v>5401</v>
      </c>
      <c r="G6566" t="s">
        <v>15770</v>
      </c>
      <c r="H6566" t="s">
        <v>1452</v>
      </c>
      <c r="I6566" t="s">
        <v>43</v>
      </c>
      <c r="J6566">
        <v>97402</v>
      </c>
      <c r="K6566">
        <v>6499</v>
      </c>
      <c r="L6566" t="s">
        <v>23</v>
      </c>
      <c r="M6566" t="s">
        <v>15770</v>
      </c>
      <c r="N6566" t="s">
        <v>1452</v>
      </c>
      <c r="O6566" t="s">
        <v>43</v>
      </c>
      <c r="P6566">
        <v>97402</v>
      </c>
      <c r="Q6566">
        <v>6499</v>
      </c>
      <c r="R6566" t="s">
        <v>23</v>
      </c>
      <c r="S6566" s="1" t="s">
        <v>34218</v>
      </c>
    </row>
    <row r="6567" spans="1:19" x14ac:dyDescent="0.25">
      <c r="A6567">
        <v>101205789</v>
      </c>
      <c r="B6567" t="s">
        <v>15771</v>
      </c>
      <c r="C6567" t="s">
        <v>535</v>
      </c>
      <c r="G6567" t="s">
        <v>15772</v>
      </c>
      <c r="H6567" t="s">
        <v>11379</v>
      </c>
      <c r="I6567" t="s">
        <v>2566</v>
      </c>
      <c r="J6567">
        <v>99517</v>
      </c>
      <c r="K6567">
        <v>1249</v>
      </c>
      <c r="L6567" t="s">
        <v>23</v>
      </c>
      <c r="M6567" t="s">
        <v>15772</v>
      </c>
      <c r="N6567" t="s">
        <v>11379</v>
      </c>
      <c r="O6567" t="s">
        <v>2566</v>
      </c>
      <c r="P6567">
        <v>99517</v>
      </c>
      <c r="Q6567">
        <v>1249</v>
      </c>
      <c r="R6567" t="s">
        <v>23</v>
      </c>
      <c r="S6567" s="1" t="s">
        <v>34218</v>
      </c>
    </row>
    <row r="6568" spans="1:19" x14ac:dyDescent="0.25">
      <c r="A6568">
        <v>101205092</v>
      </c>
      <c r="B6568" t="s">
        <v>15773</v>
      </c>
      <c r="C6568" t="s">
        <v>1591</v>
      </c>
      <c r="G6568" t="s">
        <v>15774</v>
      </c>
      <c r="H6568" t="s">
        <v>625</v>
      </c>
      <c r="I6568" t="s">
        <v>365</v>
      </c>
      <c r="J6568">
        <v>85202</v>
      </c>
      <c r="K6568">
        <v>1901</v>
      </c>
      <c r="L6568" t="s">
        <v>23</v>
      </c>
      <c r="M6568" t="s">
        <v>15774</v>
      </c>
      <c r="N6568" t="s">
        <v>625</v>
      </c>
      <c r="O6568" t="s">
        <v>365</v>
      </c>
      <c r="P6568">
        <v>85202</v>
      </c>
      <c r="Q6568">
        <v>1901</v>
      </c>
      <c r="R6568" t="s">
        <v>23</v>
      </c>
      <c r="S6568" s="1" t="s">
        <v>34218</v>
      </c>
    </row>
    <row r="6569" spans="1:19" x14ac:dyDescent="0.25">
      <c r="A6569">
        <v>101206572</v>
      </c>
      <c r="B6569" t="s">
        <v>15775</v>
      </c>
      <c r="C6569" t="s">
        <v>1107</v>
      </c>
      <c r="F6569" t="str">
        <f>"4082471949"</f>
        <v>4082471949</v>
      </c>
      <c r="G6569" t="s">
        <v>15776</v>
      </c>
      <c r="H6569" t="s">
        <v>2668</v>
      </c>
      <c r="I6569" t="s">
        <v>22</v>
      </c>
      <c r="J6569">
        <v>95051</v>
      </c>
      <c r="K6569">
        <v>4436</v>
      </c>
      <c r="L6569" t="s">
        <v>23</v>
      </c>
      <c r="M6569" t="s">
        <v>15776</v>
      </c>
      <c r="N6569" t="s">
        <v>2668</v>
      </c>
      <c r="O6569" t="s">
        <v>22</v>
      </c>
      <c r="P6569">
        <v>95051</v>
      </c>
      <c r="Q6569">
        <v>4436</v>
      </c>
      <c r="R6569" t="s">
        <v>23</v>
      </c>
      <c r="S6569" s="1" t="s">
        <v>34218</v>
      </c>
    </row>
    <row r="6570" spans="1:19" x14ac:dyDescent="0.25">
      <c r="A6570">
        <v>101205162</v>
      </c>
      <c r="B6570" t="s">
        <v>1049</v>
      </c>
      <c r="C6570" t="s">
        <v>575</v>
      </c>
      <c r="G6570" t="s">
        <v>15777</v>
      </c>
      <c r="H6570" t="s">
        <v>2375</v>
      </c>
      <c r="I6570" t="s">
        <v>100</v>
      </c>
      <c r="J6570">
        <v>53717</v>
      </c>
      <c r="K6570">
        <v>1001</v>
      </c>
      <c r="L6570" t="s">
        <v>23</v>
      </c>
      <c r="M6570" t="s">
        <v>15777</v>
      </c>
      <c r="N6570" t="s">
        <v>2375</v>
      </c>
      <c r="O6570" t="s">
        <v>100</v>
      </c>
      <c r="P6570">
        <v>53717</v>
      </c>
      <c r="Q6570">
        <v>1001</v>
      </c>
      <c r="R6570" t="s">
        <v>23</v>
      </c>
      <c r="S6570" s="1" t="s">
        <v>34218</v>
      </c>
    </row>
    <row r="6571" spans="1:19" x14ac:dyDescent="0.25">
      <c r="A6571">
        <v>101212152</v>
      </c>
      <c r="B6571" t="s">
        <v>2165</v>
      </c>
      <c r="C6571" t="s">
        <v>627</v>
      </c>
      <c r="G6571" t="s">
        <v>15778</v>
      </c>
      <c r="H6571" t="s">
        <v>66</v>
      </c>
      <c r="I6571" t="s">
        <v>22</v>
      </c>
      <c r="J6571">
        <v>94707</v>
      </c>
      <c r="K6571">
        <v>2116</v>
      </c>
      <c r="L6571" t="s">
        <v>23</v>
      </c>
      <c r="M6571" t="s">
        <v>15778</v>
      </c>
      <c r="N6571" t="s">
        <v>66</v>
      </c>
      <c r="O6571" t="s">
        <v>22</v>
      </c>
      <c r="P6571">
        <v>94707</v>
      </c>
      <c r="Q6571">
        <v>2116</v>
      </c>
      <c r="R6571" t="s">
        <v>23</v>
      </c>
      <c r="S6571" s="1" t="s">
        <v>34218</v>
      </c>
    </row>
    <row r="6572" spans="1:19" x14ac:dyDescent="0.25">
      <c r="A6572">
        <v>101209839</v>
      </c>
      <c r="B6572" t="s">
        <v>9646</v>
      </c>
      <c r="C6572" t="s">
        <v>11114</v>
      </c>
      <c r="G6572" t="s">
        <v>15779</v>
      </c>
      <c r="H6572" t="s">
        <v>573</v>
      </c>
      <c r="I6572" t="s">
        <v>33</v>
      </c>
      <c r="J6572">
        <v>19147</v>
      </c>
      <c r="K6572">
        <v>3220</v>
      </c>
      <c r="L6572" t="s">
        <v>23</v>
      </c>
      <c r="M6572" t="s">
        <v>15779</v>
      </c>
      <c r="N6572" t="s">
        <v>573</v>
      </c>
      <c r="O6572" t="s">
        <v>33</v>
      </c>
      <c r="P6572">
        <v>19147</v>
      </c>
      <c r="Q6572">
        <v>3220</v>
      </c>
      <c r="R6572" t="s">
        <v>23</v>
      </c>
      <c r="S6572" s="1" t="s">
        <v>34218</v>
      </c>
    </row>
    <row r="6573" spans="1:19" x14ac:dyDescent="0.25">
      <c r="A6573">
        <v>101212830</v>
      </c>
      <c r="B6573" t="s">
        <v>4130</v>
      </c>
      <c r="C6573" t="s">
        <v>644</v>
      </c>
      <c r="G6573" t="s">
        <v>15780</v>
      </c>
      <c r="H6573" t="s">
        <v>195</v>
      </c>
      <c r="I6573" t="s">
        <v>22</v>
      </c>
      <c r="J6573">
        <v>95073</v>
      </c>
      <c r="K6573">
        <v>9793</v>
      </c>
      <c r="L6573" t="s">
        <v>23</v>
      </c>
      <c r="M6573" t="s">
        <v>15780</v>
      </c>
      <c r="N6573" t="s">
        <v>195</v>
      </c>
      <c r="O6573" t="s">
        <v>22</v>
      </c>
      <c r="P6573">
        <v>95073</v>
      </c>
      <c r="Q6573">
        <v>9793</v>
      </c>
      <c r="R6573" t="s">
        <v>23</v>
      </c>
      <c r="S6573" s="1" t="s">
        <v>34218</v>
      </c>
    </row>
    <row r="6574" spans="1:19" x14ac:dyDescent="0.25">
      <c r="A6574">
        <v>101216945</v>
      </c>
      <c r="B6574" t="s">
        <v>4170</v>
      </c>
      <c r="C6574" t="s">
        <v>4188</v>
      </c>
      <c r="G6574" t="s">
        <v>15781</v>
      </c>
      <c r="H6574" t="s">
        <v>15782</v>
      </c>
      <c r="I6574" t="s">
        <v>236</v>
      </c>
      <c r="J6574">
        <v>1452</v>
      </c>
      <c r="K6574">
        <v>1321</v>
      </c>
      <c r="L6574" t="s">
        <v>23</v>
      </c>
      <c r="M6574" t="s">
        <v>15781</v>
      </c>
      <c r="N6574" t="s">
        <v>15782</v>
      </c>
      <c r="O6574" t="s">
        <v>236</v>
      </c>
      <c r="P6574">
        <v>1452</v>
      </c>
      <c r="Q6574">
        <v>1321</v>
      </c>
      <c r="R6574" t="s">
        <v>23</v>
      </c>
      <c r="S6574" s="1" t="s">
        <v>34218</v>
      </c>
    </row>
    <row r="6575" spans="1:19" x14ac:dyDescent="0.25">
      <c r="A6575">
        <v>101217896</v>
      </c>
      <c r="B6575" t="s">
        <v>8709</v>
      </c>
      <c r="C6575" t="s">
        <v>1327</v>
      </c>
      <c r="F6575" t="str">
        <f>"4805706050"</f>
        <v>4805706050</v>
      </c>
      <c r="G6575" t="s">
        <v>15783</v>
      </c>
      <c r="H6575" t="s">
        <v>625</v>
      </c>
      <c r="I6575" t="s">
        <v>365</v>
      </c>
      <c r="J6575">
        <v>85201</v>
      </c>
      <c r="K6575">
        <v>5304</v>
      </c>
      <c r="L6575" t="s">
        <v>23</v>
      </c>
      <c r="M6575" t="s">
        <v>15783</v>
      </c>
      <c r="N6575" t="s">
        <v>625</v>
      </c>
      <c r="O6575" t="s">
        <v>365</v>
      </c>
      <c r="P6575">
        <v>85201</v>
      </c>
      <c r="Q6575">
        <v>5304</v>
      </c>
      <c r="R6575" t="s">
        <v>23</v>
      </c>
      <c r="S6575" s="1" t="s">
        <v>34218</v>
      </c>
    </row>
    <row r="6576" spans="1:19" x14ac:dyDescent="0.25">
      <c r="A6576">
        <v>101124544</v>
      </c>
      <c r="B6576" t="s">
        <v>6289</v>
      </c>
      <c r="C6576" t="s">
        <v>1124</v>
      </c>
      <c r="G6576" t="s">
        <v>15784</v>
      </c>
      <c r="H6576" t="s">
        <v>8526</v>
      </c>
      <c r="I6576" t="s">
        <v>22</v>
      </c>
      <c r="J6576">
        <v>92395</v>
      </c>
      <c r="K6576">
        <v>5153</v>
      </c>
      <c r="L6576" t="s">
        <v>23</v>
      </c>
      <c r="M6576" t="s">
        <v>15784</v>
      </c>
      <c r="N6576" t="s">
        <v>8526</v>
      </c>
      <c r="O6576" t="s">
        <v>22</v>
      </c>
      <c r="P6576">
        <v>92395</v>
      </c>
      <c r="Q6576">
        <v>5153</v>
      </c>
      <c r="R6576" t="s">
        <v>23</v>
      </c>
      <c r="S6576" s="1" t="s">
        <v>34218</v>
      </c>
    </row>
    <row r="6577" spans="1:19" x14ac:dyDescent="0.25">
      <c r="A6577">
        <v>101128023</v>
      </c>
      <c r="B6577" t="s">
        <v>15785</v>
      </c>
      <c r="C6577" t="s">
        <v>1555</v>
      </c>
      <c r="G6577" t="s">
        <v>15786</v>
      </c>
      <c r="H6577" t="s">
        <v>3198</v>
      </c>
      <c r="I6577" t="s">
        <v>22</v>
      </c>
      <c r="J6577">
        <v>94523</v>
      </c>
      <c r="K6577">
        <v>1537</v>
      </c>
      <c r="L6577" t="s">
        <v>23</v>
      </c>
      <c r="M6577" t="s">
        <v>15786</v>
      </c>
      <c r="N6577" t="s">
        <v>3198</v>
      </c>
      <c r="O6577" t="s">
        <v>22</v>
      </c>
      <c r="P6577">
        <v>94523</v>
      </c>
      <c r="Q6577">
        <v>1537</v>
      </c>
      <c r="R6577" t="s">
        <v>23</v>
      </c>
      <c r="S6577" s="1" t="s">
        <v>34218</v>
      </c>
    </row>
    <row r="6578" spans="1:19" x14ac:dyDescent="0.25">
      <c r="A6578">
        <v>101126602</v>
      </c>
      <c r="B6578" t="s">
        <v>15787</v>
      </c>
      <c r="C6578" t="s">
        <v>1588</v>
      </c>
      <c r="G6578" t="s">
        <v>15788</v>
      </c>
      <c r="H6578" t="s">
        <v>15789</v>
      </c>
      <c r="I6578" t="s">
        <v>140</v>
      </c>
      <c r="J6578">
        <v>48101</v>
      </c>
      <c r="K6578">
        <v>1916</v>
      </c>
      <c r="L6578" t="s">
        <v>23</v>
      </c>
      <c r="M6578" t="s">
        <v>15788</v>
      </c>
      <c r="N6578" t="s">
        <v>15789</v>
      </c>
      <c r="O6578" t="s">
        <v>140</v>
      </c>
      <c r="P6578">
        <v>48101</v>
      </c>
      <c r="Q6578">
        <v>1916</v>
      </c>
      <c r="R6578" t="s">
        <v>23</v>
      </c>
      <c r="S6578" s="1" t="s">
        <v>34218</v>
      </c>
    </row>
    <row r="6579" spans="1:19" x14ac:dyDescent="0.25">
      <c r="A6579">
        <v>101131936</v>
      </c>
      <c r="B6579" t="s">
        <v>744</v>
      </c>
      <c r="C6579" t="s">
        <v>15790</v>
      </c>
      <c r="G6579" t="s">
        <v>15791</v>
      </c>
      <c r="H6579" t="s">
        <v>331</v>
      </c>
      <c r="I6579" t="s">
        <v>332</v>
      </c>
      <c r="J6579">
        <v>84111</v>
      </c>
      <c r="K6579">
        <v>4718</v>
      </c>
      <c r="L6579" t="s">
        <v>23</v>
      </c>
      <c r="M6579" t="s">
        <v>15791</v>
      </c>
      <c r="N6579" t="s">
        <v>331</v>
      </c>
      <c r="O6579" t="s">
        <v>332</v>
      </c>
      <c r="P6579">
        <v>84111</v>
      </c>
      <c r="Q6579">
        <v>4718</v>
      </c>
      <c r="R6579" t="s">
        <v>23</v>
      </c>
      <c r="S6579" s="1" t="s">
        <v>34218</v>
      </c>
    </row>
    <row r="6580" spans="1:19" x14ac:dyDescent="0.25">
      <c r="A6580">
        <v>101125738</v>
      </c>
      <c r="B6580" t="s">
        <v>15792</v>
      </c>
      <c r="C6580" t="s">
        <v>119</v>
      </c>
      <c r="G6580" t="s">
        <v>15793</v>
      </c>
      <c r="H6580" t="s">
        <v>1508</v>
      </c>
      <c r="I6580" t="s">
        <v>84</v>
      </c>
      <c r="J6580">
        <v>98026</v>
      </c>
      <c r="K6580">
        <v>8324</v>
      </c>
      <c r="L6580" t="s">
        <v>23</v>
      </c>
      <c r="M6580" t="s">
        <v>15793</v>
      </c>
      <c r="N6580" t="s">
        <v>1508</v>
      </c>
      <c r="O6580" t="s">
        <v>84</v>
      </c>
      <c r="P6580">
        <v>98026</v>
      </c>
      <c r="Q6580">
        <v>8324</v>
      </c>
      <c r="R6580" t="s">
        <v>23</v>
      </c>
      <c r="S6580" s="1" t="s">
        <v>34218</v>
      </c>
    </row>
    <row r="6581" spans="1:19" x14ac:dyDescent="0.25">
      <c r="A6581">
        <v>101132012</v>
      </c>
      <c r="B6581" t="s">
        <v>15794</v>
      </c>
      <c r="C6581" t="s">
        <v>535</v>
      </c>
      <c r="G6581" t="s">
        <v>15795</v>
      </c>
      <c r="H6581" t="s">
        <v>6273</v>
      </c>
      <c r="I6581" t="s">
        <v>161</v>
      </c>
      <c r="J6581">
        <v>6477</v>
      </c>
      <c r="K6581">
        <v>2844</v>
      </c>
      <c r="L6581" t="s">
        <v>23</v>
      </c>
      <c r="M6581" t="s">
        <v>15795</v>
      </c>
      <c r="N6581" t="s">
        <v>6273</v>
      </c>
      <c r="O6581" t="s">
        <v>161</v>
      </c>
      <c r="P6581">
        <v>6477</v>
      </c>
      <c r="Q6581">
        <v>2844</v>
      </c>
      <c r="R6581" t="s">
        <v>23</v>
      </c>
      <c r="S6581" s="1" t="s">
        <v>34218</v>
      </c>
    </row>
    <row r="6582" spans="1:19" x14ac:dyDescent="0.25">
      <c r="A6582">
        <v>101130447</v>
      </c>
      <c r="B6582" t="s">
        <v>15796</v>
      </c>
      <c r="C6582" t="s">
        <v>2722</v>
      </c>
      <c r="G6582" t="s">
        <v>15797</v>
      </c>
      <c r="H6582" t="s">
        <v>4052</v>
      </c>
      <c r="I6582" t="s">
        <v>22</v>
      </c>
      <c r="J6582">
        <v>94574</v>
      </c>
      <c r="K6582">
        <v>9660</v>
      </c>
      <c r="L6582" t="s">
        <v>23</v>
      </c>
      <c r="M6582" t="s">
        <v>15797</v>
      </c>
      <c r="N6582" t="s">
        <v>4052</v>
      </c>
      <c r="O6582" t="s">
        <v>22</v>
      </c>
      <c r="P6582">
        <v>94574</v>
      </c>
      <c r="Q6582">
        <v>9660</v>
      </c>
      <c r="R6582" t="s">
        <v>23</v>
      </c>
      <c r="S6582" s="1" t="s">
        <v>34218</v>
      </c>
    </row>
    <row r="6583" spans="1:19" x14ac:dyDescent="0.25">
      <c r="A6583">
        <v>101130557</v>
      </c>
      <c r="B6583" t="s">
        <v>15798</v>
      </c>
      <c r="C6583" t="s">
        <v>1384</v>
      </c>
      <c r="G6583" t="s">
        <v>15799</v>
      </c>
      <c r="H6583" t="s">
        <v>8280</v>
      </c>
      <c r="I6583" t="s">
        <v>1097</v>
      </c>
      <c r="J6583">
        <v>40504</v>
      </c>
      <c r="K6583">
        <v>2212</v>
      </c>
      <c r="L6583" t="s">
        <v>23</v>
      </c>
      <c r="M6583" t="s">
        <v>15799</v>
      </c>
      <c r="N6583" t="s">
        <v>8280</v>
      </c>
      <c r="O6583" t="s">
        <v>1097</v>
      </c>
      <c r="P6583">
        <v>40504</v>
      </c>
      <c r="Q6583">
        <v>2212</v>
      </c>
      <c r="R6583" t="s">
        <v>23</v>
      </c>
      <c r="S6583" s="1" t="s">
        <v>34218</v>
      </c>
    </row>
    <row r="6584" spans="1:19" x14ac:dyDescent="0.25">
      <c r="A6584">
        <v>101138280</v>
      </c>
      <c r="B6584" t="s">
        <v>15800</v>
      </c>
      <c r="C6584" t="s">
        <v>3460</v>
      </c>
      <c r="G6584" t="s">
        <v>15801</v>
      </c>
      <c r="H6584" t="s">
        <v>6230</v>
      </c>
      <c r="I6584" t="s">
        <v>1387</v>
      </c>
      <c r="J6584">
        <v>36695</v>
      </c>
      <c r="K6584">
        <v>2305</v>
      </c>
      <c r="L6584" t="s">
        <v>23</v>
      </c>
      <c r="M6584" t="s">
        <v>15801</v>
      </c>
      <c r="N6584" t="s">
        <v>6230</v>
      </c>
      <c r="O6584" t="s">
        <v>1387</v>
      </c>
      <c r="P6584">
        <v>36695</v>
      </c>
      <c r="Q6584">
        <v>2305</v>
      </c>
      <c r="R6584" t="s">
        <v>23</v>
      </c>
      <c r="S6584" s="1" t="s">
        <v>34218</v>
      </c>
    </row>
    <row r="6585" spans="1:19" x14ac:dyDescent="0.25">
      <c r="A6585">
        <v>101139176</v>
      </c>
      <c r="B6585" t="s">
        <v>15802</v>
      </c>
      <c r="C6585" t="s">
        <v>54</v>
      </c>
      <c r="G6585" t="s">
        <v>15803</v>
      </c>
      <c r="H6585" t="s">
        <v>15804</v>
      </c>
      <c r="I6585" t="s">
        <v>117</v>
      </c>
      <c r="J6585">
        <v>13148</v>
      </c>
      <c r="K6585">
        <v>1408</v>
      </c>
      <c r="L6585" t="s">
        <v>23</v>
      </c>
      <c r="M6585" t="s">
        <v>15803</v>
      </c>
      <c r="N6585" t="s">
        <v>15804</v>
      </c>
      <c r="O6585" t="s">
        <v>117</v>
      </c>
      <c r="P6585">
        <v>13148</v>
      </c>
      <c r="Q6585">
        <v>1408</v>
      </c>
      <c r="R6585" t="s">
        <v>23</v>
      </c>
      <c r="S6585" s="1" t="s">
        <v>34218</v>
      </c>
    </row>
    <row r="6586" spans="1:19" x14ac:dyDescent="0.25">
      <c r="A6586">
        <v>101140230</v>
      </c>
      <c r="B6586" t="s">
        <v>15805</v>
      </c>
      <c r="C6586" t="s">
        <v>575</v>
      </c>
      <c r="F6586" t="str">
        <f>"3362493526"</f>
        <v>3362493526</v>
      </c>
      <c r="G6586" t="s">
        <v>15806</v>
      </c>
      <c r="H6586" t="s">
        <v>8280</v>
      </c>
      <c r="I6586" t="s">
        <v>446</v>
      </c>
      <c r="J6586">
        <v>27295</v>
      </c>
      <c r="K6586">
        <v>1932</v>
      </c>
      <c r="L6586" t="s">
        <v>23</v>
      </c>
      <c r="M6586" t="s">
        <v>15806</v>
      </c>
      <c r="N6586" t="s">
        <v>8280</v>
      </c>
      <c r="O6586" t="s">
        <v>446</v>
      </c>
      <c r="P6586">
        <v>27295</v>
      </c>
      <c r="Q6586">
        <v>1932</v>
      </c>
      <c r="R6586" t="s">
        <v>23</v>
      </c>
      <c r="S6586" s="1" t="s">
        <v>34218</v>
      </c>
    </row>
    <row r="6587" spans="1:19" x14ac:dyDescent="0.25">
      <c r="A6587">
        <v>101139353</v>
      </c>
      <c r="B6587" t="s">
        <v>15807</v>
      </c>
      <c r="C6587" t="s">
        <v>158</v>
      </c>
      <c r="G6587" t="s">
        <v>15808</v>
      </c>
      <c r="H6587" t="s">
        <v>931</v>
      </c>
      <c r="I6587" t="s">
        <v>22</v>
      </c>
      <c r="J6587">
        <v>95032</v>
      </c>
      <c r="K6587">
        <v>5422</v>
      </c>
      <c r="L6587" t="s">
        <v>23</v>
      </c>
      <c r="M6587" t="s">
        <v>15808</v>
      </c>
      <c r="N6587" t="s">
        <v>931</v>
      </c>
      <c r="O6587" t="s">
        <v>22</v>
      </c>
      <c r="P6587">
        <v>95032</v>
      </c>
      <c r="Q6587">
        <v>5422</v>
      </c>
      <c r="R6587" t="s">
        <v>23</v>
      </c>
      <c r="S6587" s="1" t="s">
        <v>34218</v>
      </c>
    </row>
    <row r="6588" spans="1:19" x14ac:dyDescent="0.25">
      <c r="A6588">
        <v>101138752</v>
      </c>
      <c r="B6588" t="s">
        <v>15809</v>
      </c>
      <c r="C6588" t="s">
        <v>403</v>
      </c>
      <c r="G6588" t="s">
        <v>15810</v>
      </c>
      <c r="H6588" t="s">
        <v>2370</v>
      </c>
      <c r="I6588" t="s">
        <v>22</v>
      </c>
      <c r="J6588">
        <v>90230</v>
      </c>
      <c r="K6588">
        <v>5539</v>
      </c>
      <c r="L6588" t="s">
        <v>23</v>
      </c>
      <c r="M6588" t="s">
        <v>15810</v>
      </c>
      <c r="N6588" t="s">
        <v>2370</v>
      </c>
      <c r="O6588" t="s">
        <v>22</v>
      </c>
      <c r="P6588">
        <v>90230</v>
      </c>
      <c r="Q6588">
        <v>5539</v>
      </c>
      <c r="R6588" t="s">
        <v>23</v>
      </c>
      <c r="S6588" s="1" t="s">
        <v>34218</v>
      </c>
    </row>
    <row r="6589" spans="1:19" x14ac:dyDescent="0.25">
      <c r="A6589">
        <v>101143043</v>
      </c>
      <c r="B6589" t="s">
        <v>15811</v>
      </c>
      <c r="C6589" t="s">
        <v>15812</v>
      </c>
      <c r="G6589" t="s">
        <v>15813</v>
      </c>
      <c r="H6589" t="s">
        <v>15814</v>
      </c>
      <c r="I6589" t="s">
        <v>161</v>
      </c>
      <c r="J6589">
        <v>6791</v>
      </c>
      <c r="K6589">
        <v>2401</v>
      </c>
      <c r="L6589" t="s">
        <v>23</v>
      </c>
      <c r="M6589" t="s">
        <v>15813</v>
      </c>
      <c r="N6589" t="s">
        <v>15814</v>
      </c>
      <c r="O6589" t="s">
        <v>161</v>
      </c>
      <c r="P6589">
        <v>6791</v>
      </c>
      <c r="Q6589">
        <v>2401</v>
      </c>
      <c r="R6589" t="s">
        <v>23</v>
      </c>
      <c r="S6589" s="1" t="s">
        <v>34218</v>
      </c>
    </row>
    <row r="6590" spans="1:19" x14ac:dyDescent="0.25">
      <c r="A6590">
        <v>101143196</v>
      </c>
      <c r="B6590" t="s">
        <v>3130</v>
      </c>
      <c r="C6590" t="s">
        <v>15815</v>
      </c>
      <c r="F6590" t="str">
        <f>"7777777777"</f>
        <v>7777777777</v>
      </c>
      <c r="G6590" t="s">
        <v>15816</v>
      </c>
      <c r="H6590" t="s">
        <v>15817</v>
      </c>
      <c r="I6590" t="s">
        <v>178</v>
      </c>
      <c r="J6590">
        <v>44077</v>
      </c>
      <c r="K6590">
        <v>3348</v>
      </c>
      <c r="L6590" t="s">
        <v>23</v>
      </c>
      <c r="M6590" t="s">
        <v>15816</v>
      </c>
      <c r="N6590" t="s">
        <v>15817</v>
      </c>
      <c r="O6590" t="s">
        <v>178</v>
      </c>
      <c r="P6590">
        <v>44077</v>
      </c>
      <c r="Q6590">
        <v>3348</v>
      </c>
      <c r="R6590" t="s">
        <v>23</v>
      </c>
      <c r="S6590" s="1" t="s">
        <v>34218</v>
      </c>
    </row>
    <row r="6591" spans="1:19" x14ac:dyDescent="0.25">
      <c r="A6591">
        <v>101142705</v>
      </c>
      <c r="B6591" t="s">
        <v>1007</v>
      </c>
      <c r="C6591" t="s">
        <v>2173</v>
      </c>
      <c r="G6591" t="s">
        <v>15818</v>
      </c>
      <c r="H6591" t="s">
        <v>15819</v>
      </c>
      <c r="I6591" t="s">
        <v>33</v>
      </c>
      <c r="J6591">
        <v>19438</v>
      </c>
      <c r="K6591">
        <v>1623</v>
      </c>
      <c r="L6591" t="s">
        <v>23</v>
      </c>
      <c r="M6591" t="s">
        <v>15818</v>
      </c>
      <c r="N6591" t="s">
        <v>15819</v>
      </c>
      <c r="O6591" t="s">
        <v>33</v>
      </c>
      <c r="P6591">
        <v>19438</v>
      </c>
      <c r="Q6591">
        <v>1623</v>
      </c>
      <c r="R6591" t="s">
        <v>23</v>
      </c>
      <c r="S6591" s="1" t="s">
        <v>34218</v>
      </c>
    </row>
    <row r="6592" spans="1:19" x14ac:dyDescent="0.25">
      <c r="A6592">
        <v>101148605</v>
      </c>
      <c r="B6592" t="s">
        <v>15820</v>
      </c>
      <c r="C6592" t="s">
        <v>621</v>
      </c>
      <c r="F6592" t="str">
        <f>"6077980946"</f>
        <v>6077980946</v>
      </c>
      <c r="G6592" t="s">
        <v>15821</v>
      </c>
      <c r="H6592" t="s">
        <v>1308</v>
      </c>
      <c r="I6592" t="s">
        <v>117</v>
      </c>
      <c r="J6592">
        <v>13904</v>
      </c>
      <c r="K6592">
        <v>1139</v>
      </c>
      <c r="L6592" t="s">
        <v>23</v>
      </c>
      <c r="M6592" t="s">
        <v>15821</v>
      </c>
      <c r="N6592" t="s">
        <v>1308</v>
      </c>
      <c r="O6592" t="s">
        <v>117</v>
      </c>
      <c r="P6592">
        <v>13904</v>
      </c>
      <c r="Q6592">
        <v>1139</v>
      </c>
      <c r="R6592" t="s">
        <v>23</v>
      </c>
      <c r="S6592" s="1" t="s">
        <v>34218</v>
      </c>
    </row>
    <row r="6593" spans="1:19" x14ac:dyDescent="0.25">
      <c r="A6593">
        <v>101389143</v>
      </c>
      <c r="B6593" t="s">
        <v>4902</v>
      </c>
      <c r="C6593" t="s">
        <v>15822</v>
      </c>
      <c r="G6593" t="s">
        <v>15823</v>
      </c>
      <c r="H6593" t="s">
        <v>15824</v>
      </c>
      <c r="I6593" t="s">
        <v>153</v>
      </c>
      <c r="J6593">
        <v>70072</v>
      </c>
      <c r="K6593">
        <v>6020</v>
      </c>
      <c r="L6593" t="s">
        <v>23</v>
      </c>
      <c r="M6593" t="s">
        <v>15823</v>
      </c>
      <c r="N6593" t="s">
        <v>15824</v>
      </c>
      <c r="O6593" t="s">
        <v>153</v>
      </c>
      <c r="P6593">
        <v>70072</v>
      </c>
      <c r="Q6593">
        <v>6020</v>
      </c>
      <c r="R6593" t="s">
        <v>23</v>
      </c>
      <c r="S6593" s="1" t="s">
        <v>34218</v>
      </c>
    </row>
    <row r="6594" spans="1:19" x14ac:dyDescent="0.25">
      <c r="A6594">
        <v>101386688</v>
      </c>
      <c r="B6594" t="s">
        <v>15405</v>
      </c>
      <c r="C6594" t="s">
        <v>8322</v>
      </c>
      <c r="F6594" t="str">
        <f>"5185973432"</f>
        <v>5185973432</v>
      </c>
      <c r="G6594" t="s">
        <v>15825</v>
      </c>
      <c r="H6594" t="s">
        <v>15826</v>
      </c>
      <c r="I6594" t="s">
        <v>117</v>
      </c>
      <c r="J6594">
        <v>12928</v>
      </c>
      <c r="K6594">
        <v>2109</v>
      </c>
      <c r="L6594" t="s">
        <v>23</v>
      </c>
      <c r="M6594" t="s">
        <v>15825</v>
      </c>
      <c r="N6594" t="s">
        <v>15826</v>
      </c>
      <c r="O6594" t="s">
        <v>117</v>
      </c>
      <c r="P6594">
        <v>12928</v>
      </c>
      <c r="Q6594">
        <v>2109</v>
      </c>
      <c r="R6594" t="s">
        <v>23</v>
      </c>
      <c r="S6594" s="1" t="s">
        <v>34218</v>
      </c>
    </row>
    <row r="6595" spans="1:19" x14ac:dyDescent="0.25">
      <c r="A6595">
        <v>101390789</v>
      </c>
      <c r="B6595" t="s">
        <v>15827</v>
      </c>
      <c r="C6595" t="s">
        <v>7240</v>
      </c>
      <c r="G6595" t="s">
        <v>15828</v>
      </c>
      <c r="H6595" t="s">
        <v>15829</v>
      </c>
      <c r="I6595" t="s">
        <v>250</v>
      </c>
      <c r="J6595">
        <v>7825</v>
      </c>
      <c r="K6595">
        <v>477</v>
      </c>
      <c r="L6595" t="s">
        <v>23</v>
      </c>
      <c r="M6595" t="s">
        <v>15828</v>
      </c>
      <c r="N6595" t="s">
        <v>15829</v>
      </c>
      <c r="O6595" t="s">
        <v>250</v>
      </c>
      <c r="P6595">
        <v>7825</v>
      </c>
      <c r="Q6595">
        <v>477</v>
      </c>
      <c r="R6595" t="s">
        <v>23</v>
      </c>
      <c r="S6595" s="1" t="s">
        <v>34218</v>
      </c>
    </row>
    <row r="6596" spans="1:19" x14ac:dyDescent="0.25">
      <c r="A6596">
        <v>101388751</v>
      </c>
      <c r="B6596" t="s">
        <v>15830</v>
      </c>
      <c r="C6596" t="s">
        <v>1835</v>
      </c>
      <c r="G6596" t="s">
        <v>15831</v>
      </c>
      <c r="H6596" t="s">
        <v>3091</v>
      </c>
      <c r="I6596" t="s">
        <v>22</v>
      </c>
      <c r="J6596">
        <v>90245</v>
      </c>
      <c r="K6596">
        <v>2454</v>
      </c>
      <c r="L6596" t="s">
        <v>23</v>
      </c>
      <c r="M6596" t="s">
        <v>15831</v>
      </c>
      <c r="N6596" t="s">
        <v>3091</v>
      </c>
      <c r="O6596" t="s">
        <v>22</v>
      </c>
      <c r="P6596">
        <v>90245</v>
      </c>
      <c r="Q6596">
        <v>2454</v>
      </c>
      <c r="R6596" t="s">
        <v>23</v>
      </c>
      <c r="S6596" s="1" t="s">
        <v>34218</v>
      </c>
    </row>
    <row r="6597" spans="1:19" x14ac:dyDescent="0.25">
      <c r="A6597">
        <v>101395569</v>
      </c>
      <c r="B6597" t="s">
        <v>15832</v>
      </c>
      <c r="C6597" t="s">
        <v>2411</v>
      </c>
      <c r="G6597" t="s">
        <v>15833</v>
      </c>
      <c r="H6597" t="s">
        <v>2407</v>
      </c>
      <c r="I6597" t="s">
        <v>52</v>
      </c>
      <c r="J6597">
        <v>33764</v>
      </c>
      <c r="K6597">
        <v>6972</v>
      </c>
      <c r="L6597" t="s">
        <v>23</v>
      </c>
      <c r="M6597" t="s">
        <v>15833</v>
      </c>
      <c r="N6597" t="s">
        <v>2407</v>
      </c>
      <c r="O6597" t="s">
        <v>52</v>
      </c>
      <c r="P6597">
        <v>33764</v>
      </c>
      <c r="Q6597">
        <v>6972</v>
      </c>
      <c r="R6597" t="s">
        <v>23</v>
      </c>
      <c r="S6597" s="1" t="s">
        <v>34218</v>
      </c>
    </row>
    <row r="6598" spans="1:19" x14ac:dyDescent="0.25">
      <c r="A6598">
        <v>101411682</v>
      </c>
      <c r="B6598" t="s">
        <v>15834</v>
      </c>
      <c r="C6598" t="s">
        <v>123</v>
      </c>
      <c r="G6598" t="s">
        <v>15835</v>
      </c>
      <c r="H6598" t="s">
        <v>591</v>
      </c>
      <c r="I6598" t="s">
        <v>84</v>
      </c>
      <c r="J6598">
        <v>98229</v>
      </c>
      <c r="K6598">
        <v>4058</v>
      </c>
      <c r="L6598" t="s">
        <v>23</v>
      </c>
      <c r="M6598" t="s">
        <v>15835</v>
      </c>
      <c r="N6598" t="s">
        <v>591</v>
      </c>
      <c r="O6598" t="s">
        <v>84</v>
      </c>
      <c r="P6598">
        <v>98229</v>
      </c>
      <c r="Q6598">
        <v>4058</v>
      </c>
      <c r="R6598" t="s">
        <v>23</v>
      </c>
      <c r="S6598" s="1" t="s">
        <v>34218</v>
      </c>
    </row>
    <row r="6599" spans="1:19" x14ac:dyDescent="0.25">
      <c r="A6599">
        <v>100686937</v>
      </c>
      <c r="B6599" t="s">
        <v>15836</v>
      </c>
      <c r="C6599" t="s">
        <v>403</v>
      </c>
      <c r="G6599" t="s">
        <v>15837</v>
      </c>
      <c r="H6599" t="s">
        <v>11491</v>
      </c>
      <c r="I6599" t="s">
        <v>178</v>
      </c>
      <c r="J6599">
        <v>43123</v>
      </c>
      <c r="K6599">
        <v>2030</v>
      </c>
      <c r="L6599" t="s">
        <v>23</v>
      </c>
      <c r="M6599" t="s">
        <v>15837</v>
      </c>
      <c r="N6599" t="s">
        <v>11491</v>
      </c>
      <c r="O6599" t="s">
        <v>178</v>
      </c>
      <c r="P6599">
        <v>43123</v>
      </c>
      <c r="Q6599">
        <v>2030</v>
      </c>
      <c r="R6599" t="s">
        <v>23</v>
      </c>
      <c r="S6599" s="1" t="s">
        <v>34218</v>
      </c>
    </row>
    <row r="6600" spans="1:19" x14ac:dyDescent="0.25">
      <c r="A6600">
        <v>100688690</v>
      </c>
      <c r="B6600" t="s">
        <v>15838</v>
      </c>
      <c r="C6600" t="s">
        <v>15839</v>
      </c>
      <c r="G6600" t="s">
        <v>15840</v>
      </c>
      <c r="H6600" t="s">
        <v>8997</v>
      </c>
      <c r="I6600" t="s">
        <v>662</v>
      </c>
      <c r="J6600">
        <v>2906</v>
      </c>
      <c r="K6600">
        <v>2720</v>
      </c>
      <c r="L6600" t="s">
        <v>23</v>
      </c>
      <c r="M6600" t="s">
        <v>15840</v>
      </c>
      <c r="N6600" t="s">
        <v>8997</v>
      </c>
      <c r="O6600" t="s">
        <v>662</v>
      </c>
      <c r="P6600">
        <v>2906</v>
      </c>
      <c r="Q6600">
        <v>2720</v>
      </c>
      <c r="R6600" t="s">
        <v>23</v>
      </c>
      <c r="S6600" s="1" t="s">
        <v>34218</v>
      </c>
    </row>
    <row r="6601" spans="1:19" x14ac:dyDescent="0.25">
      <c r="A6601">
        <v>100691739</v>
      </c>
      <c r="B6601" t="s">
        <v>15841</v>
      </c>
      <c r="C6601" t="s">
        <v>1506</v>
      </c>
      <c r="G6601" t="s">
        <v>15842</v>
      </c>
      <c r="H6601" t="s">
        <v>202</v>
      </c>
      <c r="I6601" t="s">
        <v>327</v>
      </c>
      <c r="J6601">
        <v>25033</v>
      </c>
      <c r="K6601">
        <v>7302</v>
      </c>
      <c r="L6601" t="s">
        <v>23</v>
      </c>
      <c r="M6601" t="s">
        <v>15842</v>
      </c>
      <c r="N6601" t="s">
        <v>202</v>
      </c>
      <c r="O6601" t="s">
        <v>327</v>
      </c>
      <c r="P6601">
        <v>25033</v>
      </c>
      <c r="Q6601">
        <v>7302</v>
      </c>
      <c r="R6601" t="s">
        <v>23</v>
      </c>
      <c r="S6601" s="1" t="s">
        <v>34218</v>
      </c>
    </row>
    <row r="6602" spans="1:19" x14ac:dyDescent="0.25">
      <c r="A6602">
        <v>100690178</v>
      </c>
      <c r="B6602" t="s">
        <v>15843</v>
      </c>
      <c r="C6602" t="s">
        <v>15844</v>
      </c>
      <c r="G6602" t="s">
        <v>15845</v>
      </c>
      <c r="H6602" t="s">
        <v>15350</v>
      </c>
      <c r="I6602" t="s">
        <v>984</v>
      </c>
      <c r="J6602">
        <v>96727</v>
      </c>
      <c r="K6602">
        <v>1764</v>
      </c>
      <c r="L6602" t="s">
        <v>23</v>
      </c>
      <c r="M6602" t="s">
        <v>15845</v>
      </c>
      <c r="N6602" t="s">
        <v>15350</v>
      </c>
      <c r="O6602" t="s">
        <v>984</v>
      </c>
      <c r="P6602">
        <v>96727</v>
      </c>
      <c r="Q6602">
        <v>1764</v>
      </c>
      <c r="R6602" t="s">
        <v>23</v>
      </c>
      <c r="S6602" s="1" t="s">
        <v>34218</v>
      </c>
    </row>
    <row r="6603" spans="1:19" x14ac:dyDescent="0.25">
      <c r="A6603">
        <v>100691003</v>
      </c>
      <c r="B6603" t="s">
        <v>15846</v>
      </c>
      <c r="C6603" t="s">
        <v>119</v>
      </c>
      <c r="G6603" t="s">
        <v>15847</v>
      </c>
      <c r="H6603" t="s">
        <v>364</v>
      </c>
      <c r="I6603" t="s">
        <v>365</v>
      </c>
      <c r="J6603">
        <v>86314</v>
      </c>
      <c r="K6603">
        <v>7681</v>
      </c>
      <c r="L6603" t="s">
        <v>23</v>
      </c>
      <c r="M6603" t="s">
        <v>15847</v>
      </c>
      <c r="N6603" t="s">
        <v>364</v>
      </c>
      <c r="O6603" t="s">
        <v>365</v>
      </c>
      <c r="P6603">
        <v>86314</v>
      </c>
      <c r="Q6603">
        <v>7681</v>
      </c>
      <c r="R6603" t="s">
        <v>23</v>
      </c>
      <c r="S6603" s="1" t="s">
        <v>34218</v>
      </c>
    </row>
    <row r="6604" spans="1:19" x14ac:dyDescent="0.25">
      <c r="A6604">
        <v>100690328</v>
      </c>
      <c r="B6604" t="s">
        <v>15848</v>
      </c>
      <c r="C6604" t="s">
        <v>15849</v>
      </c>
      <c r="G6604" t="s">
        <v>15850</v>
      </c>
      <c r="H6604" t="s">
        <v>3963</v>
      </c>
      <c r="I6604" t="s">
        <v>52</v>
      </c>
      <c r="J6604">
        <v>33134</v>
      </c>
      <c r="K6604">
        <v>1412</v>
      </c>
      <c r="L6604" t="s">
        <v>23</v>
      </c>
      <c r="M6604" t="s">
        <v>15850</v>
      </c>
      <c r="N6604" t="s">
        <v>3963</v>
      </c>
      <c r="O6604" t="s">
        <v>52</v>
      </c>
      <c r="P6604">
        <v>33134</v>
      </c>
      <c r="Q6604">
        <v>1412</v>
      </c>
      <c r="R6604" t="s">
        <v>23</v>
      </c>
      <c r="S6604" s="1" t="s">
        <v>34218</v>
      </c>
    </row>
    <row r="6605" spans="1:19" x14ac:dyDescent="0.25">
      <c r="A6605">
        <v>100689398</v>
      </c>
      <c r="B6605" t="s">
        <v>15851</v>
      </c>
      <c r="C6605" t="s">
        <v>911</v>
      </c>
      <c r="G6605" t="s">
        <v>15852</v>
      </c>
      <c r="H6605" t="s">
        <v>1600</v>
      </c>
      <c r="I6605" t="s">
        <v>117</v>
      </c>
      <c r="J6605">
        <v>13110</v>
      </c>
      <c r="K6605">
        <v>3131</v>
      </c>
      <c r="L6605" t="s">
        <v>23</v>
      </c>
      <c r="M6605" t="s">
        <v>15852</v>
      </c>
      <c r="N6605" t="s">
        <v>1600</v>
      </c>
      <c r="O6605" t="s">
        <v>117</v>
      </c>
      <c r="P6605">
        <v>13110</v>
      </c>
      <c r="Q6605">
        <v>3131</v>
      </c>
      <c r="R6605" t="s">
        <v>23</v>
      </c>
      <c r="S6605" s="1" t="s">
        <v>34218</v>
      </c>
    </row>
    <row r="6606" spans="1:19" x14ac:dyDescent="0.25">
      <c r="A6606">
        <v>100699897</v>
      </c>
      <c r="B6606" t="s">
        <v>15853</v>
      </c>
      <c r="C6606" t="s">
        <v>15854</v>
      </c>
      <c r="G6606" t="s">
        <v>15855</v>
      </c>
      <c r="H6606" t="s">
        <v>8537</v>
      </c>
      <c r="I6606" t="s">
        <v>52</v>
      </c>
      <c r="J6606">
        <v>32726</v>
      </c>
      <c r="K6606">
        <v>1916</v>
      </c>
      <c r="L6606" t="s">
        <v>23</v>
      </c>
      <c r="M6606" t="s">
        <v>15855</v>
      </c>
      <c r="N6606" t="s">
        <v>8537</v>
      </c>
      <c r="O6606" t="s">
        <v>52</v>
      </c>
      <c r="P6606">
        <v>32726</v>
      </c>
      <c r="Q6606">
        <v>1916</v>
      </c>
      <c r="R6606" t="s">
        <v>23</v>
      </c>
      <c r="S6606" s="1" t="s">
        <v>34218</v>
      </c>
    </row>
    <row r="6607" spans="1:19" x14ac:dyDescent="0.25">
      <c r="A6607">
        <v>100702828</v>
      </c>
      <c r="B6607" t="s">
        <v>15856</v>
      </c>
      <c r="C6607" t="s">
        <v>286</v>
      </c>
      <c r="G6607" t="s">
        <v>15857</v>
      </c>
      <c r="H6607" t="s">
        <v>186</v>
      </c>
      <c r="I6607" t="s">
        <v>187</v>
      </c>
      <c r="J6607">
        <v>55345</v>
      </c>
      <c r="K6607">
        <v>6624</v>
      </c>
      <c r="L6607" t="s">
        <v>23</v>
      </c>
      <c r="M6607" t="s">
        <v>15857</v>
      </c>
      <c r="N6607" t="s">
        <v>186</v>
      </c>
      <c r="O6607" t="s">
        <v>187</v>
      </c>
      <c r="P6607">
        <v>55345</v>
      </c>
      <c r="Q6607">
        <v>6624</v>
      </c>
      <c r="R6607" t="s">
        <v>23</v>
      </c>
      <c r="S6607" s="1" t="s">
        <v>34218</v>
      </c>
    </row>
    <row r="6608" spans="1:19" x14ac:dyDescent="0.25">
      <c r="A6608">
        <v>100707423</v>
      </c>
      <c r="B6608" t="s">
        <v>15858</v>
      </c>
      <c r="C6608" t="s">
        <v>123</v>
      </c>
      <c r="G6608" t="s">
        <v>15859</v>
      </c>
      <c r="H6608" t="s">
        <v>15860</v>
      </c>
      <c r="I6608" t="s">
        <v>140</v>
      </c>
      <c r="J6608">
        <v>48324</v>
      </c>
      <c r="K6608">
        <v>2309</v>
      </c>
      <c r="L6608" t="s">
        <v>23</v>
      </c>
      <c r="M6608" t="s">
        <v>15859</v>
      </c>
      <c r="N6608" t="s">
        <v>15860</v>
      </c>
      <c r="O6608" t="s">
        <v>140</v>
      </c>
      <c r="P6608">
        <v>48324</v>
      </c>
      <c r="Q6608">
        <v>2309</v>
      </c>
      <c r="R6608" t="s">
        <v>23</v>
      </c>
      <c r="S6608" s="1" t="s">
        <v>34218</v>
      </c>
    </row>
    <row r="6609" spans="1:19" x14ac:dyDescent="0.25">
      <c r="A6609">
        <v>100706102</v>
      </c>
      <c r="B6609" t="s">
        <v>4975</v>
      </c>
      <c r="C6609" t="s">
        <v>1124</v>
      </c>
      <c r="G6609" t="s">
        <v>15861</v>
      </c>
      <c r="H6609" t="s">
        <v>1531</v>
      </c>
      <c r="I6609" t="s">
        <v>84</v>
      </c>
      <c r="J6609">
        <v>98144</v>
      </c>
      <c r="K6609">
        <v>3463</v>
      </c>
      <c r="L6609" t="s">
        <v>23</v>
      </c>
      <c r="M6609" t="s">
        <v>15861</v>
      </c>
      <c r="N6609" t="s">
        <v>1531</v>
      </c>
      <c r="O6609" t="s">
        <v>84</v>
      </c>
      <c r="P6609">
        <v>98144</v>
      </c>
      <c r="Q6609">
        <v>3463</v>
      </c>
      <c r="R6609" t="s">
        <v>23</v>
      </c>
      <c r="S6609" s="1" t="s">
        <v>34218</v>
      </c>
    </row>
    <row r="6610" spans="1:19" x14ac:dyDescent="0.25">
      <c r="A6610">
        <v>100889165</v>
      </c>
      <c r="B6610" t="s">
        <v>15862</v>
      </c>
      <c r="C6610" t="s">
        <v>2767</v>
      </c>
      <c r="G6610" t="s">
        <v>15863</v>
      </c>
      <c r="H6610" t="s">
        <v>10374</v>
      </c>
      <c r="I6610" t="s">
        <v>236</v>
      </c>
      <c r="J6610">
        <v>2360</v>
      </c>
      <c r="K6610">
        <v>2471</v>
      </c>
      <c r="L6610" t="s">
        <v>23</v>
      </c>
      <c r="M6610" t="s">
        <v>15863</v>
      </c>
      <c r="N6610" t="s">
        <v>10374</v>
      </c>
      <c r="O6610" t="s">
        <v>236</v>
      </c>
      <c r="P6610">
        <v>2360</v>
      </c>
      <c r="Q6610">
        <v>2471</v>
      </c>
      <c r="R6610" t="s">
        <v>23</v>
      </c>
      <c r="S6610" s="1" t="s">
        <v>34218</v>
      </c>
    </row>
    <row r="6611" spans="1:19" x14ac:dyDescent="0.25">
      <c r="A6611">
        <v>100898854</v>
      </c>
      <c r="B6611" t="s">
        <v>15864</v>
      </c>
      <c r="C6611" t="s">
        <v>1835</v>
      </c>
      <c r="G6611" t="s">
        <v>15865</v>
      </c>
      <c r="H6611" t="s">
        <v>15866</v>
      </c>
      <c r="I6611" t="s">
        <v>38</v>
      </c>
      <c r="J6611">
        <v>78155</v>
      </c>
      <c r="K6611">
        <v>8173</v>
      </c>
      <c r="L6611" t="s">
        <v>23</v>
      </c>
      <c r="M6611" t="s">
        <v>15865</v>
      </c>
      <c r="N6611" t="s">
        <v>15866</v>
      </c>
      <c r="O6611" t="s">
        <v>38</v>
      </c>
      <c r="P6611">
        <v>78155</v>
      </c>
      <c r="Q6611">
        <v>8173</v>
      </c>
      <c r="R6611" t="s">
        <v>23</v>
      </c>
      <c r="S6611" s="1" t="s">
        <v>34218</v>
      </c>
    </row>
    <row r="6612" spans="1:19" x14ac:dyDescent="0.25">
      <c r="A6612">
        <v>100902202</v>
      </c>
      <c r="B6612" t="s">
        <v>15867</v>
      </c>
      <c r="C6612" t="s">
        <v>644</v>
      </c>
      <c r="G6612" t="s">
        <v>15868</v>
      </c>
      <c r="H6612" t="s">
        <v>15869</v>
      </c>
      <c r="I6612" t="s">
        <v>84</v>
      </c>
      <c r="J6612">
        <v>98671</v>
      </c>
      <c r="K6612">
        <v>8534</v>
      </c>
      <c r="L6612" t="s">
        <v>23</v>
      </c>
      <c r="M6612" t="s">
        <v>15868</v>
      </c>
      <c r="N6612" t="s">
        <v>15869</v>
      </c>
      <c r="O6612" t="s">
        <v>84</v>
      </c>
      <c r="P6612">
        <v>98671</v>
      </c>
      <c r="Q6612">
        <v>8534</v>
      </c>
      <c r="R6612" t="s">
        <v>23</v>
      </c>
      <c r="S6612" s="1" t="s">
        <v>34218</v>
      </c>
    </row>
    <row r="6613" spans="1:19" x14ac:dyDescent="0.25">
      <c r="A6613">
        <v>100905056</v>
      </c>
      <c r="B6613" t="s">
        <v>15870</v>
      </c>
      <c r="C6613" t="s">
        <v>2512</v>
      </c>
      <c r="G6613" t="s">
        <v>15871</v>
      </c>
      <c r="H6613" t="s">
        <v>299</v>
      </c>
      <c r="I6613" t="s">
        <v>22</v>
      </c>
      <c r="J6613">
        <v>90036</v>
      </c>
      <c r="K6613">
        <v>4968</v>
      </c>
      <c r="L6613" t="s">
        <v>23</v>
      </c>
      <c r="M6613" t="s">
        <v>15871</v>
      </c>
      <c r="N6613" t="s">
        <v>299</v>
      </c>
      <c r="O6613" t="s">
        <v>22</v>
      </c>
      <c r="P6613">
        <v>90036</v>
      </c>
      <c r="Q6613">
        <v>4968</v>
      </c>
      <c r="R6613" t="s">
        <v>23</v>
      </c>
      <c r="S6613" s="1" t="s">
        <v>34218</v>
      </c>
    </row>
    <row r="6614" spans="1:19" x14ac:dyDescent="0.25">
      <c r="A6614">
        <v>100902379</v>
      </c>
      <c r="B6614" t="s">
        <v>15872</v>
      </c>
      <c r="C6614" t="s">
        <v>522</v>
      </c>
      <c r="G6614" t="s">
        <v>15873</v>
      </c>
      <c r="H6614" t="s">
        <v>1001</v>
      </c>
      <c r="I6614" t="s">
        <v>135</v>
      </c>
      <c r="J6614">
        <v>62985</v>
      </c>
      <c r="K6614">
        <v>2220</v>
      </c>
      <c r="L6614" t="s">
        <v>23</v>
      </c>
      <c r="M6614" t="s">
        <v>15873</v>
      </c>
      <c r="N6614" t="s">
        <v>1001</v>
      </c>
      <c r="O6614" t="s">
        <v>135</v>
      </c>
      <c r="P6614">
        <v>62985</v>
      </c>
      <c r="Q6614">
        <v>2220</v>
      </c>
      <c r="R6614" t="s">
        <v>23</v>
      </c>
      <c r="S6614" s="1" t="s">
        <v>34218</v>
      </c>
    </row>
    <row r="6615" spans="1:19" x14ac:dyDescent="0.25">
      <c r="A6615">
        <v>100901573</v>
      </c>
      <c r="B6615" t="s">
        <v>15874</v>
      </c>
      <c r="C6615" t="s">
        <v>2796</v>
      </c>
      <c r="G6615" t="s">
        <v>15875</v>
      </c>
      <c r="H6615" t="s">
        <v>10819</v>
      </c>
      <c r="I6615" t="s">
        <v>1387</v>
      </c>
      <c r="J6615">
        <v>35801</v>
      </c>
      <c r="K6615">
        <v>6201</v>
      </c>
      <c r="L6615" t="s">
        <v>23</v>
      </c>
      <c r="M6615" t="s">
        <v>15875</v>
      </c>
      <c r="N6615" t="s">
        <v>10819</v>
      </c>
      <c r="O6615" t="s">
        <v>1387</v>
      </c>
      <c r="P6615">
        <v>35801</v>
      </c>
      <c r="Q6615">
        <v>6201</v>
      </c>
      <c r="R6615" t="s">
        <v>23</v>
      </c>
      <c r="S6615" s="1" t="s">
        <v>34218</v>
      </c>
    </row>
    <row r="6616" spans="1:19" x14ac:dyDescent="0.25">
      <c r="A6616">
        <v>100901802</v>
      </c>
      <c r="B6616" t="s">
        <v>119</v>
      </c>
      <c r="C6616" t="s">
        <v>6279</v>
      </c>
      <c r="G6616" t="s">
        <v>15876</v>
      </c>
      <c r="H6616" t="s">
        <v>6224</v>
      </c>
      <c r="I6616" t="s">
        <v>914</v>
      </c>
      <c r="J6616">
        <v>37931</v>
      </c>
      <c r="K6616">
        <v>1632</v>
      </c>
      <c r="L6616" t="s">
        <v>23</v>
      </c>
      <c r="M6616" t="s">
        <v>15876</v>
      </c>
      <c r="N6616" t="s">
        <v>6224</v>
      </c>
      <c r="O6616" t="s">
        <v>914</v>
      </c>
      <c r="P6616">
        <v>37931</v>
      </c>
      <c r="Q6616">
        <v>1632</v>
      </c>
      <c r="R6616" t="s">
        <v>23</v>
      </c>
      <c r="S6616" s="1" t="s">
        <v>34218</v>
      </c>
    </row>
    <row r="6617" spans="1:19" x14ac:dyDescent="0.25">
      <c r="A6617">
        <v>100910067</v>
      </c>
      <c r="B6617" t="s">
        <v>15877</v>
      </c>
      <c r="C6617" t="s">
        <v>535</v>
      </c>
      <c r="G6617" t="s">
        <v>15878</v>
      </c>
      <c r="H6617" t="s">
        <v>15879</v>
      </c>
      <c r="I6617" t="s">
        <v>71</v>
      </c>
      <c r="J6617">
        <v>80621</v>
      </c>
      <c r="K6617">
        <v>4550</v>
      </c>
      <c r="L6617" t="s">
        <v>23</v>
      </c>
      <c r="M6617" t="s">
        <v>15878</v>
      </c>
      <c r="N6617" t="s">
        <v>15879</v>
      </c>
      <c r="O6617" t="s">
        <v>71</v>
      </c>
      <c r="P6617">
        <v>80621</v>
      </c>
      <c r="Q6617">
        <v>4550</v>
      </c>
      <c r="R6617" t="s">
        <v>23</v>
      </c>
      <c r="S6617" s="1" t="s">
        <v>34218</v>
      </c>
    </row>
    <row r="6618" spans="1:19" x14ac:dyDescent="0.25">
      <c r="A6618">
        <v>100912760</v>
      </c>
      <c r="B6618" t="s">
        <v>728</v>
      </c>
      <c r="C6618" t="s">
        <v>403</v>
      </c>
      <c r="G6618" t="s">
        <v>15880</v>
      </c>
      <c r="H6618" t="s">
        <v>5893</v>
      </c>
      <c r="I6618" t="s">
        <v>38</v>
      </c>
      <c r="J6618">
        <v>77808</v>
      </c>
      <c r="K6618">
        <v>2414</v>
      </c>
      <c r="L6618" t="s">
        <v>23</v>
      </c>
      <c r="M6618" t="s">
        <v>15880</v>
      </c>
      <c r="N6618" t="s">
        <v>5893</v>
      </c>
      <c r="O6618" t="s">
        <v>38</v>
      </c>
      <c r="P6618">
        <v>77808</v>
      </c>
      <c r="Q6618">
        <v>2414</v>
      </c>
      <c r="R6618" t="s">
        <v>23</v>
      </c>
      <c r="S6618" s="1" t="s">
        <v>34218</v>
      </c>
    </row>
    <row r="6619" spans="1:19" x14ac:dyDescent="0.25">
      <c r="A6619">
        <v>100907781</v>
      </c>
      <c r="B6619" t="s">
        <v>6666</v>
      </c>
      <c r="C6619" t="s">
        <v>627</v>
      </c>
      <c r="G6619" t="s">
        <v>15881</v>
      </c>
      <c r="H6619" t="s">
        <v>1431</v>
      </c>
      <c r="I6619" t="s">
        <v>639</v>
      </c>
      <c r="J6619">
        <v>87508</v>
      </c>
      <c r="K6619">
        <v>2333</v>
      </c>
      <c r="L6619" t="s">
        <v>23</v>
      </c>
      <c r="M6619" t="s">
        <v>15881</v>
      </c>
      <c r="N6619" t="s">
        <v>1431</v>
      </c>
      <c r="O6619" t="s">
        <v>639</v>
      </c>
      <c r="P6619">
        <v>87508</v>
      </c>
      <c r="Q6619">
        <v>2333</v>
      </c>
      <c r="R6619" t="s">
        <v>23</v>
      </c>
      <c r="S6619" s="1" t="s">
        <v>34218</v>
      </c>
    </row>
    <row r="6620" spans="1:19" x14ac:dyDescent="0.25">
      <c r="A6620">
        <v>100914492</v>
      </c>
      <c r="B6620" t="s">
        <v>15882</v>
      </c>
      <c r="C6620" t="s">
        <v>498</v>
      </c>
      <c r="G6620" t="s">
        <v>15883</v>
      </c>
      <c r="H6620" t="s">
        <v>5478</v>
      </c>
      <c r="I6620" t="s">
        <v>187</v>
      </c>
      <c r="J6620">
        <v>56475</v>
      </c>
      <c r="K6620">
        <v>2405</v>
      </c>
      <c r="L6620" t="s">
        <v>23</v>
      </c>
      <c r="M6620" t="s">
        <v>15883</v>
      </c>
      <c r="N6620" t="s">
        <v>5478</v>
      </c>
      <c r="O6620" t="s">
        <v>187</v>
      </c>
      <c r="P6620">
        <v>56475</v>
      </c>
      <c r="Q6620">
        <v>2405</v>
      </c>
      <c r="R6620" t="s">
        <v>23</v>
      </c>
      <c r="S6620" s="1" t="s">
        <v>34218</v>
      </c>
    </row>
    <row r="6621" spans="1:19" x14ac:dyDescent="0.25">
      <c r="A6621">
        <v>101101526</v>
      </c>
      <c r="B6621" t="s">
        <v>15884</v>
      </c>
      <c r="C6621" t="s">
        <v>2916</v>
      </c>
      <c r="G6621" t="s">
        <v>15885</v>
      </c>
      <c r="H6621" t="s">
        <v>15886</v>
      </c>
      <c r="I6621" t="s">
        <v>255</v>
      </c>
      <c r="J6621">
        <v>22964</v>
      </c>
      <c r="K6621">
        <v>96</v>
      </c>
      <c r="L6621" t="s">
        <v>23</v>
      </c>
      <c r="M6621" t="s">
        <v>15885</v>
      </c>
      <c r="N6621" t="s">
        <v>15886</v>
      </c>
      <c r="O6621" t="s">
        <v>255</v>
      </c>
      <c r="P6621">
        <v>22964</v>
      </c>
      <c r="Q6621">
        <v>96</v>
      </c>
      <c r="R6621" t="s">
        <v>23</v>
      </c>
      <c r="S6621" s="1" t="s">
        <v>34218</v>
      </c>
    </row>
    <row r="6622" spans="1:19" x14ac:dyDescent="0.25">
      <c r="A6622">
        <v>101106127</v>
      </c>
      <c r="B6622" t="s">
        <v>12777</v>
      </c>
      <c r="C6622" t="s">
        <v>3670</v>
      </c>
      <c r="G6622" t="s">
        <v>15887</v>
      </c>
      <c r="H6622" t="s">
        <v>15888</v>
      </c>
      <c r="I6622" t="s">
        <v>117</v>
      </c>
      <c r="J6622">
        <v>14760</v>
      </c>
      <c r="K6622">
        <v>9728</v>
      </c>
      <c r="L6622" t="s">
        <v>23</v>
      </c>
      <c r="M6622" t="s">
        <v>15887</v>
      </c>
      <c r="N6622" t="s">
        <v>15888</v>
      </c>
      <c r="O6622" t="s">
        <v>117</v>
      </c>
      <c r="P6622">
        <v>14760</v>
      </c>
      <c r="Q6622">
        <v>9728</v>
      </c>
      <c r="R6622" t="s">
        <v>23</v>
      </c>
      <c r="S6622" s="1" t="s">
        <v>34218</v>
      </c>
    </row>
    <row r="6623" spans="1:19" x14ac:dyDescent="0.25">
      <c r="A6623">
        <v>101105262</v>
      </c>
      <c r="B6623" t="s">
        <v>2689</v>
      </c>
      <c r="C6623" t="s">
        <v>286</v>
      </c>
      <c r="F6623" t="str">
        <f>"5304328712"</f>
        <v>5304328712</v>
      </c>
      <c r="G6623" t="s">
        <v>15889</v>
      </c>
      <c r="H6623" t="s">
        <v>8644</v>
      </c>
      <c r="I6623" t="s">
        <v>22</v>
      </c>
      <c r="J6623">
        <v>95946</v>
      </c>
      <c r="K6623">
        <v>9503</v>
      </c>
      <c r="L6623" t="s">
        <v>23</v>
      </c>
      <c r="M6623" t="s">
        <v>15889</v>
      </c>
      <c r="N6623" t="s">
        <v>8644</v>
      </c>
      <c r="O6623" t="s">
        <v>22</v>
      </c>
      <c r="P6623">
        <v>95946</v>
      </c>
      <c r="Q6623">
        <v>9503</v>
      </c>
      <c r="R6623" t="s">
        <v>23</v>
      </c>
      <c r="S6623" s="1" t="s">
        <v>34218</v>
      </c>
    </row>
    <row r="6624" spans="1:19" x14ac:dyDescent="0.25">
      <c r="A6624">
        <v>101107186</v>
      </c>
      <c r="B6624" t="s">
        <v>15890</v>
      </c>
      <c r="C6624" t="s">
        <v>216</v>
      </c>
      <c r="G6624" t="s">
        <v>15891</v>
      </c>
      <c r="H6624" t="s">
        <v>3867</v>
      </c>
      <c r="I6624" t="s">
        <v>38</v>
      </c>
      <c r="J6624">
        <v>75039</v>
      </c>
      <c r="K6624">
        <v>3934</v>
      </c>
      <c r="L6624" t="s">
        <v>23</v>
      </c>
      <c r="M6624" t="s">
        <v>15891</v>
      </c>
      <c r="N6624" t="s">
        <v>3867</v>
      </c>
      <c r="O6624" t="s">
        <v>38</v>
      </c>
      <c r="P6624">
        <v>75039</v>
      </c>
      <c r="Q6624">
        <v>3934</v>
      </c>
      <c r="R6624" t="s">
        <v>23</v>
      </c>
      <c r="S6624" s="1" t="s">
        <v>34218</v>
      </c>
    </row>
    <row r="6625" spans="1:19" x14ac:dyDescent="0.25">
      <c r="A6625">
        <v>101104241</v>
      </c>
      <c r="B6625" t="s">
        <v>8905</v>
      </c>
      <c r="C6625" t="s">
        <v>180</v>
      </c>
      <c r="F6625" t="str">
        <f>"4345891458"</f>
        <v>4345891458</v>
      </c>
      <c r="G6625" t="s">
        <v>15892</v>
      </c>
      <c r="H6625" t="s">
        <v>15893</v>
      </c>
      <c r="I6625" t="s">
        <v>255</v>
      </c>
      <c r="J6625">
        <v>23084</v>
      </c>
      <c r="K6625">
        <v>2344</v>
      </c>
      <c r="L6625" t="s">
        <v>23</v>
      </c>
      <c r="M6625" t="s">
        <v>15892</v>
      </c>
      <c r="N6625" t="s">
        <v>15893</v>
      </c>
      <c r="O6625" t="s">
        <v>255</v>
      </c>
      <c r="P6625">
        <v>23084</v>
      </c>
      <c r="Q6625">
        <v>2344</v>
      </c>
      <c r="R6625" t="s">
        <v>23</v>
      </c>
      <c r="S6625" s="1" t="s">
        <v>34218</v>
      </c>
    </row>
    <row r="6626" spans="1:19" x14ac:dyDescent="0.25">
      <c r="A6626">
        <v>101103502</v>
      </c>
      <c r="B6626" t="s">
        <v>15894</v>
      </c>
      <c r="C6626" t="s">
        <v>15895</v>
      </c>
      <c r="G6626" t="s">
        <v>15896</v>
      </c>
      <c r="H6626" t="s">
        <v>10374</v>
      </c>
      <c r="I6626" t="s">
        <v>187</v>
      </c>
      <c r="J6626">
        <v>55442</v>
      </c>
      <c r="K6626">
        <v>2305</v>
      </c>
      <c r="L6626" t="s">
        <v>23</v>
      </c>
      <c r="M6626" t="s">
        <v>15896</v>
      </c>
      <c r="N6626" t="s">
        <v>10374</v>
      </c>
      <c r="O6626" t="s">
        <v>187</v>
      </c>
      <c r="P6626">
        <v>55442</v>
      </c>
      <c r="Q6626">
        <v>2305</v>
      </c>
      <c r="R6626" t="s">
        <v>23</v>
      </c>
      <c r="S6626" s="1" t="s">
        <v>34218</v>
      </c>
    </row>
    <row r="6627" spans="1:19" x14ac:dyDescent="0.25">
      <c r="A6627">
        <v>101102814</v>
      </c>
      <c r="B6627" t="s">
        <v>15897</v>
      </c>
      <c r="C6627" t="s">
        <v>1824</v>
      </c>
      <c r="G6627" t="s">
        <v>15898</v>
      </c>
      <c r="H6627" t="s">
        <v>15899</v>
      </c>
      <c r="I6627" t="s">
        <v>255</v>
      </c>
      <c r="J6627">
        <v>22124</v>
      </c>
      <c r="K6627">
        <v>1716</v>
      </c>
      <c r="L6627" t="s">
        <v>23</v>
      </c>
      <c r="M6627" t="s">
        <v>15898</v>
      </c>
      <c r="N6627" t="s">
        <v>15899</v>
      </c>
      <c r="O6627" t="s">
        <v>255</v>
      </c>
      <c r="P6627">
        <v>22124</v>
      </c>
      <c r="Q6627">
        <v>1716</v>
      </c>
      <c r="R6627" t="s">
        <v>23</v>
      </c>
      <c r="S6627" s="1" t="s">
        <v>34218</v>
      </c>
    </row>
    <row r="6628" spans="1:19" x14ac:dyDescent="0.25">
      <c r="A6628">
        <v>101103464</v>
      </c>
      <c r="B6628" t="s">
        <v>15900</v>
      </c>
      <c r="C6628" t="s">
        <v>14329</v>
      </c>
      <c r="G6628" t="s">
        <v>15901</v>
      </c>
      <c r="H6628" t="s">
        <v>15902</v>
      </c>
      <c r="I6628" t="s">
        <v>236</v>
      </c>
      <c r="J6628">
        <v>2346</v>
      </c>
      <c r="K6628">
        <v>6386</v>
      </c>
      <c r="L6628" t="s">
        <v>23</v>
      </c>
      <c r="M6628" t="s">
        <v>15901</v>
      </c>
      <c r="N6628" t="s">
        <v>15902</v>
      </c>
      <c r="O6628" t="s">
        <v>236</v>
      </c>
      <c r="P6628">
        <v>2346</v>
      </c>
      <c r="Q6628">
        <v>6386</v>
      </c>
      <c r="R6628" t="s">
        <v>23</v>
      </c>
      <c r="S6628" s="1" t="s">
        <v>34218</v>
      </c>
    </row>
    <row r="6629" spans="1:19" x14ac:dyDescent="0.25">
      <c r="A6629">
        <v>100882483</v>
      </c>
      <c r="B6629" t="s">
        <v>15903</v>
      </c>
      <c r="C6629" t="s">
        <v>123</v>
      </c>
      <c r="G6629" t="s">
        <v>15904</v>
      </c>
      <c r="H6629" t="s">
        <v>573</v>
      </c>
      <c r="I6629" t="s">
        <v>33</v>
      </c>
      <c r="J6629">
        <v>19125</v>
      </c>
      <c r="K6629">
        <v>1536</v>
      </c>
      <c r="L6629" t="s">
        <v>23</v>
      </c>
      <c r="M6629" t="s">
        <v>15904</v>
      </c>
      <c r="N6629" t="s">
        <v>573</v>
      </c>
      <c r="O6629" t="s">
        <v>33</v>
      </c>
      <c r="P6629">
        <v>19125</v>
      </c>
      <c r="Q6629">
        <v>1536</v>
      </c>
      <c r="R6629" t="s">
        <v>23</v>
      </c>
      <c r="S6629" s="1" t="s">
        <v>34218</v>
      </c>
    </row>
    <row r="6630" spans="1:19" x14ac:dyDescent="0.25">
      <c r="A6630">
        <v>100883696</v>
      </c>
      <c r="B6630" t="s">
        <v>15905</v>
      </c>
      <c r="C6630" t="s">
        <v>894</v>
      </c>
      <c r="G6630" t="s">
        <v>15906</v>
      </c>
      <c r="H6630" t="s">
        <v>1439</v>
      </c>
      <c r="I6630" t="s">
        <v>365</v>
      </c>
      <c r="J6630">
        <v>85710</v>
      </c>
      <c r="K6630">
        <v>4118</v>
      </c>
      <c r="L6630" t="s">
        <v>23</v>
      </c>
      <c r="M6630" t="s">
        <v>15906</v>
      </c>
      <c r="N6630" t="s">
        <v>1439</v>
      </c>
      <c r="O6630" t="s">
        <v>365</v>
      </c>
      <c r="P6630">
        <v>85710</v>
      </c>
      <c r="Q6630">
        <v>4118</v>
      </c>
      <c r="R6630" t="s">
        <v>23</v>
      </c>
      <c r="S6630" s="1" t="s">
        <v>34218</v>
      </c>
    </row>
    <row r="6631" spans="1:19" x14ac:dyDescent="0.25">
      <c r="A6631">
        <v>100882014</v>
      </c>
      <c r="B6631" t="s">
        <v>6147</v>
      </c>
      <c r="C6631" t="s">
        <v>3747</v>
      </c>
      <c r="G6631" t="s">
        <v>15907</v>
      </c>
      <c r="H6631" t="s">
        <v>1086</v>
      </c>
      <c r="I6631" t="s">
        <v>307</v>
      </c>
      <c r="J6631">
        <v>5445</v>
      </c>
      <c r="K6631">
        <v>9168</v>
      </c>
      <c r="L6631" t="s">
        <v>23</v>
      </c>
      <c r="M6631" t="s">
        <v>15907</v>
      </c>
      <c r="N6631" t="s">
        <v>1086</v>
      </c>
      <c r="O6631" t="s">
        <v>307</v>
      </c>
      <c r="P6631">
        <v>5445</v>
      </c>
      <c r="Q6631">
        <v>9168</v>
      </c>
      <c r="R6631" t="s">
        <v>23</v>
      </c>
      <c r="S6631" s="1" t="s">
        <v>34218</v>
      </c>
    </row>
    <row r="6632" spans="1:19" x14ac:dyDescent="0.25">
      <c r="A6632">
        <v>100888295</v>
      </c>
      <c r="B6632" t="s">
        <v>15908</v>
      </c>
      <c r="C6632" t="s">
        <v>1818</v>
      </c>
      <c r="G6632" t="s">
        <v>15909</v>
      </c>
      <c r="H6632" t="s">
        <v>15432</v>
      </c>
      <c r="I6632" t="s">
        <v>28</v>
      </c>
      <c r="J6632">
        <v>30340</v>
      </c>
      <c r="K6632">
        <v>4222</v>
      </c>
      <c r="L6632" t="s">
        <v>23</v>
      </c>
      <c r="M6632" t="s">
        <v>15909</v>
      </c>
      <c r="N6632" t="s">
        <v>15432</v>
      </c>
      <c r="O6632" t="s">
        <v>28</v>
      </c>
      <c r="P6632">
        <v>30340</v>
      </c>
      <c r="Q6632">
        <v>4222</v>
      </c>
      <c r="R6632" t="s">
        <v>23</v>
      </c>
      <c r="S6632" s="1" t="s">
        <v>34218</v>
      </c>
    </row>
    <row r="6633" spans="1:19" x14ac:dyDescent="0.25">
      <c r="A6633">
        <v>100890347</v>
      </c>
      <c r="B6633" t="s">
        <v>15910</v>
      </c>
      <c r="C6633" t="s">
        <v>1793</v>
      </c>
      <c r="G6633" t="s">
        <v>15911</v>
      </c>
      <c r="H6633" t="s">
        <v>5575</v>
      </c>
      <c r="I6633" t="s">
        <v>22</v>
      </c>
      <c r="J6633">
        <v>90640</v>
      </c>
      <c r="K6633">
        <v>2563</v>
      </c>
      <c r="L6633" t="s">
        <v>23</v>
      </c>
      <c r="M6633" t="s">
        <v>15911</v>
      </c>
      <c r="N6633" t="s">
        <v>5575</v>
      </c>
      <c r="O6633" t="s">
        <v>22</v>
      </c>
      <c r="P6633">
        <v>90640</v>
      </c>
      <c r="Q6633">
        <v>2563</v>
      </c>
      <c r="R6633" t="s">
        <v>23</v>
      </c>
      <c r="S6633" s="1" t="s">
        <v>34218</v>
      </c>
    </row>
    <row r="6634" spans="1:19" x14ac:dyDescent="0.25">
      <c r="A6634">
        <v>101049150</v>
      </c>
      <c r="B6634" t="s">
        <v>12748</v>
      </c>
      <c r="C6634" t="s">
        <v>15912</v>
      </c>
      <c r="G6634" t="s">
        <v>15913</v>
      </c>
      <c r="H6634" t="s">
        <v>737</v>
      </c>
      <c r="I6634" t="s">
        <v>255</v>
      </c>
      <c r="J6634">
        <v>23464</v>
      </c>
      <c r="K6634">
        <v>3140</v>
      </c>
      <c r="L6634" t="s">
        <v>23</v>
      </c>
      <c r="M6634" t="s">
        <v>15913</v>
      </c>
      <c r="N6634" t="s">
        <v>737</v>
      </c>
      <c r="O6634" t="s">
        <v>255</v>
      </c>
      <c r="P6634">
        <v>23464</v>
      </c>
      <c r="Q6634">
        <v>3140</v>
      </c>
      <c r="R6634" t="s">
        <v>23</v>
      </c>
      <c r="S6634" s="1" t="s">
        <v>34218</v>
      </c>
    </row>
    <row r="6635" spans="1:19" x14ac:dyDescent="0.25">
      <c r="A6635">
        <v>101053128</v>
      </c>
      <c r="B6635" t="s">
        <v>15914</v>
      </c>
      <c r="C6635" t="s">
        <v>9961</v>
      </c>
      <c r="G6635" t="s">
        <v>15915</v>
      </c>
      <c r="H6635" t="s">
        <v>7369</v>
      </c>
      <c r="I6635" t="s">
        <v>984</v>
      </c>
      <c r="J6635">
        <v>96744</v>
      </c>
      <c r="K6635">
        <v>5213</v>
      </c>
      <c r="L6635" t="s">
        <v>23</v>
      </c>
      <c r="M6635" t="s">
        <v>15915</v>
      </c>
      <c r="N6635" t="s">
        <v>7369</v>
      </c>
      <c r="O6635" t="s">
        <v>984</v>
      </c>
      <c r="P6635">
        <v>96744</v>
      </c>
      <c r="Q6635">
        <v>5213</v>
      </c>
      <c r="R6635" t="s">
        <v>23</v>
      </c>
      <c r="S6635" s="1" t="s">
        <v>34218</v>
      </c>
    </row>
    <row r="6636" spans="1:19" x14ac:dyDescent="0.25">
      <c r="A6636">
        <v>101053625</v>
      </c>
      <c r="B6636" t="s">
        <v>15916</v>
      </c>
      <c r="C6636" t="s">
        <v>1205</v>
      </c>
      <c r="G6636" t="s">
        <v>15917</v>
      </c>
      <c r="H6636" t="s">
        <v>653</v>
      </c>
      <c r="I6636" t="s">
        <v>117</v>
      </c>
      <c r="J6636">
        <v>10019</v>
      </c>
      <c r="K6636">
        <v>3115</v>
      </c>
      <c r="L6636" t="s">
        <v>23</v>
      </c>
      <c r="M6636" t="s">
        <v>15917</v>
      </c>
      <c r="N6636" t="s">
        <v>653</v>
      </c>
      <c r="O6636" t="s">
        <v>117</v>
      </c>
      <c r="P6636">
        <v>10019</v>
      </c>
      <c r="Q6636">
        <v>3115</v>
      </c>
      <c r="R6636" t="s">
        <v>23</v>
      </c>
      <c r="S6636" s="1" t="s">
        <v>34218</v>
      </c>
    </row>
    <row r="6637" spans="1:19" x14ac:dyDescent="0.25">
      <c r="A6637">
        <v>101054467</v>
      </c>
      <c r="B6637" t="s">
        <v>208</v>
      </c>
      <c r="C6637" t="s">
        <v>707</v>
      </c>
      <c r="G6637" t="s">
        <v>15918</v>
      </c>
      <c r="H6637" t="s">
        <v>3680</v>
      </c>
      <c r="I6637" t="s">
        <v>178</v>
      </c>
      <c r="J6637">
        <v>45014</v>
      </c>
      <c r="K6637">
        <v>5538</v>
      </c>
      <c r="L6637" t="s">
        <v>23</v>
      </c>
      <c r="M6637" t="s">
        <v>15918</v>
      </c>
      <c r="N6637" t="s">
        <v>3680</v>
      </c>
      <c r="O6637" t="s">
        <v>178</v>
      </c>
      <c r="P6637">
        <v>45014</v>
      </c>
      <c r="Q6637">
        <v>5538</v>
      </c>
      <c r="R6637" t="s">
        <v>23</v>
      </c>
      <c r="S6637" s="1" t="s">
        <v>34218</v>
      </c>
    </row>
    <row r="6638" spans="1:19" x14ac:dyDescent="0.25">
      <c r="A6638">
        <v>101061255</v>
      </c>
      <c r="B6638" t="s">
        <v>15919</v>
      </c>
      <c r="C6638" t="s">
        <v>15920</v>
      </c>
      <c r="G6638" t="s">
        <v>15921</v>
      </c>
      <c r="H6638" t="s">
        <v>1508</v>
      </c>
      <c r="I6638" t="s">
        <v>84</v>
      </c>
      <c r="J6638">
        <v>98026</v>
      </c>
      <c r="K6638">
        <v>5720</v>
      </c>
      <c r="L6638" t="s">
        <v>23</v>
      </c>
      <c r="M6638" t="s">
        <v>15921</v>
      </c>
      <c r="N6638" t="s">
        <v>1508</v>
      </c>
      <c r="O6638" t="s">
        <v>84</v>
      </c>
      <c r="P6638">
        <v>98026</v>
      </c>
      <c r="Q6638">
        <v>5720</v>
      </c>
      <c r="R6638" t="s">
        <v>23</v>
      </c>
      <c r="S6638" s="1" t="s">
        <v>34218</v>
      </c>
    </row>
    <row r="6639" spans="1:19" x14ac:dyDescent="0.25">
      <c r="A6639">
        <v>101065061</v>
      </c>
      <c r="B6639" t="s">
        <v>15922</v>
      </c>
      <c r="C6639" t="s">
        <v>15923</v>
      </c>
      <c r="G6639" t="s">
        <v>15924</v>
      </c>
      <c r="H6639" t="s">
        <v>10031</v>
      </c>
      <c r="I6639" t="s">
        <v>22</v>
      </c>
      <c r="J6639">
        <v>95521</v>
      </c>
      <c r="K6639">
        <v>4523</v>
      </c>
      <c r="L6639" t="s">
        <v>23</v>
      </c>
      <c r="M6639" t="s">
        <v>15924</v>
      </c>
      <c r="N6639" t="s">
        <v>10031</v>
      </c>
      <c r="O6639" t="s">
        <v>22</v>
      </c>
      <c r="P6639">
        <v>95521</v>
      </c>
      <c r="Q6639">
        <v>4523</v>
      </c>
      <c r="R6639" t="s">
        <v>23</v>
      </c>
      <c r="S6639" s="1" t="s">
        <v>34218</v>
      </c>
    </row>
    <row r="6640" spans="1:19" x14ac:dyDescent="0.25">
      <c r="A6640">
        <v>101065059</v>
      </c>
      <c r="B6640" t="s">
        <v>15925</v>
      </c>
      <c r="C6640" t="s">
        <v>1107</v>
      </c>
      <c r="G6640" t="s">
        <v>15926</v>
      </c>
      <c r="H6640" t="s">
        <v>15927</v>
      </c>
      <c r="I6640" t="s">
        <v>639</v>
      </c>
      <c r="J6640">
        <v>87047</v>
      </c>
      <c r="K6640">
        <v>716</v>
      </c>
      <c r="L6640" t="s">
        <v>23</v>
      </c>
      <c r="M6640" t="s">
        <v>15926</v>
      </c>
      <c r="N6640" t="s">
        <v>15927</v>
      </c>
      <c r="O6640" t="s">
        <v>639</v>
      </c>
      <c r="P6640">
        <v>87047</v>
      </c>
      <c r="Q6640">
        <v>716</v>
      </c>
      <c r="R6640" t="s">
        <v>23</v>
      </c>
      <c r="S6640" s="1" t="s">
        <v>34218</v>
      </c>
    </row>
    <row r="6641" spans="1:19" x14ac:dyDescent="0.25">
      <c r="A6641">
        <v>101064589</v>
      </c>
      <c r="B6641" t="s">
        <v>15928</v>
      </c>
      <c r="C6641" t="s">
        <v>15929</v>
      </c>
      <c r="G6641" t="s">
        <v>15930</v>
      </c>
      <c r="H6641" t="s">
        <v>2894</v>
      </c>
      <c r="I6641" t="s">
        <v>178</v>
      </c>
      <c r="J6641">
        <v>43614</v>
      </c>
      <c r="K6641">
        <v>2723</v>
      </c>
      <c r="L6641" t="s">
        <v>23</v>
      </c>
      <c r="M6641" t="s">
        <v>15930</v>
      </c>
      <c r="N6641" t="s">
        <v>2894</v>
      </c>
      <c r="O6641" t="s">
        <v>178</v>
      </c>
      <c r="P6641">
        <v>43614</v>
      </c>
      <c r="Q6641">
        <v>2723</v>
      </c>
      <c r="R6641" t="s">
        <v>23</v>
      </c>
      <c r="S6641" s="1" t="s">
        <v>34218</v>
      </c>
    </row>
    <row r="6642" spans="1:19" x14ac:dyDescent="0.25">
      <c r="A6642">
        <v>101262691</v>
      </c>
      <c r="B6642" t="s">
        <v>402</v>
      </c>
      <c r="C6642" t="s">
        <v>15931</v>
      </c>
      <c r="G6642" t="s">
        <v>15932</v>
      </c>
      <c r="H6642" t="s">
        <v>1181</v>
      </c>
      <c r="I6642" t="s">
        <v>22</v>
      </c>
      <c r="J6642">
        <v>93402</v>
      </c>
      <c r="K6642">
        <v>4438</v>
      </c>
      <c r="L6642" t="s">
        <v>23</v>
      </c>
      <c r="M6642" t="s">
        <v>15932</v>
      </c>
      <c r="N6642" t="s">
        <v>1181</v>
      </c>
      <c r="O6642" t="s">
        <v>22</v>
      </c>
      <c r="P6642">
        <v>93402</v>
      </c>
      <c r="Q6642">
        <v>4438</v>
      </c>
      <c r="R6642" t="s">
        <v>23</v>
      </c>
      <c r="S6642" s="1" t="s">
        <v>34218</v>
      </c>
    </row>
    <row r="6643" spans="1:19" x14ac:dyDescent="0.25">
      <c r="A6643">
        <v>101273547</v>
      </c>
      <c r="B6643" t="s">
        <v>15933</v>
      </c>
      <c r="C6643" t="s">
        <v>10896</v>
      </c>
      <c r="F6643" t="str">
        <f>"7812183532"</f>
        <v>7812183532</v>
      </c>
      <c r="G6643" t="s">
        <v>15934</v>
      </c>
      <c r="H6643" t="s">
        <v>401</v>
      </c>
      <c r="I6643" t="s">
        <v>236</v>
      </c>
      <c r="J6643">
        <v>1749</v>
      </c>
      <c r="K6643">
        <v>2842</v>
      </c>
      <c r="L6643" t="s">
        <v>23</v>
      </c>
      <c r="M6643" t="s">
        <v>15934</v>
      </c>
      <c r="N6643" t="s">
        <v>401</v>
      </c>
      <c r="O6643" t="s">
        <v>236</v>
      </c>
      <c r="P6643">
        <v>1749</v>
      </c>
      <c r="Q6643">
        <v>2842</v>
      </c>
      <c r="R6643" t="s">
        <v>23</v>
      </c>
      <c r="S6643" s="1" t="s">
        <v>34218</v>
      </c>
    </row>
    <row r="6644" spans="1:19" x14ac:dyDescent="0.25">
      <c r="A6644">
        <v>101277477</v>
      </c>
      <c r="B6644" t="s">
        <v>15935</v>
      </c>
      <c r="C6644" t="s">
        <v>205</v>
      </c>
      <c r="G6644" t="s">
        <v>15936</v>
      </c>
      <c r="H6644" t="s">
        <v>2119</v>
      </c>
      <c r="I6644" t="s">
        <v>187</v>
      </c>
      <c r="J6644">
        <v>55109</v>
      </c>
      <c r="K6644">
        <v>2181</v>
      </c>
      <c r="L6644" t="s">
        <v>23</v>
      </c>
      <c r="M6644" t="s">
        <v>15936</v>
      </c>
      <c r="N6644" t="s">
        <v>2119</v>
      </c>
      <c r="O6644" t="s">
        <v>187</v>
      </c>
      <c r="P6644">
        <v>55109</v>
      </c>
      <c r="Q6644">
        <v>2181</v>
      </c>
      <c r="R6644" t="s">
        <v>23</v>
      </c>
      <c r="S6644" s="1" t="s">
        <v>34218</v>
      </c>
    </row>
    <row r="6645" spans="1:19" x14ac:dyDescent="0.25">
      <c r="A6645">
        <v>101275555</v>
      </c>
      <c r="B6645" t="s">
        <v>5180</v>
      </c>
      <c r="C6645" t="s">
        <v>1377</v>
      </c>
      <c r="G6645" t="s">
        <v>15937</v>
      </c>
      <c r="H6645" t="s">
        <v>4326</v>
      </c>
      <c r="I6645" t="s">
        <v>71</v>
      </c>
      <c r="J6645">
        <v>80228</v>
      </c>
      <c r="K6645">
        <v>3458</v>
      </c>
      <c r="L6645" t="s">
        <v>23</v>
      </c>
      <c r="M6645" t="s">
        <v>15937</v>
      </c>
      <c r="N6645" t="s">
        <v>4326</v>
      </c>
      <c r="O6645" t="s">
        <v>71</v>
      </c>
      <c r="P6645">
        <v>80228</v>
      </c>
      <c r="Q6645">
        <v>3458</v>
      </c>
      <c r="R6645" t="s">
        <v>23</v>
      </c>
      <c r="S6645" s="1" t="s">
        <v>34218</v>
      </c>
    </row>
    <row r="6646" spans="1:19" x14ac:dyDescent="0.25">
      <c r="A6646">
        <v>101268946</v>
      </c>
      <c r="B6646" t="s">
        <v>8488</v>
      </c>
      <c r="C6646" t="s">
        <v>123</v>
      </c>
      <c r="G6646" t="s">
        <v>15938</v>
      </c>
      <c r="H6646" t="s">
        <v>15939</v>
      </c>
      <c r="I6646" t="s">
        <v>117</v>
      </c>
      <c r="J6646">
        <v>10594</v>
      </c>
      <c r="K6646">
        <v>2101</v>
      </c>
      <c r="L6646" t="s">
        <v>23</v>
      </c>
      <c r="M6646" t="s">
        <v>15938</v>
      </c>
      <c r="N6646" t="s">
        <v>15939</v>
      </c>
      <c r="O6646" t="s">
        <v>117</v>
      </c>
      <c r="P6646">
        <v>10594</v>
      </c>
      <c r="Q6646">
        <v>2101</v>
      </c>
      <c r="R6646" t="s">
        <v>23</v>
      </c>
      <c r="S6646" s="1" t="s">
        <v>34218</v>
      </c>
    </row>
    <row r="6647" spans="1:19" x14ac:dyDescent="0.25">
      <c r="A6647">
        <v>101275708</v>
      </c>
      <c r="B6647" t="s">
        <v>15940</v>
      </c>
      <c r="C6647" t="s">
        <v>575</v>
      </c>
      <c r="G6647" t="s">
        <v>15941</v>
      </c>
      <c r="H6647" t="s">
        <v>913</v>
      </c>
      <c r="I6647" t="s">
        <v>914</v>
      </c>
      <c r="J6647">
        <v>37209</v>
      </c>
      <c r="K6647">
        <v>1726</v>
      </c>
      <c r="L6647" t="s">
        <v>23</v>
      </c>
      <c r="M6647" t="s">
        <v>15941</v>
      </c>
      <c r="N6647" t="s">
        <v>913</v>
      </c>
      <c r="O6647" t="s">
        <v>914</v>
      </c>
      <c r="P6647">
        <v>37209</v>
      </c>
      <c r="Q6647">
        <v>1726</v>
      </c>
      <c r="R6647" t="s">
        <v>23</v>
      </c>
      <c r="S6647" s="1" t="s">
        <v>34218</v>
      </c>
    </row>
    <row r="6648" spans="1:19" x14ac:dyDescent="0.25">
      <c r="A6648">
        <v>101285528</v>
      </c>
      <c r="B6648" t="s">
        <v>2937</v>
      </c>
      <c r="C6648" t="s">
        <v>838</v>
      </c>
      <c r="G6648" t="s">
        <v>15942</v>
      </c>
      <c r="H6648" t="s">
        <v>2910</v>
      </c>
      <c r="I6648" t="s">
        <v>52</v>
      </c>
      <c r="J6648">
        <v>34232</v>
      </c>
      <c r="K6648">
        <v>1916</v>
      </c>
      <c r="L6648" t="s">
        <v>23</v>
      </c>
      <c r="M6648" t="s">
        <v>15942</v>
      </c>
      <c r="N6648" t="s">
        <v>2910</v>
      </c>
      <c r="O6648" t="s">
        <v>52</v>
      </c>
      <c r="P6648">
        <v>34232</v>
      </c>
      <c r="Q6648">
        <v>1916</v>
      </c>
      <c r="R6648" t="s">
        <v>23</v>
      </c>
      <c r="S6648" s="1" t="s">
        <v>34218</v>
      </c>
    </row>
    <row r="6649" spans="1:19" x14ac:dyDescent="0.25">
      <c r="A6649">
        <v>101281607</v>
      </c>
      <c r="B6649" t="s">
        <v>15943</v>
      </c>
      <c r="C6649" t="s">
        <v>1679</v>
      </c>
      <c r="G6649" t="s">
        <v>15944</v>
      </c>
      <c r="H6649" t="s">
        <v>14187</v>
      </c>
      <c r="I6649" t="s">
        <v>117</v>
      </c>
      <c r="J6649">
        <v>14221</v>
      </c>
      <c r="K6649">
        <v>1971</v>
      </c>
      <c r="L6649" t="s">
        <v>23</v>
      </c>
      <c r="M6649" t="s">
        <v>15944</v>
      </c>
      <c r="N6649" t="s">
        <v>14187</v>
      </c>
      <c r="O6649" t="s">
        <v>117</v>
      </c>
      <c r="P6649">
        <v>14221</v>
      </c>
      <c r="Q6649">
        <v>1971</v>
      </c>
      <c r="R6649" t="s">
        <v>23</v>
      </c>
      <c r="S6649" s="1" t="s">
        <v>34218</v>
      </c>
    </row>
    <row r="6650" spans="1:19" x14ac:dyDescent="0.25">
      <c r="A6650">
        <v>101287481</v>
      </c>
      <c r="B6650" t="s">
        <v>15945</v>
      </c>
      <c r="C6650" t="s">
        <v>1623</v>
      </c>
      <c r="G6650" t="s">
        <v>15946</v>
      </c>
      <c r="H6650" t="s">
        <v>726</v>
      </c>
      <c r="I6650" t="s">
        <v>22</v>
      </c>
      <c r="J6650">
        <v>90403</v>
      </c>
      <c r="K6650">
        <v>4329</v>
      </c>
      <c r="L6650" t="s">
        <v>23</v>
      </c>
      <c r="M6650" t="s">
        <v>15946</v>
      </c>
      <c r="N6650" t="s">
        <v>726</v>
      </c>
      <c r="O6650" t="s">
        <v>22</v>
      </c>
      <c r="P6650">
        <v>90403</v>
      </c>
      <c r="Q6650">
        <v>4329</v>
      </c>
      <c r="R6650" t="s">
        <v>23</v>
      </c>
      <c r="S6650" s="1" t="s">
        <v>34218</v>
      </c>
    </row>
    <row r="6651" spans="1:19" x14ac:dyDescent="0.25">
      <c r="A6651">
        <v>101281935</v>
      </c>
      <c r="B6651" t="s">
        <v>3956</v>
      </c>
      <c r="C6651" t="s">
        <v>8451</v>
      </c>
      <c r="G6651" t="s">
        <v>15947</v>
      </c>
      <c r="H6651" t="s">
        <v>1439</v>
      </c>
      <c r="I6651" t="s">
        <v>365</v>
      </c>
      <c r="J6651">
        <v>85745</v>
      </c>
      <c r="K6651">
        <v>2274</v>
      </c>
      <c r="L6651" t="s">
        <v>23</v>
      </c>
      <c r="M6651" t="s">
        <v>15947</v>
      </c>
      <c r="N6651" t="s">
        <v>1439</v>
      </c>
      <c r="O6651" t="s">
        <v>365</v>
      </c>
      <c r="P6651">
        <v>85745</v>
      </c>
      <c r="Q6651">
        <v>2274</v>
      </c>
      <c r="R6651" t="s">
        <v>23</v>
      </c>
      <c r="S6651" s="1" t="s">
        <v>34218</v>
      </c>
    </row>
    <row r="6652" spans="1:19" x14ac:dyDescent="0.25">
      <c r="A6652">
        <v>100819339</v>
      </c>
      <c r="B6652" t="s">
        <v>15948</v>
      </c>
      <c r="C6652" t="s">
        <v>1731</v>
      </c>
      <c r="G6652" t="s">
        <v>15949</v>
      </c>
      <c r="H6652" t="s">
        <v>15950</v>
      </c>
      <c r="I6652" t="s">
        <v>43</v>
      </c>
      <c r="J6652">
        <v>97479</v>
      </c>
      <c r="K6652">
        <v>9040</v>
      </c>
      <c r="L6652" t="s">
        <v>23</v>
      </c>
      <c r="M6652" t="s">
        <v>15949</v>
      </c>
      <c r="N6652" t="s">
        <v>15950</v>
      </c>
      <c r="O6652" t="s">
        <v>43</v>
      </c>
      <c r="P6652">
        <v>97479</v>
      </c>
      <c r="Q6652">
        <v>9040</v>
      </c>
      <c r="R6652" t="s">
        <v>23</v>
      </c>
      <c r="S6652" s="1" t="s">
        <v>34218</v>
      </c>
    </row>
    <row r="6653" spans="1:19" x14ac:dyDescent="0.25">
      <c r="A6653">
        <v>100822861</v>
      </c>
      <c r="B6653" t="s">
        <v>15951</v>
      </c>
      <c r="C6653" t="s">
        <v>225</v>
      </c>
      <c r="G6653" t="s">
        <v>15952</v>
      </c>
      <c r="H6653" t="s">
        <v>7642</v>
      </c>
      <c r="I6653" t="s">
        <v>255</v>
      </c>
      <c r="J6653">
        <v>23185</v>
      </c>
      <c r="K6653">
        <v>8709</v>
      </c>
      <c r="L6653" t="s">
        <v>23</v>
      </c>
      <c r="M6653" t="s">
        <v>15952</v>
      </c>
      <c r="N6653" t="s">
        <v>7642</v>
      </c>
      <c r="O6653" t="s">
        <v>255</v>
      </c>
      <c r="P6653">
        <v>23185</v>
      </c>
      <c r="Q6653">
        <v>8709</v>
      </c>
      <c r="R6653" t="s">
        <v>23</v>
      </c>
      <c r="S6653" s="1" t="s">
        <v>34218</v>
      </c>
    </row>
    <row r="6654" spans="1:19" x14ac:dyDescent="0.25">
      <c r="A6654">
        <v>100824920</v>
      </c>
      <c r="B6654" t="s">
        <v>15953</v>
      </c>
      <c r="C6654" t="s">
        <v>225</v>
      </c>
      <c r="G6654" t="s">
        <v>15954</v>
      </c>
      <c r="H6654" t="s">
        <v>380</v>
      </c>
      <c r="I6654" t="s">
        <v>38</v>
      </c>
      <c r="J6654">
        <v>75229</v>
      </c>
      <c r="K6654">
        <v>2461</v>
      </c>
      <c r="L6654" t="s">
        <v>23</v>
      </c>
      <c r="M6654" t="s">
        <v>15954</v>
      </c>
      <c r="N6654" t="s">
        <v>380</v>
      </c>
      <c r="O6654" t="s">
        <v>38</v>
      </c>
      <c r="P6654">
        <v>75229</v>
      </c>
      <c r="Q6654">
        <v>2461</v>
      </c>
      <c r="R6654" t="s">
        <v>23</v>
      </c>
      <c r="S6654" s="1" t="s">
        <v>34218</v>
      </c>
    </row>
    <row r="6655" spans="1:19" x14ac:dyDescent="0.25">
      <c r="A6655">
        <v>100821368</v>
      </c>
      <c r="B6655" t="s">
        <v>1058</v>
      </c>
      <c r="C6655" t="s">
        <v>399</v>
      </c>
      <c r="G6655" t="s">
        <v>15955</v>
      </c>
      <c r="H6655" t="s">
        <v>15956</v>
      </c>
      <c r="I6655" t="s">
        <v>100</v>
      </c>
      <c r="J6655">
        <v>54820</v>
      </c>
      <c r="K6655">
        <v>9641</v>
      </c>
      <c r="L6655" t="s">
        <v>23</v>
      </c>
      <c r="M6655" t="s">
        <v>15955</v>
      </c>
      <c r="N6655" t="s">
        <v>15956</v>
      </c>
      <c r="O6655" t="s">
        <v>100</v>
      </c>
      <c r="P6655">
        <v>54820</v>
      </c>
      <c r="Q6655">
        <v>9641</v>
      </c>
      <c r="R6655" t="s">
        <v>23</v>
      </c>
      <c r="S6655" s="1" t="s">
        <v>34218</v>
      </c>
    </row>
    <row r="6656" spans="1:19" x14ac:dyDescent="0.25">
      <c r="A6656">
        <v>100826712</v>
      </c>
      <c r="B6656" t="s">
        <v>15957</v>
      </c>
      <c r="C6656" t="s">
        <v>2767</v>
      </c>
      <c r="G6656" t="s">
        <v>15958</v>
      </c>
      <c r="H6656" t="s">
        <v>177</v>
      </c>
      <c r="I6656" t="s">
        <v>43</v>
      </c>
      <c r="J6656">
        <v>97520</v>
      </c>
      <c r="K6656">
        <v>3425</v>
      </c>
      <c r="L6656" t="s">
        <v>23</v>
      </c>
      <c r="M6656" t="s">
        <v>15958</v>
      </c>
      <c r="N6656" t="s">
        <v>177</v>
      </c>
      <c r="O6656" t="s">
        <v>43</v>
      </c>
      <c r="P6656">
        <v>97520</v>
      </c>
      <c r="Q6656">
        <v>3425</v>
      </c>
      <c r="R6656" t="s">
        <v>23</v>
      </c>
      <c r="S6656" s="1" t="s">
        <v>34218</v>
      </c>
    </row>
    <row r="6657" spans="1:19" x14ac:dyDescent="0.25">
      <c r="A6657">
        <v>101178156</v>
      </c>
      <c r="B6657" t="s">
        <v>15959</v>
      </c>
      <c r="C6657" t="s">
        <v>1731</v>
      </c>
      <c r="G6657" t="s">
        <v>15960</v>
      </c>
      <c r="H6657" t="s">
        <v>15961</v>
      </c>
      <c r="I6657" t="s">
        <v>33</v>
      </c>
      <c r="J6657">
        <v>16056</v>
      </c>
      <c r="K6657">
        <v>9726</v>
      </c>
      <c r="L6657" t="s">
        <v>23</v>
      </c>
      <c r="M6657" t="s">
        <v>15960</v>
      </c>
      <c r="N6657" t="s">
        <v>15961</v>
      </c>
      <c r="O6657" t="s">
        <v>33</v>
      </c>
      <c r="P6657">
        <v>16056</v>
      </c>
      <c r="Q6657">
        <v>9726</v>
      </c>
      <c r="R6657" t="s">
        <v>23</v>
      </c>
      <c r="S6657" s="1" t="s">
        <v>34218</v>
      </c>
    </row>
    <row r="6658" spans="1:19" x14ac:dyDescent="0.25">
      <c r="A6658">
        <v>101177174</v>
      </c>
      <c r="B6658" t="s">
        <v>10161</v>
      </c>
      <c r="C6658" t="s">
        <v>1555</v>
      </c>
      <c r="G6658" t="s">
        <v>15962</v>
      </c>
      <c r="H6658" t="s">
        <v>15963</v>
      </c>
      <c r="I6658" t="s">
        <v>33</v>
      </c>
      <c r="J6658">
        <v>19567</v>
      </c>
      <c r="K6658">
        <v>1213</v>
      </c>
      <c r="L6658" t="s">
        <v>23</v>
      </c>
      <c r="M6658" t="s">
        <v>15962</v>
      </c>
      <c r="N6658" t="s">
        <v>15963</v>
      </c>
      <c r="O6658" t="s">
        <v>33</v>
      </c>
      <c r="P6658">
        <v>19567</v>
      </c>
      <c r="Q6658">
        <v>1213</v>
      </c>
      <c r="R6658" t="s">
        <v>23</v>
      </c>
      <c r="S6658" s="1" t="s">
        <v>34218</v>
      </c>
    </row>
    <row r="6659" spans="1:19" x14ac:dyDescent="0.25">
      <c r="A6659">
        <v>101185633</v>
      </c>
      <c r="B6659" t="s">
        <v>4975</v>
      </c>
      <c r="C6659" t="s">
        <v>718</v>
      </c>
      <c r="G6659" t="s">
        <v>15964</v>
      </c>
      <c r="H6659" t="s">
        <v>5237</v>
      </c>
      <c r="I6659" t="s">
        <v>140</v>
      </c>
      <c r="J6659">
        <v>48519</v>
      </c>
      <c r="K6659">
        <v>1129</v>
      </c>
      <c r="L6659" t="s">
        <v>23</v>
      </c>
      <c r="M6659" t="s">
        <v>15964</v>
      </c>
      <c r="N6659" t="s">
        <v>5237</v>
      </c>
      <c r="O6659" t="s">
        <v>140</v>
      </c>
      <c r="P6659">
        <v>48519</v>
      </c>
      <c r="Q6659">
        <v>1129</v>
      </c>
      <c r="R6659" t="s">
        <v>23</v>
      </c>
      <c r="S6659" s="1" t="s">
        <v>34218</v>
      </c>
    </row>
    <row r="6660" spans="1:19" x14ac:dyDescent="0.25">
      <c r="A6660">
        <v>101192701</v>
      </c>
      <c r="B6660" t="s">
        <v>15965</v>
      </c>
      <c r="C6660" t="s">
        <v>2159</v>
      </c>
      <c r="G6660" t="s">
        <v>15966</v>
      </c>
      <c r="H6660" t="s">
        <v>2640</v>
      </c>
      <c r="I6660" t="s">
        <v>52</v>
      </c>
      <c r="J6660">
        <v>33486</v>
      </c>
      <c r="K6660">
        <v>4570</v>
      </c>
      <c r="L6660" t="s">
        <v>23</v>
      </c>
      <c r="M6660" t="s">
        <v>15966</v>
      </c>
      <c r="N6660" t="s">
        <v>2640</v>
      </c>
      <c r="O6660" t="s">
        <v>52</v>
      </c>
      <c r="P6660">
        <v>33486</v>
      </c>
      <c r="Q6660">
        <v>4570</v>
      </c>
      <c r="R6660" t="s">
        <v>23</v>
      </c>
      <c r="S6660" s="1" t="s">
        <v>34218</v>
      </c>
    </row>
    <row r="6661" spans="1:19" x14ac:dyDescent="0.25">
      <c r="A6661">
        <v>101193686</v>
      </c>
      <c r="B6661" t="s">
        <v>15967</v>
      </c>
      <c r="C6661" t="s">
        <v>5075</v>
      </c>
      <c r="G6661" t="s">
        <v>15968</v>
      </c>
      <c r="H6661" t="s">
        <v>47</v>
      </c>
      <c r="I6661" t="s">
        <v>43</v>
      </c>
      <c r="J6661">
        <v>97501</v>
      </c>
      <c r="K6661">
        <v>1784</v>
      </c>
      <c r="L6661" t="s">
        <v>23</v>
      </c>
      <c r="M6661" t="s">
        <v>15968</v>
      </c>
      <c r="N6661" t="s">
        <v>47</v>
      </c>
      <c r="O6661" t="s">
        <v>43</v>
      </c>
      <c r="P6661">
        <v>97501</v>
      </c>
      <c r="Q6661">
        <v>1784</v>
      </c>
      <c r="R6661" t="s">
        <v>23</v>
      </c>
      <c r="S6661" s="1" t="s">
        <v>34218</v>
      </c>
    </row>
    <row r="6662" spans="1:19" x14ac:dyDescent="0.25">
      <c r="A6662">
        <v>101192913</v>
      </c>
      <c r="B6662" t="s">
        <v>15969</v>
      </c>
      <c r="C6662" t="s">
        <v>1027</v>
      </c>
      <c r="G6662" t="s">
        <v>15970</v>
      </c>
      <c r="H6662" t="s">
        <v>15971</v>
      </c>
      <c r="I6662" t="s">
        <v>117</v>
      </c>
      <c r="J6662">
        <v>14105</v>
      </c>
      <c r="K6662">
        <v>9726</v>
      </c>
      <c r="L6662" t="s">
        <v>23</v>
      </c>
      <c r="M6662" t="s">
        <v>15970</v>
      </c>
      <c r="N6662" t="s">
        <v>15971</v>
      </c>
      <c r="O6662" t="s">
        <v>117</v>
      </c>
      <c r="P6662">
        <v>14105</v>
      </c>
      <c r="Q6662">
        <v>9726</v>
      </c>
      <c r="R6662" t="s">
        <v>23</v>
      </c>
      <c r="S6662" s="1" t="s">
        <v>34218</v>
      </c>
    </row>
    <row r="6663" spans="1:19" x14ac:dyDescent="0.25">
      <c r="A6663">
        <v>101195417</v>
      </c>
      <c r="B6663" t="s">
        <v>15972</v>
      </c>
      <c r="C6663" t="s">
        <v>1327</v>
      </c>
      <c r="G6663" t="s">
        <v>15973</v>
      </c>
      <c r="H6663" t="s">
        <v>88</v>
      </c>
      <c r="I6663" t="s">
        <v>22</v>
      </c>
      <c r="J6663">
        <v>94618</v>
      </c>
      <c r="K6663">
        <v>2311</v>
      </c>
      <c r="L6663" t="s">
        <v>23</v>
      </c>
      <c r="M6663" t="s">
        <v>15973</v>
      </c>
      <c r="N6663" t="s">
        <v>88</v>
      </c>
      <c r="O6663" t="s">
        <v>22</v>
      </c>
      <c r="P6663">
        <v>94618</v>
      </c>
      <c r="Q6663">
        <v>2311</v>
      </c>
      <c r="R6663" t="s">
        <v>23</v>
      </c>
      <c r="S6663" s="1" t="s">
        <v>34218</v>
      </c>
    </row>
    <row r="6664" spans="1:19" x14ac:dyDescent="0.25">
      <c r="A6664">
        <v>101199879</v>
      </c>
      <c r="B6664" t="s">
        <v>3537</v>
      </c>
      <c r="C6664" t="s">
        <v>1327</v>
      </c>
      <c r="G6664" t="s">
        <v>15974</v>
      </c>
      <c r="H6664" t="s">
        <v>818</v>
      </c>
      <c r="I6664" t="s">
        <v>43</v>
      </c>
      <c r="J6664">
        <v>97007</v>
      </c>
      <c r="K6664">
        <v>6587</v>
      </c>
      <c r="L6664" t="s">
        <v>23</v>
      </c>
      <c r="M6664" t="s">
        <v>15974</v>
      </c>
      <c r="N6664" t="s">
        <v>818</v>
      </c>
      <c r="O6664" t="s">
        <v>43</v>
      </c>
      <c r="P6664">
        <v>97007</v>
      </c>
      <c r="Q6664">
        <v>6587</v>
      </c>
      <c r="R6664" t="s">
        <v>23</v>
      </c>
      <c r="S6664" s="1" t="s">
        <v>34218</v>
      </c>
    </row>
    <row r="6665" spans="1:19" x14ac:dyDescent="0.25">
      <c r="A6665">
        <v>101199894</v>
      </c>
      <c r="B6665" t="s">
        <v>15975</v>
      </c>
      <c r="C6665" t="s">
        <v>247</v>
      </c>
      <c r="G6665" t="s">
        <v>15976</v>
      </c>
      <c r="H6665" t="s">
        <v>2132</v>
      </c>
      <c r="I6665" t="s">
        <v>140</v>
      </c>
      <c r="J6665">
        <v>48089</v>
      </c>
      <c r="K6665">
        <v>1838</v>
      </c>
      <c r="L6665" t="s">
        <v>23</v>
      </c>
      <c r="M6665" t="s">
        <v>15976</v>
      </c>
      <c r="N6665" t="s">
        <v>2132</v>
      </c>
      <c r="O6665" t="s">
        <v>140</v>
      </c>
      <c r="P6665">
        <v>48089</v>
      </c>
      <c r="Q6665">
        <v>1838</v>
      </c>
      <c r="R6665" t="s">
        <v>23</v>
      </c>
      <c r="S6665" s="1" t="s">
        <v>34218</v>
      </c>
    </row>
    <row r="6666" spans="1:19" x14ac:dyDescent="0.25">
      <c r="A6666">
        <v>101294162</v>
      </c>
      <c r="B6666" t="s">
        <v>12747</v>
      </c>
      <c r="C6666" t="s">
        <v>2515</v>
      </c>
      <c r="G6666" t="s">
        <v>15977</v>
      </c>
      <c r="H6666" t="s">
        <v>5876</v>
      </c>
      <c r="I6666" t="s">
        <v>52</v>
      </c>
      <c r="J6666" t="s">
        <v>15978</v>
      </c>
      <c r="K6666">
        <v>4988</v>
      </c>
      <c r="L6666" t="s">
        <v>23</v>
      </c>
      <c r="M6666" t="s">
        <v>15977</v>
      </c>
      <c r="N6666" t="s">
        <v>5876</v>
      </c>
      <c r="O6666" t="s">
        <v>52</v>
      </c>
      <c r="P6666" t="s">
        <v>15978</v>
      </c>
      <c r="Q6666">
        <v>4988</v>
      </c>
      <c r="R6666" t="s">
        <v>23</v>
      </c>
      <c r="S6666" s="1" t="s">
        <v>34218</v>
      </c>
    </row>
    <row r="6667" spans="1:19" x14ac:dyDescent="0.25">
      <c r="A6667">
        <v>101312375</v>
      </c>
      <c r="B6667" t="s">
        <v>3183</v>
      </c>
      <c r="C6667" t="s">
        <v>585</v>
      </c>
      <c r="G6667" t="s">
        <v>15979</v>
      </c>
      <c r="H6667" t="s">
        <v>7810</v>
      </c>
      <c r="I6667" t="s">
        <v>33</v>
      </c>
      <c r="J6667" t="s">
        <v>15980</v>
      </c>
      <c r="K6667">
        <v>3712</v>
      </c>
      <c r="L6667" t="s">
        <v>23</v>
      </c>
      <c r="M6667" t="s">
        <v>15979</v>
      </c>
      <c r="N6667" t="s">
        <v>7810</v>
      </c>
      <c r="O6667" t="s">
        <v>33</v>
      </c>
      <c r="P6667" t="s">
        <v>15980</v>
      </c>
      <c r="Q6667">
        <v>3712</v>
      </c>
      <c r="R6667" t="s">
        <v>23</v>
      </c>
      <c r="S6667" s="1" t="s">
        <v>34218</v>
      </c>
    </row>
    <row r="6668" spans="1:19" x14ac:dyDescent="0.25">
      <c r="A6668">
        <v>101443625</v>
      </c>
      <c r="B6668" t="s">
        <v>166</v>
      </c>
      <c r="C6668" t="s">
        <v>123</v>
      </c>
      <c r="G6668" t="s">
        <v>15981</v>
      </c>
      <c r="H6668" t="s">
        <v>496</v>
      </c>
      <c r="I6668" t="s">
        <v>22</v>
      </c>
      <c r="J6668" t="s">
        <v>15982</v>
      </c>
      <c r="K6668">
        <v>8114</v>
      </c>
      <c r="L6668" t="s">
        <v>23</v>
      </c>
      <c r="M6668" t="s">
        <v>15981</v>
      </c>
      <c r="N6668" t="s">
        <v>496</v>
      </c>
      <c r="O6668" t="s">
        <v>22</v>
      </c>
      <c r="P6668" t="s">
        <v>15982</v>
      </c>
      <c r="Q6668">
        <v>8114</v>
      </c>
      <c r="R6668" t="s">
        <v>23</v>
      </c>
      <c r="S6668" s="1" t="s">
        <v>34218</v>
      </c>
    </row>
    <row r="6669" spans="1:19" x14ac:dyDescent="0.25">
      <c r="A6669">
        <v>101274986</v>
      </c>
      <c r="B6669" t="s">
        <v>1370</v>
      </c>
      <c r="C6669" t="s">
        <v>290</v>
      </c>
      <c r="G6669" t="s">
        <v>15983</v>
      </c>
      <c r="H6669" t="s">
        <v>7002</v>
      </c>
      <c r="I6669" t="s">
        <v>327</v>
      </c>
      <c r="J6669" t="s">
        <v>15984</v>
      </c>
      <c r="K6669">
        <v>1327</v>
      </c>
      <c r="L6669" t="s">
        <v>23</v>
      </c>
      <c r="M6669" t="s">
        <v>15983</v>
      </c>
      <c r="N6669" t="s">
        <v>7002</v>
      </c>
      <c r="O6669" t="s">
        <v>327</v>
      </c>
      <c r="P6669" t="s">
        <v>15984</v>
      </c>
      <c r="Q6669">
        <v>1327</v>
      </c>
      <c r="R6669" t="s">
        <v>23</v>
      </c>
      <c r="S6669" s="1" t="s">
        <v>34218</v>
      </c>
    </row>
    <row r="6670" spans="1:19" x14ac:dyDescent="0.25">
      <c r="A6670">
        <v>101418459</v>
      </c>
      <c r="B6670" t="s">
        <v>15985</v>
      </c>
      <c r="C6670" t="s">
        <v>3545</v>
      </c>
      <c r="G6670" t="s">
        <v>15986</v>
      </c>
      <c r="H6670" t="s">
        <v>3322</v>
      </c>
      <c r="I6670" t="s">
        <v>22</v>
      </c>
      <c r="J6670" t="s">
        <v>15987</v>
      </c>
      <c r="K6670">
        <v>9604</v>
      </c>
      <c r="L6670" t="s">
        <v>23</v>
      </c>
      <c r="M6670" t="s">
        <v>15986</v>
      </c>
      <c r="N6670" t="s">
        <v>3322</v>
      </c>
      <c r="O6670" t="s">
        <v>22</v>
      </c>
      <c r="P6670" t="s">
        <v>15987</v>
      </c>
      <c r="Q6670">
        <v>9604</v>
      </c>
      <c r="R6670" t="s">
        <v>23</v>
      </c>
      <c r="S6670" s="1" t="s">
        <v>34218</v>
      </c>
    </row>
    <row r="6671" spans="1:19" x14ac:dyDescent="0.25">
      <c r="A6671">
        <v>100754961</v>
      </c>
      <c r="B6671" t="s">
        <v>15988</v>
      </c>
      <c r="C6671" t="s">
        <v>15989</v>
      </c>
      <c r="G6671" t="s">
        <v>15990</v>
      </c>
      <c r="H6671" t="s">
        <v>5786</v>
      </c>
      <c r="I6671" t="s">
        <v>84</v>
      </c>
      <c r="J6671">
        <v>98072</v>
      </c>
      <c r="K6671">
        <v>6304</v>
      </c>
      <c r="L6671" t="s">
        <v>23</v>
      </c>
      <c r="M6671" t="s">
        <v>15990</v>
      </c>
      <c r="N6671" t="s">
        <v>5786</v>
      </c>
      <c r="O6671" t="s">
        <v>84</v>
      </c>
      <c r="P6671">
        <v>98072</v>
      </c>
      <c r="Q6671">
        <v>6304</v>
      </c>
      <c r="R6671" t="s">
        <v>23</v>
      </c>
      <c r="S6671" s="1" t="s">
        <v>34218</v>
      </c>
    </row>
    <row r="6672" spans="1:19" x14ac:dyDescent="0.25">
      <c r="A6672">
        <v>100941273</v>
      </c>
      <c r="B6672" t="s">
        <v>858</v>
      </c>
      <c r="C6672" t="s">
        <v>1239</v>
      </c>
      <c r="G6672" t="s">
        <v>15991</v>
      </c>
      <c r="H6672" t="s">
        <v>3520</v>
      </c>
      <c r="I6672" t="s">
        <v>22</v>
      </c>
      <c r="J6672">
        <v>94583</v>
      </c>
      <c r="K6672">
        <v>2850</v>
      </c>
      <c r="L6672" t="s">
        <v>23</v>
      </c>
      <c r="M6672" t="s">
        <v>15991</v>
      </c>
      <c r="N6672" t="s">
        <v>3520</v>
      </c>
      <c r="O6672" t="s">
        <v>22</v>
      </c>
      <c r="P6672">
        <v>94583</v>
      </c>
      <c r="Q6672">
        <v>2850</v>
      </c>
      <c r="R6672" t="s">
        <v>23</v>
      </c>
      <c r="S6672" s="1" t="s">
        <v>34218</v>
      </c>
    </row>
    <row r="6673" spans="1:19" x14ac:dyDescent="0.25">
      <c r="A6673">
        <v>100945261</v>
      </c>
      <c r="B6673" t="s">
        <v>15992</v>
      </c>
      <c r="C6673" t="s">
        <v>15993</v>
      </c>
      <c r="G6673" t="s">
        <v>15994</v>
      </c>
      <c r="H6673" t="s">
        <v>746</v>
      </c>
      <c r="I6673" t="s">
        <v>307</v>
      </c>
      <c r="J6673">
        <v>5156</v>
      </c>
      <c r="K6673">
        <v>8838</v>
      </c>
      <c r="L6673" t="s">
        <v>23</v>
      </c>
      <c r="M6673" t="s">
        <v>15994</v>
      </c>
      <c r="N6673" t="s">
        <v>746</v>
      </c>
      <c r="O6673" t="s">
        <v>307</v>
      </c>
      <c r="P6673">
        <v>5156</v>
      </c>
      <c r="Q6673">
        <v>8838</v>
      </c>
      <c r="R6673" t="s">
        <v>23</v>
      </c>
      <c r="S6673" s="1" t="s">
        <v>34218</v>
      </c>
    </row>
    <row r="6674" spans="1:19" x14ac:dyDescent="0.25">
      <c r="A6674">
        <v>100953229</v>
      </c>
      <c r="B6674" t="s">
        <v>10518</v>
      </c>
      <c r="C6674" t="s">
        <v>2653</v>
      </c>
      <c r="G6674" t="s">
        <v>15995</v>
      </c>
      <c r="H6674" t="s">
        <v>6136</v>
      </c>
      <c r="I6674" t="s">
        <v>22</v>
      </c>
      <c r="J6674">
        <v>92627</v>
      </c>
      <c r="K6674">
        <v>7600</v>
      </c>
      <c r="L6674" t="s">
        <v>23</v>
      </c>
      <c r="M6674" t="s">
        <v>15995</v>
      </c>
      <c r="N6674" t="s">
        <v>6136</v>
      </c>
      <c r="O6674" t="s">
        <v>22</v>
      </c>
      <c r="P6674">
        <v>92627</v>
      </c>
      <c r="Q6674">
        <v>7600</v>
      </c>
      <c r="R6674" t="s">
        <v>23</v>
      </c>
      <c r="S6674" s="1" t="s">
        <v>34218</v>
      </c>
    </row>
    <row r="6675" spans="1:19" x14ac:dyDescent="0.25">
      <c r="A6675">
        <v>100958343</v>
      </c>
      <c r="B6675" t="s">
        <v>1057</v>
      </c>
      <c r="C6675" t="s">
        <v>699</v>
      </c>
      <c r="G6675" t="s">
        <v>15996</v>
      </c>
      <c r="H6675" t="s">
        <v>4150</v>
      </c>
      <c r="I6675" t="s">
        <v>135</v>
      </c>
      <c r="J6675">
        <v>61604</v>
      </c>
      <c r="K6675">
        <v>2204</v>
      </c>
      <c r="L6675" t="s">
        <v>23</v>
      </c>
      <c r="M6675" t="s">
        <v>15996</v>
      </c>
      <c r="N6675" t="s">
        <v>4150</v>
      </c>
      <c r="O6675" t="s">
        <v>135</v>
      </c>
      <c r="P6675">
        <v>61604</v>
      </c>
      <c r="Q6675">
        <v>2204</v>
      </c>
      <c r="R6675" t="s">
        <v>23</v>
      </c>
      <c r="S6675" s="1" t="s">
        <v>34218</v>
      </c>
    </row>
    <row r="6676" spans="1:19" x14ac:dyDescent="0.25">
      <c r="A6676">
        <v>100960134</v>
      </c>
      <c r="B6676" t="s">
        <v>1941</v>
      </c>
      <c r="C6676" t="s">
        <v>403</v>
      </c>
      <c r="G6676" t="s">
        <v>15997</v>
      </c>
      <c r="H6676" t="s">
        <v>1166</v>
      </c>
      <c r="I6676" t="s">
        <v>178</v>
      </c>
      <c r="J6676">
        <v>43551</v>
      </c>
      <c r="K6676">
        <v>2348</v>
      </c>
      <c r="L6676" t="s">
        <v>23</v>
      </c>
      <c r="M6676" t="s">
        <v>15997</v>
      </c>
      <c r="N6676" t="s">
        <v>1166</v>
      </c>
      <c r="O6676" t="s">
        <v>178</v>
      </c>
      <c r="P6676">
        <v>43551</v>
      </c>
      <c r="Q6676">
        <v>2348</v>
      </c>
      <c r="R6676" t="s">
        <v>23</v>
      </c>
      <c r="S6676" s="1" t="s">
        <v>34218</v>
      </c>
    </row>
    <row r="6677" spans="1:19" x14ac:dyDescent="0.25">
      <c r="A6677">
        <v>100958041</v>
      </c>
      <c r="B6677" t="s">
        <v>15998</v>
      </c>
      <c r="C6677" t="s">
        <v>15999</v>
      </c>
      <c r="G6677" t="s">
        <v>16000</v>
      </c>
      <c r="H6677" t="s">
        <v>12583</v>
      </c>
      <c r="I6677" t="s">
        <v>702</v>
      </c>
      <c r="J6677">
        <v>89005</v>
      </c>
      <c r="K6677">
        <v>3117</v>
      </c>
      <c r="L6677" t="s">
        <v>23</v>
      </c>
      <c r="M6677" t="s">
        <v>16000</v>
      </c>
      <c r="N6677" t="s">
        <v>12583</v>
      </c>
      <c r="O6677" t="s">
        <v>702</v>
      </c>
      <c r="P6677">
        <v>89005</v>
      </c>
      <c r="Q6677">
        <v>3117</v>
      </c>
      <c r="R6677" t="s">
        <v>23</v>
      </c>
      <c r="S6677" s="1" t="s">
        <v>34218</v>
      </c>
    </row>
    <row r="6678" spans="1:19" x14ac:dyDescent="0.25">
      <c r="A6678">
        <v>100964321</v>
      </c>
      <c r="B6678" t="s">
        <v>16001</v>
      </c>
      <c r="C6678" t="s">
        <v>16002</v>
      </c>
      <c r="G6678" t="s">
        <v>16003</v>
      </c>
      <c r="H6678" t="s">
        <v>1600</v>
      </c>
      <c r="I6678" t="s">
        <v>33</v>
      </c>
      <c r="J6678">
        <v>17547</v>
      </c>
      <c r="K6678">
        <v>1205</v>
      </c>
      <c r="L6678" t="s">
        <v>23</v>
      </c>
      <c r="M6678" t="s">
        <v>16003</v>
      </c>
      <c r="N6678" t="s">
        <v>1600</v>
      </c>
      <c r="O6678" t="s">
        <v>33</v>
      </c>
      <c r="P6678">
        <v>17547</v>
      </c>
      <c r="Q6678">
        <v>1205</v>
      </c>
      <c r="R6678" t="s">
        <v>23</v>
      </c>
      <c r="S6678" s="1" t="s">
        <v>34218</v>
      </c>
    </row>
    <row r="6679" spans="1:19" x14ac:dyDescent="0.25">
      <c r="A6679">
        <v>101146822</v>
      </c>
      <c r="B6679" t="s">
        <v>14890</v>
      </c>
      <c r="C6679" t="s">
        <v>1616</v>
      </c>
      <c r="G6679" t="s">
        <v>16004</v>
      </c>
      <c r="H6679" t="s">
        <v>16005</v>
      </c>
      <c r="I6679" t="s">
        <v>126</v>
      </c>
      <c r="J6679">
        <v>64477</v>
      </c>
      <c r="K6679">
        <v>1580</v>
      </c>
      <c r="L6679" t="s">
        <v>23</v>
      </c>
      <c r="M6679" t="s">
        <v>16004</v>
      </c>
      <c r="N6679" t="s">
        <v>16005</v>
      </c>
      <c r="O6679" t="s">
        <v>126</v>
      </c>
      <c r="P6679">
        <v>64477</v>
      </c>
      <c r="Q6679">
        <v>1580</v>
      </c>
      <c r="R6679" t="s">
        <v>23</v>
      </c>
      <c r="S6679" s="1" t="s">
        <v>34218</v>
      </c>
    </row>
    <row r="6680" spans="1:19" x14ac:dyDescent="0.25">
      <c r="A6680">
        <v>101152398</v>
      </c>
      <c r="B6680" t="s">
        <v>16006</v>
      </c>
      <c r="C6680" t="s">
        <v>167</v>
      </c>
      <c r="G6680" t="s">
        <v>16007</v>
      </c>
      <c r="H6680" t="s">
        <v>16008</v>
      </c>
      <c r="I6680" t="s">
        <v>307</v>
      </c>
      <c r="J6680">
        <v>5043</v>
      </c>
      <c r="K6680">
        <v>9604</v>
      </c>
      <c r="L6680" t="s">
        <v>23</v>
      </c>
      <c r="M6680" t="s">
        <v>16007</v>
      </c>
      <c r="N6680" t="s">
        <v>16008</v>
      </c>
      <c r="O6680" t="s">
        <v>307</v>
      </c>
      <c r="P6680">
        <v>5043</v>
      </c>
      <c r="Q6680">
        <v>9604</v>
      </c>
      <c r="R6680" t="s">
        <v>23</v>
      </c>
      <c r="S6680" s="1" t="s">
        <v>34218</v>
      </c>
    </row>
    <row r="6681" spans="1:19" x14ac:dyDescent="0.25">
      <c r="A6681">
        <v>101154048</v>
      </c>
      <c r="B6681" t="s">
        <v>16009</v>
      </c>
      <c r="C6681" t="s">
        <v>440</v>
      </c>
      <c r="G6681" t="s">
        <v>16010</v>
      </c>
      <c r="H6681" t="s">
        <v>855</v>
      </c>
      <c r="I6681" t="s">
        <v>84</v>
      </c>
      <c r="J6681">
        <v>98368</v>
      </c>
      <c r="K6681">
        <v>8833</v>
      </c>
      <c r="L6681" t="s">
        <v>23</v>
      </c>
      <c r="M6681" t="s">
        <v>16010</v>
      </c>
      <c r="N6681" t="s">
        <v>855</v>
      </c>
      <c r="O6681" t="s">
        <v>84</v>
      </c>
      <c r="P6681">
        <v>98368</v>
      </c>
      <c r="Q6681">
        <v>8833</v>
      </c>
      <c r="R6681" t="s">
        <v>23</v>
      </c>
      <c r="S6681" s="1" t="s">
        <v>34218</v>
      </c>
    </row>
    <row r="6682" spans="1:19" x14ac:dyDescent="0.25">
      <c r="A6682">
        <v>101157746</v>
      </c>
      <c r="B6682" t="s">
        <v>16011</v>
      </c>
      <c r="C6682" t="s">
        <v>16012</v>
      </c>
      <c r="G6682" t="s">
        <v>16013</v>
      </c>
      <c r="H6682" t="s">
        <v>620</v>
      </c>
      <c r="I6682" t="s">
        <v>100</v>
      </c>
      <c r="J6682">
        <v>54169</v>
      </c>
      <c r="K6682">
        <v>9629</v>
      </c>
      <c r="L6682" t="s">
        <v>23</v>
      </c>
      <c r="M6682" t="s">
        <v>16013</v>
      </c>
      <c r="N6682" t="s">
        <v>620</v>
      </c>
      <c r="O6682" t="s">
        <v>100</v>
      </c>
      <c r="P6682">
        <v>54169</v>
      </c>
      <c r="Q6682">
        <v>9629</v>
      </c>
      <c r="R6682" t="s">
        <v>23</v>
      </c>
      <c r="S6682" s="1" t="s">
        <v>34218</v>
      </c>
    </row>
    <row r="6683" spans="1:19" x14ac:dyDescent="0.25">
      <c r="A6683">
        <v>101160827</v>
      </c>
      <c r="B6683" t="s">
        <v>16014</v>
      </c>
      <c r="C6683" t="s">
        <v>30</v>
      </c>
      <c r="G6683" t="s">
        <v>16015</v>
      </c>
      <c r="H6683" t="s">
        <v>481</v>
      </c>
      <c r="I6683" t="s">
        <v>22</v>
      </c>
      <c r="J6683">
        <v>95112</v>
      </c>
      <c r="K6683">
        <v>3986</v>
      </c>
      <c r="L6683" t="s">
        <v>23</v>
      </c>
      <c r="M6683" t="s">
        <v>16015</v>
      </c>
      <c r="N6683" t="s">
        <v>481</v>
      </c>
      <c r="O6683" t="s">
        <v>22</v>
      </c>
      <c r="P6683">
        <v>95112</v>
      </c>
      <c r="Q6683">
        <v>3986</v>
      </c>
      <c r="R6683" t="s">
        <v>23</v>
      </c>
      <c r="S6683" s="1" t="s">
        <v>34218</v>
      </c>
    </row>
    <row r="6684" spans="1:19" x14ac:dyDescent="0.25">
      <c r="A6684">
        <v>101162079</v>
      </c>
      <c r="B6684" t="s">
        <v>734</v>
      </c>
      <c r="C6684" t="s">
        <v>505</v>
      </c>
      <c r="G6684" t="s">
        <v>16016</v>
      </c>
      <c r="H6684" t="s">
        <v>2077</v>
      </c>
      <c r="I6684" t="s">
        <v>187</v>
      </c>
      <c r="J6684">
        <v>55057</v>
      </c>
      <c r="K6684">
        <v>3090</v>
      </c>
      <c r="L6684" t="s">
        <v>23</v>
      </c>
      <c r="M6684" t="s">
        <v>16016</v>
      </c>
      <c r="N6684" t="s">
        <v>2077</v>
      </c>
      <c r="O6684" t="s">
        <v>187</v>
      </c>
      <c r="P6684">
        <v>55057</v>
      </c>
      <c r="Q6684">
        <v>3090</v>
      </c>
      <c r="R6684" t="s">
        <v>23</v>
      </c>
      <c r="S6684" s="1" t="s">
        <v>34218</v>
      </c>
    </row>
    <row r="6685" spans="1:19" x14ac:dyDescent="0.25">
      <c r="A6685">
        <v>101164915</v>
      </c>
      <c r="B6685" t="s">
        <v>7234</v>
      </c>
      <c r="C6685" t="s">
        <v>582</v>
      </c>
      <c r="G6685" t="s">
        <v>16017</v>
      </c>
      <c r="H6685" t="s">
        <v>112</v>
      </c>
      <c r="I6685" t="s">
        <v>22</v>
      </c>
      <c r="J6685">
        <v>93117</v>
      </c>
      <c r="K6685">
        <v>1004</v>
      </c>
      <c r="L6685" t="s">
        <v>23</v>
      </c>
      <c r="M6685" t="s">
        <v>16017</v>
      </c>
      <c r="N6685" t="s">
        <v>112</v>
      </c>
      <c r="O6685" t="s">
        <v>22</v>
      </c>
      <c r="P6685">
        <v>93117</v>
      </c>
      <c r="Q6685">
        <v>1004</v>
      </c>
      <c r="R6685" t="s">
        <v>23</v>
      </c>
      <c r="S6685" s="1" t="s">
        <v>34218</v>
      </c>
    </row>
    <row r="6686" spans="1:19" x14ac:dyDescent="0.25">
      <c r="A6686">
        <v>100824342</v>
      </c>
      <c r="B6686" t="s">
        <v>1800</v>
      </c>
      <c r="C6686" t="s">
        <v>1384</v>
      </c>
      <c r="G6686" t="s">
        <v>16018</v>
      </c>
      <c r="H6686" t="s">
        <v>1431</v>
      </c>
      <c r="I6686" t="s">
        <v>639</v>
      </c>
      <c r="J6686">
        <v>87501</v>
      </c>
      <c r="K6686">
        <v>1486</v>
      </c>
      <c r="L6686" t="s">
        <v>23</v>
      </c>
      <c r="M6686" t="s">
        <v>16018</v>
      </c>
      <c r="N6686" t="s">
        <v>1431</v>
      </c>
      <c r="O6686" t="s">
        <v>639</v>
      </c>
      <c r="P6686">
        <v>87501</v>
      </c>
      <c r="Q6686">
        <v>1486</v>
      </c>
      <c r="R6686" t="s">
        <v>23</v>
      </c>
      <c r="S6686" s="1" t="s">
        <v>34218</v>
      </c>
    </row>
    <row r="6687" spans="1:19" x14ac:dyDescent="0.25">
      <c r="A6687">
        <v>100831033</v>
      </c>
      <c r="B6687" t="s">
        <v>16019</v>
      </c>
      <c r="C6687" t="s">
        <v>1208</v>
      </c>
      <c r="G6687" t="s">
        <v>16020</v>
      </c>
      <c r="H6687" t="s">
        <v>3592</v>
      </c>
      <c r="I6687" t="s">
        <v>22</v>
      </c>
      <c r="J6687">
        <v>95608</v>
      </c>
      <c r="K6687">
        <v>1858</v>
      </c>
      <c r="L6687" t="s">
        <v>23</v>
      </c>
      <c r="M6687" t="s">
        <v>16020</v>
      </c>
      <c r="N6687" t="s">
        <v>3592</v>
      </c>
      <c r="O6687" t="s">
        <v>22</v>
      </c>
      <c r="P6687">
        <v>95608</v>
      </c>
      <c r="Q6687">
        <v>1858</v>
      </c>
      <c r="R6687" t="s">
        <v>23</v>
      </c>
      <c r="S6687" s="1" t="s">
        <v>34218</v>
      </c>
    </row>
    <row r="6688" spans="1:19" x14ac:dyDescent="0.25">
      <c r="A6688">
        <v>100831258</v>
      </c>
      <c r="B6688" t="s">
        <v>16021</v>
      </c>
      <c r="C6688" t="s">
        <v>172</v>
      </c>
      <c r="G6688" t="s">
        <v>16022</v>
      </c>
      <c r="H6688" t="s">
        <v>3262</v>
      </c>
      <c r="I6688" t="s">
        <v>52</v>
      </c>
      <c r="J6688">
        <v>32084</v>
      </c>
      <c r="K6688">
        <v>8200</v>
      </c>
      <c r="L6688" t="s">
        <v>23</v>
      </c>
      <c r="M6688" t="s">
        <v>16022</v>
      </c>
      <c r="N6688" t="s">
        <v>3262</v>
      </c>
      <c r="O6688" t="s">
        <v>52</v>
      </c>
      <c r="P6688">
        <v>32084</v>
      </c>
      <c r="Q6688">
        <v>8200</v>
      </c>
      <c r="R6688" t="s">
        <v>23</v>
      </c>
      <c r="S6688" s="1" t="s">
        <v>34218</v>
      </c>
    </row>
    <row r="6689" spans="1:19" x14ac:dyDescent="0.25">
      <c r="A6689">
        <v>100833075</v>
      </c>
      <c r="B6689" t="s">
        <v>16023</v>
      </c>
      <c r="C6689" t="s">
        <v>3754</v>
      </c>
      <c r="G6689" t="s">
        <v>16024</v>
      </c>
      <c r="H6689" t="s">
        <v>16025</v>
      </c>
      <c r="I6689" t="s">
        <v>140</v>
      </c>
      <c r="J6689">
        <v>48038</v>
      </c>
      <c r="K6689">
        <v>2294</v>
      </c>
      <c r="L6689" t="s">
        <v>23</v>
      </c>
      <c r="M6689" t="s">
        <v>16024</v>
      </c>
      <c r="N6689" t="s">
        <v>16025</v>
      </c>
      <c r="O6689" t="s">
        <v>140</v>
      </c>
      <c r="P6689">
        <v>48038</v>
      </c>
      <c r="Q6689">
        <v>2294</v>
      </c>
      <c r="R6689" t="s">
        <v>23</v>
      </c>
      <c r="S6689" s="1" t="s">
        <v>34218</v>
      </c>
    </row>
    <row r="6690" spans="1:19" x14ac:dyDescent="0.25">
      <c r="A6690">
        <v>100833076</v>
      </c>
      <c r="B6690" t="s">
        <v>2970</v>
      </c>
      <c r="C6690" t="s">
        <v>4969</v>
      </c>
      <c r="G6690" t="s">
        <v>16026</v>
      </c>
      <c r="H6690" t="s">
        <v>1748</v>
      </c>
      <c r="I6690" t="s">
        <v>38</v>
      </c>
      <c r="J6690">
        <v>76016</v>
      </c>
      <c r="K6690">
        <v>3734</v>
      </c>
      <c r="L6690" t="s">
        <v>23</v>
      </c>
      <c r="M6690" t="s">
        <v>16026</v>
      </c>
      <c r="N6690" t="s">
        <v>1748</v>
      </c>
      <c r="O6690" t="s">
        <v>38</v>
      </c>
      <c r="P6690">
        <v>76016</v>
      </c>
      <c r="Q6690">
        <v>3734</v>
      </c>
      <c r="R6690" t="s">
        <v>23</v>
      </c>
      <c r="S6690" s="1" t="s">
        <v>34218</v>
      </c>
    </row>
    <row r="6691" spans="1:19" x14ac:dyDescent="0.25">
      <c r="A6691">
        <v>100988416</v>
      </c>
      <c r="B6691" t="s">
        <v>16027</v>
      </c>
      <c r="C6691" t="s">
        <v>16028</v>
      </c>
      <c r="G6691" t="s">
        <v>16029</v>
      </c>
      <c r="H6691" t="s">
        <v>6074</v>
      </c>
      <c r="I6691" t="s">
        <v>327</v>
      </c>
      <c r="J6691">
        <v>26003</v>
      </c>
      <c r="K6691">
        <v>1762</v>
      </c>
      <c r="L6691" t="s">
        <v>23</v>
      </c>
      <c r="M6691" t="s">
        <v>16029</v>
      </c>
      <c r="N6691" t="s">
        <v>6074</v>
      </c>
      <c r="O6691" t="s">
        <v>327</v>
      </c>
      <c r="P6691">
        <v>26003</v>
      </c>
      <c r="Q6691">
        <v>1762</v>
      </c>
      <c r="R6691" t="s">
        <v>23</v>
      </c>
      <c r="S6691" s="1" t="s">
        <v>34218</v>
      </c>
    </row>
    <row r="6692" spans="1:19" x14ac:dyDescent="0.25">
      <c r="A6692">
        <v>100989170</v>
      </c>
      <c r="B6692" t="s">
        <v>4388</v>
      </c>
      <c r="C6692" t="s">
        <v>475</v>
      </c>
      <c r="G6692" t="s">
        <v>16030</v>
      </c>
      <c r="H6692" t="s">
        <v>16031</v>
      </c>
      <c r="I6692" t="s">
        <v>255</v>
      </c>
      <c r="J6692">
        <v>24091</v>
      </c>
      <c r="K6692">
        <v>2668</v>
      </c>
      <c r="L6692" t="s">
        <v>23</v>
      </c>
      <c r="M6692" t="s">
        <v>16030</v>
      </c>
      <c r="N6692" t="s">
        <v>16031</v>
      </c>
      <c r="O6692" t="s">
        <v>255</v>
      </c>
      <c r="P6692">
        <v>24091</v>
      </c>
      <c r="Q6692">
        <v>2668</v>
      </c>
      <c r="R6692" t="s">
        <v>23</v>
      </c>
      <c r="S6692" s="1" t="s">
        <v>34218</v>
      </c>
    </row>
    <row r="6693" spans="1:19" x14ac:dyDescent="0.25">
      <c r="A6693">
        <v>100992859</v>
      </c>
      <c r="B6693" t="s">
        <v>16032</v>
      </c>
      <c r="C6693" t="s">
        <v>547</v>
      </c>
      <c r="G6693" t="s">
        <v>16033</v>
      </c>
      <c r="H6693" t="s">
        <v>638</v>
      </c>
      <c r="I6693" t="s">
        <v>639</v>
      </c>
      <c r="J6693">
        <v>87120</v>
      </c>
      <c r="K6693">
        <v>6207</v>
      </c>
      <c r="L6693" t="s">
        <v>23</v>
      </c>
      <c r="M6693" t="s">
        <v>16033</v>
      </c>
      <c r="N6693" t="s">
        <v>638</v>
      </c>
      <c r="O6693" t="s">
        <v>639</v>
      </c>
      <c r="P6693">
        <v>87120</v>
      </c>
      <c r="Q6693">
        <v>6207</v>
      </c>
      <c r="R6693" t="s">
        <v>23</v>
      </c>
      <c r="S6693" s="1" t="s">
        <v>34218</v>
      </c>
    </row>
    <row r="6694" spans="1:19" x14ac:dyDescent="0.25">
      <c r="A6694">
        <v>100996409</v>
      </c>
      <c r="B6694" t="s">
        <v>16034</v>
      </c>
      <c r="C6694" t="s">
        <v>16035</v>
      </c>
      <c r="G6694" t="s">
        <v>16036</v>
      </c>
      <c r="H6694" t="s">
        <v>16037</v>
      </c>
      <c r="I6694" t="s">
        <v>117</v>
      </c>
      <c r="J6694">
        <v>14063</v>
      </c>
      <c r="K6694">
        <v>1307</v>
      </c>
      <c r="L6694" t="s">
        <v>23</v>
      </c>
      <c r="M6694" t="s">
        <v>16036</v>
      </c>
      <c r="N6694" t="s">
        <v>16037</v>
      </c>
      <c r="O6694" t="s">
        <v>117</v>
      </c>
      <c r="P6694">
        <v>14063</v>
      </c>
      <c r="Q6694">
        <v>1307</v>
      </c>
      <c r="R6694" t="s">
        <v>23</v>
      </c>
      <c r="S6694" s="1" t="s">
        <v>34218</v>
      </c>
    </row>
    <row r="6695" spans="1:19" x14ac:dyDescent="0.25">
      <c r="A6695">
        <v>101000616</v>
      </c>
      <c r="B6695" t="s">
        <v>16038</v>
      </c>
      <c r="C6695" t="s">
        <v>16039</v>
      </c>
      <c r="G6695" t="s">
        <v>16040</v>
      </c>
      <c r="H6695" t="s">
        <v>688</v>
      </c>
      <c r="I6695" t="s">
        <v>117</v>
      </c>
      <c r="J6695">
        <v>14610</v>
      </c>
      <c r="K6695">
        <v>3366</v>
      </c>
      <c r="L6695" t="s">
        <v>23</v>
      </c>
      <c r="M6695" t="s">
        <v>16040</v>
      </c>
      <c r="N6695" t="s">
        <v>688</v>
      </c>
      <c r="O6695" t="s">
        <v>117</v>
      </c>
      <c r="P6695">
        <v>14610</v>
      </c>
      <c r="Q6695">
        <v>3366</v>
      </c>
      <c r="R6695" t="s">
        <v>23</v>
      </c>
      <c r="S6695" s="1" t="s">
        <v>34218</v>
      </c>
    </row>
    <row r="6696" spans="1:19" x14ac:dyDescent="0.25">
      <c r="A6696">
        <v>101000838</v>
      </c>
      <c r="B6696" t="s">
        <v>16041</v>
      </c>
      <c r="C6696" t="s">
        <v>16042</v>
      </c>
      <c r="G6696" t="s">
        <v>16043</v>
      </c>
      <c r="H6696" t="s">
        <v>6620</v>
      </c>
      <c r="I6696" t="s">
        <v>984</v>
      </c>
      <c r="J6696">
        <v>96754</v>
      </c>
      <c r="K6696">
        <v>5530</v>
      </c>
      <c r="L6696" t="s">
        <v>23</v>
      </c>
      <c r="M6696" t="s">
        <v>16043</v>
      </c>
      <c r="N6696" t="s">
        <v>6620</v>
      </c>
      <c r="O6696" t="s">
        <v>984</v>
      </c>
      <c r="P6696">
        <v>96754</v>
      </c>
      <c r="Q6696">
        <v>5530</v>
      </c>
      <c r="R6696" t="s">
        <v>23</v>
      </c>
      <c r="S6696" s="1" t="s">
        <v>34218</v>
      </c>
    </row>
    <row r="6697" spans="1:19" x14ac:dyDescent="0.25">
      <c r="A6697">
        <v>101008846</v>
      </c>
      <c r="B6697" t="s">
        <v>303</v>
      </c>
      <c r="C6697" t="s">
        <v>575</v>
      </c>
      <c r="G6697" t="s">
        <v>16044</v>
      </c>
      <c r="H6697" t="s">
        <v>10537</v>
      </c>
      <c r="I6697" t="s">
        <v>307</v>
      </c>
      <c r="J6697">
        <v>5482</v>
      </c>
      <c r="K6697">
        <v>7394</v>
      </c>
      <c r="L6697" t="s">
        <v>23</v>
      </c>
      <c r="M6697" t="s">
        <v>16044</v>
      </c>
      <c r="N6697" t="s">
        <v>10537</v>
      </c>
      <c r="O6697" t="s">
        <v>307</v>
      </c>
      <c r="P6697">
        <v>5482</v>
      </c>
      <c r="Q6697">
        <v>7394</v>
      </c>
      <c r="R6697" t="s">
        <v>23</v>
      </c>
      <c r="S6697" s="1" t="s">
        <v>34218</v>
      </c>
    </row>
    <row r="6698" spans="1:19" x14ac:dyDescent="0.25">
      <c r="A6698">
        <v>101007011</v>
      </c>
      <c r="B6698" t="s">
        <v>497</v>
      </c>
      <c r="C6698" t="s">
        <v>1327</v>
      </c>
      <c r="G6698" t="s">
        <v>16045</v>
      </c>
      <c r="H6698" t="s">
        <v>7803</v>
      </c>
      <c r="I6698" t="s">
        <v>140</v>
      </c>
      <c r="J6698">
        <v>49676</v>
      </c>
      <c r="K6698">
        <v>9389</v>
      </c>
      <c r="L6698" t="s">
        <v>23</v>
      </c>
      <c r="M6698" t="s">
        <v>16045</v>
      </c>
      <c r="N6698" t="s">
        <v>7803</v>
      </c>
      <c r="O6698" t="s">
        <v>140</v>
      </c>
      <c r="P6698">
        <v>49676</v>
      </c>
      <c r="Q6698">
        <v>9389</v>
      </c>
      <c r="R6698" t="s">
        <v>23</v>
      </c>
      <c r="S6698" s="1" t="s">
        <v>34218</v>
      </c>
    </row>
    <row r="6699" spans="1:19" x14ac:dyDescent="0.25">
      <c r="A6699">
        <v>101007985</v>
      </c>
      <c r="B6699" t="s">
        <v>16046</v>
      </c>
      <c r="C6699" t="s">
        <v>10704</v>
      </c>
      <c r="G6699" t="s">
        <v>16047</v>
      </c>
      <c r="H6699" t="s">
        <v>393</v>
      </c>
      <c r="I6699" t="s">
        <v>71</v>
      </c>
      <c r="J6699">
        <v>80220</v>
      </c>
      <c r="K6699">
        <v>5374</v>
      </c>
      <c r="L6699" t="s">
        <v>23</v>
      </c>
      <c r="M6699" t="s">
        <v>16047</v>
      </c>
      <c r="N6699" t="s">
        <v>393</v>
      </c>
      <c r="O6699" t="s">
        <v>71</v>
      </c>
      <c r="P6699">
        <v>80220</v>
      </c>
      <c r="Q6699">
        <v>5374</v>
      </c>
      <c r="R6699" t="s">
        <v>23</v>
      </c>
      <c r="S6699" s="1" t="s">
        <v>34218</v>
      </c>
    </row>
    <row r="6700" spans="1:19" x14ac:dyDescent="0.25">
      <c r="A6700">
        <v>101016419</v>
      </c>
      <c r="B6700" t="s">
        <v>3447</v>
      </c>
      <c r="C6700" t="s">
        <v>699</v>
      </c>
      <c r="G6700" t="s">
        <v>16048</v>
      </c>
      <c r="H6700" t="s">
        <v>16049</v>
      </c>
      <c r="I6700" t="s">
        <v>140</v>
      </c>
      <c r="J6700">
        <v>48189</v>
      </c>
      <c r="K6700">
        <v>9234</v>
      </c>
      <c r="L6700" t="s">
        <v>23</v>
      </c>
      <c r="M6700" t="s">
        <v>16048</v>
      </c>
      <c r="N6700" t="s">
        <v>16049</v>
      </c>
      <c r="O6700" t="s">
        <v>140</v>
      </c>
      <c r="P6700">
        <v>48189</v>
      </c>
      <c r="Q6700">
        <v>9234</v>
      </c>
      <c r="R6700" t="s">
        <v>23</v>
      </c>
      <c r="S6700" s="1" t="s">
        <v>34218</v>
      </c>
    </row>
    <row r="6701" spans="1:19" x14ac:dyDescent="0.25">
      <c r="A6701">
        <v>101011797</v>
      </c>
      <c r="B6701" t="s">
        <v>13155</v>
      </c>
      <c r="C6701" t="s">
        <v>535</v>
      </c>
      <c r="G6701" t="s">
        <v>13156</v>
      </c>
      <c r="H6701" t="s">
        <v>4105</v>
      </c>
      <c r="I6701" t="s">
        <v>117</v>
      </c>
      <c r="J6701">
        <v>11375</v>
      </c>
      <c r="K6701">
        <v>5229</v>
      </c>
      <c r="L6701" t="s">
        <v>23</v>
      </c>
      <c r="M6701" t="s">
        <v>13156</v>
      </c>
      <c r="N6701" t="s">
        <v>4105</v>
      </c>
      <c r="O6701" t="s">
        <v>117</v>
      </c>
      <c r="P6701">
        <v>11375</v>
      </c>
      <c r="Q6701">
        <v>5229</v>
      </c>
      <c r="R6701" t="s">
        <v>23</v>
      </c>
      <c r="S6701" s="1" t="s">
        <v>34218</v>
      </c>
    </row>
    <row r="6702" spans="1:19" x14ac:dyDescent="0.25">
      <c r="A6702">
        <v>101207039</v>
      </c>
      <c r="B6702" t="s">
        <v>3629</v>
      </c>
      <c r="C6702" t="s">
        <v>1327</v>
      </c>
      <c r="G6702" t="s">
        <v>16050</v>
      </c>
      <c r="H6702" t="s">
        <v>2086</v>
      </c>
      <c r="I6702" t="s">
        <v>178</v>
      </c>
      <c r="J6702">
        <v>45232</v>
      </c>
      <c r="K6702">
        <v>1741</v>
      </c>
      <c r="L6702" t="s">
        <v>23</v>
      </c>
      <c r="M6702" t="s">
        <v>16050</v>
      </c>
      <c r="N6702" t="s">
        <v>2086</v>
      </c>
      <c r="O6702" t="s">
        <v>178</v>
      </c>
      <c r="P6702">
        <v>45232</v>
      </c>
      <c r="Q6702">
        <v>1741</v>
      </c>
      <c r="R6702" t="s">
        <v>23</v>
      </c>
      <c r="S6702" s="1" t="s">
        <v>34218</v>
      </c>
    </row>
    <row r="6703" spans="1:19" x14ac:dyDescent="0.25">
      <c r="A6703">
        <v>101201397</v>
      </c>
      <c r="B6703" t="s">
        <v>16051</v>
      </c>
      <c r="C6703" t="s">
        <v>266</v>
      </c>
      <c r="G6703" t="s">
        <v>16052</v>
      </c>
      <c r="H6703" t="s">
        <v>3373</v>
      </c>
      <c r="I6703" t="s">
        <v>178</v>
      </c>
      <c r="J6703">
        <v>44120</v>
      </c>
      <c r="K6703">
        <v>2215</v>
      </c>
      <c r="L6703" t="s">
        <v>23</v>
      </c>
      <c r="M6703" t="s">
        <v>16052</v>
      </c>
      <c r="N6703" t="s">
        <v>3373</v>
      </c>
      <c r="O6703" t="s">
        <v>178</v>
      </c>
      <c r="P6703">
        <v>44120</v>
      </c>
      <c r="Q6703">
        <v>2215</v>
      </c>
      <c r="R6703" t="s">
        <v>23</v>
      </c>
      <c r="S6703" s="1" t="s">
        <v>34218</v>
      </c>
    </row>
    <row r="6704" spans="1:19" x14ac:dyDescent="0.25">
      <c r="A6704">
        <v>101210990</v>
      </c>
      <c r="B6704" t="s">
        <v>16053</v>
      </c>
      <c r="C6704" t="s">
        <v>3705</v>
      </c>
      <c r="G6704" t="s">
        <v>16054</v>
      </c>
      <c r="H6704" t="s">
        <v>16055</v>
      </c>
      <c r="I6704" t="s">
        <v>250</v>
      </c>
      <c r="J6704">
        <v>7421</v>
      </c>
      <c r="K6704">
        <v>153</v>
      </c>
      <c r="L6704" t="s">
        <v>23</v>
      </c>
      <c r="M6704" t="s">
        <v>16054</v>
      </c>
      <c r="N6704" t="s">
        <v>16055</v>
      </c>
      <c r="O6704" t="s">
        <v>250</v>
      </c>
      <c r="P6704">
        <v>7421</v>
      </c>
      <c r="Q6704">
        <v>153</v>
      </c>
      <c r="R6704" t="s">
        <v>23</v>
      </c>
      <c r="S6704" s="1" t="s">
        <v>34218</v>
      </c>
    </row>
    <row r="6705" spans="1:19" x14ac:dyDescent="0.25">
      <c r="A6705">
        <v>101215987</v>
      </c>
      <c r="B6705" t="s">
        <v>16056</v>
      </c>
      <c r="C6705" t="s">
        <v>1050</v>
      </c>
      <c r="G6705" t="s">
        <v>16057</v>
      </c>
      <c r="H6705" t="s">
        <v>4247</v>
      </c>
      <c r="I6705" t="s">
        <v>33</v>
      </c>
      <c r="J6705">
        <v>19067</v>
      </c>
      <c r="K6705">
        <v>2703</v>
      </c>
      <c r="L6705" t="s">
        <v>23</v>
      </c>
      <c r="M6705" t="s">
        <v>16057</v>
      </c>
      <c r="N6705" t="s">
        <v>4247</v>
      </c>
      <c r="O6705" t="s">
        <v>33</v>
      </c>
      <c r="P6705">
        <v>19067</v>
      </c>
      <c r="Q6705">
        <v>2703</v>
      </c>
      <c r="R6705" t="s">
        <v>23</v>
      </c>
      <c r="S6705" s="1" t="s">
        <v>34218</v>
      </c>
    </row>
    <row r="6706" spans="1:19" x14ac:dyDescent="0.25">
      <c r="A6706">
        <v>101035956</v>
      </c>
      <c r="B6706" t="s">
        <v>12387</v>
      </c>
      <c r="C6706" t="s">
        <v>16058</v>
      </c>
      <c r="G6706" t="s">
        <v>16059</v>
      </c>
      <c r="H6706" t="s">
        <v>1787</v>
      </c>
      <c r="I6706" t="s">
        <v>702</v>
      </c>
      <c r="J6706">
        <v>89129</v>
      </c>
      <c r="K6706">
        <v>6408</v>
      </c>
      <c r="L6706" t="s">
        <v>23</v>
      </c>
      <c r="M6706" t="s">
        <v>16059</v>
      </c>
      <c r="N6706" t="s">
        <v>1787</v>
      </c>
      <c r="O6706" t="s">
        <v>702</v>
      </c>
      <c r="P6706">
        <v>89129</v>
      </c>
      <c r="Q6706">
        <v>6408</v>
      </c>
      <c r="R6706" t="s">
        <v>23</v>
      </c>
      <c r="S6706" s="1" t="s">
        <v>34218</v>
      </c>
    </row>
    <row r="6707" spans="1:19" x14ac:dyDescent="0.25">
      <c r="A6707">
        <v>101039163</v>
      </c>
      <c r="B6707" t="s">
        <v>16060</v>
      </c>
      <c r="C6707" t="s">
        <v>81</v>
      </c>
      <c r="G6707" t="s">
        <v>16061</v>
      </c>
      <c r="H6707" t="s">
        <v>14216</v>
      </c>
      <c r="I6707" t="s">
        <v>22</v>
      </c>
      <c r="J6707">
        <v>96080</v>
      </c>
      <c r="K6707">
        <v>3041</v>
      </c>
      <c r="L6707" t="s">
        <v>23</v>
      </c>
      <c r="M6707" t="s">
        <v>16061</v>
      </c>
      <c r="N6707" t="s">
        <v>14216</v>
      </c>
      <c r="O6707" t="s">
        <v>22</v>
      </c>
      <c r="P6707">
        <v>96080</v>
      </c>
      <c r="Q6707">
        <v>3041</v>
      </c>
      <c r="R6707" t="s">
        <v>23</v>
      </c>
      <c r="S6707" s="1" t="s">
        <v>34218</v>
      </c>
    </row>
    <row r="6708" spans="1:19" x14ac:dyDescent="0.25">
      <c r="A6708">
        <v>101033179</v>
      </c>
      <c r="B6708" t="s">
        <v>1581</v>
      </c>
      <c r="C6708" t="s">
        <v>102</v>
      </c>
      <c r="G6708" t="s">
        <v>16062</v>
      </c>
      <c r="H6708" t="s">
        <v>16063</v>
      </c>
      <c r="I6708" t="s">
        <v>126</v>
      </c>
      <c r="J6708">
        <v>64850</v>
      </c>
      <c r="K6708">
        <v>8181</v>
      </c>
      <c r="L6708" t="s">
        <v>23</v>
      </c>
      <c r="M6708" t="s">
        <v>16062</v>
      </c>
      <c r="N6708" t="s">
        <v>16063</v>
      </c>
      <c r="O6708" t="s">
        <v>126</v>
      </c>
      <c r="P6708">
        <v>64850</v>
      </c>
      <c r="Q6708">
        <v>8181</v>
      </c>
      <c r="R6708" t="s">
        <v>23</v>
      </c>
      <c r="S6708" s="1" t="s">
        <v>34218</v>
      </c>
    </row>
    <row r="6709" spans="1:19" x14ac:dyDescent="0.25">
      <c r="A6709">
        <v>101037013</v>
      </c>
      <c r="B6709" t="s">
        <v>16064</v>
      </c>
      <c r="C6709" t="s">
        <v>403</v>
      </c>
      <c r="G6709" t="s">
        <v>16065</v>
      </c>
      <c r="H6709" t="s">
        <v>1439</v>
      </c>
      <c r="I6709" t="s">
        <v>365</v>
      </c>
      <c r="J6709">
        <v>85743</v>
      </c>
      <c r="K6709">
        <v>8907</v>
      </c>
      <c r="L6709" t="s">
        <v>23</v>
      </c>
      <c r="M6709" t="s">
        <v>16065</v>
      </c>
      <c r="N6709" t="s">
        <v>1439</v>
      </c>
      <c r="O6709" t="s">
        <v>365</v>
      </c>
      <c r="P6709">
        <v>85743</v>
      </c>
      <c r="Q6709">
        <v>8907</v>
      </c>
      <c r="R6709" t="s">
        <v>23</v>
      </c>
      <c r="S6709" s="1" t="s">
        <v>34218</v>
      </c>
    </row>
    <row r="6710" spans="1:19" x14ac:dyDescent="0.25">
      <c r="A6710">
        <v>101038022</v>
      </c>
      <c r="B6710" t="s">
        <v>16066</v>
      </c>
      <c r="C6710" t="s">
        <v>16067</v>
      </c>
      <c r="G6710" t="s">
        <v>16068</v>
      </c>
      <c r="H6710" t="s">
        <v>16069</v>
      </c>
      <c r="I6710" t="s">
        <v>191</v>
      </c>
      <c r="J6710">
        <v>4605</v>
      </c>
      <c r="K6710">
        <v>3471</v>
      </c>
      <c r="L6710" t="s">
        <v>23</v>
      </c>
      <c r="M6710" t="s">
        <v>16068</v>
      </c>
      <c r="N6710" t="s">
        <v>16069</v>
      </c>
      <c r="O6710" t="s">
        <v>191</v>
      </c>
      <c r="P6710">
        <v>4605</v>
      </c>
      <c r="Q6710">
        <v>3471</v>
      </c>
      <c r="R6710" t="s">
        <v>23</v>
      </c>
      <c r="S6710" s="1" t="s">
        <v>34218</v>
      </c>
    </row>
    <row r="6711" spans="1:19" x14ac:dyDescent="0.25">
      <c r="A6711">
        <v>101038665</v>
      </c>
      <c r="B6711" t="s">
        <v>2802</v>
      </c>
      <c r="C6711" t="s">
        <v>1043</v>
      </c>
      <c r="G6711" t="s">
        <v>16070</v>
      </c>
      <c r="H6711" t="s">
        <v>3169</v>
      </c>
      <c r="I6711" t="s">
        <v>84</v>
      </c>
      <c r="J6711">
        <v>98404</v>
      </c>
      <c r="K6711">
        <v>1604</v>
      </c>
      <c r="L6711" t="s">
        <v>23</v>
      </c>
      <c r="M6711" t="s">
        <v>16070</v>
      </c>
      <c r="N6711" t="s">
        <v>3169</v>
      </c>
      <c r="O6711" t="s">
        <v>84</v>
      </c>
      <c r="P6711">
        <v>98404</v>
      </c>
      <c r="Q6711">
        <v>1604</v>
      </c>
      <c r="R6711" t="s">
        <v>23</v>
      </c>
      <c r="S6711" s="1" t="s">
        <v>34218</v>
      </c>
    </row>
    <row r="6712" spans="1:19" x14ac:dyDescent="0.25">
      <c r="A6712">
        <v>101045126</v>
      </c>
      <c r="B6712" t="s">
        <v>16071</v>
      </c>
      <c r="C6712" t="s">
        <v>16072</v>
      </c>
      <c r="G6712" t="s">
        <v>16073</v>
      </c>
      <c r="H6712" t="s">
        <v>13722</v>
      </c>
      <c r="I6712" t="s">
        <v>327</v>
      </c>
      <c r="J6712">
        <v>25143</v>
      </c>
      <c r="L6712" t="s">
        <v>23</v>
      </c>
      <c r="M6712" t="s">
        <v>16073</v>
      </c>
      <c r="N6712" t="s">
        <v>13722</v>
      </c>
      <c r="O6712" t="s">
        <v>327</v>
      </c>
      <c r="P6712">
        <v>25143</v>
      </c>
      <c r="R6712" t="s">
        <v>23</v>
      </c>
      <c r="S6712" s="1" t="s">
        <v>34218</v>
      </c>
    </row>
    <row r="6713" spans="1:19" x14ac:dyDescent="0.25">
      <c r="A6713">
        <v>101242438</v>
      </c>
      <c r="B6713" t="s">
        <v>858</v>
      </c>
      <c r="C6713" t="s">
        <v>321</v>
      </c>
      <c r="G6713" t="s">
        <v>16074</v>
      </c>
      <c r="H6713" t="s">
        <v>1456</v>
      </c>
      <c r="I6713" t="s">
        <v>84</v>
      </c>
      <c r="J6713">
        <v>98011</v>
      </c>
      <c r="K6713">
        <v>7608</v>
      </c>
      <c r="L6713" t="s">
        <v>23</v>
      </c>
      <c r="M6713" t="s">
        <v>16074</v>
      </c>
      <c r="N6713" t="s">
        <v>1456</v>
      </c>
      <c r="O6713" t="s">
        <v>84</v>
      </c>
      <c r="P6713">
        <v>98011</v>
      </c>
      <c r="Q6713">
        <v>7608</v>
      </c>
      <c r="R6713" t="s">
        <v>23</v>
      </c>
      <c r="S6713" s="1" t="s">
        <v>34218</v>
      </c>
    </row>
    <row r="6714" spans="1:19" x14ac:dyDescent="0.25">
      <c r="A6714">
        <v>101236071</v>
      </c>
      <c r="B6714" t="s">
        <v>16075</v>
      </c>
      <c r="C6714" t="s">
        <v>158</v>
      </c>
      <c r="G6714" t="s">
        <v>16076</v>
      </c>
      <c r="H6714" t="s">
        <v>16077</v>
      </c>
      <c r="I6714" t="s">
        <v>178</v>
      </c>
      <c r="J6714">
        <v>45429</v>
      </c>
      <c r="K6714">
        <v>2757</v>
      </c>
      <c r="L6714" t="s">
        <v>23</v>
      </c>
      <c r="M6714" t="s">
        <v>16076</v>
      </c>
      <c r="N6714" t="s">
        <v>16077</v>
      </c>
      <c r="O6714" t="s">
        <v>178</v>
      </c>
      <c r="P6714">
        <v>45429</v>
      </c>
      <c r="Q6714">
        <v>2757</v>
      </c>
      <c r="R6714" t="s">
        <v>23</v>
      </c>
      <c r="S6714" s="1" t="s">
        <v>34218</v>
      </c>
    </row>
    <row r="6715" spans="1:19" x14ac:dyDescent="0.25">
      <c r="A6715">
        <v>101168363</v>
      </c>
      <c r="B6715" t="s">
        <v>16078</v>
      </c>
      <c r="C6715" t="s">
        <v>2557</v>
      </c>
      <c r="G6715" t="s">
        <v>16079</v>
      </c>
      <c r="H6715" t="s">
        <v>16080</v>
      </c>
      <c r="I6715" t="s">
        <v>117</v>
      </c>
      <c r="J6715">
        <v>11762</v>
      </c>
      <c r="K6715">
        <v>2641</v>
      </c>
      <c r="L6715" t="s">
        <v>23</v>
      </c>
      <c r="M6715" t="s">
        <v>16079</v>
      </c>
      <c r="N6715" t="s">
        <v>16080</v>
      </c>
      <c r="O6715" t="s">
        <v>117</v>
      </c>
      <c r="P6715">
        <v>11762</v>
      </c>
      <c r="Q6715">
        <v>2641</v>
      </c>
      <c r="R6715" t="s">
        <v>23</v>
      </c>
      <c r="S6715" s="1" t="s">
        <v>34218</v>
      </c>
    </row>
    <row r="6716" spans="1:19" x14ac:dyDescent="0.25">
      <c r="A6716">
        <v>101169329</v>
      </c>
      <c r="B6716" t="s">
        <v>8518</v>
      </c>
      <c r="C6716" t="s">
        <v>1542</v>
      </c>
      <c r="G6716" t="s">
        <v>16081</v>
      </c>
      <c r="H6716" t="s">
        <v>15562</v>
      </c>
      <c r="I6716" t="s">
        <v>52</v>
      </c>
      <c r="J6716">
        <v>34275</v>
      </c>
      <c r="K6716">
        <v>2429</v>
      </c>
      <c r="L6716" t="s">
        <v>23</v>
      </c>
      <c r="M6716" t="s">
        <v>16081</v>
      </c>
      <c r="N6716" t="s">
        <v>15562</v>
      </c>
      <c r="O6716" t="s">
        <v>52</v>
      </c>
      <c r="P6716">
        <v>34275</v>
      </c>
      <c r="Q6716">
        <v>2429</v>
      </c>
      <c r="R6716" t="s">
        <v>23</v>
      </c>
      <c r="S6716" s="1" t="s">
        <v>34218</v>
      </c>
    </row>
    <row r="6717" spans="1:19" x14ac:dyDescent="0.25">
      <c r="A6717">
        <v>101169859</v>
      </c>
      <c r="B6717" t="s">
        <v>16082</v>
      </c>
      <c r="C6717" t="s">
        <v>1124</v>
      </c>
      <c r="G6717" t="s">
        <v>16083</v>
      </c>
      <c r="H6717" t="s">
        <v>9013</v>
      </c>
      <c r="I6717" t="s">
        <v>1482</v>
      </c>
      <c r="J6717">
        <v>29605</v>
      </c>
      <c r="K6717">
        <v>1451</v>
      </c>
      <c r="L6717" t="s">
        <v>23</v>
      </c>
      <c r="M6717" t="s">
        <v>16083</v>
      </c>
      <c r="N6717" t="s">
        <v>9013</v>
      </c>
      <c r="O6717" t="s">
        <v>1482</v>
      </c>
      <c r="P6717">
        <v>29605</v>
      </c>
      <c r="Q6717">
        <v>1451</v>
      </c>
      <c r="R6717" t="s">
        <v>23</v>
      </c>
      <c r="S6717" s="1" t="s">
        <v>34218</v>
      </c>
    </row>
    <row r="6718" spans="1:19" x14ac:dyDescent="0.25">
      <c r="A6718">
        <v>101169990</v>
      </c>
      <c r="B6718" t="s">
        <v>16084</v>
      </c>
      <c r="C6718" t="s">
        <v>16085</v>
      </c>
      <c r="G6718" t="s">
        <v>16086</v>
      </c>
      <c r="H6718" t="s">
        <v>5742</v>
      </c>
      <c r="I6718" t="s">
        <v>250</v>
      </c>
      <c r="J6718">
        <v>8753</v>
      </c>
      <c r="K6718">
        <v>6805</v>
      </c>
      <c r="L6718" t="s">
        <v>23</v>
      </c>
      <c r="M6718" t="s">
        <v>16086</v>
      </c>
      <c r="N6718" t="s">
        <v>5742</v>
      </c>
      <c r="O6718" t="s">
        <v>250</v>
      </c>
      <c r="P6718">
        <v>8753</v>
      </c>
      <c r="Q6718">
        <v>6805</v>
      </c>
      <c r="R6718" t="s">
        <v>23</v>
      </c>
      <c r="S6718" s="1" t="s">
        <v>34218</v>
      </c>
    </row>
    <row r="6719" spans="1:19" x14ac:dyDescent="0.25">
      <c r="A6719">
        <v>101173291</v>
      </c>
      <c r="B6719" t="s">
        <v>16087</v>
      </c>
      <c r="C6719" t="s">
        <v>2365</v>
      </c>
      <c r="G6719" t="s">
        <v>16088</v>
      </c>
      <c r="H6719" t="s">
        <v>454</v>
      </c>
      <c r="I6719" t="s">
        <v>22</v>
      </c>
      <c r="J6719">
        <v>93065</v>
      </c>
      <c r="K6719">
        <v>2647</v>
      </c>
      <c r="L6719" t="s">
        <v>23</v>
      </c>
      <c r="M6719" t="s">
        <v>16088</v>
      </c>
      <c r="N6719" t="s">
        <v>454</v>
      </c>
      <c r="O6719" t="s">
        <v>22</v>
      </c>
      <c r="P6719">
        <v>93065</v>
      </c>
      <c r="Q6719">
        <v>2647</v>
      </c>
      <c r="R6719" t="s">
        <v>23</v>
      </c>
      <c r="S6719" s="1" t="s">
        <v>34218</v>
      </c>
    </row>
    <row r="6720" spans="1:19" x14ac:dyDescent="0.25">
      <c r="A6720">
        <v>101171637</v>
      </c>
      <c r="B6720" t="s">
        <v>16089</v>
      </c>
      <c r="C6720" t="s">
        <v>1555</v>
      </c>
      <c r="G6720" t="s">
        <v>16090</v>
      </c>
      <c r="H6720" t="s">
        <v>7799</v>
      </c>
      <c r="I6720" t="s">
        <v>22</v>
      </c>
      <c r="J6720">
        <v>93933</v>
      </c>
      <c r="K6720">
        <v>2440</v>
      </c>
      <c r="L6720" t="s">
        <v>23</v>
      </c>
      <c r="M6720" t="s">
        <v>16090</v>
      </c>
      <c r="N6720" t="s">
        <v>7799</v>
      </c>
      <c r="O6720" t="s">
        <v>22</v>
      </c>
      <c r="P6720">
        <v>93933</v>
      </c>
      <c r="Q6720">
        <v>2440</v>
      </c>
      <c r="R6720" t="s">
        <v>23</v>
      </c>
      <c r="S6720" s="1" t="s">
        <v>34218</v>
      </c>
    </row>
    <row r="6721" spans="1:19" x14ac:dyDescent="0.25">
      <c r="A6721">
        <v>101253809</v>
      </c>
      <c r="B6721" t="s">
        <v>16091</v>
      </c>
      <c r="C6721" t="s">
        <v>102</v>
      </c>
      <c r="G6721" t="s">
        <v>16092</v>
      </c>
      <c r="H6721" t="s">
        <v>726</v>
      </c>
      <c r="I6721" t="s">
        <v>22</v>
      </c>
      <c r="J6721" t="s">
        <v>16093</v>
      </c>
      <c r="K6721">
        <v>1745</v>
      </c>
      <c r="L6721" t="s">
        <v>23</v>
      </c>
      <c r="M6721" t="s">
        <v>16092</v>
      </c>
      <c r="N6721" t="s">
        <v>726</v>
      </c>
      <c r="O6721" t="s">
        <v>22</v>
      </c>
      <c r="P6721" t="s">
        <v>16093</v>
      </c>
      <c r="Q6721">
        <v>1745</v>
      </c>
      <c r="R6721" t="s">
        <v>23</v>
      </c>
      <c r="S6721" s="1" t="s">
        <v>34218</v>
      </c>
    </row>
    <row r="6722" spans="1:19" x14ac:dyDescent="0.25">
      <c r="A6722">
        <v>101311437</v>
      </c>
      <c r="B6722" t="s">
        <v>16094</v>
      </c>
      <c r="C6722" t="s">
        <v>225</v>
      </c>
      <c r="G6722" t="s">
        <v>16095</v>
      </c>
      <c r="H6722" t="s">
        <v>16096</v>
      </c>
      <c r="I6722" t="s">
        <v>135</v>
      </c>
      <c r="J6722" t="s">
        <v>16097</v>
      </c>
      <c r="K6722">
        <v>2711</v>
      </c>
      <c r="L6722" t="s">
        <v>23</v>
      </c>
      <c r="M6722" t="s">
        <v>16095</v>
      </c>
      <c r="N6722" t="s">
        <v>16096</v>
      </c>
      <c r="O6722" t="s">
        <v>135</v>
      </c>
      <c r="P6722" t="s">
        <v>16097</v>
      </c>
      <c r="Q6722">
        <v>2711</v>
      </c>
      <c r="R6722" t="s">
        <v>23</v>
      </c>
      <c r="S6722" s="1" t="s">
        <v>34218</v>
      </c>
    </row>
    <row r="6723" spans="1:19" x14ac:dyDescent="0.25">
      <c r="A6723">
        <v>100515855</v>
      </c>
      <c r="B6723" t="s">
        <v>1625</v>
      </c>
      <c r="C6723" t="s">
        <v>16098</v>
      </c>
      <c r="G6723" t="s">
        <v>16099</v>
      </c>
      <c r="H6723" t="s">
        <v>1060</v>
      </c>
      <c r="I6723" t="s">
        <v>22</v>
      </c>
      <c r="J6723" t="s">
        <v>16100</v>
      </c>
      <c r="K6723">
        <v>1769</v>
      </c>
      <c r="L6723" t="s">
        <v>23</v>
      </c>
      <c r="M6723" t="s">
        <v>16099</v>
      </c>
      <c r="N6723" t="s">
        <v>1060</v>
      </c>
      <c r="O6723" t="s">
        <v>22</v>
      </c>
      <c r="P6723" t="s">
        <v>16100</v>
      </c>
      <c r="Q6723">
        <v>1769</v>
      </c>
      <c r="R6723" t="s">
        <v>23</v>
      </c>
      <c r="S6723" s="1" t="s">
        <v>34218</v>
      </c>
    </row>
    <row r="6724" spans="1:19" x14ac:dyDescent="0.25">
      <c r="A6724">
        <v>101284748</v>
      </c>
      <c r="B6724" t="s">
        <v>16101</v>
      </c>
      <c r="C6724" t="s">
        <v>554</v>
      </c>
      <c r="G6724" t="s">
        <v>16102</v>
      </c>
      <c r="H6724" t="s">
        <v>37</v>
      </c>
      <c r="I6724" t="s">
        <v>38</v>
      </c>
      <c r="J6724" t="s">
        <v>16103</v>
      </c>
      <c r="K6724">
        <v>4021</v>
      </c>
      <c r="L6724" t="s">
        <v>23</v>
      </c>
      <c r="M6724" t="s">
        <v>16102</v>
      </c>
      <c r="N6724" t="s">
        <v>37</v>
      </c>
      <c r="O6724" t="s">
        <v>38</v>
      </c>
      <c r="P6724" t="s">
        <v>16103</v>
      </c>
      <c r="Q6724">
        <v>4021</v>
      </c>
      <c r="R6724" t="s">
        <v>23</v>
      </c>
      <c r="S6724" s="1" t="s">
        <v>34218</v>
      </c>
    </row>
    <row r="6725" spans="1:19" x14ac:dyDescent="0.25">
      <c r="A6725">
        <v>101412620</v>
      </c>
      <c r="B6725" t="s">
        <v>16104</v>
      </c>
      <c r="C6725" t="s">
        <v>16105</v>
      </c>
      <c r="G6725" t="s">
        <v>16106</v>
      </c>
      <c r="H6725" t="s">
        <v>134</v>
      </c>
      <c r="I6725" t="s">
        <v>135</v>
      </c>
      <c r="J6725" t="s">
        <v>16107</v>
      </c>
      <c r="K6725">
        <v>2335</v>
      </c>
      <c r="L6725" t="s">
        <v>23</v>
      </c>
      <c r="M6725" t="s">
        <v>16106</v>
      </c>
      <c r="N6725" t="s">
        <v>134</v>
      </c>
      <c r="O6725" t="s">
        <v>135</v>
      </c>
      <c r="P6725" t="s">
        <v>16107</v>
      </c>
      <c r="Q6725">
        <v>2335</v>
      </c>
      <c r="R6725" t="s">
        <v>23</v>
      </c>
      <c r="S6725" s="1" t="s">
        <v>34218</v>
      </c>
    </row>
    <row r="6726" spans="1:19" x14ac:dyDescent="0.25">
      <c r="A6726">
        <v>101365539</v>
      </c>
      <c r="B6726" t="s">
        <v>2459</v>
      </c>
      <c r="C6726" t="s">
        <v>16108</v>
      </c>
      <c r="G6726" t="s">
        <v>16109</v>
      </c>
      <c r="H6726" t="s">
        <v>16110</v>
      </c>
      <c r="I6726" t="s">
        <v>22</v>
      </c>
      <c r="J6726" t="s">
        <v>16111</v>
      </c>
      <c r="K6726">
        <v>2324</v>
      </c>
      <c r="L6726" t="s">
        <v>23</v>
      </c>
      <c r="M6726" t="s">
        <v>16109</v>
      </c>
      <c r="N6726" t="s">
        <v>16110</v>
      </c>
      <c r="O6726" t="s">
        <v>22</v>
      </c>
      <c r="P6726" t="s">
        <v>16111</v>
      </c>
      <c r="Q6726">
        <v>2324</v>
      </c>
      <c r="R6726" t="s">
        <v>23</v>
      </c>
      <c r="S6726" s="1" t="s">
        <v>34218</v>
      </c>
    </row>
    <row r="6727" spans="1:19" x14ac:dyDescent="0.25">
      <c r="A6727">
        <v>101156781</v>
      </c>
      <c r="B6727" t="s">
        <v>383</v>
      </c>
      <c r="C6727" t="s">
        <v>81</v>
      </c>
      <c r="G6727" t="s">
        <v>16112</v>
      </c>
      <c r="H6727" t="s">
        <v>9122</v>
      </c>
      <c r="I6727" t="s">
        <v>702</v>
      </c>
      <c r="J6727">
        <v>89706</v>
      </c>
      <c r="L6727" t="s">
        <v>23</v>
      </c>
      <c r="M6727" t="s">
        <v>16112</v>
      </c>
      <c r="N6727" t="s">
        <v>9122</v>
      </c>
      <c r="O6727" t="s">
        <v>702</v>
      </c>
      <c r="P6727">
        <v>89706</v>
      </c>
      <c r="R6727" t="s">
        <v>23</v>
      </c>
      <c r="S6727" s="1" t="s">
        <v>34218</v>
      </c>
    </row>
    <row r="6728" spans="1:19" x14ac:dyDescent="0.25">
      <c r="A6728">
        <v>101418604</v>
      </c>
      <c r="B6728" t="s">
        <v>16113</v>
      </c>
      <c r="C6728" t="s">
        <v>16114</v>
      </c>
      <c r="G6728" t="s">
        <v>16115</v>
      </c>
      <c r="H6728" t="s">
        <v>27</v>
      </c>
      <c r="I6728" t="s">
        <v>28</v>
      </c>
      <c r="J6728" t="s">
        <v>16116</v>
      </c>
      <c r="K6728">
        <v>3146</v>
      </c>
      <c r="L6728" t="s">
        <v>23</v>
      </c>
      <c r="M6728" t="s">
        <v>16115</v>
      </c>
      <c r="N6728" t="s">
        <v>27</v>
      </c>
      <c r="O6728" t="s">
        <v>28</v>
      </c>
      <c r="P6728" t="s">
        <v>16116</v>
      </c>
      <c r="Q6728">
        <v>3146</v>
      </c>
      <c r="R6728" t="s">
        <v>23</v>
      </c>
      <c r="S6728" s="1" t="s">
        <v>34218</v>
      </c>
    </row>
    <row r="6729" spans="1:19" x14ac:dyDescent="0.25">
      <c r="A6729">
        <v>100923767</v>
      </c>
      <c r="B6729" t="s">
        <v>16117</v>
      </c>
      <c r="C6729" t="s">
        <v>2938</v>
      </c>
      <c r="G6729" t="s">
        <v>16118</v>
      </c>
      <c r="H6729" t="s">
        <v>2144</v>
      </c>
      <c r="I6729" t="s">
        <v>28</v>
      </c>
      <c r="J6729" t="s">
        <v>16119</v>
      </c>
      <c r="K6729">
        <v>7220</v>
      </c>
      <c r="L6729" t="s">
        <v>23</v>
      </c>
      <c r="M6729" t="s">
        <v>16118</v>
      </c>
      <c r="N6729" t="s">
        <v>2144</v>
      </c>
      <c r="O6729" t="s">
        <v>28</v>
      </c>
      <c r="P6729" t="s">
        <v>16119</v>
      </c>
      <c r="Q6729">
        <v>7220</v>
      </c>
      <c r="R6729" t="s">
        <v>23</v>
      </c>
      <c r="S6729" s="1" t="s">
        <v>34218</v>
      </c>
    </row>
    <row r="6730" spans="1:19" x14ac:dyDescent="0.25">
      <c r="A6730">
        <v>101249666</v>
      </c>
      <c r="B6730" t="s">
        <v>16120</v>
      </c>
      <c r="C6730" t="s">
        <v>1959</v>
      </c>
      <c r="G6730" t="s">
        <v>16121</v>
      </c>
      <c r="H6730" t="s">
        <v>682</v>
      </c>
      <c r="I6730" t="s">
        <v>365</v>
      </c>
      <c r="J6730" t="s">
        <v>16122</v>
      </c>
      <c r="K6730">
        <v>7733</v>
      </c>
      <c r="L6730" t="s">
        <v>23</v>
      </c>
      <c r="M6730" t="s">
        <v>16121</v>
      </c>
      <c r="N6730" t="s">
        <v>682</v>
      </c>
      <c r="O6730" t="s">
        <v>365</v>
      </c>
      <c r="P6730" t="s">
        <v>16122</v>
      </c>
      <c r="Q6730">
        <v>7733</v>
      </c>
      <c r="R6730" t="s">
        <v>23</v>
      </c>
      <c r="S6730" s="1" t="s">
        <v>34218</v>
      </c>
    </row>
    <row r="6731" spans="1:19" x14ac:dyDescent="0.25">
      <c r="A6731">
        <v>101295184</v>
      </c>
      <c r="B6731" t="s">
        <v>16123</v>
      </c>
      <c r="C6731" t="s">
        <v>2515</v>
      </c>
      <c r="G6731" t="s">
        <v>16124</v>
      </c>
      <c r="H6731" t="s">
        <v>1553</v>
      </c>
      <c r="I6731" t="s">
        <v>100</v>
      </c>
      <c r="J6731" t="s">
        <v>16125</v>
      </c>
      <c r="K6731">
        <v>9355</v>
      </c>
      <c r="L6731" t="s">
        <v>23</v>
      </c>
      <c r="M6731" t="s">
        <v>16124</v>
      </c>
      <c r="N6731" t="s">
        <v>1553</v>
      </c>
      <c r="O6731" t="s">
        <v>100</v>
      </c>
      <c r="P6731" t="s">
        <v>16125</v>
      </c>
      <c r="Q6731">
        <v>9355</v>
      </c>
      <c r="R6731" t="s">
        <v>23</v>
      </c>
      <c r="S6731" s="1" t="s">
        <v>34218</v>
      </c>
    </row>
    <row r="6732" spans="1:19" x14ac:dyDescent="0.25">
      <c r="A6732">
        <v>101059361</v>
      </c>
      <c r="B6732" t="s">
        <v>3049</v>
      </c>
      <c r="C6732" t="s">
        <v>217</v>
      </c>
      <c r="G6732" t="s">
        <v>16126</v>
      </c>
      <c r="H6732" t="s">
        <v>2859</v>
      </c>
      <c r="I6732" t="s">
        <v>33</v>
      </c>
      <c r="J6732">
        <v>19604</v>
      </c>
      <c r="K6732">
        <v>2439</v>
      </c>
      <c r="L6732" t="s">
        <v>23</v>
      </c>
      <c r="M6732" t="s">
        <v>16126</v>
      </c>
      <c r="N6732" t="s">
        <v>2859</v>
      </c>
      <c r="O6732" t="s">
        <v>33</v>
      </c>
      <c r="P6732">
        <v>19604</v>
      </c>
      <c r="Q6732">
        <v>2439</v>
      </c>
      <c r="R6732" t="s">
        <v>23</v>
      </c>
      <c r="S6732" s="1" t="s">
        <v>34218</v>
      </c>
    </row>
    <row r="6733" spans="1:19" x14ac:dyDescent="0.25">
      <c r="A6733">
        <v>101066148</v>
      </c>
      <c r="B6733" t="s">
        <v>16127</v>
      </c>
      <c r="C6733" t="s">
        <v>403</v>
      </c>
      <c r="G6733" t="s">
        <v>16128</v>
      </c>
      <c r="H6733" t="s">
        <v>16129</v>
      </c>
      <c r="I6733" t="s">
        <v>639</v>
      </c>
      <c r="J6733">
        <v>87901</v>
      </c>
      <c r="K6733">
        <v>3233</v>
      </c>
      <c r="L6733" t="s">
        <v>23</v>
      </c>
      <c r="M6733" t="s">
        <v>16128</v>
      </c>
      <c r="N6733" t="s">
        <v>16129</v>
      </c>
      <c r="O6733" t="s">
        <v>639</v>
      </c>
      <c r="P6733">
        <v>87901</v>
      </c>
      <c r="Q6733">
        <v>3233</v>
      </c>
      <c r="R6733" t="s">
        <v>23</v>
      </c>
      <c r="S6733" s="1" t="s">
        <v>34218</v>
      </c>
    </row>
    <row r="6734" spans="1:19" x14ac:dyDescent="0.25">
      <c r="A6734">
        <v>101066280</v>
      </c>
      <c r="B6734" t="s">
        <v>10254</v>
      </c>
      <c r="C6734" t="s">
        <v>4502</v>
      </c>
      <c r="G6734" t="s">
        <v>16130</v>
      </c>
      <c r="H6734" t="s">
        <v>16131</v>
      </c>
      <c r="I6734" t="s">
        <v>117</v>
      </c>
      <c r="J6734">
        <v>11786</v>
      </c>
      <c r="K6734">
        <v>1525</v>
      </c>
      <c r="L6734" t="s">
        <v>23</v>
      </c>
      <c r="M6734" t="s">
        <v>16130</v>
      </c>
      <c r="N6734" t="s">
        <v>16131</v>
      </c>
      <c r="O6734" t="s">
        <v>117</v>
      </c>
      <c r="P6734">
        <v>11786</v>
      </c>
      <c r="Q6734">
        <v>1525</v>
      </c>
      <c r="R6734" t="s">
        <v>23</v>
      </c>
      <c r="S6734" s="1" t="s">
        <v>34218</v>
      </c>
    </row>
    <row r="6735" spans="1:19" x14ac:dyDescent="0.25">
      <c r="A6735">
        <v>101064610</v>
      </c>
      <c r="B6735" t="s">
        <v>5364</v>
      </c>
      <c r="C6735" t="s">
        <v>1778</v>
      </c>
      <c r="G6735" t="s">
        <v>16132</v>
      </c>
      <c r="H6735" t="s">
        <v>1412</v>
      </c>
      <c r="I6735" t="s">
        <v>52</v>
      </c>
      <c r="J6735">
        <v>32810</v>
      </c>
      <c r="K6735">
        <v>2928</v>
      </c>
      <c r="L6735" t="s">
        <v>23</v>
      </c>
      <c r="M6735" t="s">
        <v>16132</v>
      </c>
      <c r="N6735" t="s">
        <v>1412</v>
      </c>
      <c r="O6735" t="s">
        <v>52</v>
      </c>
      <c r="P6735">
        <v>32810</v>
      </c>
      <c r="Q6735">
        <v>2928</v>
      </c>
      <c r="R6735" t="s">
        <v>23</v>
      </c>
      <c r="S6735" s="1" t="s">
        <v>34218</v>
      </c>
    </row>
    <row r="6736" spans="1:19" x14ac:dyDescent="0.25">
      <c r="A6736">
        <v>101062814</v>
      </c>
      <c r="B6736" t="s">
        <v>16133</v>
      </c>
      <c r="C6736" t="s">
        <v>1036</v>
      </c>
      <c r="G6736" t="s">
        <v>16134</v>
      </c>
      <c r="H6736" t="s">
        <v>3680</v>
      </c>
      <c r="I6736" t="s">
        <v>565</v>
      </c>
      <c r="J6736">
        <v>52556</v>
      </c>
      <c r="K6736">
        <v>8941</v>
      </c>
      <c r="L6736" t="s">
        <v>23</v>
      </c>
      <c r="M6736" t="s">
        <v>16134</v>
      </c>
      <c r="N6736" t="s">
        <v>3680</v>
      </c>
      <c r="O6736" t="s">
        <v>565</v>
      </c>
      <c r="P6736">
        <v>52556</v>
      </c>
      <c r="Q6736">
        <v>8941</v>
      </c>
      <c r="R6736" t="s">
        <v>23</v>
      </c>
      <c r="S6736" s="1" t="s">
        <v>34218</v>
      </c>
    </row>
    <row r="6737" spans="1:19" x14ac:dyDescent="0.25">
      <c r="A6737">
        <v>101064880</v>
      </c>
      <c r="B6737" t="s">
        <v>16135</v>
      </c>
      <c r="C6737" t="s">
        <v>16136</v>
      </c>
      <c r="G6737" t="s">
        <v>16137</v>
      </c>
      <c r="H6737" t="s">
        <v>2399</v>
      </c>
      <c r="I6737" t="s">
        <v>71</v>
      </c>
      <c r="J6737">
        <v>80521</v>
      </c>
      <c r="K6737">
        <v>4087</v>
      </c>
      <c r="L6737" t="s">
        <v>23</v>
      </c>
      <c r="M6737" t="s">
        <v>16137</v>
      </c>
      <c r="N6737" t="s">
        <v>2399</v>
      </c>
      <c r="O6737" t="s">
        <v>71</v>
      </c>
      <c r="P6737">
        <v>80521</v>
      </c>
      <c r="Q6737">
        <v>4087</v>
      </c>
      <c r="R6737" t="s">
        <v>23</v>
      </c>
      <c r="S6737" s="1" t="s">
        <v>34218</v>
      </c>
    </row>
    <row r="6738" spans="1:19" x14ac:dyDescent="0.25">
      <c r="A6738">
        <v>101069325</v>
      </c>
      <c r="B6738" t="s">
        <v>12242</v>
      </c>
      <c r="C6738" t="s">
        <v>30</v>
      </c>
      <c r="G6738" t="s">
        <v>16138</v>
      </c>
      <c r="H6738" t="s">
        <v>2396</v>
      </c>
      <c r="I6738" t="s">
        <v>52</v>
      </c>
      <c r="J6738">
        <v>32907</v>
      </c>
      <c r="K6738">
        <v>7842</v>
      </c>
      <c r="L6738" t="s">
        <v>23</v>
      </c>
      <c r="M6738" t="s">
        <v>16138</v>
      </c>
      <c r="N6738" t="s">
        <v>2396</v>
      </c>
      <c r="O6738" t="s">
        <v>52</v>
      </c>
      <c r="P6738">
        <v>32907</v>
      </c>
      <c r="Q6738">
        <v>7842</v>
      </c>
      <c r="R6738" t="s">
        <v>23</v>
      </c>
      <c r="S6738" s="1" t="s">
        <v>34218</v>
      </c>
    </row>
    <row r="6739" spans="1:19" x14ac:dyDescent="0.25">
      <c r="A6739">
        <v>101272356</v>
      </c>
      <c r="B6739" t="s">
        <v>15075</v>
      </c>
      <c r="C6739" t="s">
        <v>582</v>
      </c>
      <c r="G6739" t="s">
        <v>16139</v>
      </c>
      <c r="H6739" t="s">
        <v>3373</v>
      </c>
      <c r="I6739" t="s">
        <v>28</v>
      </c>
      <c r="J6739">
        <v>30528</v>
      </c>
      <c r="K6739">
        <v>6812</v>
      </c>
      <c r="L6739" t="s">
        <v>23</v>
      </c>
      <c r="M6739" t="s">
        <v>16139</v>
      </c>
      <c r="N6739" t="s">
        <v>3373</v>
      </c>
      <c r="O6739" t="s">
        <v>28</v>
      </c>
      <c r="P6739">
        <v>30528</v>
      </c>
      <c r="Q6739">
        <v>6812</v>
      </c>
      <c r="R6739" t="s">
        <v>23</v>
      </c>
      <c r="S6739" s="1" t="s">
        <v>34218</v>
      </c>
    </row>
    <row r="6740" spans="1:19" x14ac:dyDescent="0.25">
      <c r="A6740">
        <v>101268459</v>
      </c>
      <c r="B6740" t="s">
        <v>16140</v>
      </c>
      <c r="C6740" t="s">
        <v>440</v>
      </c>
      <c r="F6740" t="str">
        <f>"4403540115"</f>
        <v>4403540115</v>
      </c>
      <c r="G6740" t="s">
        <v>16141</v>
      </c>
      <c r="H6740" t="s">
        <v>15817</v>
      </c>
      <c r="I6740" t="s">
        <v>178</v>
      </c>
      <c r="J6740">
        <v>44077</v>
      </c>
      <c r="K6740">
        <v>5459</v>
      </c>
      <c r="L6740" t="s">
        <v>23</v>
      </c>
      <c r="M6740" t="s">
        <v>16141</v>
      </c>
      <c r="N6740" t="s">
        <v>15817</v>
      </c>
      <c r="O6740" t="s">
        <v>178</v>
      </c>
      <c r="P6740">
        <v>44077</v>
      </c>
      <c r="Q6740">
        <v>5459</v>
      </c>
      <c r="R6740" t="s">
        <v>23</v>
      </c>
      <c r="S6740" s="1" t="s">
        <v>34218</v>
      </c>
    </row>
    <row r="6741" spans="1:19" x14ac:dyDescent="0.25">
      <c r="A6741">
        <v>101275064</v>
      </c>
      <c r="B6741" t="s">
        <v>8524</v>
      </c>
      <c r="C6741" t="s">
        <v>1616</v>
      </c>
      <c r="G6741" t="s">
        <v>16142</v>
      </c>
      <c r="H6741" t="s">
        <v>2279</v>
      </c>
      <c r="I6741" t="s">
        <v>52</v>
      </c>
      <c r="J6741">
        <v>33624</v>
      </c>
      <c r="K6741">
        <v>1074</v>
      </c>
      <c r="L6741" t="s">
        <v>23</v>
      </c>
      <c r="M6741" t="s">
        <v>16142</v>
      </c>
      <c r="N6741" t="s">
        <v>2279</v>
      </c>
      <c r="O6741" t="s">
        <v>52</v>
      </c>
      <c r="P6741">
        <v>33624</v>
      </c>
      <c r="Q6741">
        <v>1074</v>
      </c>
      <c r="R6741" t="s">
        <v>23</v>
      </c>
      <c r="S6741" s="1" t="s">
        <v>34218</v>
      </c>
    </row>
    <row r="6742" spans="1:19" x14ac:dyDescent="0.25">
      <c r="A6742">
        <v>101275007</v>
      </c>
      <c r="B6742" t="s">
        <v>2287</v>
      </c>
      <c r="C6742" t="s">
        <v>1824</v>
      </c>
      <c r="G6742" t="s">
        <v>16143</v>
      </c>
      <c r="H6742" t="s">
        <v>913</v>
      </c>
      <c r="I6742" t="s">
        <v>914</v>
      </c>
      <c r="J6742">
        <v>37209</v>
      </c>
      <c r="K6742">
        <v>1319</v>
      </c>
      <c r="L6742" t="s">
        <v>23</v>
      </c>
      <c r="M6742" t="s">
        <v>16143</v>
      </c>
      <c r="N6742" t="s">
        <v>913</v>
      </c>
      <c r="O6742" t="s">
        <v>914</v>
      </c>
      <c r="P6742">
        <v>37209</v>
      </c>
      <c r="Q6742">
        <v>1319</v>
      </c>
      <c r="R6742" t="s">
        <v>23</v>
      </c>
      <c r="S6742" s="1" t="s">
        <v>34218</v>
      </c>
    </row>
    <row r="6743" spans="1:19" x14ac:dyDescent="0.25">
      <c r="A6743">
        <v>101276668</v>
      </c>
      <c r="B6743" t="s">
        <v>16144</v>
      </c>
      <c r="C6743" t="s">
        <v>728</v>
      </c>
      <c r="G6743" t="s">
        <v>16145</v>
      </c>
      <c r="H6743" t="s">
        <v>3668</v>
      </c>
      <c r="I6743" t="s">
        <v>148</v>
      </c>
      <c r="J6743">
        <v>21206</v>
      </c>
      <c r="K6743">
        <v>1248</v>
      </c>
      <c r="L6743" t="s">
        <v>23</v>
      </c>
      <c r="M6743" t="s">
        <v>16145</v>
      </c>
      <c r="N6743" t="s">
        <v>3668</v>
      </c>
      <c r="O6743" t="s">
        <v>148</v>
      </c>
      <c r="P6743">
        <v>21206</v>
      </c>
      <c r="Q6743">
        <v>1248</v>
      </c>
      <c r="R6743" t="s">
        <v>23</v>
      </c>
      <c r="S6743" s="1" t="s">
        <v>34218</v>
      </c>
    </row>
    <row r="6744" spans="1:19" x14ac:dyDescent="0.25">
      <c r="A6744">
        <v>101247131</v>
      </c>
      <c r="B6744" t="s">
        <v>4064</v>
      </c>
      <c r="C6744" t="s">
        <v>16146</v>
      </c>
      <c r="G6744" t="s">
        <v>16147</v>
      </c>
      <c r="H6744" t="s">
        <v>11103</v>
      </c>
      <c r="I6744" t="s">
        <v>178</v>
      </c>
      <c r="J6744">
        <v>44122</v>
      </c>
      <c r="L6744" t="s">
        <v>23</v>
      </c>
      <c r="M6744" t="s">
        <v>16147</v>
      </c>
      <c r="N6744" t="s">
        <v>11103</v>
      </c>
      <c r="O6744" t="s">
        <v>178</v>
      </c>
      <c r="P6744">
        <v>44122</v>
      </c>
      <c r="R6744" t="s">
        <v>23</v>
      </c>
      <c r="S6744" s="1" t="s">
        <v>34218</v>
      </c>
    </row>
    <row r="6745" spans="1:19" x14ac:dyDescent="0.25">
      <c r="A6745">
        <v>101244129</v>
      </c>
      <c r="B6745" t="s">
        <v>16148</v>
      </c>
      <c r="C6745" t="s">
        <v>1714</v>
      </c>
      <c r="F6745" t="str">
        <f>"9174461727"</f>
        <v>9174461727</v>
      </c>
      <c r="G6745" t="s">
        <v>16149</v>
      </c>
      <c r="H6745" t="s">
        <v>1105</v>
      </c>
      <c r="I6745" t="s">
        <v>117</v>
      </c>
      <c r="J6745">
        <v>10463</v>
      </c>
      <c r="K6745">
        <v>3731</v>
      </c>
      <c r="L6745" t="s">
        <v>23</v>
      </c>
      <c r="M6745" t="s">
        <v>16149</v>
      </c>
      <c r="N6745" t="s">
        <v>1105</v>
      </c>
      <c r="O6745" t="s">
        <v>117</v>
      </c>
      <c r="P6745">
        <v>10463</v>
      </c>
      <c r="Q6745">
        <v>3731</v>
      </c>
      <c r="R6745" t="s">
        <v>23</v>
      </c>
      <c r="S6745" s="1" t="s">
        <v>34218</v>
      </c>
    </row>
    <row r="6746" spans="1:19" x14ac:dyDescent="0.25">
      <c r="A6746">
        <v>101228306</v>
      </c>
      <c r="B6746" t="s">
        <v>16150</v>
      </c>
      <c r="C6746" t="s">
        <v>16151</v>
      </c>
      <c r="G6746" t="s">
        <v>16152</v>
      </c>
      <c r="H6746" t="s">
        <v>16153</v>
      </c>
      <c r="I6746" t="s">
        <v>52</v>
      </c>
      <c r="J6746">
        <v>33037</v>
      </c>
      <c r="K6746">
        <v>2345</v>
      </c>
      <c r="L6746" t="s">
        <v>23</v>
      </c>
      <c r="M6746" t="s">
        <v>16152</v>
      </c>
      <c r="N6746" t="s">
        <v>16153</v>
      </c>
      <c r="O6746" t="s">
        <v>52</v>
      </c>
      <c r="P6746">
        <v>33037</v>
      </c>
      <c r="Q6746">
        <v>2345</v>
      </c>
      <c r="R6746" t="s">
        <v>23</v>
      </c>
      <c r="S6746" s="1" t="s">
        <v>34218</v>
      </c>
    </row>
    <row r="6747" spans="1:19" x14ac:dyDescent="0.25">
      <c r="A6747">
        <v>101249204</v>
      </c>
      <c r="B6747" t="s">
        <v>3650</v>
      </c>
      <c r="C6747" t="s">
        <v>9050</v>
      </c>
      <c r="G6747" t="s">
        <v>16154</v>
      </c>
      <c r="H6747" t="s">
        <v>2784</v>
      </c>
      <c r="I6747" t="s">
        <v>140</v>
      </c>
      <c r="J6747">
        <v>48084</v>
      </c>
      <c r="K6747">
        <v>1741</v>
      </c>
      <c r="L6747" t="s">
        <v>23</v>
      </c>
      <c r="M6747" t="s">
        <v>16154</v>
      </c>
      <c r="N6747" t="s">
        <v>2784</v>
      </c>
      <c r="O6747" t="s">
        <v>140</v>
      </c>
      <c r="P6747">
        <v>48084</v>
      </c>
      <c r="Q6747">
        <v>1741</v>
      </c>
      <c r="R6747" t="s">
        <v>23</v>
      </c>
      <c r="S6747" s="1" t="s">
        <v>34218</v>
      </c>
    </row>
    <row r="6748" spans="1:19" x14ac:dyDescent="0.25">
      <c r="A6748">
        <v>101249043</v>
      </c>
      <c r="B6748" t="s">
        <v>16155</v>
      </c>
      <c r="C6748" t="s">
        <v>4960</v>
      </c>
      <c r="G6748" t="s">
        <v>16156</v>
      </c>
      <c r="H6748" t="s">
        <v>16157</v>
      </c>
      <c r="I6748" t="s">
        <v>178</v>
      </c>
      <c r="J6748">
        <v>44231</v>
      </c>
      <c r="K6748">
        <v>1020</v>
      </c>
      <c r="L6748" t="s">
        <v>23</v>
      </c>
      <c r="M6748" t="s">
        <v>16156</v>
      </c>
      <c r="N6748" t="s">
        <v>16157</v>
      </c>
      <c r="O6748" t="s">
        <v>178</v>
      </c>
      <c r="P6748">
        <v>44231</v>
      </c>
      <c r="Q6748">
        <v>1020</v>
      </c>
      <c r="R6748" t="s">
        <v>23</v>
      </c>
      <c r="S6748" s="1" t="s">
        <v>34218</v>
      </c>
    </row>
    <row r="6749" spans="1:19" x14ac:dyDescent="0.25">
      <c r="A6749">
        <v>101254828</v>
      </c>
      <c r="B6749" t="s">
        <v>16158</v>
      </c>
      <c r="C6749" t="s">
        <v>718</v>
      </c>
      <c r="G6749" t="s">
        <v>16159</v>
      </c>
      <c r="H6749" t="s">
        <v>16160</v>
      </c>
      <c r="I6749" t="s">
        <v>22</v>
      </c>
      <c r="J6749">
        <v>95470</v>
      </c>
      <c r="K6749">
        <v>6149</v>
      </c>
      <c r="L6749" t="s">
        <v>23</v>
      </c>
      <c r="M6749" t="s">
        <v>16159</v>
      </c>
      <c r="N6749" t="s">
        <v>16160</v>
      </c>
      <c r="O6749" t="s">
        <v>22</v>
      </c>
      <c r="P6749">
        <v>95470</v>
      </c>
      <c r="Q6749">
        <v>6149</v>
      </c>
      <c r="R6749" t="s">
        <v>23</v>
      </c>
      <c r="S6749" s="1" t="s">
        <v>34218</v>
      </c>
    </row>
    <row r="6750" spans="1:19" x14ac:dyDescent="0.25">
      <c r="A6750">
        <v>101248432</v>
      </c>
      <c r="B6750" t="s">
        <v>16161</v>
      </c>
      <c r="C6750" t="s">
        <v>4046</v>
      </c>
      <c r="F6750" t="str">
        <f>"5105935073"</f>
        <v>5105935073</v>
      </c>
      <c r="G6750" t="s">
        <v>16162</v>
      </c>
      <c r="H6750" t="s">
        <v>88</v>
      </c>
      <c r="I6750" t="s">
        <v>22</v>
      </c>
      <c r="J6750">
        <v>94611</v>
      </c>
      <c r="K6750">
        <v>4924</v>
      </c>
      <c r="L6750" t="s">
        <v>23</v>
      </c>
      <c r="M6750" t="s">
        <v>16162</v>
      </c>
      <c r="N6750" t="s">
        <v>88</v>
      </c>
      <c r="O6750" t="s">
        <v>22</v>
      </c>
      <c r="P6750">
        <v>94611</v>
      </c>
      <c r="Q6750">
        <v>4924</v>
      </c>
      <c r="R6750" t="s">
        <v>23</v>
      </c>
      <c r="S6750" s="1" t="s">
        <v>34218</v>
      </c>
    </row>
    <row r="6751" spans="1:19" x14ac:dyDescent="0.25">
      <c r="A6751">
        <v>101256253</v>
      </c>
      <c r="B6751" t="s">
        <v>16163</v>
      </c>
      <c r="C6751" t="s">
        <v>329</v>
      </c>
      <c r="F6751" t="str">
        <f>"6192912884"</f>
        <v>6192912884</v>
      </c>
      <c r="G6751" t="s">
        <v>16164</v>
      </c>
      <c r="H6751" t="s">
        <v>198</v>
      </c>
      <c r="I6751" t="s">
        <v>22</v>
      </c>
      <c r="J6751">
        <v>92103</v>
      </c>
      <c r="K6751">
        <v>4866</v>
      </c>
      <c r="L6751" t="s">
        <v>23</v>
      </c>
      <c r="M6751" t="s">
        <v>16164</v>
      </c>
      <c r="N6751" t="s">
        <v>198</v>
      </c>
      <c r="O6751" t="s">
        <v>22</v>
      </c>
      <c r="P6751">
        <v>92103</v>
      </c>
      <c r="Q6751">
        <v>4866</v>
      </c>
      <c r="R6751" t="s">
        <v>23</v>
      </c>
      <c r="S6751" s="1" t="s">
        <v>34218</v>
      </c>
    </row>
    <row r="6752" spans="1:19" x14ac:dyDescent="0.25">
      <c r="A6752">
        <v>101254608</v>
      </c>
      <c r="B6752" t="s">
        <v>1204</v>
      </c>
      <c r="C6752" t="s">
        <v>1906</v>
      </c>
      <c r="G6752" t="s">
        <v>16165</v>
      </c>
      <c r="H6752" t="s">
        <v>227</v>
      </c>
      <c r="I6752" t="s">
        <v>43</v>
      </c>
      <c r="J6752">
        <v>97233</v>
      </c>
      <c r="K6752">
        <v>2834</v>
      </c>
      <c r="L6752" t="s">
        <v>23</v>
      </c>
      <c r="M6752" t="s">
        <v>16165</v>
      </c>
      <c r="N6752" t="s">
        <v>227</v>
      </c>
      <c r="O6752" t="s">
        <v>43</v>
      </c>
      <c r="P6752">
        <v>97233</v>
      </c>
      <c r="Q6752">
        <v>2834</v>
      </c>
      <c r="R6752" t="s">
        <v>23</v>
      </c>
      <c r="S6752" s="1" t="s">
        <v>34218</v>
      </c>
    </row>
    <row r="6753" spans="1:19" x14ac:dyDescent="0.25">
      <c r="A6753">
        <v>101254617</v>
      </c>
      <c r="B6753" t="s">
        <v>16166</v>
      </c>
      <c r="C6753" t="s">
        <v>225</v>
      </c>
      <c r="G6753" t="s">
        <v>16167</v>
      </c>
      <c r="H6753" t="s">
        <v>13559</v>
      </c>
      <c r="I6753" t="s">
        <v>236</v>
      </c>
      <c r="J6753">
        <v>1810</v>
      </c>
      <c r="K6753">
        <v>3409</v>
      </c>
      <c r="L6753" t="s">
        <v>23</v>
      </c>
      <c r="M6753" t="s">
        <v>16167</v>
      </c>
      <c r="N6753" t="s">
        <v>13559</v>
      </c>
      <c r="O6753" t="s">
        <v>236</v>
      </c>
      <c r="P6753">
        <v>1810</v>
      </c>
      <c r="Q6753">
        <v>3409</v>
      </c>
      <c r="R6753" t="s">
        <v>23</v>
      </c>
      <c r="S6753" s="1" t="s">
        <v>34218</v>
      </c>
    </row>
    <row r="6754" spans="1:19" x14ac:dyDescent="0.25">
      <c r="A6754">
        <v>101262037</v>
      </c>
      <c r="B6754" t="s">
        <v>3666</v>
      </c>
      <c r="C6754" t="s">
        <v>247</v>
      </c>
      <c r="G6754" t="s">
        <v>16168</v>
      </c>
      <c r="H6754" t="s">
        <v>573</v>
      </c>
      <c r="I6754" t="s">
        <v>33</v>
      </c>
      <c r="J6754">
        <v>19130</v>
      </c>
      <c r="K6754">
        <v>1221</v>
      </c>
      <c r="L6754" t="s">
        <v>23</v>
      </c>
      <c r="M6754" t="s">
        <v>16168</v>
      </c>
      <c r="N6754" t="s">
        <v>573</v>
      </c>
      <c r="O6754" t="s">
        <v>33</v>
      </c>
      <c r="P6754">
        <v>19130</v>
      </c>
      <c r="Q6754">
        <v>1221</v>
      </c>
      <c r="R6754" t="s">
        <v>23</v>
      </c>
      <c r="S6754" s="1" t="s">
        <v>34218</v>
      </c>
    </row>
    <row r="6755" spans="1:19" x14ac:dyDescent="0.25">
      <c r="A6755">
        <v>101263482</v>
      </c>
      <c r="B6755" t="s">
        <v>16169</v>
      </c>
      <c r="C6755" t="s">
        <v>286</v>
      </c>
      <c r="G6755" t="s">
        <v>16170</v>
      </c>
      <c r="H6755" t="s">
        <v>14725</v>
      </c>
      <c r="I6755" t="s">
        <v>1482</v>
      </c>
      <c r="J6755">
        <v>29020</v>
      </c>
      <c r="K6755">
        <v>3460</v>
      </c>
      <c r="L6755" t="s">
        <v>23</v>
      </c>
      <c r="M6755" t="s">
        <v>16170</v>
      </c>
      <c r="N6755" t="s">
        <v>14725</v>
      </c>
      <c r="O6755" t="s">
        <v>1482</v>
      </c>
      <c r="P6755">
        <v>29020</v>
      </c>
      <c r="Q6755">
        <v>3460</v>
      </c>
      <c r="R6755" t="s">
        <v>23</v>
      </c>
      <c r="S6755" s="1" t="s">
        <v>34218</v>
      </c>
    </row>
    <row r="6756" spans="1:19" x14ac:dyDescent="0.25">
      <c r="A6756">
        <v>101263643</v>
      </c>
      <c r="B6756" t="s">
        <v>16171</v>
      </c>
      <c r="C6756" t="s">
        <v>102</v>
      </c>
      <c r="G6756" t="s">
        <v>16172</v>
      </c>
      <c r="H6756" t="s">
        <v>4069</v>
      </c>
      <c r="I6756" t="s">
        <v>236</v>
      </c>
      <c r="J6756">
        <v>1460</v>
      </c>
      <c r="K6756">
        <v>1643</v>
      </c>
      <c r="L6756" t="s">
        <v>23</v>
      </c>
      <c r="M6756" t="s">
        <v>16172</v>
      </c>
      <c r="N6756" t="s">
        <v>4069</v>
      </c>
      <c r="O6756" t="s">
        <v>236</v>
      </c>
      <c r="P6756">
        <v>1460</v>
      </c>
      <c r="Q6756">
        <v>1643</v>
      </c>
      <c r="R6756" t="s">
        <v>23</v>
      </c>
      <c r="S6756" s="1" t="s">
        <v>34218</v>
      </c>
    </row>
    <row r="6757" spans="1:19" x14ac:dyDescent="0.25">
      <c r="A6757">
        <v>101255994</v>
      </c>
      <c r="B6757" t="s">
        <v>3184</v>
      </c>
      <c r="C6757" t="s">
        <v>16173</v>
      </c>
      <c r="G6757" t="s">
        <v>16174</v>
      </c>
      <c r="H6757" t="s">
        <v>1531</v>
      </c>
      <c r="I6757" t="s">
        <v>84</v>
      </c>
      <c r="J6757">
        <v>98134</v>
      </c>
      <c r="K6757">
        <v>2135</v>
      </c>
      <c r="L6757" t="s">
        <v>23</v>
      </c>
      <c r="M6757" t="s">
        <v>16174</v>
      </c>
      <c r="N6757" t="s">
        <v>1531</v>
      </c>
      <c r="O6757" t="s">
        <v>84</v>
      </c>
      <c r="P6757">
        <v>98134</v>
      </c>
      <c r="Q6757">
        <v>2135</v>
      </c>
      <c r="R6757" t="s">
        <v>23</v>
      </c>
      <c r="S6757" s="1" t="s">
        <v>34218</v>
      </c>
    </row>
    <row r="6758" spans="1:19" x14ac:dyDescent="0.25">
      <c r="A6758">
        <v>101261573</v>
      </c>
      <c r="B6758" t="s">
        <v>16175</v>
      </c>
      <c r="C6758" t="s">
        <v>10020</v>
      </c>
      <c r="F6758" t="str">
        <f>"6177892465"</f>
        <v>6177892465</v>
      </c>
      <c r="G6758" t="s">
        <v>16176</v>
      </c>
      <c r="H6758" t="s">
        <v>2514</v>
      </c>
      <c r="I6758" t="s">
        <v>236</v>
      </c>
      <c r="J6758">
        <v>2135</v>
      </c>
      <c r="K6758">
        <v>2514</v>
      </c>
      <c r="L6758" t="s">
        <v>23</v>
      </c>
      <c r="M6758" t="s">
        <v>16176</v>
      </c>
      <c r="N6758" t="s">
        <v>2514</v>
      </c>
      <c r="O6758" t="s">
        <v>236</v>
      </c>
      <c r="P6758">
        <v>2135</v>
      </c>
      <c r="Q6758">
        <v>2514</v>
      </c>
      <c r="R6758" t="s">
        <v>23</v>
      </c>
      <c r="S6758" s="1" t="s">
        <v>34218</v>
      </c>
    </row>
    <row r="6759" spans="1:19" x14ac:dyDescent="0.25">
      <c r="A6759">
        <v>101265800</v>
      </c>
      <c r="B6759" t="s">
        <v>16177</v>
      </c>
      <c r="C6759" t="s">
        <v>575</v>
      </c>
      <c r="G6759" t="s">
        <v>16178</v>
      </c>
      <c r="H6759" t="s">
        <v>569</v>
      </c>
      <c r="I6759" t="s">
        <v>187</v>
      </c>
      <c r="J6759">
        <v>55414</v>
      </c>
      <c r="K6759">
        <v>2547</v>
      </c>
      <c r="L6759" t="s">
        <v>23</v>
      </c>
      <c r="M6759" t="s">
        <v>16178</v>
      </c>
      <c r="N6759" t="s">
        <v>569</v>
      </c>
      <c r="O6759" t="s">
        <v>187</v>
      </c>
      <c r="P6759">
        <v>55414</v>
      </c>
      <c r="Q6759">
        <v>2547</v>
      </c>
      <c r="R6759" t="s">
        <v>23</v>
      </c>
      <c r="S6759" s="1" t="s">
        <v>34218</v>
      </c>
    </row>
    <row r="6760" spans="1:19" x14ac:dyDescent="0.25">
      <c r="A6760">
        <v>101088215</v>
      </c>
      <c r="B6760" t="s">
        <v>16179</v>
      </c>
      <c r="C6760" t="s">
        <v>180</v>
      </c>
      <c r="G6760" t="s">
        <v>16180</v>
      </c>
      <c r="H6760" t="s">
        <v>6717</v>
      </c>
      <c r="I6760" t="s">
        <v>250</v>
      </c>
      <c r="J6760">
        <v>8054</v>
      </c>
      <c r="K6760">
        <v>3009</v>
      </c>
      <c r="L6760" t="s">
        <v>23</v>
      </c>
      <c r="M6760" t="s">
        <v>16180</v>
      </c>
      <c r="N6760" t="s">
        <v>6717</v>
      </c>
      <c r="O6760" t="s">
        <v>250</v>
      </c>
      <c r="P6760">
        <v>8054</v>
      </c>
      <c r="Q6760">
        <v>3009</v>
      </c>
      <c r="R6760" t="s">
        <v>23</v>
      </c>
      <c r="S6760" s="1" t="s">
        <v>34218</v>
      </c>
    </row>
    <row r="6761" spans="1:19" x14ac:dyDescent="0.25">
      <c r="A6761">
        <v>101085854</v>
      </c>
      <c r="B6761" t="s">
        <v>16181</v>
      </c>
      <c r="C6761" t="s">
        <v>16182</v>
      </c>
      <c r="G6761" t="s">
        <v>16183</v>
      </c>
      <c r="H6761" t="s">
        <v>653</v>
      </c>
      <c r="I6761" t="s">
        <v>117</v>
      </c>
      <c r="J6761">
        <v>10003</v>
      </c>
      <c r="K6761">
        <v>8705</v>
      </c>
      <c r="L6761" t="s">
        <v>23</v>
      </c>
      <c r="M6761" t="s">
        <v>16183</v>
      </c>
      <c r="N6761" t="s">
        <v>653</v>
      </c>
      <c r="O6761" t="s">
        <v>117</v>
      </c>
      <c r="P6761">
        <v>10003</v>
      </c>
      <c r="Q6761">
        <v>8705</v>
      </c>
      <c r="R6761" t="s">
        <v>23</v>
      </c>
      <c r="S6761" s="1" t="s">
        <v>34218</v>
      </c>
    </row>
    <row r="6762" spans="1:19" x14ac:dyDescent="0.25">
      <c r="A6762">
        <v>101090886</v>
      </c>
      <c r="B6762" t="s">
        <v>11601</v>
      </c>
      <c r="C6762" t="s">
        <v>1647</v>
      </c>
      <c r="F6762" t="str">
        <f>"7738621666"</f>
        <v>7738621666</v>
      </c>
      <c r="G6762" t="s">
        <v>16184</v>
      </c>
      <c r="H6762" t="s">
        <v>134</v>
      </c>
      <c r="I6762" t="s">
        <v>135</v>
      </c>
      <c r="J6762">
        <v>60622</v>
      </c>
      <c r="K6762">
        <v>1343</v>
      </c>
      <c r="L6762" t="s">
        <v>23</v>
      </c>
      <c r="M6762" t="s">
        <v>16184</v>
      </c>
      <c r="N6762" t="s">
        <v>134</v>
      </c>
      <c r="O6762" t="s">
        <v>135</v>
      </c>
      <c r="P6762">
        <v>60622</v>
      </c>
      <c r="Q6762">
        <v>1343</v>
      </c>
      <c r="R6762" t="s">
        <v>23</v>
      </c>
      <c r="S6762" s="1" t="s">
        <v>34218</v>
      </c>
    </row>
    <row r="6763" spans="1:19" x14ac:dyDescent="0.25">
      <c r="A6763">
        <v>101302054</v>
      </c>
      <c r="B6763" t="s">
        <v>3650</v>
      </c>
      <c r="C6763" t="s">
        <v>40</v>
      </c>
      <c r="G6763" t="s">
        <v>16154</v>
      </c>
      <c r="H6763" t="s">
        <v>2784</v>
      </c>
      <c r="I6763" t="s">
        <v>140</v>
      </c>
      <c r="J6763">
        <v>48084</v>
      </c>
      <c r="K6763">
        <v>1741</v>
      </c>
      <c r="L6763" t="s">
        <v>23</v>
      </c>
      <c r="M6763" t="s">
        <v>16154</v>
      </c>
      <c r="N6763" t="s">
        <v>2784</v>
      </c>
      <c r="O6763" t="s">
        <v>140</v>
      </c>
      <c r="P6763">
        <v>48084</v>
      </c>
      <c r="Q6763">
        <v>1741</v>
      </c>
      <c r="R6763" t="s">
        <v>23</v>
      </c>
      <c r="S6763" s="1" t="s">
        <v>34218</v>
      </c>
    </row>
    <row r="6764" spans="1:19" x14ac:dyDescent="0.25">
      <c r="A6764">
        <v>101302184</v>
      </c>
      <c r="B6764" t="s">
        <v>16185</v>
      </c>
      <c r="C6764" t="s">
        <v>1588</v>
      </c>
      <c r="G6764" t="s">
        <v>16186</v>
      </c>
      <c r="H6764" t="s">
        <v>16187</v>
      </c>
      <c r="I6764" t="s">
        <v>100</v>
      </c>
      <c r="J6764">
        <v>53048</v>
      </c>
      <c r="K6764">
        <v>9402</v>
      </c>
      <c r="L6764" t="s">
        <v>23</v>
      </c>
      <c r="M6764" t="s">
        <v>16186</v>
      </c>
      <c r="N6764" t="s">
        <v>16187</v>
      </c>
      <c r="O6764" t="s">
        <v>100</v>
      </c>
      <c r="P6764">
        <v>53048</v>
      </c>
      <c r="Q6764">
        <v>9402</v>
      </c>
      <c r="R6764" t="s">
        <v>23</v>
      </c>
      <c r="S6764" s="1" t="s">
        <v>34218</v>
      </c>
    </row>
    <row r="6765" spans="1:19" x14ac:dyDescent="0.25">
      <c r="A6765">
        <v>101302820</v>
      </c>
      <c r="B6765" t="s">
        <v>5478</v>
      </c>
      <c r="C6765" t="s">
        <v>16188</v>
      </c>
      <c r="F6765" t="str">
        <f>"8187209849"</f>
        <v>8187209849</v>
      </c>
      <c r="G6765" t="s">
        <v>16189</v>
      </c>
      <c r="H6765" t="s">
        <v>2231</v>
      </c>
      <c r="I6765" t="s">
        <v>22</v>
      </c>
      <c r="J6765">
        <v>91205</v>
      </c>
      <c r="K6765">
        <v>2087</v>
      </c>
      <c r="L6765" t="s">
        <v>23</v>
      </c>
      <c r="M6765" t="s">
        <v>16189</v>
      </c>
      <c r="N6765" t="s">
        <v>2231</v>
      </c>
      <c r="O6765" t="s">
        <v>22</v>
      </c>
      <c r="P6765">
        <v>91205</v>
      </c>
      <c r="Q6765">
        <v>2087</v>
      </c>
      <c r="R6765" t="s">
        <v>23</v>
      </c>
      <c r="S6765" s="1" t="s">
        <v>34218</v>
      </c>
    </row>
    <row r="6766" spans="1:19" x14ac:dyDescent="0.25">
      <c r="A6766">
        <v>101311322</v>
      </c>
      <c r="B6766" t="s">
        <v>5057</v>
      </c>
      <c r="C6766" t="s">
        <v>158</v>
      </c>
      <c r="G6766" t="s">
        <v>16190</v>
      </c>
      <c r="H6766" t="s">
        <v>13186</v>
      </c>
      <c r="I6766" t="s">
        <v>33</v>
      </c>
      <c r="J6766">
        <v>17502</v>
      </c>
      <c r="K6766">
        <v>9429</v>
      </c>
      <c r="L6766" t="s">
        <v>23</v>
      </c>
      <c r="M6766" t="s">
        <v>16190</v>
      </c>
      <c r="N6766" t="s">
        <v>13186</v>
      </c>
      <c r="O6766" t="s">
        <v>33</v>
      </c>
      <c r="P6766">
        <v>17502</v>
      </c>
      <c r="Q6766">
        <v>9429</v>
      </c>
      <c r="R6766" t="s">
        <v>23</v>
      </c>
      <c r="S6766" s="1" t="s">
        <v>34218</v>
      </c>
    </row>
    <row r="6767" spans="1:19" x14ac:dyDescent="0.25">
      <c r="A6767">
        <v>101309941</v>
      </c>
      <c r="B6767" t="s">
        <v>16191</v>
      </c>
      <c r="C6767" t="s">
        <v>158</v>
      </c>
      <c r="G6767" t="s">
        <v>16192</v>
      </c>
      <c r="H6767" t="s">
        <v>1985</v>
      </c>
      <c r="I6767" t="s">
        <v>71</v>
      </c>
      <c r="J6767">
        <v>80908</v>
      </c>
      <c r="K6767">
        <v>1532</v>
      </c>
      <c r="L6767" t="s">
        <v>23</v>
      </c>
      <c r="M6767" t="s">
        <v>16192</v>
      </c>
      <c r="N6767" t="s">
        <v>1985</v>
      </c>
      <c r="O6767" t="s">
        <v>71</v>
      </c>
      <c r="P6767">
        <v>80908</v>
      </c>
      <c r="Q6767">
        <v>1532</v>
      </c>
      <c r="R6767" t="s">
        <v>23</v>
      </c>
      <c r="S6767" s="1" t="s">
        <v>34218</v>
      </c>
    </row>
    <row r="6768" spans="1:19" x14ac:dyDescent="0.25">
      <c r="A6768">
        <v>101305814</v>
      </c>
      <c r="B6768" t="s">
        <v>16193</v>
      </c>
      <c r="C6768" t="s">
        <v>1323</v>
      </c>
      <c r="G6768" t="s">
        <v>16194</v>
      </c>
      <c r="H6768" t="s">
        <v>16195</v>
      </c>
      <c r="I6768" t="s">
        <v>126</v>
      </c>
      <c r="J6768">
        <v>65550</v>
      </c>
      <c r="K6768">
        <v>440</v>
      </c>
      <c r="L6768" t="s">
        <v>23</v>
      </c>
      <c r="M6768" t="s">
        <v>16194</v>
      </c>
      <c r="N6768" t="s">
        <v>16195</v>
      </c>
      <c r="O6768" t="s">
        <v>126</v>
      </c>
      <c r="P6768">
        <v>65550</v>
      </c>
      <c r="Q6768">
        <v>440</v>
      </c>
      <c r="R6768" t="s">
        <v>23</v>
      </c>
      <c r="S6768" s="1" t="s">
        <v>34218</v>
      </c>
    </row>
    <row r="6769" spans="1:19" x14ac:dyDescent="0.25">
      <c r="A6769">
        <v>101309971</v>
      </c>
      <c r="B6769" t="s">
        <v>16196</v>
      </c>
      <c r="C6769" t="s">
        <v>1327</v>
      </c>
      <c r="G6769" t="s">
        <v>16197</v>
      </c>
      <c r="H6769" t="s">
        <v>682</v>
      </c>
      <c r="I6769" t="s">
        <v>365</v>
      </c>
      <c r="J6769">
        <v>85042</v>
      </c>
      <c r="K6769">
        <v>5107</v>
      </c>
      <c r="L6769" t="s">
        <v>23</v>
      </c>
      <c r="M6769" t="s">
        <v>16197</v>
      </c>
      <c r="N6769" t="s">
        <v>682</v>
      </c>
      <c r="O6769" t="s">
        <v>365</v>
      </c>
      <c r="P6769">
        <v>85042</v>
      </c>
      <c r="Q6769">
        <v>5107</v>
      </c>
      <c r="R6769" t="s">
        <v>23</v>
      </c>
      <c r="S6769" s="1" t="s">
        <v>34218</v>
      </c>
    </row>
    <row r="6770" spans="1:19" x14ac:dyDescent="0.25">
      <c r="A6770">
        <v>101308554</v>
      </c>
      <c r="B6770" t="s">
        <v>654</v>
      </c>
      <c r="C6770" t="s">
        <v>4299</v>
      </c>
      <c r="G6770" t="s">
        <v>16198</v>
      </c>
      <c r="H6770" t="s">
        <v>16199</v>
      </c>
      <c r="I6770" t="s">
        <v>255</v>
      </c>
      <c r="J6770">
        <v>23602</v>
      </c>
      <c r="K6770">
        <v>8356</v>
      </c>
      <c r="L6770" t="s">
        <v>23</v>
      </c>
      <c r="M6770" t="s">
        <v>16198</v>
      </c>
      <c r="N6770" t="s">
        <v>16199</v>
      </c>
      <c r="O6770" t="s">
        <v>255</v>
      </c>
      <c r="P6770">
        <v>23602</v>
      </c>
      <c r="Q6770">
        <v>8356</v>
      </c>
      <c r="R6770" t="s">
        <v>23</v>
      </c>
      <c r="S6770" s="1" t="s">
        <v>34218</v>
      </c>
    </row>
    <row r="6771" spans="1:19" x14ac:dyDescent="0.25">
      <c r="A6771">
        <v>101315700</v>
      </c>
      <c r="B6771" t="s">
        <v>16200</v>
      </c>
      <c r="C6771" t="s">
        <v>329</v>
      </c>
      <c r="G6771" t="s">
        <v>16201</v>
      </c>
      <c r="H6771" t="s">
        <v>7255</v>
      </c>
      <c r="I6771" t="s">
        <v>140</v>
      </c>
      <c r="J6771">
        <v>49345</v>
      </c>
      <c r="K6771">
        <v>8412</v>
      </c>
      <c r="L6771" t="s">
        <v>23</v>
      </c>
      <c r="M6771" t="s">
        <v>16201</v>
      </c>
      <c r="N6771" t="s">
        <v>7255</v>
      </c>
      <c r="O6771" t="s">
        <v>140</v>
      </c>
      <c r="P6771">
        <v>49345</v>
      </c>
      <c r="Q6771">
        <v>8412</v>
      </c>
      <c r="R6771" t="s">
        <v>23</v>
      </c>
      <c r="S6771" s="1" t="s">
        <v>34218</v>
      </c>
    </row>
    <row r="6772" spans="1:19" x14ac:dyDescent="0.25">
      <c r="A6772">
        <v>101319826</v>
      </c>
      <c r="B6772" t="s">
        <v>2075</v>
      </c>
      <c r="C6772" t="s">
        <v>25</v>
      </c>
      <c r="G6772" t="s">
        <v>16202</v>
      </c>
      <c r="H6772" t="s">
        <v>12197</v>
      </c>
      <c r="I6772" t="s">
        <v>33</v>
      </c>
      <c r="J6772">
        <v>17112</v>
      </c>
      <c r="K6772">
        <v>6051</v>
      </c>
      <c r="L6772" t="s">
        <v>23</v>
      </c>
      <c r="M6772" t="s">
        <v>16202</v>
      </c>
      <c r="N6772" t="s">
        <v>12197</v>
      </c>
      <c r="O6772" t="s">
        <v>33</v>
      </c>
      <c r="P6772">
        <v>17112</v>
      </c>
      <c r="Q6772">
        <v>6051</v>
      </c>
      <c r="R6772" t="s">
        <v>23</v>
      </c>
      <c r="S6772" s="1" t="s">
        <v>34218</v>
      </c>
    </row>
    <row r="6773" spans="1:19" x14ac:dyDescent="0.25">
      <c r="A6773">
        <v>101287242</v>
      </c>
      <c r="B6773" t="s">
        <v>12827</v>
      </c>
      <c r="C6773" t="s">
        <v>16203</v>
      </c>
      <c r="G6773" t="s">
        <v>16204</v>
      </c>
      <c r="H6773" t="s">
        <v>15158</v>
      </c>
      <c r="I6773" t="s">
        <v>28</v>
      </c>
      <c r="J6773">
        <v>30607</v>
      </c>
      <c r="K6773">
        <v>1070</v>
      </c>
      <c r="L6773" t="s">
        <v>23</v>
      </c>
      <c r="M6773" t="s">
        <v>16204</v>
      </c>
      <c r="N6773" t="s">
        <v>15158</v>
      </c>
      <c r="O6773" t="s">
        <v>28</v>
      </c>
      <c r="P6773">
        <v>30607</v>
      </c>
      <c r="Q6773">
        <v>1070</v>
      </c>
      <c r="R6773" t="s">
        <v>23</v>
      </c>
      <c r="S6773" s="1" t="s">
        <v>34218</v>
      </c>
    </row>
    <row r="6774" spans="1:19" x14ac:dyDescent="0.25">
      <c r="A6774">
        <v>101290245</v>
      </c>
      <c r="B6774" t="s">
        <v>9324</v>
      </c>
      <c r="C6774" t="s">
        <v>1027</v>
      </c>
      <c r="G6774" t="s">
        <v>16205</v>
      </c>
      <c r="H6774" t="s">
        <v>6438</v>
      </c>
      <c r="I6774" t="s">
        <v>178</v>
      </c>
      <c r="J6774">
        <v>44514</v>
      </c>
      <c r="K6774">
        <v>1422</v>
      </c>
      <c r="L6774" t="s">
        <v>23</v>
      </c>
      <c r="M6774" t="s">
        <v>16205</v>
      </c>
      <c r="N6774" t="s">
        <v>6438</v>
      </c>
      <c r="O6774" t="s">
        <v>178</v>
      </c>
      <c r="P6774">
        <v>44514</v>
      </c>
      <c r="Q6774">
        <v>1422</v>
      </c>
      <c r="R6774" t="s">
        <v>23</v>
      </c>
      <c r="S6774" s="1" t="s">
        <v>34218</v>
      </c>
    </row>
    <row r="6775" spans="1:19" x14ac:dyDescent="0.25">
      <c r="A6775">
        <v>101288014</v>
      </c>
      <c r="B6775" t="s">
        <v>3609</v>
      </c>
      <c r="C6775" t="s">
        <v>1623</v>
      </c>
      <c r="G6775" t="s">
        <v>16206</v>
      </c>
      <c r="H6775" t="s">
        <v>16207</v>
      </c>
      <c r="I6775" t="s">
        <v>250</v>
      </c>
      <c r="J6775">
        <v>7885</v>
      </c>
      <c r="K6775">
        <v>1306</v>
      </c>
      <c r="L6775" t="s">
        <v>23</v>
      </c>
      <c r="M6775" t="s">
        <v>16206</v>
      </c>
      <c r="N6775" t="s">
        <v>16207</v>
      </c>
      <c r="O6775" t="s">
        <v>250</v>
      </c>
      <c r="P6775">
        <v>7885</v>
      </c>
      <c r="Q6775">
        <v>1306</v>
      </c>
      <c r="R6775" t="s">
        <v>23</v>
      </c>
      <c r="S6775" s="1" t="s">
        <v>34218</v>
      </c>
    </row>
    <row r="6776" spans="1:19" x14ac:dyDescent="0.25">
      <c r="A6776">
        <v>101293375</v>
      </c>
      <c r="B6776" t="s">
        <v>14192</v>
      </c>
      <c r="C6776" t="s">
        <v>13476</v>
      </c>
      <c r="G6776" t="s">
        <v>16208</v>
      </c>
      <c r="H6776" t="s">
        <v>2689</v>
      </c>
      <c r="I6776" t="s">
        <v>236</v>
      </c>
      <c r="J6776">
        <v>1220</v>
      </c>
      <c r="K6776">
        <v>1433</v>
      </c>
      <c r="L6776" t="s">
        <v>23</v>
      </c>
      <c r="M6776" t="s">
        <v>16208</v>
      </c>
      <c r="N6776" t="s">
        <v>2689</v>
      </c>
      <c r="O6776" t="s">
        <v>236</v>
      </c>
      <c r="P6776">
        <v>1220</v>
      </c>
      <c r="Q6776">
        <v>1433</v>
      </c>
      <c r="R6776" t="s">
        <v>23</v>
      </c>
      <c r="S6776" s="1" t="s">
        <v>34218</v>
      </c>
    </row>
    <row r="6777" spans="1:19" x14ac:dyDescent="0.25">
      <c r="A6777">
        <v>101291829</v>
      </c>
      <c r="B6777" t="s">
        <v>16209</v>
      </c>
      <c r="C6777" t="s">
        <v>30</v>
      </c>
      <c r="G6777" t="s">
        <v>16210</v>
      </c>
      <c r="H6777" t="s">
        <v>3455</v>
      </c>
      <c r="I6777" t="s">
        <v>84</v>
      </c>
      <c r="J6777">
        <v>98366</v>
      </c>
      <c r="K6777">
        <v>8546</v>
      </c>
      <c r="L6777" t="s">
        <v>23</v>
      </c>
      <c r="M6777" t="s">
        <v>16210</v>
      </c>
      <c r="N6777" t="s">
        <v>3455</v>
      </c>
      <c r="O6777" t="s">
        <v>84</v>
      </c>
      <c r="P6777">
        <v>98366</v>
      </c>
      <c r="Q6777">
        <v>8546</v>
      </c>
      <c r="R6777" t="s">
        <v>23</v>
      </c>
      <c r="S6777" s="1" t="s">
        <v>34218</v>
      </c>
    </row>
    <row r="6778" spans="1:19" x14ac:dyDescent="0.25">
      <c r="A6778">
        <v>101290674</v>
      </c>
      <c r="B6778" t="s">
        <v>16211</v>
      </c>
      <c r="C6778" t="s">
        <v>2653</v>
      </c>
      <c r="G6778" t="s">
        <v>16212</v>
      </c>
      <c r="H6778" t="s">
        <v>16213</v>
      </c>
      <c r="I6778" t="s">
        <v>71</v>
      </c>
      <c r="J6778">
        <v>81230</v>
      </c>
      <c r="K6778">
        <v>4149</v>
      </c>
      <c r="L6778" t="s">
        <v>23</v>
      </c>
      <c r="M6778" t="s">
        <v>16212</v>
      </c>
      <c r="N6778" t="s">
        <v>16213</v>
      </c>
      <c r="O6778" t="s">
        <v>71</v>
      </c>
      <c r="P6778">
        <v>81230</v>
      </c>
      <c r="Q6778">
        <v>4149</v>
      </c>
      <c r="R6778" t="s">
        <v>23</v>
      </c>
      <c r="S6778" s="1" t="s">
        <v>34218</v>
      </c>
    </row>
    <row r="6779" spans="1:19" x14ac:dyDescent="0.25">
      <c r="A6779">
        <v>101296063</v>
      </c>
      <c r="B6779" t="s">
        <v>15466</v>
      </c>
      <c r="C6779" t="s">
        <v>959</v>
      </c>
      <c r="G6779" t="s">
        <v>16214</v>
      </c>
      <c r="H6779" t="s">
        <v>16215</v>
      </c>
      <c r="I6779" t="s">
        <v>52</v>
      </c>
      <c r="J6779">
        <v>33947</v>
      </c>
      <c r="K6779">
        <v>1937</v>
      </c>
      <c r="L6779" t="s">
        <v>23</v>
      </c>
      <c r="M6779" t="s">
        <v>16214</v>
      </c>
      <c r="N6779" t="s">
        <v>16215</v>
      </c>
      <c r="O6779" t="s">
        <v>52</v>
      </c>
      <c r="P6779">
        <v>33947</v>
      </c>
      <c r="Q6779">
        <v>1937</v>
      </c>
      <c r="R6779" t="s">
        <v>23</v>
      </c>
      <c r="S6779" s="1" t="s">
        <v>34218</v>
      </c>
    </row>
    <row r="6780" spans="1:19" x14ac:dyDescent="0.25">
      <c r="A6780">
        <v>101300148</v>
      </c>
      <c r="B6780" t="s">
        <v>16216</v>
      </c>
      <c r="C6780" t="s">
        <v>7569</v>
      </c>
      <c r="G6780" t="s">
        <v>16217</v>
      </c>
      <c r="H6780" t="s">
        <v>1531</v>
      </c>
      <c r="I6780" t="s">
        <v>84</v>
      </c>
      <c r="J6780">
        <v>98146</v>
      </c>
      <c r="K6780">
        <v>1056</v>
      </c>
      <c r="L6780" t="s">
        <v>23</v>
      </c>
      <c r="M6780" t="s">
        <v>16217</v>
      </c>
      <c r="N6780" t="s">
        <v>1531</v>
      </c>
      <c r="O6780" t="s">
        <v>84</v>
      </c>
      <c r="P6780">
        <v>98146</v>
      </c>
      <c r="Q6780">
        <v>1056</v>
      </c>
      <c r="R6780" t="s">
        <v>23</v>
      </c>
      <c r="S6780" s="1" t="s">
        <v>34218</v>
      </c>
    </row>
    <row r="6781" spans="1:19" x14ac:dyDescent="0.25">
      <c r="A6781">
        <v>101295234</v>
      </c>
      <c r="B6781" t="s">
        <v>8138</v>
      </c>
      <c r="C6781" t="s">
        <v>286</v>
      </c>
      <c r="G6781" t="s">
        <v>16218</v>
      </c>
      <c r="H6781" t="s">
        <v>3385</v>
      </c>
      <c r="I6781" t="s">
        <v>236</v>
      </c>
      <c r="J6781">
        <v>2138</v>
      </c>
      <c r="K6781">
        <v>1546</v>
      </c>
      <c r="L6781" t="s">
        <v>23</v>
      </c>
      <c r="M6781" t="s">
        <v>16218</v>
      </c>
      <c r="N6781" t="s">
        <v>3385</v>
      </c>
      <c r="O6781" t="s">
        <v>236</v>
      </c>
      <c r="P6781">
        <v>2138</v>
      </c>
      <c r="Q6781">
        <v>1546</v>
      </c>
      <c r="R6781" t="s">
        <v>23</v>
      </c>
      <c r="S6781" s="1" t="s">
        <v>34218</v>
      </c>
    </row>
    <row r="6782" spans="1:19" x14ac:dyDescent="0.25">
      <c r="A6782">
        <v>101299206</v>
      </c>
      <c r="B6782" t="s">
        <v>16219</v>
      </c>
      <c r="C6782" t="s">
        <v>1992</v>
      </c>
      <c r="G6782" t="s">
        <v>16220</v>
      </c>
      <c r="H6782" t="s">
        <v>16221</v>
      </c>
      <c r="I6782" t="s">
        <v>565</v>
      </c>
      <c r="J6782">
        <v>52101</v>
      </c>
      <c r="K6782">
        <v>1120</v>
      </c>
      <c r="L6782" t="s">
        <v>23</v>
      </c>
      <c r="M6782" t="s">
        <v>16220</v>
      </c>
      <c r="N6782" t="s">
        <v>16221</v>
      </c>
      <c r="O6782" t="s">
        <v>565</v>
      </c>
      <c r="P6782">
        <v>52101</v>
      </c>
      <c r="Q6782">
        <v>1120</v>
      </c>
      <c r="R6782" t="s">
        <v>23</v>
      </c>
      <c r="S6782" s="1" t="s">
        <v>34218</v>
      </c>
    </row>
    <row r="6783" spans="1:19" x14ac:dyDescent="0.25">
      <c r="A6783">
        <v>101297780</v>
      </c>
      <c r="B6783" t="s">
        <v>16222</v>
      </c>
      <c r="C6783" t="s">
        <v>575</v>
      </c>
      <c r="G6783" t="s">
        <v>16223</v>
      </c>
      <c r="H6783" t="s">
        <v>16224</v>
      </c>
      <c r="I6783" t="s">
        <v>38</v>
      </c>
      <c r="J6783">
        <v>79015</v>
      </c>
      <c r="K6783">
        <v>4233</v>
      </c>
      <c r="L6783" t="s">
        <v>23</v>
      </c>
      <c r="M6783" t="s">
        <v>16223</v>
      </c>
      <c r="N6783" t="s">
        <v>16224</v>
      </c>
      <c r="O6783" t="s">
        <v>38</v>
      </c>
      <c r="P6783">
        <v>79015</v>
      </c>
      <c r="Q6783">
        <v>4233</v>
      </c>
      <c r="R6783" t="s">
        <v>23</v>
      </c>
      <c r="S6783" s="1" t="s">
        <v>34218</v>
      </c>
    </row>
    <row r="6784" spans="1:19" x14ac:dyDescent="0.25">
      <c r="A6784">
        <v>101295295</v>
      </c>
      <c r="B6784" t="s">
        <v>4048</v>
      </c>
      <c r="C6784" t="s">
        <v>1153</v>
      </c>
      <c r="G6784" t="s">
        <v>16225</v>
      </c>
      <c r="H6784" t="s">
        <v>709</v>
      </c>
      <c r="I6784" t="s">
        <v>565</v>
      </c>
      <c r="J6784">
        <v>52240</v>
      </c>
      <c r="K6784">
        <v>9131</v>
      </c>
      <c r="L6784" t="s">
        <v>23</v>
      </c>
      <c r="M6784" t="s">
        <v>16225</v>
      </c>
      <c r="N6784" t="s">
        <v>709</v>
      </c>
      <c r="O6784" t="s">
        <v>565</v>
      </c>
      <c r="P6784">
        <v>52240</v>
      </c>
      <c r="Q6784">
        <v>9131</v>
      </c>
      <c r="R6784" t="s">
        <v>23</v>
      </c>
      <c r="S6784" s="1" t="s">
        <v>34218</v>
      </c>
    </row>
    <row r="6785" spans="1:19" x14ac:dyDescent="0.25">
      <c r="A6785">
        <v>101295335</v>
      </c>
      <c r="B6785" t="s">
        <v>16226</v>
      </c>
      <c r="C6785" t="s">
        <v>1460</v>
      </c>
      <c r="G6785" t="s">
        <v>16227</v>
      </c>
      <c r="H6785" t="s">
        <v>688</v>
      </c>
      <c r="I6785" t="s">
        <v>140</v>
      </c>
      <c r="J6785">
        <v>48307</v>
      </c>
      <c r="K6785">
        <v>2226</v>
      </c>
      <c r="L6785" t="s">
        <v>23</v>
      </c>
      <c r="M6785" t="s">
        <v>16227</v>
      </c>
      <c r="N6785" t="s">
        <v>688</v>
      </c>
      <c r="O6785" t="s">
        <v>140</v>
      </c>
      <c r="P6785">
        <v>48307</v>
      </c>
      <c r="Q6785">
        <v>2226</v>
      </c>
      <c r="R6785" t="s">
        <v>23</v>
      </c>
      <c r="S6785" s="1" t="s">
        <v>34218</v>
      </c>
    </row>
    <row r="6786" spans="1:19" x14ac:dyDescent="0.25">
      <c r="A6786">
        <v>101295454</v>
      </c>
      <c r="B6786" t="s">
        <v>15478</v>
      </c>
      <c r="C6786" t="s">
        <v>16228</v>
      </c>
      <c r="G6786" t="s">
        <v>15479</v>
      </c>
      <c r="H6786" t="s">
        <v>15480</v>
      </c>
      <c r="I6786" t="s">
        <v>52</v>
      </c>
      <c r="J6786">
        <v>33411</v>
      </c>
      <c r="K6786">
        <v>1014</v>
      </c>
      <c r="L6786" t="s">
        <v>23</v>
      </c>
      <c r="M6786" t="s">
        <v>15479</v>
      </c>
      <c r="N6786" t="s">
        <v>15480</v>
      </c>
      <c r="O6786" t="s">
        <v>52</v>
      </c>
      <c r="P6786">
        <v>33411</v>
      </c>
      <c r="Q6786">
        <v>1014</v>
      </c>
      <c r="R6786" t="s">
        <v>23</v>
      </c>
      <c r="S6786" s="1" t="s">
        <v>34218</v>
      </c>
    </row>
    <row r="6787" spans="1:19" x14ac:dyDescent="0.25">
      <c r="A6787">
        <v>101301949</v>
      </c>
      <c r="B6787" t="s">
        <v>12957</v>
      </c>
      <c r="C6787" t="s">
        <v>582</v>
      </c>
      <c r="G6787" t="s">
        <v>16229</v>
      </c>
      <c r="H6787" t="s">
        <v>3963</v>
      </c>
      <c r="I6787" t="s">
        <v>52</v>
      </c>
      <c r="J6787">
        <v>33134</v>
      </c>
      <c r="K6787">
        <v>5526</v>
      </c>
      <c r="L6787" t="s">
        <v>23</v>
      </c>
      <c r="M6787" t="s">
        <v>16229</v>
      </c>
      <c r="N6787" t="s">
        <v>3963</v>
      </c>
      <c r="O6787" t="s">
        <v>52</v>
      </c>
      <c r="P6787">
        <v>33134</v>
      </c>
      <c r="Q6787">
        <v>5526</v>
      </c>
      <c r="R6787" t="s">
        <v>23</v>
      </c>
      <c r="S6787" s="1" t="s">
        <v>34218</v>
      </c>
    </row>
    <row r="6788" spans="1:19" x14ac:dyDescent="0.25">
      <c r="A6788">
        <v>100836614</v>
      </c>
      <c r="B6788" t="s">
        <v>5822</v>
      </c>
      <c r="C6788" t="s">
        <v>5893</v>
      </c>
      <c r="G6788" t="s">
        <v>16230</v>
      </c>
      <c r="H6788" t="s">
        <v>3363</v>
      </c>
      <c r="I6788" t="s">
        <v>33</v>
      </c>
      <c r="J6788">
        <v>15243</v>
      </c>
      <c r="K6788">
        <v>1968</v>
      </c>
      <c r="L6788" t="s">
        <v>23</v>
      </c>
      <c r="M6788" t="s">
        <v>16230</v>
      </c>
      <c r="N6788" t="s">
        <v>3363</v>
      </c>
      <c r="O6788" t="s">
        <v>33</v>
      </c>
      <c r="P6788">
        <v>15243</v>
      </c>
      <c r="Q6788">
        <v>1968</v>
      </c>
      <c r="R6788" t="s">
        <v>23</v>
      </c>
      <c r="S6788" s="1" t="s">
        <v>34218</v>
      </c>
    </row>
    <row r="6789" spans="1:19" x14ac:dyDescent="0.25">
      <c r="A6789">
        <v>100835514</v>
      </c>
      <c r="B6789" t="s">
        <v>16231</v>
      </c>
      <c r="C6789" t="s">
        <v>6897</v>
      </c>
      <c r="G6789" t="s">
        <v>16232</v>
      </c>
      <c r="H6789" t="s">
        <v>423</v>
      </c>
      <c r="I6789" t="s">
        <v>71</v>
      </c>
      <c r="J6789">
        <v>80301</v>
      </c>
      <c r="K6789">
        <v>3805</v>
      </c>
      <c r="L6789" t="s">
        <v>23</v>
      </c>
      <c r="M6789" t="s">
        <v>16232</v>
      </c>
      <c r="N6789" t="s">
        <v>423</v>
      </c>
      <c r="O6789" t="s">
        <v>71</v>
      </c>
      <c r="P6789">
        <v>80301</v>
      </c>
      <c r="Q6789">
        <v>3805</v>
      </c>
      <c r="R6789" t="s">
        <v>23</v>
      </c>
      <c r="S6789" s="1" t="s">
        <v>34218</v>
      </c>
    </row>
    <row r="6790" spans="1:19" x14ac:dyDescent="0.25">
      <c r="A6790">
        <v>100835523</v>
      </c>
      <c r="B6790" t="s">
        <v>16233</v>
      </c>
      <c r="C6790" t="s">
        <v>1208</v>
      </c>
      <c r="G6790" t="s">
        <v>16234</v>
      </c>
      <c r="H6790" t="s">
        <v>2189</v>
      </c>
      <c r="I6790" t="s">
        <v>187</v>
      </c>
      <c r="J6790">
        <v>55343</v>
      </c>
      <c r="K6790">
        <v>7370</v>
      </c>
      <c r="L6790" t="s">
        <v>23</v>
      </c>
      <c r="M6790" t="s">
        <v>16234</v>
      </c>
      <c r="N6790" t="s">
        <v>2189</v>
      </c>
      <c r="O6790" t="s">
        <v>187</v>
      </c>
      <c r="P6790">
        <v>55343</v>
      </c>
      <c r="Q6790">
        <v>7370</v>
      </c>
      <c r="R6790" t="s">
        <v>23</v>
      </c>
      <c r="S6790" s="1" t="s">
        <v>34218</v>
      </c>
    </row>
    <row r="6791" spans="1:19" x14ac:dyDescent="0.25">
      <c r="A6791">
        <v>100993881</v>
      </c>
      <c r="B6791" t="s">
        <v>16235</v>
      </c>
      <c r="C6791" t="s">
        <v>2184</v>
      </c>
      <c r="G6791" t="s">
        <v>16236</v>
      </c>
      <c r="H6791" t="s">
        <v>16237</v>
      </c>
      <c r="I6791" t="s">
        <v>250</v>
      </c>
      <c r="J6791">
        <v>7074</v>
      </c>
      <c r="K6791">
        <v>1221</v>
      </c>
      <c r="L6791" t="s">
        <v>23</v>
      </c>
      <c r="M6791" t="s">
        <v>16236</v>
      </c>
      <c r="N6791" t="s">
        <v>16237</v>
      </c>
      <c r="O6791" t="s">
        <v>250</v>
      </c>
      <c r="P6791">
        <v>7074</v>
      </c>
      <c r="Q6791">
        <v>1221</v>
      </c>
      <c r="R6791" t="s">
        <v>23</v>
      </c>
      <c r="S6791" s="1" t="s">
        <v>34218</v>
      </c>
    </row>
    <row r="6792" spans="1:19" x14ac:dyDescent="0.25">
      <c r="A6792">
        <v>100997987</v>
      </c>
      <c r="B6792" t="s">
        <v>16238</v>
      </c>
      <c r="C6792" t="s">
        <v>342</v>
      </c>
      <c r="G6792" t="s">
        <v>16239</v>
      </c>
      <c r="H6792" t="s">
        <v>264</v>
      </c>
      <c r="I6792" t="s">
        <v>117</v>
      </c>
      <c r="J6792">
        <v>14850</v>
      </c>
      <c r="K6792">
        <v>6156</v>
      </c>
      <c r="L6792" t="s">
        <v>23</v>
      </c>
      <c r="M6792" t="s">
        <v>16239</v>
      </c>
      <c r="N6792" t="s">
        <v>264</v>
      </c>
      <c r="O6792" t="s">
        <v>117</v>
      </c>
      <c r="P6792">
        <v>14850</v>
      </c>
      <c r="Q6792">
        <v>6156</v>
      </c>
      <c r="R6792" t="s">
        <v>23</v>
      </c>
      <c r="S6792" s="1" t="s">
        <v>34218</v>
      </c>
    </row>
    <row r="6793" spans="1:19" x14ac:dyDescent="0.25">
      <c r="A6793">
        <v>100997347</v>
      </c>
      <c r="B6793" t="s">
        <v>985</v>
      </c>
      <c r="C6793" t="s">
        <v>5671</v>
      </c>
      <c r="G6793" t="s">
        <v>16240</v>
      </c>
      <c r="H6793" t="s">
        <v>311</v>
      </c>
      <c r="I6793" t="s">
        <v>22</v>
      </c>
      <c r="J6793">
        <v>90808</v>
      </c>
      <c r="K6793">
        <v>4105</v>
      </c>
      <c r="L6793" t="s">
        <v>23</v>
      </c>
      <c r="M6793" t="s">
        <v>16240</v>
      </c>
      <c r="N6793" t="s">
        <v>311</v>
      </c>
      <c r="O6793" t="s">
        <v>22</v>
      </c>
      <c r="P6793">
        <v>90808</v>
      </c>
      <c r="Q6793">
        <v>4105</v>
      </c>
      <c r="R6793" t="s">
        <v>23</v>
      </c>
      <c r="S6793" s="1" t="s">
        <v>34218</v>
      </c>
    </row>
    <row r="6794" spans="1:19" x14ac:dyDescent="0.25">
      <c r="A6794">
        <v>101003470</v>
      </c>
      <c r="B6794" t="s">
        <v>6551</v>
      </c>
      <c r="C6794" t="s">
        <v>274</v>
      </c>
      <c r="G6794" t="s">
        <v>16241</v>
      </c>
      <c r="H6794" t="s">
        <v>16242</v>
      </c>
      <c r="I6794" t="s">
        <v>33</v>
      </c>
      <c r="J6794">
        <v>15139</v>
      </c>
      <c r="K6794">
        <v>1105</v>
      </c>
      <c r="L6794" t="s">
        <v>23</v>
      </c>
      <c r="M6794" t="s">
        <v>16241</v>
      </c>
      <c r="N6794" t="s">
        <v>16242</v>
      </c>
      <c r="O6794" t="s">
        <v>33</v>
      </c>
      <c r="P6794">
        <v>15139</v>
      </c>
      <c r="Q6794">
        <v>1105</v>
      </c>
      <c r="R6794" t="s">
        <v>23</v>
      </c>
      <c r="S6794" s="1" t="s">
        <v>34218</v>
      </c>
    </row>
    <row r="6795" spans="1:19" x14ac:dyDescent="0.25">
      <c r="A6795">
        <v>101002367</v>
      </c>
      <c r="B6795" t="s">
        <v>16243</v>
      </c>
      <c r="C6795" t="s">
        <v>1588</v>
      </c>
      <c r="G6795" t="s">
        <v>16244</v>
      </c>
      <c r="H6795" t="s">
        <v>1863</v>
      </c>
      <c r="I6795" t="s">
        <v>126</v>
      </c>
      <c r="J6795">
        <v>64152</v>
      </c>
      <c r="K6795">
        <v>2260</v>
      </c>
      <c r="L6795" t="s">
        <v>23</v>
      </c>
      <c r="M6795" t="s">
        <v>16244</v>
      </c>
      <c r="N6795" t="s">
        <v>1863</v>
      </c>
      <c r="O6795" t="s">
        <v>126</v>
      </c>
      <c r="P6795">
        <v>64152</v>
      </c>
      <c r="Q6795">
        <v>2260</v>
      </c>
      <c r="R6795" t="s">
        <v>23</v>
      </c>
      <c r="S6795" s="1" t="s">
        <v>34218</v>
      </c>
    </row>
    <row r="6796" spans="1:19" x14ac:dyDescent="0.25">
      <c r="A6796">
        <v>101001903</v>
      </c>
      <c r="B6796" t="s">
        <v>12776</v>
      </c>
      <c r="C6796" t="s">
        <v>321</v>
      </c>
      <c r="G6796" t="s">
        <v>16245</v>
      </c>
      <c r="H6796" t="s">
        <v>16246</v>
      </c>
      <c r="I6796" t="s">
        <v>43</v>
      </c>
      <c r="J6796">
        <v>97760</v>
      </c>
      <c r="K6796">
        <v>2301</v>
      </c>
      <c r="L6796" t="s">
        <v>23</v>
      </c>
      <c r="M6796" t="s">
        <v>16245</v>
      </c>
      <c r="N6796" t="s">
        <v>16246</v>
      </c>
      <c r="O6796" t="s">
        <v>43</v>
      </c>
      <c r="P6796">
        <v>97760</v>
      </c>
      <c r="Q6796">
        <v>2301</v>
      </c>
      <c r="R6796" t="s">
        <v>23</v>
      </c>
      <c r="S6796" s="1" t="s">
        <v>34218</v>
      </c>
    </row>
    <row r="6797" spans="1:19" x14ac:dyDescent="0.25">
      <c r="A6797">
        <v>101009161</v>
      </c>
      <c r="B6797" t="s">
        <v>16247</v>
      </c>
      <c r="C6797" t="s">
        <v>522</v>
      </c>
      <c r="F6797" t="str">
        <f>"2092562157"</f>
        <v>2092562157</v>
      </c>
      <c r="G6797" t="s">
        <v>13479</v>
      </c>
      <c r="H6797" t="s">
        <v>16248</v>
      </c>
      <c r="I6797" t="s">
        <v>22</v>
      </c>
      <c r="J6797">
        <v>95665</v>
      </c>
      <c r="K6797">
        <v>328</v>
      </c>
      <c r="L6797" t="s">
        <v>23</v>
      </c>
      <c r="M6797" t="s">
        <v>13479</v>
      </c>
      <c r="N6797" t="s">
        <v>16248</v>
      </c>
      <c r="O6797" t="s">
        <v>22</v>
      </c>
      <c r="P6797">
        <v>95665</v>
      </c>
      <c r="Q6797">
        <v>328</v>
      </c>
      <c r="R6797" t="s">
        <v>23</v>
      </c>
      <c r="S6797" s="1" t="s">
        <v>34218</v>
      </c>
    </row>
    <row r="6798" spans="1:19" x14ac:dyDescent="0.25">
      <c r="A6798">
        <v>101006011</v>
      </c>
      <c r="B6798" t="s">
        <v>1685</v>
      </c>
      <c r="C6798" t="s">
        <v>2127</v>
      </c>
      <c r="G6798" t="s">
        <v>16249</v>
      </c>
      <c r="H6798" t="s">
        <v>855</v>
      </c>
      <c r="I6798" t="s">
        <v>84</v>
      </c>
      <c r="J6798">
        <v>98368</v>
      </c>
      <c r="K6798">
        <v>2342</v>
      </c>
      <c r="L6798" t="s">
        <v>23</v>
      </c>
      <c r="M6798" t="s">
        <v>16249</v>
      </c>
      <c r="N6798" t="s">
        <v>855</v>
      </c>
      <c r="O6798" t="s">
        <v>84</v>
      </c>
      <c r="P6798">
        <v>98368</v>
      </c>
      <c r="Q6798">
        <v>2342</v>
      </c>
      <c r="R6798" t="s">
        <v>23</v>
      </c>
      <c r="S6798" s="1" t="s">
        <v>34218</v>
      </c>
    </row>
    <row r="6799" spans="1:19" x14ac:dyDescent="0.25">
      <c r="A6799">
        <v>101007847</v>
      </c>
      <c r="B6799" t="s">
        <v>188</v>
      </c>
      <c r="C6799" t="s">
        <v>1588</v>
      </c>
      <c r="G6799" t="s">
        <v>16250</v>
      </c>
      <c r="H6799" t="s">
        <v>1531</v>
      </c>
      <c r="I6799" t="s">
        <v>84</v>
      </c>
      <c r="J6799">
        <v>98125</v>
      </c>
      <c r="K6799">
        <v>4627</v>
      </c>
      <c r="L6799" t="s">
        <v>23</v>
      </c>
      <c r="M6799" t="s">
        <v>16250</v>
      </c>
      <c r="N6799" t="s">
        <v>1531</v>
      </c>
      <c r="O6799" t="s">
        <v>84</v>
      </c>
      <c r="P6799">
        <v>98125</v>
      </c>
      <c r="Q6799">
        <v>4627</v>
      </c>
      <c r="R6799" t="s">
        <v>23</v>
      </c>
      <c r="S6799" s="1" t="s">
        <v>34218</v>
      </c>
    </row>
    <row r="6800" spans="1:19" x14ac:dyDescent="0.25">
      <c r="A6800">
        <v>101010816</v>
      </c>
      <c r="B6800" t="s">
        <v>497</v>
      </c>
      <c r="C6800" t="s">
        <v>399</v>
      </c>
      <c r="G6800" t="s">
        <v>16251</v>
      </c>
      <c r="H6800" t="s">
        <v>16252</v>
      </c>
      <c r="I6800" t="s">
        <v>71</v>
      </c>
      <c r="J6800">
        <v>80512</v>
      </c>
      <c r="K6800">
        <v>6093</v>
      </c>
      <c r="L6800" t="s">
        <v>23</v>
      </c>
      <c r="M6800" t="s">
        <v>16251</v>
      </c>
      <c r="N6800" t="s">
        <v>16252</v>
      </c>
      <c r="O6800" t="s">
        <v>71</v>
      </c>
      <c r="P6800">
        <v>80512</v>
      </c>
      <c r="Q6800">
        <v>6093</v>
      </c>
      <c r="R6800" t="s">
        <v>23</v>
      </c>
      <c r="S6800" s="1" t="s">
        <v>34218</v>
      </c>
    </row>
    <row r="6801" spans="1:19" x14ac:dyDescent="0.25">
      <c r="A6801">
        <v>101010807</v>
      </c>
      <c r="B6801" t="s">
        <v>16253</v>
      </c>
      <c r="C6801" t="s">
        <v>894</v>
      </c>
      <c r="G6801" t="s">
        <v>16254</v>
      </c>
      <c r="H6801" t="s">
        <v>16255</v>
      </c>
      <c r="I6801" t="s">
        <v>43</v>
      </c>
      <c r="J6801">
        <v>97385</v>
      </c>
      <c r="K6801">
        <v>9682</v>
      </c>
      <c r="L6801" t="s">
        <v>23</v>
      </c>
      <c r="M6801" t="s">
        <v>16254</v>
      </c>
      <c r="N6801" t="s">
        <v>16255</v>
      </c>
      <c r="O6801" t="s">
        <v>43</v>
      </c>
      <c r="P6801">
        <v>97385</v>
      </c>
      <c r="Q6801">
        <v>9682</v>
      </c>
      <c r="R6801" t="s">
        <v>23</v>
      </c>
      <c r="S6801" s="1" t="s">
        <v>34218</v>
      </c>
    </row>
    <row r="6802" spans="1:19" x14ac:dyDescent="0.25">
      <c r="A6802">
        <v>101014783</v>
      </c>
      <c r="B6802" t="s">
        <v>4734</v>
      </c>
      <c r="C6802" t="s">
        <v>1506</v>
      </c>
      <c r="G6802" t="s">
        <v>16256</v>
      </c>
      <c r="H6802" t="s">
        <v>130</v>
      </c>
      <c r="I6802" t="s">
        <v>22</v>
      </c>
      <c r="J6802">
        <v>94109</v>
      </c>
      <c r="K6802">
        <v>2205</v>
      </c>
      <c r="L6802" t="s">
        <v>23</v>
      </c>
      <c r="M6802" t="s">
        <v>16256</v>
      </c>
      <c r="N6802" t="s">
        <v>130</v>
      </c>
      <c r="O6802" t="s">
        <v>22</v>
      </c>
      <c r="P6802">
        <v>94109</v>
      </c>
      <c r="Q6802">
        <v>2205</v>
      </c>
      <c r="R6802" t="s">
        <v>23</v>
      </c>
      <c r="S6802" s="1" t="s">
        <v>34218</v>
      </c>
    </row>
    <row r="6803" spans="1:19" x14ac:dyDescent="0.25">
      <c r="A6803">
        <v>101321995</v>
      </c>
      <c r="B6803" t="s">
        <v>966</v>
      </c>
      <c r="C6803" t="s">
        <v>4188</v>
      </c>
      <c r="G6803" t="s">
        <v>16257</v>
      </c>
      <c r="H6803" t="s">
        <v>1787</v>
      </c>
      <c r="I6803" t="s">
        <v>702</v>
      </c>
      <c r="J6803">
        <v>89156</v>
      </c>
      <c r="K6803">
        <v>3757</v>
      </c>
      <c r="L6803" t="s">
        <v>23</v>
      </c>
      <c r="M6803" t="s">
        <v>16257</v>
      </c>
      <c r="N6803" t="s">
        <v>1787</v>
      </c>
      <c r="O6803" t="s">
        <v>702</v>
      </c>
      <c r="P6803">
        <v>89156</v>
      </c>
      <c r="Q6803">
        <v>3757</v>
      </c>
      <c r="R6803" t="s">
        <v>23</v>
      </c>
      <c r="S6803" s="1" t="s">
        <v>34218</v>
      </c>
    </row>
    <row r="6804" spans="1:19" x14ac:dyDescent="0.25">
      <c r="A6804">
        <v>101313375</v>
      </c>
      <c r="B6804" t="s">
        <v>262</v>
      </c>
      <c r="C6804" t="s">
        <v>621</v>
      </c>
      <c r="F6804" t="str">
        <f>"5036448772"</f>
        <v>5036448772</v>
      </c>
      <c r="G6804" t="s">
        <v>16258</v>
      </c>
      <c r="H6804" t="s">
        <v>818</v>
      </c>
      <c r="I6804" t="s">
        <v>43</v>
      </c>
      <c r="J6804">
        <v>97006</v>
      </c>
      <c r="K6804">
        <v>5840</v>
      </c>
      <c r="L6804" t="s">
        <v>23</v>
      </c>
      <c r="M6804" t="s">
        <v>16258</v>
      </c>
      <c r="N6804" t="s">
        <v>818</v>
      </c>
      <c r="O6804" t="s">
        <v>43</v>
      </c>
      <c r="P6804">
        <v>97006</v>
      </c>
      <c r="Q6804">
        <v>5840</v>
      </c>
      <c r="R6804" t="s">
        <v>23</v>
      </c>
      <c r="S6804" s="1" t="s">
        <v>34218</v>
      </c>
    </row>
    <row r="6805" spans="1:19" x14ac:dyDescent="0.25">
      <c r="A6805">
        <v>101314463</v>
      </c>
      <c r="B6805" t="s">
        <v>16259</v>
      </c>
      <c r="C6805" t="s">
        <v>1452</v>
      </c>
      <c r="F6805" t="str">
        <f>"5092351950"</f>
        <v>5092351950</v>
      </c>
      <c r="G6805" t="s">
        <v>16260</v>
      </c>
      <c r="H6805" t="s">
        <v>83</v>
      </c>
      <c r="I6805" t="s">
        <v>84</v>
      </c>
      <c r="J6805">
        <v>98221</v>
      </c>
      <c r="K6805">
        <v>3244</v>
      </c>
      <c r="L6805" t="s">
        <v>23</v>
      </c>
      <c r="M6805" t="s">
        <v>16260</v>
      </c>
      <c r="N6805" t="s">
        <v>83</v>
      </c>
      <c r="O6805" t="s">
        <v>84</v>
      </c>
      <c r="P6805">
        <v>98221</v>
      </c>
      <c r="Q6805">
        <v>3244</v>
      </c>
      <c r="R6805" t="s">
        <v>23</v>
      </c>
      <c r="S6805" s="1" t="s">
        <v>34218</v>
      </c>
    </row>
    <row r="6806" spans="1:19" x14ac:dyDescent="0.25">
      <c r="A6806">
        <v>101324572</v>
      </c>
      <c r="B6806" t="s">
        <v>16261</v>
      </c>
      <c r="C6806" t="s">
        <v>1384</v>
      </c>
      <c r="F6806" t="str">
        <f>"6309265516"</f>
        <v>6309265516</v>
      </c>
      <c r="G6806" t="s">
        <v>16262</v>
      </c>
      <c r="H6806" t="s">
        <v>134</v>
      </c>
      <c r="I6806" t="s">
        <v>135</v>
      </c>
      <c r="J6806">
        <v>60640</v>
      </c>
      <c r="K6806">
        <v>5397</v>
      </c>
      <c r="L6806" t="s">
        <v>23</v>
      </c>
      <c r="M6806" t="s">
        <v>16262</v>
      </c>
      <c r="N6806" t="s">
        <v>134</v>
      </c>
      <c r="O6806" t="s">
        <v>135</v>
      </c>
      <c r="P6806">
        <v>60640</v>
      </c>
      <c r="Q6806">
        <v>5397</v>
      </c>
      <c r="R6806" t="s">
        <v>23</v>
      </c>
      <c r="S6806" s="1" t="s">
        <v>34218</v>
      </c>
    </row>
    <row r="6807" spans="1:19" x14ac:dyDescent="0.25">
      <c r="A6807">
        <v>101329355</v>
      </c>
      <c r="B6807" t="s">
        <v>16263</v>
      </c>
      <c r="C6807" t="s">
        <v>10389</v>
      </c>
      <c r="G6807" t="s">
        <v>16264</v>
      </c>
      <c r="H6807" t="s">
        <v>976</v>
      </c>
      <c r="I6807" t="s">
        <v>140</v>
      </c>
      <c r="J6807">
        <v>48103</v>
      </c>
      <c r="K6807">
        <v>3739</v>
      </c>
      <c r="L6807" t="s">
        <v>23</v>
      </c>
      <c r="M6807" t="s">
        <v>16264</v>
      </c>
      <c r="N6807" t="s">
        <v>976</v>
      </c>
      <c r="O6807" t="s">
        <v>140</v>
      </c>
      <c r="P6807">
        <v>48103</v>
      </c>
      <c r="Q6807">
        <v>3739</v>
      </c>
      <c r="R6807" t="s">
        <v>23</v>
      </c>
      <c r="S6807" s="1" t="s">
        <v>34218</v>
      </c>
    </row>
    <row r="6808" spans="1:19" x14ac:dyDescent="0.25">
      <c r="A6808">
        <v>101329585</v>
      </c>
      <c r="B6808" t="s">
        <v>2653</v>
      </c>
      <c r="C6808" t="s">
        <v>1036</v>
      </c>
      <c r="G6808" t="s">
        <v>16265</v>
      </c>
      <c r="H6808" t="s">
        <v>2103</v>
      </c>
      <c r="I6808" t="s">
        <v>135</v>
      </c>
      <c r="J6808">
        <v>60561</v>
      </c>
      <c r="K6808">
        <v>5057</v>
      </c>
      <c r="L6808" t="s">
        <v>23</v>
      </c>
      <c r="M6808" t="s">
        <v>16265</v>
      </c>
      <c r="N6808" t="s">
        <v>2103</v>
      </c>
      <c r="O6808" t="s">
        <v>135</v>
      </c>
      <c r="P6808">
        <v>60561</v>
      </c>
      <c r="Q6808">
        <v>5057</v>
      </c>
      <c r="R6808" t="s">
        <v>23</v>
      </c>
      <c r="S6808" s="1" t="s">
        <v>34218</v>
      </c>
    </row>
    <row r="6809" spans="1:19" x14ac:dyDescent="0.25">
      <c r="A6809">
        <v>101338508</v>
      </c>
      <c r="B6809" t="s">
        <v>80</v>
      </c>
      <c r="C6809" t="s">
        <v>5836</v>
      </c>
      <c r="G6809" t="s">
        <v>16266</v>
      </c>
      <c r="H6809" t="s">
        <v>481</v>
      </c>
      <c r="I6809" t="s">
        <v>22</v>
      </c>
      <c r="J6809">
        <v>95120</v>
      </c>
      <c r="K6809">
        <v>1306</v>
      </c>
      <c r="L6809" t="s">
        <v>23</v>
      </c>
      <c r="M6809" t="s">
        <v>16266</v>
      </c>
      <c r="N6809" t="s">
        <v>481</v>
      </c>
      <c r="O6809" t="s">
        <v>22</v>
      </c>
      <c r="P6809">
        <v>95120</v>
      </c>
      <c r="Q6809">
        <v>1306</v>
      </c>
      <c r="R6809" t="s">
        <v>23</v>
      </c>
      <c r="S6809" s="1" t="s">
        <v>34218</v>
      </c>
    </row>
    <row r="6810" spans="1:19" x14ac:dyDescent="0.25">
      <c r="A6810">
        <v>101341841</v>
      </c>
      <c r="B6810" t="s">
        <v>3462</v>
      </c>
      <c r="C6810" t="s">
        <v>16267</v>
      </c>
      <c r="G6810" t="s">
        <v>16268</v>
      </c>
      <c r="H6810" t="s">
        <v>1246</v>
      </c>
      <c r="I6810" t="s">
        <v>140</v>
      </c>
      <c r="J6810">
        <v>49505</v>
      </c>
      <c r="K6810">
        <v>6270</v>
      </c>
      <c r="L6810" t="s">
        <v>23</v>
      </c>
      <c r="M6810" t="s">
        <v>16268</v>
      </c>
      <c r="N6810" t="s">
        <v>1246</v>
      </c>
      <c r="O6810" t="s">
        <v>140</v>
      </c>
      <c r="P6810">
        <v>49505</v>
      </c>
      <c r="Q6810">
        <v>6270</v>
      </c>
      <c r="R6810" t="s">
        <v>23</v>
      </c>
      <c r="S6810" s="1" t="s">
        <v>34218</v>
      </c>
    </row>
    <row r="6811" spans="1:19" x14ac:dyDescent="0.25">
      <c r="A6811">
        <v>100944021</v>
      </c>
      <c r="B6811" t="s">
        <v>6147</v>
      </c>
      <c r="C6811" t="s">
        <v>522</v>
      </c>
      <c r="G6811" t="s">
        <v>16269</v>
      </c>
      <c r="H6811" t="s">
        <v>2954</v>
      </c>
      <c r="I6811" t="s">
        <v>43</v>
      </c>
      <c r="J6811">
        <v>97303</v>
      </c>
      <c r="K6811">
        <v>3422</v>
      </c>
      <c r="L6811" t="s">
        <v>23</v>
      </c>
      <c r="M6811" t="s">
        <v>16269</v>
      </c>
      <c r="N6811" t="s">
        <v>2954</v>
      </c>
      <c r="O6811" t="s">
        <v>43</v>
      </c>
      <c r="P6811">
        <v>97303</v>
      </c>
      <c r="Q6811">
        <v>3422</v>
      </c>
      <c r="R6811" t="s">
        <v>23</v>
      </c>
      <c r="S6811" s="1" t="s">
        <v>34218</v>
      </c>
    </row>
    <row r="6812" spans="1:19" x14ac:dyDescent="0.25">
      <c r="A6812">
        <v>100944960</v>
      </c>
      <c r="B6812" t="s">
        <v>16270</v>
      </c>
      <c r="C6812" t="s">
        <v>45</v>
      </c>
      <c r="G6812" t="s">
        <v>16271</v>
      </c>
      <c r="H6812" t="s">
        <v>16272</v>
      </c>
      <c r="I6812" t="s">
        <v>100</v>
      </c>
      <c r="J6812">
        <v>53913</v>
      </c>
      <c r="K6812">
        <v>9134</v>
      </c>
      <c r="L6812" t="s">
        <v>23</v>
      </c>
      <c r="M6812" t="s">
        <v>16271</v>
      </c>
      <c r="N6812" t="s">
        <v>16272</v>
      </c>
      <c r="O6812" t="s">
        <v>100</v>
      </c>
      <c r="P6812">
        <v>53913</v>
      </c>
      <c r="Q6812">
        <v>9134</v>
      </c>
      <c r="R6812" t="s">
        <v>23</v>
      </c>
      <c r="S6812" s="1" t="s">
        <v>34218</v>
      </c>
    </row>
    <row r="6813" spans="1:19" x14ac:dyDescent="0.25">
      <c r="A6813">
        <v>100945377</v>
      </c>
      <c r="B6813" t="s">
        <v>16273</v>
      </c>
      <c r="C6813" t="s">
        <v>16274</v>
      </c>
      <c r="G6813" t="s">
        <v>16275</v>
      </c>
      <c r="H6813" t="s">
        <v>47</v>
      </c>
      <c r="I6813" t="s">
        <v>236</v>
      </c>
      <c r="J6813">
        <v>2155</v>
      </c>
      <c r="K6813">
        <v>6634</v>
      </c>
      <c r="L6813" t="s">
        <v>23</v>
      </c>
      <c r="M6813" t="s">
        <v>16275</v>
      </c>
      <c r="N6813" t="s">
        <v>47</v>
      </c>
      <c r="O6813" t="s">
        <v>236</v>
      </c>
      <c r="P6813">
        <v>2155</v>
      </c>
      <c r="Q6813">
        <v>6634</v>
      </c>
      <c r="R6813" t="s">
        <v>23</v>
      </c>
      <c r="S6813" s="1" t="s">
        <v>34218</v>
      </c>
    </row>
    <row r="6814" spans="1:19" x14ac:dyDescent="0.25">
      <c r="A6814">
        <v>100956265</v>
      </c>
      <c r="B6814" t="s">
        <v>16276</v>
      </c>
      <c r="C6814" t="s">
        <v>1327</v>
      </c>
      <c r="G6814" t="s">
        <v>16277</v>
      </c>
      <c r="H6814" t="s">
        <v>16278</v>
      </c>
      <c r="I6814" t="s">
        <v>140</v>
      </c>
      <c r="J6814">
        <v>48097</v>
      </c>
      <c r="K6814">
        <v>2802</v>
      </c>
      <c r="L6814" t="s">
        <v>23</v>
      </c>
      <c r="M6814" t="s">
        <v>16277</v>
      </c>
      <c r="N6814" t="s">
        <v>16278</v>
      </c>
      <c r="O6814" t="s">
        <v>140</v>
      </c>
      <c r="P6814">
        <v>48097</v>
      </c>
      <c r="Q6814">
        <v>2802</v>
      </c>
      <c r="R6814" t="s">
        <v>23</v>
      </c>
      <c r="S6814" s="1" t="s">
        <v>34218</v>
      </c>
    </row>
    <row r="6815" spans="1:19" x14ac:dyDescent="0.25">
      <c r="A6815">
        <v>100953156</v>
      </c>
      <c r="B6815" t="s">
        <v>16279</v>
      </c>
      <c r="C6815" t="s">
        <v>582</v>
      </c>
      <c r="G6815" t="s">
        <v>16280</v>
      </c>
      <c r="H6815" t="s">
        <v>16281</v>
      </c>
      <c r="I6815" t="s">
        <v>117</v>
      </c>
      <c r="J6815">
        <v>12540</v>
      </c>
      <c r="K6815">
        <v>5714</v>
      </c>
      <c r="L6815" t="s">
        <v>23</v>
      </c>
      <c r="M6815" t="s">
        <v>16280</v>
      </c>
      <c r="N6815" t="s">
        <v>16281</v>
      </c>
      <c r="O6815" t="s">
        <v>117</v>
      </c>
      <c r="P6815">
        <v>12540</v>
      </c>
      <c r="Q6815">
        <v>5714</v>
      </c>
      <c r="R6815" t="s">
        <v>23</v>
      </c>
      <c r="S6815" s="1" t="s">
        <v>34218</v>
      </c>
    </row>
    <row r="6816" spans="1:19" x14ac:dyDescent="0.25">
      <c r="A6816">
        <v>100946241</v>
      </c>
      <c r="B6816" t="s">
        <v>12406</v>
      </c>
      <c r="C6816" t="s">
        <v>579</v>
      </c>
      <c r="G6816" t="s">
        <v>16282</v>
      </c>
      <c r="H6816" t="s">
        <v>16283</v>
      </c>
      <c r="I6816" t="s">
        <v>52</v>
      </c>
      <c r="J6816">
        <v>33437</v>
      </c>
      <c r="K6816">
        <v>5504</v>
      </c>
      <c r="L6816" t="s">
        <v>23</v>
      </c>
      <c r="M6816" t="s">
        <v>16282</v>
      </c>
      <c r="N6816" t="s">
        <v>16283</v>
      </c>
      <c r="O6816" t="s">
        <v>52</v>
      </c>
      <c r="P6816">
        <v>33437</v>
      </c>
      <c r="Q6816">
        <v>5504</v>
      </c>
      <c r="R6816" t="s">
        <v>23</v>
      </c>
      <c r="S6816" s="1" t="s">
        <v>34218</v>
      </c>
    </row>
    <row r="6817" spans="1:19" x14ac:dyDescent="0.25">
      <c r="A6817">
        <v>100949176</v>
      </c>
      <c r="B6817" t="s">
        <v>6209</v>
      </c>
      <c r="C6817" t="s">
        <v>5507</v>
      </c>
      <c r="G6817" t="s">
        <v>16284</v>
      </c>
      <c r="H6817" t="s">
        <v>8317</v>
      </c>
      <c r="I6817" t="s">
        <v>33</v>
      </c>
      <c r="J6817">
        <v>19152</v>
      </c>
      <c r="K6817">
        <v>3512</v>
      </c>
      <c r="L6817" t="s">
        <v>23</v>
      </c>
      <c r="M6817" t="s">
        <v>16284</v>
      </c>
      <c r="N6817" t="s">
        <v>8317</v>
      </c>
      <c r="O6817" t="s">
        <v>33</v>
      </c>
      <c r="P6817">
        <v>19152</v>
      </c>
      <c r="Q6817">
        <v>3512</v>
      </c>
      <c r="R6817" t="s">
        <v>23</v>
      </c>
      <c r="S6817" s="1" t="s">
        <v>34218</v>
      </c>
    </row>
    <row r="6818" spans="1:19" x14ac:dyDescent="0.25">
      <c r="A6818">
        <v>100953319</v>
      </c>
      <c r="B6818" t="s">
        <v>16285</v>
      </c>
      <c r="C6818" t="s">
        <v>1208</v>
      </c>
      <c r="G6818" t="s">
        <v>16286</v>
      </c>
      <c r="H6818" t="s">
        <v>8711</v>
      </c>
      <c r="I6818" t="s">
        <v>135</v>
      </c>
      <c r="J6818">
        <v>60067</v>
      </c>
      <c r="K6818">
        <v>7106</v>
      </c>
      <c r="L6818" t="s">
        <v>23</v>
      </c>
      <c r="M6818" t="s">
        <v>16286</v>
      </c>
      <c r="N6818" t="s">
        <v>8711</v>
      </c>
      <c r="O6818" t="s">
        <v>135</v>
      </c>
      <c r="P6818">
        <v>60067</v>
      </c>
      <c r="Q6818">
        <v>7106</v>
      </c>
      <c r="R6818" t="s">
        <v>23</v>
      </c>
      <c r="S6818" s="1" t="s">
        <v>34218</v>
      </c>
    </row>
    <row r="6819" spans="1:19" x14ac:dyDescent="0.25">
      <c r="A6819">
        <v>100955614</v>
      </c>
      <c r="B6819" t="s">
        <v>16287</v>
      </c>
      <c r="C6819" t="s">
        <v>16288</v>
      </c>
      <c r="F6819" t="str">
        <f>"5105426524"</f>
        <v>5105426524</v>
      </c>
      <c r="G6819" t="s">
        <v>16289</v>
      </c>
      <c r="H6819" t="s">
        <v>66</v>
      </c>
      <c r="I6819" t="s">
        <v>22</v>
      </c>
      <c r="J6819">
        <v>94702</v>
      </c>
      <c r="K6819">
        <v>1045</v>
      </c>
      <c r="L6819" t="s">
        <v>23</v>
      </c>
      <c r="M6819" t="s">
        <v>16289</v>
      </c>
      <c r="N6819" t="s">
        <v>66</v>
      </c>
      <c r="O6819" t="s">
        <v>22</v>
      </c>
      <c r="P6819">
        <v>94702</v>
      </c>
      <c r="Q6819">
        <v>1045</v>
      </c>
      <c r="R6819" t="s">
        <v>23</v>
      </c>
      <c r="S6819" s="1" t="s">
        <v>34218</v>
      </c>
    </row>
    <row r="6820" spans="1:19" x14ac:dyDescent="0.25">
      <c r="A6820">
        <v>100955837</v>
      </c>
      <c r="B6820" t="s">
        <v>1164</v>
      </c>
      <c r="C6820" t="s">
        <v>3854</v>
      </c>
      <c r="F6820" t="str">
        <f>"7406682907"</f>
        <v>7406682907</v>
      </c>
      <c r="G6820" t="s">
        <v>16290</v>
      </c>
      <c r="H6820" t="s">
        <v>5827</v>
      </c>
      <c r="I6820" t="s">
        <v>178</v>
      </c>
      <c r="J6820">
        <v>43080</v>
      </c>
      <c r="K6820">
        <v>9686</v>
      </c>
      <c r="L6820" t="s">
        <v>23</v>
      </c>
      <c r="M6820" t="s">
        <v>16290</v>
      </c>
      <c r="N6820" t="s">
        <v>5827</v>
      </c>
      <c r="O6820" t="s">
        <v>178</v>
      </c>
      <c r="P6820">
        <v>43080</v>
      </c>
      <c r="Q6820">
        <v>9686</v>
      </c>
      <c r="R6820" t="s">
        <v>23</v>
      </c>
      <c r="S6820" s="1" t="s">
        <v>34218</v>
      </c>
    </row>
    <row r="6821" spans="1:19" x14ac:dyDescent="0.25">
      <c r="A6821">
        <v>100961051</v>
      </c>
      <c r="B6821" t="s">
        <v>793</v>
      </c>
      <c r="C6821" t="s">
        <v>1542</v>
      </c>
      <c r="G6821" t="s">
        <v>16291</v>
      </c>
      <c r="H6821" t="s">
        <v>16292</v>
      </c>
      <c r="I6821" t="s">
        <v>140</v>
      </c>
      <c r="J6821">
        <v>48390</v>
      </c>
      <c r="K6821">
        <v>3066</v>
      </c>
      <c r="L6821" t="s">
        <v>23</v>
      </c>
      <c r="M6821" t="s">
        <v>16291</v>
      </c>
      <c r="N6821" t="s">
        <v>16292</v>
      </c>
      <c r="O6821" t="s">
        <v>140</v>
      </c>
      <c r="P6821">
        <v>48390</v>
      </c>
      <c r="Q6821">
        <v>3066</v>
      </c>
      <c r="R6821" t="s">
        <v>23</v>
      </c>
      <c r="S6821" s="1" t="s">
        <v>34218</v>
      </c>
    </row>
    <row r="6822" spans="1:19" x14ac:dyDescent="0.25">
      <c r="A6822">
        <v>100962263</v>
      </c>
      <c r="B6822" t="s">
        <v>16293</v>
      </c>
      <c r="C6822" t="s">
        <v>8920</v>
      </c>
      <c r="G6822" t="s">
        <v>16294</v>
      </c>
      <c r="H6822" t="s">
        <v>16295</v>
      </c>
      <c r="I6822" t="s">
        <v>33</v>
      </c>
      <c r="J6822">
        <v>15330</v>
      </c>
      <c r="K6822">
        <v>2601</v>
      </c>
      <c r="L6822" t="s">
        <v>23</v>
      </c>
      <c r="M6822" t="s">
        <v>16294</v>
      </c>
      <c r="N6822" t="s">
        <v>16295</v>
      </c>
      <c r="O6822" t="s">
        <v>33</v>
      </c>
      <c r="P6822">
        <v>15330</v>
      </c>
      <c r="Q6822">
        <v>2601</v>
      </c>
      <c r="R6822" t="s">
        <v>23</v>
      </c>
      <c r="S6822" s="1" t="s">
        <v>34218</v>
      </c>
    </row>
    <row r="6823" spans="1:19" x14ac:dyDescent="0.25">
      <c r="A6823">
        <v>100958062</v>
      </c>
      <c r="B6823" t="s">
        <v>16296</v>
      </c>
      <c r="C6823" t="s">
        <v>1879</v>
      </c>
      <c r="G6823" t="s">
        <v>16297</v>
      </c>
      <c r="H6823" t="s">
        <v>16298</v>
      </c>
      <c r="I6823" t="s">
        <v>22</v>
      </c>
      <c r="J6823">
        <v>95942</v>
      </c>
      <c r="K6823">
        <v>541</v>
      </c>
      <c r="L6823" t="s">
        <v>23</v>
      </c>
      <c r="M6823" t="s">
        <v>16297</v>
      </c>
      <c r="N6823" t="s">
        <v>16298</v>
      </c>
      <c r="O6823" t="s">
        <v>22</v>
      </c>
      <c r="P6823">
        <v>95942</v>
      </c>
      <c r="Q6823">
        <v>541</v>
      </c>
      <c r="R6823" t="s">
        <v>23</v>
      </c>
      <c r="S6823" s="1" t="s">
        <v>34218</v>
      </c>
    </row>
    <row r="6824" spans="1:19" x14ac:dyDescent="0.25">
      <c r="A6824">
        <v>100964331</v>
      </c>
      <c r="B6824" t="s">
        <v>9135</v>
      </c>
      <c r="C6824" t="s">
        <v>1450</v>
      </c>
      <c r="G6824" t="s">
        <v>16299</v>
      </c>
      <c r="H6824" t="s">
        <v>3768</v>
      </c>
      <c r="I6824" t="s">
        <v>22</v>
      </c>
      <c r="J6824">
        <v>94040</v>
      </c>
      <c r="K6824">
        <v>4003</v>
      </c>
      <c r="L6824" t="s">
        <v>23</v>
      </c>
      <c r="M6824" t="s">
        <v>16299</v>
      </c>
      <c r="N6824" t="s">
        <v>3768</v>
      </c>
      <c r="O6824" t="s">
        <v>22</v>
      </c>
      <c r="P6824">
        <v>94040</v>
      </c>
      <c r="Q6824">
        <v>4003</v>
      </c>
      <c r="R6824" t="s">
        <v>23</v>
      </c>
      <c r="S6824" s="1" t="s">
        <v>34218</v>
      </c>
    </row>
    <row r="6825" spans="1:19" x14ac:dyDescent="0.25">
      <c r="A6825">
        <v>101146734</v>
      </c>
      <c r="B6825" t="s">
        <v>16300</v>
      </c>
      <c r="C6825" t="s">
        <v>6572</v>
      </c>
      <c r="G6825" t="s">
        <v>16301</v>
      </c>
      <c r="H6825" t="s">
        <v>481</v>
      </c>
      <c r="I6825" t="s">
        <v>22</v>
      </c>
      <c r="J6825">
        <v>95123</v>
      </c>
      <c r="K6825">
        <v>2424</v>
      </c>
      <c r="L6825" t="s">
        <v>23</v>
      </c>
      <c r="M6825" t="s">
        <v>16301</v>
      </c>
      <c r="N6825" t="s">
        <v>481</v>
      </c>
      <c r="O6825" t="s">
        <v>22</v>
      </c>
      <c r="P6825">
        <v>95123</v>
      </c>
      <c r="Q6825">
        <v>2424</v>
      </c>
      <c r="R6825" t="s">
        <v>23</v>
      </c>
      <c r="S6825" s="1" t="s">
        <v>34218</v>
      </c>
    </row>
    <row r="6826" spans="1:19" x14ac:dyDescent="0.25">
      <c r="A6826">
        <v>101149214</v>
      </c>
      <c r="B6826" t="s">
        <v>16302</v>
      </c>
      <c r="C6826" t="s">
        <v>5671</v>
      </c>
      <c r="G6826" t="s">
        <v>16303</v>
      </c>
      <c r="H6826" t="s">
        <v>227</v>
      </c>
      <c r="I6826" t="s">
        <v>43</v>
      </c>
      <c r="J6826">
        <v>97201</v>
      </c>
      <c r="K6826">
        <v>6132</v>
      </c>
      <c r="L6826" t="s">
        <v>23</v>
      </c>
      <c r="M6826" t="s">
        <v>16303</v>
      </c>
      <c r="N6826" t="s">
        <v>227</v>
      </c>
      <c r="O6826" t="s">
        <v>43</v>
      </c>
      <c r="P6826">
        <v>97201</v>
      </c>
      <c r="Q6826">
        <v>6132</v>
      </c>
      <c r="R6826" t="s">
        <v>23</v>
      </c>
      <c r="S6826" s="1" t="s">
        <v>34218</v>
      </c>
    </row>
    <row r="6827" spans="1:19" x14ac:dyDescent="0.25">
      <c r="A6827">
        <v>101158587</v>
      </c>
      <c r="B6827" t="s">
        <v>16304</v>
      </c>
      <c r="C6827" t="s">
        <v>8472</v>
      </c>
      <c r="F6827" t="str">
        <f>"9737610855"</f>
        <v>9737610855</v>
      </c>
      <c r="G6827" t="s">
        <v>16305</v>
      </c>
      <c r="H6827" t="s">
        <v>15081</v>
      </c>
      <c r="I6827" t="s">
        <v>250</v>
      </c>
      <c r="J6827">
        <v>7079</v>
      </c>
      <c r="K6827">
        <v>2331</v>
      </c>
      <c r="L6827" t="s">
        <v>23</v>
      </c>
      <c r="M6827" t="s">
        <v>16305</v>
      </c>
      <c r="N6827" t="s">
        <v>15081</v>
      </c>
      <c r="O6827" t="s">
        <v>250</v>
      </c>
      <c r="P6827">
        <v>7079</v>
      </c>
      <c r="Q6827">
        <v>2331</v>
      </c>
      <c r="R6827" t="s">
        <v>23</v>
      </c>
      <c r="S6827" s="1" t="s">
        <v>34218</v>
      </c>
    </row>
    <row r="6828" spans="1:19" x14ac:dyDescent="0.25">
      <c r="A6828">
        <v>101162868</v>
      </c>
      <c r="B6828" t="s">
        <v>16306</v>
      </c>
      <c r="C6828" t="s">
        <v>49</v>
      </c>
      <c r="F6828" t="str">
        <f>"5612007538"</f>
        <v>5612007538</v>
      </c>
      <c r="G6828" t="s">
        <v>16307</v>
      </c>
      <c r="H6828" t="s">
        <v>16283</v>
      </c>
      <c r="I6828" t="s">
        <v>52</v>
      </c>
      <c r="J6828">
        <v>33436</v>
      </c>
      <c r="K6828">
        <v>7507</v>
      </c>
      <c r="L6828" t="s">
        <v>23</v>
      </c>
      <c r="M6828" t="s">
        <v>16307</v>
      </c>
      <c r="N6828" t="s">
        <v>16283</v>
      </c>
      <c r="O6828" t="s">
        <v>52</v>
      </c>
      <c r="P6828">
        <v>33436</v>
      </c>
      <c r="Q6828">
        <v>7507</v>
      </c>
      <c r="R6828" t="s">
        <v>23</v>
      </c>
      <c r="S6828" s="1" t="s">
        <v>34218</v>
      </c>
    </row>
    <row r="6829" spans="1:19" x14ac:dyDescent="0.25">
      <c r="A6829">
        <v>101161765</v>
      </c>
      <c r="B6829" t="s">
        <v>16308</v>
      </c>
      <c r="C6829" t="s">
        <v>6162</v>
      </c>
      <c r="G6829" t="s">
        <v>16309</v>
      </c>
      <c r="H6829" t="s">
        <v>134</v>
      </c>
      <c r="I6829" t="s">
        <v>135</v>
      </c>
      <c r="J6829">
        <v>60641</v>
      </c>
      <c r="K6829">
        <v>3139</v>
      </c>
      <c r="L6829" t="s">
        <v>23</v>
      </c>
      <c r="M6829" t="s">
        <v>16309</v>
      </c>
      <c r="N6829" t="s">
        <v>134</v>
      </c>
      <c r="O6829" t="s">
        <v>135</v>
      </c>
      <c r="P6829">
        <v>60641</v>
      </c>
      <c r="Q6829">
        <v>3139</v>
      </c>
      <c r="R6829" t="s">
        <v>23</v>
      </c>
      <c r="S6829" s="1" t="s">
        <v>34218</v>
      </c>
    </row>
    <row r="6830" spans="1:19" x14ac:dyDescent="0.25">
      <c r="A6830">
        <v>101165886</v>
      </c>
      <c r="B6830" t="s">
        <v>9348</v>
      </c>
      <c r="C6830" t="s">
        <v>1873</v>
      </c>
      <c r="G6830" t="s">
        <v>16310</v>
      </c>
      <c r="H6830" t="s">
        <v>595</v>
      </c>
      <c r="I6830" t="s">
        <v>22</v>
      </c>
      <c r="J6830">
        <v>94539</v>
      </c>
      <c r="K6830">
        <v>3738</v>
      </c>
      <c r="L6830" t="s">
        <v>23</v>
      </c>
      <c r="M6830" t="s">
        <v>16310</v>
      </c>
      <c r="N6830" t="s">
        <v>595</v>
      </c>
      <c r="O6830" t="s">
        <v>22</v>
      </c>
      <c r="P6830">
        <v>94539</v>
      </c>
      <c r="Q6830">
        <v>3738</v>
      </c>
      <c r="R6830" t="s">
        <v>23</v>
      </c>
      <c r="S6830" s="1" t="s">
        <v>34218</v>
      </c>
    </row>
    <row r="6831" spans="1:19" x14ac:dyDescent="0.25">
      <c r="A6831">
        <v>101164353</v>
      </c>
      <c r="B6831" t="s">
        <v>8048</v>
      </c>
      <c r="C6831" t="s">
        <v>16311</v>
      </c>
      <c r="G6831" t="s">
        <v>16312</v>
      </c>
      <c r="H6831" t="s">
        <v>16313</v>
      </c>
      <c r="I6831" t="s">
        <v>236</v>
      </c>
      <c r="J6831">
        <v>1026</v>
      </c>
      <c r="K6831">
        <v>9737</v>
      </c>
      <c r="L6831" t="s">
        <v>23</v>
      </c>
      <c r="M6831" t="s">
        <v>16312</v>
      </c>
      <c r="N6831" t="s">
        <v>16313</v>
      </c>
      <c r="O6831" t="s">
        <v>236</v>
      </c>
      <c r="P6831">
        <v>1026</v>
      </c>
      <c r="Q6831">
        <v>9737</v>
      </c>
      <c r="R6831" t="s">
        <v>23</v>
      </c>
      <c r="S6831" s="1" t="s">
        <v>34218</v>
      </c>
    </row>
    <row r="6832" spans="1:19" x14ac:dyDescent="0.25">
      <c r="A6832">
        <v>101016431</v>
      </c>
      <c r="B6832" t="s">
        <v>1376</v>
      </c>
      <c r="C6832" t="s">
        <v>3590</v>
      </c>
      <c r="G6832" t="s">
        <v>16314</v>
      </c>
      <c r="H6832" t="s">
        <v>615</v>
      </c>
      <c r="I6832" t="s">
        <v>22</v>
      </c>
      <c r="J6832">
        <v>92404</v>
      </c>
      <c r="K6832">
        <v>2919</v>
      </c>
      <c r="L6832" t="s">
        <v>23</v>
      </c>
      <c r="M6832" t="s">
        <v>16314</v>
      </c>
      <c r="N6832" t="s">
        <v>615</v>
      </c>
      <c r="O6832" t="s">
        <v>22</v>
      </c>
      <c r="P6832">
        <v>92404</v>
      </c>
      <c r="Q6832">
        <v>2919</v>
      </c>
      <c r="R6832" t="s">
        <v>23</v>
      </c>
      <c r="S6832" s="1" t="s">
        <v>34218</v>
      </c>
    </row>
    <row r="6833" spans="1:19" x14ac:dyDescent="0.25">
      <c r="A6833">
        <v>101205530</v>
      </c>
      <c r="B6833" t="s">
        <v>16315</v>
      </c>
      <c r="C6833" t="s">
        <v>644</v>
      </c>
      <c r="G6833" t="s">
        <v>16316</v>
      </c>
      <c r="H6833" t="s">
        <v>6813</v>
      </c>
      <c r="I6833" t="s">
        <v>135</v>
      </c>
      <c r="J6833">
        <v>60440</v>
      </c>
      <c r="K6833">
        <v>2757</v>
      </c>
      <c r="L6833" t="s">
        <v>23</v>
      </c>
      <c r="M6833" t="s">
        <v>16316</v>
      </c>
      <c r="N6833" t="s">
        <v>6813</v>
      </c>
      <c r="O6833" t="s">
        <v>135</v>
      </c>
      <c r="P6833">
        <v>60440</v>
      </c>
      <c r="Q6833">
        <v>2757</v>
      </c>
      <c r="R6833" t="s">
        <v>23</v>
      </c>
      <c r="S6833" s="1" t="s">
        <v>34218</v>
      </c>
    </row>
    <row r="6834" spans="1:19" x14ac:dyDescent="0.25">
      <c r="A6834">
        <v>101202153</v>
      </c>
      <c r="B6834" t="s">
        <v>16317</v>
      </c>
      <c r="C6834" t="s">
        <v>1075</v>
      </c>
      <c r="G6834" t="s">
        <v>16318</v>
      </c>
      <c r="H6834" t="s">
        <v>134</v>
      </c>
      <c r="I6834" t="s">
        <v>135</v>
      </c>
      <c r="J6834">
        <v>60660</v>
      </c>
      <c r="K6834">
        <v>2504</v>
      </c>
      <c r="L6834" t="s">
        <v>23</v>
      </c>
      <c r="M6834" t="s">
        <v>16318</v>
      </c>
      <c r="N6834" t="s">
        <v>134</v>
      </c>
      <c r="O6834" t="s">
        <v>135</v>
      </c>
      <c r="P6834">
        <v>60660</v>
      </c>
      <c r="Q6834">
        <v>2504</v>
      </c>
      <c r="R6834" t="s">
        <v>23</v>
      </c>
      <c r="S6834" s="1" t="s">
        <v>34218</v>
      </c>
    </row>
    <row r="6835" spans="1:19" x14ac:dyDescent="0.25">
      <c r="A6835">
        <v>101193225</v>
      </c>
      <c r="B6835" t="s">
        <v>16319</v>
      </c>
      <c r="C6835" t="s">
        <v>16320</v>
      </c>
      <c r="G6835" t="s">
        <v>16321</v>
      </c>
      <c r="H6835" t="s">
        <v>1431</v>
      </c>
      <c r="I6835" t="s">
        <v>639</v>
      </c>
      <c r="J6835">
        <v>87501</v>
      </c>
      <c r="K6835">
        <v>2637</v>
      </c>
      <c r="L6835" t="s">
        <v>23</v>
      </c>
      <c r="M6835" t="s">
        <v>16321</v>
      </c>
      <c r="N6835" t="s">
        <v>1431</v>
      </c>
      <c r="O6835" t="s">
        <v>639</v>
      </c>
      <c r="P6835">
        <v>87501</v>
      </c>
      <c r="Q6835">
        <v>2637</v>
      </c>
      <c r="R6835" t="s">
        <v>23</v>
      </c>
      <c r="S6835" s="1" t="s">
        <v>34218</v>
      </c>
    </row>
    <row r="6836" spans="1:19" x14ac:dyDescent="0.25">
      <c r="A6836">
        <v>101204966</v>
      </c>
      <c r="B6836" t="s">
        <v>16322</v>
      </c>
      <c r="C6836" t="s">
        <v>16323</v>
      </c>
      <c r="G6836" t="s">
        <v>16324</v>
      </c>
      <c r="H6836" t="s">
        <v>16325</v>
      </c>
      <c r="I6836" t="s">
        <v>140</v>
      </c>
      <c r="J6836">
        <v>48192</v>
      </c>
      <c r="K6836">
        <v>5228</v>
      </c>
      <c r="L6836" t="s">
        <v>23</v>
      </c>
      <c r="M6836" t="s">
        <v>16324</v>
      </c>
      <c r="N6836" t="s">
        <v>16325</v>
      </c>
      <c r="O6836" t="s">
        <v>140</v>
      </c>
      <c r="P6836">
        <v>48192</v>
      </c>
      <c r="Q6836">
        <v>5228</v>
      </c>
      <c r="R6836" t="s">
        <v>23</v>
      </c>
      <c r="S6836" s="1" t="s">
        <v>34218</v>
      </c>
    </row>
    <row r="6837" spans="1:19" x14ac:dyDescent="0.25">
      <c r="A6837">
        <v>101206711</v>
      </c>
      <c r="B6837" t="s">
        <v>16326</v>
      </c>
      <c r="C6837" t="s">
        <v>1460</v>
      </c>
      <c r="G6837" t="s">
        <v>16327</v>
      </c>
      <c r="H6837" t="s">
        <v>11002</v>
      </c>
      <c r="I6837" t="s">
        <v>43</v>
      </c>
      <c r="J6837">
        <v>97470</v>
      </c>
      <c r="K6837">
        <v>9473</v>
      </c>
      <c r="L6837" t="s">
        <v>23</v>
      </c>
      <c r="M6837" t="s">
        <v>16327</v>
      </c>
      <c r="N6837" t="s">
        <v>11002</v>
      </c>
      <c r="O6837" t="s">
        <v>43</v>
      </c>
      <c r="P6837">
        <v>97470</v>
      </c>
      <c r="Q6837">
        <v>9473</v>
      </c>
      <c r="R6837" t="s">
        <v>23</v>
      </c>
      <c r="S6837" s="1" t="s">
        <v>34218</v>
      </c>
    </row>
    <row r="6838" spans="1:19" x14ac:dyDescent="0.25">
      <c r="A6838">
        <v>101208887</v>
      </c>
      <c r="B6838" t="s">
        <v>16328</v>
      </c>
      <c r="C6838" t="s">
        <v>1828</v>
      </c>
      <c r="G6838" t="s">
        <v>16329</v>
      </c>
      <c r="H6838" t="s">
        <v>1863</v>
      </c>
      <c r="I6838" t="s">
        <v>241</v>
      </c>
      <c r="J6838">
        <v>66103</v>
      </c>
      <c r="K6838">
        <v>2947</v>
      </c>
      <c r="L6838" t="s">
        <v>23</v>
      </c>
      <c r="M6838" t="s">
        <v>16329</v>
      </c>
      <c r="N6838" t="s">
        <v>1863</v>
      </c>
      <c r="O6838" t="s">
        <v>241</v>
      </c>
      <c r="P6838">
        <v>66103</v>
      </c>
      <c r="Q6838">
        <v>2947</v>
      </c>
      <c r="R6838" t="s">
        <v>23</v>
      </c>
      <c r="S6838" s="1" t="s">
        <v>34218</v>
      </c>
    </row>
    <row r="6839" spans="1:19" x14ac:dyDescent="0.25">
      <c r="A6839">
        <v>101212759</v>
      </c>
      <c r="B6839" t="s">
        <v>16330</v>
      </c>
      <c r="C6839" t="s">
        <v>30</v>
      </c>
      <c r="F6839" t="str">
        <f>"5415820632"</f>
        <v>5415820632</v>
      </c>
      <c r="G6839" t="s">
        <v>16331</v>
      </c>
      <c r="H6839" t="s">
        <v>16332</v>
      </c>
      <c r="I6839" t="s">
        <v>43</v>
      </c>
      <c r="J6839">
        <v>97537</v>
      </c>
      <c r="K6839">
        <v>9771</v>
      </c>
      <c r="L6839" t="s">
        <v>23</v>
      </c>
      <c r="M6839" t="s">
        <v>16331</v>
      </c>
      <c r="N6839" t="s">
        <v>16332</v>
      </c>
      <c r="O6839" t="s">
        <v>43</v>
      </c>
      <c r="P6839">
        <v>97537</v>
      </c>
      <c r="Q6839">
        <v>9771</v>
      </c>
      <c r="R6839" t="s">
        <v>23</v>
      </c>
      <c r="S6839" s="1" t="s">
        <v>34218</v>
      </c>
    </row>
    <row r="6840" spans="1:19" x14ac:dyDescent="0.25">
      <c r="A6840">
        <v>101210250</v>
      </c>
      <c r="B6840" t="s">
        <v>16333</v>
      </c>
      <c r="C6840" t="s">
        <v>119</v>
      </c>
      <c r="G6840" t="s">
        <v>16334</v>
      </c>
      <c r="H6840" t="s">
        <v>3959</v>
      </c>
      <c r="I6840" t="s">
        <v>52</v>
      </c>
      <c r="J6840">
        <v>34692</v>
      </c>
      <c r="K6840">
        <v>1101</v>
      </c>
      <c r="L6840" t="s">
        <v>23</v>
      </c>
      <c r="M6840" t="s">
        <v>16334</v>
      </c>
      <c r="N6840" t="s">
        <v>3959</v>
      </c>
      <c r="O6840" t="s">
        <v>52</v>
      </c>
      <c r="P6840">
        <v>34692</v>
      </c>
      <c r="Q6840">
        <v>1101</v>
      </c>
      <c r="R6840" t="s">
        <v>23</v>
      </c>
      <c r="S6840" s="1" t="s">
        <v>34218</v>
      </c>
    </row>
    <row r="6841" spans="1:19" x14ac:dyDescent="0.25">
      <c r="A6841">
        <v>101213677</v>
      </c>
      <c r="B6841" t="s">
        <v>16335</v>
      </c>
      <c r="C6841" t="s">
        <v>2849</v>
      </c>
      <c r="G6841" t="s">
        <v>16336</v>
      </c>
      <c r="H6841" t="s">
        <v>16337</v>
      </c>
      <c r="I6841" t="s">
        <v>236</v>
      </c>
      <c r="J6841">
        <v>2066</v>
      </c>
      <c r="K6841">
        <v>4725</v>
      </c>
      <c r="L6841" t="s">
        <v>23</v>
      </c>
      <c r="M6841" t="s">
        <v>16336</v>
      </c>
      <c r="N6841" t="s">
        <v>16337</v>
      </c>
      <c r="O6841" t="s">
        <v>236</v>
      </c>
      <c r="P6841">
        <v>2066</v>
      </c>
      <c r="Q6841">
        <v>4725</v>
      </c>
      <c r="R6841" t="s">
        <v>23</v>
      </c>
      <c r="S6841" s="1" t="s">
        <v>34218</v>
      </c>
    </row>
    <row r="6842" spans="1:19" x14ac:dyDescent="0.25">
      <c r="A6842">
        <v>101213905</v>
      </c>
      <c r="B6842" t="s">
        <v>793</v>
      </c>
      <c r="C6842" t="s">
        <v>16338</v>
      </c>
      <c r="G6842" t="s">
        <v>16339</v>
      </c>
      <c r="H6842" t="s">
        <v>16340</v>
      </c>
      <c r="I6842" t="s">
        <v>353</v>
      </c>
      <c r="J6842">
        <v>3840</v>
      </c>
      <c r="K6842">
        <v>2302</v>
      </c>
      <c r="L6842" t="s">
        <v>23</v>
      </c>
      <c r="M6842" t="s">
        <v>16339</v>
      </c>
      <c r="N6842" t="s">
        <v>16340</v>
      </c>
      <c r="O6842" t="s">
        <v>353</v>
      </c>
      <c r="P6842">
        <v>3840</v>
      </c>
      <c r="Q6842">
        <v>2302</v>
      </c>
      <c r="R6842" t="s">
        <v>23</v>
      </c>
      <c r="S6842" s="1" t="s">
        <v>34218</v>
      </c>
    </row>
    <row r="6843" spans="1:19" x14ac:dyDescent="0.25">
      <c r="A6843">
        <v>101215832</v>
      </c>
      <c r="B6843" t="s">
        <v>3740</v>
      </c>
      <c r="C6843" t="s">
        <v>579</v>
      </c>
      <c r="G6843" t="s">
        <v>16341</v>
      </c>
      <c r="H6843" t="s">
        <v>12513</v>
      </c>
      <c r="I6843" t="s">
        <v>236</v>
      </c>
      <c r="J6843">
        <v>1201</v>
      </c>
      <c r="K6843">
        <v>5709</v>
      </c>
      <c r="L6843" t="s">
        <v>23</v>
      </c>
      <c r="M6843" t="s">
        <v>16341</v>
      </c>
      <c r="N6843" t="s">
        <v>12513</v>
      </c>
      <c r="O6843" t="s">
        <v>236</v>
      </c>
      <c r="P6843">
        <v>1201</v>
      </c>
      <c r="Q6843">
        <v>5709</v>
      </c>
      <c r="R6843" t="s">
        <v>23</v>
      </c>
      <c r="S6843" s="1" t="s">
        <v>34218</v>
      </c>
    </row>
    <row r="6844" spans="1:19" x14ac:dyDescent="0.25">
      <c r="A6844">
        <v>101211928</v>
      </c>
      <c r="B6844" t="s">
        <v>7830</v>
      </c>
      <c r="C6844" t="s">
        <v>16342</v>
      </c>
      <c r="G6844" t="s">
        <v>16343</v>
      </c>
      <c r="H6844" t="s">
        <v>1531</v>
      </c>
      <c r="I6844" t="s">
        <v>84</v>
      </c>
      <c r="J6844">
        <v>98105</v>
      </c>
      <c r="K6844">
        <v>4115</v>
      </c>
      <c r="L6844" t="s">
        <v>23</v>
      </c>
      <c r="M6844" t="s">
        <v>16343</v>
      </c>
      <c r="N6844" t="s">
        <v>1531</v>
      </c>
      <c r="O6844" t="s">
        <v>84</v>
      </c>
      <c r="P6844">
        <v>98105</v>
      </c>
      <c r="Q6844">
        <v>4115</v>
      </c>
      <c r="R6844" t="s">
        <v>23</v>
      </c>
      <c r="S6844" s="1" t="s">
        <v>34218</v>
      </c>
    </row>
    <row r="6845" spans="1:19" x14ac:dyDescent="0.25">
      <c r="A6845">
        <v>101217975</v>
      </c>
      <c r="B6845" t="s">
        <v>15738</v>
      </c>
      <c r="C6845" t="s">
        <v>286</v>
      </c>
      <c r="G6845" t="s">
        <v>16344</v>
      </c>
      <c r="H6845" t="s">
        <v>1261</v>
      </c>
      <c r="I6845" t="s">
        <v>126</v>
      </c>
      <c r="J6845">
        <v>63025</v>
      </c>
      <c r="K6845">
        <v>1903</v>
      </c>
      <c r="L6845" t="s">
        <v>23</v>
      </c>
      <c r="M6845" t="s">
        <v>16344</v>
      </c>
      <c r="N6845" t="s">
        <v>1261</v>
      </c>
      <c r="O6845" t="s">
        <v>126</v>
      </c>
      <c r="P6845">
        <v>63025</v>
      </c>
      <c r="Q6845">
        <v>1903</v>
      </c>
      <c r="R6845" t="s">
        <v>23</v>
      </c>
      <c r="S6845" s="1" t="s">
        <v>34218</v>
      </c>
    </row>
    <row r="6846" spans="1:19" x14ac:dyDescent="0.25">
      <c r="A6846">
        <v>101038998</v>
      </c>
      <c r="B6846" t="s">
        <v>16345</v>
      </c>
      <c r="C6846" t="s">
        <v>1327</v>
      </c>
      <c r="G6846" t="s">
        <v>16346</v>
      </c>
      <c r="H6846" t="s">
        <v>3680</v>
      </c>
      <c r="I6846" t="s">
        <v>565</v>
      </c>
      <c r="J6846">
        <v>52556</v>
      </c>
      <c r="K6846">
        <v>30</v>
      </c>
      <c r="L6846" t="s">
        <v>23</v>
      </c>
      <c r="M6846" t="s">
        <v>16346</v>
      </c>
      <c r="N6846" t="s">
        <v>3680</v>
      </c>
      <c r="O6846" t="s">
        <v>565</v>
      </c>
      <c r="P6846">
        <v>52556</v>
      </c>
      <c r="Q6846">
        <v>30</v>
      </c>
      <c r="R6846" t="s">
        <v>23</v>
      </c>
      <c r="S6846" s="1" t="s">
        <v>34218</v>
      </c>
    </row>
    <row r="6847" spans="1:19" x14ac:dyDescent="0.25">
      <c r="A6847">
        <v>101034182</v>
      </c>
      <c r="B6847" t="s">
        <v>11301</v>
      </c>
      <c r="C6847" t="s">
        <v>16347</v>
      </c>
      <c r="G6847" t="s">
        <v>16348</v>
      </c>
      <c r="H6847" t="s">
        <v>650</v>
      </c>
      <c r="I6847" t="s">
        <v>22</v>
      </c>
      <c r="J6847">
        <v>95864</v>
      </c>
      <c r="K6847">
        <v>2950</v>
      </c>
      <c r="L6847" t="s">
        <v>23</v>
      </c>
      <c r="M6847" t="s">
        <v>16348</v>
      </c>
      <c r="N6847" t="s">
        <v>650</v>
      </c>
      <c r="O6847" t="s">
        <v>22</v>
      </c>
      <c r="P6847">
        <v>95864</v>
      </c>
      <c r="Q6847">
        <v>2950</v>
      </c>
      <c r="R6847" t="s">
        <v>23</v>
      </c>
      <c r="S6847" s="1" t="s">
        <v>34218</v>
      </c>
    </row>
    <row r="6848" spans="1:19" x14ac:dyDescent="0.25">
      <c r="A6848">
        <v>101042212</v>
      </c>
      <c r="B6848" t="s">
        <v>96</v>
      </c>
      <c r="C6848" t="s">
        <v>1309</v>
      </c>
      <c r="G6848" t="s">
        <v>16349</v>
      </c>
      <c r="H6848" t="s">
        <v>529</v>
      </c>
      <c r="I6848" t="s">
        <v>71</v>
      </c>
      <c r="J6848">
        <v>80537</v>
      </c>
      <c r="K6848">
        <v>9006</v>
      </c>
      <c r="L6848" t="s">
        <v>23</v>
      </c>
      <c r="M6848" t="s">
        <v>16349</v>
      </c>
      <c r="N6848" t="s">
        <v>529</v>
      </c>
      <c r="O6848" t="s">
        <v>71</v>
      </c>
      <c r="P6848">
        <v>80537</v>
      </c>
      <c r="Q6848">
        <v>9006</v>
      </c>
      <c r="R6848" t="s">
        <v>23</v>
      </c>
      <c r="S6848" s="1" t="s">
        <v>34218</v>
      </c>
    </row>
    <row r="6849" spans="1:19" x14ac:dyDescent="0.25">
      <c r="A6849">
        <v>101041319</v>
      </c>
      <c r="B6849" t="s">
        <v>16350</v>
      </c>
      <c r="C6849" t="s">
        <v>11755</v>
      </c>
      <c r="F6849" t="str">
        <f>"8479497236"</f>
        <v>8479497236</v>
      </c>
      <c r="G6849" t="s">
        <v>16351</v>
      </c>
      <c r="H6849" t="s">
        <v>16352</v>
      </c>
      <c r="I6849" t="s">
        <v>135</v>
      </c>
      <c r="J6849">
        <v>60060</v>
      </c>
      <c r="K6849">
        <v>3372</v>
      </c>
      <c r="L6849" t="s">
        <v>23</v>
      </c>
      <c r="M6849" t="s">
        <v>16351</v>
      </c>
      <c r="N6849" t="s">
        <v>16352</v>
      </c>
      <c r="O6849" t="s">
        <v>135</v>
      </c>
      <c r="P6849">
        <v>60060</v>
      </c>
      <c r="Q6849">
        <v>3372</v>
      </c>
      <c r="R6849" t="s">
        <v>23</v>
      </c>
      <c r="S6849" s="1" t="s">
        <v>34218</v>
      </c>
    </row>
    <row r="6850" spans="1:19" x14ac:dyDescent="0.25">
      <c r="A6850">
        <v>101042347</v>
      </c>
      <c r="B6850" t="s">
        <v>16353</v>
      </c>
      <c r="C6850" t="s">
        <v>16354</v>
      </c>
      <c r="G6850" t="s">
        <v>16355</v>
      </c>
      <c r="H6850" t="s">
        <v>1105</v>
      </c>
      <c r="I6850" t="s">
        <v>117</v>
      </c>
      <c r="J6850">
        <v>10467</v>
      </c>
      <c r="K6850">
        <v>1526</v>
      </c>
      <c r="L6850" t="s">
        <v>23</v>
      </c>
      <c r="M6850" t="s">
        <v>16355</v>
      </c>
      <c r="N6850" t="s">
        <v>1105</v>
      </c>
      <c r="O6850" t="s">
        <v>117</v>
      </c>
      <c r="P6850">
        <v>10467</v>
      </c>
      <c r="Q6850">
        <v>1526</v>
      </c>
      <c r="R6850" t="s">
        <v>23</v>
      </c>
      <c r="S6850" s="1" t="s">
        <v>34218</v>
      </c>
    </row>
    <row r="6851" spans="1:19" x14ac:dyDescent="0.25">
      <c r="A6851">
        <v>101045203</v>
      </c>
      <c r="B6851" t="s">
        <v>1164</v>
      </c>
      <c r="C6851" t="s">
        <v>1205</v>
      </c>
      <c r="G6851" t="s">
        <v>16356</v>
      </c>
      <c r="H6851" t="s">
        <v>9122</v>
      </c>
      <c r="I6851" t="s">
        <v>702</v>
      </c>
      <c r="J6851">
        <v>89701</v>
      </c>
      <c r="K6851">
        <v>8543</v>
      </c>
      <c r="L6851" t="s">
        <v>23</v>
      </c>
      <c r="M6851" t="s">
        <v>16356</v>
      </c>
      <c r="N6851" t="s">
        <v>9122</v>
      </c>
      <c r="O6851" t="s">
        <v>702</v>
      </c>
      <c r="P6851">
        <v>89701</v>
      </c>
      <c r="Q6851">
        <v>8543</v>
      </c>
      <c r="R6851" t="s">
        <v>23</v>
      </c>
      <c r="S6851" s="1" t="s">
        <v>34218</v>
      </c>
    </row>
    <row r="6852" spans="1:19" x14ac:dyDescent="0.25">
      <c r="A6852">
        <v>101045176</v>
      </c>
      <c r="B6852" t="s">
        <v>10672</v>
      </c>
      <c r="C6852" t="s">
        <v>575</v>
      </c>
      <c r="G6852" t="s">
        <v>16357</v>
      </c>
      <c r="H6852" t="s">
        <v>481</v>
      </c>
      <c r="I6852" t="s">
        <v>22</v>
      </c>
      <c r="J6852">
        <v>95130</v>
      </c>
      <c r="K6852">
        <v>1034</v>
      </c>
      <c r="L6852" t="s">
        <v>23</v>
      </c>
      <c r="M6852" t="s">
        <v>16357</v>
      </c>
      <c r="N6852" t="s">
        <v>481</v>
      </c>
      <c r="O6852" t="s">
        <v>22</v>
      </c>
      <c r="P6852">
        <v>95130</v>
      </c>
      <c r="Q6852">
        <v>1034</v>
      </c>
      <c r="R6852" t="s">
        <v>23</v>
      </c>
      <c r="S6852" s="1" t="s">
        <v>34218</v>
      </c>
    </row>
    <row r="6853" spans="1:19" x14ac:dyDescent="0.25">
      <c r="A6853">
        <v>101042780</v>
      </c>
      <c r="B6853" t="s">
        <v>16358</v>
      </c>
      <c r="C6853" t="s">
        <v>8984</v>
      </c>
      <c r="G6853" t="s">
        <v>16359</v>
      </c>
      <c r="H6853" t="s">
        <v>4162</v>
      </c>
      <c r="I6853" t="s">
        <v>43</v>
      </c>
      <c r="J6853">
        <v>97123</v>
      </c>
      <c r="K6853">
        <v>5192</v>
      </c>
      <c r="L6853" t="s">
        <v>23</v>
      </c>
      <c r="M6853" t="s">
        <v>16359</v>
      </c>
      <c r="N6853" t="s">
        <v>4162</v>
      </c>
      <c r="O6853" t="s">
        <v>43</v>
      </c>
      <c r="P6853">
        <v>97123</v>
      </c>
      <c r="Q6853">
        <v>5192</v>
      </c>
      <c r="R6853" t="s">
        <v>23</v>
      </c>
      <c r="S6853" s="1" t="s">
        <v>34218</v>
      </c>
    </row>
    <row r="6854" spans="1:19" x14ac:dyDescent="0.25">
      <c r="A6854">
        <v>101234197</v>
      </c>
      <c r="B6854" t="s">
        <v>289</v>
      </c>
      <c r="C6854" t="s">
        <v>16360</v>
      </c>
      <c r="G6854" t="s">
        <v>16361</v>
      </c>
      <c r="H6854" t="s">
        <v>13791</v>
      </c>
      <c r="I6854" t="s">
        <v>84</v>
      </c>
      <c r="J6854">
        <v>98635</v>
      </c>
      <c r="K6854">
        <v>9509</v>
      </c>
      <c r="L6854" t="s">
        <v>23</v>
      </c>
      <c r="M6854" t="s">
        <v>16361</v>
      </c>
      <c r="N6854" t="s">
        <v>13791</v>
      </c>
      <c r="O6854" t="s">
        <v>84</v>
      </c>
      <c r="P6854">
        <v>98635</v>
      </c>
      <c r="Q6854">
        <v>9509</v>
      </c>
      <c r="R6854" t="s">
        <v>23</v>
      </c>
      <c r="S6854" s="1" t="s">
        <v>34218</v>
      </c>
    </row>
    <row r="6855" spans="1:19" x14ac:dyDescent="0.25">
      <c r="A6855">
        <v>101233096</v>
      </c>
      <c r="B6855" t="s">
        <v>16362</v>
      </c>
      <c r="C6855" t="s">
        <v>627</v>
      </c>
      <c r="F6855" t="str">
        <f>"8059550243"</f>
        <v>8059550243</v>
      </c>
      <c r="G6855" t="s">
        <v>16363</v>
      </c>
      <c r="H6855" t="s">
        <v>454</v>
      </c>
      <c r="I6855" t="s">
        <v>22</v>
      </c>
      <c r="J6855">
        <v>93063</v>
      </c>
      <c r="K6855">
        <v>3566</v>
      </c>
      <c r="L6855" t="s">
        <v>23</v>
      </c>
      <c r="M6855" t="s">
        <v>16363</v>
      </c>
      <c r="N6855" t="s">
        <v>454</v>
      </c>
      <c r="O6855" t="s">
        <v>22</v>
      </c>
      <c r="P6855">
        <v>93063</v>
      </c>
      <c r="Q6855">
        <v>3566</v>
      </c>
      <c r="R6855" t="s">
        <v>23</v>
      </c>
      <c r="S6855" s="1" t="s">
        <v>34218</v>
      </c>
    </row>
    <row r="6856" spans="1:19" x14ac:dyDescent="0.25">
      <c r="A6856">
        <v>101242832</v>
      </c>
      <c r="B6856" t="s">
        <v>16364</v>
      </c>
      <c r="C6856" t="s">
        <v>498</v>
      </c>
      <c r="G6856" t="s">
        <v>16365</v>
      </c>
      <c r="H6856" t="s">
        <v>16366</v>
      </c>
      <c r="I6856" t="s">
        <v>117</v>
      </c>
      <c r="J6856">
        <v>11542</v>
      </c>
      <c r="K6856">
        <v>1802</v>
      </c>
      <c r="L6856" t="s">
        <v>23</v>
      </c>
      <c r="M6856" t="s">
        <v>16365</v>
      </c>
      <c r="N6856" t="s">
        <v>16366</v>
      </c>
      <c r="O6856" t="s">
        <v>117</v>
      </c>
      <c r="P6856">
        <v>11542</v>
      </c>
      <c r="Q6856">
        <v>1802</v>
      </c>
      <c r="R6856" t="s">
        <v>23</v>
      </c>
      <c r="S6856" s="1" t="s">
        <v>34218</v>
      </c>
    </row>
    <row r="6857" spans="1:19" x14ac:dyDescent="0.25">
      <c r="A6857">
        <v>101245783</v>
      </c>
      <c r="B6857" t="s">
        <v>4984</v>
      </c>
      <c r="C6857" t="s">
        <v>16367</v>
      </c>
      <c r="G6857" t="s">
        <v>16368</v>
      </c>
      <c r="H6857" t="s">
        <v>6400</v>
      </c>
      <c r="I6857" t="s">
        <v>446</v>
      </c>
      <c r="J6857">
        <v>27528</v>
      </c>
      <c r="K6857">
        <v>1183</v>
      </c>
      <c r="L6857" t="s">
        <v>23</v>
      </c>
      <c r="M6857" t="s">
        <v>16368</v>
      </c>
      <c r="N6857" t="s">
        <v>6400</v>
      </c>
      <c r="O6857" t="s">
        <v>446</v>
      </c>
      <c r="P6857">
        <v>27528</v>
      </c>
      <c r="Q6857">
        <v>1183</v>
      </c>
      <c r="R6857" t="s">
        <v>23</v>
      </c>
      <c r="S6857" s="1" t="s">
        <v>34218</v>
      </c>
    </row>
    <row r="6858" spans="1:19" x14ac:dyDescent="0.25">
      <c r="A6858">
        <v>101241342</v>
      </c>
      <c r="B6858" t="s">
        <v>16369</v>
      </c>
      <c r="C6858" t="s">
        <v>4184</v>
      </c>
      <c r="G6858" t="s">
        <v>16370</v>
      </c>
      <c r="H6858" t="s">
        <v>16371</v>
      </c>
      <c r="I6858" t="s">
        <v>178</v>
      </c>
      <c r="J6858">
        <v>43537</v>
      </c>
      <c r="K6858">
        <v>2809</v>
      </c>
      <c r="L6858" t="s">
        <v>23</v>
      </c>
      <c r="M6858" t="s">
        <v>16370</v>
      </c>
      <c r="N6858" t="s">
        <v>16371</v>
      </c>
      <c r="O6858" t="s">
        <v>178</v>
      </c>
      <c r="P6858">
        <v>43537</v>
      </c>
      <c r="Q6858">
        <v>2809</v>
      </c>
      <c r="R6858" t="s">
        <v>23</v>
      </c>
      <c r="S6858" s="1" t="s">
        <v>34218</v>
      </c>
    </row>
    <row r="6859" spans="1:19" x14ac:dyDescent="0.25">
      <c r="A6859">
        <v>101243040</v>
      </c>
      <c r="B6859" t="s">
        <v>16372</v>
      </c>
      <c r="C6859" t="s">
        <v>16373</v>
      </c>
      <c r="G6859" t="s">
        <v>16374</v>
      </c>
      <c r="H6859" t="s">
        <v>10043</v>
      </c>
      <c r="I6859" t="s">
        <v>2537</v>
      </c>
      <c r="J6859">
        <v>72223</v>
      </c>
      <c r="K6859">
        <v>9268</v>
      </c>
      <c r="L6859" t="s">
        <v>23</v>
      </c>
      <c r="M6859" t="s">
        <v>16374</v>
      </c>
      <c r="N6859" t="s">
        <v>10043</v>
      </c>
      <c r="O6859" t="s">
        <v>2537</v>
      </c>
      <c r="P6859">
        <v>72223</v>
      </c>
      <c r="Q6859">
        <v>9268</v>
      </c>
      <c r="R6859" t="s">
        <v>23</v>
      </c>
      <c r="S6859" s="1" t="s">
        <v>34218</v>
      </c>
    </row>
    <row r="6860" spans="1:19" x14ac:dyDescent="0.25">
      <c r="A6860">
        <v>101243088</v>
      </c>
      <c r="B6860" t="s">
        <v>16375</v>
      </c>
      <c r="C6860" t="s">
        <v>16376</v>
      </c>
      <c r="G6860" t="s">
        <v>16377</v>
      </c>
      <c r="H6860" t="s">
        <v>4235</v>
      </c>
      <c r="I6860" t="s">
        <v>984</v>
      </c>
      <c r="J6860">
        <v>96815</v>
      </c>
      <c r="K6860">
        <v>4736</v>
      </c>
      <c r="L6860" t="s">
        <v>23</v>
      </c>
      <c r="M6860" t="s">
        <v>16377</v>
      </c>
      <c r="N6860" t="s">
        <v>4235</v>
      </c>
      <c r="O6860" t="s">
        <v>984</v>
      </c>
      <c r="P6860">
        <v>96815</v>
      </c>
      <c r="Q6860">
        <v>4736</v>
      </c>
      <c r="R6860" t="s">
        <v>23</v>
      </c>
      <c r="S6860" s="1" t="s">
        <v>34218</v>
      </c>
    </row>
    <row r="6861" spans="1:19" x14ac:dyDescent="0.25">
      <c r="A6861">
        <v>101165924</v>
      </c>
      <c r="B6861" t="s">
        <v>16378</v>
      </c>
      <c r="C6861" t="s">
        <v>158</v>
      </c>
      <c r="G6861" t="s">
        <v>16379</v>
      </c>
      <c r="H6861" t="s">
        <v>10992</v>
      </c>
      <c r="I6861" t="s">
        <v>1000</v>
      </c>
      <c r="J6861">
        <v>59701</v>
      </c>
      <c r="K6861">
        <v>2437</v>
      </c>
      <c r="L6861" t="s">
        <v>23</v>
      </c>
      <c r="M6861" t="s">
        <v>16379</v>
      </c>
      <c r="N6861" t="s">
        <v>10992</v>
      </c>
      <c r="O6861" t="s">
        <v>1000</v>
      </c>
      <c r="P6861">
        <v>59701</v>
      </c>
      <c r="Q6861">
        <v>2437</v>
      </c>
      <c r="R6861" t="s">
        <v>23</v>
      </c>
      <c r="S6861" s="1" t="s">
        <v>34218</v>
      </c>
    </row>
    <row r="6862" spans="1:19" x14ac:dyDescent="0.25">
      <c r="A6862">
        <v>101165859</v>
      </c>
      <c r="B6862" t="s">
        <v>16380</v>
      </c>
      <c r="C6862" t="s">
        <v>4969</v>
      </c>
      <c r="G6862" t="s">
        <v>16381</v>
      </c>
      <c r="H6862" t="s">
        <v>1431</v>
      </c>
      <c r="I6862" t="s">
        <v>639</v>
      </c>
      <c r="J6862">
        <v>87508</v>
      </c>
      <c r="K6862">
        <v>2230</v>
      </c>
      <c r="L6862" t="s">
        <v>23</v>
      </c>
      <c r="M6862" t="s">
        <v>16381</v>
      </c>
      <c r="N6862" t="s">
        <v>1431</v>
      </c>
      <c r="O6862" t="s">
        <v>639</v>
      </c>
      <c r="P6862">
        <v>87508</v>
      </c>
      <c r="Q6862">
        <v>2230</v>
      </c>
      <c r="R6862" t="s">
        <v>23</v>
      </c>
      <c r="S6862" s="1" t="s">
        <v>34218</v>
      </c>
    </row>
    <row r="6863" spans="1:19" x14ac:dyDescent="0.25">
      <c r="A6863">
        <v>101169869</v>
      </c>
      <c r="B6863" t="s">
        <v>16382</v>
      </c>
      <c r="C6863" t="s">
        <v>286</v>
      </c>
      <c r="G6863" t="s">
        <v>16383</v>
      </c>
      <c r="H6863" t="s">
        <v>16384</v>
      </c>
      <c r="I6863" t="s">
        <v>140</v>
      </c>
      <c r="J6863">
        <v>49301</v>
      </c>
      <c r="K6863">
        <v>8362</v>
      </c>
      <c r="L6863" t="s">
        <v>23</v>
      </c>
      <c r="M6863" t="s">
        <v>16383</v>
      </c>
      <c r="N6863" t="s">
        <v>16384</v>
      </c>
      <c r="O6863" t="s">
        <v>140</v>
      </c>
      <c r="P6863">
        <v>49301</v>
      </c>
      <c r="Q6863">
        <v>8362</v>
      </c>
      <c r="R6863" t="s">
        <v>23</v>
      </c>
      <c r="S6863" s="1" t="s">
        <v>34218</v>
      </c>
    </row>
    <row r="6864" spans="1:19" x14ac:dyDescent="0.25">
      <c r="A6864">
        <v>101175288</v>
      </c>
      <c r="B6864" t="s">
        <v>5180</v>
      </c>
      <c r="C6864" t="s">
        <v>14597</v>
      </c>
      <c r="G6864" t="s">
        <v>16385</v>
      </c>
      <c r="H6864" t="s">
        <v>12513</v>
      </c>
      <c r="I6864" t="s">
        <v>236</v>
      </c>
      <c r="J6864">
        <v>1201</v>
      </c>
      <c r="K6864">
        <v>2891</v>
      </c>
      <c r="L6864" t="s">
        <v>23</v>
      </c>
      <c r="M6864" t="s">
        <v>16385</v>
      </c>
      <c r="N6864" t="s">
        <v>12513</v>
      </c>
      <c r="O6864" t="s">
        <v>236</v>
      </c>
      <c r="P6864">
        <v>1201</v>
      </c>
      <c r="Q6864">
        <v>2891</v>
      </c>
      <c r="R6864" t="s">
        <v>23</v>
      </c>
      <c r="S6864" s="1" t="s">
        <v>34218</v>
      </c>
    </row>
    <row r="6865" spans="1:19" x14ac:dyDescent="0.25">
      <c r="A6865">
        <v>101338711</v>
      </c>
      <c r="B6865" t="s">
        <v>16386</v>
      </c>
      <c r="C6865" t="s">
        <v>123</v>
      </c>
      <c r="G6865" t="s">
        <v>16387</v>
      </c>
      <c r="H6865" t="s">
        <v>134</v>
      </c>
      <c r="I6865" t="s">
        <v>135</v>
      </c>
      <c r="J6865" t="s">
        <v>16388</v>
      </c>
      <c r="K6865">
        <v>2442</v>
      </c>
      <c r="L6865" t="s">
        <v>23</v>
      </c>
      <c r="M6865" t="s">
        <v>16387</v>
      </c>
      <c r="N6865" t="s">
        <v>134</v>
      </c>
      <c r="O6865" t="s">
        <v>135</v>
      </c>
      <c r="P6865" t="s">
        <v>16388</v>
      </c>
      <c r="Q6865">
        <v>2442</v>
      </c>
      <c r="R6865" t="s">
        <v>23</v>
      </c>
      <c r="S6865" s="1" t="s">
        <v>34218</v>
      </c>
    </row>
    <row r="6866" spans="1:19" x14ac:dyDescent="0.25">
      <c r="A6866">
        <v>101088325</v>
      </c>
      <c r="B6866" t="s">
        <v>16389</v>
      </c>
      <c r="C6866" t="s">
        <v>3633</v>
      </c>
      <c r="G6866" t="s">
        <v>16390</v>
      </c>
      <c r="H6866" t="s">
        <v>16391</v>
      </c>
      <c r="I6866" t="s">
        <v>178</v>
      </c>
      <c r="J6866" t="s">
        <v>16392</v>
      </c>
      <c r="K6866">
        <v>1410</v>
      </c>
      <c r="L6866" t="s">
        <v>23</v>
      </c>
      <c r="M6866" t="s">
        <v>16390</v>
      </c>
      <c r="N6866" t="s">
        <v>16391</v>
      </c>
      <c r="O6866" t="s">
        <v>178</v>
      </c>
      <c r="P6866" t="s">
        <v>16392</v>
      </c>
      <c r="Q6866">
        <v>1410</v>
      </c>
      <c r="R6866" t="s">
        <v>23</v>
      </c>
      <c r="S6866" s="1" t="s">
        <v>34218</v>
      </c>
    </row>
    <row r="6867" spans="1:19" x14ac:dyDescent="0.25">
      <c r="A6867">
        <v>100989108</v>
      </c>
      <c r="B6867" t="s">
        <v>16393</v>
      </c>
      <c r="C6867" t="s">
        <v>9687</v>
      </c>
      <c r="G6867" t="s">
        <v>16394</v>
      </c>
      <c r="H6867" t="s">
        <v>12365</v>
      </c>
      <c r="I6867" t="s">
        <v>236</v>
      </c>
      <c r="J6867" t="s">
        <v>16395</v>
      </c>
      <c r="K6867">
        <v>3753</v>
      </c>
      <c r="L6867" t="s">
        <v>23</v>
      </c>
      <c r="M6867" t="s">
        <v>16394</v>
      </c>
      <c r="N6867" t="s">
        <v>12365</v>
      </c>
      <c r="O6867" t="s">
        <v>236</v>
      </c>
      <c r="P6867" t="s">
        <v>16395</v>
      </c>
      <c r="Q6867">
        <v>3753</v>
      </c>
      <c r="R6867" t="s">
        <v>23</v>
      </c>
      <c r="S6867" s="1" t="s">
        <v>34218</v>
      </c>
    </row>
    <row r="6868" spans="1:19" x14ac:dyDescent="0.25">
      <c r="A6868">
        <v>101266111</v>
      </c>
      <c r="B6868" t="s">
        <v>1425</v>
      </c>
      <c r="C6868" t="s">
        <v>4927</v>
      </c>
      <c r="G6868" t="s">
        <v>16396</v>
      </c>
      <c r="H6868" t="s">
        <v>758</v>
      </c>
      <c r="I6868" t="s">
        <v>148</v>
      </c>
      <c r="J6868" t="s">
        <v>16397</v>
      </c>
      <c r="K6868">
        <v>3644</v>
      </c>
      <c r="L6868" t="s">
        <v>23</v>
      </c>
      <c r="M6868" t="s">
        <v>16396</v>
      </c>
      <c r="N6868" t="s">
        <v>758</v>
      </c>
      <c r="O6868" t="s">
        <v>148</v>
      </c>
      <c r="P6868" t="s">
        <v>16397</v>
      </c>
      <c r="Q6868">
        <v>3644</v>
      </c>
      <c r="R6868" t="s">
        <v>23</v>
      </c>
      <c r="S6868" s="1" t="s">
        <v>34218</v>
      </c>
    </row>
    <row r="6869" spans="1:19" x14ac:dyDescent="0.25">
      <c r="A6869">
        <v>100660093</v>
      </c>
      <c r="B6869" t="s">
        <v>11909</v>
      </c>
      <c r="C6869" t="s">
        <v>13249</v>
      </c>
      <c r="G6869" t="s">
        <v>16398</v>
      </c>
      <c r="H6869" t="s">
        <v>2798</v>
      </c>
      <c r="I6869" t="s">
        <v>100</v>
      </c>
      <c r="J6869" t="s">
        <v>16399</v>
      </c>
      <c r="K6869">
        <v>1724</v>
      </c>
      <c r="L6869" t="s">
        <v>23</v>
      </c>
      <c r="M6869" t="s">
        <v>16398</v>
      </c>
      <c r="N6869" t="s">
        <v>2798</v>
      </c>
      <c r="O6869" t="s">
        <v>100</v>
      </c>
      <c r="P6869" t="s">
        <v>16399</v>
      </c>
      <c r="Q6869">
        <v>1724</v>
      </c>
      <c r="R6869" t="s">
        <v>23</v>
      </c>
      <c r="S6869" s="1" t="s">
        <v>34218</v>
      </c>
    </row>
    <row r="6870" spans="1:19" x14ac:dyDescent="0.25">
      <c r="A6870">
        <v>101246487</v>
      </c>
      <c r="B6870" t="s">
        <v>734</v>
      </c>
      <c r="C6870" t="s">
        <v>16400</v>
      </c>
      <c r="G6870" t="s">
        <v>16401</v>
      </c>
      <c r="H6870" t="s">
        <v>1096</v>
      </c>
      <c r="I6870" t="s">
        <v>71</v>
      </c>
      <c r="J6870" t="s">
        <v>16402</v>
      </c>
      <c r="K6870">
        <v>1710</v>
      </c>
      <c r="L6870" t="s">
        <v>23</v>
      </c>
      <c r="M6870" t="s">
        <v>16401</v>
      </c>
      <c r="N6870" t="s">
        <v>1096</v>
      </c>
      <c r="O6870" t="s">
        <v>71</v>
      </c>
      <c r="P6870" t="s">
        <v>16402</v>
      </c>
      <c r="Q6870">
        <v>1710</v>
      </c>
      <c r="R6870" t="s">
        <v>23</v>
      </c>
      <c r="S6870" s="1" t="s">
        <v>34218</v>
      </c>
    </row>
    <row r="6871" spans="1:19" x14ac:dyDescent="0.25">
      <c r="A6871">
        <v>101105803</v>
      </c>
      <c r="B6871" t="s">
        <v>689</v>
      </c>
      <c r="C6871" t="s">
        <v>8782</v>
      </c>
      <c r="G6871" t="s">
        <v>16403</v>
      </c>
      <c r="H6871" t="s">
        <v>16404</v>
      </c>
      <c r="I6871" t="s">
        <v>2310</v>
      </c>
      <c r="J6871">
        <v>19975</v>
      </c>
      <c r="K6871">
        <v>4417</v>
      </c>
      <c r="L6871" t="s">
        <v>23</v>
      </c>
      <c r="M6871" t="s">
        <v>16403</v>
      </c>
      <c r="N6871" t="s">
        <v>16404</v>
      </c>
      <c r="O6871" t="s">
        <v>2310</v>
      </c>
      <c r="P6871">
        <v>19975</v>
      </c>
      <c r="Q6871">
        <v>4417</v>
      </c>
      <c r="R6871" t="s">
        <v>23</v>
      </c>
      <c r="S6871" s="1" t="s">
        <v>34218</v>
      </c>
    </row>
    <row r="6872" spans="1:19" x14ac:dyDescent="0.25">
      <c r="A6872">
        <v>101113560</v>
      </c>
      <c r="B6872" t="s">
        <v>2685</v>
      </c>
      <c r="C6872" t="s">
        <v>1506</v>
      </c>
      <c r="G6872" t="s">
        <v>16405</v>
      </c>
      <c r="H6872" t="s">
        <v>2878</v>
      </c>
      <c r="I6872" t="s">
        <v>187</v>
      </c>
      <c r="J6872">
        <v>55129</v>
      </c>
      <c r="K6872">
        <v>8766</v>
      </c>
      <c r="L6872" t="s">
        <v>23</v>
      </c>
      <c r="M6872" t="s">
        <v>16405</v>
      </c>
      <c r="N6872" t="s">
        <v>2878</v>
      </c>
      <c r="O6872" t="s">
        <v>187</v>
      </c>
      <c r="P6872">
        <v>55129</v>
      </c>
      <c r="Q6872">
        <v>8766</v>
      </c>
      <c r="R6872" t="s">
        <v>23</v>
      </c>
      <c r="S6872" s="1" t="s">
        <v>34218</v>
      </c>
    </row>
    <row r="6873" spans="1:19" x14ac:dyDescent="0.25">
      <c r="A6873">
        <v>101115534</v>
      </c>
      <c r="B6873" t="s">
        <v>16406</v>
      </c>
      <c r="C6873" t="s">
        <v>2235</v>
      </c>
      <c r="G6873" t="s">
        <v>16407</v>
      </c>
      <c r="H6873" t="s">
        <v>4932</v>
      </c>
      <c r="I6873" t="s">
        <v>1482</v>
      </c>
      <c r="J6873">
        <v>29412</v>
      </c>
      <c r="K6873">
        <v>4425</v>
      </c>
      <c r="L6873" t="s">
        <v>23</v>
      </c>
      <c r="M6873" t="s">
        <v>16407</v>
      </c>
      <c r="N6873" t="s">
        <v>4932</v>
      </c>
      <c r="O6873" t="s">
        <v>1482</v>
      </c>
      <c r="P6873">
        <v>29412</v>
      </c>
      <c r="Q6873">
        <v>4425</v>
      </c>
      <c r="R6873" t="s">
        <v>23</v>
      </c>
      <c r="S6873" s="1" t="s">
        <v>34218</v>
      </c>
    </row>
    <row r="6874" spans="1:19" x14ac:dyDescent="0.25">
      <c r="A6874">
        <v>101119162</v>
      </c>
      <c r="B6874" t="s">
        <v>16408</v>
      </c>
      <c r="C6874" t="s">
        <v>1955</v>
      </c>
      <c r="G6874" t="s">
        <v>16409</v>
      </c>
      <c r="H6874" t="s">
        <v>9347</v>
      </c>
      <c r="I6874" t="s">
        <v>1482</v>
      </c>
      <c r="J6874">
        <v>29732</v>
      </c>
      <c r="K6874">
        <v>9046</v>
      </c>
      <c r="L6874" t="s">
        <v>23</v>
      </c>
      <c r="M6874" t="s">
        <v>16409</v>
      </c>
      <c r="N6874" t="s">
        <v>9347</v>
      </c>
      <c r="O6874" t="s">
        <v>1482</v>
      </c>
      <c r="P6874">
        <v>29732</v>
      </c>
      <c r="Q6874">
        <v>9046</v>
      </c>
      <c r="R6874" t="s">
        <v>23</v>
      </c>
      <c r="S6874" s="1" t="s">
        <v>34218</v>
      </c>
    </row>
    <row r="6875" spans="1:19" x14ac:dyDescent="0.25">
      <c r="A6875">
        <v>101117479</v>
      </c>
      <c r="B6875" t="s">
        <v>734</v>
      </c>
      <c r="C6875" t="s">
        <v>16410</v>
      </c>
      <c r="G6875" t="s">
        <v>16411</v>
      </c>
      <c r="H6875" t="s">
        <v>16412</v>
      </c>
      <c r="I6875" t="s">
        <v>446</v>
      </c>
      <c r="J6875">
        <v>28470</v>
      </c>
      <c r="K6875">
        <v>5305</v>
      </c>
      <c r="L6875" t="s">
        <v>23</v>
      </c>
      <c r="M6875" t="s">
        <v>16411</v>
      </c>
      <c r="N6875" t="s">
        <v>16412</v>
      </c>
      <c r="O6875" t="s">
        <v>446</v>
      </c>
      <c r="P6875">
        <v>28470</v>
      </c>
      <c r="Q6875">
        <v>5305</v>
      </c>
      <c r="R6875" t="s">
        <v>23</v>
      </c>
      <c r="S6875" s="1" t="s">
        <v>34218</v>
      </c>
    </row>
    <row r="6876" spans="1:19" x14ac:dyDescent="0.25">
      <c r="A6876">
        <v>101124095</v>
      </c>
      <c r="B6876" t="s">
        <v>585</v>
      </c>
      <c r="C6876" t="s">
        <v>16413</v>
      </c>
      <c r="F6876" t="str">
        <f>"4142416581"</f>
        <v>4142416581</v>
      </c>
      <c r="G6876" t="s">
        <v>16414</v>
      </c>
      <c r="H6876" t="s">
        <v>389</v>
      </c>
      <c r="I6876" t="s">
        <v>100</v>
      </c>
      <c r="J6876">
        <v>53213</v>
      </c>
      <c r="K6876">
        <v>81</v>
      </c>
      <c r="L6876" t="s">
        <v>23</v>
      </c>
      <c r="M6876" t="s">
        <v>16414</v>
      </c>
      <c r="N6876" t="s">
        <v>389</v>
      </c>
      <c r="O6876" t="s">
        <v>100</v>
      </c>
      <c r="P6876">
        <v>53213</v>
      </c>
      <c r="Q6876">
        <v>81</v>
      </c>
      <c r="R6876" t="s">
        <v>23</v>
      </c>
      <c r="S6876" s="1" t="s">
        <v>34218</v>
      </c>
    </row>
    <row r="6877" spans="1:19" x14ac:dyDescent="0.25">
      <c r="A6877">
        <v>101346149</v>
      </c>
      <c r="B6877" t="s">
        <v>1941</v>
      </c>
      <c r="C6877" t="s">
        <v>5038</v>
      </c>
      <c r="F6877" t="str">
        <f>"3055557596"</f>
        <v>3055557596</v>
      </c>
      <c r="G6877" t="s">
        <v>16415</v>
      </c>
      <c r="H6877" t="s">
        <v>869</v>
      </c>
      <c r="I6877" t="s">
        <v>52</v>
      </c>
      <c r="J6877">
        <v>33185</v>
      </c>
      <c r="K6877">
        <v>4602</v>
      </c>
      <c r="L6877" t="s">
        <v>23</v>
      </c>
      <c r="M6877" t="s">
        <v>16415</v>
      </c>
      <c r="N6877" t="s">
        <v>869</v>
      </c>
      <c r="O6877" t="s">
        <v>52</v>
      </c>
      <c r="P6877">
        <v>33185</v>
      </c>
      <c r="Q6877">
        <v>4602</v>
      </c>
      <c r="R6877" t="s">
        <v>23</v>
      </c>
      <c r="S6877" s="1" t="s">
        <v>34218</v>
      </c>
    </row>
    <row r="6878" spans="1:19" x14ac:dyDescent="0.25">
      <c r="A6878">
        <v>101357619</v>
      </c>
      <c r="B6878" t="s">
        <v>16416</v>
      </c>
      <c r="C6878" t="s">
        <v>7257</v>
      </c>
      <c r="G6878" t="s">
        <v>16417</v>
      </c>
      <c r="H6878" t="s">
        <v>12732</v>
      </c>
      <c r="I6878" t="s">
        <v>135</v>
      </c>
      <c r="J6878">
        <v>60015</v>
      </c>
      <c r="K6878">
        <v>3142</v>
      </c>
      <c r="L6878" t="s">
        <v>23</v>
      </c>
      <c r="M6878" t="s">
        <v>16417</v>
      </c>
      <c r="N6878" t="s">
        <v>12732</v>
      </c>
      <c r="O6878" t="s">
        <v>135</v>
      </c>
      <c r="P6878">
        <v>60015</v>
      </c>
      <c r="Q6878">
        <v>3142</v>
      </c>
      <c r="R6878" t="s">
        <v>23</v>
      </c>
      <c r="S6878" s="1" t="s">
        <v>34218</v>
      </c>
    </row>
    <row r="6879" spans="1:19" x14ac:dyDescent="0.25">
      <c r="A6879">
        <v>101348731</v>
      </c>
      <c r="B6879" t="s">
        <v>4064</v>
      </c>
      <c r="C6879" t="s">
        <v>2727</v>
      </c>
      <c r="G6879" t="s">
        <v>16418</v>
      </c>
      <c r="H6879" t="s">
        <v>481</v>
      </c>
      <c r="I6879" t="s">
        <v>22</v>
      </c>
      <c r="J6879">
        <v>95124</v>
      </c>
      <c r="K6879">
        <v>2831</v>
      </c>
      <c r="L6879" t="s">
        <v>23</v>
      </c>
      <c r="M6879" t="s">
        <v>16418</v>
      </c>
      <c r="N6879" t="s">
        <v>481</v>
      </c>
      <c r="O6879" t="s">
        <v>22</v>
      </c>
      <c r="P6879">
        <v>95124</v>
      </c>
      <c r="Q6879">
        <v>2831</v>
      </c>
      <c r="R6879" t="s">
        <v>23</v>
      </c>
      <c r="S6879" s="1" t="s">
        <v>34218</v>
      </c>
    </row>
    <row r="6880" spans="1:19" x14ac:dyDescent="0.25">
      <c r="A6880">
        <v>101360165</v>
      </c>
      <c r="B6880" t="s">
        <v>16419</v>
      </c>
      <c r="C6880" t="s">
        <v>1818</v>
      </c>
      <c r="G6880" t="s">
        <v>16420</v>
      </c>
      <c r="H6880" t="s">
        <v>13437</v>
      </c>
      <c r="I6880" t="s">
        <v>639</v>
      </c>
      <c r="J6880">
        <v>87059</v>
      </c>
      <c r="K6880">
        <v>8153</v>
      </c>
      <c r="L6880" t="s">
        <v>23</v>
      </c>
      <c r="M6880" t="s">
        <v>16420</v>
      </c>
      <c r="N6880" t="s">
        <v>13437</v>
      </c>
      <c r="O6880" t="s">
        <v>639</v>
      </c>
      <c r="P6880">
        <v>87059</v>
      </c>
      <c r="Q6880">
        <v>8153</v>
      </c>
      <c r="R6880" t="s">
        <v>23</v>
      </c>
      <c r="S6880" s="1" t="s">
        <v>34218</v>
      </c>
    </row>
    <row r="6881" spans="1:19" x14ac:dyDescent="0.25">
      <c r="A6881">
        <v>101356485</v>
      </c>
      <c r="B6881" t="s">
        <v>16421</v>
      </c>
      <c r="C6881" t="s">
        <v>16422</v>
      </c>
      <c r="F6881" t="str">
        <f>"8586761661"</f>
        <v>8586761661</v>
      </c>
      <c r="G6881" t="s">
        <v>16423</v>
      </c>
      <c r="H6881" t="s">
        <v>104</v>
      </c>
      <c r="I6881" t="s">
        <v>22</v>
      </c>
      <c r="J6881">
        <v>92064</v>
      </c>
      <c r="K6881">
        <v>2040</v>
      </c>
      <c r="L6881" t="s">
        <v>23</v>
      </c>
      <c r="M6881" t="s">
        <v>16423</v>
      </c>
      <c r="N6881" t="s">
        <v>104</v>
      </c>
      <c r="O6881" t="s">
        <v>22</v>
      </c>
      <c r="P6881">
        <v>92064</v>
      </c>
      <c r="Q6881">
        <v>2040</v>
      </c>
      <c r="R6881" t="s">
        <v>23</v>
      </c>
      <c r="S6881" s="1" t="s">
        <v>34218</v>
      </c>
    </row>
    <row r="6882" spans="1:19" x14ac:dyDescent="0.25">
      <c r="A6882">
        <v>101349189</v>
      </c>
      <c r="B6882" t="s">
        <v>8489</v>
      </c>
      <c r="C6882" t="s">
        <v>2790</v>
      </c>
      <c r="F6882" t="str">
        <f>"5707899003"</f>
        <v>5707899003</v>
      </c>
      <c r="G6882" t="s">
        <v>16424</v>
      </c>
      <c r="H6882" t="s">
        <v>16425</v>
      </c>
      <c r="I6882" t="s">
        <v>33</v>
      </c>
      <c r="J6882">
        <v>17901</v>
      </c>
      <c r="K6882">
        <v>2222</v>
      </c>
      <c r="L6882" t="s">
        <v>23</v>
      </c>
      <c r="M6882" t="s">
        <v>16424</v>
      </c>
      <c r="N6882" t="s">
        <v>16425</v>
      </c>
      <c r="O6882" t="s">
        <v>33</v>
      </c>
      <c r="P6882">
        <v>17901</v>
      </c>
      <c r="Q6882">
        <v>2222</v>
      </c>
      <c r="R6882" t="s">
        <v>23</v>
      </c>
      <c r="S6882" s="1" t="s">
        <v>34218</v>
      </c>
    </row>
    <row r="6883" spans="1:19" x14ac:dyDescent="0.25">
      <c r="A6883">
        <v>101349196</v>
      </c>
      <c r="B6883" t="s">
        <v>3650</v>
      </c>
      <c r="C6883" t="s">
        <v>25</v>
      </c>
      <c r="G6883" t="s">
        <v>16426</v>
      </c>
      <c r="H6883" t="s">
        <v>299</v>
      </c>
      <c r="I6883" t="s">
        <v>22</v>
      </c>
      <c r="J6883">
        <v>90065</v>
      </c>
      <c r="K6883">
        <v>3944</v>
      </c>
      <c r="L6883" t="s">
        <v>23</v>
      </c>
      <c r="M6883" t="s">
        <v>16426</v>
      </c>
      <c r="N6883" t="s">
        <v>299</v>
      </c>
      <c r="O6883" t="s">
        <v>22</v>
      </c>
      <c r="P6883">
        <v>90065</v>
      </c>
      <c r="Q6883">
        <v>3944</v>
      </c>
      <c r="R6883" t="s">
        <v>23</v>
      </c>
      <c r="S6883" s="1" t="s">
        <v>34218</v>
      </c>
    </row>
    <row r="6884" spans="1:19" x14ac:dyDescent="0.25">
      <c r="A6884">
        <v>101364239</v>
      </c>
      <c r="B6884" t="s">
        <v>16427</v>
      </c>
      <c r="C6884" t="s">
        <v>16428</v>
      </c>
      <c r="G6884" t="s">
        <v>16429</v>
      </c>
      <c r="H6884" t="s">
        <v>1041</v>
      </c>
      <c r="I6884" t="s">
        <v>38</v>
      </c>
      <c r="J6884">
        <v>76209</v>
      </c>
      <c r="K6884">
        <v>2215</v>
      </c>
      <c r="L6884" t="s">
        <v>23</v>
      </c>
      <c r="M6884" t="s">
        <v>16429</v>
      </c>
      <c r="N6884" t="s">
        <v>1041</v>
      </c>
      <c r="O6884" t="s">
        <v>38</v>
      </c>
      <c r="P6884">
        <v>76209</v>
      </c>
      <c r="Q6884">
        <v>2215</v>
      </c>
      <c r="R6884" t="s">
        <v>23</v>
      </c>
      <c r="S6884" s="1" t="s">
        <v>34218</v>
      </c>
    </row>
    <row r="6885" spans="1:19" x14ac:dyDescent="0.25">
      <c r="A6885">
        <v>101358382</v>
      </c>
      <c r="B6885" t="s">
        <v>16430</v>
      </c>
      <c r="C6885" t="s">
        <v>132</v>
      </c>
      <c r="G6885" t="s">
        <v>16431</v>
      </c>
      <c r="H6885" t="s">
        <v>4646</v>
      </c>
      <c r="I6885" t="s">
        <v>33</v>
      </c>
      <c r="J6885">
        <v>15501</v>
      </c>
      <c r="K6885">
        <v>2745</v>
      </c>
      <c r="L6885" t="s">
        <v>23</v>
      </c>
      <c r="M6885" t="s">
        <v>16431</v>
      </c>
      <c r="N6885" t="s">
        <v>4646</v>
      </c>
      <c r="O6885" t="s">
        <v>33</v>
      </c>
      <c r="P6885">
        <v>15501</v>
      </c>
      <c r="Q6885">
        <v>2745</v>
      </c>
      <c r="R6885" t="s">
        <v>23</v>
      </c>
      <c r="S6885" s="1" t="s">
        <v>34218</v>
      </c>
    </row>
    <row r="6886" spans="1:19" x14ac:dyDescent="0.25">
      <c r="A6886">
        <v>101362916</v>
      </c>
      <c r="B6886" t="s">
        <v>16432</v>
      </c>
      <c r="C6886" t="s">
        <v>313</v>
      </c>
      <c r="G6886" t="s">
        <v>16433</v>
      </c>
      <c r="H6886" t="s">
        <v>3525</v>
      </c>
      <c r="I6886" t="s">
        <v>161</v>
      </c>
      <c r="J6886">
        <v>6896</v>
      </c>
      <c r="K6886">
        <v>3017</v>
      </c>
      <c r="L6886" t="s">
        <v>23</v>
      </c>
      <c r="M6886" t="s">
        <v>16433</v>
      </c>
      <c r="N6886" t="s">
        <v>3525</v>
      </c>
      <c r="O6886" t="s">
        <v>161</v>
      </c>
      <c r="P6886">
        <v>6896</v>
      </c>
      <c r="Q6886">
        <v>3017</v>
      </c>
      <c r="R6886" t="s">
        <v>23</v>
      </c>
      <c r="S6886" s="1" t="s">
        <v>34218</v>
      </c>
    </row>
    <row r="6887" spans="1:19" x14ac:dyDescent="0.25">
      <c r="A6887">
        <v>101363078</v>
      </c>
      <c r="B6887" t="s">
        <v>7693</v>
      </c>
      <c r="C6887" t="s">
        <v>711</v>
      </c>
      <c r="F6887" t="str">
        <f>"3108289686"</f>
        <v>3108289686</v>
      </c>
      <c r="G6887" t="s">
        <v>16434</v>
      </c>
      <c r="H6887" t="s">
        <v>726</v>
      </c>
      <c r="I6887" t="s">
        <v>22</v>
      </c>
      <c r="J6887">
        <v>90404</v>
      </c>
      <c r="K6887">
        <v>1427</v>
      </c>
      <c r="L6887" t="s">
        <v>23</v>
      </c>
      <c r="M6887" t="s">
        <v>16434</v>
      </c>
      <c r="N6887" t="s">
        <v>726</v>
      </c>
      <c r="O6887" t="s">
        <v>22</v>
      </c>
      <c r="P6887">
        <v>90404</v>
      </c>
      <c r="Q6887">
        <v>1427</v>
      </c>
      <c r="R6887" t="s">
        <v>23</v>
      </c>
      <c r="S6887" s="1" t="s">
        <v>34218</v>
      </c>
    </row>
    <row r="6888" spans="1:19" x14ac:dyDescent="0.25">
      <c r="A6888">
        <v>101369039</v>
      </c>
      <c r="B6888" t="s">
        <v>2937</v>
      </c>
      <c r="C6888" t="s">
        <v>1679</v>
      </c>
      <c r="G6888" t="s">
        <v>16435</v>
      </c>
      <c r="H6888" t="s">
        <v>16436</v>
      </c>
      <c r="I6888" t="s">
        <v>52</v>
      </c>
      <c r="J6888">
        <v>32404</v>
      </c>
      <c r="K6888">
        <v>5312</v>
      </c>
      <c r="L6888" t="s">
        <v>23</v>
      </c>
      <c r="M6888" t="s">
        <v>16435</v>
      </c>
      <c r="N6888" t="s">
        <v>16436</v>
      </c>
      <c r="O6888" t="s">
        <v>52</v>
      </c>
      <c r="P6888">
        <v>32404</v>
      </c>
      <c r="Q6888">
        <v>5312</v>
      </c>
      <c r="R6888" t="s">
        <v>23</v>
      </c>
      <c r="S6888" s="1" t="s">
        <v>34218</v>
      </c>
    </row>
    <row r="6889" spans="1:19" x14ac:dyDescent="0.25">
      <c r="A6889">
        <v>101364061</v>
      </c>
      <c r="B6889" t="s">
        <v>906</v>
      </c>
      <c r="C6889" t="s">
        <v>90</v>
      </c>
      <c r="G6889" t="s">
        <v>16437</v>
      </c>
      <c r="H6889" t="s">
        <v>16438</v>
      </c>
      <c r="I6889" t="s">
        <v>140</v>
      </c>
      <c r="J6889">
        <v>48070</v>
      </c>
      <c r="K6889">
        <v>1413</v>
      </c>
      <c r="L6889" t="s">
        <v>23</v>
      </c>
      <c r="M6889" t="s">
        <v>16437</v>
      </c>
      <c r="N6889" t="s">
        <v>16438</v>
      </c>
      <c r="O6889" t="s">
        <v>140</v>
      </c>
      <c r="P6889">
        <v>48070</v>
      </c>
      <c r="Q6889">
        <v>1413</v>
      </c>
      <c r="R6889" t="s">
        <v>23</v>
      </c>
      <c r="S6889" s="1" t="s">
        <v>34218</v>
      </c>
    </row>
    <row r="6890" spans="1:19" x14ac:dyDescent="0.25">
      <c r="A6890">
        <v>101248840</v>
      </c>
      <c r="B6890" t="s">
        <v>16439</v>
      </c>
      <c r="C6890" t="s">
        <v>329</v>
      </c>
      <c r="G6890" t="s">
        <v>16440</v>
      </c>
      <c r="H6890" t="s">
        <v>11269</v>
      </c>
      <c r="I6890" t="s">
        <v>161</v>
      </c>
      <c r="J6890">
        <v>6416</v>
      </c>
      <c r="K6890">
        <v>1144</v>
      </c>
      <c r="L6890" t="s">
        <v>23</v>
      </c>
      <c r="M6890" t="s">
        <v>16440</v>
      </c>
      <c r="N6890" t="s">
        <v>11269</v>
      </c>
      <c r="O6890" t="s">
        <v>161</v>
      </c>
      <c r="P6890">
        <v>6416</v>
      </c>
      <c r="Q6890">
        <v>1144</v>
      </c>
      <c r="R6890" t="s">
        <v>23</v>
      </c>
      <c r="S6890" s="1" t="s">
        <v>34218</v>
      </c>
    </row>
    <row r="6891" spans="1:19" x14ac:dyDescent="0.25">
      <c r="A6891">
        <v>101254730</v>
      </c>
      <c r="B6891" t="s">
        <v>16441</v>
      </c>
      <c r="C6891" t="s">
        <v>535</v>
      </c>
      <c r="G6891" t="s">
        <v>16442</v>
      </c>
      <c r="H6891" t="s">
        <v>591</v>
      </c>
      <c r="I6891" t="s">
        <v>236</v>
      </c>
      <c r="J6891">
        <v>2019</v>
      </c>
      <c r="K6891">
        <v>2843</v>
      </c>
      <c r="L6891" t="s">
        <v>23</v>
      </c>
      <c r="M6891" t="s">
        <v>16442</v>
      </c>
      <c r="N6891" t="s">
        <v>591</v>
      </c>
      <c r="O6891" t="s">
        <v>236</v>
      </c>
      <c r="P6891">
        <v>2019</v>
      </c>
      <c r="Q6891">
        <v>2843</v>
      </c>
      <c r="R6891" t="s">
        <v>23</v>
      </c>
      <c r="S6891" s="1" t="s">
        <v>34218</v>
      </c>
    </row>
    <row r="6892" spans="1:19" x14ac:dyDescent="0.25">
      <c r="A6892">
        <v>101249672</v>
      </c>
      <c r="B6892" t="s">
        <v>7888</v>
      </c>
      <c r="C6892" t="s">
        <v>1327</v>
      </c>
      <c r="F6892" t="str">
        <f>"4106471832"</f>
        <v>4106471832</v>
      </c>
      <c r="G6892" t="s">
        <v>16443</v>
      </c>
      <c r="H6892" t="s">
        <v>7093</v>
      </c>
      <c r="I6892" t="s">
        <v>148</v>
      </c>
      <c r="J6892">
        <v>21012</v>
      </c>
      <c r="K6892">
        <v>1329</v>
      </c>
      <c r="L6892" t="s">
        <v>23</v>
      </c>
      <c r="M6892" t="s">
        <v>16443</v>
      </c>
      <c r="N6892" t="s">
        <v>7093</v>
      </c>
      <c r="O6892" t="s">
        <v>148</v>
      </c>
      <c r="P6892">
        <v>21012</v>
      </c>
      <c r="Q6892">
        <v>1329</v>
      </c>
      <c r="R6892" t="s">
        <v>23</v>
      </c>
      <c r="S6892" s="1" t="s">
        <v>34218</v>
      </c>
    </row>
    <row r="6893" spans="1:19" x14ac:dyDescent="0.25">
      <c r="A6893">
        <v>101249698</v>
      </c>
      <c r="B6893" t="s">
        <v>829</v>
      </c>
      <c r="C6893" t="s">
        <v>45</v>
      </c>
      <c r="G6893" t="s">
        <v>16444</v>
      </c>
      <c r="H6893" t="s">
        <v>1748</v>
      </c>
      <c r="I6893" t="s">
        <v>255</v>
      </c>
      <c r="J6893">
        <v>22201</v>
      </c>
      <c r="K6893">
        <v>1620</v>
      </c>
      <c r="L6893" t="s">
        <v>23</v>
      </c>
      <c r="M6893" t="s">
        <v>16444</v>
      </c>
      <c r="N6893" t="s">
        <v>1748</v>
      </c>
      <c r="O6893" t="s">
        <v>255</v>
      </c>
      <c r="P6893">
        <v>22201</v>
      </c>
      <c r="Q6893">
        <v>1620</v>
      </c>
      <c r="R6893" t="s">
        <v>23</v>
      </c>
      <c r="S6893" s="1" t="s">
        <v>34218</v>
      </c>
    </row>
    <row r="6894" spans="1:19" x14ac:dyDescent="0.25">
      <c r="A6894">
        <v>101256205</v>
      </c>
      <c r="B6894" t="s">
        <v>281</v>
      </c>
      <c r="C6894" t="s">
        <v>1873</v>
      </c>
      <c r="G6894" t="s">
        <v>16445</v>
      </c>
      <c r="H6894" t="s">
        <v>471</v>
      </c>
      <c r="I6894" t="s">
        <v>365</v>
      </c>
      <c r="J6894">
        <v>85254</v>
      </c>
      <c r="K6894">
        <v>2380</v>
      </c>
      <c r="L6894" t="s">
        <v>23</v>
      </c>
      <c r="M6894" t="s">
        <v>16445</v>
      </c>
      <c r="N6894" t="s">
        <v>471</v>
      </c>
      <c r="O6894" t="s">
        <v>365</v>
      </c>
      <c r="P6894">
        <v>85254</v>
      </c>
      <c r="Q6894">
        <v>2380</v>
      </c>
      <c r="R6894" t="s">
        <v>23</v>
      </c>
      <c r="S6894" s="1" t="s">
        <v>34218</v>
      </c>
    </row>
    <row r="6895" spans="1:19" x14ac:dyDescent="0.25">
      <c r="A6895">
        <v>101261697</v>
      </c>
      <c r="B6895" t="s">
        <v>8900</v>
      </c>
      <c r="C6895" t="s">
        <v>247</v>
      </c>
      <c r="G6895" t="s">
        <v>16446</v>
      </c>
      <c r="H6895" t="s">
        <v>13967</v>
      </c>
      <c r="I6895" t="s">
        <v>161</v>
      </c>
      <c r="J6895">
        <v>6478</v>
      </c>
      <c r="K6895">
        <v>1667</v>
      </c>
      <c r="L6895" t="s">
        <v>23</v>
      </c>
      <c r="M6895" t="s">
        <v>16446</v>
      </c>
      <c r="N6895" t="s">
        <v>13967</v>
      </c>
      <c r="O6895" t="s">
        <v>161</v>
      </c>
      <c r="P6895">
        <v>6478</v>
      </c>
      <c r="Q6895">
        <v>1667</v>
      </c>
      <c r="R6895" t="s">
        <v>23</v>
      </c>
      <c r="S6895" s="1" t="s">
        <v>34218</v>
      </c>
    </row>
    <row r="6896" spans="1:19" x14ac:dyDescent="0.25">
      <c r="A6896">
        <v>101254316</v>
      </c>
      <c r="B6896" t="s">
        <v>16447</v>
      </c>
      <c r="C6896" t="s">
        <v>1384</v>
      </c>
      <c r="G6896" t="s">
        <v>16448</v>
      </c>
      <c r="H6896" t="s">
        <v>292</v>
      </c>
      <c r="I6896" t="s">
        <v>22</v>
      </c>
      <c r="J6896">
        <v>95630</v>
      </c>
      <c r="K6896">
        <v>7105</v>
      </c>
      <c r="L6896" t="s">
        <v>23</v>
      </c>
      <c r="M6896" t="s">
        <v>16448</v>
      </c>
      <c r="N6896" t="s">
        <v>292</v>
      </c>
      <c r="O6896" t="s">
        <v>22</v>
      </c>
      <c r="P6896">
        <v>95630</v>
      </c>
      <c r="Q6896">
        <v>7105</v>
      </c>
      <c r="R6896" t="s">
        <v>23</v>
      </c>
      <c r="S6896" s="1" t="s">
        <v>34218</v>
      </c>
    </row>
    <row r="6897" spans="1:19" x14ac:dyDescent="0.25">
      <c r="A6897">
        <v>101258515</v>
      </c>
      <c r="B6897" t="s">
        <v>16449</v>
      </c>
      <c r="C6897" t="s">
        <v>1036</v>
      </c>
      <c r="G6897" t="s">
        <v>16450</v>
      </c>
      <c r="H6897" t="s">
        <v>1402</v>
      </c>
      <c r="I6897" t="s">
        <v>38</v>
      </c>
      <c r="J6897">
        <v>77074</v>
      </c>
      <c r="K6897">
        <v>4705</v>
      </c>
      <c r="L6897" t="s">
        <v>23</v>
      </c>
      <c r="M6897" t="s">
        <v>16450</v>
      </c>
      <c r="N6897" t="s">
        <v>1402</v>
      </c>
      <c r="O6897" t="s">
        <v>38</v>
      </c>
      <c r="P6897">
        <v>77074</v>
      </c>
      <c r="Q6897">
        <v>4705</v>
      </c>
      <c r="R6897" t="s">
        <v>23</v>
      </c>
      <c r="S6897" s="1" t="s">
        <v>34218</v>
      </c>
    </row>
    <row r="6898" spans="1:19" x14ac:dyDescent="0.25">
      <c r="A6898">
        <v>101254426</v>
      </c>
      <c r="B6898" t="s">
        <v>144</v>
      </c>
      <c r="C6898" t="s">
        <v>90</v>
      </c>
      <c r="G6898" t="s">
        <v>16451</v>
      </c>
      <c r="H6898" t="s">
        <v>6400</v>
      </c>
      <c r="I6898" t="s">
        <v>22</v>
      </c>
      <c r="J6898">
        <v>94517</v>
      </c>
      <c r="K6898">
        <v>2039</v>
      </c>
      <c r="L6898" t="s">
        <v>23</v>
      </c>
      <c r="M6898" t="s">
        <v>16451</v>
      </c>
      <c r="N6898" t="s">
        <v>6400</v>
      </c>
      <c r="O6898" t="s">
        <v>22</v>
      </c>
      <c r="P6898">
        <v>94517</v>
      </c>
      <c r="Q6898">
        <v>2039</v>
      </c>
      <c r="R6898" t="s">
        <v>23</v>
      </c>
      <c r="S6898" s="1" t="s">
        <v>34218</v>
      </c>
    </row>
    <row r="6899" spans="1:19" x14ac:dyDescent="0.25">
      <c r="A6899">
        <v>101251208</v>
      </c>
      <c r="B6899" t="s">
        <v>8051</v>
      </c>
      <c r="C6899" t="s">
        <v>30</v>
      </c>
      <c r="G6899" t="s">
        <v>16452</v>
      </c>
      <c r="H6899" t="s">
        <v>4675</v>
      </c>
      <c r="I6899" t="s">
        <v>984</v>
      </c>
      <c r="J6899">
        <v>96708</v>
      </c>
      <c r="K6899">
        <v>5211</v>
      </c>
      <c r="L6899" t="s">
        <v>23</v>
      </c>
      <c r="M6899" t="s">
        <v>16452</v>
      </c>
      <c r="N6899" t="s">
        <v>4675</v>
      </c>
      <c r="O6899" t="s">
        <v>984</v>
      </c>
      <c r="P6899">
        <v>96708</v>
      </c>
      <c r="Q6899">
        <v>5211</v>
      </c>
      <c r="R6899" t="s">
        <v>23</v>
      </c>
      <c r="S6899" s="1" t="s">
        <v>34218</v>
      </c>
    </row>
    <row r="6900" spans="1:19" x14ac:dyDescent="0.25">
      <c r="A6900">
        <v>101266105</v>
      </c>
      <c r="B6900" t="s">
        <v>16453</v>
      </c>
      <c r="C6900" t="s">
        <v>30</v>
      </c>
      <c r="G6900" t="s">
        <v>16454</v>
      </c>
      <c r="H6900" t="s">
        <v>16352</v>
      </c>
      <c r="I6900" t="s">
        <v>135</v>
      </c>
      <c r="J6900">
        <v>60060</v>
      </c>
      <c r="K6900">
        <v>6047</v>
      </c>
      <c r="L6900" t="s">
        <v>23</v>
      </c>
      <c r="M6900" t="s">
        <v>16454</v>
      </c>
      <c r="N6900" t="s">
        <v>16352</v>
      </c>
      <c r="O6900" t="s">
        <v>135</v>
      </c>
      <c r="P6900">
        <v>60060</v>
      </c>
      <c r="Q6900">
        <v>6047</v>
      </c>
      <c r="R6900" t="s">
        <v>23</v>
      </c>
      <c r="S6900" s="1" t="s">
        <v>34218</v>
      </c>
    </row>
    <row r="6901" spans="1:19" x14ac:dyDescent="0.25">
      <c r="A6901">
        <v>101356447</v>
      </c>
      <c r="B6901" t="s">
        <v>16455</v>
      </c>
      <c r="C6901" t="s">
        <v>16456</v>
      </c>
      <c r="F6901" t="str">
        <f>"2519290634"</f>
        <v>2519290634</v>
      </c>
      <c r="G6901" t="s">
        <v>16457</v>
      </c>
      <c r="H6901" t="s">
        <v>14404</v>
      </c>
      <c r="I6901" t="s">
        <v>52</v>
      </c>
      <c r="J6901">
        <v>32514</v>
      </c>
      <c r="K6901">
        <v>5312</v>
      </c>
      <c r="L6901" t="s">
        <v>23</v>
      </c>
      <c r="M6901" t="s">
        <v>16457</v>
      </c>
      <c r="N6901" t="s">
        <v>14404</v>
      </c>
      <c r="O6901" t="s">
        <v>52</v>
      </c>
      <c r="P6901">
        <v>32514</v>
      </c>
      <c r="Q6901">
        <v>5312</v>
      </c>
      <c r="R6901" t="s">
        <v>23</v>
      </c>
      <c r="S6901" s="1" t="s">
        <v>34218</v>
      </c>
    </row>
    <row r="6902" spans="1:19" x14ac:dyDescent="0.25">
      <c r="A6902">
        <v>101360354</v>
      </c>
      <c r="B6902" t="s">
        <v>16458</v>
      </c>
      <c r="C6902" t="s">
        <v>13897</v>
      </c>
      <c r="G6902" t="s">
        <v>16459</v>
      </c>
      <c r="H6902" t="s">
        <v>1287</v>
      </c>
      <c r="I6902" t="s">
        <v>22</v>
      </c>
      <c r="J6902">
        <v>94062</v>
      </c>
      <c r="K6902">
        <v>4166</v>
      </c>
      <c r="L6902" t="s">
        <v>23</v>
      </c>
      <c r="M6902" t="s">
        <v>16459</v>
      </c>
      <c r="N6902" t="s">
        <v>1287</v>
      </c>
      <c r="O6902" t="s">
        <v>22</v>
      </c>
      <c r="P6902">
        <v>94062</v>
      </c>
      <c r="Q6902">
        <v>4166</v>
      </c>
      <c r="R6902" t="s">
        <v>23</v>
      </c>
      <c r="S6902" s="1" t="s">
        <v>34218</v>
      </c>
    </row>
    <row r="6903" spans="1:19" x14ac:dyDescent="0.25">
      <c r="A6903">
        <v>101349324</v>
      </c>
      <c r="B6903" t="s">
        <v>2802</v>
      </c>
      <c r="C6903" t="s">
        <v>585</v>
      </c>
      <c r="G6903" t="s">
        <v>16460</v>
      </c>
      <c r="H6903" t="s">
        <v>5406</v>
      </c>
      <c r="I6903" t="s">
        <v>52</v>
      </c>
      <c r="J6903">
        <v>34698</v>
      </c>
      <c r="K6903">
        <v>3681</v>
      </c>
      <c r="L6903" t="s">
        <v>23</v>
      </c>
      <c r="M6903" t="s">
        <v>16460</v>
      </c>
      <c r="N6903" t="s">
        <v>5406</v>
      </c>
      <c r="O6903" t="s">
        <v>52</v>
      </c>
      <c r="P6903">
        <v>34698</v>
      </c>
      <c r="Q6903">
        <v>3681</v>
      </c>
      <c r="R6903" t="s">
        <v>23</v>
      </c>
      <c r="S6903" s="1" t="s">
        <v>34218</v>
      </c>
    </row>
    <row r="6904" spans="1:19" x14ac:dyDescent="0.25">
      <c r="A6904">
        <v>101363047</v>
      </c>
      <c r="B6904" t="s">
        <v>16461</v>
      </c>
      <c r="C6904" t="s">
        <v>4594</v>
      </c>
      <c r="F6904" t="str">
        <f>"3236607899"</f>
        <v>3236607899</v>
      </c>
      <c r="G6904" t="s">
        <v>16462</v>
      </c>
      <c r="H6904" t="s">
        <v>299</v>
      </c>
      <c r="I6904" t="s">
        <v>22</v>
      </c>
      <c r="J6904">
        <v>90026</v>
      </c>
      <c r="K6904">
        <v>1112</v>
      </c>
      <c r="L6904" t="s">
        <v>23</v>
      </c>
      <c r="M6904" t="s">
        <v>16462</v>
      </c>
      <c r="N6904" t="s">
        <v>299</v>
      </c>
      <c r="O6904" t="s">
        <v>22</v>
      </c>
      <c r="P6904">
        <v>90026</v>
      </c>
      <c r="Q6904">
        <v>1112</v>
      </c>
      <c r="R6904" t="s">
        <v>23</v>
      </c>
      <c r="S6904" s="1" t="s">
        <v>34218</v>
      </c>
    </row>
    <row r="6905" spans="1:19" x14ac:dyDescent="0.25">
      <c r="A6905">
        <v>101357184</v>
      </c>
      <c r="B6905" t="s">
        <v>5200</v>
      </c>
      <c r="C6905" t="s">
        <v>1647</v>
      </c>
      <c r="G6905" t="s">
        <v>16463</v>
      </c>
      <c r="H6905" t="s">
        <v>16464</v>
      </c>
      <c r="I6905" t="s">
        <v>148</v>
      </c>
      <c r="J6905">
        <v>20886</v>
      </c>
      <c r="K6905">
        <v>3952</v>
      </c>
      <c r="L6905" t="s">
        <v>23</v>
      </c>
      <c r="M6905" t="s">
        <v>16463</v>
      </c>
      <c r="N6905" t="s">
        <v>16464</v>
      </c>
      <c r="O6905" t="s">
        <v>148</v>
      </c>
      <c r="P6905">
        <v>20886</v>
      </c>
      <c r="Q6905">
        <v>3952</v>
      </c>
      <c r="R6905" t="s">
        <v>23</v>
      </c>
      <c r="S6905" s="1" t="s">
        <v>34218</v>
      </c>
    </row>
    <row r="6906" spans="1:19" x14ac:dyDescent="0.25">
      <c r="A6906">
        <v>101357201</v>
      </c>
      <c r="B6906" t="s">
        <v>93</v>
      </c>
      <c r="C6906" t="s">
        <v>282</v>
      </c>
      <c r="G6906" t="s">
        <v>16465</v>
      </c>
      <c r="H6906" t="s">
        <v>5947</v>
      </c>
      <c r="I6906" t="s">
        <v>148</v>
      </c>
      <c r="J6906">
        <v>21061</v>
      </c>
      <c r="K6906">
        <v>4064</v>
      </c>
      <c r="L6906" t="s">
        <v>23</v>
      </c>
      <c r="M6906" t="s">
        <v>16465</v>
      </c>
      <c r="N6906" t="s">
        <v>5947</v>
      </c>
      <c r="O6906" t="s">
        <v>148</v>
      </c>
      <c r="P6906">
        <v>21061</v>
      </c>
      <c r="Q6906">
        <v>4064</v>
      </c>
      <c r="R6906" t="s">
        <v>23</v>
      </c>
      <c r="S6906" s="1" t="s">
        <v>34218</v>
      </c>
    </row>
    <row r="6907" spans="1:19" x14ac:dyDescent="0.25">
      <c r="A6907">
        <v>101360650</v>
      </c>
      <c r="B6907" t="s">
        <v>16466</v>
      </c>
      <c r="C6907" t="s">
        <v>2159</v>
      </c>
      <c r="F6907" t="str">
        <f>"8163087189"</f>
        <v>8163087189</v>
      </c>
      <c r="G6907" t="s">
        <v>16467</v>
      </c>
      <c r="H6907" t="s">
        <v>2378</v>
      </c>
      <c r="I6907" t="s">
        <v>126</v>
      </c>
      <c r="J6907">
        <v>64053</v>
      </c>
      <c r="K6907">
        <v>1512</v>
      </c>
      <c r="L6907" t="s">
        <v>23</v>
      </c>
      <c r="M6907" t="s">
        <v>16467</v>
      </c>
      <c r="N6907" t="s">
        <v>2378</v>
      </c>
      <c r="O6907" t="s">
        <v>126</v>
      </c>
      <c r="P6907">
        <v>64053</v>
      </c>
      <c r="Q6907">
        <v>1512</v>
      </c>
      <c r="R6907" t="s">
        <v>23</v>
      </c>
      <c r="S6907" s="1" t="s">
        <v>34218</v>
      </c>
    </row>
    <row r="6908" spans="1:19" x14ac:dyDescent="0.25">
      <c r="A6908">
        <v>101362075</v>
      </c>
      <c r="B6908" t="s">
        <v>16468</v>
      </c>
      <c r="C6908" t="s">
        <v>123</v>
      </c>
      <c r="G6908" t="s">
        <v>16469</v>
      </c>
      <c r="H6908" t="s">
        <v>4866</v>
      </c>
      <c r="I6908" t="s">
        <v>22</v>
      </c>
      <c r="J6908">
        <v>92262</v>
      </c>
      <c r="K6908">
        <v>2321</v>
      </c>
      <c r="L6908" t="s">
        <v>23</v>
      </c>
      <c r="M6908" t="s">
        <v>16469</v>
      </c>
      <c r="N6908" t="s">
        <v>4866</v>
      </c>
      <c r="O6908" t="s">
        <v>22</v>
      </c>
      <c r="P6908">
        <v>92262</v>
      </c>
      <c r="Q6908">
        <v>2321</v>
      </c>
      <c r="R6908" t="s">
        <v>23</v>
      </c>
      <c r="S6908" s="1" t="s">
        <v>34218</v>
      </c>
    </row>
    <row r="6909" spans="1:19" x14ac:dyDescent="0.25">
      <c r="A6909">
        <v>101375581</v>
      </c>
      <c r="B6909" t="s">
        <v>16470</v>
      </c>
      <c r="C6909" t="s">
        <v>252</v>
      </c>
      <c r="G6909" t="s">
        <v>16471</v>
      </c>
      <c r="H6909" t="s">
        <v>8709</v>
      </c>
      <c r="I6909" t="s">
        <v>100</v>
      </c>
      <c r="J6909">
        <v>53402</v>
      </c>
      <c r="K6909">
        <v>3331</v>
      </c>
      <c r="L6909" t="s">
        <v>23</v>
      </c>
      <c r="M6909" t="s">
        <v>16471</v>
      </c>
      <c r="N6909" t="s">
        <v>8709</v>
      </c>
      <c r="O6909" t="s">
        <v>100</v>
      </c>
      <c r="P6909">
        <v>53402</v>
      </c>
      <c r="Q6909">
        <v>3331</v>
      </c>
      <c r="R6909" t="s">
        <v>23</v>
      </c>
      <c r="S6909" s="1" t="s">
        <v>34218</v>
      </c>
    </row>
    <row r="6910" spans="1:19" x14ac:dyDescent="0.25">
      <c r="A6910">
        <v>101378786</v>
      </c>
      <c r="B6910" t="s">
        <v>3096</v>
      </c>
      <c r="C6910" t="s">
        <v>16472</v>
      </c>
      <c r="G6910" t="s">
        <v>16473</v>
      </c>
      <c r="H6910" t="s">
        <v>16474</v>
      </c>
      <c r="I6910" t="s">
        <v>191</v>
      </c>
      <c r="J6910">
        <v>4079</v>
      </c>
      <c r="K6910">
        <v>3056</v>
      </c>
      <c r="L6910" t="s">
        <v>23</v>
      </c>
      <c r="M6910" t="s">
        <v>16473</v>
      </c>
      <c r="N6910" t="s">
        <v>16474</v>
      </c>
      <c r="O6910" t="s">
        <v>191</v>
      </c>
      <c r="P6910">
        <v>4079</v>
      </c>
      <c r="Q6910">
        <v>3056</v>
      </c>
      <c r="R6910" t="s">
        <v>23</v>
      </c>
      <c r="S6910" s="1" t="s">
        <v>34218</v>
      </c>
    </row>
    <row r="6911" spans="1:19" x14ac:dyDescent="0.25">
      <c r="A6911">
        <v>101380108</v>
      </c>
      <c r="B6911" t="s">
        <v>16475</v>
      </c>
      <c r="C6911" t="s">
        <v>1327</v>
      </c>
      <c r="G6911" t="s">
        <v>16476</v>
      </c>
      <c r="H6911" t="s">
        <v>9309</v>
      </c>
      <c r="I6911" t="s">
        <v>22</v>
      </c>
      <c r="J6911">
        <v>94550</v>
      </c>
      <c r="K6911">
        <v>4109</v>
      </c>
      <c r="L6911" t="s">
        <v>23</v>
      </c>
      <c r="M6911" t="s">
        <v>16476</v>
      </c>
      <c r="N6911" t="s">
        <v>9309</v>
      </c>
      <c r="O6911" t="s">
        <v>22</v>
      </c>
      <c r="P6911">
        <v>94550</v>
      </c>
      <c r="Q6911">
        <v>4109</v>
      </c>
      <c r="R6911" t="s">
        <v>23</v>
      </c>
      <c r="S6911" s="1" t="s">
        <v>34218</v>
      </c>
    </row>
    <row r="6912" spans="1:19" x14ac:dyDescent="0.25">
      <c r="A6912">
        <v>101380608</v>
      </c>
      <c r="B6912" t="s">
        <v>4583</v>
      </c>
      <c r="C6912" t="s">
        <v>25</v>
      </c>
      <c r="F6912" t="str">
        <f>"2407230517"</f>
        <v>2407230517</v>
      </c>
      <c r="G6912" t="s">
        <v>16477</v>
      </c>
      <c r="H6912" t="s">
        <v>12543</v>
      </c>
      <c r="I6912" t="s">
        <v>148</v>
      </c>
      <c r="J6912">
        <v>20715</v>
      </c>
      <c r="K6912">
        <v>2004</v>
      </c>
      <c r="L6912" t="s">
        <v>23</v>
      </c>
      <c r="M6912" t="s">
        <v>16477</v>
      </c>
      <c r="N6912" t="s">
        <v>12543</v>
      </c>
      <c r="O6912" t="s">
        <v>148</v>
      </c>
      <c r="P6912">
        <v>20715</v>
      </c>
      <c r="Q6912">
        <v>2004</v>
      </c>
      <c r="R6912" t="s">
        <v>23</v>
      </c>
      <c r="S6912" s="1" t="s">
        <v>34218</v>
      </c>
    </row>
    <row r="6913" spans="1:19" x14ac:dyDescent="0.25">
      <c r="A6913">
        <v>100811964</v>
      </c>
      <c r="B6913" t="s">
        <v>14063</v>
      </c>
      <c r="C6913" t="s">
        <v>16478</v>
      </c>
      <c r="G6913" t="s">
        <v>16479</v>
      </c>
      <c r="H6913" t="s">
        <v>761</v>
      </c>
      <c r="I6913" t="s">
        <v>22</v>
      </c>
      <c r="J6913">
        <v>94519</v>
      </c>
      <c r="L6913" t="s">
        <v>23</v>
      </c>
      <c r="M6913" t="s">
        <v>16479</v>
      </c>
      <c r="N6913" t="s">
        <v>761</v>
      </c>
      <c r="O6913" t="s">
        <v>22</v>
      </c>
      <c r="P6913">
        <v>94519</v>
      </c>
      <c r="R6913" t="s">
        <v>23</v>
      </c>
      <c r="S6913" s="1" t="s">
        <v>34218</v>
      </c>
    </row>
    <row r="6914" spans="1:19" x14ac:dyDescent="0.25">
      <c r="A6914">
        <v>101420512</v>
      </c>
      <c r="B6914" t="s">
        <v>16480</v>
      </c>
      <c r="C6914" t="s">
        <v>1859</v>
      </c>
      <c r="G6914" t="s">
        <v>16481</v>
      </c>
      <c r="H6914" t="s">
        <v>2319</v>
      </c>
      <c r="I6914" t="s">
        <v>117</v>
      </c>
      <c r="J6914">
        <v>10310</v>
      </c>
      <c r="K6914">
        <v>1626</v>
      </c>
      <c r="L6914" t="s">
        <v>23</v>
      </c>
      <c r="M6914" t="s">
        <v>16481</v>
      </c>
      <c r="N6914" t="s">
        <v>2319</v>
      </c>
      <c r="O6914" t="s">
        <v>117</v>
      </c>
      <c r="P6914">
        <v>10310</v>
      </c>
      <c r="Q6914">
        <v>1626</v>
      </c>
      <c r="R6914" t="s">
        <v>23</v>
      </c>
      <c r="S6914" s="1" t="s">
        <v>34218</v>
      </c>
    </row>
    <row r="6915" spans="1:19" x14ac:dyDescent="0.25">
      <c r="A6915">
        <v>101408603</v>
      </c>
      <c r="B6915" t="s">
        <v>3296</v>
      </c>
      <c r="C6915" t="s">
        <v>6689</v>
      </c>
      <c r="G6915" t="s">
        <v>16482</v>
      </c>
      <c r="H6915" t="s">
        <v>147</v>
      </c>
      <c r="I6915" t="s">
        <v>22</v>
      </c>
      <c r="J6915">
        <v>91103</v>
      </c>
      <c r="K6915">
        <v>3719</v>
      </c>
      <c r="L6915" t="s">
        <v>23</v>
      </c>
      <c r="M6915" t="s">
        <v>16482</v>
      </c>
      <c r="N6915" t="s">
        <v>147</v>
      </c>
      <c r="O6915" t="s">
        <v>22</v>
      </c>
      <c r="P6915">
        <v>91103</v>
      </c>
      <c r="Q6915">
        <v>3719</v>
      </c>
      <c r="R6915" t="s">
        <v>23</v>
      </c>
      <c r="S6915" s="1" t="s">
        <v>34218</v>
      </c>
    </row>
    <row r="6916" spans="1:19" x14ac:dyDescent="0.25">
      <c r="A6916">
        <v>101404296</v>
      </c>
      <c r="B6916" t="s">
        <v>16483</v>
      </c>
      <c r="C6916" t="s">
        <v>513</v>
      </c>
      <c r="G6916" t="s">
        <v>16484</v>
      </c>
      <c r="H6916" t="s">
        <v>869</v>
      </c>
      <c r="I6916" t="s">
        <v>52</v>
      </c>
      <c r="J6916">
        <v>33143</v>
      </c>
      <c r="K6916">
        <v>7004</v>
      </c>
      <c r="L6916" t="s">
        <v>23</v>
      </c>
      <c r="M6916" t="s">
        <v>16484</v>
      </c>
      <c r="N6916" t="s">
        <v>869</v>
      </c>
      <c r="O6916" t="s">
        <v>52</v>
      </c>
      <c r="P6916">
        <v>33143</v>
      </c>
      <c r="Q6916">
        <v>7004</v>
      </c>
      <c r="R6916" t="s">
        <v>23</v>
      </c>
      <c r="S6916" s="1" t="s">
        <v>34218</v>
      </c>
    </row>
    <row r="6917" spans="1:19" x14ac:dyDescent="0.25">
      <c r="A6917">
        <v>101446361</v>
      </c>
      <c r="B6917" t="s">
        <v>16485</v>
      </c>
      <c r="C6917" t="s">
        <v>2758</v>
      </c>
      <c r="G6917" t="s">
        <v>16486</v>
      </c>
      <c r="H6917" t="s">
        <v>16487</v>
      </c>
      <c r="I6917" t="s">
        <v>187</v>
      </c>
      <c r="J6917" t="s">
        <v>16488</v>
      </c>
      <c r="K6917">
        <v>7529</v>
      </c>
      <c r="L6917" t="s">
        <v>23</v>
      </c>
      <c r="M6917" t="s">
        <v>16486</v>
      </c>
      <c r="N6917" t="s">
        <v>16487</v>
      </c>
      <c r="O6917" t="s">
        <v>187</v>
      </c>
      <c r="P6917" t="s">
        <v>16488</v>
      </c>
      <c r="Q6917">
        <v>7529</v>
      </c>
      <c r="R6917" t="s">
        <v>23</v>
      </c>
      <c r="S6917" s="1" t="s">
        <v>34218</v>
      </c>
    </row>
    <row r="6918" spans="1:19" x14ac:dyDescent="0.25">
      <c r="A6918">
        <v>101245043</v>
      </c>
      <c r="B6918" t="s">
        <v>16489</v>
      </c>
      <c r="C6918" t="s">
        <v>16490</v>
      </c>
      <c r="G6918" t="s">
        <v>16491</v>
      </c>
      <c r="H6918" t="s">
        <v>1096</v>
      </c>
      <c r="I6918" t="s">
        <v>1097</v>
      </c>
      <c r="J6918">
        <v>40291</v>
      </c>
      <c r="K6918">
        <v>5614</v>
      </c>
      <c r="L6918" t="s">
        <v>23</v>
      </c>
      <c r="M6918" t="s">
        <v>16491</v>
      </c>
      <c r="N6918" t="s">
        <v>1096</v>
      </c>
      <c r="O6918" t="s">
        <v>1097</v>
      </c>
      <c r="P6918">
        <v>40291</v>
      </c>
      <c r="Q6918">
        <v>5614</v>
      </c>
      <c r="R6918" t="s">
        <v>23</v>
      </c>
      <c r="S6918" s="1" t="s">
        <v>34218</v>
      </c>
    </row>
    <row r="6919" spans="1:19" x14ac:dyDescent="0.25">
      <c r="A6919">
        <v>101471288</v>
      </c>
      <c r="B6919" t="s">
        <v>16492</v>
      </c>
      <c r="C6919" t="s">
        <v>15088</v>
      </c>
      <c r="G6919" t="s">
        <v>16493</v>
      </c>
      <c r="H6919" t="s">
        <v>1531</v>
      </c>
      <c r="I6919" t="s">
        <v>84</v>
      </c>
      <c r="J6919">
        <v>98117</v>
      </c>
      <c r="K6919">
        <v>4059</v>
      </c>
      <c r="L6919" t="s">
        <v>23</v>
      </c>
      <c r="M6919" t="s">
        <v>16493</v>
      </c>
      <c r="N6919" t="s">
        <v>1531</v>
      </c>
      <c r="O6919" t="s">
        <v>84</v>
      </c>
      <c r="P6919">
        <v>98117</v>
      </c>
      <c r="Q6919">
        <v>4059</v>
      </c>
      <c r="R6919" t="s">
        <v>23</v>
      </c>
      <c r="S6919" s="1" t="s">
        <v>34218</v>
      </c>
    </row>
    <row r="6920" spans="1:19" x14ac:dyDescent="0.25">
      <c r="A6920">
        <v>101471292</v>
      </c>
      <c r="B6920" t="s">
        <v>16494</v>
      </c>
      <c r="C6920" t="s">
        <v>579</v>
      </c>
      <c r="G6920" t="s">
        <v>16495</v>
      </c>
      <c r="H6920" t="s">
        <v>653</v>
      </c>
      <c r="I6920" t="s">
        <v>117</v>
      </c>
      <c r="J6920">
        <v>10011</v>
      </c>
      <c r="K6920">
        <v>2122</v>
      </c>
      <c r="L6920" t="s">
        <v>23</v>
      </c>
      <c r="M6920" t="s">
        <v>16495</v>
      </c>
      <c r="N6920" t="s">
        <v>653</v>
      </c>
      <c r="O6920" t="s">
        <v>117</v>
      </c>
      <c r="P6920">
        <v>10011</v>
      </c>
      <c r="Q6920">
        <v>2122</v>
      </c>
      <c r="R6920" t="s">
        <v>23</v>
      </c>
      <c r="S6920" s="1" t="s">
        <v>34218</v>
      </c>
    </row>
    <row r="6921" spans="1:19" x14ac:dyDescent="0.25">
      <c r="A6921">
        <v>101431192</v>
      </c>
      <c r="B6921" t="s">
        <v>16496</v>
      </c>
      <c r="C6921" t="s">
        <v>2849</v>
      </c>
      <c r="G6921" t="s">
        <v>16497</v>
      </c>
      <c r="H6921" t="s">
        <v>5940</v>
      </c>
      <c r="I6921" t="s">
        <v>52</v>
      </c>
      <c r="J6921">
        <v>32653</v>
      </c>
      <c r="K6921">
        <v>29</v>
      </c>
      <c r="L6921" t="s">
        <v>23</v>
      </c>
      <c r="M6921" t="s">
        <v>16497</v>
      </c>
      <c r="N6921" t="s">
        <v>5940</v>
      </c>
      <c r="O6921" t="s">
        <v>52</v>
      </c>
      <c r="P6921">
        <v>32653</v>
      </c>
      <c r="Q6921">
        <v>29</v>
      </c>
      <c r="R6921" t="s">
        <v>23</v>
      </c>
      <c r="S6921" s="1" t="s">
        <v>34218</v>
      </c>
    </row>
    <row r="6922" spans="1:19" x14ac:dyDescent="0.25">
      <c r="A6922">
        <v>101419772</v>
      </c>
      <c r="B6922" t="s">
        <v>867</v>
      </c>
      <c r="C6922" t="s">
        <v>7445</v>
      </c>
      <c r="G6922" t="s">
        <v>16498</v>
      </c>
      <c r="H6922" t="s">
        <v>688</v>
      </c>
      <c r="I6922" t="s">
        <v>117</v>
      </c>
      <c r="J6922">
        <v>14607</v>
      </c>
      <c r="K6922">
        <v>3522</v>
      </c>
      <c r="L6922" t="s">
        <v>23</v>
      </c>
      <c r="M6922" t="s">
        <v>16498</v>
      </c>
      <c r="N6922" t="s">
        <v>688</v>
      </c>
      <c r="O6922" t="s">
        <v>117</v>
      </c>
      <c r="P6922">
        <v>14607</v>
      </c>
      <c r="Q6922">
        <v>3522</v>
      </c>
      <c r="R6922" t="s">
        <v>23</v>
      </c>
      <c r="S6922" s="1" t="s">
        <v>34218</v>
      </c>
    </row>
    <row r="6923" spans="1:19" x14ac:dyDescent="0.25">
      <c r="A6923">
        <v>101454740</v>
      </c>
      <c r="B6923" t="s">
        <v>13147</v>
      </c>
      <c r="C6923" t="s">
        <v>3113</v>
      </c>
      <c r="G6923" t="s">
        <v>16499</v>
      </c>
      <c r="H6923" t="s">
        <v>2629</v>
      </c>
      <c r="I6923" t="s">
        <v>22</v>
      </c>
      <c r="J6923">
        <v>94965</v>
      </c>
      <c r="K6923">
        <v>1159</v>
      </c>
      <c r="L6923" t="s">
        <v>23</v>
      </c>
      <c r="M6923" t="s">
        <v>16499</v>
      </c>
      <c r="N6923" t="s">
        <v>2629</v>
      </c>
      <c r="O6923" t="s">
        <v>22</v>
      </c>
      <c r="P6923">
        <v>94965</v>
      </c>
      <c r="Q6923">
        <v>1159</v>
      </c>
      <c r="R6923" t="s">
        <v>23</v>
      </c>
      <c r="S6923" s="1" t="s">
        <v>34218</v>
      </c>
    </row>
    <row r="6924" spans="1:19" x14ac:dyDescent="0.25">
      <c r="A6924">
        <v>101409037</v>
      </c>
      <c r="B6924" t="s">
        <v>16500</v>
      </c>
      <c r="C6924" t="s">
        <v>167</v>
      </c>
      <c r="G6924" t="s">
        <v>16501</v>
      </c>
      <c r="H6924" t="s">
        <v>5125</v>
      </c>
      <c r="I6924" t="s">
        <v>71</v>
      </c>
      <c r="J6924">
        <v>80118</v>
      </c>
      <c r="K6924">
        <v>8223</v>
      </c>
      <c r="L6924" t="s">
        <v>23</v>
      </c>
      <c r="M6924" t="s">
        <v>16501</v>
      </c>
      <c r="N6924" t="s">
        <v>5125</v>
      </c>
      <c r="O6924" t="s">
        <v>71</v>
      </c>
      <c r="P6924">
        <v>80118</v>
      </c>
      <c r="Q6924">
        <v>8223</v>
      </c>
      <c r="R6924" t="s">
        <v>23</v>
      </c>
      <c r="S6924" s="1" t="s">
        <v>34218</v>
      </c>
    </row>
    <row r="6925" spans="1:19" x14ac:dyDescent="0.25">
      <c r="A6925">
        <v>101272579</v>
      </c>
      <c r="B6925" t="s">
        <v>11588</v>
      </c>
      <c r="C6925" t="s">
        <v>1327</v>
      </c>
      <c r="G6925" t="s">
        <v>16502</v>
      </c>
      <c r="H6925" t="s">
        <v>2367</v>
      </c>
      <c r="I6925" t="s">
        <v>255</v>
      </c>
      <c r="J6925">
        <v>23518</v>
      </c>
      <c r="K6925">
        <v>4519</v>
      </c>
      <c r="L6925" t="s">
        <v>23</v>
      </c>
      <c r="M6925" t="s">
        <v>16502</v>
      </c>
      <c r="N6925" t="s">
        <v>2367</v>
      </c>
      <c r="O6925" t="s">
        <v>255</v>
      </c>
      <c r="P6925">
        <v>23518</v>
      </c>
      <c r="Q6925">
        <v>4519</v>
      </c>
      <c r="R6925" t="s">
        <v>23</v>
      </c>
      <c r="S6925" s="1" t="s">
        <v>34218</v>
      </c>
    </row>
    <row r="6926" spans="1:19" x14ac:dyDescent="0.25">
      <c r="A6926">
        <v>100663887</v>
      </c>
      <c r="B6926" t="s">
        <v>1429</v>
      </c>
      <c r="C6926" t="s">
        <v>329</v>
      </c>
      <c r="G6926" t="s">
        <v>16503</v>
      </c>
      <c r="H6926" t="s">
        <v>16504</v>
      </c>
      <c r="I6926" t="s">
        <v>914</v>
      </c>
      <c r="J6926">
        <v>37160</v>
      </c>
      <c r="K6926">
        <v>6963</v>
      </c>
      <c r="L6926" t="s">
        <v>23</v>
      </c>
      <c r="M6926" t="s">
        <v>16503</v>
      </c>
      <c r="N6926" t="s">
        <v>16504</v>
      </c>
      <c r="O6926" t="s">
        <v>914</v>
      </c>
      <c r="P6926">
        <v>37160</v>
      </c>
      <c r="Q6926">
        <v>6963</v>
      </c>
      <c r="R6926" t="s">
        <v>23</v>
      </c>
      <c r="S6926" s="1" t="s">
        <v>34218</v>
      </c>
    </row>
    <row r="6927" spans="1:19" x14ac:dyDescent="0.25">
      <c r="A6927">
        <v>100515597</v>
      </c>
      <c r="B6927" t="s">
        <v>1591</v>
      </c>
      <c r="C6927" t="s">
        <v>3027</v>
      </c>
      <c r="G6927" t="s">
        <v>16505</v>
      </c>
      <c r="H6927" t="s">
        <v>2208</v>
      </c>
      <c r="I6927" t="s">
        <v>135</v>
      </c>
      <c r="J6927">
        <v>60014</v>
      </c>
      <c r="K6927">
        <v>4434</v>
      </c>
      <c r="L6927" t="s">
        <v>23</v>
      </c>
      <c r="M6927" t="s">
        <v>16505</v>
      </c>
      <c r="N6927" t="s">
        <v>2208</v>
      </c>
      <c r="O6927" t="s">
        <v>135</v>
      </c>
      <c r="P6927">
        <v>60014</v>
      </c>
      <c r="Q6927">
        <v>4434</v>
      </c>
      <c r="R6927" t="s">
        <v>23</v>
      </c>
      <c r="S6927" s="1" t="s">
        <v>34218</v>
      </c>
    </row>
    <row r="6928" spans="1:19" x14ac:dyDescent="0.25">
      <c r="A6928">
        <v>101432265</v>
      </c>
      <c r="B6928" t="s">
        <v>16506</v>
      </c>
      <c r="C6928" t="s">
        <v>403</v>
      </c>
      <c r="G6928" t="s">
        <v>16507</v>
      </c>
      <c r="H6928" t="s">
        <v>331</v>
      </c>
      <c r="I6928" t="s">
        <v>332</v>
      </c>
      <c r="J6928">
        <v>84111</v>
      </c>
      <c r="K6928">
        <v>4321</v>
      </c>
      <c r="L6928" t="s">
        <v>23</v>
      </c>
      <c r="M6928" t="s">
        <v>16507</v>
      </c>
      <c r="N6928" t="s">
        <v>331</v>
      </c>
      <c r="O6928" t="s">
        <v>332</v>
      </c>
      <c r="P6928">
        <v>84111</v>
      </c>
      <c r="Q6928">
        <v>4321</v>
      </c>
      <c r="R6928" t="s">
        <v>23</v>
      </c>
      <c r="S6928" s="1" t="s">
        <v>34218</v>
      </c>
    </row>
    <row r="6929" spans="1:19" x14ac:dyDescent="0.25">
      <c r="A6929">
        <v>101359688</v>
      </c>
      <c r="B6929" t="s">
        <v>16508</v>
      </c>
      <c r="C6929" t="s">
        <v>1153</v>
      </c>
      <c r="G6929" t="s">
        <v>16509</v>
      </c>
      <c r="H6929" t="s">
        <v>13746</v>
      </c>
      <c r="I6929" t="s">
        <v>22</v>
      </c>
      <c r="J6929">
        <v>90660</v>
      </c>
      <c r="K6929">
        <v>2606</v>
      </c>
      <c r="L6929" t="s">
        <v>23</v>
      </c>
      <c r="M6929" t="s">
        <v>16509</v>
      </c>
      <c r="N6929" t="s">
        <v>13746</v>
      </c>
      <c r="O6929" t="s">
        <v>22</v>
      </c>
      <c r="P6929">
        <v>90660</v>
      </c>
      <c r="Q6929">
        <v>2606</v>
      </c>
      <c r="R6929" t="s">
        <v>23</v>
      </c>
      <c r="S6929" s="1" t="s">
        <v>34218</v>
      </c>
    </row>
    <row r="6930" spans="1:19" x14ac:dyDescent="0.25">
      <c r="A6930">
        <v>101169901</v>
      </c>
      <c r="B6930" t="s">
        <v>16510</v>
      </c>
      <c r="C6930" t="s">
        <v>613</v>
      </c>
      <c r="G6930" t="s">
        <v>16511</v>
      </c>
      <c r="H6930" t="s">
        <v>16512</v>
      </c>
      <c r="I6930" t="s">
        <v>52</v>
      </c>
      <c r="J6930">
        <v>33708</v>
      </c>
      <c r="K6930">
        <v>2049</v>
      </c>
      <c r="L6930" t="s">
        <v>23</v>
      </c>
      <c r="M6930" t="s">
        <v>16511</v>
      </c>
      <c r="N6930" t="s">
        <v>16512</v>
      </c>
      <c r="O6930" t="s">
        <v>52</v>
      </c>
      <c r="P6930">
        <v>33708</v>
      </c>
      <c r="Q6930">
        <v>2049</v>
      </c>
      <c r="R6930" t="s">
        <v>23</v>
      </c>
      <c r="S6930" s="1" t="s">
        <v>34218</v>
      </c>
    </row>
    <row r="6931" spans="1:19" x14ac:dyDescent="0.25">
      <c r="A6931">
        <v>101052279</v>
      </c>
      <c r="B6931" t="s">
        <v>16513</v>
      </c>
      <c r="C6931" t="s">
        <v>16514</v>
      </c>
      <c r="H6931" t="s">
        <v>16515</v>
      </c>
      <c r="I6931" t="s">
        <v>22</v>
      </c>
      <c r="J6931">
        <v>150</v>
      </c>
      <c r="L6931" t="s">
        <v>23</v>
      </c>
      <c r="N6931" t="s">
        <v>16515</v>
      </c>
      <c r="O6931" t="s">
        <v>22</v>
      </c>
      <c r="P6931">
        <v>150</v>
      </c>
      <c r="R6931" t="s">
        <v>23</v>
      </c>
      <c r="S6931" s="1" t="s">
        <v>34218</v>
      </c>
    </row>
    <row r="6932" spans="1:19" x14ac:dyDescent="0.25">
      <c r="A6932">
        <v>101404902</v>
      </c>
      <c r="B6932" t="s">
        <v>16516</v>
      </c>
      <c r="C6932" t="s">
        <v>1859</v>
      </c>
      <c r="G6932" t="s">
        <v>16517</v>
      </c>
      <c r="H6932" t="s">
        <v>3862</v>
      </c>
      <c r="I6932" t="s">
        <v>33</v>
      </c>
      <c r="J6932">
        <v>19380</v>
      </c>
      <c r="L6932" t="s">
        <v>23</v>
      </c>
      <c r="M6932" t="s">
        <v>16517</v>
      </c>
      <c r="N6932" t="s">
        <v>3862</v>
      </c>
      <c r="O6932" t="s">
        <v>33</v>
      </c>
      <c r="P6932">
        <v>19380</v>
      </c>
      <c r="R6932" t="s">
        <v>23</v>
      </c>
      <c r="S6932" s="1" t="s">
        <v>34218</v>
      </c>
    </row>
    <row r="6933" spans="1:19" x14ac:dyDescent="0.25">
      <c r="A6933">
        <v>101349413</v>
      </c>
      <c r="B6933" t="s">
        <v>306</v>
      </c>
      <c r="C6933" t="s">
        <v>25</v>
      </c>
      <c r="G6933" t="s">
        <v>16518</v>
      </c>
      <c r="H6933" t="s">
        <v>198</v>
      </c>
      <c r="I6933" t="s">
        <v>22</v>
      </c>
      <c r="J6933">
        <v>92119</v>
      </c>
      <c r="K6933">
        <v>2932</v>
      </c>
      <c r="L6933" t="s">
        <v>23</v>
      </c>
      <c r="M6933" t="s">
        <v>16518</v>
      </c>
      <c r="N6933" t="s">
        <v>198</v>
      </c>
      <c r="O6933" t="s">
        <v>22</v>
      </c>
      <c r="P6933">
        <v>92119</v>
      </c>
      <c r="Q6933">
        <v>2932</v>
      </c>
      <c r="R6933" t="s">
        <v>23</v>
      </c>
      <c r="S6933" s="1" t="s">
        <v>34218</v>
      </c>
    </row>
    <row r="6934" spans="1:19" x14ac:dyDescent="0.25">
      <c r="A6934">
        <v>101328423</v>
      </c>
      <c r="B6934" t="s">
        <v>5642</v>
      </c>
      <c r="C6934" t="s">
        <v>313</v>
      </c>
      <c r="G6934" t="s">
        <v>16519</v>
      </c>
      <c r="H6934" t="s">
        <v>1246</v>
      </c>
      <c r="I6934" t="s">
        <v>140</v>
      </c>
      <c r="J6934">
        <v>49546</v>
      </c>
      <c r="K6934">
        <v>2288</v>
      </c>
      <c r="L6934" t="s">
        <v>23</v>
      </c>
      <c r="M6934" t="s">
        <v>16519</v>
      </c>
      <c r="N6934" t="s">
        <v>1246</v>
      </c>
      <c r="O6934" t="s">
        <v>140</v>
      </c>
      <c r="P6934">
        <v>49546</v>
      </c>
      <c r="Q6934">
        <v>2288</v>
      </c>
      <c r="R6934" t="s">
        <v>23</v>
      </c>
      <c r="S6934" s="1" t="s">
        <v>34218</v>
      </c>
    </row>
    <row r="6935" spans="1:19" x14ac:dyDescent="0.25">
      <c r="A6935">
        <v>101313383</v>
      </c>
      <c r="B6935" t="s">
        <v>16520</v>
      </c>
      <c r="C6935" t="s">
        <v>102</v>
      </c>
      <c r="G6935" t="s">
        <v>16521</v>
      </c>
      <c r="H6935" t="s">
        <v>2231</v>
      </c>
      <c r="I6935" t="s">
        <v>365</v>
      </c>
      <c r="J6935">
        <v>85301</v>
      </c>
      <c r="K6935">
        <v>2715</v>
      </c>
      <c r="L6935" t="s">
        <v>23</v>
      </c>
      <c r="M6935" t="s">
        <v>16521</v>
      </c>
      <c r="N6935" t="s">
        <v>2231</v>
      </c>
      <c r="O6935" t="s">
        <v>365</v>
      </c>
      <c r="P6935">
        <v>85301</v>
      </c>
      <c r="Q6935">
        <v>2715</v>
      </c>
      <c r="R6935" t="s">
        <v>23</v>
      </c>
      <c r="S6935" s="1" t="s">
        <v>34218</v>
      </c>
    </row>
    <row r="6936" spans="1:19" x14ac:dyDescent="0.25">
      <c r="A6936">
        <v>101302005</v>
      </c>
      <c r="B6936" t="s">
        <v>16522</v>
      </c>
      <c r="C6936" t="s">
        <v>7844</v>
      </c>
      <c r="G6936" t="s">
        <v>16523</v>
      </c>
      <c r="H6936" t="s">
        <v>16524</v>
      </c>
      <c r="I6936" t="s">
        <v>117</v>
      </c>
      <c r="J6936">
        <v>10588</v>
      </c>
      <c r="K6936">
        <v>1214</v>
      </c>
      <c r="L6936" t="s">
        <v>23</v>
      </c>
      <c r="M6936" t="s">
        <v>16523</v>
      </c>
      <c r="N6936" t="s">
        <v>16524</v>
      </c>
      <c r="O6936" t="s">
        <v>117</v>
      </c>
      <c r="P6936">
        <v>10588</v>
      </c>
      <c r="Q6936">
        <v>1214</v>
      </c>
      <c r="R6936" t="s">
        <v>23</v>
      </c>
      <c r="S6936" s="1" t="s">
        <v>34218</v>
      </c>
    </row>
    <row r="6937" spans="1:19" x14ac:dyDescent="0.25">
      <c r="A6937">
        <v>101360837</v>
      </c>
      <c r="B6937" t="s">
        <v>5478</v>
      </c>
      <c r="C6937" t="s">
        <v>158</v>
      </c>
      <c r="G6937" t="s">
        <v>16525</v>
      </c>
      <c r="H6937" t="s">
        <v>1355</v>
      </c>
      <c r="I6937" t="s">
        <v>117</v>
      </c>
      <c r="J6937">
        <v>10950</v>
      </c>
      <c r="K6937">
        <v>2548</v>
      </c>
      <c r="L6937" t="s">
        <v>23</v>
      </c>
      <c r="M6937" t="s">
        <v>16525</v>
      </c>
      <c r="N6937" t="s">
        <v>1355</v>
      </c>
      <c r="O6937" t="s">
        <v>117</v>
      </c>
      <c r="P6937">
        <v>10950</v>
      </c>
      <c r="Q6937">
        <v>2548</v>
      </c>
      <c r="R6937" t="s">
        <v>23</v>
      </c>
      <c r="S6937" s="1" t="s">
        <v>34218</v>
      </c>
    </row>
    <row r="6938" spans="1:19" x14ac:dyDescent="0.25">
      <c r="A6938">
        <v>100515596</v>
      </c>
      <c r="B6938" t="s">
        <v>16526</v>
      </c>
      <c r="C6938" t="s">
        <v>3590</v>
      </c>
      <c r="G6938" t="s">
        <v>16527</v>
      </c>
      <c r="H6938" t="s">
        <v>6545</v>
      </c>
      <c r="I6938" t="s">
        <v>22</v>
      </c>
      <c r="J6938">
        <v>94973</v>
      </c>
      <c r="L6938" t="s">
        <v>23</v>
      </c>
      <c r="M6938" t="s">
        <v>16527</v>
      </c>
      <c r="N6938" t="s">
        <v>6545</v>
      </c>
      <c r="O6938" t="s">
        <v>22</v>
      </c>
      <c r="P6938">
        <v>94973</v>
      </c>
      <c r="R6938" t="s">
        <v>23</v>
      </c>
      <c r="S6938" s="1" t="s">
        <v>34218</v>
      </c>
    </row>
    <row r="6939" spans="1:19" x14ac:dyDescent="0.25">
      <c r="A6939">
        <v>101434059</v>
      </c>
      <c r="B6939" t="s">
        <v>16528</v>
      </c>
      <c r="C6939" t="s">
        <v>16529</v>
      </c>
      <c r="G6939" t="s">
        <v>16530</v>
      </c>
      <c r="H6939" t="s">
        <v>16531</v>
      </c>
      <c r="I6939" t="s">
        <v>250</v>
      </c>
      <c r="J6939">
        <v>7044</v>
      </c>
      <c r="K6939">
        <v>2547</v>
      </c>
      <c r="L6939" t="s">
        <v>23</v>
      </c>
      <c r="M6939" t="s">
        <v>16530</v>
      </c>
      <c r="N6939" t="s">
        <v>16531</v>
      </c>
      <c r="O6939" t="s">
        <v>250</v>
      </c>
      <c r="P6939">
        <v>7044</v>
      </c>
      <c r="Q6939">
        <v>2547</v>
      </c>
      <c r="R6939" t="s">
        <v>23</v>
      </c>
      <c r="S6939" s="1" t="s">
        <v>34218</v>
      </c>
    </row>
    <row r="6940" spans="1:19" x14ac:dyDescent="0.25">
      <c r="A6940">
        <v>101228251</v>
      </c>
      <c r="B6940" t="s">
        <v>1164</v>
      </c>
      <c r="C6940" t="s">
        <v>1346</v>
      </c>
      <c r="G6940" t="s">
        <v>16532</v>
      </c>
      <c r="H6940" t="s">
        <v>1052</v>
      </c>
      <c r="I6940" t="s">
        <v>22</v>
      </c>
      <c r="J6940">
        <v>94706</v>
      </c>
      <c r="K6940">
        <v>1511</v>
      </c>
      <c r="L6940" t="s">
        <v>23</v>
      </c>
      <c r="M6940" t="s">
        <v>16532</v>
      </c>
      <c r="N6940" t="s">
        <v>1052</v>
      </c>
      <c r="O6940" t="s">
        <v>22</v>
      </c>
      <c r="P6940">
        <v>94706</v>
      </c>
      <c r="Q6940">
        <v>1511</v>
      </c>
      <c r="R6940" t="s">
        <v>23</v>
      </c>
      <c r="S6940" s="1" t="s">
        <v>34218</v>
      </c>
    </row>
    <row r="6941" spans="1:19" x14ac:dyDescent="0.25">
      <c r="A6941">
        <v>101422532</v>
      </c>
      <c r="B6941" t="s">
        <v>16533</v>
      </c>
      <c r="C6941" t="s">
        <v>286</v>
      </c>
      <c r="G6941" t="s">
        <v>16534</v>
      </c>
      <c r="H6941" t="s">
        <v>13397</v>
      </c>
      <c r="I6941" t="s">
        <v>187</v>
      </c>
      <c r="J6941">
        <v>55124</v>
      </c>
      <c r="K6941">
        <v>7912</v>
      </c>
      <c r="L6941" t="s">
        <v>23</v>
      </c>
      <c r="M6941" t="s">
        <v>16534</v>
      </c>
      <c r="N6941" t="s">
        <v>13397</v>
      </c>
      <c r="O6941" t="s">
        <v>187</v>
      </c>
      <c r="P6941">
        <v>55124</v>
      </c>
      <c r="Q6941">
        <v>7912</v>
      </c>
      <c r="R6941" t="s">
        <v>23</v>
      </c>
      <c r="S6941" s="1" t="s">
        <v>34218</v>
      </c>
    </row>
    <row r="6942" spans="1:19" x14ac:dyDescent="0.25">
      <c r="A6942">
        <v>100568532</v>
      </c>
      <c r="B6942" t="s">
        <v>16535</v>
      </c>
      <c r="C6942" t="s">
        <v>40</v>
      </c>
      <c r="G6942" t="s">
        <v>16536</v>
      </c>
      <c r="H6942" t="s">
        <v>1625</v>
      </c>
      <c r="I6942" t="s">
        <v>702</v>
      </c>
      <c r="J6942">
        <v>89002</v>
      </c>
      <c r="L6942" t="s">
        <v>23</v>
      </c>
      <c r="M6942" t="s">
        <v>16536</v>
      </c>
      <c r="N6942" t="s">
        <v>1625</v>
      </c>
      <c r="O6942" t="s">
        <v>702</v>
      </c>
      <c r="P6942">
        <v>89002</v>
      </c>
      <c r="R6942" t="s">
        <v>23</v>
      </c>
      <c r="S6942" s="1" t="s">
        <v>34218</v>
      </c>
    </row>
    <row r="6943" spans="1:19" x14ac:dyDescent="0.25">
      <c r="A6943">
        <v>101297836</v>
      </c>
      <c r="B6943" t="s">
        <v>16537</v>
      </c>
      <c r="C6943" t="s">
        <v>158</v>
      </c>
      <c r="G6943" t="s">
        <v>16538</v>
      </c>
      <c r="H6943" t="s">
        <v>496</v>
      </c>
      <c r="I6943" t="s">
        <v>22</v>
      </c>
      <c r="J6943">
        <v>94954</v>
      </c>
      <c r="K6943">
        <v>3001</v>
      </c>
      <c r="L6943" t="s">
        <v>23</v>
      </c>
      <c r="M6943" t="s">
        <v>16538</v>
      </c>
      <c r="N6943" t="s">
        <v>496</v>
      </c>
      <c r="O6943" t="s">
        <v>22</v>
      </c>
      <c r="P6943">
        <v>94954</v>
      </c>
      <c r="Q6943">
        <v>3001</v>
      </c>
      <c r="R6943" t="s">
        <v>23</v>
      </c>
      <c r="S6943" s="1" t="s">
        <v>34218</v>
      </c>
    </row>
    <row r="6944" spans="1:19" x14ac:dyDescent="0.25">
      <c r="A6944">
        <v>101297981</v>
      </c>
      <c r="B6944" t="s">
        <v>15796</v>
      </c>
      <c r="C6944" t="s">
        <v>216</v>
      </c>
      <c r="G6944" t="s">
        <v>16539</v>
      </c>
      <c r="H6944" t="s">
        <v>454</v>
      </c>
      <c r="I6944" t="s">
        <v>22</v>
      </c>
      <c r="J6944">
        <v>93063</v>
      </c>
      <c r="K6944">
        <v>2003</v>
      </c>
      <c r="L6944" t="s">
        <v>23</v>
      </c>
      <c r="M6944" t="s">
        <v>16539</v>
      </c>
      <c r="N6944" t="s">
        <v>454</v>
      </c>
      <c r="O6944" t="s">
        <v>22</v>
      </c>
      <c r="P6944">
        <v>93063</v>
      </c>
      <c r="Q6944">
        <v>2003</v>
      </c>
      <c r="R6944" t="s">
        <v>23</v>
      </c>
      <c r="S6944" s="1" t="s">
        <v>34218</v>
      </c>
    </row>
    <row r="6945" spans="1:19" x14ac:dyDescent="0.25">
      <c r="A6945">
        <v>101296495</v>
      </c>
      <c r="B6945" t="s">
        <v>16540</v>
      </c>
      <c r="C6945" t="s">
        <v>16541</v>
      </c>
      <c r="F6945" t="str">
        <f>"9285541317"</f>
        <v>9285541317</v>
      </c>
      <c r="G6945" t="s">
        <v>1090</v>
      </c>
      <c r="H6945" t="s">
        <v>1091</v>
      </c>
      <c r="I6945" t="s">
        <v>365</v>
      </c>
      <c r="J6945">
        <v>86336</v>
      </c>
      <c r="K6945">
        <v>3833</v>
      </c>
      <c r="L6945" t="s">
        <v>23</v>
      </c>
      <c r="M6945" t="s">
        <v>1090</v>
      </c>
      <c r="N6945" t="s">
        <v>1091</v>
      </c>
      <c r="O6945" t="s">
        <v>365</v>
      </c>
      <c r="P6945">
        <v>86336</v>
      </c>
      <c r="Q6945">
        <v>3833</v>
      </c>
      <c r="R6945" t="s">
        <v>23</v>
      </c>
      <c r="S6945" s="1" t="s">
        <v>34218</v>
      </c>
    </row>
    <row r="6946" spans="1:19" x14ac:dyDescent="0.25">
      <c r="A6946">
        <v>101302000</v>
      </c>
      <c r="B6946" t="s">
        <v>465</v>
      </c>
      <c r="C6946" t="s">
        <v>59</v>
      </c>
      <c r="G6946" t="s">
        <v>16542</v>
      </c>
      <c r="H6946" t="s">
        <v>7649</v>
      </c>
      <c r="I6946" t="s">
        <v>57</v>
      </c>
      <c r="J6946">
        <v>46278</v>
      </c>
      <c r="K6946">
        <v>9550</v>
      </c>
      <c r="L6946" t="s">
        <v>23</v>
      </c>
      <c r="M6946" t="s">
        <v>16542</v>
      </c>
      <c r="N6946" t="s">
        <v>7649</v>
      </c>
      <c r="O6946" t="s">
        <v>57</v>
      </c>
      <c r="P6946">
        <v>46278</v>
      </c>
      <c r="Q6946">
        <v>9550</v>
      </c>
      <c r="R6946" t="s">
        <v>23</v>
      </c>
      <c r="S6946" s="1" t="s">
        <v>34218</v>
      </c>
    </row>
    <row r="6947" spans="1:19" x14ac:dyDescent="0.25">
      <c r="A6947">
        <v>101299642</v>
      </c>
      <c r="B6947" t="s">
        <v>16543</v>
      </c>
      <c r="C6947" t="s">
        <v>3922</v>
      </c>
      <c r="F6947" t="str">
        <f>"5017234227"</f>
        <v>5017234227</v>
      </c>
      <c r="G6947" t="s">
        <v>16544</v>
      </c>
      <c r="H6947" t="s">
        <v>1377</v>
      </c>
      <c r="I6947" t="s">
        <v>2537</v>
      </c>
      <c r="J6947">
        <v>72153</v>
      </c>
      <c r="K6947">
        <v>8019</v>
      </c>
      <c r="L6947" t="s">
        <v>23</v>
      </c>
      <c r="M6947" t="s">
        <v>16544</v>
      </c>
      <c r="N6947" t="s">
        <v>1377</v>
      </c>
      <c r="O6947" t="s">
        <v>2537</v>
      </c>
      <c r="P6947">
        <v>72153</v>
      </c>
      <c r="Q6947">
        <v>8019</v>
      </c>
      <c r="R6947" t="s">
        <v>23</v>
      </c>
      <c r="S6947" s="1" t="s">
        <v>34218</v>
      </c>
    </row>
    <row r="6948" spans="1:19" x14ac:dyDescent="0.25">
      <c r="A6948">
        <v>101296747</v>
      </c>
      <c r="B6948" t="s">
        <v>16545</v>
      </c>
      <c r="C6948" t="s">
        <v>579</v>
      </c>
      <c r="G6948" t="s">
        <v>16546</v>
      </c>
      <c r="H6948" t="s">
        <v>16547</v>
      </c>
      <c r="I6948" t="s">
        <v>84</v>
      </c>
      <c r="J6948">
        <v>98261</v>
      </c>
      <c r="K6948">
        <v>8422</v>
      </c>
      <c r="L6948" t="s">
        <v>23</v>
      </c>
      <c r="M6948" t="s">
        <v>16546</v>
      </c>
      <c r="N6948" t="s">
        <v>16547</v>
      </c>
      <c r="O6948" t="s">
        <v>84</v>
      </c>
      <c r="P6948">
        <v>98261</v>
      </c>
      <c r="Q6948">
        <v>8422</v>
      </c>
      <c r="R6948" t="s">
        <v>23</v>
      </c>
      <c r="S6948" s="1" t="s">
        <v>34218</v>
      </c>
    </row>
    <row r="6949" spans="1:19" x14ac:dyDescent="0.25">
      <c r="A6949">
        <v>101387532</v>
      </c>
      <c r="B6949" t="s">
        <v>16548</v>
      </c>
      <c r="C6949" t="s">
        <v>505</v>
      </c>
      <c r="G6949" t="s">
        <v>16549</v>
      </c>
      <c r="H6949" t="s">
        <v>2784</v>
      </c>
      <c r="I6949" t="s">
        <v>140</v>
      </c>
      <c r="J6949">
        <v>48098</v>
      </c>
      <c r="K6949">
        <v>2503</v>
      </c>
      <c r="L6949" t="s">
        <v>23</v>
      </c>
      <c r="M6949" t="s">
        <v>16549</v>
      </c>
      <c r="N6949" t="s">
        <v>2784</v>
      </c>
      <c r="O6949" t="s">
        <v>140</v>
      </c>
      <c r="P6949">
        <v>48098</v>
      </c>
      <c r="Q6949">
        <v>2503</v>
      </c>
      <c r="R6949" t="s">
        <v>23</v>
      </c>
      <c r="S6949" s="1" t="s">
        <v>34218</v>
      </c>
    </row>
    <row r="6950" spans="1:19" x14ac:dyDescent="0.25">
      <c r="A6950">
        <v>101434865</v>
      </c>
      <c r="B6950" t="s">
        <v>16550</v>
      </c>
      <c r="C6950" t="s">
        <v>16551</v>
      </c>
      <c r="G6950" t="s">
        <v>16552</v>
      </c>
      <c r="H6950" t="s">
        <v>3794</v>
      </c>
      <c r="I6950" t="s">
        <v>57</v>
      </c>
      <c r="J6950">
        <v>46122</v>
      </c>
      <c r="K6950">
        <v>1534</v>
      </c>
      <c r="L6950" t="s">
        <v>23</v>
      </c>
      <c r="M6950" t="s">
        <v>16552</v>
      </c>
      <c r="N6950" t="s">
        <v>3794</v>
      </c>
      <c r="O6950" t="s">
        <v>57</v>
      </c>
      <c r="P6950">
        <v>46122</v>
      </c>
      <c r="Q6950">
        <v>1534</v>
      </c>
      <c r="R6950" t="s">
        <v>23</v>
      </c>
      <c r="S6950" s="1" t="s">
        <v>34218</v>
      </c>
    </row>
    <row r="6951" spans="1:19" x14ac:dyDescent="0.25">
      <c r="A6951">
        <v>101026000</v>
      </c>
      <c r="B6951" t="s">
        <v>4284</v>
      </c>
      <c r="C6951" t="s">
        <v>7358</v>
      </c>
      <c r="G6951" t="s">
        <v>16553</v>
      </c>
      <c r="H6951" t="s">
        <v>4235</v>
      </c>
      <c r="I6951" t="s">
        <v>984</v>
      </c>
      <c r="J6951">
        <v>96822</v>
      </c>
      <c r="K6951">
        <v>4481</v>
      </c>
      <c r="L6951" t="s">
        <v>23</v>
      </c>
      <c r="M6951" t="s">
        <v>16553</v>
      </c>
      <c r="N6951" t="s">
        <v>4235</v>
      </c>
      <c r="O6951" t="s">
        <v>984</v>
      </c>
      <c r="P6951">
        <v>96822</v>
      </c>
      <c r="Q6951">
        <v>4481</v>
      </c>
      <c r="R6951" t="s">
        <v>23</v>
      </c>
      <c r="S6951" s="1" t="s">
        <v>34218</v>
      </c>
    </row>
    <row r="6952" spans="1:19" x14ac:dyDescent="0.25">
      <c r="A6952">
        <v>101307984</v>
      </c>
      <c r="B6952" t="s">
        <v>16554</v>
      </c>
      <c r="C6952" t="s">
        <v>522</v>
      </c>
      <c r="G6952" t="s">
        <v>16555</v>
      </c>
      <c r="H6952" t="s">
        <v>5295</v>
      </c>
      <c r="I6952" t="s">
        <v>57</v>
      </c>
      <c r="J6952">
        <v>46368</v>
      </c>
      <c r="K6952">
        <v>5057</v>
      </c>
      <c r="L6952" t="s">
        <v>23</v>
      </c>
      <c r="M6952" t="s">
        <v>16555</v>
      </c>
      <c r="N6952" t="s">
        <v>5295</v>
      </c>
      <c r="O6952" t="s">
        <v>57</v>
      </c>
      <c r="P6952">
        <v>46368</v>
      </c>
      <c r="Q6952">
        <v>5057</v>
      </c>
      <c r="R6952" t="s">
        <v>23</v>
      </c>
      <c r="S6952" s="1" t="s">
        <v>34218</v>
      </c>
    </row>
    <row r="6953" spans="1:19" x14ac:dyDescent="0.25">
      <c r="A6953">
        <v>100538838</v>
      </c>
      <c r="B6953" t="s">
        <v>16556</v>
      </c>
      <c r="C6953" t="s">
        <v>641</v>
      </c>
      <c r="G6953" t="s">
        <v>16557</v>
      </c>
      <c r="H6953" t="s">
        <v>16558</v>
      </c>
      <c r="I6953" t="s">
        <v>178</v>
      </c>
      <c r="J6953">
        <v>44126</v>
      </c>
      <c r="K6953">
        <v>1900</v>
      </c>
      <c r="L6953" t="s">
        <v>23</v>
      </c>
      <c r="M6953" t="s">
        <v>16557</v>
      </c>
      <c r="N6953" t="s">
        <v>16558</v>
      </c>
      <c r="O6953" t="s">
        <v>178</v>
      </c>
      <c r="P6953">
        <v>44126</v>
      </c>
      <c r="Q6953">
        <v>1900</v>
      </c>
      <c r="R6953" t="s">
        <v>23</v>
      </c>
      <c r="S6953" s="1" t="s">
        <v>34218</v>
      </c>
    </row>
    <row r="6954" spans="1:19" x14ac:dyDescent="0.25">
      <c r="A6954">
        <v>101471300</v>
      </c>
      <c r="B6954" t="s">
        <v>16559</v>
      </c>
      <c r="C6954" t="s">
        <v>1906</v>
      </c>
      <c r="G6954" t="s">
        <v>16560</v>
      </c>
      <c r="H6954" t="s">
        <v>8296</v>
      </c>
      <c r="I6954" t="s">
        <v>984</v>
      </c>
      <c r="J6954">
        <v>96753</v>
      </c>
      <c r="K6954">
        <v>8905</v>
      </c>
      <c r="L6954" t="s">
        <v>23</v>
      </c>
      <c r="M6954" t="s">
        <v>16560</v>
      </c>
      <c r="N6954" t="s">
        <v>8296</v>
      </c>
      <c r="O6954" t="s">
        <v>984</v>
      </c>
      <c r="P6954">
        <v>96753</v>
      </c>
      <c r="Q6954">
        <v>8905</v>
      </c>
      <c r="R6954" t="s">
        <v>23</v>
      </c>
      <c r="S6954" s="1" t="s">
        <v>34218</v>
      </c>
    </row>
    <row r="6955" spans="1:19" x14ac:dyDescent="0.25">
      <c r="A6955">
        <v>100933564</v>
      </c>
      <c r="B6955" t="s">
        <v>465</v>
      </c>
      <c r="C6955" t="s">
        <v>16561</v>
      </c>
      <c r="G6955" t="s">
        <v>16562</v>
      </c>
      <c r="H6955" t="s">
        <v>869</v>
      </c>
      <c r="I6955" t="s">
        <v>52</v>
      </c>
      <c r="J6955">
        <v>33150</v>
      </c>
      <c r="K6955">
        <v>2518</v>
      </c>
      <c r="L6955" t="s">
        <v>23</v>
      </c>
      <c r="M6955" t="s">
        <v>16562</v>
      </c>
      <c r="N6955" t="s">
        <v>869</v>
      </c>
      <c r="O6955" t="s">
        <v>52</v>
      </c>
      <c r="P6955">
        <v>33150</v>
      </c>
      <c r="Q6955">
        <v>2518</v>
      </c>
      <c r="R6955" t="s">
        <v>23</v>
      </c>
      <c r="S6955" s="1" t="s">
        <v>34218</v>
      </c>
    </row>
    <row r="6956" spans="1:19" x14ac:dyDescent="0.25">
      <c r="A6956">
        <v>100932942</v>
      </c>
      <c r="B6956" t="s">
        <v>16563</v>
      </c>
      <c r="C6956" t="s">
        <v>1616</v>
      </c>
      <c r="G6956" t="s">
        <v>16564</v>
      </c>
      <c r="H6956" t="s">
        <v>9717</v>
      </c>
      <c r="I6956" t="s">
        <v>52</v>
      </c>
      <c r="J6956">
        <v>32669</v>
      </c>
      <c r="K6956">
        <v>2164</v>
      </c>
      <c r="L6956" t="s">
        <v>23</v>
      </c>
      <c r="M6956" t="s">
        <v>16564</v>
      </c>
      <c r="N6956" t="s">
        <v>9717</v>
      </c>
      <c r="O6956" t="s">
        <v>52</v>
      </c>
      <c r="P6956">
        <v>32669</v>
      </c>
      <c r="Q6956">
        <v>2164</v>
      </c>
      <c r="R6956" t="s">
        <v>23</v>
      </c>
      <c r="S6956" s="1" t="s">
        <v>34218</v>
      </c>
    </row>
    <row r="6957" spans="1:19" x14ac:dyDescent="0.25">
      <c r="A6957">
        <v>100939863</v>
      </c>
      <c r="B6957" t="s">
        <v>16565</v>
      </c>
      <c r="C6957" t="s">
        <v>180</v>
      </c>
      <c r="G6957" t="s">
        <v>16566</v>
      </c>
      <c r="H6957" t="s">
        <v>458</v>
      </c>
      <c r="I6957" t="s">
        <v>43</v>
      </c>
      <c r="J6957">
        <v>97527</v>
      </c>
      <c r="K6957">
        <v>4348</v>
      </c>
      <c r="L6957" t="s">
        <v>23</v>
      </c>
      <c r="M6957" t="s">
        <v>16566</v>
      </c>
      <c r="N6957" t="s">
        <v>458</v>
      </c>
      <c r="O6957" t="s">
        <v>43</v>
      </c>
      <c r="P6957">
        <v>97527</v>
      </c>
      <c r="Q6957">
        <v>4348</v>
      </c>
      <c r="R6957" t="s">
        <v>23</v>
      </c>
      <c r="S6957" s="1" t="s">
        <v>34218</v>
      </c>
    </row>
    <row r="6958" spans="1:19" x14ac:dyDescent="0.25">
      <c r="A6958">
        <v>100942662</v>
      </c>
      <c r="B6958" t="s">
        <v>16567</v>
      </c>
      <c r="C6958" t="s">
        <v>10868</v>
      </c>
      <c r="F6958" t="str">
        <f>"8472890389"</f>
        <v>8472890389</v>
      </c>
      <c r="G6958" t="s">
        <v>16568</v>
      </c>
      <c r="H6958" t="s">
        <v>16569</v>
      </c>
      <c r="I6958" t="s">
        <v>135</v>
      </c>
      <c r="J6958">
        <v>60177</v>
      </c>
      <c r="K6958">
        <v>3049</v>
      </c>
      <c r="L6958" t="s">
        <v>23</v>
      </c>
      <c r="M6958" t="s">
        <v>16568</v>
      </c>
      <c r="N6958" t="s">
        <v>16569</v>
      </c>
      <c r="O6958" t="s">
        <v>135</v>
      </c>
      <c r="P6958">
        <v>60177</v>
      </c>
      <c r="Q6958">
        <v>3049</v>
      </c>
      <c r="R6958" t="s">
        <v>23</v>
      </c>
      <c r="S6958" s="1" t="s">
        <v>34218</v>
      </c>
    </row>
    <row r="6959" spans="1:19" x14ac:dyDescent="0.25">
      <c r="A6959">
        <v>100940206</v>
      </c>
      <c r="B6959" t="s">
        <v>16570</v>
      </c>
      <c r="C6959" t="s">
        <v>1384</v>
      </c>
      <c r="G6959" t="s">
        <v>16571</v>
      </c>
      <c r="H6959" t="s">
        <v>16272</v>
      </c>
      <c r="I6959" t="s">
        <v>100</v>
      </c>
      <c r="J6959">
        <v>53913</v>
      </c>
      <c r="K6959">
        <v>2221</v>
      </c>
      <c r="L6959" t="s">
        <v>23</v>
      </c>
      <c r="M6959" t="s">
        <v>16571</v>
      </c>
      <c r="N6959" t="s">
        <v>16272</v>
      </c>
      <c r="O6959" t="s">
        <v>100</v>
      </c>
      <c r="P6959">
        <v>53913</v>
      </c>
      <c r="Q6959">
        <v>2221</v>
      </c>
      <c r="R6959" t="s">
        <v>23</v>
      </c>
      <c r="S6959" s="1" t="s">
        <v>34218</v>
      </c>
    </row>
    <row r="6960" spans="1:19" x14ac:dyDescent="0.25">
      <c r="A6960">
        <v>100940139</v>
      </c>
      <c r="B6960" t="s">
        <v>16572</v>
      </c>
      <c r="C6960" t="s">
        <v>301</v>
      </c>
      <c r="G6960" t="s">
        <v>16573</v>
      </c>
      <c r="H6960" t="s">
        <v>16574</v>
      </c>
      <c r="I6960" t="s">
        <v>187</v>
      </c>
      <c r="J6960">
        <v>55976</v>
      </c>
      <c r="K6960">
        <v>1135</v>
      </c>
      <c r="L6960" t="s">
        <v>23</v>
      </c>
      <c r="M6960" t="s">
        <v>16573</v>
      </c>
      <c r="N6960" t="s">
        <v>16574</v>
      </c>
      <c r="O6960" t="s">
        <v>187</v>
      </c>
      <c r="P6960">
        <v>55976</v>
      </c>
      <c r="Q6960">
        <v>1135</v>
      </c>
      <c r="R6960" t="s">
        <v>23</v>
      </c>
      <c r="S6960" s="1" t="s">
        <v>34218</v>
      </c>
    </row>
    <row r="6961" spans="1:19" x14ac:dyDescent="0.25">
      <c r="A6961">
        <v>101126738</v>
      </c>
      <c r="B6961" t="s">
        <v>13458</v>
      </c>
      <c r="C6961" t="s">
        <v>155</v>
      </c>
      <c r="G6961" t="s">
        <v>16575</v>
      </c>
      <c r="H6961" t="s">
        <v>369</v>
      </c>
      <c r="I6961" t="s">
        <v>662</v>
      </c>
      <c r="J6961">
        <v>2865</v>
      </c>
      <c r="K6961">
        <v>2812</v>
      </c>
      <c r="L6961" t="s">
        <v>23</v>
      </c>
      <c r="M6961" t="s">
        <v>16575</v>
      </c>
      <c r="N6961" t="s">
        <v>369</v>
      </c>
      <c r="O6961" t="s">
        <v>662</v>
      </c>
      <c r="P6961">
        <v>2865</v>
      </c>
      <c r="Q6961">
        <v>2812</v>
      </c>
      <c r="R6961" t="s">
        <v>23</v>
      </c>
      <c r="S6961" s="1" t="s">
        <v>34218</v>
      </c>
    </row>
    <row r="6962" spans="1:19" x14ac:dyDescent="0.25">
      <c r="A6962">
        <v>101124245</v>
      </c>
      <c r="B6962" t="s">
        <v>13577</v>
      </c>
      <c r="C6962" t="s">
        <v>718</v>
      </c>
      <c r="G6962" t="s">
        <v>16576</v>
      </c>
      <c r="H6962" t="s">
        <v>1402</v>
      </c>
      <c r="I6962" t="s">
        <v>38</v>
      </c>
      <c r="J6962">
        <v>77098</v>
      </c>
      <c r="K6962">
        <v>5422</v>
      </c>
      <c r="L6962" t="s">
        <v>23</v>
      </c>
      <c r="M6962" t="s">
        <v>16576</v>
      </c>
      <c r="N6962" t="s">
        <v>1402</v>
      </c>
      <c r="O6962" t="s">
        <v>38</v>
      </c>
      <c r="P6962">
        <v>77098</v>
      </c>
      <c r="Q6962">
        <v>5422</v>
      </c>
      <c r="R6962" t="s">
        <v>23</v>
      </c>
      <c r="S6962" s="1" t="s">
        <v>34218</v>
      </c>
    </row>
    <row r="6963" spans="1:19" x14ac:dyDescent="0.25">
      <c r="A6963">
        <v>101122829</v>
      </c>
      <c r="B6963" t="s">
        <v>16577</v>
      </c>
      <c r="C6963" t="s">
        <v>1398</v>
      </c>
      <c r="G6963" t="s">
        <v>16578</v>
      </c>
      <c r="H6963" t="s">
        <v>2319</v>
      </c>
      <c r="I6963" t="s">
        <v>117</v>
      </c>
      <c r="J6963">
        <v>10314</v>
      </c>
      <c r="K6963">
        <v>2327</v>
      </c>
      <c r="L6963" t="s">
        <v>23</v>
      </c>
      <c r="M6963" t="s">
        <v>16578</v>
      </c>
      <c r="N6963" t="s">
        <v>2319</v>
      </c>
      <c r="O6963" t="s">
        <v>117</v>
      </c>
      <c r="P6963">
        <v>10314</v>
      </c>
      <c r="Q6963">
        <v>2327</v>
      </c>
      <c r="R6963" t="s">
        <v>23</v>
      </c>
      <c r="S6963" s="1" t="s">
        <v>34218</v>
      </c>
    </row>
    <row r="6964" spans="1:19" x14ac:dyDescent="0.25">
      <c r="A6964">
        <v>101125579</v>
      </c>
      <c r="B6964" t="s">
        <v>1536</v>
      </c>
      <c r="C6964" t="s">
        <v>102</v>
      </c>
      <c r="F6964" t="str">
        <f>"6025027118"</f>
        <v>6025027118</v>
      </c>
      <c r="G6964" t="s">
        <v>16579</v>
      </c>
      <c r="H6964" t="s">
        <v>471</v>
      </c>
      <c r="I6964" t="s">
        <v>365</v>
      </c>
      <c r="J6964">
        <v>85251</v>
      </c>
      <c r="K6964">
        <v>1558</v>
      </c>
      <c r="L6964" t="s">
        <v>23</v>
      </c>
      <c r="M6964" t="s">
        <v>16579</v>
      </c>
      <c r="N6964" t="s">
        <v>471</v>
      </c>
      <c r="O6964" t="s">
        <v>365</v>
      </c>
      <c r="P6964">
        <v>85251</v>
      </c>
      <c r="Q6964">
        <v>1558</v>
      </c>
      <c r="R6964" t="s">
        <v>23</v>
      </c>
      <c r="S6964" s="1" t="s">
        <v>34218</v>
      </c>
    </row>
    <row r="6965" spans="1:19" x14ac:dyDescent="0.25">
      <c r="A6965">
        <v>101131824</v>
      </c>
      <c r="B6965" t="s">
        <v>11682</v>
      </c>
      <c r="C6965" t="s">
        <v>1374</v>
      </c>
      <c r="G6965" t="s">
        <v>16580</v>
      </c>
      <c r="H6965" t="s">
        <v>1377</v>
      </c>
      <c r="I6965" t="s">
        <v>117</v>
      </c>
      <c r="J6965">
        <v>11967</v>
      </c>
      <c r="K6965">
        <v>2264</v>
      </c>
      <c r="L6965" t="s">
        <v>23</v>
      </c>
      <c r="M6965" t="s">
        <v>16580</v>
      </c>
      <c r="N6965" t="s">
        <v>1377</v>
      </c>
      <c r="O6965" t="s">
        <v>117</v>
      </c>
      <c r="P6965">
        <v>11967</v>
      </c>
      <c r="Q6965">
        <v>2264</v>
      </c>
      <c r="R6965" t="s">
        <v>23</v>
      </c>
      <c r="S6965" s="1" t="s">
        <v>34218</v>
      </c>
    </row>
    <row r="6966" spans="1:19" x14ac:dyDescent="0.25">
      <c r="A6966">
        <v>101129574</v>
      </c>
      <c r="B6966" t="s">
        <v>16581</v>
      </c>
      <c r="C6966" t="s">
        <v>367</v>
      </c>
      <c r="G6966" t="s">
        <v>16582</v>
      </c>
      <c r="H6966" t="s">
        <v>3183</v>
      </c>
      <c r="I6966" t="s">
        <v>178</v>
      </c>
      <c r="J6966">
        <v>45410</v>
      </c>
      <c r="K6966">
        <v>3253</v>
      </c>
      <c r="L6966" t="s">
        <v>23</v>
      </c>
      <c r="M6966" t="s">
        <v>16582</v>
      </c>
      <c r="N6966" t="s">
        <v>3183</v>
      </c>
      <c r="O6966" t="s">
        <v>178</v>
      </c>
      <c r="P6966">
        <v>45410</v>
      </c>
      <c r="Q6966">
        <v>3253</v>
      </c>
      <c r="R6966" t="s">
        <v>23</v>
      </c>
      <c r="S6966" s="1" t="s">
        <v>34218</v>
      </c>
    </row>
    <row r="6967" spans="1:19" x14ac:dyDescent="0.25">
      <c r="A6967">
        <v>101131619</v>
      </c>
      <c r="B6967" t="s">
        <v>16583</v>
      </c>
      <c r="C6967" t="s">
        <v>4673</v>
      </c>
      <c r="G6967" t="s">
        <v>16584</v>
      </c>
      <c r="H6967" t="s">
        <v>7230</v>
      </c>
      <c r="I6967" t="s">
        <v>33</v>
      </c>
      <c r="J6967">
        <v>15613</v>
      </c>
      <c r="K6967">
        <v>8716</v>
      </c>
      <c r="L6967" t="s">
        <v>23</v>
      </c>
      <c r="M6967" t="s">
        <v>16584</v>
      </c>
      <c r="N6967" t="s">
        <v>7230</v>
      </c>
      <c r="O6967" t="s">
        <v>33</v>
      </c>
      <c r="P6967">
        <v>15613</v>
      </c>
      <c r="Q6967">
        <v>8716</v>
      </c>
      <c r="R6967" t="s">
        <v>23</v>
      </c>
      <c r="S6967" s="1" t="s">
        <v>34218</v>
      </c>
    </row>
    <row r="6968" spans="1:19" x14ac:dyDescent="0.25">
      <c r="A6968">
        <v>101140228</v>
      </c>
      <c r="B6968" t="s">
        <v>9307</v>
      </c>
      <c r="C6968" t="s">
        <v>1470</v>
      </c>
      <c r="F6968" t="str">
        <f>"5123409952"</f>
        <v>5123409952</v>
      </c>
      <c r="G6968" t="s">
        <v>16585</v>
      </c>
      <c r="H6968" t="s">
        <v>37</v>
      </c>
      <c r="I6968" t="s">
        <v>38</v>
      </c>
      <c r="J6968">
        <v>78750</v>
      </c>
      <c r="K6968">
        <v>8305</v>
      </c>
      <c r="L6968" t="s">
        <v>23</v>
      </c>
      <c r="M6968" t="s">
        <v>16585</v>
      </c>
      <c r="N6968" t="s">
        <v>37</v>
      </c>
      <c r="O6968" t="s">
        <v>38</v>
      </c>
      <c r="P6968">
        <v>78750</v>
      </c>
      <c r="Q6968">
        <v>8305</v>
      </c>
      <c r="R6968" t="s">
        <v>23</v>
      </c>
      <c r="S6968" s="1" t="s">
        <v>34218</v>
      </c>
    </row>
    <row r="6969" spans="1:19" x14ac:dyDescent="0.25">
      <c r="A6969">
        <v>101145690</v>
      </c>
      <c r="B6969" t="s">
        <v>16586</v>
      </c>
      <c r="C6969" t="s">
        <v>16587</v>
      </c>
      <c r="G6969" t="s">
        <v>16588</v>
      </c>
      <c r="H6969" t="s">
        <v>1985</v>
      </c>
      <c r="I6969" t="s">
        <v>71</v>
      </c>
      <c r="J6969">
        <v>80907</v>
      </c>
      <c r="K6969">
        <v>6730</v>
      </c>
      <c r="L6969" t="s">
        <v>23</v>
      </c>
      <c r="M6969" t="s">
        <v>16588</v>
      </c>
      <c r="N6969" t="s">
        <v>1985</v>
      </c>
      <c r="O6969" t="s">
        <v>71</v>
      </c>
      <c r="P6969">
        <v>80907</v>
      </c>
      <c r="Q6969">
        <v>6730</v>
      </c>
      <c r="R6969" t="s">
        <v>23</v>
      </c>
      <c r="S6969" s="1" t="s">
        <v>34218</v>
      </c>
    </row>
    <row r="6970" spans="1:19" x14ac:dyDescent="0.25">
      <c r="A6970">
        <v>101148596</v>
      </c>
      <c r="B6970" t="s">
        <v>16589</v>
      </c>
      <c r="C6970" t="s">
        <v>30</v>
      </c>
      <c r="G6970" t="s">
        <v>16590</v>
      </c>
      <c r="H6970" t="s">
        <v>16591</v>
      </c>
      <c r="I6970" t="s">
        <v>327</v>
      </c>
      <c r="J6970">
        <v>25434</v>
      </c>
      <c r="K6970">
        <v>8956</v>
      </c>
      <c r="L6970" t="s">
        <v>23</v>
      </c>
      <c r="M6970" t="s">
        <v>16590</v>
      </c>
      <c r="N6970" t="s">
        <v>16591</v>
      </c>
      <c r="O6970" t="s">
        <v>327</v>
      </c>
      <c r="P6970">
        <v>25434</v>
      </c>
      <c r="Q6970">
        <v>8956</v>
      </c>
      <c r="R6970" t="s">
        <v>23</v>
      </c>
      <c r="S6970" s="1" t="s">
        <v>34218</v>
      </c>
    </row>
    <row r="6971" spans="1:19" x14ac:dyDescent="0.25">
      <c r="A6971">
        <v>101384245</v>
      </c>
      <c r="B6971" t="s">
        <v>867</v>
      </c>
      <c r="C6971" t="s">
        <v>1398</v>
      </c>
      <c r="G6971" t="s">
        <v>16592</v>
      </c>
      <c r="H6971" t="s">
        <v>16593</v>
      </c>
      <c r="I6971" t="s">
        <v>236</v>
      </c>
      <c r="J6971">
        <v>2532</v>
      </c>
      <c r="K6971">
        <v>3914</v>
      </c>
      <c r="L6971" t="s">
        <v>23</v>
      </c>
      <c r="M6971" t="s">
        <v>16592</v>
      </c>
      <c r="N6971" t="s">
        <v>16593</v>
      </c>
      <c r="O6971" t="s">
        <v>236</v>
      </c>
      <c r="P6971">
        <v>2532</v>
      </c>
      <c r="Q6971">
        <v>3914</v>
      </c>
      <c r="R6971" t="s">
        <v>23</v>
      </c>
      <c r="S6971" s="1" t="s">
        <v>34218</v>
      </c>
    </row>
    <row r="6972" spans="1:19" x14ac:dyDescent="0.25">
      <c r="A6972">
        <v>101391815</v>
      </c>
      <c r="B6972" t="s">
        <v>16594</v>
      </c>
      <c r="C6972" t="s">
        <v>15849</v>
      </c>
      <c r="G6972" t="s">
        <v>16595</v>
      </c>
      <c r="H6972" t="s">
        <v>169</v>
      </c>
      <c r="I6972" t="s">
        <v>170</v>
      </c>
      <c r="J6972">
        <v>20020</v>
      </c>
      <c r="K6972">
        <v>3314</v>
      </c>
      <c r="L6972" t="s">
        <v>23</v>
      </c>
      <c r="M6972" t="s">
        <v>16595</v>
      </c>
      <c r="N6972" t="s">
        <v>169</v>
      </c>
      <c r="O6972" t="s">
        <v>170</v>
      </c>
      <c r="P6972">
        <v>20020</v>
      </c>
      <c r="Q6972">
        <v>3314</v>
      </c>
      <c r="R6972" t="s">
        <v>23</v>
      </c>
      <c r="S6972" s="1" t="s">
        <v>34218</v>
      </c>
    </row>
    <row r="6973" spans="1:19" x14ac:dyDescent="0.25">
      <c r="A6973">
        <v>101386407</v>
      </c>
      <c r="B6973" t="s">
        <v>16596</v>
      </c>
      <c r="C6973" t="s">
        <v>466</v>
      </c>
      <c r="G6973" t="s">
        <v>16597</v>
      </c>
      <c r="H6973" t="s">
        <v>16598</v>
      </c>
      <c r="I6973" t="s">
        <v>38</v>
      </c>
      <c r="J6973">
        <v>76266</v>
      </c>
      <c r="K6973">
        <v>4807</v>
      </c>
      <c r="L6973" t="s">
        <v>23</v>
      </c>
      <c r="M6973" t="s">
        <v>16597</v>
      </c>
      <c r="N6973" t="s">
        <v>16598</v>
      </c>
      <c r="O6973" t="s">
        <v>38</v>
      </c>
      <c r="P6973">
        <v>76266</v>
      </c>
      <c r="Q6973">
        <v>4807</v>
      </c>
      <c r="R6973" t="s">
        <v>23</v>
      </c>
      <c r="S6973" s="1" t="s">
        <v>34218</v>
      </c>
    </row>
    <row r="6974" spans="1:19" x14ac:dyDescent="0.25">
      <c r="A6974">
        <v>101390048</v>
      </c>
      <c r="B6974" t="s">
        <v>1864</v>
      </c>
      <c r="C6974" t="s">
        <v>16599</v>
      </c>
      <c r="G6974" t="s">
        <v>16600</v>
      </c>
      <c r="H6974" t="s">
        <v>16601</v>
      </c>
      <c r="I6974" t="s">
        <v>1226</v>
      </c>
      <c r="J6974">
        <v>39475</v>
      </c>
      <c r="K6974">
        <v>4411</v>
      </c>
      <c r="L6974" t="s">
        <v>23</v>
      </c>
      <c r="M6974" t="s">
        <v>16600</v>
      </c>
      <c r="N6974" t="s">
        <v>16601</v>
      </c>
      <c r="O6974" t="s">
        <v>1226</v>
      </c>
      <c r="P6974">
        <v>39475</v>
      </c>
      <c r="Q6974">
        <v>4411</v>
      </c>
      <c r="R6974" t="s">
        <v>23</v>
      </c>
      <c r="S6974" s="1" t="s">
        <v>34218</v>
      </c>
    </row>
    <row r="6975" spans="1:19" x14ac:dyDescent="0.25">
      <c r="A6975">
        <v>101388620</v>
      </c>
      <c r="B6975" t="s">
        <v>16602</v>
      </c>
      <c r="C6975" t="s">
        <v>16603</v>
      </c>
      <c r="G6975" t="s">
        <v>16604</v>
      </c>
      <c r="H6975" t="s">
        <v>688</v>
      </c>
      <c r="I6975" t="s">
        <v>117</v>
      </c>
      <c r="J6975">
        <v>14621</v>
      </c>
      <c r="K6975">
        <v>3934</v>
      </c>
      <c r="L6975" t="s">
        <v>23</v>
      </c>
      <c r="M6975" t="s">
        <v>16604</v>
      </c>
      <c r="N6975" t="s">
        <v>688</v>
      </c>
      <c r="O6975" t="s">
        <v>117</v>
      </c>
      <c r="P6975">
        <v>14621</v>
      </c>
      <c r="Q6975">
        <v>3934</v>
      </c>
      <c r="R6975" t="s">
        <v>23</v>
      </c>
      <c r="S6975" s="1" t="s">
        <v>34218</v>
      </c>
    </row>
    <row r="6976" spans="1:19" x14ac:dyDescent="0.25">
      <c r="A6976">
        <v>101388649</v>
      </c>
      <c r="B6976" t="s">
        <v>2080</v>
      </c>
      <c r="C6976" t="s">
        <v>1555</v>
      </c>
      <c r="G6976" t="s">
        <v>16605</v>
      </c>
      <c r="H6976" t="s">
        <v>1830</v>
      </c>
      <c r="I6976" t="s">
        <v>140</v>
      </c>
      <c r="J6976">
        <v>48224</v>
      </c>
      <c r="K6976">
        <v>2081</v>
      </c>
      <c r="L6976" t="s">
        <v>23</v>
      </c>
      <c r="M6976" t="s">
        <v>16605</v>
      </c>
      <c r="N6976" t="s">
        <v>1830</v>
      </c>
      <c r="O6976" t="s">
        <v>140</v>
      </c>
      <c r="P6976">
        <v>48224</v>
      </c>
      <c r="Q6976">
        <v>2081</v>
      </c>
      <c r="R6976" t="s">
        <v>23</v>
      </c>
      <c r="S6976" s="1" t="s">
        <v>34218</v>
      </c>
    </row>
    <row r="6977" spans="1:19" x14ac:dyDescent="0.25">
      <c r="A6977">
        <v>101392195</v>
      </c>
      <c r="B6977" t="s">
        <v>2130</v>
      </c>
      <c r="C6977" t="s">
        <v>1043</v>
      </c>
      <c r="G6977" t="s">
        <v>16606</v>
      </c>
      <c r="H6977" t="s">
        <v>2130</v>
      </c>
      <c r="I6977" t="s">
        <v>28</v>
      </c>
      <c r="J6977">
        <v>30084</v>
      </c>
      <c r="K6977">
        <v>1529</v>
      </c>
      <c r="L6977" t="s">
        <v>23</v>
      </c>
      <c r="M6977" t="s">
        <v>16606</v>
      </c>
      <c r="N6977" t="s">
        <v>2130</v>
      </c>
      <c r="O6977" t="s">
        <v>28</v>
      </c>
      <c r="P6977">
        <v>30084</v>
      </c>
      <c r="Q6977">
        <v>1529</v>
      </c>
      <c r="R6977" t="s">
        <v>23</v>
      </c>
      <c r="S6977" s="1" t="s">
        <v>34218</v>
      </c>
    </row>
    <row r="6978" spans="1:19" x14ac:dyDescent="0.25">
      <c r="A6978">
        <v>101301119</v>
      </c>
      <c r="B6978" t="s">
        <v>16607</v>
      </c>
      <c r="C6978" t="s">
        <v>406</v>
      </c>
      <c r="G6978" t="s">
        <v>16608</v>
      </c>
      <c r="H6978" t="s">
        <v>682</v>
      </c>
      <c r="I6978" t="s">
        <v>365</v>
      </c>
      <c r="J6978">
        <v>85024</v>
      </c>
      <c r="K6978">
        <v>1734</v>
      </c>
      <c r="L6978" t="s">
        <v>23</v>
      </c>
      <c r="M6978" t="s">
        <v>16608</v>
      </c>
      <c r="N6978" t="s">
        <v>682</v>
      </c>
      <c r="O6978" t="s">
        <v>365</v>
      </c>
      <c r="P6978">
        <v>85024</v>
      </c>
      <c r="Q6978">
        <v>1734</v>
      </c>
      <c r="R6978" t="s">
        <v>23</v>
      </c>
      <c r="S6978" s="1" t="s">
        <v>34218</v>
      </c>
    </row>
    <row r="6979" spans="1:19" x14ac:dyDescent="0.25">
      <c r="A6979">
        <v>101301288</v>
      </c>
      <c r="B6979" t="s">
        <v>1581</v>
      </c>
      <c r="C6979" t="s">
        <v>7615</v>
      </c>
      <c r="G6979" t="s">
        <v>16609</v>
      </c>
      <c r="H6979" t="s">
        <v>789</v>
      </c>
      <c r="I6979" t="s">
        <v>38</v>
      </c>
      <c r="J6979">
        <v>78633</v>
      </c>
      <c r="K6979">
        <v>1907</v>
      </c>
      <c r="L6979" t="s">
        <v>23</v>
      </c>
      <c r="M6979" t="s">
        <v>16609</v>
      </c>
      <c r="N6979" t="s">
        <v>789</v>
      </c>
      <c r="O6979" t="s">
        <v>38</v>
      </c>
      <c r="P6979">
        <v>78633</v>
      </c>
      <c r="Q6979">
        <v>1907</v>
      </c>
      <c r="R6979" t="s">
        <v>23</v>
      </c>
      <c r="S6979" s="1" t="s">
        <v>34218</v>
      </c>
    </row>
    <row r="6980" spans="1:19" x14ac:dyDescent="0.25">
      <c r="A6980">
        <v>101304838</v>
      </c>
      <c r="B6980" t="s">
        <v>303</v>
      </c>
      <c r="C6980" t="s">
        <v>2557</v>
      </c>
      <c r="G6980" t="s">
        <v>16610</v>
      </c>
      <c r="H6980" t="s">
        <v>1402</v>
      </c>
      <c r="I6980" t="s">
        <v>38</v>
      </c>
      <c r="J6980">
        <v>77047</v>
      </c>
      <c r="K6980">
        <v>4540</v>
      </c>
      <c r="L6980" t="s">
        <v>23</v>
      </c>
      <c r="M6980" t="s">
        <v>16610</v>
      </c>
      <c r="N6980" t="s">
        <v>1402</v>
      </c>
      <c r="O6980" t="s">
        <v>38</v>
      </c>
      <c r="P6980">
        <v>77047</v>
      </c>
      <c r="Q6980">
        <v>4540</v>
      </c>
      <c r="R6980" t="s">
        <v>23</v>
      </c>
      <c r="S6980" s="1" t="s">
        <v>34218</v>
      </c>
    </row>
    <row r="6981" spans="1:19" x14ac:dyDescent="0.25">
      <c r="A6981">
        <v>101300035</v>
      </c>
      <c r="B6981" t="s">
        <v>16611</v>
      </c>
      <c r="C6981" t="s">
        <v>16612</v>
      </c>
      <c r="G6981" t="s">
        <v>16613</v>
      </c>
      <c r="H6981" t="s">
        <v>4632</v>
      </c>
      <c r="I6981" t="s">
        <v>178</v>
      </c>
      <c r="J6981">
        <v>43209</v>
      </c>
      <c r="K6981">
        <v>3332</v>
      </c>
      <c r="L6981" t="s">
        <v>23</v>
      </c>
      <c r="M6981" t="s">
        <v>16613</v>
      </c>
      <c r="N6981" t="s">
        <v>4632</v>
      </c>
      <c r="O6981" t="s">
        <v>178</v>
      </c>
      <c r="P6981">
        <v>43209</v>
      </c>
      <c r="Q6981">
        <v>3332</v>
      </c>
      <c r="R6981" t="s">
        <v>23</v>
      </c>
      <c r="S6981" s="1" t="s">
        <v>34218</v>
      </c>
    </row>
    <row r="6982" spans="1:19" x14ac:dyDescent="0.25">
      <c r="A6982">
        <v>101310425</v>
      </c>
      <c r="B6982" t="s">
        <v>3956</v>
      </c>
      <c r="C6982" t="s">
        <v>1327</v>
      </c>
      <c r="G6982" t="s">
        <v>16614</v>
      </c>
      <c r="H6982" t="s">
        <v>1877</v>
      </c>
      <c r="I6982" t="s">
        <v>43</v>
      </c>
      <c r="J6982">
        <v>97302</v>
      </c>
      <c r="K6982">
        <v>5212</v>
      </c>
      <c r="L6982" t="s">
        <v>23</v>
      </c>
      <c r="M6982" t="s">
        <v>16614</v>
      </c>
      <c r="N6982" t="s">
        <v>1877</v>
      </c>
      <c r="O6982" t="s">
        <v>43</v>
      </c>
      <c r="P6982">
        <v>97302</v>
      </c>
      <c r="Q6982">
        <v>5212</v>
      </c>
      <c r="R6982" t="s">
        <v>23</v>
      </c>
      <c r="S6982" s="1" t="s">
        <v>34218</v>
      </c>
    </row>
    <row r="6983" spans="1:19" x14ac:dyDescent="0.25">
      <c r="A6983">
        <v>101405432</v>
      </c>
      <c r="B6983" t="s">
        <v>16615</v>
      </c>
      <c r="C6983" t="s">
        <v>350</v>
      </c>
      <c r="G6983" t="s">
        <v>16616</v>
      </c>
      <c r="H6983" t="s">
        <v>16617</v>
      </c>
      <c r="I6983" t="s">
        <v>191</v>
      </c>
      <c r="J6983">
        <v>4679</v>
      </c>
      <c r="K6983">
        <v>4429</v>
      </c>
      <c r="L6983" t="s">
        <v>23</v>
      </c>
      <c r="M6983" t="s">
        <v>16616</v>
      </c>
      <c r="N6983" t="s">
        <v>16617</v>
      </c>
      <c r="O6983" t="s">
        <v>191</v>
      </c>
      <c r="P6983">
        <v>4679</v>
      </c>
      <c r="Q6983">
        <v>4429</v>
      </c>
      <c r="R6983" t="s">
        <v>23</v>
      </c>
      <c r="S6983" s="1" t="s">
        <v>34218</v>
      </c>
    </row>
    <row r="6984" spans="1:19" x14ac:dyDescent="0.25">
      <c r="A6984">
        <v>100806186</v>
      </c>
      <c r="B6984" t="s">
        <v>16618</v>
      </c>
      <c r="C6984" t="s">
        <v>641</v>
      </c>
      <c r="G6984" t="s">
        <v>16619</v>
      </c>
      <c r="H6984" t="s">
        <v>16620</v>
      </c>
      <c r="I6984" t="s">
        <v>38</v>
      </c>
      <c r="J6984">
        <v>78597</v>
      </c>
      <c r="K6984">
        <v>4050</v>
      </c>
      <c r="L6984" t="s">
        <v>23</v>
      </c>
      <c r="M6984" t="s">
        <v>16619</v>
      </c>
      <c r="N6984" t="s">
        <v>16620</v>
      </c>
      <c r="O6984" t="s">
        <v>38</v>
      </c>
      <c r="P6984">
        <v>78597</v>
      </c>
      <c r="Q6984">
        <v>4050</v>
      </c>
      <c r="R6984" t="s">
        <v>23</v>
      </c>
      <c r="S6984" s="1" t="s">
        <v>34218</v>
      </c>
    </row>
    <row r="6985" spans="1:19" x14ac:dyDescent="0.25">
      <c r="A6985">
        <v>100511016</v>
      </c>
      <c r="B6985" t="s">
        <v>16621</v>
      </c>
      <c r="C6985" t="s">
        <v>1069</v>
      </c>
      <c r="G6985" t="s">
        <v>16622</v>
      </c>
      <c r="H6985" t="s">
        <v>1531</v>
      </c>
      <c r="I6985" t="s">
        <v>84</v>
      </c>
      <c r="J6985">
        <v>98115</v>
      </c>
      <c r="K6985">
        <v>7810</v>
      </c>
      <c r="L6985" t="s">
        <v>23</v>
      </c>
      <c r="M6985" t="s">
        <v>16622</v>
      </c>
      <c r="N6985" t="s">
        <v>1531</v>
      </c>
      <c r="O6985" t="s">
        <v>84</v>
      </c>
      <c r="P6985">
        <v>98115</v>
      </c>
      <c r="Q6985">
        <v>7810</v>
      </c>
      <c r="R6985" t="s">
        <v>23</v>
      </c>
      <c r="S6985" s="1" t="s">
        <v>34218</v>
      </c>
    </row>
    <row r="6986" spans="1:19" x14ac:dyDescent="0.25">
      <c r="A6986">
        <v>101397874</v>
      </c>
      <c r="B6986" t="s">
        <v>9233</v>
      </c>
      <c r="C6986" t="s">
        <v>7894</v>
      </c>
      <c r="G6986" t="s">
        <v>16623</v>
      </c>
      <c r="H6986" t="s">
        <v>11234</v>
      </c>
      <c r="I6986" t="s">
        <v>135</v>
      </c>
      <c r="J6986">
        <v>61350</v>
      </c>
      <c r="K6986">
        <v>1528</v>
      </c>
      <c r="L6986" t="s">
        <v>23</v>
      </c>
      <c r="M6986" t="s">
        <v>16623</v>
      </c>
      <c r="N6986" t="s">
        <v>11234</v>
      </c>
      <c r="O6986" t="s">
        <v>135</v>
      </c>
      <c r="P6986">
        <v>61350</v>
      </c>
      <c r="Q6986">
        <v>1528</v>
      </c>
      <c r="R6986" t="s">
        <v>23</v>
      </c>
      <c r="S6986" s="1" t="s">
        <v>34218</v>
      </c>
    </row>
    <row r="6987" spans="1:19" x14ac:dyDescent="0.25">
      <c r="A6987">
        <v>101423726</v>
      </c>
      <c r="B6987" t="s">
        <v>16624</v>
      </c>
      <c r="C6987" t="s">
        <v>350</v>
      </c>
      <c r="G6987" t="s">
        <v>16625</v>
      </c>
      <c r="H6987" t="s">
        <v>685</v>
      </c>
      <c r="I6987" t="s">
        <v>187</v>
      </c>
      <c r="J6987">
        <v>55438</v>
      </c>
      <c r="K6987">
        <v>2189</v>
      </c>
      <c r="L6987" t="s">
        <v>23</v>
      </c>
      <c r="M6987" t="s">
        <v>16625</v>
      </c>
      <c r="N6987" t="s">
        <v>685</v>
      </c>
      <c r="O6987" t="s">
        <v>187</v>
      </c>
      <c r="P6987">
        <v>55438</v>
      </c>
      <c r="Q6987">
        <v>2189</v>
      </c>
      <c r="R6987" t="s">
        <v>23</v>
      </c>
      <c r="S6987" s="1" t="s">
        <v>34218</v>
      </c>
    </row>
    <row r="6988" spans="1:19" x14ac:dyDescent="0.25">
      <c r="A6988">
        <v>101291523</v>
      </c>
      <c r="B6988" t="s">
        <v>16626</v>
      </c>
      <c r="C6988" t="s">
        <v>1669</v>
      </c>
      <c r="G6988" t="s">
        <v>16627</v>
      </c>
      <c r="H6988" t="s">
        <v>653</v>
      </c>
      <c r="I6988" t="s">
        <v>117</v>
      </c>
      <c r="J6988">
        <v>10025</v>
      </c>
      <c r="K6988">
        <v>5453</v>
      </c>
      <c r="L6988" t="s">
        <v>23</v>
      </c>
      <c r="M6988" t="s">
        <v>16627</v>
      </c>
      <c r="N6988" t="s">
        <v>653</v>
      </c>
      <c r="O6988" t="s">
        <v>117</v>
      </c>
      <c r="P6988">
        <v>10025</v>
      </c>
      <c r="Q6988">
        <v>5453</v>
      </c>
      <c r="R6988" t="s">
        <v>23</v>
      </c>
      <c r="S6988" s="1" t="s">
        <v>34218</v>
      </c>
    </row>
    <row r="6989" spans="1:19" x14ac:dyDescent="0.25">
      <c r="A6989">
        <v>101049800</v>
      </c>
      <c r="B6989" t="s">
        <v>7006</v>
      </c>
      <c r="C6989" t="s">
        <v>16628</v>
      </c>
      <c r="G6989" t="s">
        <v>16629</v>
      </c>
      <c r="H6989" t="s">
        <v>2391</v>
      </c>
      <c r="I6989" t="s">
        <v>43</v>
      </c>
      <c r="J6989">
        <v>97702</v>
      </c>
      <c r="K6989">
        <v>2977</v>
      </c>
      <c r="L6989" t="s">
        <v>23</v>
      </c>
      <c r="M6989" t="s">
        <v>16629</v>
      </c>
      <c r="N6989" t="s">
        <v>2391</v>
      </c>
      <c r="O6989" t="s">
        <v>43</v>
      </c>
      <c r="P6989">
        <v>97702</v>
      </c>
      <c r="Q6989">
        <v>2977</v>
      </c>
      <c r="R6989" t="s">
        <v>23</v>
      </c>
      <c r="S6989" s="1" t="s">
        <v>34218</v>
      </c>
    </row>
    <row r="6990" spans="1:19" x14ac:dyDescent="0.25">
      <c r="A6990">
        <v>100614423</v>
      </c>
      <c r="B6990" t="s">
        <v>16630</v>
      </c>
      <c r="C6990" t="s">
        <v>890</v>
      </c>
      <c r="G6990" t="s">
        <v>16631</v>
      </c>
      <c r="H6990" t="s">
        <v>4326</v>
      </c>
      <c r="I6990" t="s">
        <v>71</v>
      </c>
      <c r="J6990">
        <v>80227</v>
      </c>
      <c r="K6990">
        <v>6313</v>
      </c>
      <c r="L6990" t="s">
        <v>23</v>
      </c>
      <c r="M6990" t="s">
        <v>16631</v>
      </c>
      <c r="N6990" t="s">
        <v>4326</v>
      </c>
      <c r="O6990" t="s">
        <v>71</v>
      </c>
      <c r="P6990">
        <v>80227</v>
      </c>
      <c r="Q6990">
        <v>6313</v>
      </c>
      <c r="R6990" t="s">
        <v>23</v>
      </c>
      <c r="S6990" s="1" t="s">
        <v>34218</v>
      </c>
    </row>
    <row r="6991" spans="1:19" x14ac:dyDescent="0.25">
      <c r="A6991">
        <v>101264782</v>
      </c>
      <c r="B6991" t="s">
        <v>11522</v>
      </c>
      <c r="C6991" t="s">
        <v>16632</v>
      </c>
      <c r="G6991" t="s">
        <v>16633</v>
      </c>
      <c r="H6991" t="s">
        <v>16634</v>
      </c>
      <c r="I6991" t="s">
        <v>117</v>
      </c>
      <c r="J6991">
        <v>11758</v>
      </c>
      <c r="K6991">
        <v>1609</v>
      </c>
      <c r="L6991" t="s">
        <v>23</v>
      </c>
      <c r="M6991" t="s">
        <v>16633</v>
      </c>
      <c r="N6991" t="s">
        <v>16634</v>
      </c>
      <c r="O6991" t="s">
        <v>117</v>
      </c>
      <c r="P6991">
        <v>11758</v>
      </c>
      <c r="Q6991">
        <v>1609</v>
      </c>
      <c r="R6991" t="s">
        <v>23</v>
      </c>
      <c r="S6991" s="1" t="s">
        <v>34218</v>
      </c>
    </row>
    <row r="6992" spans="1:19" x14ac:dyDescent="0.25">
      <c r="A6992">
        <v>101424537</v>
      </c>
      <c r="B6992" t="s">
        <v>16635</v>
      </c>
      <c r="C6992" t="s">
        <v>8186</v>
      </c>
      <c r="G6992" t="s">
        <v>16636</v>
      </c>
      <c r="H6992" t="s">
        <v>2798</v>
      </c>
      <c r="I6992" t="s">
        <v>446</v>
      </c>
      <c r="J6992">
        <v>27215</v>
      </c>
      <c r="K6992">
        <v>3861</v>
      </c>
      <c r="L6992" t="s">
        <v>23</v>
      </c>
      <c r="M6992" t="s">
        <v>16636</v>
      </c>
      <c r="N6992" t="s">
        <v>2798</v>
      </c>
      <c r="O6992" t="s">
        <v>446</v>
      </c>
      <c r="P6992">
        <v>27215</v>
      </c>
      <c r="Q6992">
        <v>3861</v>
      </c>
      <c r="R6992" t="s">
        <v>23</v>
      </c>
      <c r="S6992" s="1" t="s">
        <v>34218</v>
      </c>
    </row>
    <row r="6993" spans="1:19" x14ac:dyDescent="0.25">
      <c r="A6993">
        <v>101200990</v>
      </c>
      <c r="B6993" t="s">
        <v>6658</v>
      </c>
      <c r="C6993" t="s">
        <v>2287</v>
      </c>
      <c r="G6993" t="s">
        <v>16637</v>
      </c>
      <c r="H6993" t="s">
        <v>16638</v>
      </c>
      <c r="I6993" t="s">
        <v>187</v>
      </c>
      <c r="J6993">
        <v>55317</v>
      </c>
      <c r="L6993" t="s">
        <v>23</v>
      </c>
      <c r="M6993" t="s">
        <v>16637</v>
      </c>
      <c r="N6993" t="s">
        <v>16638</v>
      </c>
      <c r="O6993" t="s">
        <v>187</v>
      </c>
      <c r="P6993">
        <v>55317</v>
      </c>
      <c r="R6993" t="s">
        <v>23</v>
      </c>
      <c r="S6993" s="1" t="s">
        <v>34218</v>
      </c>
    </row>
    <row r="6994" spans="1:19" x14ac:dyDescent="0.25">
      <c r="A6994">
        <v>101448449</v>
      </c>
      <c r="B6994" t="s">
        <v>2238</v>
      </c>
      <c r="C6994" t="s">
        <v>16639</v>
      </c>
      <c r="G6994" t="s">
        <v>16640</v>
      </c>
      <c r="H6994" t="s">
        <v>16641</v>
      </c>
      <c r="I6994" t="s">
        <v>71</v>
      </c>
      <c r="J6994">
        <v>80863</v>
      </c>
      <c r="K6994">
        <v>9130</v>
      </c>
      <c r="L6994" t="s">
        <v>23</v>
      </c>
      <c r="M6994" t="s">
        <v>16640</v>
      </c>
      <c r="N6994" t="s">
        <v>16641</v>
      </c>
      <c r="O6994" t="s">
        <v>71</v>
      </c>
      <c r="P6994">
        <v>80863</v>
      </c>
      <c r="Q6994">
        <v>9130</v>
      </c>
      <c r="R6994" t="s">
        <v>23</v>
      </c>
      <c r="S6994" s="1" t="s">
        <v>34218</v>
      </c>
    </row>
    <row r="6995" spans="1:19" x14ac:dyDescent="0.25">
      <c r="A6995">
        <v>100574488</v>
      </c>
      <c r="B6995" t="s">
        <v>2170</v>
      </c>
      <c r="C6995" t="s">
        <v>225</v>
      </c>
      <c r="G6995">
        <v>82</v>
      </c>
      <c r="H6995" t="s">
        <v>16642</v>
      </c>
      <c r="I6995" t="s">
        <v>255</v>
      </c>
      <c r="J6995">
        <v>22485</v>
      </c>
      <c r="L6995" t="s">
        <v>23</v>
      </c>
      <c r="M6995">
        <v>82</v>
      </c>
      <c r="N6995" t="s">
        <v>16642</v>
      </c>
      <c r="O6995" t="s">
        <v>255</v>
      </c>
      <c r="P6995">
        <v>22485</v>
      </c>
      <c r="R6995" t="s">
        <v>23</v>
      </c>
      <c r="S6995" s="1" t="s">
        <v>34218</v>
      </c>
    </row>
    <row r="6996" spans="1:19" x14ac:dyDescent="0.25">
      <c r="A6996">
        <v>101456802</v>
      </c>
      <c r="B6996" t="s">
        <v>2376</v>
      </c>
      <c r="C6996" t="s">
        <v>9601</v>
      </c>
      <c r="G6996" t="s">
        <v>16643</v>
      </c>
      <c r="H6996" t="s">
        <v>496</v>
      </c>
      <c r="I6996" t="s">
        <v>22</v>
      </c>
      <c r="J6996">
        <v>94953</v>
      </c>
      <c r="K6996">
        <v>2880</v>
      </c>
      <c r="L6996" t="s">
        <v>23</v>
      </c>
      <c r="M6996" t="s">
        <v>16643</v>
      </c>
      <c r="N6996" t="s">
        <v>496</v>
      </c>
      <c r="O6996" t="s">
        <v>22</v>
      </c>
      <c r="P6996">
        <v>94953</v>
      </c>
      <c r="Q6996">
        <v>2880</v>
      </c>
      <c r="R6996" t="s">
        <v>23</v>
      </c>
      <c r="S6996" s="1" t="s">
        <v>34218</v>
      </c>
    </row>
    <row r="6997" spans="1:19" x14ac:dyDescent="0.25">
      <c r="A6997">
        <v>101359448</v>
      </c>
      <c r="B6997" t="s">
        <v>16644</v>
      </c>
      <c r="C6997" t="s">
        <v>2127</v>
      </c>
      <c r="G6997" t="s">
        <v>16645</v>
      </c>
      <c r="H6997" t="s">
        <v>5070</v>
      </c>
      <c r="I6997" t="s">
        <v>84</v>
      </c>
      <c r="J6997">
        <v>98687</v>
      </c>
      <c r="K6997">
        <v>7295</v>
      </c>
      <c r="L6997" t="s">
        <v>23</v>
      </c>
      <c r="M6997" t="s">
        <v>16645</v>
      </c>
      <c r="N6997" t="s">
        <v>5070</v>
      </c>
      <c r="O6997" t="s">
        <v>84</v>
      </c>
      <c r="P6997">
        <v>98687</v>
      </c>
      <c r="Q6997">
        <v>7295</v>
      </c>
      <c r="R6997" t="s">
        <v>23</v>
      </c>
      <c r="S6997" s="1" t="s">
        <v>34218</v>
      </c>
    </row>
    <row r="6998" spans="1:19" x14ac:dyDescent="0.25">
      <c r="A6998">
        <v>101298647</v>
      </c>
      <c r="B6998" t="s">
        <v>5052</v>
      </c>
      <c r="C6998" t="s">
        <v>102</v>
      </c>
      <c r="G6998" t="s">
        <v>16646</v>
      </c>
      <c r="H6998" t="s">
        <v>15542</v>
      </c>
      <c r="I6998" t="s">
        <v>52</v>
      </c>
      <c r="J6998">
        <v>33957</v>
      </c>
      <c r="K6998">
        <v>4626</v>
      </c>
      <c r="L6998" t="s">
        <v>23</v>
      </c>
      <c r="M6998" t="s">
        <v>16646</v>
      </c>
      <c r="N6998" t="s">
        <v>15542</v>
      </c>
      <c r="O6998" t="s">
        <v>52</v>
      </c>
      <c r="P6998">
        <v>33957</v>
      </c>
      <c r="Q6998">
        <v>4626</v>
      </c>
      <c r="R6998" t="s">
        <v>23</v>
      </c>
      <c r="S6998" s="1" t="s">
        <v>34218</v>
      </c>
    </row>
    <row r="6999" spans="1:19" x14ac:dyDescent="0.25">
      <c r="A6999">
        <v>101338980</v>
      </c>
      <c r="B6999" t="s">
        <v>16647</v>
      </c>
      <c r="C6999" t="s">
        <v>1331</v>
      </c>
      <c r="G6999" t="s">
        <v>16648</v>
      </c>
      <c r="H6999" t="s">
        <v>2523</v>
      </c>
      <c r="I6999" t="s">
        <v>161</v>
      </c>
      <c r="J6999">
        <v>6437</v>
      </c>
      <c r="K6999">
        <v>3255</v>
      </c>
      <c r="L6999" t="s">
        <v>23</v>
      </c>
      <c r="M6999" t="s">
        <v>16648</v>
      </c>
      <c r="N6999" t="s">
        <v>2523</v>
      </c>
      <c r="O6999" t="s">
        <v>161</v>
      </c>
      <c r="P6999">
        <v>6437</v>
      </c>
      <c r="Q6999">
        <v>3255</v>
      </c>
      <c r="R6999" t="s">
        <v>23</v>
      </c>
      <c r="S6999" s="1" t="s">
        <v>34218</v>
      </c>
    </row>
    <row r="7000" spans="1:19" x14ac:dyDescent="0.25">
      <c r="A7000">
        <v>101329138</v>
      </c>
      <c r="B7000" t="s">
        <v>16649</v>
      </c>
      <c r="C7000" t="s">
        <v>40</v>
      </c>
      <c r="G7000" t="s">
        <v>16650</v>
      </c>
      <c r="H7000" t="s">
        <v>3340</v>
      </c>
      <c r="I7000" t="s">
        <v>153</v>
      </c>
      <c r="J7000">
        <v>70460</v>
      </c>
      <c r="K7000">
        <v>3425</v>
      </c>
      <c r="L7000" t="s">
        <v>23</v>
      </c>
      <c r="M7000" t="s">
        <v>16650</v>
      </c>
      <c r="N7000" t="s">
        <v>3340</v>
      </c>
      <c r="O7000" t="s">
        <v>153</v>
      </c>
      <c r="P7000">
        <v>70460</v>
      </c>
      <c r="Q7000">
        <v>3425</v>
      </c>
      <c r="R7000" t="s">
        <v>23</v>
      </c>
      <c r="S7000" s="1" t="s">
        <v>34218</v>
      </c>
    </row>
    <row r="7001" spans="1:19" x14ac:dyDescent="0.25">
      <c r="A7001">
        <v>101429087</v>
      </c>
      <c r="B7001" t="s">
        <v>16651</v>
      </c>
      <c r="C7001" t="s">
        <v>1050</v>
      </c>
      <c r="G7001" t="s">
        <v>16652</v>
      </c>
      <c r="H7001" t="s">
        <v>650</v>
      </c>
      <c r="I7001" t="s">
        <v>22</v>
      </c>
      <c r="J7001">
        <v>95864</v>
      </c>
      <c r="K7001">
        <v>2907</v>
      </c>
      <c r="L7001" t="s">
        <v>23</v>
      </c>
      <c r="M7001" t="s">
        <v>16652</v>
      </c>
      <c r="N7001" t="s">
        <v>650</v>
      </c>
      <c r="O7001" t="s">
        <v>22</v>
      </c>
      <c r="P7001">
        <v>95864</v>
      </c>
      <c r="Q7001">
        <v>2907</v>
      </c>
      <c r="R7001" t="s">
        <v>23</v>
      </c>
      <c r="S7001" s="1" t="s">
        <v>34218</v>
      </c>
    </row>
    <row r="7002" spans="1:19" x14ac:dyDescent="0.25">
      <c r="A7002">
        <v>101431972</v>
      </c>
      <c r="B7002" t="s">
        <v>16653</v>
      </c>
      <c r="C7002" t="s">
        <v>6257</v>
      </c>
      <c r="G7002" t="s">
        <v>16654</v>
      </c>
      <c r="H7002" t="s">
        <v>11145</v>
      </c>
      <c r="I7002" t="s">
        <v>38</v>
      </c>
      <c r="J7002">
        <v>79415</v>
      </c>
      <c r="K7002">
        <v>3277</v>
      </c>
      <c r="L7002" t="s">
        <v>23</v>
      </c>
      <c r="M7002" t="s">
        <v>16654</v>
      </c>
      <c r="N7002" t="s">
        <v>11145</v>
      </c>
      <c r="O7002" t="s">
        <v>38</v>
      </c>
      <c r="P7002">
        <v>79415</v>
      </c>
      <c r="Q7002">
        <v>3277</v>
      </c>
      <c r="R7002" t="s">
        <v>23</v>
      </c>
      <c r="S7002" s="1" t="s">
        <v>34218</v>
      </c>
    </row>
    <row r="7003" spans="1:19" x14ac:dyDescent="0.25">
      <c r="A7003">
        <v>101312467</v>
      </c>
      <c r="B7003" t="s">
        <v>3696</v>
      </c>
      <c r="C7003" t="s">
        <v>11921</v>
      </c>
      <c r="G7003" t="s">
        <v>16655</v>
      </c>
      <c r="H7003" t="s">
        <v>741</v>
      </c>
      <c r="I7003" t="s">
        <v>22</v>
      </c>
      <c r="J7003">
        <v>91364</v>
      </c>
      <c r="L7003" t="s">
        <v>23</v>
      </c>
      <c r="M7003" t="s">
        <v>16655</v>
      </c>
      <c r="N7003" t="s">
        <v>741</v>
      </c>
      <c r="O7003" t="s">
        <v>22</v>
      </c>
      <c r="P7003">
        <v>91364</v>
      </c>
      <c r="R7003" t="s">
        <v>23</v>
      </c>
      <c r="S7003" s="1" t="s">
        <v>34218</v>
      </c>
    </row>
    <row r="7004" spans="1:19" x14ac:dyDescent="0.25">
      <c r="A7004">
        <v>101427454</v>
      </c>
      <c r="B7004" t="s">
        <v>2333</v>
      </c>
      <c r="C7004" t="s">
        <v>1069</v>
      </c>
      <c r="G7004" t="s">
        <v>16656</v>
      </c>
      <c r="H7004" t="s">
        <v>16657</v>
      </c>
      <c r="I7004" t="s">
        <v>161</v>
      </c>
      <c r="J7004">
        <v>6524</v>
      </c>
      <c r="K7004">
        <v>3018</v>
      </c>
      <c r="L7004" t="s">
        <v>23</v>
      </c>
      <c r="M7004" t="s">
        <v>16656</v>
      </c>
      <c r="N7004" t="s">
        <v>16657</v>
      </c>
      <c r="O7004" t="s">
        <v>161</v>
      </c>
      <c r="P7004">
        <v>6524</v>
      </c>
      <c r="Q7004">
        <v>3018</v>
      </c>
      <c r="R7004" t="s">
        <v>23</v>
      </c>
      <c r="S7004" s="1" t="s">
        <v>34218</v>
      </c>
    </row>
    <row r="7005" spans="1:19" x14ac:dyDescent="0.25">
      <c r="A7005">
        <v>101052071</v>
      </c>
      <c r="B7005" t="s">
        <v>5587</v>
      </c>
      <c r="C7005" t="s">
        <v>1107</v>
      </c>
      <c r="F7005" t="str">
        <f>"7728286240"</f>
        <v>7728286240</v>
      </c>
      <c r="G7005" t="s">
        <v>16658</v>
      </c>
      <c r="H7005" t="s">
        <v>8491</v>
      </c>
      <c r="I7005" t="s">
        <v>52</v>
      </c>
      <c r="J7005">
        <v>34952</v>
      </c>
      <c r="K7005">
        <v>4220</v>
      </c>
      <c r="L7005" t="s">
        <v>23</v>
      </c>
      <c r="M7005" t="s">
        <v>16658</v>
      </c>
      <c r="N7005" t="s">
        <v>8491</v>
      </c>
      <c r="O7005" t="s">
        <v>52</v>
      </c>
      <c r="P7005">
        <v>34952</v>
      </c>
      <c r="Q7005">
        <v>4220</v>
      </c>
      <c r="R7005" t="s">
        <v>23</v>
      </c>
      <c r="S7005" s="1" t="s">
        <v>34218</v>
      </c>
    </row>
    <row r="7006" spans="1:19" x14ac:dyDescent="0.25">
      <c r="A7006">
        <v>101428746</v>
      </c>
      <c r="B7006" t="s">
        <v>16659</v>
      </c>
      <c r="C7006" t="s">
        <v>30</v>
      </c>
      <c r="G7006" t="s">
        <v>16660</v>
      </c>
      <c r="H7006" t="s">
        <v>412</v>
      </c>
      <c r="I7006" t="s">
        <v>117</v>
      </c>
      <c r="J7006">
        <v>11234</v>
      </c>
      <c r="K7006">
        <v>3123</v>
      </c>
      <c r="L7006" t="s">
        <v>23</v>
      </c>
      <c r="M7006" t="s">
        <v>16660</v>
      </c>
      <c r="N7006" t="s">
        <v>412</v>
      </c>
      <c r="O7006" t="s">
        <v>117</v>
      </c>
      <c r="P7006">
        <v>11234</v>
      </c>
      <c r="Q7006">
        <v>3123</v>
      </c>
      <c r="R7006" t="s">
        <v>23</v>
      </c>
      <c r="S7006" s="1" t="s">
        <v>34218</v>
      </c>
    </row>
    <row r="7007" spans="1:19" x14ac:dyDescent="0.25">
      <c r="A7007">
        <v>101388134</v>
      </c>
      <c r="B7007" t="s">
        <v>16661</v>
      </c>
      <c r="C7007" t="s">
        <v>16662</v>
      </c>
      <c r="G7007" t="s">
        <v>16663</v>
      </c>
      <c r="H7007" t="s">
        <v>1293</v>
      </c>
      <c r="I7007" t="s">
        <v>22</v>
      </c>
      <c r="J7007">
        <v>95065</v>
      </c>
      <c r="K7007">
        <v>1808</v>
      </c>
      <c r="L7007" t="s">
        <v>23</v>
      </c>
      <c r="M7007" t="s">
        <v>16663</v>
      </c>
      <c r="N7007" t="s">
        <v>1293</v>
      </c>
      <c r="O7007" t="s">
        <v>22</v>
      </c>
      <c r="P7007">
        <v>95065</v>
      </c>
      <c r="Q7007">
        <v>1808</v>
      </c>
      <c r="R7007" t="s">
        <v>23</v>
      </c>
      <c r="S7007" s="1" t="s">
        <v>34218</v>
      </c>
    </row>
    <row r="7008" spans="1:19" x14ac:dyDescent="0.25">
      <c r="A7008">
        <v>101391840</v>
      </c>
      <c r="B7008" t="s">
        <v>16664</v>
      </c>
      <c r="C7008" t="s">
        <v>1043</v>
      </c>
      <c r="G7008" t="s">
        <v>16665</v>
      </c>
      <c r="H7008" t="s">
        <v>16547</v>
      </c>
      <c r="I7008" t="s">
        <v>84</v>
      </c>
      <c r="J7008">
        <v>98261</v>
      </c>
      <c r="K7008">
        <v>264</v>
      </c>
      <c r="L7008" t="s">
        <v>23</v>
      </c>
      <c r="M7008" t="s">
        <v>16665</v>
      </c>
      <c r="N7008" t="s">
        <v>16547</v>
      </c>
      <c r="O7008" t="s">
        <v>84</v>
      </c>
      <c r="P7008">
        <v>98261</v>
      </c>
      <c r="Q7008">
        <v>264</v>
      </c>
      <c r="R7008" t="s">
        <v>23</v>
      </c>
      <c r="S7008" s="1" t="s">
        <v>34218</v>
      </c>
    </row>
    <row r="7009" spans="1:19" x14ac:dyDescent="0.25">
      <c r="A7009">
        <v>101386675</v>
      </c>
      <c r="B7009" t="s">
        <v>11899</v>
      </c>
      <c r="C7009" t="s">
        <v>16666</v>
      </c>
      <c r="G7009" t="s">
        <v>16667</v>
      </c>
      <c r="H7009" t="s">
        <v>445</v>
      </c>
      <c r="I7009" t="s">
        <v>446</v>
      </c>
      <c r="J7009">
        <v>28803</v>
      </c>
      <c r="K7009">
        <v>2195</v>
      </c>
      <c r="L7009" t="s">
        <v>23</v>
      </c>
      <c r="M7009" t="s">
        <v>16667</v>
      </c>
      <c r="N7009" t="s">
        <v>445</v>
      </c>
      <c r="O7009" t="s">
        <v>446</v>
      </c>
      <c r="P7009">
        <v>28803</v>
      </c>
      <c r="Q7009">
        <v>2195</v>
      </c>
      <c r="R7009" t="s">
        <v>23</v>
      </c>
      <c r="S7009" s="1" t="s">
        <v>34218</v>
      </c>
    </row>
    <row r="7010" spans="1:19" x14ac:dyDescent="0.25">
      <c r="A7010">
        <v>101390850</v>
      </c>
      <c r="B7010" t="s">
        <v>10893</v>
      </c>
      <c r="C7010" t="s">
        <v>5671</v>
      </c>
      <c r="G7010" t="s">
        <v>16668</v>
      </c>
      <c r="H7010" t="s">
        <v>16669</v>
      </c>
      <c r="I7010" t="s">
        <v>22</v>
      </c>
      <c r="J7010">
        <v>90302</v>
      </c>
      <c r="K7010">
        <v>1846</v>
      </c>
      <c r="L7010" t="s">
        <v>23</v>
      </c>
      <c r="M7010" t="s">
        <v>16668</v>
      </c>
      <c r="N7010" t="s">
        <v>16669</v>
      </c>
      <c r="O7010" t="s">
        <v>22</v>
      </c>
      <c r="P7010">
        <v>90302</v>
      </c>
      <c r="Q7010">
        <v>1846</v>
      </c>
      <c r="R7010" t="s">
        <v>23</v>
      </c>
      <c r="S7010" s="1" t="s">
        <v>34218</v>
      </c>
    </row>
    <row r="7011" spans="1:19" x14ac:dyDescent="0.25">
      <c r="A7011">
        <v>101390908</v>
      </c>
      <c r="B7011" t="s">
        <v>16670</v>
      </c>
      <c r="C7011" t="s">
        <v>90</v>
      </c>
      <c r="F7011" t="str">
        <f>"9198465154"</f>
        <v>9198465154</v>
      </c>
      <c r="G7011" t="s">
        <v>16671</v>
      </c>
      <c r="H7011" t="s">
        <v>567</v>
      </c>
      <c r="I7011" t="s">
        <v>446</v>
      </c>
      <c r="J7011">
        <v>27613</v>
      </c>
      <c r="K7011">
        <v>8565</v>
      </c>
      <c r="L7011" t="s">
        <v>23</v>
      </c>
      <c r="M7011" t="s">
        <v>16671</v>
      </c>
      <c r="N7011" t="s">
        <v>567</v>
      </c>
      <c r="O7011" t="s">
        <v>446</v>
      </c>
      <c r="P7011">
        <v>27613</v>
      </c>
      <c r="Q7011">
        <v>8565</v>
      </c>
      <c r="R7011" t="s">
        <v>23</v>
      </c>
      <c r="S7011" s="1" t="s">
        <v>34218</v>
      </c>
    </row>
    <row r="7012" spans="1:19" x14ac:dyDescent="0.25">
      <c r="A7012">
        <v>101395682</v>
      </c>
      <c r="B7012" t="s">
        <v>16672</v>
      </c>
      <c r="C7012" t="s">
        <v>1239</v>
      </c>
      <c r="G7012" t="s">
        <v>16673</v>
      </c>
      <c r="H7012" t="s">
        <v>1894</v>
      </c>
      <c r="I7012" t="s">
        <v>57</v>
      </c>
      <c r="J7012">
        <v>46224</v>
      </c>
      <c r="K7012">
        <v>5608</v>
      </c>
      <c r="L7012" t="s">
        <v>23</v>
      </c>
      <c r="M7012" t="s">
        <v>16673</v>
      </c>
      <c r="N7012" t="s">
        <v>1894</v>
      </c>
      <c r="O7012" t="s">
        <v>57</v>
      </c>
      <c r="P7012">
        <v>46224</v>
      </c>
      <c r="Q7012">
        <v>5608</v>
      </c>
      <c r="R7012" t="s">
        <v>23</v>
      </c>
      <c r="S7012" s="1" t="s">
        <v>34218</v>
      </c>
    </row>
    <row r="7013" spans="1:19" x14ac:dyDescent="0.25">
      <c r="A7013">
        <v>101403235</v>
      </c>
      <c r="B7013" t="s">
        <v>1827</v>
      </c>
      <c r="C7013" t="s">
        <v>16674</v>
      </c>
      <c r="G7013" t="s">
        <v>16675</v>
      </c>
      <c r="H7013" t="s">
        <v>143</v>
      </c>
      <c r="I7013" t="s">
        <v>52</v>
      </c>
      <c r="J7013">
        <v>32216</v>
      </c>
      <c r="K7013">
        <v>4545</v>
      </c>
      <c r="L7013" t="s">
        <v>23</v>
      </c>
      <c r="M7013" t="s">
        <v>16675</v>
      </c>
      <c r="N7013" t="s">
        <v>143</v>
      </c>
      <c r="O7013" t="s">
        <v>52</v>
      </c>
      <c r="P7013">
        <v>32216</v>
      </c>
      <c r="Q7013">
        <v>4545</v>
      </c>
      <c r="R7013" t="s">
        <v>23</v>
      </c>
      <c r="S7013" s="1" t="s">
        <v>34218</v>
      </c>
    </row>
    <row r="7014" spans="1:19" x14ac:dyDescent="0.25">
      <c r="A7014">
        <v>101406371</v>
      </c>
      <c r="B7014" t="s">
        <v>80</v>
      </c>
      <c r="C7014" t="s">
        <v>1824</v>
      </c>
      <c r="G7014" t="s">
        <v>16676</v>
      </c>
      <c r="H7014" t="s">
        <v>4810</v>
      </c>
      <c r="I7014" t="s">
        <v>236</v>
      </c>
      <c r="J7014">
        <v>1606</v>
      </c>
      <c r="K7014">
        <v>2306</v>
      </c>
      <c r="L7014" t="s">
        <v>23</v>
      </c>
      <c r="M7014" t="s">
        <v>16676</v>
      </c>
      <c r="N7014" t="s">
        <v>4810</v>
      </c>
      <c r="O7014" t="s">
        <v>236</v>
      </c>
      <c r="P7014">
        <v>1606</v>
      </c>
      <c r="Q7014">
        <v>2306</v>
      </c>
      <c r="R7014" t="s">
        <v>23</v>
      </c>
      <c r="S7014" s="1" t="s">
        <v>34218</v>
      </c>
    </row>
    <row r="7015" spans="1:19" x14ac:dyDescent="0.25">
      <c r="A7015">
        <v>101400410</v>
      </c>
      <c r="B7015" t="s">
        <v>16677</v>
      </c>
      <c r="C7015" t="s">
        <v>1506</v>
      </c>
      <c r="G7015" t="s">
        <v>16678</v>
      </c>
      <c r="H7015" t="s">
        <v>789</v>
      </c>
      <c r="I7015" t="s">
        <v>236</v>
      </c>
      <c r="J7015">
        <v>1833</v>
      </c>
      <c r="K7015">
        <v>1210</v>
      </c>
      <c r="L7015" t="s">
        <v>23</v>
      </c>
      <c r="M7015" t="s">
        <v>16678</v>
      </c>
      <c r="N7015" t="s">
        <v>789</v>
      </c>
      <c r="O7015" t="s">
        <v>236</v>
      </c>
      <c r="P7015">
        <v>1833</v>
      </c>
      <c r="Q7015">
        <v>1210</v>
      </c>
      <c r="R7015" t="s">
        <v>23</v>
      </c>
      <c r="S7015" s="1" t="s">
        <v>34218</v>
      </c>
    </row>
    <row r="7016" spans="1:19" x14ac:dyDescent="0.25">
      <c r="A7016">
        <v>101401669</v>
      </c>
      <c r="B7016" t="s">
        <v>16679</v>
      </c>
      <c r="C7016" t="s">
        <v>699</v>
      </c>
      <c r="G7016" t="s">
        <v>16680</v>
      </c>
      <c r="H7016" t="s">
        <v>16681</v>
      </c>
      <c r="I7016" t="s">
        <v>28</v>
      </c>
      <c r="J7016">
        <v>30083</v>
      </c>
      <c r="K7016">
        <v>4808</v>
      </c>
      <c r="L7016" t="s">
        <v>23</v>
      </c>
      <c r="M7016" t="s">
        <v>16680</v>
      </c>
      <c r="N7016" t="s">
        <v>16681</v>
      </c>
      <c r="O7016" t="s">
        <v>28</v>
      </c>
      <c r="P7016">
        <v>30083</v>
      </c>
      <c r="Q7016">
        <v>4808</v>
      </c>
      <c r="R7016" t="s">
        <v>23</v>
      </c>
      <c r="S7016" s="1" t="s">
        <v>34218</v>
      </c>
    </row>
    <row r="7017" spans="1:19" x14ac:dyDescent="0.25">
      <c r="A7017">
        <v>101411625</v>
      </c>
      <c r="B7017" t="s">
        <v>16682</v>
      </c>
      <c r="C7017" t="s">
        <v>739</v>
      </c>
      <c r="G7017" t="s">
        <v>16683</v>
      </c>
      <c r="H7017" t="s">
        <v>7214</v>
      </c>
      <c r="I7017" t="s">
        <v>2566</v>
      </c>
      <c r="J7017">
        <v>99712</v>
      </c>
      <c r="K7017">
        <v>1309</v>
      </c>
      <c r="L7017" t="s">
        <v>23</v>
      </c>
      <c r="M7017" t="s">
        <v>16683</v>
      </c>
      <c r="N7017" t="s">
        <v>7214</v>
      </c>
      <c r="O7017" t="s">
        <v>2566</v>
      </c>
      <c r="P7017">
        <v>99712</v>
      </c>
      <c r="Q7017">
        <v>1309</v>
      </c>
      <c r="R7017" t="s">
        <v>23</v>
      </c>
      <c r="S7017" s="1" t="s">
        <v>34218</v>
      </c>
    </row>
    <row r="7018" spans="1:19" x14ac:dyDescent="0.25">
      <c r="A7018">
        <v>101405380</v>
      </c>
      <c r="B7018" t="s">
        <v>16684</v>
      </c>
      <c r="C7018" t="s">
        <v>16685</v>
      </c>
      <c r="G7018" t="s">
        <v>16686</v>
      </c>
      <c r="H7018" t="s">
        <v>11234</v>
      </c>
      <c r="I7018" t="s">
        <v>135</v>
      </c>
      <c r="J7018">
        <v>61350</v>
      </c>
      <c r="K7018">
        <v>2538</v>
      </c>
      <c r="L7018" t="s">
        <v>23</v>
      </c>
      <c r="M7018" t="s">
        <v>16686</v>
      </c>
      <c r="N7018" t="s">
        <v>11234</v>
      </c>
      <c r="O7018" t="s">
        <v>135</v>
      </c>
      <c r="P7018">
        <v>61350</v>
      </c>
      <c r="Q7018">
        <v>2538</v>
      </c>
      <c r="R7018" t="s">
        <v>23</v>
      </c>
      <c r="S7018" s="1" t="s">
        <v>34218</v>
      </c>
    </row>
    <row r="7019" spans="1:19" x14ac:dyDescent="0.25">
      <c r="A7019">
        <v>101408931</v>
      </c>
      <c r="B7019" t="s">
        <v>16687</v>
      </c>
      <c r="C7019" t="s">
        <v>1069</v>
      </c>
      <c r="G7019" t="s">
        <v>16688</v>
      </c>
      <c r="H7019" t="s">
        <v>12592</v>
      </c>
      <c r="I7019" t="s">
        <v>52</v>
      </c>
      <c r="J7019">
        <v>33702</v>
      </c>
      <c r="K7019">
        <v>2844</v>
      </c>
      <c r="L7019" t="s">
        <v>23</v>
      </c>
      <c r="M7019" t="s">
        <v>16688</v>
      </c>
      <c r="N7019" t="s">
        <v>12592</v>
      </c>
      <c r="O7019" t="s">
        <v>52</v>
      </c>
      <c r="P7019">
        <v>33702</v>
      </c>
      <c r="Q7019">
        <v>2844</v>
      </c>
      <c r="R7019" t="s">
        <v>23</v>
      </c>
      <c r="S7019" s="1" t="s">
        <v>34218</v>
      </c>
    </row>
    <row r="7020" spans="1:19" x14ac:dyDescent="0.25">
      <c r="A7020">
        <v>101415329</v>
      </c>
      <c r="B7020" t="s">
        <v>16689</v>
      </c>
      <c r="C7020" t="s">
        <v>505</v>
      </c>
      <c r="G7020" t="s">
        <v>16690</v>
      </c>
      <c r="H7020" t="s">
        <v>2523</v>
      </c>
      <c r="I7020" t="s">
        <v>161</v>
      </c>
      <c r="J7020">
        <v>6437</v>
      </c>
      <c r="K7020">
        <v>2165</v>
      </c>
      <c r="L7020" t="s">
        <v>23</v>
      </c>
      <c r="M7020" t="s">
        <v>16690</v>
      </c>
      <c r="N7020" t="s">
        <v>2523</v>
      </c>
      <c r="O7020" t="s">
        <v>161</v>
      </c>
      <c r="P7020">
        <v>6437</v>
      </c>
      <c r="Q7020">
        <v>2165</v>
      </c>
      <c r="R7020" t="s">
        <v>23</v>
      </c>
      <c r="S7020" s="1" t="s">
        <v>34218</v>
      </c>
    </row>
    <row r="7021" spans="1:19" x14ac:dyDescent="0.25">
      <c r="A7021">
        <v>101410817</v>
      </c>
      <c r="B7021" t="s">
        <v>1007</v>
      </c>
      <c r="C7021" t="s">
        <v>4502</v>
      </c>
      <c r="F7021" t="str">
        <f>"5108428976"</f>
        <v>5108428976</v>
      </c>
      <c r="G7021" t="s">
        <v>16691</v>
      </c>
      <c r="H7021" t="s">
        <v>88</v>
      </c>
      <c r="I7021" t="s">
        <v>22</v>
      </c>
      <c r="J7021">
        <v>94602</v>
      </c>
      <c r="K7021">
        <v>1853</v>
      </c>
      <c r="L7021" t="s">
        <v>23</v>
      </c>
      <c r="M7021" t="s">
        <v>16691</v>
      </c>
      <c r="N7021" t="s">
        <v>88</v>
      </c>
      <c r="O7021" t="s">
        <v>22</v>
      </c>
      <c r="P7021">
        <v>94602</v>
      </c>
      <c r="Q7021">
        <v>1853</v>
      </c>
      <c r="R7021" t="s">
        <v>23</v>
      </c>
      <c r="S7021" s="1" t="s">
        <v>34218</v>
      </c>
    </row>
    <row r="7022" spans="1:19" x14ac:dyDescent="0.25">
      <c r="A7022">
        <v>101410907</v>
      </c>
      <c r="B7022" t="s">
        <v>1726</v>
      </c>
      <c r="C7022" t="s">
        <v>8782</v>
      </c>
      <c r="G7022" t="s">
        <v>16692</v>
      </c>
      <c r="H7022" t="s">
        <v>1315</v>
      </c>
      <c r="I7022" t="s">
        <v>33</v>
      </c>
      <c r="J7022">
        <v>18020</v>
      </c>
      <c r="K7022">
        <v>8617</v>
      </c>
      <c r="L7022" t="s">
        <v>23</v>
      </c>
      <c r="M7022" t="s">
        <v>16692</v>
      </c>
      <c r="N7022" t="s">
        <v>1315</v>
      </c>
      <c r="O7022" t="s">
        <v>33</v>
      </c>
      <c r="P7022">
        <v>18020</v>
      </c>
      <c r="Q7022">
        <v>8617</v>
      </c>
      <c r="R7022" t="s">
        <v>23</v>
      </c>
      <c r="S7022" s="1" t="s">
        <v>34218</v>
      </c>
    </row>
    <row r="7023" spans="1:19" x14ac:dyDescent="0.25">
      <c r="A7023">
        <v>101414661</v>
      </c>
      <c r="B7023" t="s">
        <v>16693</v>
      </c>
      <c r="C7023" t="s">
        <v>16694</v>
      </c>
      <c r="G7023" t="s">
        <v>16695</v>
      </c>
      <c r="H7023" t="s">
        <v>4559</v>
      </c>
      <c r="I7023" t="s">
        <v>236</v>
      </c>
      <c r="J7023">
        <v>2633</v>
      </c>
      <c r="K7023">
        <v>1548</v>
      </c>
      <c r="L7023" t="s">
        <v>23</v>
      </c>
      <c r="M7023" t="s">
        <v>16695</v>
      </c>
      <c r="N7023" t="s">
        <v>4559</v>
      </c>
      <c r="O7023" t="s">
        <v>236</v>
      </c>
      <c r="P7023">
        <v>2633</v>
      </c>
      <c r="Q7023">
        <v>1548</v>
      </c>
      <c r="R7023" t="s">
        <v>23</v>
      </c>
      <c r="S7023" s="1" t="s">
        <v>34218</v>
      </c>
    </row>
    <row r="7024" spans="1:19" x14ac:dyDescent="0.25">
      <c r="A7024">
        <v>101325307</v>
      </c>
      <c r="B7024" t="s">
        <v>16696</v>
      </c>
      <c r="C7024" t="s">
        <v>209</v>
      </c>
      <c r="G7024" t="s">
        <v>16697</v>
      </c>
      <c r="H7024" t="s">
        <v>412</v>
      </c>
      <c r="I7024" t="s">
        <v>117</v>
      </c>
      <c r="J7024">
        <v>11221</v>
      </c>
      <c r="K7024">
        <v>2729</v>
      </c>
      <c r="L7024" t="s">
        <v>23</v>
      </c>
      <c r="M7024" t="s">
        <v>16697</v>
      </c>
      <c r="N7024" t="s">
        <v>412</v>
      </c>
      <c r="O7024" t="s">
        <v>117</v>
      </c>
      <c r="P7024">
        <v>11221</v>
      </c>
      <c r="Q7024">
        <v>2729</v>
      </c>
      <c r="R7024" t="s">
        <v>23</v>
      </c>
      <c r="S7024" s="1" t="s">
        <v>34218</v>
      </c>
    </row>
    <row r="7025" spans="1:19" x14ac:dyDescent="0.25">
      <c r="A7025">
        <v>101321506</v>
      </c>
      <c r="B7025" t="s">
        <v>16698</v>
      </c>
      <c r="C7025" t="s">
        <v>2515</v>
      </c>
      <c r="G7025" t="s">
        <v>16699</v>
      </c>
      <c r="H7025" t="s">
        <v>2798</v>
      </c>
      <c r="I7025" t="s">
        <v>565</v>
      </c>
      <c r="J7025">
        <v>52601</v>
      </c>
      <c r="K7025">
        <v>3354</v>
      </c>
      <c r="L7025" t="s">
        <v>23</v>
      </c>
      <c r="M7025" t="s">
        <v>16699</v>
      </c>
      <c r="N7025" t="s">
        <v>2798</v>
      </c>
      <c r="O7025" t="s">
        <v>565</v>
      </c>
      <c r="P7025">
        <v>52601</v>
      </c>
      <c r="Q7025">
        <v>3354</v>
      </c>
      <c r="R7025" t="s">
        <v>23</v>
      </c>
      <c r="S7025" s="1" t="s">
        <v>34218</v>
      </c>
    </row>
    <row r="7026" spans="1:19" x14ac:dyDescent="0.25">
      <c r="A7026">
        <v>101314579</v>
      </c>
      <c r="B7026" t="s">
        <v>1463</v>
      </c>
      <c r="C7026" t="s">
        <v>274</v>
      </c>
      <c r="G7026" t="s">
        <v>16700</v>
      </c>
      <c r="H7026" t="s">
        <v>5370</v>
      </c>
      <c r="I7026" t="s">
        <v>22</v>
      </c>
      <c r="J7026">
        <v>94608</v>
      </c>
      <c r="K7026">
        <v>1649</v>
      </c>
      <c r="L7026" t="s">
        <v>23</v>
      </c>
      <c r="M7026" t="s">
        <v>16700</v>
      </c>
      <c r="N7026" t="s">
        <v>5370</v>
      </c>
      <c r="O7026" t="s">
        <v>22</v>
      </c>
      <c r="P7026">
        <v>94608</v>
      </c>
      <c r="Q7026">
        <v>1649</v>
      </c>
      <c r="R7026" t="s">
        <v>23</v>
      </c>
      <c r="S7026" s="1" t="s">
        <v>34218</v>
      </c>
    </row>
    <row r="7027" spans="1:19" x14ac:dyDescent="0.25">
      <c r="A7027">
        <v>101320784</v>
      </c>
      <c r="B7027" t="s">
        <v>16701</v>
      </c>
      <c r="C7027" t="s">
        <v>2343</v>
      </c>
      <c r="G7027" t="s">
        <v>16702</v>
      </c>
      <c r="H7027" t="s">
        <v>16703</v>
      </c>
      <c r="I7027" t="s">
        <v>178</v>
      </c>
      <c r="J7027">
        <v>43749</v>
      </c>
      <c r="K7027">
        <v>9503</v>
      </c>
      <c r="L7027" t="s">
        <v>23</v>
      </c>
      <c r="M7027" t="s">
        <v>16702</v>
      </c>
      <c r="N7027" t="s">
        <v>16703</v>
      </c>
      <c r="O7027" t="s">
        <v>178</v>
      </c>
      <c r="P7027">
        <v>43749</v>
      </c>
      <c r="Q7027">
        <v>9503</v>
      </c>
      <c r="R7027" t="s">
        <v>23</v>
      </c>
      <c r="S7027" s="1" t="s">
        <v>34218</v>
      </c>
    </row>
    <row r="7028" spans="1:19" x14ac:dyDescent="0.25">
      <c r="A7028">
        <v>101336803</v>
      </c>
      <c r="B7028" t="s">
        <v>16704</v>
      </c>
      <c r="C7028" t="s">
        <v>1616</v>
      </c>
      <c r="F7028" t="str">
        <f>"5613692249"</f>
        <v>5613692249</v>
      </c>
      <c r="G7028" t="s">
        <v>16705</v>
      </c>
      <c r="H7028" t="s">
        <v>16283</v>
      </c>
      <c r="I7028" t="s">
        <v>52</v>
      </c>
      <c r="J7028">
        <v>33437</v>
      </c>
      <c r="K7028">
        <v>5506</v>
      </c>
      <c r="L7028" t="s">
        <v>23</v>
      </c>
      <c r="M7028" t="s">
        <v>16705</v>
      </c>
      <c r="N7028" t="s">
        <v>16283</v>
      </c>
      <c r="O7028" t="s">
        <v>52</v>
      </c>
      <c r="P7028">
        <v>33437</v>
      </c>
      <c r="Q7028">
        <v>5506</v>
      </c>
      <c r="R7028" t="s">
        <v>23</v>
      </c>
      <c r="S7028" s="1" t="s">
        <v>34218</v>
      </c>
    </row>
    <row r="7029" spans="1:19" x14ac:dyDescent="0.25">
      <c r="A7029">
        <v>101332627</v>
      </c>
      <c r="B7029" t="s">
        <v>16706</v>
      </c>
      <c r="C7029" t="s">
        <v>894</v>
      </c>
      <c r="G7029" t="s">
        <v>16707</v>
      </c>
      <c r="H7029" t="s">
        <v>16708</v>
      </c>
      <c r="I7029" t="s">
        <v>28</v>
      </c>
      <c r="J7029">
        <v>30458</v>
      </c>
      <c r="K7029">
        <v>5167</v>
      </c>
      <c r="L7029" t="s">
        <v>23</v>
      </c>
      <c r="M7029" t="s">
        <v>16707</v>
      </c>
      <c r="N7029" t="s">
        <v>16708</v>
      </c>
      <c r="O7029" t="s">
        <v>28</v>
      </c>
      <c r="P7029">
        <v>30458</v>
      </c>
      <c r="Q7029">
        <v>5167</v>
      </c>
      <c r="R7029" t="s">
        <v>23</v>
      </c>
      <c r="S7029" s="1" t="s">
        <v>34218</v>
      </c>
    </row>
    <row r="7030" spans="1:19" x14ac:dyDescent="0.25">
      <c r="A7030">
        <v>101331675</v>
      </c>
      <c r="B7030" t="s">
        <v>16709</v>
      </c>
      <c r="C7030" t="s">
        <v>2802</v>
      </c>
      <c r="G7030" t="s">
        <v>16710</v>
      </c>
      <c r="H7030" t="s">
        <v>10093</v>
      </c>
      <c r="I7030" t="s">
        <v>84</v>
      </c>
      <c r="J7030">
        <v>98382</v>
      </c>
      <c r="K7030">
        <v>9310</v>
      </c>
      <c r="L7030" t="s">
        <v>23</v>
      </c>
      <c r="M7030" t="s">
        <v>16710</v>
      </c>
      <c r="N7030" t="s">
        <v>10093</v>
      </c>
      <c r="O7030" t="s">
        <v>84</v>
      </c>
      <c r="P7030">
        <v>98382</v>
      </c>
      <c r="Q7030">
        <v>9310</v>
      </c>
      <c r="R7030" t="s">
        <v>23</v>
      </c>
      <c r="S7030" s="1" t="s">
        <v>34218</v>
      </c>
    </row>
    <row r="7031" spans="1:19" x14ac:dyDescent="0.25">
      <c r="A7031">
        <v>100537700</v>
      </c>
      <c r="B7031" t="s">
        <v>13269</v>
      </c>
      <c r="C7031" t="s">
        <v>290</v>
      </c>
      <c r="G7031" t="s">
        <v>16711</v>
      </c>
      <c r="H7031" t="s">
        <v>15429</v>
      </c>
      <c r="I7031" t="s">
        <v>43</v>
      </c>
      <c r="J7031">
        <v>97864</v>
      </c>
      <c r="K7031">
        <v>7925</v>
      </c>
      <c r="L7031" t="s">
        <v>23</v>
      </c>
      <c r="M7031" t="s">
        <v>16711</v>
      </c>
      <c r="N7031" t="s">
        <v>15429</v>
      </c>
      <c r="O7031" t="s">
        <v>43</v>
      </c>
      <c r="P7031">
        <v>97864</v>
      </c>
      <c r="Q7031">
        <v>7925</v>
      </c>
      <c r="R7031" t="s">
        <v>23</v>
      </c>
      <c r="S7031" s="1" t="s">
        <v>34218</v>
      </c>
    </row>
    <row r="7032" spans="1:19" x14ac:dyDescent="0.25">
      <c r="A7032">
        <v>101264203</v>
      </c>
      <c r="B7032" t="s">
        <v>16712</v>
      </c>
      <c r="C7032" t="s">
        <v>225</v>
      </c>
      <c r="G7032" t="s">
        <v>16713</v>
      </c>
      <c r="H7032" t="s">
        <v>16714</v>
      </c>
      <c r="I7032" t="s">
        <v>446</v>
      </c>
      <c r="J7032">
        <v>28557</v>
      </c>
      <c r="K7032">
        <v>3209</v>
      </c>
      <c r="L7032" t="s">
        <v>23</v>
      </c>
      <c r="M7032" t="s">
        <v>16713</v>
      </c>
      <c r="N7032" t="s">
        <v>16714</v>
      </c>
      <c r="O7032" t="s">
        <v>446</v>
      </c>
      <c r="P7032">
        <v>28557</v>
      </c>
      <c r="Q7032">
        <v>3209</v>
      </c>
      <c r="R7032" t="s">
        <v>23</v>
      </c>
      <c r="S7032" s="1" t="s">
        <v>34218</v>
      </c>
    </row>
    <row r="7033" spans="1:19" x14ac:dyDescent="0.25">
      <c r="A7033">
        <v>101472874</v>
      </c>
      <c r="B7033" t="s">
        <v>16715</v>
      </c>
      <c r="C7033" t="s">
        <v>890</v>
      </c>
      <c r="G7033" t="s">
        <v>16716</v>
      </c>
      <c r="H7033" t="s">
        <v>805</v>
      </c>
      <c r="I7033" t="s">
        <v>178</v>
      </c>
      <c r="J7033">
        <v>43054</v>
      </c>
      <c r="K7033">
        <v>8539</v>
      </c>
      <c r="L7033" t="s">
        <v>23</v>
      </c>
      <c r="M7033" t="s">
        <v>16716</v>
      </c>
      <c r="N7033" t="s">
        <v>805</v>
      </c>
      <c r="O7033" t="s">
        <v>178</v>
      </c>
      <c r="P7033">
        <v>43054</v>
      </c>
      <c r="Q7033">
        <v>8539</v>
      </c>
      <c r="R7033" t="s">
        <v>23</v>
      </c>
      <c r="S7033" s="1" t="s">
        <v>34218</v>
      </c>
    </row>
    <row r="7034" spans="1:19" x14ac:dyDescent="0.25">
      <c r="A7034">
        <v>101341506</v>
      </c>
      <c r="B7034" t="s">
        <v>16717</v>
      </c>
      <c r="C7034" t="s">
        <v>1906</v>
      </c>
      <c r="G7034" t="s">
        <v>16718</v>
      </c>
      <c r="H7034" t="s">
        <v>3798</v>
      </c>
      <c r="I7034" t="s">
        <v>71</v>
      </c>
      <c r="J7034">
        <v>80233</v>
      </c>
      <c r="K7034">
        <v>3905</v>
      </c>
      <c r="L7034" t="s">
        <v>23</v>
      </c>
      <c r="M7034" t="s">
        <v>16718</v>
      </c>
      <c r="N7034" t="s">
        <v>3798</v>
      </c>
      <c r="O7034" t="s">
        <v>71</v>
      </c>
      <c r="P7034">
        <v>80233</v>
      </c>
      <c r="Q7034">
        <v>3905</v>
      </c>
      <c r="R7034" t="s">
        <v>23</v>
      </c>
      <c r="S7034" s="1" t="s">
        <v>34218</v>
      </c>
    </row>
    <row r="7035" spans="1:19" x14ac:dyDescent="0.25">
      <c r="A7035">
        <v>101411641</v>
      </c>
      <c r="B7035" t="s">
        <v>16719</v>
      </c>
      <c r="C7035" t="s">
        <v>49</v>
      </c>
      <c r="G7035" t="s">
        <v>16720</v>
      </c>
      <c r="H7035" t="s">
        <v>3852</v>
      </c>
      <c r="I7035" t="s">
        <v>140</v>
      </c>
      <c r="J7035">
        <v>48439</v>
      </c>
      <c r="K7035">
        <v>2533</v>
      </c>
      <c r="L7035" t="s">
        <v>23</v>
      </c>
      <c r="M7035" t="s">
        <v>16720</v>
      </c>
      <c r="N7035" t="s">
        <v>3852</v>
      </c>
      <c r="O7035" t="s">
        <v>140</v>
      </c>
      <c r="P7035">
        <v>48439</v>
      </c>
      <c r="Q7035">
        <v>2533</v>
      </c>
      <c r="R7035" t="s">
        <v>23</v>
      </c>
      <c r="S7035" s="1" t="s">
        <v>34218</v>
      </c>
    </row>
    <row r="7036" spans="1:19" x14ac:dyDescent="0.25">
      <c r="A7036">
        <v>101396852</v>
      </c>
      <c r="B7036" t="s">
        <v>16721</v>
      </c>
      <c r="C7036" t="s">
        <v>880</v>
      </c>
      <c r="G7036" t="s">
        <v>16722</v>
      </c>
      <c r="H7036" t="s">
        <v>16723</v>
      </c>
      <c r="I7036" t="s">
        <v>126</v>
      </c>
      <c r="J7036">
        <v>65738</v>
      </c>
      <c r="K7036">
        <v>2331</v>
      </c>
      <c r="L7036" t="s">
        <v>23</v>
      </c>
      <c r="M7036" t="s">
        <v>16722</v>
      </c>
      <c r="N7036" t="s">
        <v>16723</v>
      </c>
      <c r="O7036" t="s">
        <v>126</v>
      </c>
      <c r="P7036">
        <v>65738</v>
      </c>
      <c r="Q7036">
        <v>2331</v>
      </c>
      <c r="R7036" t="s">
        <v>23</v>
      </c>
      <c r="S7036" s="1" t="s">
        <v>34218</v>
      </c>
    </row>
    <row r="7037" spans="1:19" x14ac:dyDescent="0.25">
      <c r="A7037">
        <v>101398084</v>
      </c>
      <c r="B7037" t="s">
        <v>16724</v>
      </c>
      <c r="C7037" t="s">
        <v>5420</v>
      </c>
      <c r="G7037" t="s">
        <v>16725</v>
      </c>
      <c r="H7037" t="s">
        <v>7744</v>
      </c>
      <c r="I7037" t="s">
        <v>250</v>
      </c>
      <c r="J7037">
        <v>7047</v>
      </c>
      <c r="K7037">
        <v>3595</v>
      </c>
      <c r="L7037" t="s">
        <v>23</v>
      </c>
      <c r="M7037" t="s">
        <v>16725</v>
      </c>
      <c r="N7037" t="s">
        <v>7744</v>
      </c>
      <c r="O7037" t="s">
        <v>250</v>
      </c>
      <c r="P7037">
        <v>7047</v>
      </c>
      <c r="Q7037">
        <v>3595</v>
      </c>
      <c r="R7037" t="s">
        <v>23</v>
      </c>
      <c r="S7037" s="1" t="s">
        <v>34218</v>
      </c>
    </row>
    <row r="7038" spans="1:19" x14ac:dyDescent="0.25">
      <c r="A7038">
        <v>101393600</v>
      </c>
      <c r="B7038" t="s">
        <v>3089</v>
      </c>
      <c r="C7038" t="s">
        <v>16726</v>
      </c>
      <c r="G7038" t="s">
        <v>16727</v>
      </c>
      <c r="H7038" t="s">
        <v>653</v>
      </c>
      <c r="I7038" t="s">
        <v>117</v>
      </c>
      <c r="J7038">
        <v>10011</v>
      </c>
      <c r="K7038">
        <v>8214</v>
      </c>
      <c r="L7038" t="s">
        <v>23</v>
      </c>
      <c r="M7038" t="s">
        <v>16727</v>
      </c>
      <c r="N7038" t="s">
        <v>653</v>
      </c>
      <c r="O7038" t="s">
        <v>117</v>
      </c>
      <c r="P7038">
        <v>10011</v>
      </c>
      <c r="Q7038">
        <v>8214</v>
      </c>
      <c r="R7038" t="s">
        <v>23</v>
      </c>
      <c r="S7038" s="1" t="s">
        <v>34218</v>
      </c>
    </row>
    <row r="7039" spans="1:19" x14ac:dyDescent="0.25">
      <c r="A7039">
        <v>101393556</v>
      </c>
      <c r="B7039" t="s">
        <v>16728</v>
      </c>
      <c r="C7039" t="s">
        <v>382</v>
      </c>
      <c r="G7039" t="s">
        <v>16729</v>
      </c>
      <c r="H7039" t="s">
        <v>3373</v>
      </c>
      <c r="I7039" t="s">
        <v>178</v>
      </c>
      <c r="J7039">
        <v>44134</v>
      </c>
      <c r="K7039">
        <v>3716</v>
      </c>
      <c r="L7039" t="s">
        <v>23</v>
      </c>
      <c r="M7039" t="s">
        <v>16729</v>
      </c>
      <c r="N7039" t="s">
        <v>3373</v>
      </c>
      <c r="O7039" t="s">
        <v>178</v>
      </c>
      <c r="P7039">
        <v>44134</v>
      </c>
      <c r="Q7039">
        <v>3716</v>
      </c>
      <c r="R7039" t="s">
        <v>23</v>
      </c>
      <c r="S7039" s="1" t="s">
        <v>34218</v>
      </c>
    </row>
    <row r="7040" spans="1:19" x14ac:dyDescent="0.25">
      <c r="A7040">
        <v>101390826</v>
      </c>
      <c r="B7040" t="s">
        <v>16730</v>
      </c>
      <c r="C7040" t="s">
        <v>16731</v>
      </c>
      <c r="G7040" t="s">
        <v>16732</v>
      </c>
      <c r="H7040" t="s">
        <v>16733</v>
      </c>
      <c r="I7040" t="s">
        <v>984</v>
      </c>
      <c r="J7040">
        <v>96789</v>
      </c>
      <c r="K7040">
        <v>4955</v>
      </c>
      <c r="L7040" t="s">
        <v>23</v>
      </c>
      <c r="M7040" t="s">
        <v>16732</v>
      </c>
      <c r="N7040" t="s">
        <v>16733</v>
      </c>
      <c r="O7040" t="s">
        <v>984</v>
      </c>
      <c r="P7040">
        <v>96789</v>
      </c>
      <c r="Q7040">
        <v>4955</v>
      </c>
      <c r="R7040" t="s">
        <v>23</v>
      </c>
      <c r="S7040" s="1" t="s">
        <v>34218</v>
      </c>
    </row>
    <row r="7041" spans="1:19" x14ac:dyDescent="0.25">
      <c r="A7041">
        <v>101395525</v>
      </c>
      <c r="B7041" t="s">
        <v>16734</v>
      </c>
      <c r="C7041" t="s">
        <v>1124</v>
      </c>
      <c r="G7041" t="s">
        <v>16735</v>
      </c>
      <c r="H7041" t="s">
        <v>37</v>
      </c>
      <c r="I7041" t="s">
        <v>38</v>
      </c>
      <c r="J7041">
        <v>78737</v>
      </c>
      <c r="K7041">
        <v>4754</v>
      </c>
      <c r="L7041" t="s">
        <v>23</v>
      </c>
      <c r="M7041" t="s">
        <v>16735</v>
      </c>
      <c r="N7041" t="s">
        <v>37</v>
      </c>
      <c r="O7041" t="s">
        <v>38</v>
      </c>
      <c r="P7041">
        <v>78737</v>
      </c>
      <c r="Q7041">
        <v>4754</v>
      </c>
      <c r="R7041" t="s">
        <v>23</v>
      </c>
      <c r="S7041" s="1" t="s">
        <v>34218</v>
      </c>
    </row>
    <row r="7042" spans="1:19" x14ac:dyDescent="0.25">
      <c r="A7042">
        <v>101404959</v>
      </c>
      <c r="B7042" t="s">
        <v>16736</v>
      </c>
      <c r="C7042" t="s">
        <v>1463</v>
      </c>
      <c r="F7042" t="str">
        <f>"8606590678"</f>
        <v>8606590678</v>
      </c>
      <c r="G7042" t="s">
        <v>16737</v>
      </c>
      <c r="H7042" t="s">
        <v>16738</v>
      </c>
      <c r="I7042" t="s">
        <v>161</v>
      </c>
      <c r="J7042">
        <v>6033</v>
      </c>
      <c r="K7042">
        <v>2927</v>
      </c>
      <c r="L7042" t="s">
        <v>23</v>
      </c>
      <c r="M7042" t="s">
        <v>16737</v>
      </c>
      <c r="N7042" t="s">
        <v>16738</v>
      </c>
      <c r="O7042" t="s">
        <v>161</v>
      </c>
      <c r="P7042">
        <v>6033</v>
      </c>
      <c r="Q7042">
        <v>2927</v>
      </c>
      <c r="R7042" t="s">
        <v>23</v>
      </c>
      <c r="S7042" s="1" t="s">
        <v>34218</v>
      </c>
    </row>
    <row r="7043" spans="1:19" x14ac:dyDescent="0.25">
      <c r="A7043">
        <v>101407566</v>
      </c>
      <c r="B7043" t="s">
        <v>1685</v>
      </c>
      <c r="C7043" t="s">
        <v>25</v>
      </c>
      <c r="F7043" t="str">
        <f>"2108241108"</f>
        <v>2108241108</v>
      </c>
      <c r="G7043" t="s">
        <v>16739</v>
      </c>
      <c r="H7043" t="s">
        <v>1229</v>
      </c>
      <c r="I7043" t="s">
        <v>38</v>
      </c>
      <c r="J7043">
        <v>78209</v>
      </c>
      <c r="K7043">
        <v>6147</v>
      </c>
      <c r="L7043" t="s">
        <v>23</v>
      </c>
      <c r="M7043" t="s">
        <v>16739</v>
      </c>
      <c r="N7043" t="s">
        <v>1229</v>
      </c>
      <c r="O7043" t="s">
        <v>38</v>
      </c>
      <c r="P7043">
        <v>78209</v>
      </c>
      <c r="Q7043">
        <v>6147</v>
      </c>
      <c r="R7043" t="s">
        <v>23</v>
      </c>
      <c r="S7043" s="1" t="s">
        <v>34218</v>
      </c>
    </row>
    <row r="7044" spans="1:19" x14ac:dyDescent="0.25">
      <c r="A7044">
        <v>101410775</v>
      </c>
      <c r="B7044" t="s">
        <v>16740</v>
      </c>
      <c r="C7044" t="s">
        <v>803</v>
      </c>
      <c r="G7044" t="s">
        <v>16741</v>
      </c>
      <c r="H7044" t="s">
        <v>3270</v>
      </c>
      <c r="I7044" t="s">
        <v>348</v>
      </c>
      <c r="J7044">
        <v>83702</v>
      </c>
      <c r="K7044">
        <v>3222</v>
      </c>
      <c r="L7044" t="s">
        <v>23</v>
      </c>
      <c r="M7044" t="s">
        <v>16741</v>
      </c>
      <c r="N7044" t="s">
        <v>3270</v>
      </c>
      <c r="O7044" t="s">
        <v>348</v>
      </c>
      <c r="P7044">
        <v>83702</v>
      </c>
      <c r="Q7044">
        <v>3222</v>
      </c>
      <c r="R7044" t="s">
        <v>23</v>
      </c>
      <c r="S7044" s="1" t="s">
        <v>34218</v>
      </c>
    </row>
    <row r="7045" spans="1:19" x14ac:dyDescent="0.25">
      <c r="A7045">
        <v>100812058</v>
      </c>
      <c r="B7045" t="s">
        <v>15376</v>
      </c>
      <c r="C7045" t="s">
        <v>890</v>
      </c>
      <c r="G7045" t="s">
        <v>16742</v>
      </c>
      <c r="H7045" t="s">
        <v>16743</v>
      </c>
      <c r="I7045" t="s">
        <v>117</v>
      </c>
      <c r="J7045">
        <v>13459</v>
      </c>
      <c r="K7045">
        <v>3437</v>
      </c>
      <c r="L7045" t="s">
        <v>23</v>
      </c>
      <c r="M7045" t="s">
        <v>16742</v>
      </c>
      <c r="N7045" t="s">
        <v>16743</v>
      </c>
      <c r="O7045" t="s">
        <v>117</v>
      </c>
      <c r="P7045">
        <v>13459</v>
      </c>
      <c r="Q7045">
        <v>3437</v>
      </c>
      <c r="R7045" t="s">
        <v>23</v>
      </c>
      <c r="S7045" s="1" t="s">
        <v>34218</v>
      </c>
    </row>
    <row r="7046" spans="1:19" x14ac:dyDescent="0.25">
      <c r="A7046">
        <v>101333921</v>
      </c>
      <c r="B7046" t="s">
        <v>9723</v>
      </c>
      <c r="C7046" t="s">
        <v>3566</v>
      </c>
      <c r="G7046" t="s">
        <v>16744</v>
      </c>
      <c r="H7046" t="s">
        <v>130</v>
      </c>
      <c r="I7046" t="s">
        <v>22</v>
      </c>
      <c r="J7046">
        <v>94110</v>
      </c>
      <c r="K7046">
        <v>5504</v>
      </c>
      <c r="L7046" t="s">
        <v>23</v>
      </c>
      <c r="M7046" t="s">
        <v>16744</v>
      </c>
      <c r="N7046" t="s">
        <v>130</v>
      </c>
      <c r="O7046" t="s">
        <v>22</v>
      </c>
      <c r="P7046">
        <v>94110</v>
      </c>
      <c r="Q7046">
        <v>5504</v>
      </c>
      <c r="R7046" t="s">
        <v>23</v>
      </c>
      <c r="S7046" s="1" t="s">
        <v>34218</v>
      </c>
    </row>
    <row r="7047" spans="1:19" x14ac:dyDescent="0.25">
      <c r="A7047">
        <v>101331290</v>
      </c>
      <c r="B7047" t="s">
        <v>10951</v>
      </c>
      <c r="C7047" t="s">
        <v>575</v>
      </c>
      <c r="G7047" t="s">
        <v>16745</v>
      </c>
      <c r="H7047" t="s">
        <v>16746</v>
      </c>
      <c r="I7047" t="s">
        <v>191</v>
      </c>
      <c r="J7047">
        <v>4001</v>
      </c>
      <c r="K7047">
        <v>7613</v>
      </c>
      <c r="L7047" t="s">
        <v>23</v>
      </c>
      <c r="M7047" t="s">
        <v>16745</v>
      </c>
      <c r="N7047" t="s">
        <v>16746</v>
      </c>
      <c r="O7047" t="s">
        <v>191</v>
      </c>
      <c r="P7047">
        <v>4001</v>
      </c>
      <c r="Q7047">
        <v>7613</v>
      </c>
      <c r="R7047" t="s">
        <v>23</v>
      </c>
      <c r="S7047" s="1" t="s">
        <v>34218</v>
      </c>
    </row>
    <row r="7048" spans="1:19" x14ac:dyDescent="0.25">
      <c r="A7048">
        <v>101335945</v>
      </c>
      <c r="B7048" t="s">
        <v>1164</v>
      </c>
      <c r="C7048" t="s">
        <v>16747</v>
      </c>
      <c r="G7048" t="s">
        <v>16748</v>
      </c>
      <c r="H7048" t="s">
        <v>4069</v>
      </c>
      <c r="I7048" t="s">
        <v>71</v>
      </c>
      <c r="J7048">
        <v>80128</v>
      </c>
      <c r="K7048">
        <v>4809</v>
      </c>
      <c r="L7048" t="s">
        <v>23</v>
      </c>
      <c r="M7048" t="s">
        <v>16748</v>
      </c>
      <c r="N7048" t="s">
        <v>4069</v>
      </c>
      <c r="O7048" t="s">
        <v>71</v>
      </c>
      <c r="P7048">
        <v>80128</v>
      </c>
      <c r="Q7048">
        <v>4809</v>
      </c>
      <c r="R7048" t="s">
        <v>23</v>
      </c>
      <c r="S7048" s="1" t="s">
        <v>34218</v>
      </c>
    </row>
    <row r="7049" spans="1:19" x14ac:dyDescent="0.25">
      <c r="A7049">
        <v>101331876</v>
      </c>
      <c r="B7049" t="s">
        <v>7881</v>
      </c>
      <c r="C7049" t="s">
        <v>1065</v>
      </c>
      <c r="G7049" t="s">
        <v>16749</v>
      </c>
      <c r="H7049" t="s">
        <v>199</v>
      </c>
      <c r="I7049" t="s">
        <v>365</v>
      </c>
      <c r="J7049">
        <v>85939</v>
      </c>
      <c r="K7049">
        <v>214</v>
      </c>
      <c r="L7049" t="s">
        <v>23</v>
      </c>
      <c r="M7049" t="s">
        <v>16749</v>
      </c>
      <c r="N7049" t="s">
        <v>199</v>
      </c>
      <c r="O7049" t="s">
        <v>365</v>
      </c>
      <c r="P7049">
        <v>85939</v>
      </c>
      <c r="Q7049">
        <v>214</v>
      </c>
      <c r="R7049" t="s">
        <v>23</v>
      </c>
      <c r="S7049" s="1" t="s">
        <v>34218</v>
      </c>
    </row>
    <row r="7050" spans="1:19" x14ac:dyDescent="0.25">
      <c r="A7050">
        <v>101338066</v>
      </c>
      <c r="B7050" t="s">
        <v>16750</v>
      </c>
      <c r="C7050" t="s">
        <v>403</v>
      </c>
      <c r="G7050" t="s">
        <v>16751</v>
      </c>
      <c r="H7050" t="s">
        <v>1452</v>
      </c>
      <c r="I7050" t="s">
        <v>43</v>
      </c>
      <c r="J7050">
        <v>97401</v>
      </c>
      <c r="K7050">
        <v>5588</v>
      </c>
      <c r="L7050" t="s">
        <v>23</v>
      </c>
      <c r="M7050" t="s">
        <v>16751</v>
      </c>
      <c r="N7050" t="s">
        <v>1452</v>
      </c>
      <c r="O7050" t="s">
        <v>43</v>
      </c>
      <c r="P7050">
        <v>97401</v>
      </c>
      <c r="Q7050">
        <v>5588</v>
      </c>
      <c r="R7050" t="s">
        <v>23</v>
      </c>
      <c r="S7050" s="1" t="s">
        <v>34218</v>
      </c>
    </row>
    <row r="7051" spans="1:19" x14ac:dyDescent="0.25">
      <c r="A7051">
        <v>101336163</v>
      </c>
      <c r="B7051" t="s">
        <v>16752</v>
      </c>
      <c r="C7051" t="s">
        <v>16753</v>
      </c>
      <c r="G7051" t="s">
        <v>16754</v>
      </c>
      <c r="H7051" t="s">
        <v>1538</v>
      </c>
      <c r="I7051" t="s">
        <v>22</v>
      </c>
      <c r="J7051">
        <v>91401</v>
      </c>
      <c r="K7051">
        <v>5625</v>
      </c>
      <c r="L7051" t="s">
        <v>23</v>
      </c>
      <c r="M7051" t="s">
        <v>16754</v>
      </c>
      <c r="N7051" t="s">
        <v>1538</v>
      </c>
      <c r="O7051" t="s">
        <v>22</v>
      </c>
      <c r="P7051">
        <v>91401</v>
      </c>
      <c r="Q7051">
        <v>5625</v>
      </c>
      <c r="R7051" t="s">
        <v>23</v>
      </c>
      <c r="S7051" s="1" t="s">
        <v>34218</v>
      </c>
    </row>
    <row r="7052" spans="1:19" x14ac:dyDescent="0.25">
      <c r="A7052">
        <v>101469631</v>
      </c>
      <c r="B7052" t="s">
        <v>16755</v>
      </c>
      <c r="C7052" t="s">
        <v>114</v>
      </c>
      <c r="G7052" t="s">
        <v>16756</v>
      </c>
      <c r="H7052" t="s">
        <v>9605</v>
      </c>
      <c r="I7052" t="s">
        <v>22</v>
      </c>
      <c r="J7052">
        <v>90272</v>
      </c>
      <c r="K7052">
        <v>4631</v>
      </c>
      <c r="L7052" t="s">
        <v>23</v>
      </c>
      <c r="M7052" t="s">
        <v>16756</v>
      </c>
      <c r="N7052" t="s">
        <v>9605</v>
      </c>
      <c r="O7052" t="s">
        <v>22</v>
      </c>
      <c r="P7052">
        <v>90272</v>
      </c>
      <c r="Q7052">
        <v>4631</v>
      </c>
      <c r="R7052" t="s">
        <v>23</v>
      </c>
      <c r="S7052" s="1" t="s">
        <v>34218</v>
      </c>
    </row>
    <row r="7053" spans="1:19" x14ac:dyDescent="0.25">
      <c r="A7053">
        <v>101480368</v>
      </c>
      <c r="B7053" t="s">
        <v>16757</v>
      </c>
      <c r="C7053" t="s">
        <v>16758</v>
      </c>
      <c r="G7053" t="s">
        <v>16759</v>
      </c>
      <c r="H7053" t="s">
        <v>4326</v>
      </c>
      <c r="I7053" t="s">
        <v>84</v>
      </c>
      <c r="J7053">
        <v>98499</v>
      </c>
      <c r="K7053">
        <v>2345</v>
      </c>
      <c r="L7053" t="s">
        <v>23</v>
      </c>
      <c r="M7053" t="s">
        <v>16759</v>
      </c>
      <c r="N7053" t="s">
        <v>4326</v>
      </c>
      <c r="O7053" t="s">
        <v>84</v>
      </c>
      <c r="P7053">
        <v>98499</v>
      </c>
      <c r="Q7053">
        <v>2345</v>
      </c>
      <c r="R7053" t="s">
        <v>23</v>
      </c>
      <c r="S7053" s="1" t="s">
        <v>34218</v>
      </c>
    </row>
    <row r="7054" spans="1:19" x14ac:dyDescent="0.25">
      <c r="A7054">
        <v>101480402</v>
      </c>
      <c r="B7054" t="s">
        <v>16760</v>
      </c>
      <c r="C7054" t="s">
        <v>387</v>
      </c>
      <c r="G7054" t="s">
        <v>16761</v>
      </c>
      <c r="H7054" t="s">
        <v>5070</v>
      </c>
      <c r="I7054" t="s">
        <v>84</v>
      </c>
      <c r="J7054">
        <v>98664</v>
      </c>
      <c r="K7054">
        <v>2860</v>
      </c>
      <c r="L7054" t="s">
        <v>23</v>
      </c>
      <c r="M7054" t="s">
        <v>16761</v>
      </c>
      <c r="N7054" t="s">
        <v>5070</v>
      </c>
      <c r="O7054" t="s">
        <v>84</v>
      </c>
      <c r="P7054">
        <v>98664</v>
      </c>
      <c r="Q7054">
        <v>2860</v>
      </c>
      <c r="R7054" t="s">
        <v>23</v>
      </c>
      <c r="S7054" s="1" t="s">
        <v>34218</v>
      </c>
    </row>
    <row r="7055" spans="1:19" x14ac:dyDescent="0.25">
      <c r="A7055">
        <v>101454498</v>
      </c>
      <c r="B7055" t="s">
        <v>16762</v>
      </c>
      <c r="C7055" t="s">
        <v>2603</v>
      </c>
      <c r="G7055" t="s">
        <v>16763</v>
      </c>
      <c r="H7055" t="s">
        <v>16764</v>
      </c>
      <c r="I7055" t="s">
        <v>22</v>
      </c>
      <c r="J7055">
        <v>91702</v>
      </c>
      <c r="K7055">
        <v>6217</v>
      </c>
      <c r="L7055" t="s">
        <v>23</v>
      </c>
      <c r="M7055" t="s">
        <v>16763</v>
      </c>
      <c r="N7055" t="s">
        <v>16764</v>
      </c>
      <c r="O7055" t="s">
        <v>22</v>
      </c>
      <c r="P7055">
        <v>91702</v>
      </c>
      <c r="Q7055">
        <v>6217</v>
      </c>
      <c r="R7055" t="s">
        <v>23</v>
      </c>
      <c r="S7055" s="1" t="s">
        <v>34218</v>
      </c>
    </row>
    <row r="7056" spans="1:19" x14ac:dyDescent="0.25">
      <c r="A7056">
        <v>101480470</v>
      </c>
      <c r="B7056" t="s">
        <v>4956</v>
      </c>
      <c r="C7056" t="s">
        <v>102</v>
      </c>
      <c r="G7056" t="s">
        <v>16765</v>
      </c>
      <c r="H7056" t="s">
        <v>299</v>
      </c>
      <c r="I7056" t="s">
        <v>22</v>
      </c>
      <c r="J7056">
        <v>90034</v>
      </c>
      <c r="K7056">
        <v>5180</v>
      </c>
      <c r="L7056" t="s">
        <v>23</v>
      </c>
      <c r="M7056" t="s">
        <v>16765</v>
      </c>
      <c r="N7056" t="s">
        <v>299</v>
      </c>
      <c r="O7056" t="s">
        <v>22</v>
      </c>
      <c r="P7056">
        <v>90034</v>
      </c>
      <c r="Q7056">
        <v>5180</v>
      </c>
      <c r="R7056" t="s">
        <v>23</v>
      </c>
      <c r="S7056" s="1" t="s">
        <v>34218</v>
      </c>
    </row>
    <row r="7057" spans="1:19" x14ac:dyDescent="0.25">
      <c r="A7057">
        <v>100906117</v>
      </c>
      <c r="B7057" t="s">
        <v>7182</v>
      </c>
      <c r="C7057" t="s">
        <v>16766</v>
      </c>
      <c r="G7057" t="s">
        <v>16767</v>
      </c>
      <c r="H7057" t="s">
        <v>6104</v>
      </c>
      <c r="I7057" t="s">
        <v>236</v>
      </c>
      <c r="J7057">
        <v>2458</v>
      </c>
      <c r="K7057">
        <v>2712</v>
      </c>
      <c r="L7057" t="s">
        <v>23</v>
      </c>
      <c r="M7057" t="s">
        <v>16767</v>
      </c>
      <c r="N7057" t="s">
        <v>6104</v>
      </c>
      <c r="O7057" t="s">
        <v>236</v>
      </c>
      <c r="P7057">
        <v>2458</v>
      </c>
      <c r="Q7057">
        <v>2712</v>
      </c>
      <c r="R7057" t="s">
        <v>23</v>
      </c>
      <c r="S7057" s="1" t="s">
        <v>34218</v>
      </c>
    </row>
    <row r="7058" spans="1:19" x14ac:dyDescent="0.25">
      <c r="A7058">
        <v>101453005</v>
      </c>
      <c r="B7058" t="s">
        <v>2130</v>
      </c>
      <c r="C7058" t="s">
        <v>3583</v>
      </c>
      <c r="G7058" t="s">
        <v>16768</v>
      </c>
      <c r="H7058" t="s">
        <v>3043</v>
      </c>
      <c r="I7058" t="s">
        <v>191</v>
      </c>
      <c r="J7058">
        <v>3903</v>
      </c>
      <c r="K7058">
        <v>1525</v>
      </c>
      <c r="L7058" t="s">
        <v>23</v>
      </c>
      <c r="M7058" t="s">
        <v>16768</v>
      </c>
      <c r="N7058" t="s">
        <v>3043</v>
      </c>
      <c r="O7058" t="s">
        <v>191</v>
      </c>
      <c r="P7058">
        <v>3903</v>
      </c>
      <c r="Q7058">
        <v>1525</v>
      </c>
      <c r="R7058" t="s">
        <v>23</v>
      </c>
      <c r="S7058" s="1" t="s">
        <v>34218</v>
      </c>
    </row>
    <row r="7059" spans="1:19" x14ac:dyDescent="0.25">
      <c r="A7059">
        <v>100594109</v>
      </c>
      <c r="B7059" t="s">
        <v>16769</v>
      </c>
      <c r="C7059" t="s">
        <v>247</v>
      </c>
      <c r="G7059" t="s">
        <v>16770</v>
      </c>
      <c r="H7059" t="s">
        <v>6406</v>
      </c>
      <c r="I7059" t="s">
        <v>38</v>
      </c>
      <c r="J7059">
        <v>78660</v>
      </c>
      <c r="K7059">
        <v>2381</v>
      </c>
      <c r="L7059" t="s">
        <v>23</v>
      </c>
      <c r="M7059" t="s">
        <v>16770</v>
      </c>
      <c r="N7059" t="s">
        <v>6406</v>
      </c>
      <c r="O7059" t="s">
        <v>38</v>
      </c>
      <c r="P7059">
        <v>78660</v>
      </c>
      <c r="Q7059">
        <v>2381</v>
      </c>
      <c r="R7059" t="s">
        <v>23</v>
      </c>
      <c r="S7059" s="1" t="s">
        <v>34218</v>
      </c>
    </row>
    <row r="7060" spans="1:19" x14ac:dyDescent="0.25">
      <c r="A7060">
        <v>100617112</v>
      </c>
      <c r="B7060" t="s">
        <v>715</v>
      </c>
      <c r="C7060" t="s">
        <v>16771</v>
      </c>
      <c r="G7060" t="s">
        <v>16772</v>
      </c>
      <c r="H7060" t="s">
        <v>3270</v>
      </c>
      <c r="I7060" t="s">
        <v>348</v>
      </c>
      <c r="J7060">
        <v>83709</v>
      </c>
      <c r="K7060">
        <v>4562</v>
      </c>
      <c r="L7060" t="s">
        <v>23</v>
      </c>
      <c r="M7060" t="s">
        <v>16772</v>
      </c>
      <c r="N7060" t="s">
        <v>3270</v>
      </c>
      <c r="O7060" t="s">
        <v>348</v>
      </c>
      <c r="P7060">
        <v>83709</v>
      </c>
      <c r="Q7060">
        <v>4562</v>
      </c>
      <c r="R7060" t="s">
        <v>23</v>
      </c>
      <c r="S7060" s="1" t="s">
        <v>34218</v>
      </c>
    </row>
    <row r="7061" spans="1:19" x14ac:dyDescent="0.25">
      <c r="A7061">
        <v>101275035</v>
      </c>
      <c r="B7061" t="s">
        <v>16773</v>
      </c>
      <c r="C7061" t="s">
        <v>7844</v>
      </c>
      <c r="G7061" t="s">
        <v>16774</v>
      </c>
      <c r="H7061" t="s">
        <v>2701</v>
      </c>
      <c r="I7061" t="s">
        <v>100</v>
      </c>
      <c r="J7061">
        <v>53132</v>
      </c>
      <c r="K7061">
        <v>9301</v>
      </c>
      <c r="L7061" t="s">
        <v>23</v>
      </c>
      <c r="M7061" t="s">
        <v>16774</v>
      </c>
      <c r="N7061" t="s">
        <v>2701</v>
      </c>
      <c r="O7061" t="s">
        <v>100</v>
      </c>
      <c r="P7061">
        <v>53132</v>
      </c>
      <c r="Q7061">
        <v>9301</v>
      </c>
      <c r="R7061" t="s">
        <v>23</v>
      </c>
      <c r="S7061" s="1" t="s">
        <v>34218</v>
      </c>
    </row>
    <row r="7062" spans="1:19" x14ac:dyDescent="0.25">
      <c r="A7062">
        <v>101353386</v>
      </c>
      <c r="B7062" t="s">
        <v>16775</v>
      </c>
      <c r="C7062" t="s">
        <v>15849</v>
      </c>
      <c r="G7062" t="s">
        <v>16776</v>
      </c>
      <c r="H7062" t="s">
        <v>2313</v>
      </c>
      <c r="I7062" t="s">
        <v>639</v>
      </c>
      <c r="J7062">
        <v>87124</v>
      </c>
      <c r="K7062">
        <v>4666</v>
      </c>
      <c r="L7062" t="s">
        <v>23</v>
      </c>
      <c r="M7062" t="s">
        <v>16776</v>
      </c>
      <c r="N7062" t="s">
        <v>2313</v>
      </c>
      <c r="O7062" t="s">
        <v>639</v>
      </c>
      <c r="P7062">
        <v>87124</v>
      </c>
      <c r="Q7062">
        <v>4666</v>
      </c>
      <c r="R7062" t="s">
        <v>23</v>
      </c>
      <c r="S7062" s="1" t="s">
        <v>34218</v>
      </c>
    </row>
    <row r="7063" spans="1:19" x14ac:dyDescent="0.25">
      <c r="A7063">
        <v>101421575</v>
      </c>
      <c r="B7063" t="s">
        <v>6658</v>
      </c>
      <c r="C7063" t="s">
        <v>16777</v>
      </c>
      <c r="G7063" t="s">
        <v>16778</v>
      </c>
      <c r="H7063" t="s">
        <v>2608</v>
      </c>
      <c r="I7063" t="s">
        <v>22</v>
      </c>
      <c r="J7063">
        <v>92596</v>
      </c>
      <c r="K7063">
        <v>9163</v>
      </c>
      <c r="L7063" t="s">
        <v>23</v>
      </c>
      <c r="M7063" t="s">
        <v>16778</v>
      </c>
      <c r="N7063" t="s">
        <v>2608</v>
      </c>
      <c r="O7063" t="s">
        <v>22</v>
      </c>
      <c r="P7063">
        <v>92596</v>
      </c>
      <c r="Q7063">
        <v>9163</v>
      </c>
      <c r="R7063" t="s">
        <v>23</v>
      </c>
      <c r="S7063" s="1" t="s">
        <v>34218</v>
      </c>
    </row>
    <row r="7064" spans="1:19" x14ac:dyDescent="0.25">
      <c r="A7064">
        <v>101336894</v>
      </c>
      <c r="B7064" t="s">
        <v>16779</v>
      </c>
      <c r="C7064" t="s">
        <v>49</v>
      </c>
      <c r="G7064" t="s">
        <v>16780</v>
      </c>
      <c r="H7064" t="s">
        <v>125</v>
      </c>
      <c r="I7064" t="s">
        <v>126</v>
      </c>
      <c r="J7064">
        <v>63107</v>
      </c>
      <c r="K7064">
        <v>2825</v>
      </c>
      <c r="L7064" t="s">
        <v>23</v>
      </c>
      <c r="M7064" t="s">
        <v>16780</v>
      </c>
      <c r="N7064" t="s">
        <v>125</v>
      </c>
      <c r="O7064" t="s">
        <v>126</v>
      </c>
      <c r="P7064">
        <v>63107</v>
      </c>
      <c r="Q7064">
        <v>2825</v>
      </c>
      <c r="R7064" t="s">
        <v>23</v>
      </c>
      <c r="S7064" s="1" t="s">
        <v>34218</v>
      </c>
    </row>
    <row r="7065" spans="1:19" x14ac:dyDescent="0.25">
      <c r="A7065">
        <v>101413574</v>
      </c>
      <c r="B7065" t="s">
        <v>16781</v>
      </c>
      <c r="C7065" t="s">
        <v>1327</v>
      </c>
      <c r="G7065" t="s">
        <v>16782</v>
      </c>
      <c r="H7065" t="s">
        <v>1561</v>
      </c>
      <c r="I7065" t="s">
        <v>1387</v>
      </c>
      <c r="J7065">
        <v>36111</v>
      </c>
      <c r="K7065">
        <v>1429</v>
      </c>
      <c r="L7065" t="s">
        <v>23</v>
      </c>
      <c r="M7065" t="s">
        <v>16782</v>
      </c>
      <c r="N7065" t="s">
        <v>1561</v>
      </c>
      <c r="O7065" t="s">
        <v>1387</v>
      </c>
      <c r="P7065">
        <v>36111</v>
      </c>
      <c r="Q7065">
        <v>1429</v>
      </c>
      <c r="R7065" t="s">
        <v>23</v>
      </c>
      <c r="S7065" s="1" t="s">
        <v>34218</v>
      </c>
    </row>
    <row r="7066" spans="1:19" x14ac:dyDescent="0.25">
      <c r="A7066">
        <v>101416368</v>
      </c>
      <c r="B7066" t="s">
        <v>16783</v>
      </c>
      <c r="C7066" t="s">
        <v>10802</v>
      </c>
      <c r="G7066" t="s">
        <v>10115</v>
      </c>
      <c r="H7066" t="s">
        <v>227</v>
      </c>
      <c r="I7066" t="s">
        <v>191</v>
      </c>
      <c r="J7066">
        <v>4102</v>
      </c>
      <c r="K7066">
        <v>3781</v>
      </c>
      <c r="L7066" t="s">
        <v>23</v>
      </c>
      <c r="M7066" t="s">
        <v>10115</v>
      </c>
      <c r="N7066" t="s">
        <v>227</v>
      </c>
      <c r="O7066" t="s">
        <v>191</v>
      </c>
      <c r="P7066">
        <v>4102</v>
      </c>
      <c r="Q7066">
        <v>3781</v>
      </c>
      <c r="R7066" t="s">
        <v>23</v>
      </c>
      <c r="S7066" s="1" t="s">
        <v>34218</v>
      </c>
    </row>
    <row r="7067" spans="1:19" x14ac:dyDescent="0.25">
      <c r="A7067">
        <v>101413405</v>
      </c>
      <c r="B7067" t="s">
        <v>16784</v>
      </c>
      <c r="C7067" t="s">
        <v>229</v>
      </c>
      <c r="G7067" t="s">
        <v>16785</v>
      </c>
      <c r="H7067" t="s">
        <v>16786</v>
      </c>
      <c r="I7067" t="s">
        <v>187</v>
      </c>
      <c r="J7067">
        <v>55448</v>
      </c>
      <c r="K7067">
        <v>2648</v>
      </c>
      <c r="L7067" t="s">
        <v>23</v>
      </c>
      <c r="M7067" t="s">
        <v>16785</v>
      </c>
      <c r="N7067" t="s">
        <v>16786</v>
      </c>
      <c r="O7067" t="s">
        <v>187</v>
      </c>
      <c r="P7067">
        <v>55448</v>
      </c>
      <c r="Q7067">
        <v>2648</v>
      </c>
      <c r="R7067" t="s">
        <v>23</v>
      </c>
      <c r="S7067" s="1" t="s">
        <v>34218</v>
      </c>
    </row>
    <row r="7068" spans="1:19" x14ac:dyDescent="0.25">
      <c r="A7068">
        <v>101293334</v>
      </c>
      <c r="B7068" t="s">
        <v>2238</v>
      </c>
      <c r="C7068" t="s">
        <v>1616</v>
      </c>
      <c r="G7068" t="s">
        <v>16787</v>
      </c>
      <c r="H7068" t="s">
        <v>6151</v>
      </c>
      <c r="I7068" t="s">
        <v>353</v>
      </c>
      <c r="J7068">
        <v>3584</v>
      </c>
      <c r="K7068">
        <v>3267</v>
      </c>
      <c r="L7068" t="s">
        <v>23</v>
      </c>
      <c r="M7068" t="s">
        <v>16787</v>
      </c>
      <c r="N7068" t="s">
        <v>6151</v>
      </c>
      <c r="O7068" t="s">
        <v>353</v>
      </c>
      <c r="P7068">
        <v>3584</v>
      </c>
      <c r="Q7068">
        <v>3267</v>
      </c>
      <c r="R7068" t="s">
        <v>23</v>
      </c>
      <c r="S7068" s="1" t="s">
        <v>34218</v>
      </c>
    </row>
    <row r="7069" spans="1:19" x14ac:dyDescent="0.25">
      <c r="A7069">
        <v>101297662</v>
      </c>
      <c r="B7069" t="s">
        <v>3251</v>
      </c>
      <c r="C7069" t="s">
        <v>16788</v>
      </c>
      <c r="G7069" t="s">
        <v>16789</v>
      </c>
      <c r="H7069" t="s">
        <v>1705</v>
      </c>
      <c r="I7069" t="s">
        <v>140</v>
      </c>
      <c r="J7069">
        <v>48073</v>
      </c>
      <c r="K7069">
        <v>4157</v>
      </c>
      <c r="L7069" t="s">
        <v>23</v>
      </c>
      <c r="M7069" t="s">
        <v>16789</v>
      </c>
      <c r="N7069" t="s">
        <v>1705</v>
      </c>
      <c r="O7069" t="s">
        <v>140</v>
      </c>
      <c r="P7069">
        <v>48073</v>
      </c>
      <c r="Q7069">
        <v>4157</v>
      </c>
      <c r="R7069" t="s">
        <v>23</v>
      </c>
      <c r="S7069" s="1" t="s">
        <v>34218</v>
      </c>
    </row>
    <row r="7070" spans="1:19" x14ac:dyDescent="0.25">
      <c r="A7070">
        <v>101443972</v>
      </c>
      <c r="B7070" t="s">
        <v>1001</v>
      </c>
      <c r="C7070" t="s">
        <v>498</v>
      </c>
      <c r="G7070" t="s">
        <v>16790</v>
      </c>
      <c r="H7070" t="s">
        <v>1086</v>
      </c>
      <c r="I7070" t="s">
        <v>446</v>
      </c>
      <c r="J7070">
        <v>28226</v>
      </c>
      <c r="K7070">
        <v>3905</v>
      </c>
      <c r="L7070" t="s">
        <v>23</v>
      </c>
      <c r="M7070" t="s">
        <v>16790</v>
      </c>
      <c r="N7070" t="s">
        <v>1086</v>
      </c>
      <c r="O7070" t="s">
        <v>446</v>
      </c>
      <c r="P7070">
        <v>28226</v>
      </c>
      <c r="Q7070">
        <v>3905</v>
      </c>
      <c r="R7070" t="s">
        <v>23</v>
      </c>
      <c r="S7070" s="1" t="s">
        <v>34218</v>
      </c>
    </row>
    <row r="7071" spans="1:19" x14ac:dyDescent="0.25">
      <c r="A7071">
        <v>101342073</v>
      </c>
      <c r="B7071" t="s">
        <v>16791</v>
      </c>
      <c r="C7071" t="s">
        <v>16792</v>
      </c>
      <c r="G7071" t="s">
        <v>16793</v>
      </c>
      <c r="H7071" t="s">
        <v>3959</v>
      </c>
      <c r="I7071" t="s">
        <v>52</v>
      </c>
      <c r="J7071">
        <v>34690</v>
      </c>
      <c r="K7071">
        <v>5862</v>
      </c>
      <c r="L7071" t="s">
        <v>23</v>
      </c>
      <c r="M7071" t="s">
        <v>16793</v>
      </c>
      <c r="N7071" t="s">
        <v>3959</v>
      </c>
      <c r="O7071" t="s">
        <v>52</v>
      </c>
      <c r="P7071">
        <v>34690</v>
      </c>
      <c r="Q7071">
        <v>5862</v>
      </c>
      <c r="R7071" t="s">
        <v>23</v>
      </c>
      <c r="S7071" s="1" t="s">
        <v>34218</v>
      </c>
    </row>
    <row r="7072" spans="1:19" x14ac:dyDescent="0.25">
      <c r="A7072">
        <v>100612387</v>
      </c>
      <c r="B7072" t="s">
        <v>3840</v>
      </c>
      <c r="C7072" t="s">
        <v>2758</v>
      </c>
      <c r="G7072" t="s">
        <v>16794</v>
      </c>
      <c r="H7072" t="s">
        <v>1787</v>
      </c>
      <c r="I7072" t="s">
        <v>702</v>
      </c>
      <c r="J7072">
        <v>89147</v>
      </c>
      <c r="L7072" t="s">
        <v>23</v>
      </c>
      <c r="M7072" t="s">
        <v>16794</v>
      </c>
      <c r="N7072" t="s">
        <v>1787</v>
      </c>
      <c r="O7072" t="s">
        <v>702</v>
      </c>
      <c r="P7072">
        <v>89147</v>
      </c>
      <c r="R7072" t="s">
        <v>23</v>
      </c>
      <c r="S7072" s="1" t="s">
        <v>34218</v>
      </c>
    </row>
    <row r="7073" spans="1:19" x14ac:dyDescent="0.25">
      <c r="A7073">
        <v>101313249</v>
      </c>
      <c r="B7073" t="s">
        <v>16795</v>
      </c>
      <c r="C7073" t="s">
        <v>535</v>
      </c>
      <c r="G7073" t="s">
        <v>16796</v>
      </c>
      <c r="H7073" t="s">
        <v>1096</v>
      </c>
      <c r="I7073" t="s">
        <v>1097</v>
      </c>
      <c r="J7073">
        <v>40220</v>
      </c>
      <c r="K7073">
        <v>3003</v>
      </c>
      <c r="L7073" t="s">
        <v>23</v>
      </c>
      <c r="M7073" t="s">
        <v>16796</v>
      </c>
      <c r="N7073" t="s">
        <v>1096</v>
      </c>
      <c r="O7073" t="s">
        <v>1097</v>
      </c>
      <c r="P7073">
        <v>40220</v>
      </c>
      <c r="Q7073">
        <v>3003</v>
      </c>
      <c r="R7073" t="s">
        <v>23</v>
      </c>
      <c r="S7073" s="1" t="s">
        <v>34218</v>
      </c>
    </row>
    <row r="7074" spans="1:19" x14ac:dyDescent="0.25">
      <c r="A7074">
        <v>101473613</v>
      </c>
      <c r="B7074" t="s">
        <v>16797</v>
      </c>
      <c r="C7074" t="s">
        <v>2518</v>
      </c>
      <c r="G7074" t="s">
        <v>16798</v>
      </c>
      <c r="H7074" t="s">
        <v>1105</v>
      </c>
      <c r="I7074" t="s">
        <v>117</v>
      </c>
      <c r="J7074">
        <v>10453</v>
      </c>
      <c r="K7074">
        <v>465</v>
      </c>
      <c r="L7074" t="s">
        <v>23</v>
      </c>
      <c r="M7074" t="s">
        <v>16798</v>
      </c>
      <c r="N7074" t="s">
        <v>1105</v>
      </c>
      <c r="O7074" t="s">
        <v>117</v>
      </c>
      <c r="P7074">
        <v>10453</v>
      </c>
      <c r="Q7074">
        <v>465</v>
      </c>
      <c r="R7074" t="s">
        <v>23</v>
      </c>
      <c r="S7074" s="1" t="s">
        <v>34218</v>
      </c>
    </row>
    <row r="7075" spans="1:19" x14ac:dyDescent="0.25">
      <c r="A7075">
        <v>100805959</v>
      </c>
      <c r="B7075" t="s">
        <v>16799</v>
      </c>
      <c r="C7075" t="s">
        <v>16800</v>
      </c>
      <c r="G7075" t="s">
        <v>16801</v>
      </c>
      <c r="H7075" t="s">
        <v>9271</v>
      </c>
      <c r="I7075" t="s">
        <v>43</v>
      </c>
      <c r="J7075">
        <v>97062</v>
      </c>
      <c r="L7075" t="s">
        <v>23</v>
      </c>
      <c r="M7075" t="s">
        <v>16801</v>
      </c>
      <c r="N7075" t="s">
        <v>9271</v>
      </c>
      <c r="O7075" t="s">
        <v>43</v>
      </c>
      <c r="P7075">
        <v>97062</v>
      </c>
      <c r="R7075" t="s">
        <v>23</v>
      </c>
      <c r="S7075" s="1" t="s">
        <v>34218</v>
      </c>
    </row>
    <row r="7076" spans="1:19" x14ac:dyDescent="0.25">
      <c r="A7076">
        <v>101478954</v>
      </c>
      <c r="B7076" t="s">
        <v>16802</v>
      </c>
      <c r="C7076" t="s">
        <v>1616</v>
      </c>
      <c r="G7076" t="s">
        <v>16803</v>
      </c>
      <c r="H7076" t="s">
        <v>227</v>
      </c>
      <c r="I7076" t="s">
        <v>43</v>
      </c>
      <c r="J7076">
        <v>97239</v>
      </c>
      <c r="K7076">
        <v>4102</v>
      </c>
      <c r="L7076" t="s">
        <v>23</v>
      </c>
      <c r="M7076" t="s">
        <v>16803</v>
      </c>
      <c r="N7076" t="s">
        <v>227</v>
      </c>
      <c r="O7076" t="s">
        <v>43</v>
      </c>
      <c r="P7076">
        <v>97239</v>
      </c>
      <c r="Q7076">
        <v>4102</v>
      </c>
      <c r="R7076" t="s">
        <v>23</v>
      </c>
      <c r="S7076" s="1" t="s">
        <v>34218</v>
      </c>
    </row>
    <row r="7077" spans="1:19" x14ac:dyDescent="0.25">
      <c r="A7077">
        <v>100643566</v>
      </c>
      <c r="B7077" t="s">
        <v>29</v>
      </c>
      <c r="C7077" t="s">
        <v>1726</v>
      </c>
      <c r="G7077" t="s">
        <v>16804</v>
      </c>
      <c r="H7077" t="s">
        <v>16805</v>
      </c>
      <c r="I7077" t="s">
        <v>22</v>
      </c>
      <c r="J7077">
        <v>94599</v>
      </c>
      <c r="K7077">
        <v>5098</v>
      </c>
      <c r="L7077" t="s">
        <v>23</v>
      </c>
      <c r="M7077" t="s">
        <v>16804</v>
      </c>
      <c r="N7077" t="s">
        <v>16805</v>
      </c>
      <c r="O7077" t="s">
        <v>22</v>
      </c>
      <c r="P7077">
        <v>94599</v>
      </c>
      <c r="Q7077">
        <v>5098</v>
      </c>
      <c r="R7077" t="s">
        <v>23</v>
      </c>
      <c r="S7077" s="1" t="s">
        <v>34218</v>
      </c>
    </row>
    <row r="7078" spans="1:19" x14ac:dyDescent="0.25">
      <c r="A7078">
        <v>101465688</v>
      </c>
      <c r="B7078" t="s">
        <v>16806</v>
      </c>
      <c r="C7078" t="s">
        <v>440</v>
      </c>
      <c r="G7078" t="s">
        <v>16807</v>
      </c>
      <c r="H7078" t="s">
        <v>3105</v>
      </c>
      <c r="I7078" t="s">
        <v>84</v>
      </c>
      <c r="J7078">
        <v>98337</v>
      </c>
      <c r="K7078">
        <v>1349</v>
      </c>
      <c r="L7078" t="s">
        <v>23</v>
      </c>
      <c r="M7078" t="s">
        <v>16807</v>
      </c>
      <c r="N7078" t="s">
        <v>3105</v>
      </c>
      <c r="O7078" t="s">
        <v>84</v>
      </c>
      <c r="P7078">
        <v>98337</v>
      </c>
      <c r="Q7078">
        <v>1349</v>
      </c>
      <c r="R7078" t="s">
        <v>23</v>
      </c>
      <c r="S7078" s="1" t="s">
        <v>34218</v>
      </c>
    </row>
    <row r="7079" spans="1:19" x14ac:dyDescent="0.25">
      <c r="A7079">
        <v>101309603</v>
      </c>
      <c r="B7079" t="s">
        <v>16808</v>
      </c>
      <c r="C7079" t="s">
        <v>16809</v>
      </c>
      <c r="G7079" t="s">
        <v>16810</v>
      </c>
      <c r="H7079" t="s">
        <v>143</v>
      </c>
      <c r="I7079" t="s">
        <v>52</v>
      </c>
      <c r="J7079">
        <v>32224</v>
      </c>
      <c r="L7079" t="s">
        <v>23</v>
      </c>
      <c r="M7079" t="s">
        <v>16810</v>
      </c>
      <c r="N7079" t="s">
        <v>143</v>
      </c>
      <c r="O7079" t="s">
        <v>52</v>
      </c>
      <c r="P7079">
        <v>32224</v>
      </c>
      <c r="R7079" t="s">
        <v>23</v>
      </c>
      <c r="S7079" s="1" t="s">
        <v>34218</v>
      </c>
    </row>
    <row r="7080" spans="1:19" x14ac:dyDescent="0.25">
      <c r="A7080">
        <v>101420817</v>
      </c>
      <c r="B7080" t="s">
        <v>16811</v>
      </c>
      <c r="C7080" t="s">
        <v>547</v>
      </c>
      <c r="G7080" t="s">
        <v>16812</v>
      </c>
      <c r="H7080" t="s">
        <v>227</v>
      </c>
      <c r="I7080" t="s">
        <v>43</v>
      </c>
      <c r="J7080">
        <v>97266</v>
      </c>
      <c r="K7080">
        <v>3370</v>
      </c>
      <c r="L7080" t="s">
        <v>23</v>
      </c>
      <c r="M7080" t="s">
        <v>16812</v>
      </c>
      <c r="N7080" t="s">
        <v>227</v>
      </c>
      <c r="O7080" t="s">
        <v>43</v>
      </c>
      <c r="P7080">
        <v>97266</v>
      </c>
      <c r="Q7080">
        <v>3370</v>
      </c>
      <c r="R7080" t="s">
        <v>23</v>
      </c>
      <c r="S7080" s="1" t="s">
        <v>34218</v>
      </c>
    </row>
    <row r="7081" spans="1:19" x14ac:dyDescent="0.25">
      <c r="A7081">
        <v>101407387</v>
      </c>
      <c r="B7081" t="s">
        <v>4401</v>
      </c>
      <c r="C7081" t="s">
        <v>30</v>
      </c>
      <c r="G7081" t="s">
        <v>16813</v>
      </c>
      <c r="H7081" t="s">
        <v>16814</v>
      </c>
      <c r="I7081" t="s">
        <v>565</v>
      </c>
      <c r="J7081">
        <v>50003</v>
      </c>
      <c r="K7081">
        <v>1953</v>
      </c>
      <c r="L7081" t="s">
        <v>23</v>
      </c>
      <c r="M7081" t="s">
        <v>16813</v>
      </c>
      <c r="N7081" t="s">
        <v>16814</v>
      </c>
      <c r="O7081" t="s">
        <v>565</v>
      </c>
      <c r="P7081">
        <v>50003</v>
      </c>
      <c r="Q7081">
        <v>1953</v>
      </c>
      <c r="R7081" t="s">
        <v>23</v>
      </c>
      <c r="S7081" s="1" t="s">
        <v>34218</v>
      </c>
    </row>
    <row r="7082" spans="1:19" x14ac:dyDescent="0.25">
      <c r="A7082">
        <v>101475860</v>
      </c>
      <c r="B7082" t="s">
        <v>16815</v>
      </c>
      <c r="C7082" t="s">
        <v>641</v>
      </c>
      <c r="G7082" t="s">
        <v>16816</v>
      </c>
      <c r="H7082" t="s">
        <v>4632</v>
      </c>
      <c r="I7082" t="s">
        <v>178</v>
      </c>
      <c r="J7082">
        <v>43220</v>
      </c>
      <c r="K7082">
        <v>2247</v>
      </c>
      <c r="L7082" t="s">
        <v>23</v>
      </c>
      <c r="M7082" t="s">
        <v>16816</v>
      </c>
      <c r="N7082" t="s">
        <v>4632</v>
      </c>
      <c r="O7082" t="s">
        <v>178</v>
      </c>
      <c r="P7082">
        <v>43220</v>
      </c>
      <c r="Q7082">
        <v>2247</v>
      </c>
      <c r="R7082" t="s">
        <v>23</v>
      </c>
      <c r="S7082" s="1" t="s">
        <v>34218</v>
      </c>
    </row>
    <row r="7083" spans="1:19" x14ac:dyDescent="0.25">
      <c r="A7083">
        <v>101455273</v>
      </c>
      <c r="B7083" t="s">
        <v>15736</v>
      </c>
      <c r="C7083" t="s">
        <v>3518</v>
      </c>
      <c r="G7083" t="s">
        <v>16817</v>
      </c>
      <c r="H7083" t="s">
        <v>16818</v>
      </c>
      <c r="I7083" t="s">
        <v>38</v>
      </c>
      <c r="J7083">
        <v>78613</v>
      </c>
      <c r="K7083">
        <v>5930</v>
      </c>
      <c r="L7083" t="s">
        <v>23</v>
      </c>
      <c r="M7083" t="s">
        <v>16817</v>
      </c>
      <c r="N7083" t="s">
        <v>16818</v>
      </c>
      <c r="O7083" t="s">
        <v>38</v>
      </c>
      <c r="P7083">
        <v>78613</v>
      </c>
      <c r="Q7083">
        <v>5930</v>
      </c>
      <c r="R7083" t="s">
        <v>23</v>
      </c>
      <c r="S7083" s="1" t="s">
        <v>34218</v>
      </c>
    </row>
    <row r="7084" spans="1:19" x14ac:dyDescent="0.25">
      <c r="A7084">
        <v>101290545</v>
      </c>
      <c r="B7084" t="s">
        <v>16819</v>
      </c>
      <c r="C7084" t="s">
        <v>1581</v>
      </c>
      <c r="G7084" t="s">
        <v>16820</v>
      </c>
      <c r="H7084" t="s">
        <v>16821</v>
      </c>
      <c r="I7084" t="s">
        <v>38</v>
      </c>
      <c r="J7084" t="s">
        <v>16822</v>
      </c>
      <c r="K7084">
        <v>6108</v>
      </c>
      <c r="L7084" t="s">
        <v>23</v>
      </c>
      <c r="M7084" t="s">
        <v>16820</v>
      </c>
      <c r="N7084" t="s">
        <v>16821</v>
      </c>
      <c r="O7084" t="s">
        <v>38</v>
      </c>
      <c r="P7084" t="s">
        <v>16822</v>
      </c>
      <c r="Q7084">
        <v>6108</v>
      </c>
      <c r="R7084" t="s">
        <v>23</v>
      </c>
      <c r="S7084" s="1" t="s">
        <v>34218</v>
      </c>
    </row>
    <row r="7085" spans="1:19" x14ac:dyDescent="0.25">
      <c r="A7085">
        <v>101471812</v>
      </c>
      <c r="B7085" t="s">
        <v>16823</v>
      </c>
      <c r="C7085" t="s">
        <v>810</v>
      </c>
      <c r="G7085" t="s">
        <v>16824</v>
      </c>
      <c r="H7085" t="s">
        <v>1439</v>
      </c>
      <c r="I7085" t="s">
        <v>365</v>
      </c>
      <c r="J7085">
        <v>85704</v>
      </c>
      <c r="K7085">
        <v>937</v>
      </c>
      <c r="L7085" t="s">
        <v>23</v>
      </c>
      <c r="M7085" t="s">
        <v>16824</v>
      </c>
      <c r="N7085" t="s">
        <v>1439</v>
      </c>
      <c r="O7085" t="s">
        <v>365</v>
      </c>
      <c r="P7085">
        <v>85704</v>
      </c>
      <c r="Q7085">
        <v>937</v>
      </c>
      <c r="R7085" t="s">
        <v>23</v>
      </c>
      <c r="S7085" s="1" t="s">
        <v>34218</v>
      </c>
    </row>
    <row r="7086" spans="1:19" x14ac:dyDescent="0.25">
      <c r="A7086">
        <v>101455337</v>
      </c>
      <c r="B7086" t="s">
        <v>3303</v>
      </c>
      <c r="C7086" t="s">
        <v>281</v>
      </c>
      <c r="G7086" t="s">
        <v>16825</v>
      </c>
      <c r="H7086" t="s">
        <v>16826</v>
      </c>
      <c r="I7086" t="s">
        <v>307</v>
      </c>
      <c r="J7086">
        <v>5452</v>
      </c>
      <c r="K7086">
        <v>4305</v>
      </c>
      <c r="L7086" t="s">
        <v>23</v>
      </c>
      <c r="M7086" t="s">
        <v>16825</v>
      </c>
      <c r="N7086" t="s">
        <v>16826</v>
      </c>
      <c r="O7086" t="s">
        <v>307</v>
      </c>
      <c r="P7086">
        <v>5452</v>
      </c>
      <c r="Q7086">
        <v>4305</v>
      </c>
      <c r="R7086" t="s">
        <v>23</v>
      </c>
      <c r="S7086" s="1" t="s">
        <v>34218</v>
      </c>
    </row>
    <row r="7087" spans="1:19" x14ac:dyDescent="0.25">
      <c r="A7087">
        <v>101350436</v>
      </c>
      <c r="B7087" t="s">
        <v>16827</v>
      </c>
      <c r="C7087" t="s">
        <v>382</v>
      </c>
      <c r="G7087" t="s">
        <v>16828</v>
      </c>
      <c r="H7087" t="s">
        <v>6664</v>
      </c>
      <c r="I7087" t="s">
        <v>914</v>
      </c>
      <c r="J7087">
        <v>38138</v>
      </c>
      <c r="K7087">
        <v>4505</v>
      </c>
      <c r="L7087" t="s">
        <v>23</v>
      </c>
      <c r="M7087" t="s">
        <v>16828</v>
      </c>
      <c r="N7087" t="s">
        <v>6664</v>
      </c>
      <c r="O7087" t="s">
        <v>914</v>
      </c>
      <c r="P7087">
        <v>38138</v>
      </c>
      <c r="Q7087">
        <v>4505</v>
      </c>
      <c r="R7087" t="s">
        <v>23</v>
      </c>
      <c r="S7087" s="1" t="s">
        <v>34218</v>
      </c>
    </row>
    <row r="7088" spans="1:19" x14ac:dyDescent="0.25">
      <c r="A7088">
        <v>101315597</v>
      </c>
      <c r="B7088" t="s">
        <v>16829</v>
      </c>
      <c r="C7088" t="s">
        <v>644</v>
      </c>
      <c r="G7088" t="s">
        <v>16830</v>
      </c>
      <c r="H7088" t="s">
        <v>13450</v>
      </c>
      <c r="I7088" t="s">
        <v>84</v>
      </c>
      <c r="J7088">
        <v>98253</v>
      </c>
      <c r="K7088">
        <v>9751</v>
      </c>
      <c r="L7088" t="s">
        <v>23</v>
      </c>
      <c r="M7088" t="s">
        <v>16830</v>
      </c>
      <c r="N7088" t="s">
        <v>13450</v>
      </c>
      <c r="O7088" t="s">
        <v>84</v>
      </c>
      <c r="P7088">
        <v>98253</v>
      </c>
      <c r="Q7088">
        <v>9751</v>
      </c>
      <c r="R7088" t="s">
        <v>23</v>
      </c>
      <c r="S7088" s="1" t="s">
        <v>34218</v>
      </c>
    </row>
    <row r="7089" spans="1:19" x14ac:dyDescent="0.25">
      <c r="A7089">
        <v>101451252</v>
      </c>
      <c r="B7089" t="s">
        <v>16831</v>
      </c>
      <c r="C7089" t="s">
        <v>2180</v>
      </c>
      <c r="G7089" t="s">
        <v>16832</v>
      </c>
      <c r="H7089" t="s">
        <v>12354</v>
      </c>
      <c r="I7089" t="s">
        <v>365</v>
      </c>
      <c r="J7089">
        <v>85138</v>
      </c>
      <c r="K7089">
        <v>9205</v>
      </c>
      <c r="L7089" t="s">
        <v>23</v>
      </c>
      <c r="M7089" t="s">
        <v>16832</v>
      </c>
      <c r="N7089" t="s">
        <v>12354</v>
      </c>
      <c r="O7089" t="s">
        <v>365</v>
      </c>
      <c r="P7089">
        <v>85138</v>
      </c>
      <c r="Q7089">
        <v>9205</v>
      </c>
      <c r="R7089" t="s">
        <v>23</v>
      </c>
      <c r="S7089" s="1" t="s">
        <v>34218</v>
      </c>
    </row>
    <row r="7090" spans="1:19" x14ac:dyDescent="0.25">
      <c r="A7090">
        <v>100729321</v>
      </c>
      <c r="B7090" t="s">
        <v>15061</v>
      </c>
      <c r="C7090" t="s">
        <v>81</v>
      </c>
      <c r="G7090" t="s">
        <v>16833</v>
      </c>
      <c r="H7090" t="s">
        <v>7357</v>
      </c>
      <c r="I7090" t="s">
        <v>161</v>
      </c>
      <c r="J7090">
        <v>6062</v>
      </c>
      <c r="L7090" t="s">
        <v>23</v>
      </c>
      <c r="M7090" t="s">
        <v>16833</v>
      </c>
      <c r="N7090" t="s">
        <v>7357</v>
      </c>
      <c r="O7090" t="s">
        <v>161</v>
      </c>
      <c r="P7090">
        <v>6062</v>
      </c>
      <c r="R7090" t="s">
        <v>23</v>
      </c>
      <c r="S7090" s="1" t="s">
        <v>34218</v>
      </c>
    </row>
    <row r="7091" spans="1:19" x14ac:dyDescent="0.25">
      <c r="A7091">
        <v>101204704</v>
      </c>
      <c r="B7091" t="s">
        <v>4064</v>
      </c>
      <c r="C7091" t="s">
        <v>229</v>
      </c>
      <c r="G7091" t="s">
        <v>16834</v>
      </c>
      <c r="H7091" t="s">
        <v>11984</v>
      </c>
      <c r="I7091" t="s">
        <v>43</v>
      </c>
      <c r="J7091">
        <v>97034</v>
      </c>
      <c r="K7091">
        <v>3201</v>
      </c>
      <c r="L7091" t="s">
        <v>23</v>
      </c>
      <c r="M7091" t="s">
        <v>16834</v>
      </c>
      <c r="N7091" t="s">
        <v>11984</v>
      </c>
      <c r="O7091" t="s">
        <v>43</v>
      </c>
      <c r="P7091">
        <v>97034</v>
      </c>
      <c r="Q7091">
        <v>3201</v>
      </c>
      <c r="R7091" t="s">
        <v>23</v>
      </c>
      <c r="S7091" s="1" t="s">
        <v>34218</v>
      </c>
    </row>
    <row r="7092" spans="1:19" x14ac:dyDescent="0.25">
      <c r="A7092">
        <v>101247980</v>
      </c>
      <c r="B7092" t="s">
        <v>4363</v>
      </c>
      <c r="C7092" t="s">
        <v>2056</v>
      </c>
      <c r="F7092" t="str">
        <f>"8165695085"</f>
        <v>8165695085</v>
      </c>
      <c r="G7092" t="s">
        <v>16835</v>
      </c>
      <c r="H7092" t="s">
        <v>1863</v>
      </c>
      <c r="I7092" t="s">
        <v>126</v>
      </c>
      <c r="J7092">
        <v>64116</v>
      </c>
      <c r="K7092">
        <v>2134</v>
      </c>
      <c r="L7092" t="s">
        <v>23</v>
      </c>
      <c r="M7092" t="s">
        <v>16835</v>
      </c>
      <c r="N7092" t="s">
        <v>1863</v>
      </c>
      <c r="O7092" t="s">
        <v>126</v>
      </c>
      <c r="P7092">
        <v>64116</v>
      </c>
      <c r="Q7092">
        <v>2134</v>
      </c>
      <c r="R7092" t="s">
        <v>23</v>
      </c>
      <c r="S7092" s="1" t="s">
        <v>34218</v>
      </c>
    </row>
    <row r="7093" spans="1:19" x14ac:dyDescent="0.25">
      <c r="A7093">
        <v>101427533</v>
      </c>
      <c r="B7093" t="s">
        <v>105</v>
      </c>
      <c r="C7093" t="s">
        <v>890</v>
      </c>
      <c r="G7093" t="s">
        <v>16836</v>
      </c>
      <c r="H7093" t="s">
        <v>13997</v>
      </c>
      <c r="I7093" t="s">
        <v>446</v>
      </c>
      <c r="J7093">
        <v>28761</v>
      </c>
      <c r="K7093">
        <v>4525</v>
      </c>
      <c r="L7093" t="s">
        <v>23</v>
      </c>
      <c r="M7093" t="s">
        <v>16836</v>
      </c>
      <c r="N7093" t="s">
        <v>13997</v>
      </c>
      <c r="O7093" t="s">
        <v>446</v>
      </c>
      <c r="P7093">
        <v>28761</v>
      </c>
      <c r="Q7093">
        <v>4525</v>
      </c>
      <c r="R7093" t="s">
        <v>23</v>
      </c>
      <c r="S7093" s="1" t="s">
        <v>34218</v>
      </c>
    </row>
    <row r="7094" spans="1:19" x14ac:dyDescent="0.25">
      <c r="A7094">
        <v>101480467</v>
      </c>
      <c r="B7094" t="s">
        <v>1671</v>
      </c>
      <c r="C7094" t="s">
        <v>3228</v>
      </c>
      <c r="G7094" t="s">
        <v>16837</v>
      </c>
      <c r="H7094" t="s">
        <v>3972</v>
      </c>
      <c r="I7094" t="s">
        <v>1387</v>
      </c>
      <c r="J7094">
        <v>35203</v>
      </c>
      <c r="K7094">
        <v>1865</v>
      </c>
      <c r="L7094" t="s">
        <v>23</v>
      </c>
      <c r="M7094" t="s">
        <v>16837</v>
      </c>
      <c r="N7094" t="s">
        <v>3972</v>
      </c>
      <c r="O7094" t="s">
        <v>1387</v>
      </c>
      <c r="P7094">
        <v>35203</v>
      </c>
      <c r="Q7094">
        <v>1865</v>
      </c>
      <c r="R7094" t="s">
        <v>23</v>
      </c>
      <c r="S7094" s="1" t="s">
        <v>34218</v>
      </c>
    </row>
    <row r="7095" spans="1:19" x14ac:dyDescent="0.25">
      <c r="A7095">
        <v>101480474</v>
      </c>
      <c r="B7095" t="s">
        <v>16838</v>
      </c>
      <c r="C7095" t="s">
        <v>1714</v>
      </c>
      <c r="G7095" t="s">
        <v>16839</v>
      </c>
      <c r="H7095" t="s">
        <v>16531</v>
      </c>
      <c r="I7095" t="s">
        <v>100</v>
      </c>
      <c r="J7095">
        <v>53593</v>
      </c>
      <c r="K7095">
        <v>7861</v>
      </c>
      <c r="L7095" t="s">
        <v>23</v>
      </c>
      <c r="M7095" t="s">
        <v>16839</v>
      </c>
      <c r="N7095" t="s">
        <v>16531</v>
      </c>
      <c r="O7095" t="s">
        <v>100</v>
      </c>
      <c r="P7095">
        <v>53593</v>
      </c>
      <c r="Q7095">
        <v>7861</v>
      </c>
      <c r="R7095" t="s">
        <v>23</v>
      </c>
      <c r="S7095" s="1" t="s">
        <v>34218</v>
      </c>
    </row>
    <row r="7096" spans="1:19" x14ac:dyDescent="0.25">
      <c r="A7096">
        <v>101475112</v>
      </c>
      <c r="B7096" t="s">
        <v>14091</v>
      </c>
      <c r="C7096" t="s">
        <v>4273</v>
      </c>
      <c r="G7096" t="s">
        <v>16840</v>
      </c>
      <c r="H7096" t="s">
        <v>16841</v>
      </c>
      <c r="I7096" t="s">
        <v>52</v>
      </c>
      <c r="J7096">
        <v>32425</v>
      </c>
      <c r="K7096">
        <v>6208</v>
      </c>
      <c r="L7096" t="s">
        <v>23</v>
      </c>
      <c r="M7096" t="s">
        <v>16840</v>
      </c>
      <c r="N7096" t="s">
        <v>16841</v>
      </c>
      <c r="O7096" t="s">
        <v>52</v>
      </c>
      <c r="P7096">
        <v>32425</v>
      </c>
      <c r="Q7096">
        <v>6208</v>
      </c>
      <c r="R7096" t="s">
        <v>23</v>
      </c>
      <c r="S7096" s="1" t="s">
        <v>34218</v>
      </c>
    </row>
    <row r="7097" spans="1:19" x14ac:dyDescent="0.25">
      <c r="A7097">
        <v>100814144</v>
      </c>
      <c r="B7097" t="s">
        <v>11599</v>
      </c>
      <c r="C7097" t="s">
        <v>880</v>
      </c>
      <c r="G7097" t="s">
        <v>16842</v>
      </c>
      <c r="H7097" t="s">
        <v>9013</v>
      </c>
      <c r="I7097" t="s">
        <v>1482</v>
      </c>
      <c r="J7097">
        <v>29609</v>
      </c>
      <c r="K7097">
        <v>4740</v>
      </c>
      <c r="L7097" t="s">
        <v>23</v>
      </c>
      <c r="M7097" t="s">
        <v>16842</v>
      </c>
      <c r="N7097" t="s">
        <v>9013</v>
      </c>
      <c r="O7097" t="s">
        <v>1482</v>
      </c>
      <c r="P7097">
        <v>29609</v>
      </c>
      <c r="Q7097">
        <v>4740</v>
      </c>
      <c r="R7097" t="s">
        <v>23</v>
      </c>
      <c r="S7097" s="1" t="s">
        <v>34218</v>
      </c>
    </row>
    <row r="7098" spans="1:19" x14ac:dyDescent="0.25">
      <c r="A7098">
        <v>101473850</v>
      </c>
      <c r="B7098" t="s">
        <v>16843</v>
      </c>
      <c r="C7098" t="s">
        <v>54</v>
      </c>
      <c r="G7098" t="s">
        <v>16844</v>
      </c>
      <c r="H7098" t="s">
        <v>16845</v>
      </c>
      <c r="I7098" t="s">
        <v>148</v>
      </c>
      <c r="J7098">
        <v>21208</v>
      </c>
      <c r="K7098">
        <v>5241</v>
      </c>
      <c r="L7098" t="s">
        <v>23</v>
      </c>
      <c r="M7098" t="s">
        <v>16844</v>
      </c>
      <c r="N7098" t="s">
        <v>16845</v>
      </c>
      <c r="O7098" t="s">
        <v>148</v>
      </c>
      <c r="P7098">
        <v>21208</v>
      </c>
      <c r="Q7098">
        <v>5241</v>
      </c>
      <c r="R7098" t="s">
        <v>23</v>
      </c>
      <c r="S7098" s="1" t="s">
        <v>34218</v>
      </c>
    </row>
    <row r="7099" spans="1:19" x14ac:dyDescent="0.25">
      <c r="A7099">
        <v>100553032</v>
      </c>
      <c r="B7099" t="s">
        <v>1449</v>
      </c>
      <c r="C7099" t="s">
        <v>30</v>
      </c>
      <c r="G7099" t="s">
        <v>16846</v>
      </c>
      <c r="H7099" t="s">
        <v>1787</v>
      </c>
      <c r="I7099" t="s">
        <v>702</v>
      </c>
      <c r="J7099">
        <v>89102</v>
      </c>
      <c r="K7099">
        <v>6022</v>
      </c>
      <c r="L7099" t="s">
        <v>23</v>
      </c>
      <c r="M7099" t="s">
        <v>16846</v>
      </c>
      <c r="N7099" t="s">
        <v>1787</v>
      </c>
      <c r="O7099" t="s">
        <v>702</v>
      </c>
      <c r="P7099">
        <v>89102</v>
      </c>
      <c r="Q7099">
        <v>6022</v>
      </c>
      <c r="R7099" t="s">
        <v>23</v>
      </c>
      <c r="S7099" s="1" t="s">
        <v>34218</v>
      </c>
    </row>
    <row r="7100" spans="1:19" x14ac:dyDescent="0.25">
      <c r="A7100">
        <v>100854693</v>
      </c>
      <c r="B7100" t="s">
        <v>966</v>
      </c>
      <c r="C7100" t="s">
        <v>247</v>
      </c>
      <c r="F7100" t="str">
        <f>"6106262577"</f>
        <v>6106262577</v>
      </c>
      <c r="G7100" t="s">
        <v>16847</v>
      </c>
      <c r="H7100" t="s">
        <v>16848</v>
      </c>
      <c r="I7100" t="s">
        <v>33</v>
      </c>
      <c r="J7100">
        <v>19050</v>
      </c>
      <c r="L7100" t="s">
        <v>23</v>
      </c>
      <c r="M7100" t="s">
        <v>16847</v>
      </c>
      <c r="N7100" t="s">
        <v>16848</v>
      </c>
      <c r="O7100" t="s">
        <v>33</v>
      </c>
      <c r="P7100">
        <v>19050</v>
      </c>
      <c r="R7100" t="s">
        <v>23</v>
      </c>
      <c r="S7100" s="1" t="s">
        <v>34218</v>
      </c>
    </row>
    <row r="7101" spans="1:19" x14ac:dyDescent="0.25">
      <c r="A7101">
        <v>101334972</v>
      </c>
      <c r="B7101" t="s">
        <v>1204</v>
      </c>
      <c r="C7101" t="s">
        <v>406</v>
      </c>
      <c r="G7101" t="s">
        <v>16849</v>
      </c>
      <c r="H7101" t="s">
        <v>1217</v>
      </c>
      <c r="I7101" t="s">
        <v>332</v>
      </c>
      <c r="J7101">
        <v>84403</v>
      </c>
      <c r="K7101">
        <v>2121</v>
      </c>
      <c r="L7101" t="s">
        <v>23</v>
      </c>
      <c r="M7101" t="s">
        <v>16849</v>
      </c>
      <c r="N7101" t="s">
        <v>1217</v>
      </c>
      <c r="O7101" t="s">
        <v>332</v>
      </c>
      <c r="P7101">
        <v>84403</v>
      </c>
      <c r="Q7101">
        <v>2121</v>
      </c>
      <c r="R7101" t="s">
        <v>23</v>
      </c>
      <c r="S7101" s="1" t="s">
        <v>34218</v>
      </c>
    </row>
    <row r="7102" spans="1:19" x14ac:dyDescent="0.25">
      <c r="A7102">
        <v>101456073</v>
      </c>
      <c r="B7102" t="s">
        <v>16850</v>
      </c>
      <c r="C7102" t="s">
        <v>377</v>
      </c>
      <c r="G7102" t="s">
        <v>16851</v>
      </c>
      <c r="H7102" t="s">
        <v>16634</v>
      </c>
      <c r="I7102" t="s">
        <v>117</v>
      </c>
      <c r="J7102">
        <v>11758</v>
      </c>
      <c r="K7102">
        <v>8114</v>
      </c>
      <c r="L7102" t="s">
        <v>23</v>
      </c>
      <c r="M7102" t="s">
        <v>16851</v>
      </c>
      <c r="N7102" t="s">
        <v>16634</v>
      </c>
      <c r="O7102" t="s">
        <v>117</v>
      </c>
      <c r="P7102">
        <v>11758</v>
      </c>
      <c r="Q7102">
        <v>8114</v>
      </c>
      <c r="R7102" t="s">
        <v>23</v>
      </c>
      <c r="S7102" s="1" t="s">
        <v>34218</v>
      </c>
    </row>
    <row r="7103" spans="1:19" x14ac:dyDescent="0.25">
      <c r="A7103">
        <v>100575781</v>
      </c>
      <c r="B7103" t="s">
        <v>16852</v>
      </c>
      <c r="C7103" t="s">
        <v>16853</v>
      </c>
      <c r="G7103" t="s">
        <v>16854</v>
      </c>
      <c r="H7103" t="s">
        <v>13826</v>
      </c>
      <c r="I7103" t="s">
        <v>255</v>
      </c>
      <c r="J7103">
        <v>23139</v>
      </c>
      <c r="K7103">
        <v>4531</v>
      </c>
      <c r="L7103" t="s">
        <v>23</v>
      </c>
      <c r="M7103" t="s">
        <v>16854</v>
      </c>
      <c r="N7103" t="s">
        <v>13826</v>
      </c>
      <c r="O7103" t="s">
        <v>255</v>
      </c>
      <c r="P7103">
        <v>23139</v>
      </c>
      <c r="Q7103">
        <v>4531</v>
      </c>
      <c r="R7103" t="s">
        <v>23</v>
      </c>
      <c r="S7103" s="1" t="s">
        <v>34218</v>
      </c>
    </row>
    <row r="7104" spans="1:19" x14ac:dyDescent="0.25">
      <c r="A7104">
        <v>101267813</v>
      </c>
      <c r="B7104" t="s">
        <v>8632</v>
      </c>
      <c r="C7104" t="s">
        <v>30</v>
      </c>
      <c r="G7104" t="s">
        <v>16855</v>
      </c>
      <c r="H7104" t="s">
        <v>2434</v>
      </c>
      <c r="I7104" t="s">
        <v>161</v>
      </c>
      <c r="J7104">
        <v>6515</v>
      </c>
      <c r="K7104">
        <v>53</v>
      </c>
      <c r="L7104" t="s">
        <v>23</v>
      </c>
      <c r="M7104" t="s">
        <v>16855</v>
      </c>
      <c r="N7104" t="s">
        <v>2434</v>
      </c>
      <c r="O7104" t="s">
        <v>161</v>
      </c>
      <c r="P7104">
        <v>6515</v>
      </c>
      <c r="Q7104">
        <v>53</v>
      </c>
      <c r="R7104" t="s">
        <v>23</v>
      </c>
      <c r="S7104" s="1" t="s">
        <v>34218</v>
      </c>
    </row>
    <row r="7105" spans="1:19" x14ac:dyDescent="0.25">
      <c r="A7105">
        <v>101424813</v>
      </c>
      <c r="B7105" t="s">
        <v>654</v>
      </c>
      <c r="C7105" t="s">
        <v>25</v>
      </c>
      <c r="G7105" t="s">
        <v>16856</v>
      </c>
      <c r="H7105" t="s">
        <v>1412</v>
      </c>
      <c r="I7105" t="s">
        <v>52</v>
      </c>
      <c r="J7105">
        <v>32837</v>
      </c>
      <c r="L7105" t="s">
        <v>23</v>
      </c>
      <c r="M7105" t="s">
        <v>16856</v>
      </c>
      <c r="N7105" t="s">
        <v>1412</v>
      </c>
      <c r="O7105" t="s">
        <v>52</v>
      </c>
      <c r="P7105">
        <v>32837</v>
      </c>
      <c r="R7105" t="s">
        <v>23</v>
      </c>
      <c r="S7105" s="1" t="s">
        <v>34218</v>
      </c>
    </row>
    <row r="7106" spans="1:19" x14ac:dyDescent="0.25">
      <c r="A7106">
        <v>101397771</v>
      </c>
      <c r="B7106" t="s">
        <v>3956</v>
      </c>
      <c r="C7106" t="s">
        <v>1036</v>
      </c>
      <c r="G7106" t="s">
        <v>16857</v>
      </c>
      <c r="H7106" t="s">
        <v>1402</v>
      </c>
      <c r="I7106" t="s">
        <v>38</v>
      </c>
      <c r="J7106">
        <v>77070</v>
      </c>
      <c r="K7106">
        <v>2322</v>
      </c>
      <c r="L7106" t="s">
        <v>23</v>
      </c>
      <c r="M7106" t="s">
        <v>16857</v>
      </c>
      <c r="N7106" t="s">
        <v>1402</v>
      </c>
      <c r="O7106" t="s">
        <v>38</v>
      </c>
      <c r="P7106">
        <v>77070</v>
      </c>
      <c r="Q7106">
        <v>2322</v>
      </c>
      <c r="R7106" t="s">
        <v>23</v>
      </c>
      <c r="S7106" s="1" t="s">
        <v>34218</v>
      </c>
    </row>
    <row r="7107" spans="1:19" x14ac:dyDescent="0.25">
      <c r="A7107">
        <v>100960346</v>
      </c>
      <c r="B7107" t="s">
        <v>3992</v>
      </c>
      <c r="C7107" t="s">
        <v>579</v>
      </c>
      <c r="G7107" t="s">
        <v>16858</v>
      </c>
      <c r="H7107" t="s">
        <v>3270</v>
      </c>
      <c r="I7107" t="s">
        <v>348</v>
      </c>
      <c r="J7107">
        <v>83706</v>
      </c>
      <c r="K7107">
        <v>6102</v>
      </c>
      <c r="L7107" t="s">
        <v>23</v>
      </c>
      <c r="M7107" t="s">
        <v>16858</v>
      </c>
      <c r="N7107" t="s">
        <v>3270</v>
      </c>
      <c r="O7107" t="s">
        <v>348</v>
      </c>
      <c r="P7107">
        <v>83706</v>
      </c>
      <c r="Q7107">
        <v>6102</v>
      </c>
      <c r="R7107" t="s">
        <v>23</v>
      </c>
      <c r="S7107" s="1" t="s">
        <v>34218</v>
      </c>
    </row>
    <row r="7108" spans="1:19" x14ac:dyDescent="0.25">
      <c r="A7108">
        <v>101202185</v>
      </c>
      <c r="B7108" t="s">
        <v>16859</v>
      </c>
      <c r="C7108" t="s">
        <v>12525</v>
      </c>
      <c r="G7108" t="s">
        <v>16860</v>
      </c>
      <c r="H7108" t="s">
        <v>5298</v>
      </c>
      <c r="I7108" t="s">
        <v>22</v>
      </c>
      <c r="J7108">
        <v>91770</v>
      </c>
      <c r="K7108">
        <v>3703</v>
      </c>
      <c r="L7108" t="s">
        <v>23</v>
      </c>
      <c r="M7108" t="s">
        <v>16860</v>
      </c>
      <c r="N7108" t="s">
        <v>5298</v>
      </c>
      <c r="O7108" t="s">
        <v>22</v>
      </c>
      <c r="P7108">
        <v>91770</v>
      </c>
      <c r="Q7108">
        <v>3703</v>
      </c>
      <c r="R7108" t="s">
        <v>23</v>
      </c>
      <c r="S7108" s="1" t="s">
        <v>34218</v>
      </c>
    </row>
    <row r="7109" spans="1:19" x14ac:dyDescent="0.25">
      <c r="A7109">
        <v>101328567</v>
      </c>
      <c r="B7109" t="s">
        <v>16861</v>
      </c>
      <c r="C7109" t="s">
        <v>1327</v>
      </c>
      <c r="G7109" t="s">
        <v>16862</v>
      </c>
      <c r="H7109" t="s">
        <v>16863</v>
      </c>
      <c r="I7109" t="s">
        <v>2566</v>
      </c>
      <c r="J7109">
        <v>7200</v>
      </c>
      <c r="L7109" t="s">
        <v>23</v>
      </c>
      <c r="M7109" t="s">
        <v>16862</v>
      </c>
      <c r="N7109" t="s">
        <v>16863</v>
      </c>
      <c r="O7109" t="s">
        <v>2566</v>
      </c>
      <c r="P7109">
        <v>7200</v>
      </c>
      <c r="R7109" t="s">
        <v>23</v>
      </c>
      <c r="S7109" s="1" t="s">
        <v>34218</v>
      </c>
    </row>
    <row r="7110" spans="1:19" x14ac:dyDescent="0.25">
      <c r="A7110">
        <v>100823789</v>
      </c>
      <c r="B7110" t="s">
        <v>7081</v>
      </c>
      <c r="C7110" t="s">
        <v>1873</v>
      </c>
      <c r="F7110" t="str">
        <f>"9516724975"</f>
        <v>9516724975</v>
      </c>
      <c r="G7110" t="s">
        <v>16864</v>
      </c>
      <c r="H7110" t="s">
        <v>16865</v>
      </c>
      <c r="I7110" t="s">
        <v>22</v>
      </c>
      <c r="J7110">
        <v>92586</v>
      </c>
      <c r="K7110">
        <v>5220</v>
      </c>
      <c r="L7110" t="s">
        <v>23</v>
      </c>
      <c r="M7110" t="s">
        <v>16864</v>
      </c>
      <c r="N7110" t="s">
        <v>16865</v>
      </c>
      <c r="O7110" t="s">
        <v>22</v>
      </c>
      <c r="P7110">
        <v>92586</v>
      </c>
      <c r="Q7110">
        <v>5220</v>
      </c>
      <c r="R7110" t="s">
        <v>23</v>
      </c>
      <c r="S7110" s="1" t="s">
        <v>34218</v>
      </c>
    </row>
    <row r="7111" spans="1:19" x14ac:dyDescent="0.25">
      <c r="A7111">
        <v>101449791</v>
      </c>
      <c r="B7111" t="s">
        <v>16866</v>
      </c>
      <c r="C7111" t="s">
        <v>274</v>
      </c>
      <c r="G7111" t="s">
        <v>16867</v>
      </c>
      <c r="H7111" t="s">
        <v>16868</v>
      </c>
      <c r="I7111" t="s">
        <v>22</v>
      </c>
      <c r="J7111">
        <v>95966</v>
      </c>
      <c r="K7111">
        <v>9232</v>
      </c>
      <c r="L7111" t="s">
        <v>23</v>
      </c>
      <c r="M7111" t="s">
        <v>16867</v>
      </c>
      <c r="N7111" t="s">
        <v>16868</v>
      </c>
      <c r="O7111" t="s">
        <v>22</v>
      </c>
      <c r="P7111">
        <v>95966</v>
      </c>
      <c r="Q7111">
        <v>9232</v>
      </c>
      <c r="R7111" t="s">
        <v>23</v>
      </c>
      <c r="S7111" s="1" t="s">
        <v>34218</v>
      </c>
    </row>
    <row r="7112" spans="1:19" x14ac:dyDescent="0.25">
      <c r="A7112">
        <v>101415425</v>
      </c>
      <c r="B7112" t="s">
        <v>16869</v>
      </c>
      <c r="C7112" t="s">
        <v>7445</v>
      </c>
      <c r="G7112" t="s">
        <v>16870</v>
      </c>
      <c r="H7112" t="s">
        <v>16871</v>
      </c>
      <c r="I7112" t="s">
        <v>332</v>
      </c>
      <c r="J7112">
        <v>84124</v>
      </c>
      <c r="K7112">
        <v>2407</v>
      </c>
      <c r="L7112" t="s">
        <v>23</v>
      </c>
      <c r="M7112" t="s">
        <v>16870</v>
      </c>
      <c r="N7112" t="s">
        <v>16871</v>
      </c>
      <c r="O7112" t="s">
        <v>332</v>
      </c>
      <c r="P7112">
        <v>84124</v>
      </c>
      <c r="Q7112">
        <v>2407</v>
      </c>
      <c r="R7112" t="s">
        <v>23</v>
      </c>
      <c r="S7112" s="1" t="s">
        <v>34218</v>
      </c>
    </row>
    <row r="7113" spans="1:19" x14ac:dyDescent="0.25">
      <c r="A7113">
        <v>101035012</v>
      </c>
      <c r="B7113" t="s">
        <v>1800</v>
      </c>
      <c r="C7113" t="s">
        <v>1581</v>
      </c>
      <c r="G7113" t="s">
        <v>16872</v>
      </c>
      <c r="H7113" t="s">
        <v>27</v>
      </c>
      <c r="I7113" t="s">
        <v>28</v>
      </c>
      <c r="J7113">
        <v>30310</v>
      </c>
      <c r="K7113">
        <v>5805</v>
      </c>
      <c r="L7113" t="s">
        <v>23</v>
      </c>
      <c r="M7113" t="s">
        <v>16872</v>
      </c>
      <c r="N7113" t="s">
        <v>27</v>
      </c>
      <c r="O7113" t="s">
        <v>28</v>
      </c>
      <c r="P7113">
        <v>30310</v>
      </c>
      <c r="Q7113">
        <v>5805</v>
      </c>
      <c r="R7113" t="s">
        <v>23</v>
      </c>
      <c r="S7113" s="1" t="s">
        <v>34218</v>
      </c>
    </row>
    <row r="7114" spans="1:19" x14ac:dyDescent="0.25">
      <c r="A7114">
        <v>101344423</v>
      </c>
      <c r="B7114" t="s">
        <v>16873</v>
      </c>
      <c r="C7114" t="s">
        <v>403</v>
      </c>
      <c r="G7114" t="s">
        <v>16874</v>
      </c>
      <c r="H7114" t="s">
        <v>4632</v>
      </c>
      <c r="I7114" t="s">
        <v>178</v>
      </c>
      <c r="J7114">
        <v>43206</v>
      </c>
      <c r="K7114">
        <v>2536</v>
      </c>
      <c r="L7114" t="s">
        <v>23</v>
      </c>
      <c r="M7114" t="s">
        <v>16874</v>
      </c>
      <c r="N7114" t="s">
        <v>4632</v>
      </c>
      <c r="O7114" t="s">
        <v>178</v>
      </c>
      <c r="P7114">
        <v>43206</v>
      </c>
      <c r="Q7114">
        <v>2536</v>
      </c>
      <c r="R7114" t="s">
        <v>23</v>
      </c>
      <c r="S7114" s="1" t="s">
        <v>34218</v>
      </c>
    </row>
    <row r="7115" spans="1:19" x14ac:dyDescent="0.25">
      <c r="A7115">
        <v>100745692</v>
      </c>
      <c r="B7115" t="s">
        <v>16875</v>
      </c>
      <c r="C7115" t="s">
        <v>16876</v>
      </c>
      <c r="G7115" t="s">
        <v>16877</v>
      </c>
      <c r="H7115" t="s">
        <v>1553</v>
      </c>
      <c r="I7115" t="s">
        <v>236</v>
      </c>
      <c r="J7115">
        <v>1002</v>
      </c>
      <c r="K7115">
        <v>2740</v>
      </c>
      <c r="L7115" t="s">
        <v>23</v>
      </c>
      <c r="M7115" t="s">
        <v>16877</v>
      </c>
      <c r="N7115" t="s">
        <v>1553</v>
      </c>
      <c r="O7115" t="s">
        <v>236</v>
      </c>
      <c r="P7115">
        <v>1002</v>
      </c>
      <c r="Q7115">
        <v>2740</v>
      </c>
      <c r="R7115" t="s">
        <v>23</v>
      </c>
      <c r="S7115" s="1" t="s">
        <v>34218</v>
      </c>
    </row>
    <row r="7116" spans="1:19" x14ac:dyDescent="0.25">
      <c r="A7116">
        <v>101424632</v>
      </c>
      <c r="B7116" t="s">
        <v>16878</v>
      </c>
      <c r="C7116" t="s">
        <v>7620</v>
      </c>
      <c r="G7116" t="s">
        <v>16879</v>
      </c>
      <c r="H7116" t="s">
        <v>16880</v>
      </c>
      <c r="I7116" t="s">
        <v>2537</v>
      </c>
      <c r="J7116">
        <v>71968</v>
      </c>
      <c r="K7116">
        <v>8216</v>
      </c>
      <c r="L7116" t="s">
        <v>23</v>
      </c>
      <c r="M7116" t="s">
        <v>16879</v>
      </c>
      <c r="N7116" t="s">
        <v>16880</v>
      </c>
      <c r="O7116" t="s">
        <v>2537</v>
      </c>
      <c r="P7116">
        <v>71968</v>
      </c>
      <c r="Q7116">
        <v>8216</v>
      </c>
      <c r="R7116" t="s">
        <v>23</v>
      </c>
      <c r="S7116" s="1" t="s">
        <v>34218</v>
      </c>
    </row>
    <row r="7117" spans="1:19" x14ac:dyDescent="0.25">
      <c r="A7117">
        <v>101394334</v>
      </c>
      <c r="B7117" t="s">
        <v>16881</v>
      </c>
      <c r="C7117" t="s">
        <v>286</v>
      </c>
      <c r="G7117" t="s">
        <v>16882</v>
      </c>
      <c r="H7117" t="s">
        <v>9846</v>
      </c>
      <c r="I7117" t="s">
        <v>62</v>
      </c>
      <c r="J7117">
        <v>73401</v>
      </c>
      <c r="K7117">
        <v>4810</v>
      </c>
      <c r="L7117" t="s">
        <v>23</v>
      </c>
      <c r="M7117" t="s">
        <v>16882</v>
      </c>
      <c r="N7117" t="s">
        <v>9846</v>
      </c>
      <c r="O7117" t="s">
        <v>62</v>
      </c>
      <c r="P7117">
        <v>73401</v>
      </c>
      <c r="Q7117">
        <v>4810</v>
      </c>
      <c r="R7117" t="s">
        <v>23</v>
      </c>
      <c r="S7117" s="1" t="s">
        <v>34218</v>
      </c>
    </row>
    <row r="7118" spans="1:19" x14ac:dyDescent="0.25">
      <c r="A7118">
        <v>101220837</v>
      </c>
      <c r="B7118" t="s">
        <v>16883</v>
      </c>
      <c r="C7118" t="s">
        <v>16884</v>
      </c>
      <c r="G7118" t="s">
        <v>16885</v>
      </c>
      <c r="H7118" t="s">
        <v>423</v>
      </c>
      <c r="I7118" t="s">
        <v>71</v>
      </c>
      <c r="J7118">
        <v>80304</v>
      </c>
      <c r="K7118">
        <v>3830</v>
      </c>
      <c r="L7118" t="s">
        <v>23</v>
      </c>
      <c r="M7118" t="s">
        <v>16885</v>
      </c>
      <c r="N7118" t="s">
        <v>423</v>
      </c>
      <c r="O7118" t="s">
        <v>71</v>
      </c>
      <c r="P7118">
        <v>80304</v>
      </c>
      <c r="Q7118">
        <v>3830</v>
      </c>
      <c r="R7118" t="s">
        <v>23</v>
      </c>
      <c r="S7118" s="1" t="s">
        <v>34218</v>
      </c>
    </row>
    <row r="7119" spans="1:19" x14ac:dyDescent="0.25">
      <c r="A7119">
        <v>101453019</v>
      </c>
      <c r="B7119" t="s">
        <v>654</v>
      </c>
      <c r="C7119" t="s">
        <v>290</v>
      </c>
      <c r="G7119" t="s">
        <v>16886</v>
      </c>
      <c r="H7119" t="s">
        <v>227</v>
      </c>
      <c r="I7119" t="s">
        <v>43</v>
      </c>
      <c r="J7119">
        <v>97225</v>
      </c>
      <c r="K7119">
        <v>2128</v>
      </c>
      <c r="L7119" t="s">
        <v>23</v>
      </c>
      <c r="M7119" t="s">
        <v>16886</v>
      </c>
      <c r="N7119" t="s">
        <v>227</v>
      </c>
      <c r="O7119" t="s">
        <v>43</v>
      </c>
      <c r="P7119">
        <v>97225</v>
      </c>
      <c r="Q7119">
        <v>2128</v>
      </c>
      <c r="R7119" t="s">
        <v>23</v>
      </c>
      <c r="S7119" s="1" t="s">
        <v>34218</v>
      </c>
    </row>
    <row r="7120" spans="1:19" x14ac:dyDescent="0.25">
      <c r="A7120">
        <v>101474362</v>
      </c>
      <c r="B7120" t="s">
        <v>14032</v>
      </c>
      <c r="C7120" t="s">
        <v>956</v>
      </c>
      <c r="G7120" t="s">
        <v>16887</v>
      </c>
      <c r="H7120" t="s">
        <v>16888</v>
      </c>
      <c r="I7120" t="s">
        <v>2537</v>
      </c>
      <c r="J7120">
        <v>72718</v>
      </c>
      <c r="K7120">
        <v>9037</v>
      </c>
      <c r="L7120" t="s">
        <v>23</v>
      </c>
      <c r="M7120" t="s">
        <v>16887</v>
      </c>
      <c r="N7120" t="s">
        <v>16888</v>
      </c>
      <c r="O7120" t="s">
        <v>2537</v>
      </c>
      <c r="P7120">
        <v>72718</v>
      </c>
      <c r="Q7120">
        <v>9037</v>
      </c>
      <c r="R7120" t="s">
        <v>23</v>
      </c>
      <c r="S7120" s="1" t="s">
        <v>34218</v>
      </c>
    </row>
    <row r="7121" spans="1:19" x14ac:dyDescent="0.25">
      <c r="A7121">
        <v>100849742</v>
      </c>
      <c r="B7121" t="s">
        <v>16889</v>
      </c>
      <c r="C7121" t="s">
        <v>16890</v>
      </c>
      <c r="G7121" t="s">
        <v>16891</v>
      </c>
      <c r="H7121" t="s">
        <v>1636</v>
      </c>
      <c r="I7121" t="s">
        <v>22</v>
      </c>
      <c r="J7121">
        <v>93901</v>
      </c>
      <c r="K7121">
        <v>3113</v>
      </c>
      <c r="L7121" t="s">
        <v>23</v>
      </c>
      <c r="M7121" t="s">
        <v>16891</v>
      </c>
      <c r="N7121" t="s">
        <v>1636</v>
      </c>
      <c r="O7121" t="s">
        <v>22</v>
      </c>
      <c r="P7121">
        <v>93901</v>
      </c>
      <c r="Q7121">
        <v>3113</v>
      </c>
      <c r="R7121" t="s">
        <v>23</v>
      </c>
      <c r="S7121" s="1" t="s">
        <v>34218</v>
      </c>
    </row>
    <row r="7122" spans="1:19" x14ac:dyDescent="0.25">
      <c r="A7122">
        <v>101449681</v>
      </c>
      <c r="B7122" t="s">
        <v>16892</v>
      </c>
      <c r="C7122" t="s">
        <v>1075</v>
      </c>
      <c r="G7122" t="s">
        <v>16893</v>
      </c>
      <c r="H7122" t="s">
        <v>5194</v>
      </c>
      <c r="I7122" t="s">
        <v>370</v>
      </c>
      <c r="J7122">
        <v>68007</v>
      </c>
      <c r="K7122">
        <v>6111</v>
      </c>
      <c r="L7122" t="s">
        <v>23</v>
      </c>
      <c r="M7122" t="s">
        <v>16893</v>
      </c>
      <c r="N7122" t="s">
        <v>5194</v>
      </c>
      <c r="O7122" t="s">
        <v>370</v>
      </c>
      <c r="P7122">
        <v>68007</v>
      </c>
      <c r="Q7122">
        <v>6111</v>
      </c>
      <c r="R7122" t="s">
        <v>23</v>
      </c>
      <c r="S7122" s="1" t="s">
        <v>34218</v>
      </c>
    </row>
    <row r="7123" spans="1:19" x14ac:dyDescent="0.25">
      <c r="A7123">
        <v>100807429</v>
      </c>
      <c r="B7123" t="s">
        <v>105</v>
      </c>
      <c r="C7123" t="s">
        <v>77</v>
      </c>
      <c r="G7123" t="s">
        <v>16894</v>
      </c>
      <c r="H7123" t="s">
        <v>16895</v>
      </c>
      <c r="I7123" t="s">
        <v>33</v>
      </c>
      <c r="J7123">
        <v>18051</v>
      </c>
      <c r="K7123">
        <v>1510</v>
      </c>
      <c r="L7123" t="s">
        <v>23</v>
      </c>
      <c r="M7123" t="s">
        <v>16894</v>
      </c>
      <c r="N7123" t="s">
        <v>16895</v>
      </c>
      <c r="O7123" t="s">
        <v>33</v>
      </c>
      <c r="P7123">
        <v>18051</v>
      </c>
      <c r="Q7123">
        <v>1510</v>
      </c>
      <c r="R7123" t="s">
        <v>23</v>
      </c>
      <c r="S7123" s="1" t="s">
        <v>34218</v>
      </c>
    </row>
    <row r="7124" spans="1:19" x14ac:dyDescent="0.25">
      <c r="A7124">
        <v>101021072</v>
      </c>
      <c r="B7124" t="s">
        <v>16896</v>
      </c>
      <c r="C7124" t="s">
        <v>1027</v>
      </c>
      <c r="G7124" t="s">
        <v>16897</v>
      </c>
      <c r="H7124" t="s">
        <v>4589</v>
      </c>
      <c r="I7124" t="s">
        <v>140</v>
      </c>
      <c r="J7124">
        <v>48430</v>
      </c>
      <c r="K7124">
        <v>9218</v>
      </c>
      <c r="L7124" t="s">
        <v>23</v>
      </c>
      <c r="M7124" t="s">
        <v>16897</v>
      </c>
      <c r="N7124" t="s">
        <v>4589</v>
      </c>
      <c r="O7124" t="s">
        <v>140</v>
      </c>
      <c r="P7124">
        <v>48430</v>
      </c>
      <c r="Q7124">
        <v>9218</v>
      </c>
      <c r="R7124" t="s">
        <v>23</v>
      </c>
      <c r="S7124" s="1" t="s">
        <v>34218</v>
      </c>
    </row>
    <row r="7125" spans="1:19" x14ac:dyDescent="0.25">
      <c r="A7125">
        <v>101020294</v>
      </c>
      <c r="B7125" t="s">
        <v>2656</v>
      </c>
      <c r="C7125" t="s">
        <v>290</v>
      </c>
      <c r="G7125" t="s">
        <v>16898</v>
      </c>
      <c r="H7125" t="s">
        <v>7149</v>
      </c>
      <c r="I7125" t="s">
        <v>914</v>
      </c>
      <c r="J7125">
        <v>37343</v>
      </c>
      <c r="K7125">
        <v>1450</v>
      </c>
      <c r="L7125" t="s">
        <v>23</v>
      </c>
      <c r="M7125" t="s">
        <v>16898</v>
      </c>
      <c r="N7125" t="s">
        <v>7149</v>
      </c>
      <c r="O7125" t="s">
        <v>914</v>
      </c>
      <c r="P7125">
        <v>37343</v>
      </c>
      <c r="Q7125">
        <v>1450</v>
      </c>
      <c r="R7125" t="s">
        <v>23</v>
      </c>
      <c r="S7125" s="1" t="s">
        <v>34218</v>
      </c>
    </row>
    <row r="7126" spans="1:19" x14ac:dyDescent="0.25">
      <c r="A7126">
        <v>101019013</v>
      </c>
      <c r="B7126" t="s">
        <v>3482</v>
      </c>
      <c r="C7126" t="s">
        <v>2127</v>
      </c>
      <c r="G7126" t="s">
        <v>16899</v>
      </c>
      <c r="H7126" t="s">
        <v>1877</v>
      </c>
      <c r="I7126" t="s">
        <v>43</v>
      </c>
      <c r="J7126">
        <v>97301</v>
      </c>
      <c r="K7126">
        <v>4152</v>
      </c>
      <c r="L7126" t="s">
        <v>23</v>
      </c>
      <c r="M7126" t="s">
        <v>16899</v>
      </c>
      <c r="N7126" t="s">
        <v>1877</v>
      </c>
      <c r="O7126" t="s">
        <v>43</v>
      </c>
      <c r="P7126">
        <v>97301</v>
      </c>
      <c r="Q7126">
        <v>4152</v>
      </c>
      <c r="R7126" t="s">
        <v>23</v>
      </c>
      <c r="S7126" s="1" t="s">
        <v>34218</v>
      </c>
    </row>
    <row r="7127" spans="1:19" x14ac:dyDescent="0.25">
      <c r="A7127">
        <v>101021457</v>
      </c>
      <c r="B7127" t="s">
        <v>16900</v>
      </c>
      <c r="C7127" t="s">
        <v>180</v>
      </c>
      <c r="G7127" t="s">
        <v>16901</v>
      </c>
      <c r="H7127" t="s">
        <v>412</v>
      </c>
      <c r="I7127" t="s">
        <v>140</v>
      </c>
      <c r="J7127">
        <v>49230</v>
      </c>
      <c r="K7127">
        <v>9292</v>
      </c>
      <c r="L7127" t="s">
        <v>23</v>
      </c>
      <c r="M7127" t="s">
        <v>16901</v>
      </c>
      <c r="N7127" t="s">
        <v>412</v>
      </c>
      <c r="O7127" t="s">
        <v>140</v>
      </c>
      <c r="P7127">
        <v>49230</v>
      </c>
      <c r="Q7127">
        <v>9292</v>
      </c>
      <c r="R7127" t="s">
        <v>23</v>
      </c>
      <c r="S7127" s="1" t="s">
        <v>34218</v>
      </c>
    </row>
    <row r="7128" spans="1:19" x14ac:dyDescent="0.25">
      <c r="A7128">
        <v>101032270</v>
      </c>
      <c r="B7128" t="s">
        <v>8367</v>
      </c>
      <c r="C7128" t="s">
        <v>2776</v>
      </c>
      <c r="G7128" t="s">
        <v>16902</v>
      </c>
      <c r="H7128" t="s">
        <v>8583</v>
      </c>
      <c r="I7128" t="s">
        <v>22</v>
      </c>
      <c r="J7128">
        <v>91766</v>
      </c>
      <c r="K7128">
        <v>4823</v>
      </c>
      <c r="L7128" t="s">
        <v>23</v>
      </c>
      <c r="M7128" t="s">
        <v>16902</v>
      </c>
      <c r="N7128" t="s">
        <v>8583</v>
      </c>
      <c r="O7128" t="s">
        <v>22</v>
      </c>
      <c r="P7128">
        <v>91766</v>
      </c>
      <c r="Q7128">
        <v>4823</v>
      </c>
      <c r="R7128" t="s">
        <v>23</v>
      </c>
      <c r="S7128" s="1" t="s">
        <v>34218</v>
      </c>
    </row>
    <row r="7129" spans="1:19" x14ac:dyDescent="0.25">
      <c r="A7129">
        <v>100815265</v>
      </c>
      <c r="B7129" t="s">
        <v>15373</v>
      </c>
      <c r="C7129" t="s">
        <v>1588</v>
      </c>
      <c r="G7129" t="s">
        <v>16903</v>
      </c>
      <c r="H7129" t="s">
        <v>1261</v>
      </c>
      <c r="I7129" t="s">
        <v>22</v>
      </c>
      <c r="J7129">
        <v>95503</v>
      </c>
      <c r="L7129" t="s">
        <v>23</v>
      </c>
      <c r="M7129" t="s">
        <v>16903</v>
      </c>
      <c r="N7129" t="s">
        <v>1261</v>
      </c>
      <c r="O7129" t="s">
        <v>22</v>
      </c>
      <c r="P7129">
        <v>95503</v>
      </c>
      <c r="R7129" t="s">
        <v>23</v>
      </c>
      <c r="S7129" s="1" t="s">
        <v>34218</v>
      </c>
    </row>
    <row r="7130" spans="1:19" x14ac:dyDescent="0.25">
      <c r="A7130">
        <v>101457812</v>
      </c>
      <c r="B7130" t="s">
        <v>3109</v>
      </c>
      <c r="C7130" t="s">
        <v>2576</v>
      </c>
      <c r="G7130" t="s">
        <v>16904</v>
      </c>
      <c r="H7130" t="s">
        <v>10819</v>
      </c>
      <c r="I7130" t="s">
        <v>1387</v>
      </c>
      <c r="J7130">
        <v>35801</v>
      </c>
      <c r="L7130" t="s">
        <v>23</v>
      </c>
      <c r="M7130" t="s">
        <v>16904</v>
      </c>
      <c r="N7130" t="s">
        <v>10819</v>
      </c>
      <c r="O7130" t="s">
        <v>1387</v>
      </c>
      <c r="P7130">
        <v>35801</v>
      </c>
      <c r="R7130" t="s">
        <v>23</v>
      </c>
      <c r="S7130" s="1" t="s">
        <v>34218</v>
      </c>
    </row>
    <row r="7131" spans="1:19" x14ac:dyDescent="0.25">
      <c r="A7131">
        <v>100657752</v>
      </c>
      <c r="B7131" t="s">
        <v>4159</v>
      </c>
      <c r="C7131" t="s">
        <v>16905</v>
      </c>
      <c r="G7131" t="s">
        <v>16906</v>
      </c>
      <c r="H7131" t="s">
        <v>16907</v>
      </c>
      <c r="I7131" t="s">
        <v>191</v>
      </c>
      <c r="J7131">
        <v>4693</v>
      </c>
      <c r="K7131">
        <v>3117</v>
      </c>
      <c r="L7131" t="s">
        <v>23</v>
      </c>
      <c r="M7131" t="s">
        <v>16906</v>
      </c>
      <c r="N7131" t="s">
        <v>16907</v>
      </c>
      <c r="O7131" t="s">
        <v>191</v>
      </c>
      <c r="P7131">
        <v>4693</v>
      </c>
      <c r="Q7131">
        <v>3117</v>
      </c>
      <c r="R7131" t="s">
        <v>23</v>
      </c>
      <c r="S7131" s="1" t="s">
        <v>34218</v>
      </c>
    </row>
    <row r="7132" spans="1:19" x14ac:dyDescent="0.25">
      <c r="A7132">
        <v>100661792</v>
      </c>
      <c r="B7132" t="s">
        <v>16908</v>
      </c>
      <c r="C7132" t="s">
        <v>1141</v>
      </c>
      <c r="G7132" t="s">
        <v>16909</v>
      </c>
      <c r="H7132" t="s">
        <v>6813</v>
      </c>
      <c r="I7132" t="s">
        <v>135</v>
      </c>
      <c r="J7132">
        <v>60440</v>
      </c>
      <c r="K7132">
        <v>1129</v>
      </c>
      <c r="L7132" t="s">
        <v>23</v>
      </c>
      <c r="M7132" t="s">
        <v>16909</v>
      </c>
      <c r="N7132" t="s">
        <v>6813</v>
      </c>
      <c r="O7132" t="s">
        <v>135</v>
      </c>
      <c r="P7132">
        <v>60440</v>
      </c>
      <c r="Q7132">
        <v>1129</v>
      </c>
      <c r="R7132" t="s">
        <v>23</v>
      </c>
      <c r="S7132" s="1" t="s">
        <v>34218</v>
      </c>
    </row>
    <row r="7133" spans="1:19" x14ac:dyDescent="0.25">
      <c r="A7133">
        <v>100660852</v>
      </c>
      <c r="B7133" t="s">
        <v>4064</v>
      </c>
      <c r="C7133" t="s">
        <v>10596</v>
      </c>
      <c r="G7133" t="s">
        <v>16910</v>
      </c>
      <c r="H7133" t="s">
        <v>1748</v>
      </c>
      <c r="I7133" t="s">
        <v>236</v>
      </c>
      <c r="J7133">
        <v>2474</v>
      </c>
      <c r="K7133">
        <v>6633</v>
      </c>
      <c r="L7133" t="s">
        <v>23</v>
      </c>
      <c r="M7133" t="s">
        <v>16910</v>
      </c>
      <c r="N7133" t="s">
        <v>1748</v>
      </c>
      <c r="O7133" t="s">
        <v>236</v>
      </c>
      <c r="P7133">
        <v>2474</v>
      </c>
      <c r="Q7133">
        <v>6633</v>
      </c>
      <c r="R7133" t="s">
        <v>23</v>
      </c>
      <c r="S7133" s="1" t="s">
        <v>34218</v>
      </c>
    </row>
    <row r="7134" spans="1:19" x14ac:dyDescent="0.25">
      <c r="A7134">
        <v>100660394</v>
      </c>
      <c r="B7134" t="s">
        <v>3123</v>
      </c>
      <c r="C7134" t="s">
        <v>1350</v>
      </c>
      <c r="F7134" t="str">
        <f>"5039081440"</f>
        <v>5039081440</v>
      </c>
      <c r="G7134" t="s">
        <v>16911</v>
      </c>
      <c r="H7134" t="s">
        <v>16912</v>
      </c>
      <c r="I7134" t="s">
        <v>43</v>
      </c>
      <c r="J7134">
        <v>97068</v>
      </c>
      <c r="K7134">
        <v>1651</v>
      </c>
      <c r="L7134" t="s">
        <v>23</v>
      </c>
      <c r="M7134" t="s">
        <v>16911</v>
      </c>
      <c r="N7134" t="s">
        <v>16912</v>
      </c>
      <c r="O7134" t="s">
        <v>43</v>
      </c>
      <c r="P7134">
        <v>97068</v>
      </c>
      <c r="Q7134">
        <v>1651</v>
      </c>
      <c r="R7134" t="s">
        <v>23</v>
      </c>
      <c r="S7134" s="1" t="s">
        <v>34218</v>
      </c>
    </row>
    <row r="7135" spans="1:19" x14ac:dyDescent="0.25">
      <c r="A7135">
        <v>100672578</v>
      </c>
      <c r="B7135" t="s">
        <v>2422</v>
      </c>
      <c r="C7135" t="s">
        <v>959</v>
      </c>
      <c r="G7135" t="s">
        <v>16913</v>
      </c>
      <c r="H7135" t="s">
        <v>10273</v>
      </c>
      <c r="I7135" t="s">
        <v>148</v>
      </c>
      <c r="J7135">
        <v>20854</v>
      </c>
      <c r="K7135">
        <v>3751</v>
      </c>
      <c r="L7135" t="s">
        <v>23</v>
      </c>
      <c r="M7135" t="s">
        <v>16913</v>
      </c>
      <c r="N7135" t="s">
        <v>10273</v>
      </c>
      <c r="O7135" t="s">
        <v>148</v>
      </c>
      <c r="P7135">
        <v>20854</v>
      </c>
      <c r="Q7135">
        <v>3751</v>
      </c>
      <c r="R7135" t="s">
        <v>23</v>
      </c>
      <c r="S7135" s="1" t="s">
        <v>34218</v>
      </c>
    </row>
    <row r="7136" spans="1:19" x14ac:dyDescent="0.25">
      <c r="A7136">
        <v>100666621</v>
      </c>
      <c r="B7136" t="s">
        <v>4212</v>
      </c>
      <c r="C7136" t="s">
        <v>2763</v>
      </c>
      <c r="G7136" t="s">
        <v>16914</v>
      </c>
      <c r="H7136" t="s">
        <v>8317</v>
      </c>
      <c r="I7136" t="s">
        <v>33</v>
      </c>
      <c r="J7136">
        <v>19119</v>
      </c>
      <c r="K7136">
        <v>2707</v>
      </c>
      <c r="L7136" t="s">
        <v>23</v>
      </c>
      <c r="M7136" t="s">
        <v>16914</v>
      </c>
      <c r="N7136" t="s">
        <v>8317</v>
      </c>
      <c r="O7136" t="s">
        <v>33</v>
      </c>
      <c r="P7136">
        <v>19119</v>
      </c>
      <c r="Q7136">
        <v>2707</v>
      </c>
      <c r="R7136" t="s">
        <v>23</v>
      </c>
      <c r="S7136" s="1" t="s">
        <v>34218</v>
      </c>
    </row>
    <row r="7137" spans="1:19" x14ac:dyDescent="0.25">
      <c r="A7137">
        <v>100666954</v>
      </c>
      <c r="B7137" t="s">
        <v>16915</v>
      </c>
      <c r="C7137" t="s">
        <v>16916</v>
      </c>
      <c r="F7137" t="str">
        <f>"7154796195"</f>
        <v>7154796195</v>
      </c>
      <c r="G7137" t="s">
        <v>16917</v>
      </c>
      <c r="H7137" t="s">
        <v>14736</v>
      </c>
      <c r="I7137" t="s">
        <v>100</v>
      </c>
      <c r="J7137">
        <v>54521</v>
      </c>
      <c r="K7137">
        <v>9753</v>
      </c>
      <c r="L7137" t="s">
        <v>23</v>
      </c>
      <c r="M7137" t="s">
        <v>16917</v>
      </c>
      <c r="N7137" t="s">
        <v>14736</v>
      </c>
      <c r="O7137" t="s">
        <v>100</v>
      </c>
      <c r="P7137">
        <v>54521</v>
      </c>
      <c r="Q7137">
        <v>9753</v>
      </c>
      <c r="R7137" t="s">
        <v>23</v>
      </c>
      <c r="S7137" s="1" t="s">
        <v>34218</v>
      </c>
    </row>
    <row r="7138" spans="1:19" x14ac:dyDescent="0.25">
      <c r="A7138">
        <v>100674940</v>
      </c>
      <c r="B7138" t="s">
        <v>16918</v>
      </c>
      <c r="C7138" t="s">
        <v>1616</v>
      </c>
      <c r="G7138" t="s">
        <v>16919</v>
      </c>
      <c r="H7138" t="s">
        <v>16920</v>
      </c>
      <c r="I7138" t="s">
        <v>100</v>
      </c>
      <c r="J7138">
        <v>54769</v>
      </c>
      <c r="K7138">
        <v>5915</v>
      </c>
      <c r="L7138" t="s">
        <v>23</v>
      </c>
      <c r="M7138" t="s">
        <v>16919</v>
      </c>
      <c r="N7138" t="s">
        <v>16920</v>
      </c>
      <c r="O7138" t="s">
        <v>100</v>
      </c>
      <c r="P7138">
        <v>54769</v>
      </c>
      <c r="Q7138">
        <v>5915</v>
      </c>
      <c r="R7138" t="s">
        <v>23</v>
      </c>
      <c r="S7138" s="1" t="s">
        <v>34218</v>
      </c>
    </row>
    <row r="7139" spans="1:19" x14ac:dyDescent="0.25">
      <c r="A7139">
        <v>100674351</v>
      </c>
      <c r="B7139" t="s">
        <v>16921</v>
      </c>
      <c r="C7139" t="s">
        <v>3854</v>
      </c>
      <c r="G7139" t="s">
        <v>16922</v>
      </c>
      <c r="H7139" t="s">
        <v>16923</v>
      </c>
      <c r="I7139" t="s">
        <v>148</v>
      </c>
      <c r="J7139">
        <v>20640</v>
      </c>
      <c r="K7139">
        <v>1731</v>
      </c>
      <c r="L7139" t="s">
        <v>23</v>
      </c>
      <c r="M7139" t="s">
        <v>16922</v>
      </c>
      <c r="N7139" t="s">
        <v>16923</v>
      </c>
      <c r="O7139" t="s">
        <v>148</v>
      </c>
      <c r="P7139">
        <v>20640</v>
      </c>
      <c r="Q7139">
        <v>1731</v>
      </c>
      <c r="R7139" t="s">
        <v>23</v>
      </c>
      <c r="S7139" s="1" t="s">
        <v>34218</v>
      </c>
    </row>
    <row r="7140" spans="1:19" x14ac:dyDescent="0.25">
      <c r="A7140">
        <v>100682792</v>
      </c>
      <c r="B7140" t="s">
        <v>16924</v>
      </c>
      <c r="C7140" t="s">
        <v>472</v>
      </c>
      <c r="G7140" t="s">
        <v>16925</v>
      </c>
      <c r="H7140" t="s">
        <v>12955</v>
      </c>
      <c r="I7140" t="s">
        <v>250</v>
      </c>
      <c r="J7140">
        <v>8872</v>
      </c>
      <c r="K7140">
        <v>1828</v>
      </c>
      <c r="L7140" t="s">
        <v>23</v>
      </c>
      <c r="M7140" t="s">
        <v>16925</v>
      </c>
      <c r="N7140" t="s">
        <v>12955</v>
      </c>
      <c r="O7140" t="s">
        <v>250</v>
      </c>
      <c r="P7140">
        <v>8872</v>
      </c>
      <c r="Q7140">
        <v>1828</v>
      </c>
      <c r="R7140" t="s">
        <v>23</v>
      </c>
      <c r="S7140" s="1" t="s">
        <v>34218</v>
      </c>
    </row>
    <row r="7141" spans="1:19" x14ac:dyDescent="0.25">
      <c r="A7141">
        <v>100867272</v>
      </c>
      <c r="B7141" t="s">
        <v>8379</v>
      </c>
      <c r="C7141" t="s">
        <v>1327</v>
      </c>
      <c r="G7141" t="s">
        <v>16926</v>
      </c>
      <c r="H7141" t="s">
        <v>10101</v>
      </c>
      <c r="I7141" t="s">
        <v>52</v>
      </c>
      <c r="J7141">
        <v>33909</v>
      </c>
      <c r="K7141">
        <v>4207</v>
      </c>
      <c r="L7141" t="s">
        <v>23</v>
      </c>
      <c r="M7141" t="s">
        <v>16926</v>
      </c>
      <c r="N7141" t="s">
        <v>10101</v>
      </c>
      <c r="O7141" t="s">
        <v>52</v>
      </c>
      <c r="P7141">
        <v>33909</v>
      </c>
      <c r="Q7141">
        <v>4207</v>
      </c>
      <c r="R7141" t="s">
        <v>23</v>
      </c>
      <c r="S7141" s="1" t="s">
        <v>34218</v>
      </c>
    </row>
    <row r="7142" spans="1:19" x14ac:dyDescent="0.25">
      <c r="A7142">
        <v>100868238</v>
      </c>
      <c r="B7142" t="s">
        <v>802</v>
      </c>
      <c r="C7142" t="s">
        <v>2802</v>
      </c>
      <c r="F7142" t="str">
        <f>"8129414297"</f>
        <v>8129414297</v>
      </c>
      <c r="G7142" t="s">
        <v>16927</v>
      </c>
      <c r="H7142" t="s">
        <v>805</v>
      </c>
      <c r="I7142" t="s">
        <v>57</v>
      </c>
      <c r="J7142">
        <v>47150</v>
      </c>
      <c r="K7142">
        <v>1858</v>
      </c>
      <c r="L7142" t="s">
        <v>23</v>
      </c>
      <c r="M7142" t="s">
        <v>16927</v>
      </c>
      <c r="N7142" t="s">
        <v>805</v>
      </c>
      <c r="O7142" t="s">
        <v>57</v>
      </c>
      <c r="P7142">
        <v>47150</v>
      </c>
      <c r="Q7142">
        <v>1858</v>
      </c>
      <c r="R7142" t="s">
        <v>23</v>
      </c>
      <c r="S7142" s="1" t="s">
        <v>34218</v>
      </c>
    </row>
    <row r="7143" spans="1:19" x14ac:dyDescent="0.25">
      <c r="A7143">
        <v>100869481</v>
      </c>
      <c r="B7143" t="s">
        <v>16928</v>
      </c>
      <c r="C7143" t="s">
        <v>11184</v>
      </c>
      <c r="G7143" t="s">
        <v>16929</v>
      </c>
      <c r="H7143" t="s">
        <v>6664</v>
      </c>
      <c r="I7143" t="s">
        <v>100</v>
      </c>
      <c r="J7143">
        <v>53022</v>
      </c>
      <c r="K7143">
        <v>4616</v>
      </c>
      <c r="L7143" t="s">
        <v>23</v>
      </c>
      <c r="M7143" t="s">
        <v>16929</v>
      </c>
      <c r="N7143" t="s">
        <v>6664</v>
      </c>
      <c r="O7143" t="s">
        <v>100</v>
      </c>
      <c r="P7143">
        <v>53022</v>
      </c>
      <c r="Q7143">
        <v>4616</v>
      </c>
      <c r="R7143" t="s">
        <v>23</v>
      </c>
      <c r="S7143" s="1" t="s">
        <v>34218</v>
      </c>
    </row>
    <row r="7144" spans="1:19" x14ac:dyDescent="0.25">
      <c r="A7144">
        <v>100870237</v>
      </c>
      <c r="B7144" t="s">
        <v>3089</v>
      </c>
      <c r="C7144" t="s">
        <v>2642</v>
      </c>
      <c r="G7144" t="s">
        <v>16930</v>
      </c>
      <c r="H7144" t="s">
        <v>445</v>
      </c>
      <c r="I7144" t="s">
        <v>446</v>
      </c>
      <c r="J7144">
        <v>28801</v>
      </c>
      <c r="K7144">
        <v>1850</v>
      </c>
      <c r="L7144" t="s">
        <v>23</v>
      </c>
      <c r="M7144" t="s">
        <v>16930</v>
      </c>
      <c r="N7144" t="s">
        <v>445</v>
      </c>
      <c r="O7144" t="s">
        <v>446</v>
      </c>
      <c r="P7144">
        <v>28801</v>
      </c>
      <c r="Q7144">
        <v>1850</v>
      </c>
      <c r="R7144" t="s">
        <v>23</v>
      </c>
      <c r="S7144" s="1" t="s">
        <v>34218</v>
      </c>
    </row>
    <row r="7145" spans="1:19" x14ac:dyDescent="0.25">
      <c r="A7145">
        <v>100880385</v>
      </c>
      <c r="B7145" t="s">
        <v>16931</v>
      </c>
      <c r="C7145" t="s">
        <v>16932</v>
      </c>
      <c r="G7145" t="s">
        <v>16933</v>
      </c>
      <c r="H7145" t="s">
        <v>4693</v>
      </c>
      <c r="I7145" t="s">
        <v>52</v>
      </c>
      <c r="J7145">
        <v>33446</v>
      </c>
      <c r="K7145">
        <v>2343</v>
      </c>
      <c r="L7145" t="s">
        <v>23</v>
      </c>
      <c r="M7145" t="s">
        <v>16933</v>
      </c>
      <c r="N7145" t="s">
        <v>4693</v>
      </c>
      <c r="O7145" t="s">
        <v>52</v>
      </c>
      <c r="P7145">
        <v>33446</v>
      </c>
      <c r="Q7145">
        <v>2343</v>
      </c>
      <c r="R7145" t="s">
        <v>23</v>
      </c>
      <c r="S7145" s="1" t="s">
        <v>34218</v>
      </c>
    </row>
    <row r="7146" spans="1:19" x14ac:dyDescent="0.25">
      <c r="A7146">
        <v>100886569</v>
      </c>
      <c r="B7146" t="s">
        <v>3970</v>
      </c>
      <c r="C7146" t="s">
        <v>718</v>
      </c>
      <c r="G7146" t="s">
        <v>16934</v>
      </c>
      <c r="H7146" t="s">
        <v>2074</v>
      </c>
      <c r="I7146" t="s">
        <v>191</v>
      </c>
      <c r="J7146">
        <v>4966</v>
      </c>
      <c r="K7146">
        <v>4340</v>
      </c>
      <c r="L7146" t="s">
        <v>23</v>
      </c>
      <c r="M7146" t="s">
        <v>16934</v>
      </c>
      <c r="N7146" t="s">
        <v>2074</v>
      </c>
      <c r="O7146" t="s">
        <v>191</v>
      </c>
      <c r="P7146">
        <v>4966</v>
      </c>
      <c r="Q7146">
        <v>4340</v>
      </c>
      <c r="R7146" t="s">
        <v>23</v>
      </c>
      <c r="S7146" s="1" t="s">
        <v>34218</v>
      </c>
    </row>
    <row r="7147" spans="1:19" x14ac:dyDescent="0.25">
      <c r="A7147">
        <v>100888323</v>
      </c>
      <c r="B7147" t="s">
        <v>29</v>
      </c>
      <c r="C7147" t="s">
        <v>4184</v>
      </c>
      <c r="G7147" t="s">
        <v>16935</v>
      </c>
      <c r="H7147" t="s">
        <v>1293</v>
      </c>
      <c r="I7147" t="s">
        <v>22</v>
      </c>
      <c r="J7147">
        <v>95062</v>
      </c>
      <c r="K7147">
        <v>4036</v>
      </c>
      <c r="L7147" t="s">
        <v>23</v>
      </c>
      <c r="M7147" t="s">
        <v>16935</v>
      </c>
      <c r="N7147" t="s">
        <v>1293</v>
      </c>
      <c r="O7147" t="s">
        <v>22</v>
      </c>
      <c r="P7147">
        <v>95062</v>
      </c>
      <c r="Q7147">
        <v>4036</v>
      </c>
      <c r="R7147" t="s">
        <v>23</v>
      </c>
      <c r="S7147" s="1" t="s">
        <v>34218</v>
      </c>
    </row>
    <row r="7148" spans="1:19" x14ac:dyDescent="0.25">
      <c r="A7148">
        <v>101046816</v>
      </c>
      <c r="B7148" t="s">
        <v>16936</v>
      </c>
      <c r="C7148" t="s">
        <v>432</v>
      </c>
      <c r="G7148" t="s">
        <v>16937</v>
      </c>
      <c r="H7148" t="s">
        <v>16938</v>
      </c>
      <c r="I7148" t="s">
        <v>38</v>
      </c>
      <c r="J7148">
        <v>76051</v>
      </c>
      <c r="K7148">
        <v>6591</v>
      </c>
      <c r="L7148" t="s">
        <v>23</v>
      </c>
      <c r="M7148" t="s">
        <v>16937</v>
      </c>
      <c r="N7148" t="s">
        <v>16938</v>
      </c>
      <c r="O7148" t="s">
        <v>38</v>
      </c>
      <c r="P7148">
        <v>76051</v>
      </c>
      <c r="Q7148">
        <v>6591</v>
      </c>
      <c r="R7148" t="s">
        <v>23</v>
      </c>
      <c r="S7148" s="1" t="s">
        <v>34218</v>
      </c>
    </row>
    <row r="7149" spans="1:19" x14ac:dyDescent="0.25">
      <c r="A7149">
        <v>101051487</v>
      </c>
      <c r="B7149" t="s">
        <v>16939</v>
      </c>
      <c r="C7149" t="s">
        <v>3254</v>
      </c>
      <c r="G7149" t="s">
        <v>16940</v>
      </c>
      <c r="H7149" t="s">
        <v>16941</v>
      </c>
      <c r="I7149" t="s">
        <v>255</v>
      </c>
      <c r="J7149">
        <v>24060</v>
      </c>
      <c r="K7149">
        <v>3850</v>
      </c>
      <c r="L7149" t="s">
        <v>23</v>
      </c>
      <c r="M7149" t="s">
        <v>16940</v>
      </c>
      <c r="N7149" t="s">
        <v>16941</v>
      </c>
      <c r="O7149" t="s">
        <v>255</v>
      </c>
      <c r="P7149">
        <v>24060</v>
      </c>
      <c r="Q7149">
        <v>3850</v>
      </c>
      <c r="R7149" t="s">
        <v>23</v>
      </c>
      <c r="S7149" s="1" t="s">
        <v>34218</v>
      </c>
    </row>
    <row r="7150" spans="1:19" x14ac:dyDescent="0.25">
      <c r="A7150">
        <v>101053177</v>
      </c>
      <c r="B7150" t="s">
        <v>16942</v>
      </c>
      <c r="C7150" t="s">
        <v>90</v>
      </c>
      <c r="G7150" t="s">
        <v>16943</v>
      </c>
      <c r="H7150" t="s">
        <v>412</v>
      </c>
      <c r="I7150" t="s">
        <v>117</v>
      </c>
      <c r="J7150">
        <v>11215</v>
      </c>
      <c r="K7150">
        <v>4911</v>
      </c>
      <c r="L7150" t="s">
        <v>23</v>
      </c>
      <c r="M7150" t="s">
        <v>16943</v>
      </c>
      <c r="N7150" t="s">
        <v>412</v>
      </c>
      <c r="O7150" t="s">
        <v>117</v>
      </c>
      <c r="P7150">
        <v>11215</v>
      </c>
      <c r="Q7150">
        <v>4911</v>
      </c>
      <c r="R7150" t="s">
        <v>23</v>
      </c>
      <c r="S7150" s="1" t="s">
        <v>34218</v>
      </c>
    </row>
    <row r="7151" spans="1:19" x14ac:dyDescent="0.25">
      <c r="A7151">
        <v>101048910</v>
      </c>
      <c r="B7151" t="s">
        <v>16944</v>
      </c>
      <c r="C7151" t="s">
        <v>90</v>
      </c>
      <c r="G7151" t="s">
        <v>16945</v>
      </c>
      <c r="H7151" t="s">
        <v>56</v>
      </c>
      <c r="I7151" t="s">
        <v>57</v>
      </c>
      <c r="J7151">
        <v>46804</v>
      </c>
      <c r="K7151">
        <v>4771</v>
      </c>
      <c r="L7151" t="s">
        <v>23</v>
      </c>
      <c r="M7151" t="s">
        <v>16945</v>
      </c>
      <c r="N7151" t="s">
        <v>56</v>
      </c>
      <c r="O7151" t="s">
        <v>57</v>
      </c>
      <c r="P7151">
        <v>46804</v>
      </c>
      <c r="Q7151">
        <v>4771</v>
      </c>
      <c r="R7151" t="s">
        <v>23</v>
      </c>
      <c r="S7151" s="1" t="s">
        <v>34218</v>
      </c>
    </row>
    <row r="7152" spans="1:19" x14ac:dyDescent="0.25">
      <c r="A7152">
        <v>101055021</v>
      </c>
      <c r="B7152" t="s">
        <v>16946</v>
      </c>
      <c r="C7152" t="s">
        <v>16947</v>
      </c>
      <c r="G7152" t="s">
        <v>16948</v>
      </c>
      <c r="H7152" t="s">
        <v>1827</v>
      </c>
      <c r="I7152" t="s">
        <v>140</v>
      </c>
      <c r="J7152">
        <v>49419</v>
      </c>
      <c r="K7152">
        <v>9528</v>
      </c>
      <c r="L7152" t="s">
        <v>23</v>
      </c>
      <c r="M7152" t="s">
        <v>16948</v>
      </c>
      <c r="N7152" t="s">
        <v>1827</v>
      </c>
      <c r="O7152" t="s">
        <v>140</v>
      </c>
      <c r="P7152">
        <v>49419</v>
      </c>
      <c r="Q7152">
        <v>9528</v>
      </c>
      <c r="R7152" t="s">
        <v>23</v>
      </c>
      <c r="S7152" s="1" t="s">
        <v>34218</v>
      </c>
    </row>
    <row r="7153" spans="1:19" x14ac:dyDescent="0.25">
      <c r="A7153">
        <v>101056147</v>
      </c>
      <c r="B7153" t="s">
        <v>16949</v>
      </c>
      <c r="C7153" t="s">
        <v>25</v>
      </c>
      <c r="G7153" t="s">
        <v>16950</v>
      </c>
      <c r="H7153" t="s">
        <v>16951</v>
      </c>
      <c r="I7153" t="s">
        <v>140</v>
      </c>
      <c r="J7153">
        <v>48183</v>
      </c>
      <c r="K7153">
        <v>5019</v>
      </c>
      <c r="L7153" t="s">
        <v>23</v>
      </c>
      <c r="M7153" t="s">
        <v>16950</v>
      </c>
      <c r="N7153" t="s">
        <v>16951</v>
      </c>
      <c r="O7153" t="s">
        <v>140</v>
      </c>
      <c r="P7153">
        <v>48183</v>
      </c>
      <c r="Q7153">
        <v>5019</v>
      </c>
      <c r="R7153" t="s">
        <v>23</v>
      </c>
      <c r="S7153" s="1" t="s">
        <v>34218</v>
      </c>
    </row>
    <row r="7154" spans="1:19" x14ac:dyDescent="0.25">
      <c r="A7154">
        <v>101056230</v>
      </c>
      <c r="B7154" t="s">
        <v>16952</v>
      </c>
      <c r="C7154" t="s">
        <v>959</v>
      </c>
      <c r="G7154" t="s">
        <v>16953</v>
      </c>
      <c r="H7154" t="s">
        <v>5040</v>
      </c>
      <c r="I7154" t="s">
        <v>62</v>
      </c>
      <c r="J7154">
        <v>74801</v>
      </c>
      <c r="K7154">
        <v>7948</v>
      </c>
      <c r="L7154" t="s">
        <v>23</v>
      </c>
      <c r="M7154" t="s">
        <v>16953</v>
      </c>
      <c r="N7154" t="s">
        <v>5040</v>
      </c>
      <c r="O7154" t="s">
        <v>62</v>
      </c>
      <c r="P7154">
        <v>74801</v>
      </c>
      <c r="Q7154">
        <v>7948</v>
      </c>
      <c r="R7154" t="s">
        <v>23</v>
      </c>
      <c r="S7154" s="1" t="s">
        <v>34218</v>
      </c>
    </row>
    <row r="7155" spans="1:19" x14ac:dyDescent="0.25">
      <c r="A7155">
        <v>101053564</v>
      </c>
      <c r="B7155" t="s">
        <v>1291</v>
      </c>
      <c r="C7155" t="s">
        <v>329</v>
      </c>
      <c r="G7155" t="s">
        <v>16954</v>
      </c>
      <c r="H7155" t="s">
        <v>1531</v>
      </c>
      <c r="I7155" t="s">
        <v>84</v>
      </c>
      <c r="J7155">
        <v>98126</v>
      </c>
      <c r="K7155">
        <v>3295</v>
      </c>
      <c r="L7155" t="s">
        <v>23</v>
      </c>
      <c r="M7155" t="s">
        <v>16954</v>
      </c>
      <c r="N7155" t="s">
        <v>1531</v>
      </c>
      <c r="O7155" t="s">
        <v>84</v>
      </c>
      <c r="P7155">
        <v>98126</v>
      </c>
      <c r="Q7155">
        <v>3295</v>
      </c>
      <c r="R7155" t="s">
        <v>23</v>
      </c>
      <c r="S7155" s="1" t="s">
        <v>34218</v>
      </c>
    </row>
    <row r="7156" spans="1:19" x14ac:dyDescent="0.25">
      <c r="A7156">
        <v>101057938</v>
      </c>
      <c r="B7156" t="s">
        <v>16955</v>
      </c>
      <c r="C7156" t="s">
        <v>3878</v>
      </c>
      <c r="G7156" t="s">
        <v>16956</v>
      </c>
      <c r="H7156" t="s">
        <v>393</v>
      </c>
      <c r="I7156" t="s">
        <v>71</v>
      </c>
      <c r="J7156">
        <v>80211</v>
      </c>
      <c r="K7156">
        <v>3270</v>
      </c>
      <c r="L7156" t="s">
        <v>23</v>
      </c>
      <c r="M7156" t="s">
        <v>16956</v>
      </c>
      <c r="N7156" t="s">
        <v>393</v>
      </c>
      <c r="O7156" t="s">
        <v>71</v>
      </c>
      <c r="P7156">
        <v>80211</v>
      </c>
      <c r="Q7156">
        <v>3270</v>
      </c>
      <c r="R7156" t="s">
        <v>23</v>
      </c>
      <c r="S7156" s="1" t="s">
        <v>34218</v>
      </c>
    </row>
    <row r="7157" spans="1:19" x14ac:dyDescent="0.25">
      <c r="A7157">
        <v>101291730</v>
      </c>
      <c r="B7157" t="s">
        <v>4139</v>
      </c>
      <c r="C7157" t="s">
        <v>1179</v>
      </c>
      <c r="G7157" t="s">
        <v>16957</v>
      </c>
      <c r="H7157" t="s">
        <v>1733</v>
      </c>
      <c r="I7157" t="s">
        <v>22</v>
      </c>
      <c r="J7157">
        <v>92675</v>
      </c>
      <c r="K7157">
        <v>2014</v>
      </c>
      <c r="L7157" t="s">
        <v>23</v>
      </c>
      <c r="M7157" t="s">
        <v>16957</v>
      </c>
      <c r="N7157" t="s">
        <v>1733</v>
      </c>
      <c r="O7157" t="s">
        <v>22</v>
      </c>
      <c r="P7157">
        <v>92675</v>
      </c>
      <c r="Q7157">
        <v>2014</v>
      </c>
      <c r="R7157" t="s">
        <v>23</v>
      </c>
      <c r="S7157" s="1" t="s">
        <v>34218</v>
      </c>
    </row>
    <row r="7158" spans="1:19" x14ac:dyDescent="0.25">
      <c r="A7158">
        <v>101447752</v>
      </c>
      <c r="B7158" t="s">
        <v>16958</v>
      </c>
      <c r="C7158" t="s">
        <v>123</v>
      </c>
      <c r="G7158" t="s">
        <v>16959</v>
      </c>
      <c r="H7158" t="s">
        <v>16960</v>
      </c>
      <c r="I7158" t="s">
        <v>639</v>
      </c>
      <c r="J7158">
        <v>87029</v>
      </c>
      <c r="L7158" t="s">
        <v>23</v>
      </c>
      <c r="M7158" t="s">
        <v>16959</v>
      </c>
      <c r="N7158" t="s">
        <v>16960</v>
      </c>
      <c r="O7158" t="s">
        <v>639</v>
      </c>
      <c r="P7158">
        <v>87029</v>
      </c>
      <c r="R7158" t="s">
        <v>23</v>
      </c>
      <c r="S7158" s="1" t="s">
        <v>34218</v>
      </c>
    </row>
    <row r="7159" spans="1:19" x14ac:dyDescent="0.25">
      <c r="A7159">
        <v>101472566</v>
      </c>
      <c r="B7159" t="s">
        <v>16961</v>
      </c>
      <c r="C7159" t="s">
        <v>30</v>
      </c>
      <c r="G7159" t="s">
        <v>16962</v>
      </c>
      <c r="H7159" t="s">
        <v>812</v>
      </c>
      <c r="I7159" t="s">
        <v>662</v>
      </c>
      <c r="J7159">
        <v>2825</v>
      </c>
      <c r="K7159">
        <v>1252</v>
      </c>
      <c r="L7159" t="s">
        <v>23</v>
      </c>
      <c r="M7159" t="s">
        <v>16962</v>
      </c>
      <c r="N7159" t="s">
        <v>812</v>
      </c>
      <c r="O7159" t="s">
        <v>662</v>
      </c>
      <c r="P7159">
        <v>2825</v>
      </c>
      <c r="Q7159">
        <v>1252</v>
      </c>
      <c r="R7159" t="s">
        <v>23</v>
      </c>
      <c r="S7159" s="1" t="s">
        <v>34218</v>
      </c>
    </row>
    <row r="7160" spans="1:19" x14ac:dyDescent="0.25">
      <c r="A7160">
        <v>101364659</v>
      </c>
      <c r="B7160" t="s">
        <v>1646</v>
      </c>
      <c r="C7160" t="s">
        <v>432</v>
      </c>
      <c r="G7160" t="s">
        <v>16963</v>
      </c>
      <c r="H7160" t="s">
        <v>3625</v>
      </c>
      <c r="I7160" t="s">
        <v>22</v>
      </c>
      <c r="J7160" t="s">
        <v>16964</v>
      </c>
      <c r="K7160">
        <v>706</v>
      </c>
      <c r="L7160" t="s">
        <v>23</v>
      </c>
      <c r="M7160" t="s">
        <v>16963</v>
      </c>
      <c r="N7160" t="s">
        <v>3625</v>
      </c>
      <c r="O7160" t="s">
        <v>22</v>
      </c>
      <c r="P7160" t="s">
        <v>16964</v>
      </c>
      <c r="Q7160">
        <v>706</v>
      </c>
      <c r="R7160" t="s">
        <v>23</v>
      </c>
      <c r="S7160" s="1" t="s">
        <v>34218</v>
      </c>
    </row>
    <row r="7161" spans="1:19" x14ac:dyDescent="0.25">
      <c r="A7161">
        <v>100633155</v>
      </c>
      <c r="B7161" t="s">
        <v>3462</v>
      </c>
      <c r="C7161" t="s">
        <v>2127</v>
      </c>
      <c r="G7161" t="s">
        <v>16965</v>
      </c>
      <c r="H7161" t="s">
        <v>3270</v>
      </c>
      <c r="I7161" t="s">
        <v>348</v>
      </c>
      <c r="J7161">
        <v>83706</v>
      </c>
      <c r="K7161">
        <v>2810</v>
      </c>
      <c r="L7161" t="s">
        <v>23</v>
      </c>
      <c r="M7161" t="s">
        <v>16965</v>
      </c>
      <c r="N7161" t="s">
        <v>3270</v>
      </c>
      <c r="O7161" t="s">
        <v>348</v>
      </c>
      <c r="P7161">
        <v>83706</v>
      </c>
      <c r="Q7161">
        <v>2810</v>
      </c>
      <c r="R7161" t="s">
        <v>23</v>
      </c>
      <c r="S7161" s="1" t="s">
        <v>34218</v>
      </c>
    </row>
    <row r="7162" spans="1:19" x14ac:dyDescent="0.25">
      <c r="A7162">
        <v>100633240</v>
      </c>
      <c r="B7162" t="s">
        <v>7606</v>
      </c>
      <c r="C7162" t="s">
        <v>81</v>
      </c>
      <c r="G7162" t="s">
        <v>16966</v>
      </c>
      <c r="H7162" t="s">
        <v>569</v>
      </c>
      <c r="I7162" t="s">
        <v>187</v>
      </c>
      <c r="J7162">
        <v>55408</v>
      </c>
      <c r="K7162">
        <v>4213</v>
      </c>
      <c r="L7162" t="s">
        <v>23</v>
      </c>
      <c r="M7162" t="s">
        <v>16966</v>
      </c>
      <c r="N7162" t="s">
        <v>569</v>
      </c>
      <c r="O7162" t="s">
        <v>187</v>
      </c>
      <c r="P7162">
        <v>55408</v>
      </c>
      <c r="Q7162">
        <v>4213</v>
      </c>
      <c r="R7162" t="s">
        <v>23</v>
      </c>
      <c r="S7162" s="1" t="s">
        <v>34218</v>
      </c>
    </row>
    <row r="7163" spans="1:19" x14ac:dyDescent="0.25">
      <c r="A7163">
        <v>100628513</v>
      </c>
      <c r="B7163" t="s">
        <v>16967</v>
      </c>
      <c r="C7163" t="s">
        <v>16968</v>
      </c>
      <c r="G7163" t="s">
        <v>16969</v>
      </c>
      <c r="H7163" t="s">
        <v>14258</v>
      </c>
      <c r="I7163" t="s">
        <v>22</v>
      </c>
      <c r="J7163">
        <v>90745</v>
      </c>
      <c r="K7163">
        <v>2379</v>
      </c>
      <c r="L7163" t="s">
        <v>23</v>
      </c>
      <c r="M7163" t="s">
        <v>16969</v>
      </c>
      <c r="N7163" t="s">
        <v>14258</v>
      </c>
      <c r="O7163" t="s">
        <v>22</v>
      </c>
      <c r="P7163">
        <v>90745</v>
      </c>
      <c r="Q7163">
        <v>2379</v>
      </c>
      <c r="R7163" t="s">
        <v>23</v>
      </c>
      <c r="S7163" s="1" t="s">
        <v>34218</v>
      </c>
    </row>
    <row r="7164" spans="1:19" x14ac:dyDescent="0.25">
      <c r="A7164">
        <v>100638822</v>
      </c>
      <c r="B7164" t="s">
        <v>16970</v>
      </c>
      <c r="C7164" t="s">
        <v>2047</v>
      </c>
      <c r="G7164" t="s">
        <v>16971</v>
      </c>
      <c r="H7164" t="s">
        <v>16972</v>
      </c>
      <c r="I7164" t="s">
        <v>187</v>
      </c>
      <c r="J7164">
        <v>55432</v>
      </c>
      <c r="K7164">
        <v>3046</v>
      </c>
      <c r="L7164" t="s">
        <v>23</v>
      </c>
      <c r="M7164" t="s">
        <v>16971</v>
      </c>
      <c r="N7164" t="s">
        <v>16972</v>
      </c>
      <c r="O7164" t="s">
        <v>187</v>
      </c>
      <c r="P7164">
        <v>55432</v>
      </c>
      <c r="Q7164">
        <v>3046</v>
      </c>
      <c r="R7164" t="s">
        <v>23</v>
      </c>
      <c r="S7164" s="1" t="s">
        <v>34218</v>
      </c>
    </row>
    <row r="7165" spans="1:19" x14ac:dyDescent="0.25">
      <c r="A7165">
        <v>100641460</v>
      </c>
      <c r="B7165" t="s">
        <v>16973</v>
      </c>
      <c r="C7165" t="s">
        <v>382</v>
      </c>
      <c r="G7165" t="s">
        <v>16974</v>
      </c>
      <c r="H7165" t="s">
        <v>3604</v>
      </c>
      <c r="I7165" t="s">
        <v>140</v>
      </c>
      <c r="J7165">
        <v>48334</v>
      </c>
      <c r="K7165">
        <v>3248</v>
      </c>
      <c r="L7165" t="s">
        <v>23</v>
      </c>
      <c r="M7165" t="s">
        <v>16974</v>
      </c>
      <c r="N7165" t="s">
        <v>3604</v>
      </c>
      <c r="O7165" t="s">
        <v>140</v>
      </c>
      <c r="P7165">
        <v>48334</v>
      </c>
      <c r="Q7165">
        <v>3248</v>
      </c>
      <c r="R7165" t="s">
        <v>23</v>
      </c>
      <c r="S7165" s="1" t="s">
        <v>34218</v>
      </c>
    </row>
    <row r="7166" spans="1:19" x14ac:dyDescent="0.25">
      <c r="A7166">
        <v>100639928</v>
      </c>
      <c r="B7166" t="s">
        <v>3438</v>
      </c>
      <c r="C7166" t="s">
        <v>30</v>
      </c>
      <c r="G7166" t="s">
        <v>16975</v>
      </c>
      <c r="H7166" t="s">
        <v>12372</v>
      </c>
      <c r="I7166" t="s">
        <v>348</v>
      </c>
      <c r="J7166">
        <v>83642</v>
      </c>
      <c r="K7166">
        <v>8173</v>
      </c>
      <c r="L7166" t="s">
        <v>23</v>
      </c>
      <c r="M7166" t="s">
        <v>16975</v>
      </c>
      <c r="N7166" t="s">
        <v>12372</v>
      </c>
      <c r="O7166" t="s">
        <v>348</v>
      </c>
      <c r="P7166">
        <v>83642</v>
      </c>
      <c r="Q7166">
        <v>8173</v>
      </c>
      <c r="R7166" t="s">
        <v>23</v>
      </c>
      <c r="S7166" s="1" t="s">
        <v>34218</v>
      </c>
    </row>
    <row r="7167" spans="1:19" x14ac:dyDescent="0.25">
      <c r="A7167">
        <v>100641124</v>
      </c>
      <c r="B7167" t="s">
        <v>5440</v>
      </c>
      <c r="C7167" t="s">
        <v>16976</v>
      </c>
      <c r="G7167" t="s">
        <v>11260</v>
      </c>
      <c r="H7167" t="s">
        <v>11261</v>
      </c>
      <c r="I7167" t="s">
        <v>33</v>
      </c>
      <c r="J7167">
        <v>15627</v>
      </c>
      <c r="K7167">
        <v>2671</v>
      </c>
      <c r="L7167" t="s">
        <v>23</v>
      </c>
      <c r="M7167" t="s">
        <v>11260</v>
      </c>
      <c r="N7167" t="s">
        <v>11261</v>
      </c>
      <c r="O7167" t="s">
        <v>33</v>
      </c>
      <c r="P7167">
        <v>15627</v>
      </c>
      <c r="Q7167">
        <v>2671</v>
      </c>
      <c r="R7167" t="s">
        <v>23</v>
      </c>
      <c r="S7167" s="1" t="s">
        <v>34218</v>
      </c>
    </row>
    <row r="7168" spans="1:19" x14ac:dyDescent="0.25">
      <c r="A7168">
        <v>100649759</v>
      </c>
      <c r="B7168" t="s">
        <v>16977</v>
      </c>
      <c r="C7168" t="s">
        <v>907</v>
      </c>
      <c r="G7168" t="s">
        <v>16978</v>
      </c>
      <c r="H7168" t="s">
        <v>2841</v>
      </c>
      <c r="I7168" t="s">
        <v>71</v>
      </c>
      <c r="J7168">
        <v>80401</v>
      </c>
      <c r="K7168">
        <v>6904</v>
      </c>
      <c r="L7168" t="s">
        <v>23</v>
      </c>
      <c r="M7168" t="s">
        <v>16978</v>
      </c>
      <c r="N7168" t="s">
        <v>2841</v>
      </c>
      <c r="O7168" t="s">
        <v>71</v>
      </c>
      <c r="P7168">
        <v>80401</v>
      </c>
      <c r="Q7168">
        <v>6904</v>
      </c>
      <c r="R7168" t="s">
        <v>23</v>
      </c>
      <c r="S7168" s="1" t="s">
        <v>34218</v>
      </c>
    </row>
    <row r="7169" spans="1:19" x14ac:dyDescent="0.25">
      <c r="A7169">
        <v>100648299</v>
      </c>
      <c r="B7169" t="s">
        <v>16979</v>
      </c>
      <c r="C7169" t="s">
        <v>15603</v>
      </c>
      <c r="G7169" t="s">
        <v>16980</v>
      </c>
      <c r="H7169" t="s">
        <v>2375</v>
      </c>
      <c r="I7169" t="s">
        <v>161</v>
      </c>
      <c r="J7169">
        <v>6443</v>
      </c>
      <c r="K7169">
        <v>2471</v>
      </c>
      <c r="L7169" t="s">
        <v>23</v>
      </c>
      <c r="M7169" t="s">
        <v>16980</v>
      </c>
      <c r="N7169" t="s">
        <v>2375</v>
      </c>
      <c r="O7169" t="s">
        <v>161</v>
      </c>
      <c r="P7169">
        <v>6443</v>
      </c>
      <c r="Q7169">
        <v>2471</v>
      </c>
      <c r="R7169" t="s">
        <v>23</v>
      </c>
      <c r="S7169" s="1" t="s">
        <v>34218</v>
      </c>
    </row>
    <row r="7170" spans="1:19" x14ac:dyDescent="0.25">
      <c r="A7170">
        <v>100652694</v>
      </c>
      <c r="B7170" t="s">
        <v>16981</v>
      </c>
      <c r="C7170" t="s">
        <v>1239</v>
      </c>
      <c r="G7170" t="s">
        <v>16982</v>
      </c>
      <c r="H7170" t="s">
        <v>4415</v>
      </c>
      <c r="I7170" t="s">
        <v>33</v>
      </c>
      <c r="J7170">
        <v>16602</v>
      </c>
      <c r="K7170">
        <v>3112</v>
      </c>
      <c r="L7170" t="s">
        <v>23</v>
      </c>
      <c r="M7170" t="s">
        <v>16982</v>
      </c>
      <c r="N7170" t="s">
        <v>4415</v>
      </c>
      <c r="O7170" t="s">
        <v>33</v>
      </c>
      <c r="P7170">
        <v>16602</v>
      </c>
      <c r="Q7170">
        <v>3112</v>
      </c>
      <c r="R7170" t="s">
        <v>23</v>
      </c>
      <c r="S7170" s="1" t="s">
        <v>34218</v>
      </c>
    </row>
    <row r="7171" spans="1:19" x14ac:dyDescent="0.25">
      <c r="A7171">
        <v>100832583</v>
      </c>
      <c r="B7171" t="s">
        <v>16983</v>
      </c>
      <c r="C7171" t="s">
        <v>810</v>
      </c>
      <c r="G7171" t="s">
        <v>16984</v>
      </c>
      <c r="H7171" t="s">
        <v>8296</v>
      </c>
      <c r="I7171" t="s">
        <v>984</v>
      </c>
      <c r="J7171">
        <v>96753</v>
      </c>
      <c r="K7171">
        <v>160</v>
      </c>
      <c r="L7171" t="s">
        <v>23</v>
      </c>
      <c r="M7171" t="s">
        <v>16984</v>
      </c>
      <c r="N7171" t="s">
        <v>8296</v>
      </c>
      <c r="O7171" t="s">
        <v>984</v>
      </c>
      <c r="P7171">
        <v>96753</v>
      </c>
      <c r="Q7171">
        <v>160</v>
      </c>
      <c r="R7171" t="s">
        <v>23</v>
      </c>
      <c r="S7171" s="1" t="s">
        <v>34218</v>
      </c>
    </row>
    <row r="7172" spans="1:19" x14ac:dyDescent="0.25">
      <c r="A7172">
        <v>100840280</v>
      </c>
      <c r="B7172" t="s">
        <v>3123</v>
      </c>
      <c r="C7172" t="s">
        <v>102</v>
      </c>
      <c r="G7172" t="s">
        <v>16985</v>
      </c>
      <c r="H7172" t="s">
        <v>16986</v>
      </c>
      <c r="I7172" t="s">
        <v>178</v>
      </c>
      <c r="J7172">
        <v>43072</v>
      </c>
      <c r="K7172">
        <v>9706</v>
      </c>
      <c r="L7172" t="s">
        <v>23</v>
      </c>
      <c r="M7172" t="s">
        <v>16985</v>
      </c>
      <c r="N7172" t="s">
        <v>16986</v>
      </c>
      <c r="O7172" t="s">
        <v>178</v>
      </c>
      <c r="P7172">
        <v>43072</v>
      </c>
      <c r="Q7172">
        <v>9706</v>
      </c>
      <c r="R7172" t="s">
        <v>23</v>
      </c>
      <c r="S7172" s="1" t="s">
        <v>34218</v>
      </c>
    </row>
    <row r="7173" spans="1:19" x14ac:dyDescent="0.25">
      <c r="A7173">
        <v>100841637</v>
      </c>
      <c r="B7173" t="s">
        <v>5705</v>
      </c>
      <c r="C7173" t="s">
        <v>9405</v>
      </c>
      <c r="G7173" t="s">
        <v>16987</v>
      </c>
      <c r="H7173" t="s">
        <v>3884</v>
      </c>
      <c r="I7173" t="s">
        <v>84</v>
      </c>
      <c r="J7173">
        <v>98260</v>
      </c>
      <c r="K7173">
        <v>8640</v>
      </c>
      <c r="L7173" t="s">
        <v>23</v>
      </c>
      <c r="M7173" t="s">
        <v>16987</v>
      </c>
      <c r="N7173" t="s">
        <v>3884</v>
      </c>
      <c r="O7173" t="s">
        <v>84</v>
      </c>
      <c r="P7173">
        <v>98260</v>
      </c>
      <c r="Q7173">
        <v>8640</v>
      </c>
      <c r="R7173" t="s">
        <v>23</v>
      </c>
      <c r="S7173" s="1" t="s">
        <v>34218</v>
      </c>
    </row>
    <row r="7174" spans="1:19" x14ac:dyDescent="0.25">
      <c r="A7174">
        <v>100841992</v>
      </c>
      <c r="B7174" t="s">
        <v>14283</v>
      </c>
      <c r="C7174" t="s">
        <v>30</v>
      </c>
      <c r="G7174" t="s">
        <v>16988</v>
      </c>
      <c r="H7174" t="s">
        <v>799</v>
      </c>
      <c r="I7174" t="s">
        <v>57</v>
      </c>
      <c r="J7174">
        <v>46311</v>
      </c>
      <c r="K7174">
        <v>1402</v>
      </c>
      <c r="L7174" t="s">
        <v>23</v>
      </c>
      <c r="M7174" t="s">
        <v>16988</v>
      </c>
      <c r="N7174" t="s">
        <v>799</v>
      </c>
      <c r="O7174" t="s">
        <v>57</v>
      </c>
      <c r="P7174">
        <v>46311</v>
      </c>
      <c r="Q7174">
        <v>1402</v>
      </c>
      <c r="R7174" t="s">
        <v>23</v>
      </c>
      <c r="S7174" s="1" t="s">
        <v>34218</v>
      </c>
    </row>
    <row r="7175" spans="1:19" x14ac:dyDescent="0.25">
      <c r="A7175">
        <v>100853985</v>
      </c>
      <c r="B7175" t="s">
        <v>1505</v>
      </c>
      <c r="C7175" t="s">
        <v>123</v>
      </c>
      <c r="G7175" t="s">
        <v>16989</v>
      </c>
      <c r="H7175" t="s">
        <v>5525</v>
      </c>
      <c r="I7175" t="s">
        <v>250</v>
      </c>
      <c r="J7175">
        <v>7105</v>
      </c>
      <c r="K7175">
        <v>3143</v>
      </c>
      <c r="L7175" t="s">
        <v>23</v>
      </c>
      <c r="M7175" t="s">
        <v>16989</v>
      </c>
      <c r="N7175" t="s">
        <v>5525</v>
      </c>
      <c r="O7175" t="s">
        <v>250</v>
      </c>
      <c r="P7175">
        <v>7105</v>
      </c>
      <c r="Q7175">
        <v>3143</v>
      </c>
      <c r="R7175" t="s">
        <v>23</v>
      </c>
      <c r="S7175" s="1" t="s">
        <v>34218</v>
      </c>
    </row>
    <row r="7176" spans="1:19" x14ac:dyDescent="0.25">
      <c r="A7176">
        <v>100853063</v>
      </c>
      <c r="B7176" t="s">
        <v>3180</v>
      </c>
      <c r="C7176" t="s">
        <v>1463</v>
      </c>
      <c r="F7176" t="str">
        <f>"7194883866"</f>
        <v>7194883866</v>
      </c>
      <c r="G7176" t="s">
        <v>16990</v>
      </c>
      <c r="H7176" t="s">
        <v>15429</v>
      </c>
      <c r="I7176" t="s">
        <v>71</v>
      </c>
      <c r="J7176">
        <v>80132</v>
      </c>
      <c r="K7176">
        <v>8959</v>
      </c>
      <c r="L7176" t="s">
        <v>23</v>
      </c>
      <c r="M7176" t="s">
        <v>16990</v>
      </c>
      <c r="N7176" t="s">
        <v>15429</v>
      </c>
      <c r="O7176" t="s">
        <v>71</v>
      </c>
      <c r="P7176">
        <v>80132</v>
      </c>
      <c r="Q7176">
        <v>8959</v>
      </c>
      <c r="R7176" t="s">
        <v>23</v>
      </c>
      <c r="S7176" s="1" t="s">
        <v>34218</v>
      </c>
    </row>
    <row r="7177" spans="1:19" x14ac:dyDescent="0.25">
      <c r="A7177">
        <v>100851692</v>
      </c>
      <c r="B7177" t="s">
        <v>6364</v>
      </c>
      <c r="C7177" t="s">
        <v>3747</v>
      </c>
      <c r="G7177" t="s">
        <v>16991</v>
      </c>
      <c r="H7177" t="s">
        <v>4527</v>
      </c>
      <c r="I7177" t="s">
        <v>33</v>
      </c>
      <c r="J7177">
        <v>17403</v>
      </c>
      <c r="K7177">
        <v>3355</v>
      </c>
      <c r="L7177" t="s">
        <v>23</v>
      </c>
      <c r="M7177" t="s">
        <v>16991</v>
      </c>
      <c r="N7177" t="s">
        <v>4527</v>
      </c>
      <c r="O7177" t="s">
        <v>33</v>
      </c>
      <c r="P7177">
        <v>17403</v>
      </c>
      <c r="Q7177">
        <v>3355</v>
      </c>
      <c r="R7177" t="s">
        <v>23</v>
      </c>
      <c r="S7177" s="1" t="s">
        <v>34218</v>
      </c>
    </row>
    <row r="7178" spans="1:19" x14ac:dyDescent="0.25">
      <c r="A7178">
        <v>100855885</v>
      </c>
      <c r="B7178" t="s">
        <v>16992</v>
      </c>
      <c r="C7178" t="s">
        <v>4956</v>
      </c>
      <c r="G7178" t="s">
        <v>16993</v>
      </c>
      <c r="H7178" t="s">
        <v>1254</v>
      </c>
      <c r="I7178" t="s">
        <v>52</v>
      </c>
      <c r="J7178">
        <v>33467</v>
      </c>
      <c r="K7178">
        <v>1142</v>
      </c>
      <c r="L7178" t="s">
        <v>23</v>
      </c>
      <c r="M7178" t="s">
        <v>16993</v>
      </c>
      <c r="N7178" t="s">
        <v>1254</v>
      </c>
      <c r="O7178" t="s">
        <v>52</v>
      </c>
      <c r="P7178">
        <v>33467</v>
      </c>
      <c r="Q7178">
        <v>1142</v>
      </c>
      <c r="R7178" t="s">
        <v>23</v>
      </c>
      <c r="S7178" s="1" t="s">
        <v>34218</v>
      </c>
    </row>
    <row r="7179" spans="1:19" x14ac:dyDescent="0.25">
      <c r="A7179">
        <v>100860836</v>
      </c>
      <c r="B7179" t="s">
        <v>8636</v>
      </c>
      <c r="C7179" t="s">
        <v>522</v>
      </c>
      <c r="G7179" t="s">
        <v>16994</v>
      </c>
      <c r="H7179" t="s">
        <v>3466</v>
      </c>
      <c r="I7179" t="s">
        <v>22</v>
      </c>
      <c r="J7179">
        <v>94804</v>
      </c>
      <c r="K7179">
        <v>7478</v>
      </c>
      <c r="L7179" t="s">
        <v>23</v>
      </c>
      <c r="M7179" t="s">
        <v>16994</v>
      </c>
      <c r="N7179" t="s">
        <v>3466</v>
      </c>
      <c r="O7179" t="s">
        <v>22</v>
      </c>
      <c r="P7179">
        <v>94804</v>
      </c>
      <c r="Q7179">
        <v>7478</v>
      </c>
      <c r="R7179" t="s">
        <v>23</v>
      </c>
      <c r="S7179" s="1" t="s">
        <v>34218</v>
      </c>
    </row>
    <row r="7180" spans="1:19" x14ac:dyDescent="0.25">
      <c r="A7180">
        <v>100858154</v>
      </c>
      <c r="B7180" t="s">
        <v>16995</v>
      </c>
      <c r="C7180" t="s">
        <v>403</v>
      </c>
      <c r="G7180" t="s">
        <v>16996</v>
      </c>
      <c r="H7180" t="s">
        <v>924</v>
      </c>
      <c r="I7180" t="s">
        <v>135</v>
      </c>
      <c r="J7180">
        <v>60025</v>
      </c>
      <c r="K7180">
        <v>2971</v>
      </c>
      <c r="L7180" t="s">
        <v>23</v>
      </c>
      <c r="M7180" t="s">
        <v>16996</v>
      </c>
      <c r="N7180" t="s">
        <v>924</v>
      </c>
      <c r="O7180" t="s">
        <v>135</v>
      </c>
      <c r="P7180">
        <v>60025</v>
      </c>
      <c r="Q7180">
        <v>2971</v>
      </c>
      <c r="R7180" t="s">
        <v>23</v>
      </c>
      <c r="S7180" s="1" t="s">
        <v>34218</v>
      </c>
    </row>
    <row r="7181" spans="1:19" x14ac:dyDescent="0.25">
      <c r="A7181">
        <v>100858878</v>
      </c>
      <c r="B7181" t="s">
        <v>3992</v>
      </c>
      <c r="C7181" t="s">
        <v>294</v>
      </c>
      <c r="G7181" t="s">
        <v>16997</v>
      </c>
      <c r="H7181" t="s">
        <v>14530</v>
      </c>
      <c r="I7181" t="s">
        <v>22</v>
      </c>
      <c r="J7181">
        <v>93924</v>
      </c>
      <c r="K7181">
        <v>9532</v>
      </c>
      <c r="L7181" t="s">
        <v>23</v>
      </c>
      <c r="M7181" t="s">
        <v>16997</v>
      </c>
      <c r="N7181" t="s">
        <v>14530</v>
      </c>
      <c r="O7181" t="s">
        <v>22</v>
      </c>
      <c r="P7181">
        <v>93924</v>
      </c>
      <c r="Q7181">
        <v>9532</v>
      </c>
      <c r="R7181" t="s">
        <v>23</v>
      </c>
      <c r="S7181" s="1" t="s">
        <v>34218</v>
      </c>
    </row>
    <row r="7182" spans="1:19" x14ac:dyDescent="0.25">
      <c r="A7182">
        <v>100862382</v>
      </c>
      <c r="B7182" t="s">
        <v>16998</v>
      </c>
      <c r="C7182" t="s">
        <v>1422</v>
      </c>
      <c r="G7182" t="s">
        <v>16999</v>
      </c>
      <c r="H7182" t="s">
        <v>1477</v>
      </c>
      <c r="I7182" t="s">
        <v>84</v>
      </c>
      <c r="J7182">
        <v>98058</v>
      </c>
      <c r="K7182">
        <v>6117</v>
      </c>
      <c r="L7182" t="s">
        <v>23</v>
      </c>
      <c r="M7182" t="s">
        <v>16999</v>
      </c>
      <c r="N7182" t="s">
        <v>1477</v>
      </c>
      <c r="O7182" t="s">
        <v>84</v>
      </c>
      <c r="P7182">
        <v>98058</v>
      </c>
      <c r="Q7182">
        <v>6117</v>
      </c>
      <c r="R7182" t="s">
        <v>23</v>
      </c>
      <c r="S7182" s="1" t="s">
        <v>34218</v>
      </c>
    </row>
    <row r="7183" spans="1:19" x14ac:dyDescent="0.25">
      <c r="A7183">
        <v>100861447</v>
      </c>
      <c r="B7183" t="s">
        <v>17000</v>
      </c>
      <c r="C7183" t="s">
        <v>155</v>
      </c>
      <c r="G7183" t="s">
        <v>17001</v>
      </c>
      <c r="H7183" t="s">
        <v>8280</v>
      </c>
      <c r="I7183" t="s">
        <v>236</v>
      </c>
      <c r="J7183">
        <v>2420</v>
      </c>
      <c r="K7183">
        <v>3817</v>
      </c>
      <c r="L7183" t="s">
        <v>23</v>
      </c>
      <c r="M7183" t="s">
        <v>17001</v>
      </c>
      <c r="N7183" t="s">
        <v>8280</v>
      </c>
      <c r="O7183" t="s">
        <v>236</v>
      </c>
      <c r="P7183">
        <v>2420</v>
      </c>
      <c r="Q7183">
        <v>3817</v>
      </c>
      <c r="R7183" t="s">
        <v>23</v>
      </c>
      <c r="S7183" s="1" t="s">
        <v>34218</v>
      </c>
    </row>
    <row r="7184" spans="1:19" x14ac:dyDescent="0.25">
      <c r="A7184">
        <v>100864020</v>
      </c>
      <c r="B7184" t="s">
        <v>1800</v>
      </c>
      <c r="C7184" t="s">
        <v>4188</v>
      </c>
      <c r="G7184" t="s">
        <v>17002</v>
      </c>
      <c r="H7184" t="s">
        <v>17003</v>
      </c>
      <c r="I7184" t="s">
        <v>446</v>
      </c>
      <c r="J7184">
        <v>28787</v>
      </c>
      <c r="K7184">
        <v>9312</v>
      </c>
      <c r="L7184" t="s">
        <v>23</v>
      </c>
      <c r="M7184" t="s">
        <v>17002</v>
      </c>
      <c r="N7184" t="s">
        <v>17003</v>
      </c>
      <c r="O7184" t="s">
        <v>446</v>
      </c>
      <c r="P7184">
        <v>28787</v>
      </c>
      <c r="Q7184">
        <v>9312</v>
      </c>
      <c r="R7184" t="s">
        <v>23</v>
      </c>
      <c r="S7184" s="1" t="s">
        <v>34218</v>
      </c>
    </row>
    <row r="7185" spans="1:19" x14ac:dyDescent="0.25">
      <c r="A7185">
        <v>100861454</v>
      </c>
      <c r="B7185" t="s">
        <v>17004</v>
      </c>
      <c r="C7185" t="s">
        <v>498</v>
      </c>
      <c r="G7185" t="s">
        <v>17005</v>
      </c>
      <c r="H7185" t="s">
        <v>1531</v>
      </c>
      <c r="I7185" t="s">
        <v>84</v>
      </c>
      <c r="J7185">
        <v>98103</v>
      </c>
      <c r="K7185">
        <v>9051</v>
      </c>
      <c r="L7185" t="s">
        <v>23</v>
      </c>
      <c r="M7185" t="s">
        <v>17005</v>
      </c>
      <c r="N7185" t="s">
        <v>1531</v>
      </c>
      <c r="O7185" t="s">
        <v>84</v>
      </c>
      <c r="P7185">
        <v>98103</v>
      </c>
      <c r="Q7185">
        <v>9051</v>
      </c>
      <c r="R7185" t="s">
        <v>23</v>
      </c>
      <c r="S7185" s="1" t="s">
        <v>34218</v>
      </c>
    </row>
    <row r="7186" spans="1:19" x14ac:dyDescent="0.25">
      <c r="A7186">
        <v>100861270</v>
      </c>
      <c r="B7186" t="s">
        <v>17006</v>
      </c>
      <c r="C7186" t="s">
        <v>1309</v>
      </c>
      <c r="G7186" t="s">
        <v>17007</v>
      </c>
      <c r="H7186" t="s">
        <v>369</v>
      </c>
      <c r="I7186" t="s">
        <v>370</v>
      </c>
      <c r="J7186">
        <v>68506</v>
      </c>
      <c r="K7186">
        <v>1710</v>
      </c>
      <c r="L7186" t="s">
        <v>23</v>
      </c>
      <c r="M7186" t="s">
        <v>17007</v>
      </c>
      <c r="N7186" t="s">
        <v>369</v>
      </c>
      <c r="O7186" t="s">
        <v>370</v>
      </c>
      <c r="P7186">
        <v>68506</v>
      </c>
      <c r="Q7186">
        <v>1710</v>
      </c>
      <c r="R7186" t="s">
        <v>23</v>
      </c>
      <c r="S7186" s="1" t="s">
        <v>34218</v>
      </c>
    </row>
    <row r="7187" spans="1:19" x14ac:dyDescent="0.25">
      <c r="A7187">
        <v>101070806</v>
      </c>
      <c r="B7187" t="s">
        <v>17008</v>
      </c>
      <c r="C7187" t="s">
        <v>17009</v>
      </c>
      <c r="G7187" t="s">
        <v>17010</v>
      </c>
      <c r="H7187" t="s">
        <v>4693</v>
      </c>
      <c r="I7187" t="s">
        <v>52</v>
      </c>
      <c r="J7187">
        <v>33445</v>
      </c>
      <c r="K7187">
        <v>5743</v>
      </c>
      <c r="L7187" t="s">
        <v>23</v>
      </c>
      <c r="M7187" t="s">
        <v>17010</v>
      </c>
      <c r="N7187" t="s">
        <v>4693</v>
      </c>
      <c r="O7187" t="s">
        <v>52</v>
      </c>
      <c r="P7187">
        <v>33445</v>
      </c>
      <c r="Q7187">
        <v>5743</v>
      </c>
      <c r="R7187" t="s">
        <v>23</v>
      </c>
      <c r="S7187" s="1" t="s">
        <v>34218</v>
      </c>
    </row>
    <row r="7188" spans="1:19" x14ac:dyDescent="0.25">
      <c r="A7188">
        <v>101075977</v>
      </c>
      <c r="B7188" t="s">
        <v>10816</v>
      </c>
      <c r="C7188" t="s">
        <v>17011</v>
      </c>
      <c r="G7188" t="s">
        <v>17012</v>
      </c>
      <c r="H7188" t="s">
        <v>16436</v>
      </c>
      <c r="I7188" t="s">
        <v>52</v>
      </c>
      <c r="J7188">
        <v>32404</v>
      </c>
      <c r="K7188">
        <v>8500</v>
      </c>
      <c r="L7188" t="s">
        <v>23</v>
      </c>
      <c r="M7188" t="s">
        <v>17012</v>
      </c>
      <c r="N7188" t="s">
        <v>16436</v>
      </c>
      <c r="O7188" t="s">
        <v>52</v>
      </c>
      <c r="P7188">
        <v>32404</v>
      </c>
      <c r="Q7188">
        <v>8500</v>
      </c>
      <c r="R7188" t="s">
        <v>23</v>
      </c>
      <c r="S7188" s="1" t="s">
        <v>34218</v>
      </c>
    </row>
    <row r="7189" spans="1:19" x14ac:dyDescent="0.25">
      <c r="A7189">
        <v>101074536</v>
      </c>
      <c r="B7189" t="s">
        <v>333</v>
      </c>
      <c r="C7189" t="s">
        <v>86</v>
      </c>
      <c r="G7189" t="s">
        <v>17013</v>
      </c>
      <c r="H7189" t="s">
        <v>4460</v>
      </c>
      <c r="I7189" t="s">
        <v>307</v>
      </c>
      <c r="J7189">
        <v>5301</v>
      </c>
      <c r="K7189">
        <v>6987</v>
      </c>
      <c r="L7189" t="s">
        <v>23</v>
      </c>
      <c r="M7189" t="s">
        <v>17013</v>
      </c>
      <c r="N7189" t="s">
        <v>4460</v>
      </c>
      <c r="O7189" t="s">
        <v>307</v>
      </c>
      <c r="P7189">
        <v>5301</v>
      </c>
      <c r="Q7189">
        <v>6987</v>
      </c>
      <c r="R7189" t="s">
        <v>23</v>
      </c>
      <c r="S7189" s="1" t="s">
        <v>34218</v>
      </c>
    </row>
    <row r="7190" spans="1:19" x14ac:dyDescent="0.25">
      <c r="A7190">
        <v>100684112</v>
      </c>
      <c r="B7190" t="s">
        <v>2656</v>
      </c>
      <c r="C7190" t="s">
        <v>3670</v>
      </c>
      <c r="G7190" t="s">
        <v>17014</v>
      </c>
      <c r="H7190" t="s">
        <v>481</v>
      </c>
      <c r="I7190" t="s">
        <v>22</v>
      </c>
      <c r="J7190">
        <v>95123</v>
      </c>
      <c r="K7190">
        <v>1838</v>
      </c>
      <c r="L7190" t="s">
        <v>23</v>
      </c>
      <c r="M7190" t="s">
        <v>17014</v>
      </c>
      <c r="N7190" t="s">
        <v>481</v>
      </c>
      <c r="O7190" t="s">
        <v>22</v>
      </c>
      <c r="P7190">
        <v>95123</v>
      </c>
      <c r="Q7190">
        <v>1838</v>
      </c>
      <c r="R7190" t="s">
        <v>23</v>
      </c>
      <c r="S7190" s="1" t="s">
        <v>34218</v>
      </c>
    </row>
    <row r="7191" spans="1:19" x14ac:dyDescent="0.25">
      <c r="A7191">
        <v>100683311</v>
      </c>
      <c r="B7191" t="s">
        <v>17015</v>
      </c>
      <c r="C7191" t="s">
        <v>6445</v>
      </c>
      <c r="G7191" t="s">
        <v>17016</v>
      </c>
      <c r="H7191" t="s">
        <v>88</v>
      </c>
      <c r="I7191" t="s">
        <v>22</v>
      </c>
      <c r="J7191">
        <v>94608</v>
      </c>
      <c r="K7191">
        <v>1205</v>
      </c>
      <c r="L7191" t="s">
        <v>23</v>
      </c>
      <c r="M7191" t="s">
        <v>17016</v>
      </c>
      <c r="N7191" t="s">
        <v>88</v>
      </c>
      <c r="O7191" t="s">
        <v>22</v>
      </c>
      <c r="P7191">
        <v>94608</v>
      </c>
      <c r="Q7191">
        <v>1205</v>
      </c>
      <c r="R7191" t="s">
        <v>23</v>
      </c>
      <c r="S7191" s="1" t="s">
        <v>34218</v>
      </c>
    </row>
    <row r="7192" spans="1:19" x14ac:dyDescent="0.25">
      <c r="A7192">
        <v>100684484</v>
      </c>
      <c r="B7192" t="s">
        <v>11134</v>
      </c>
      <c r="C7192" t="s">
        <v>172</v>
      </c>
      <c r="G7192" t="s">
        <v>17017</v>
      </c>
      <c r="H7192" t="s">
        <v>17018</v>
      </c>
      <c r="I7192" t="s">
        <v>140</v>
      </c>
      <c r="J7192">
        <v>48446</v>
      </c>
      <c r="K7192">
        <v>8309</v>
      </c>
      <c r="L7192" t="s">
        <v>23</v>
      </c>
      <c r="M7192" t="s">
        <v>17017</v>
      </c>
      <c r="N7192" t="s">
        <v>17018</v>
      </c>
      <c r="O7192" t="s">
        <v>140</v>
      </c>
      <c r="P7192">
        <v>48446</v>
      </c>
      <c r="Q7192">
        <v>8309</v>
      </c>
      <c r="R7192" t="s">
        <v>23</v>
      </c>
      <c r="S7192" s="1" t="s">
        <v>34218</v>
      </c>
    </row>
    <row r="7193" spans="1:19" x14ac:dyDescent="0.25">
      <c r="A7193">
        <v>100689767</v>
      </c>
      <c r="B7193" t="s">
        <v>17019</v>
      </c>
      <c r="C7193" t="s">
        <v>286</v>
      </c>
      <c r="G7193" t="s">
        <v>17020</v>
      </c>
      <c r="H7193" t="s">
        <v>1052</v>
      </c>
      <c r="I7193" t="s">
        <v>117</v>
      </c>
      <c r="J7193">
        <v>12203</v>
      </c>
      <c r="K7193">
        <v>1013</v>
      </c>
      <c r="L7193" t="s">
        <v>23</v>
      </c>
      <c r="M7193" t="s">
        <v>17020</v>
      </c>
      <c r="N7193" t="s">
        <v>1052</v>
      </c>
      <c r="O7193" t="s">
        <v>117</v>
      </c>
      <c r="P7193">
        <v>12203</v>
      </c>
      <c r="Q7193">
        <v>1013</v>
      </c>
      <c r="R7193" t="s">
        <v>23</v>
      </c>
      <c r="S7193" s="1" t="s">
        <v>34218</v>
      </c>
    </row>
    <row r="7194" spans="1:19" x14ac:dyDescent="0.25">
      <c r="A7194">
        <v>100693013</v>
      </c>
      <c r="B7194" t="s">
        <v>3535</v>
      </c>
      <c r="C7194" t="s">
        <v>274</v>
      </c>
      <c r="G7194" t="s">
        <v>17021</v>
      </c>
      <c r="H7194" t="s">
        <v>21</v>
      </c>
      <c r="I7194" t="s">
        <v>22</v>
      </c>
      <c r="J7194">
        <v>95404</v>
      </c>
      <c r="K7194">
        <v>2231</v>
      </c>
      <c r="L7194" t="s">
        <v>23</v>
      </c>
      <c r="M7194" t="s">
        <v>17021</v>
      </c>
      <c r="N7194" t="s">
        <v>21</v>
      </c>
      <c r="O7194" t="s">
        <v>22</v>
      </c>
      <c r="P7194">
        <v>95404</v>
      </c>
      <c r="Q7194">
        <v>2231</v>
      </c>
      <c r="R7194" t="s">
        <v>23</v>
      </c>
      <c r="S7194" s="1" t="s">
        <v>34218</v>
      </c>
    </row>
    <row r="7195" spans="1:19" x14ac:dyDescent="0.25">
      <c r="A7195">
        <v>100697739</v>
      </c>
      <c r="B7195" t="s">
        <v>17022</v>
      </c>
      <c r="C7195" t="s">
        <v>644</v>
      </c>
      <c r="G7195" t="s">
        <v>17023</v>
      </c>
      <c r="H7195" t="s">
        <v>11229</v>
      </c>
      <c r="I7195" t="s">
        <v>236</v>
      </c>
      <c r="J7195">
        <v>2356</v>
      </c>
      <c r="K7195">
        <v>1307</v>
      </c>
      <c r="L7195" t="s">
        <v>23</v>
      </c>
      <c r="M7195" t="s">
        <v>17023</v>
      </c>
      <c r="N7195" t="s">
        <v>11229</v>
      </c>
      <c r="O7195" t="s">
        <v>236</v>
      </c>
      <c r="P7195">
        <v>2356</v>
      </c>
      <c r="Q7195">
        <v>1307</v>
      </c>
      <c r="R7195" t="s">
        <v>23</v>
      </c>
      <c r="S7195" s="1" t="s">
        <v>34218</v>
      </c>
    </row>
    <row r="7196" spans="1:19" x14ac:dyDescent="0.25">
      <c r="A7196">
        <v>100700150</v>
      </c>
      <c r="B7196" t="s">
        <v>4048</v>
      </c>
      <c r="C7196" t="s">
        <v>30</v>
      </c>
      <c r="G7196" t="s">
        <v>17024</v>
      </c>
      <c r="H7196" t="s">
        <v>152</v>
      </c>
      <c r="I7196" t="s">
        <v>153</v>
      </c>
      <c r="J7196">
        <v>70002</v>
      </c>
      <c r="K7196">
        <v>3136</v>
      </c>
      <c r="L7196" t="s">
        <v>23</v>
      </c>
      <c r="M7196" t="s">
        <v>17024</v>
      </c>
      <c r="N7196" t="s">
        <v>152</v>
      </c>
      <c r="O7196" t="s">
        <v>153</v>
      </c>
      <c r="P7196">
        <v>70002</v>
      </c>
      <c r="Q7196">
        <v>3136</v>
      </c>
      <c r="R7196" t="s">
        <v>23</v>
      </c>
      <c r="S7196" s="1" t="s">
        <v>34218</v>
      </c>
    </row>
    <row r="7197" spans="1:19" x14ac:dyDescent="0.25">
      <c r="A7197">
        <v>100705712</v>
      </c>
      <c r="B7197" t="s">
        <v>4734</v>
      </c>
      <c r="C7197" t="s">
        <v>17025</v>
      </c>
      <c r="F7197" t="str">
        <f>"3475272699"</f>
        <v>3475272699</v>
      </c>
      <c r="G7197" t="s">
        <v>17026</v>
      </c>
      <c r="H7197" t="s">
        <v>4105</v>
      </c>
      <c r="I7197" t="s">
        <v>117</v>
      </c>
      <c r="J7197">
        <v>11375</v>
      </c>
      <c r="K7197">
        <v>3469</v>
      </c>
      <c r="L7197" t="s">
        <v>23</v>
      </c>
      <c r="M7197" t="s">
        <v>17026</v>
      </c>
      <c r="N7197" t="s">
        <v>4105</v>
      </c>
      <c r="O7197" t="s">
        <v>117</v>
      </c>
      <c r="P7197">
        <v>11375</v>
      </c>
      <c r="Q7197">
        <v>3469</v>
      </c>
      <c r="R7197" t="s">
        <v>23</v>
      </c>
      <c r="S7197" s="1" t="s">
        <v>34218</v>
      </c>
    </row>
    <row r="7198" spans="1:19" x14ac:dyDescent="0.25">
      <c r="A7198">
        <v>100704261</v>
      </c>
      <c r="B7198" t="s">
        <v>17027</v>
      </c>
      <c r="C7198" t="s">
        <v>1110</v>
      </c>
      <c r="G7198" t="s">
        <v>17028</v>
      </c>
      <c r="H7198" t="s">
        <v>37</v>
      </c>
      <c r="I7198" t="s">
        <v>38</v>
      </c>
      <c r="J7198">
        <v>78748</v>
      </c>
      <c r="K7198">
        <v>5632</v>
      </c>
      <c r="L7198" t="s">
        <v>23</v>
      </c>
      <c r="M7198" t="s">
        <v>17028</v>
      </c>
      <c r="N7198" t="s">
        <v>37</v>
      </c>
      <c r="O7198" t="s">
        <v>38</v>
      </c>
      <c r="P7198">
        <v>78748</v>
      </c>
      <c r="Q7198">
        <v>5632</v>
      </c>
      <c r="R7198" t="s">
        <v>23</v>
      </c>
      <c r="S7198" s="1" t="s">
        <v>34218</v>
      </c>
    </row>
    <row r="7199" spans="1:19" x14ac:dyDescent="0.25">
      <c r="A7199">
        <v>100700240</v>
      </c>
      <c r="B7199" t="s">
        <v>17029</v>
      </c>
      <c r="C7199" t="s">
        <v>1050</v>
      </c>
      <c r="G7199" t="s">
        <v>17030</v>
      </c>
      <c r="H7199" t="s">
        <v>1439</v>
      </c>
      <c r="I7199" t="s">
        <v>365</v>
      </c>
      <c r="J7199">
        <v>85747</v>
      </c>
      <c r="K7199">
        <v>6085</v>
      </c>
      <c r="L7199" t="s">
        <v>23</v>
      </c>
      <c r="M7199" t="s">
        <v>17030</v>
      </c>
      <c r="N7199" t="s">
        <v>1439</v>
      </c>
      <c r="O7199" t="s">
        <v>365</v>
      </c>
      <c r="P7199">
        <v>85747</v>
      </c>
      <c r="Q7199">
        <v>6085</v>
      </c>
      <c r="R7199" t="s">
        <v>23</v>
      </c>
      <c r="S7199" s="1" t="s">
        <v>34218</v>
      </c>
    </row>
    <row r="7200" spans="1:19" x14ac:dyDescent="0.25">
      <c r="A7200">
        <v>100889174</v>
      </c>
      <c r="B7200" t="s">
        <v>11120</v>
      </c>
      <c r="C7200" t="s">
        <v>1374</v>
      </c>
      <c r="G7200" t="s">
        <v>17031</v>
      </c>
      <c r="H7200" t="s">
        <v>7505</v>
      </c>
      <c r="I7200" t="s">
        <v>84</v>
      </c>
      <c r="J7200">
        <v>98110</v>
      </c>
      <c r="K7200">
        <v>3119</v>
      </c>
      <c r="L7200" t="s">
        <v>23</v>
      </c>
      <c r="M7200" t="s">
        <v>17031</v>
      </c>
      <c r="N7200" t="s">
        <v>7505</v>
      </c>
      <c r="O7200" t="s">
        <v>84</v>
      </c>
      <c r="P7200">
        <v>98110</v>
      </c>
      <c r="Q7200">
        <v>3119</v>
      </c>
      <c r="R7200" t="s">
        <v>23</v>
      </c>
      <c r="S7200" s="1" t="s">
        <v>34218</v>
      </c>
    </row>
    <row r="7201" spans="1:19" x14ac:dyDescent="0.25">
      <c r="A7201">
        <v>100895193</v>
      </c>
      <c r="B7201" t="s">
        <v>17032</v>
      </c>
      <c r="C7201" t="s">
        <v>90</v>
      </c>
      <c r="G7201" t="s">
        <v>17033</v>
      </c>
      <c r="H7201" t="s">
        <v>605</v>
      </c>
      <c r="I7201" t="s">
        <v>22</v>
      </c>
      <c r="J7201">
        <v>91316</v>
      </c>
      <c r="K7201">
        <v>2723</v>
      </c>
      <c r="L7201" t="s">
        <v>23</v>
      </c>
      <c r="M7201" t="s">
        <v>17033</v>
      </c>
      <c r="N7201" t="s">
        <v>605</v>
      </c>
      <c r="O7201" t="s">
        <v>22</v>
      </c>
      <c r="P7201">
        <v>91316</v>
      </c>
      <c r="Q7201">
        <v>2723</v>
      </c>
      <c r="R7201" t="s">
        <v>23</v>
      </c>
      <c r="S7201" s="1" t="s">
        <v>34218</v>
      </c>
    </row>
    <row r="7202" spans="1:19" x14ac:dyDescent="0.25">
      <c r="A7202">
        <v>100890113</v>
      </c>
      <c r="B7202" t="s">
        <v>76</v>
      </c>
      <c r="C7202" t="s">
        <v>452</v>
      </c>
      <c r="G7202" t="s">
        <v>17034</v>
      </c>
      <c r="H7202" t="s">
        <v>17035</v>
      </c>
      <c r="I7202" t="s">
        <v>100</v>
      </c>
      <c r="J7202">
        <v>54494</v>
      </c>
      <c r="K7202">
        <v>7171</v>
      </c>
      <c r="L7202" t="s">
        <v>23</v>
      </c>
      <c r="M7202" t="s">
        <v>17034</v>
      </c>
      <c r="N7202" t="s">
        <v>17035</v>
      </c>
      <c r="O7202" t="s">
        <v>100</v>
      </c>
      <c r="P7202">
        <v>54494</v>
      </c>
      <c r="Q7202">
        <v>7171</v>
      </c>
      <c r="R7202" t="s">
        <v>23</v>
      </c>
      <c r="S7202" s="1" t="s">
        <v>34218</v>
      </c>
    </row>
    <row r="7203" spans="1:19" x14ac:dyDescent="0.25">
      <c r="A7203">
        <v>100897451</v>
      </c>
      <c r="B7203" t="s">
        <v>17036</v>
      </c>
      <c r="C7203" t="s">
        <v>579</v>
      </c>
      <c r="G7203" t="s">
        <v>17037</v>
      </c>
      <c r="H7203" t="s">
        <v>88</v>
      </c>
      <c r="I7203" t="s">
        <v>22</v>
      </c>
      <c r="J7203">
        <v>94611</v>
      </c>
      <c r="K7203">
        <v>5062</v>
      </c>
      <c r="L7203" t="s">
        <v>23</v>
      </c>
      <c r="M7203" t="s">
        <v>17037</v>
      </c>
      <c r="N7203" t="s">
        <v>88</v>
      </c>
      <c r="O7203" t="s">
        <v>22</v>
      </c>
      <c r="P7203">
        <v>94611</v>
      </c>
      <c r="Q7203">
        <v>5062</v>
      </c>
      <c r="R7203" t="s">
        <v>23</v>
      </c>
      <c r="S7203" s="1" t="s">
        <v>34218</v>
      </c>
    </row>
    <row r="7204" spans="1:19" x14ac:dyDescent="0.25">
      <c r="A7204">
        <v>100897464</v>
      </c>
      <c r="B7204" t="s">
        <v>1889</v>
      </c>
      <c r="C7204" t="s">
        <v>1463</v>
      </c>
      <c r="F7204" t="str">
        <f>"7275760180"</f>
        <v>7275760180</v>
      </c>
      <c r="G7204" t="s">
        <v>17038</v>
      </c>
      <c r="H7204" t="s">
        <v>3616</v>
      </c>
      <c r="I7204" t="s">
        <v>52</v>
      </c>
      <c r="J7204">
        <v>33782</v>
      </c>
      <c r="K7204">
        <v>5801</v>
      </c>
      <c r="L7204" t="s">
        <v>23</v>
      </c>
      <c r="M7204" t="s">
        <v>17038</v>
      </c>
      <c r="N7204" t="s">
        <v>3616</v>
      </c>
      <c r="O7204" t="s">
        <v>52</v>
      </c>
      <c r="P7204">
        <v>33782</v>
      </c>
      <c r="Q7204">
        <v>5801</v>
      </c>
      <c r="R7204" t="s">
        <v>23</v>
      </c>
      <c r="S7204" s="1" t="s">
        <v>34218</v>
      </c>
    </row>
    <row r="7205" spans="1:19" x14ac:dyDescent="0.25">
      <c r="A7205">
        <v>100895528</v>
      </c>
      <c r="B7205" t="s">
        <v>17039</v>
      </c>
      <c r="C7205" t="s">
        <v>2151</v>
      </c>
      <c r="G7205" t="s">
        <v>17040</v>
      </c>
      <c r="H7205" t="s">
        <v>2046</v>
      </c>
      <c r="I7205" t="s">
        <v>446</v>
      </c>
      <c r="J7205">
        <v>27704</v>
      </c>
      <c r="K7205">
        <v>2334</v>
      </c>
      <c r="L7205" t="s">
        <v>23</v>
      </c>
      <c r="M7205" t="s">
        <v>17040</v>
      </c>
      <c r="N7205" t="s">
        <v>2046</v>
      </c>
      <c r="O7205" t="s">
        <v>446</v>
      </c>
      <c r="P7205">
        <v>27704</v>
      </c>
      <c r="Q7205">
        <v>2334</v>
      </c>
      <c r="R7205" t="s">
        <v>23</v>
      </c>
      <c r="S7205" s="1" t="s">
        <v>34218</v>
      </c>
    </row>
    <row r="7206" spans="1:19" x14ac:dyDescent="0.25">
      <c r="A7206">
        <v>100899449</v>
      </c>
      <c r="B7206" t="s">
        <v>11058</v>
      </c>
      <c r="C7206" t="s">
        <v>313</v>
      </c>
      <c r="G7206" t="s">
        <v>17041</v>
      </c>
      <c r="H7206" t="s">
        <v>3815</v>
      </c>
      <c r="I7206" t="s">
        <v>22</v>
      </c>
      <c r="J7206">
        <v>94960</v>
      </c>
      <c r="K7206">
        <v>1809</v>
      </c>
      <c r="L7206" t="s">
        <v>23</v>
      </c>
      <c r="M7206" t="s">
        <v>17041</v>
      </c>
      <c r="N7206" t="s">
        <v>3815</v>
      </c>
      <c r="O7206" t="s">
        <v>22</v>
      </c>
      <c r="P7206">
        <v>94960</v>
      </c>
      <c r="Q7206">
        <v>1809</v>
      </c>
      <c r="R7206" t="s">
        <v>23</v>
      </c>
      <c r="S7206" s="1" t="s">
        <v>34218</v>
      </c>
    </row>
    <row r="7207" spans="1:19" x14ac:dyDescent="0.25">
      <c r="A7207">
        <v>100894887</v>
      </c>
      <c r="B7207" t="s">
        <v>17042</v>
      </c>
      <c r="C7207" t="s">
        <v>4587</v>
      </c>
      <c r="G7207" t="s">
        <v>17043</v>
      </c>
      <c r="H7207" t="s">
        <v>12838</v>
      </c>
      <c r="I7207" t="s">
        <v>178</v>
      </c>
      <c r="J7207">
        <v>44017</v>
      </c>
      <c r="K7207">
        <v>2610</v>
      </c>
      <c r="L7207" t="s">
        <v>23</v>
      </c>
      <c r="M7207" t="s">
        <v>17043</v>
      </c>
      <c r="N7207" t="s">
        <v>12838</v>
      </c>
      <c r="O7207" t="s">
        <v>178</v>
      </c>
      <c r="P7207">
        <v>44017</v>
      </c>
      <c r="Q7207">
        <v>2610</v>
      </c>
      <c r="R7207" t="s">
        <v>23</v>
      </c>
      <c r="S7207" s="1" t="s">
        <v>34218</v>
      </c>
    </row>
    <row r="7208" spans="1:19" x14ac:dyDescent="0.25">
      <c r="A7208">
        <v>100898376</v>
      </c>
      <c r="B7208" t="s">
        <v>17044</v>
      </c>
      <c r="C7208" t="s">
        <v>1327</v>
      </c>
      <c r="G7208" t="s">
        <v>17045</v>
      </c>
      <c r="H7208" t="s">
        <v>17046</v>
      </c>
      <c r="I7208" t="s">
        <v>33</v>
      </c>
      <c r="J7208">
        <v>18064</v>
      </c>
      <c r="K7208">
        <v>8625</v>
      </c>
      <c r="L7208" t="s">
        <v>23</v>
      </c>
      <c r="M7208" t="s">
        <v>17045</v>
      </c>
      <c r="N7208" t="s">
        <v>17046</v>
      </c>
      <c r="O7208" t="s">
        <v>33</v>
      </c>
      <c r="P7208">
        <v>18064</v>
      </c>
      <c r="Q7208">
        <v>8625</v>
      </c>
      <c r="R7208" t="s">
        <v>23</v>
      </c>
      <c r="S7208" s="1" t="s">
        <v>34218</v>
      </c>
    </row>
    <row r="7209" spans="1:19" x14ac:dyDescent="0.25">
      <c r="A7209">
        <v>100898921</v>
      </c>
      <c r="B7209" t="s">
        <v>3749</v>
      </c>
      <c r="C7209" t="s">
        <v>4188</v>
      </c>
      <c r="G7209" t="s">
        <v>17047</v>
      </c>
      <c r="H7209" t="s">
        <v>4062</v>
      </c>
      <c r="I7209" t="s">
        <v>2310</v>
      </c>
      <c r="J7209">
        <v>19968</v>
      </c>
      <c r="K7209">
        <v>1166</v>
      </c>
      <c r="L7209" t="s">
        <v>23</v>
      </c>
      <c r="M7209" t="s">
        <v>17047</v>
      </c>
      <c r="N7209" t="s">
        <v>4062</v>
      </c>
      <c r="O7209" t="s">
        <v>2310</v>
      </c>
      <c r="P7209">
        <v>19968</v>
      </c>
      <c r="Q7209">
        <v>1166</v>
      </c>
      <c r="R7209" t="s">
        <v>23</v>
      </c>
      <c r="S7209" s="1" t="s">
        <v>34218</v>
      </c>
    </row>
    <row r="7210" spans="1:19" x14ac:dyDescent="0.25">
      <c r="A7210">
        <v>100896890</v>
      </c>
      <c r="B7210" t="s">
        <v>17048</v>
      </c>
      <c r="C7210" t="s">
        <v>1323</v>
      </c>
      <c r="G7210" t="s">
        <v>17049</v>
      </c>
      <c r="H7210" t="s">
        <v>9963</v>
      </c>
      <c r="I7210" t="s">
        <v>1000</v>
      </c>
      <c r="J7210">
        <v>59602</v>
      </c>
      <c r="K7210">
        <v>8249</v>
      </c>
      <c r="L7210" t="s">
        <v>23</v>
      </c>
      <c r="M7210" t="s">
        <v>17049</v>
      </c>
      <c r="N7210" t="s">
        <v>9963</v>
      </c>
      <c r="O7210" t="s">
        <v>1000</v>
      </c>
      <c r="P7210">
        <v>59602</v>
      </c>
      <c r="Q7210">
        <v>8249</v>
      </c>
      <c r="R7210" t="s">
        <v>23</v>
      </c>
      <c r="S7210" s="1" t="s">
        <v>34218</v>
      </c>
    </row>
    <row r="7211" spans="1:19" x14ac:dyDescent="0.25">
      <c r="A7211">
        <v>100897969</v>
      </c>
      <c r="B7211" t="s">
        <v>8467</v>
      </c>
      <c r="C7211" t="s">
        <v>1223</v>
      </c>
      <c r="G7211" t="s">
        <v>8888</v>
      </c>
      <c r="H7211" t="s">
        <v>6512</v>
      </c>
      <c r="I7211" t="s">
        <v>255</v>
      </c>
      <c r="J7211">
        <v>24018</v>
      </c>
      <c r="K7211">
        <v>2625</v>
      </c>
      <c r="L7211" t="s">
        <v>23</v>
      </c>
      <c r="M7211" t="s">
        <v>8888</v>
      </c>
      <c r="N7211" t="s">
        <v>6512</v>
      </c>
      <c r="O7211" t="s">
        <v>255</v>
      </c>
      <c r="P7211">
        <v>24018</v>
      </c>
      <c r="Q7211">
        <v>2625</v>
      </c>
      <c r="R7211" t="s">
        <v>23</v>
      </c>
      <c r="S7211" s="1" t="s">
        <v>34218</v>
      </c>
    </row>
    <row r="7212" spans="1:19" x14ac:dyDescent="0.25">
      <c r="A7212">
        <v>100902296</v>
      </c>
      <c r="B7212" t="s">
        <v>17050</v>
      </c>
      <c r="C7212" t="s">
        <v>221</v>
      </c>
      <c r="G7212" t="s">
        <v>17051</v>
      </c>
      <c r="H7212" t="s">
        <v>5190</v>
      </c>
      <c r="I7212" t="s">
        <v>22</v>
      </c>
      <c r="J7212">
        <v>94930</v>
      </c>
      <c r="K7212">
        <v>1502</v>
      </c>
      <c r="L7212" t="s">
        <v>23</v>
      </c>
      <c r="M7212" t="s">
        <v>17051</v>
      </c>
      <c r="N7212" t="s">
        <v>5190</v>
      </c>
      <c r="O7212" t="s">
        <v>22</v>
      </c>
      <c r="P7212">
        <v>94930</v>
      </c>
      <c r="Q7212">
        <v>1502</v>
      </c>
      <c r="R7212" t="s">
        <v>23</v>
      </c>
      <c r="S7212" s="1" t="s">
        <v>34218</v>
      </c>
    </row>
    <row r="7213" spans="1:19" x14ac:dyDescent="0.25">
      <c r="A7213">
        <v>100906106</v>
      </c>
      <c r="B7213" t="s">
        <v>17052</v>
      </c>
      <c r="C7213" t="s">
        <v>1069</v>
      </c>
      <c r="G7213" t="s">
        <v>17053</v>
      </c>
      <c r="H7213" t="s">
        <v>682</v>
      </c>
      <c r="I7213" t="s">
        <v>365</v>
      </c>
      <c r="J7213">
        <v>85018</v>
      </c>
      <c r="K7213">
        <v>5709</v>
      </c>
      <c r="L7213" t="s">
        <v>23</v>
      </c>
      <c r="M7213" t="s">
        <v>17053</v>
      </c>
      <c r="N7213" t="s">
        <v>682</v>
      </c>
      <c r="O7213" t="s">
        <v>365</v>
      </c>
      <c r="P7213">
        <v>85018</v>
      </c>
      <c r="Q7213">
        <v>5709</v>
      </c>
      <c r="R7213" t="s">
        <v>23</v>
      </c>
      <c r="S7213" s="1" t="s">
        <v>34218</v>
      </c>
    </row>
    <row r="7214" spans="1:19" x14ac:dyDescent="0.25">
      <c r="A7214">
        <v>100901895</v>
      </c>
      <c r="B7214" t="s">
        <v>17054</v>
      </c>
      <c r="C7214" t="s">
        <v>247</v>
      </c>
      <c r="G7214" t="s">
        <v>17055</v>
      </c>
      <c r="H7214" t="s">
        <v>1431</v>
      </c>
      <c r="I7214" t="s">
        <v>639</v>
      </c>
      <c r="J7214">
        <v>87507</v>
      </c>
      <c r="K7214">
        <v>2789</v>
      </c>
      <c r="L7214" t="s">
        <v>23</v>
      </c>
      <c r="M7214" t="s">
        <v>17055</v>
      </c>
      <c r="N7214" t="s">
        <v>1431</v>
      </c>
      <c r="O7214" t="s">
        <v>639</v>
      </c>
      <c r="P7214">
        <v>87507</v>
      </c>
      <c r="Q7214">
        <v>2789</v>
      </c>
      <c r="R7214" t="s">
        <v>23</v>
      </c>
      <c r="S7214" s="1" t="s">
        <v>34218</v>
      </c>
    </row>
    <row r="7215" spans="1:19" x14ac:dyDescent="0.25">
      <c r="A7215">
        <v>100902833</v>
      </c>
      <c r="B7215" t="s">
        <v>17056</v>
      </c>
      <c r="C7215" t="s">
        <v>1036</v>
      </c>
      <c r="G7215" t="s">
        <v>17057</v>
      </c>
      <c r="H7215" t="s">
        <v>2910</v>
      </c>
      <c r="I7215" t="s">
        <v>52</v>
      </c>
      <c r="J7215">
        <v>34232</v>
      </c>
      <c r="K7215">
        <v>4203</v>
      </c>
      <c r="L7215" t="s">
        <v>23</v>
      </c>
      <c r="M7215" t="s">
        <v>17057</v>
      </c>
      <c r="N7215" t="s">
        <v>2910</v>
      </c>
      <c r="O7215" t="s">
        <v>52</v>
      </c>
      <c r="P7215">
        <v>34232</v>
      </c>
      <c r="Q7215">
        <v>4203</v>
      </c>
      <c r="R7215" t="s">
        <v>23</v>
      </c>
      <c r="S7215" s="1" t="s">
        <v>34218</v>
      </c>
    </row>
    <row r="7216" spans="1:19" x14ac:dyDescent="0.25">
      <c r="A7216">
        <v>100909880</v>
      </c>
      <c r="B7216" t="s">
        <v>17058</v>
      </c>
      <c r="C7216" t="s">
        <v>3207</v>
      </c>
      <c r="G7216" t="s">
        <v>17059</v>
      </c>
      <c r="H7216" t="s">
        <v>14404</v>
      </c>
      <c r="I7216" t="s">
        <v>52</v>
      </c>
      <c r="J7216">
        <v>32534</v>
      </c>
      <c r="K7216">
        <v>9630</v>
      </c>
      <c r="L7216" t="s">
        <v>23</v>
      </c>
      <c r="M7216" t="s">
        <v>17059</v>
      </c>
      <c r="N7216" t="s">
        <v>14404</v>
      </c>
      <c r="O7216" t="s">
        <v>52</v>
      </c>
      <c r="P7216">
        <v>32534</v>
      </c>
      <c r="Q7216">
        <v>9630</v>
      </c>
      <c r="R7216" t="s">
        <v>23</v>
      </c>
      <c r="S7216" s="1" t="s">
        <v>34218</v>
      </c>
    </row>
    <row r="7217" spans="1:19" x14ac:dyDescent="0.25">
      <c r="A7217">
        <v>100912251</v>
      </c>
      <c r="B7217" t="s">
        <v>17060</v>
      </c>
      <c r="C7217" t="s">
        <v>180</v>
      </c>
      <c r="G7217" t="s">
        <v>17061</v>
      </c>
      <c r="H7217" t="s">
        <v>1531</v>
      </c>
      <c r="I7217" t="s">
        <v>84</v>
      </c>
      <c r="J7217">
        <v>98119</v>
      </c>
      <c r="K7217">
        <v>2809</v>
      </c>
      <c r="L7217" t="s">
        <v>23</v>
      </c>
      <c r="M7217" t="s">
        <v>17061</v>
      </c>
      <c r="N7217" t="s">
        <v>1531</v>
      </c>
      <c r="O7217" t="s">
        <v>84</v>
      </c>
      <c r="P7217">
        <v>98119</v>
      </c>
      <c r="Q7217">
        <v>2809</v>
      </c>
      <c r="R7217" t="s">
        <v>23</v>
      </c>
      <c r="S7217" s="1" t="s">
        <v>34218</v>
      </c>
    </row>
    <row r="7218" spans="1:19" x14ac:dyDescent="0.25">
      <c r="A7218">
        <v>101099931</v>
      </c>
      <c r="B7218" t="s">
        <v>17062</v>
      </c>
      <c r="C7218" t="s">
        <v>1309</v>
      </c>
      <c r="G7218" t="s">
        <v>17063</v>
      </c>
      <c r="H7218" t="s">
        <v>892</v>
      </c>
      <c r="I7218" t="s">
        <v>236</v>
      </c>
      <c r="J7218">
        <v>2169</v>
      </c>
      <c r="K7218">
        <v>3841</v>
      </c>
      <c r="L7218" t="s">
        <v>23</v>
      </c>
      <c r="M7218" t="s">
        <v>17063</v>
      </c>
      <c r="N7218" t="s">
        <v>892</v>
      </c>
      <c r="O7218" t="s">
        <v>236</v>
      </c>
      <c r="P7218">
        <v>2169</v>
      </c>
      <c r="Q7218">
        <v>3841</v>
      </c>
      <c r="R7218" t="s">
        <v>23</v>
      </c>
      <c r="S7218" s="1" t="s">
        <v>34218</v>
      </c>
    </row>
    <row r="7219" spans="1:19" x14ac:dyDescent="0.25">
      <c r="A7219">
        <v>101097550</v>
      </c>
      <c r="B7219" t="s">
        <v>17064</v>
      </c>
      <c r="C7219" t="s">
        <v>3670</v>
      </c>
      <c r="G7219" t="s">
        <v>17065</v>
      </c>
      <c r="H7219" t="s">
        <v>1100</v>
      </c>
      <c r="I7219" t="s">
        <v>84</v>
      </c>
      <c r="J7219">
        <v>98321</v>
      </c>
      <c r="K7219">
        <v>432</v>
      </c>
      <c r="L7219" t="s">
        <v>23</v>
      </c>
      <c r="M7219" t="s">
        <v>17065</v>
      </c>
      <c r="N7219" t="s">
        <v>1100</v>
      </c>
      <c r="O7219" t="s">
        <v>84</v>
      </c>
      <c r="P7219">
        <v>98321</v>
      </c>
      <c r="Q7219">
        <v>432</v>
      </c>
      <c r="R7219" t="s">
        <v>23</v>
      </c>
      <c r="S7219" s="1" t="s">
        <v>34218</v>
      </c>
    </row>
    <row r="7220" spans="1:19" x14ac:dyDescent="0.25">
      <c r="A7220">
        <v>101105138</v>
      </c>
      <c r="B7220" t="s">
        <v>9746</v>
      </c>
      <c r="C7220" t="s">
        <v>350</v>
      </c>
      <c r="G7220" t="s">
        <v>9747</v>
      </c>
      <c r="H7220" t="s">
        <v>2724</v>
      </c>
      <c r="I7220" t="s">
        <v>187</v>
      </c>
      <c r="J7220">
        <v>55113</v>
      </c>
      <c r="K7220">
        <v>2414</v>
      </c>
      <c r="L7220" t="s">
        <v>23</v>
      </c>
      <c r="M7220" t="s">
        <v>9747</v>
      </c>
      <c r="N7220" t="s">
        <v>2724</v>
      </c>
      <c r="O7220" t="s">
        <v>187</v>
      </c>
      <c r="P7220">
        <v>55113</v>
      </c>
      <c r="Q7220">
        <v>2414</v>
      </c>
      <c r="R7220" t="s">
        <v>23</v>
      </c>
      <c r="S7220" s="1" t="s">
        <v>34218</v>
      </c>
    </row>
    <row r="7221" spans="1:19" x14ac:dyDescent="0.25">
      <c r="A7221">
        <v>101106512</v>
      </c>
      <c r="B7221" t="s">
        <v>8564</v>
      </c>
      <c r="C7221" t="s">
        <v>2781</v>
      </c>
      <c r="G7221" t="s">
        <v>17066</v>
      </c>
      <c r="H7221" t="s">
        <v>389</v>
      </c>
      <c r="I7221" t="s">
        <v>100</v>
      </c>
      <c r="J7221">
        <v>53211</v>
      </c>
      <c r="K7221">
        <v>526</v>
      </c>
      <c r="L7221" t="s">
        <v>23</v>
      </c>
      <c r="M7221" t="s">
        <v>17066</v>
      </c>
      <c r="N7221" t="s">
        <v>389</v>
      </c>
      <c r="O7221" t="s">
        <v>100</v>
      </c>
      <c r="P7221">
        <v>53211</v>
      </c>
      <c r="Q7221">
        <v>526</v>
      </c>
      <c r="R7221" t="s">
        <v>23</v>
      </c>
      <c r="S7221" s="1" t="s">
        <v>34218</v>
      </c>
    </row>
    <row r="7222" spans="1:19" x14ac:dyDescent="0.25">
      <c r="A7222">
        <v>101108138</v>
      </c>
      <c r="B7222" t="s">
        <v>17067</v>
      </c>
      <c r="C7222" t="s">
        <v>7844</v>
      </c>
      <c r="G7222" t="s">
        <v>17068</v>
      </c>
      <c r="H7222" t="s">
        <v>4570</v>
      </c>
      <c r="I7222" t="s">
        <v>52</v>
      </c>
      <c r="J7222">
        <v>34285</v>
      </c>
      <c r="K7222">
        <v>3118</v>
      </c>
      <c r="L7222" t="s">
        <v>23</v>
      </c>
      <c r="M7222" t="s">
        <v>17068</v>
      </c>
      <c r="N7222" t="s">
        <v>4570</v>
      </c>
      <c r="O7222" t="s">
        <v>52</v>
      </c>
      <c r="P7222">
        <v>34285</v>
      </c>
      <c r="Q7222">
        <v>3118</v>
      </c>
      <c r="R7222" t="s">
        <v>23</v>
      </c>
      <c r="S7222" s="1" t="s">
        <v>34218</v>
      </c>
    </row>
    <row r="7223" spans="1:19" x14ac:dyDescent="0.25">
      <c r="A7223">
        <v>101085188</v>
      </c>
      <c r="B7223" t="s">
        <v>17069</v>
      </c>
      <c r="C7223" t="s">
        <v>1176</v>
      </c>
      <c r="G7223" t="s">
        <v>17070</v>
      </c>
      <c r="H7223" t="s">
        <v>638</v>
      </c>
      <c r="I7223" t="s">
        <v>639</v>
      </c>
      <c r="J7223">
        <v>87110</v>
      </c>
      <c r="K7223">
        <v>6705</v>
      </c>
      <c r="L7223" t="s">
        <v>23</v>
      </c>
      <c r="M7223" t="s">
        <v>17070</v>
      </c>
      <c r="N7223" t="s">
        <v>638</v>
      </c>
      <c r="O7223" t="s">
        <v>639</v>
      </c>
      <c r="P7223">
        <v>87110</v>
      </c>
      <c r="Q7223">
        <v>6705</v>
      </c>
      <c r="R7223" t="s">
        <v>23</v>
      </c>
      <c r="S7223" s="1" t="s">
        <v>34218</v>
      </c>
    </row>
    <row r="7224" spans="1:19" x14ac:dyDescent="0.25">
      <c r="A7224">
        <v>101088278</v>
      </c>
      <c r="B7224" t="s">
        <v>17071</v>
      </c>
      <c r="C7224" t="s">
        <v>17072</v>
      </c>
      <c r="G7224" t="s">
        <v>17073</v>
      </c>
      <c r="H7224" t="s">
        <v>17074</v>
      </c>
      <c r="I7224" t="s">
        <v>43</v>
      </c>
      <c r="J7224">
        <v>97463</v>
      </c>
      <c r="K7224">
        <v>9515</v>
      </c>
      <c r="L7224" t="s">
        <v>23</v>
      </c>
      <c r="M7224" t="s">
        <v>17073</v>
      </c>
      <c r="N7224" t="s">
        <v>17074</v>
      </c>
      <c r="O7224" t="s">
        <v>43</v>
      </c>
      <c r="P7224">
        <v>97463</v>
      </c>
      <c r="Q7224">
        <v>9515</v>
      </c>
      <c r="R7224" t="s">
        <v>23</v>
      </c>
      <c r="S7224" s="1" t="s">
        <v>34218</v>
      </c>
    </row>
    <row r="7225" spans="1:19" x14ac:dyDescent="0.25">
      <c r="A7225">
        <v>101088308</v>
      </c>
      <c r="B7225" t="s">
        <v>1460</v>
      </c>
      <c r="C7225" t="s">
        <v>17075</v>
      </c>
      <c r="F7225" t="str">
        <f>"5404344558"</f>
        <v>5404344558</v>
      </c>
      <c r="G7225" t="s">
        <v>17076</v>
      </c>
      <c r="H7225" t="s">
        <v>10959</v>
      </c>
      <c r="I7225" t="s">
        <v>255</v>
      </c>
      <c r="J7225">
        <v>22802</v>
      </c>
      <c r="K7225">
        <v>2702</v>
      </c>
      <c r="L7225" t="s">
        <v>23</v>
      </c>
      <c r="M7225" t="s">
        <v>17076</v>
      </c>
      <c r="N7225" t="s">
        <v>10959</v>
      </c>
      <c r="O7225" t="s">
        <v>255</v>
      </c>
      <c r="P7225">
        <v>22802</v>
      </c>
      <c r="Q7225">
        <v>2702</v>
      </c>
      <c r="R7225" t="s">
        <v>23</v>
      </c>
      <c r="S7225" s="1" t="s">
        <v>34218</v>
      </c>
    </row>
    <row r="7226" spans="1:19" x14ac:dyDescent="0.25">
      <c r="A7226">
        <v>101088375</v>
      </c>
      <c r="B7226" t="s">
        <v>17077</v>
      </c>
      <c r="C7226" t="s">
        <v>102</v>
      </c>
      <c r="G7226" t="s">
        <v>17078</v>
      </c>
      <c r="H7226" t="s">
        <v>2293</v>
      </c>
      <c r="I7226" t="s">
        <v>140</v>
      </c>
      <c r="J7226">
        <v>49058</v>
      </c>
      <c r="K7226">
        <v>2521</v>
      </c>
      <c r="L7226" t="s">
        <v>23</v>
      </c>
      <c r="M7226" t="s">
        <v>17078</v>
      </c>
      <c r="N7226" t="s">
        <v>2293</v>
      </c>
      <c r="O7226" t="s">
        <v>140</v>
      </c>
      <c r="P7226">
        <v>49058</v>
      </c>
      <c r="Q7226">
        <v>2521</v>
      </c>
      <c r="R7226" t="s">
        <v>23</v>
      </c>
      <c r="S7226" s="1" t="s">
        <v>34218</v>
      </c>
    </row>
    <row r="7227" spans="1:19" x14ac:dyDescent="0.25">
      <c r="A7227">
        <v>101089497</v>
      </c>
      <c r="B7227" t="s">
        <v>17079</v>
      </c>
      <c r="C7227" t="s">
        <v>17080</v>
      </c>
      <c r="G7227" t="s">
        <v>17081</v>
      </c>
      <c r="H7227" t="s">
        <v>1452</v>
      </c>
      <c r="I7227" t="s">
        <v>43</v>
      </c>
      <c r="J7227">
        <v>97405</v>
      </c>
      <c r="K7227">
        <v>3710</v>
      </c>
      <c r="L7227" t="s">
        <v>23</v>
      </c>
      <c r="M7227" t="s">
        <v>17081</v>
      </c>
      <c r="N7227" t="s">
        <v>1452</v>
      </c>
      <c r="O7227" t="s">
        <v>43</v>
      </c>
      <c r="P7227">
        <v>97405</v>
      </c>
      <c r="Q7227">
        <v>3710</v>
      </c>
      <c r="R7227" t="s">
        <v>23</v>
      </c>
      <c r="S7227" s="1" t="s">
        <v>34218</v>
      </c>
    </row>
    <row r="7228" spans="1:19" x14ac:dyDescent="0.25">
      <c r="A7228">
        <v>101088704</v>
      </c>
      <c r="B7228" t="s">
        <v>17082</v>
      </c>
      <c r="C7228" t="s">
        <v>123</v>
      </c>
      <c r="G7228" t="s">
        <v>17083</v>
      </c>
      <c r="H7228" t="s">
        <v>6257</v>
      </c>
      <c r="I7228" t="s">
        <v>446</v>
      </c>
      <c r="J7228">
        <v>28164</v>
      </c>
      <c r="K7228">
        <v>1117</v>
      </c>
      <c r="L7228" t="s">
        <v>23</v>
      </c>
      <c r="M7228" t="s">
        <v>17083</v>
      </c>
      <c r="N7228" t="s">
        <v>6257</v>
      </c>
      <c r="O7228" t="s">
        <v>446</v>
      </c>
      <c r="P7228">
        <v>28164</v>
      </c>
      <c r="Q7228">
        <v>1117</v>
      </c>
      <c r="R7228" t="s">
        <v>23</v>
      </c>
      <c r="S7228" s="1" t="s">
        <v>34218</v>
      </c>
    </row>
    <row r="7229" spans="1:19" x14ac:dyDescent="0.25">
      <c r="A7229">
        <v>101309580</v>
      </c>
      <c r="B7229" t="s">
        <v>3828</v>
      </c>
      <c r="C7229" t="s">
        <v>123</v>
      </c>
      <c r="F7229" t="str">
        <f>"6198957667"</f>
        <v>6198957667</v>
      </c>
      <c r="G7229" t="s">
        <v>17084</v>
      </c>
      <c r="H7229" t="s">
        <v>198</v>
      </c>
      <c r="I7229" t="s">
        <v>22</v>
      </c>
      <c r="J7229">
        <v>92101</v>
      </c>
      <c r="K7229">
        <v>3039</v>
      </c>
      <c r="L7229" t="s">
        <v>23</v>
      </c>
      <c r="M7229" t="s">
        <v>17084</v>
      </c>
      <c r="N7229" t="s">
        <v>198</v>
      </c>
      <c r="O7229" t="s">
        <v>22</v>
      </c>
      <c r="P7229">
        <v>92101</v>
      </c>
      <c r="Q7229">
        <v>3039</v>
      </c>
      <c r="R7229" t="s">
        <v>23</v>
      </c>
      <c r="S7229" s="1" t="s">
        <v>34218</v>
      </c>
    </row>
    <row r="7230" spans="1:19" x14ac:dyDescent="0.25">
      <c r="A7230">
        <v>101304396</v>
      </c>
      <c r="B7230" t="s">
        <v>17085</v>
      </c>
      <c r="C7230" t="s">
        <v>12965</v>
      </c>
      <c r="G7230" t="s">
        <v>17086</v>
      </c>
      <c r="H7230" t="s">
        <v>125</v>
      </c>
      <c r="I7230" t="s">
        <v>126</v>
      </c>
      <c r="J7230">
        <v>63124</v>
      </c>
      <c r="K7230">
        <v>1154</v>
      </c>
      <c r="L7230" t="s">
        <v>23</v>
      </c>
      <c r="M7230" t="s">
        <v>17086</v>
      </c>
      <c r="N7230" t="s">
        <v>125</v>
      </c>
      <c r="O7230" t="s">
        <v>126</v>
      </c>
      <c r="P7230">
        <v>63124</v>
      </c>
      <c r="Q7230">
        <v>1154</v>
      </c>
      <c r="R7230" t="s">
        <v>23</v>
      </c>
      <c r="S7230" s="1" t="s">
        <v>34218</v>
      </c>
    </row>
    <row r="7231" spans="1:19" x14ac:dyDescent="0.25">
      <c r="A7231">
        <v>101313614</v>
      </c>
      <c r="B7231" t="s">
        <v>17087</v>
      </c>
      <c r="C7231" t="s">
        <v>329</v>
      </c>
      <c r="G7231" t="s">
        <v>17088</v>
      </c>
      <c r="H7231" t="s">
        <v>2091</v>
      </c>
      <c r="I7231" t="s">
        <v>117</v>
      </c>
      <c r="J7231">
        <v>13208</v>
      </c>
      <c r="K7231">
        <v>1912</v>
      </c>
      <c r="L7231" t="s">
        <v>23</v>
      </c>
      <c r="M7231" t="s">
        <v>17088</v>
      </c>
      <c r="N7231" t="s">
        <v>2091</v>
      </c>
      <c r="O7231" t="s">
        <v>117</v>
      </c>
      <c r="P7231">
        <v>13208</v>
      </c>
      <c r="Q7231">
        <v>1912</v>
      </c>
      <c r="R7231" t="s">
        <v>23</v>
      </c>
      <c r="S7231" s="1" t="s">
        <v>34218</v>
      </c>
    </row>
    <row r="7232" spans="1:19" x14ac:dyDescent="0.25">
      <c r="A7232">
        <v>101316439</v>
      </c>
      <c r="B7232" t="s">
        <v>17089</v>
      </c>
      <c r="C7232" t="s">
        <v>3618</v>
      </c>
      <c r="F7232" t="str">
        <f>"2485461711"</f>
        <v>2485461711</v>
      </c>
      <c r="G7232" t="s">
        <v>17090</v>
      </c>
      <c r="H7232" t="s">
        <v>16438</v>
      </c>
      <c r="I7232" t="s">
        <v>140</v>
      </c>
      <c r="J7232">
        <v>48070</v>
      </c>
      <c r="K7232">
        <v>1667</v>
      </c>
      <c r="L7232" t="s">
        <v>23</v>
      </c>
      <c r="M7232" t="s">
        <v>17090</v>
      </c>
      <c r="N7232" t="s">
        <v>16438</v>
      </c>
      <c r="O7232" t="s">
        <v>140</v>
      </c>
      <c r="P7232">
        <v>48070</v>
      </c>
      <c r="Q7232">
        <v>1667</v>
      </c>
      <c r="R7232" t="s">
        <v>23</v>
      </c>
      <c r="S7232" s="1" t="s">
        <v>34218</v>
      </c>
    </row>
    <row r="7233" spans="1:19" x14ac:dyDescent="0.25">
      <c r="A7233">
        <v>101308611</v>
      </c>
      <c r="B7233" t="s">
        <v>17091</v>
      </c>
      <c r="C7233" t="s">
        <v>956</v>
      </c>
      <c r="F7233" t="str">
        <f>"5105437053"</f>
        <v>5105437053</v>
      </c>
      <c r="G7233" t="s">
        <v>17092</v>
      </c>
      <c r="H7233" t="s">
        <v>13039</v>
      </c>
      <c r="I7233" t="s">
        <v>22</v>
      </c>
      <c r="J7233">
        <v>96161</v>
      </c>
      <c r="K7233">
        <v>1577</v>
      </c>
      <c r="L7233" t="s">
        <v>23</v>
      </c>
      <c r="M7233" t="s">
        <v>17092</v>
      </c>
      <c r="N7233" t="s">
        <v>13039</v>
      </c>
      <c r="O7233" t="s">
        <v>22</v>
      </c>
      <c r="P7233">
        <v>96161</v>
      </c>
      <c r="Q7233">
        <v>1577</v>
      </c>
      <c r="R7233" t="s">
        <v>23</v>
      </c>
      <c r="S7233" s="1" t="s">
        <v>34218</v>
      </c>
    </row>
    <row r="7234" spans="1:19" x14ac:dyDescent="0.25">
      <c r="A7234">
        <v>101315255</v>
      </c>
      <c r="B7234" t="s">
        <v>17093</v>
      </c>
      <c r="C7234" t="s">
        <v>17094</v>
      </c>
      <c r="G7234" t="s">
        <v>17095</v>
      </c>
      <c r="H7234" t="s">
        <v>12065</v>
      </c>
      <c r="I7234" t="s">
        <v>135</v>
      </c>
      <c r="J7234">
        <v>61802</v>
      </c>
      <c r="K7234">
        <v>7606</v>
      </c>
      <c r="L7234" t="s">
        <v>23</v>
      </c>
      <c r="M7234" t="s">
        <v>17095</v>
      </c>
      <c r="N7234" t="s">
        <v>12065</v>
      </c>
      <c r="O7234" t="s">
        <v>135</v>
      </c>
      <c r="P7234">
        <v>61802</v>
      </c>
      <c r="Q7234">
        <v>7606</v>
      </c>
      <c r="R7234" t="s">
        <v>23</v>
      </c>
      <c r="S7234" s="1" t="s">
        <v>34218</v>
      </c>
    </row>
    <row r="7235" spans="1:19" x14ac:dyDescent="0.25">
      <c r="A7235">
        <v>101311431</v>
      </c>
      <c r="B7235" t="s">
        <v>11178</v>
      </c>
      <c r="C7235" t="s">
        <v>575</v>
      </c>
      <c r="G7235" t="s">
        <v>17096</v>
      </c>
      <c r="H7235" t="s">
        <v>488</v>
      </c>
      <c r="I7235" t="s">
        <v>100</v>
      </c>
      <c r="J7235">
        <v>53005</v>
      </c>
      <c r="K7235">
        <v>1114</v>
      </c>
      <c r="L7235" t="s">
        <v>23</v>
      </c>
      <c r="M7235" t="s">
        <v>17096</v>
      </c>
      <c r="N7235" t="s">
        <v>488</v>
      </c>
      <c r="O7235" t="s">
        <v>100</v>
      </c>
      <c r="P7235">
        <v>53005</v>
      </c>
      <c r="Q7235">
        <v>1114</v>
      </c>
      <c r="R7235" t="s">
        <v>23</v>
      </c>
      <c r="S7235" s="1" t="s">
        <v>34218</v>
      </c>
    </row>
    <row r="7236" spans="1:19" x14ac:dyDescent="0.25">
      <c r="A7236">
        <v>101307069</v>
      </c>
      <c r="B7236" t="s">
        <v>17097</v>
      </c>
      <c r="C7236" t="s">
        <v>810</v>
      </c>
      <c r="G7236" t="s">
        <v>17098</v>
      </c>
      <c r="H7236" t="s">
        <v>17099</v>
      </c>
      <c r="I7236" t="s">
        <v>135</v>
      </c>
      <c r="J7236">
        <v>60543</v>
      </c>
      <c r="L7236" t="s">
        <v>23</v>
      </c>
      <c r="M7236" t="s">
        <v>17098</v>
      </c>
      <c r="N7236" t="s">
        <v>17099</v>
      </c>
      <c r="O7236" t="s">
        <v>135</v>
      </c>
      <c r="P7236">
        <v>60543</v>
      </c>
      <c r="R7236" t="s">
        <v>23</v>
      </c>
      <c r="S7236" s="1" t="s">
        <v>34218</v>
      </c>
    </row>
    <row r="7237" spans="1:19" x14ac:dyDescent="0.25">
      <c r="A7237">
        <v>101315324</v>
      </c>
      <c r="B7237" t="s">
        <v>93</v>
      </c>
      <c r="C7237" t="s">
        <v>1426</v>
      </c>
      <c r="G7237" t="s">
        <v>17100</v>
      </c>
      <c r="H7237" t="s">
        <v>4199</v>
      </c>
      <c r="I7237" t="s">
        <v>914</v>
      </c>
      <c r="J7237">
        <v>37083</v>
      </c>
      <c r="K7237">
        <v>658</v>
      </c>
      <c r="L7237" t="s">
        <v>23</v>
      </c>
      <c r="M7237" t="s">
        <v>17100</v>
      </c>
      <c r="N7237" t="s">
        <v>4199</v>
      </c>
      <c r="O7237" t="s">
        <v>914</v>
      </c>
      <c r="P7237">
        <v>37083</v>
      </c>
      <c r="Q7237">
        <v>658</v>
      </c>
      <c r="R7237" t="s">
        <v>23</v>
      </c>
      <c r="S7237" s="1" t="s">
        <v>34218</v>
      </c>
    </row>
    <row r="7238" spans="1:19" x14ac:dyDescent="0.25">
      <c r="A7238">
        <v>101316739</v>
      </c>
      <c r="B7238" t="s">
        <v>17101</v>
      </c>
      <c r="C7238" t="s">
        <v>309</v>
      </c>
      <c r="G7238" t="s">
        <v>17102</v>
      </c>
      <c r="H7238" t="s">
        <v>5446</v>
      </c>
      <c r="I7238" t="s">
        <v>161</v>
      </c>
      <c r="J7238">
        <v>6525</v>
      </c>
      <c r="K7238">
        <v>2026</v>
      </c>
      <c r="L7238" t="s">
        <v>23</v>
      </c>
      <c r="M7238" t="s">
        <v>17102</v>
      </c>
      <c r="N7238" t="s">
        <v>5446</v>
      </c>
      <c r="O7238" t="s">
        <v>161</v>
      </c>
      <c r="P7238">
        <v>6525</v>
      </c>
      <c r="Q7238">
        <v>2026</v>
      </c>
      <c r="R7238" t="s">
        <v>23</v>
      </c>
      <c r="S7238" s="1" t="s">
        <v>34218</v>
      </c>
    </row>
    <row r="7239" spans="1:19" x14ac:dyDescent="0.25">
      <c r="A7239">
        <v>101311617</v>
      </c>
      <c r="B7239" t="s">
        <v>17103</v>
      </c>
      <c r="C7239" t="s">
        <v>1153</v>
      </c>
      <c r="F7239" t="str">
        <f>"2173442114"</f>
        <v>2173442114</v>
      </c>
      <c r="G7239" t="s">
        <v>17104</v>
      </c>
      <c r="H7239" t="s">
        <v>12065</v>
      </c>
      <c r="I7239" t="s">
        <v>135</v>
      </c>
      <c r="J7239">
        <v>61801</v>
      </c>
      <c r="K7239">
        <v>6704</v>
      </c>
      <c r="L7239" t="s">
        <v>23</v>
      </c>
      <c r="M7239" t="s">
        <v>17104</v>
      </c>
      <c r="N7239" t="s">
        <v>12065</v>
      </c>
      <c r="O7239" t="s">
        <v>135</v>
      </c>
      <c r="P7239">
        <v>61801</v>
      </c>
      <c r="Q7239">
        <v>6704</v>
      </c>
      <c r="R7239" t="s">
        <v>23</v>
      </c>
      <c r="S7239" s="1" t="s">
        <v>34218</v>
      </c>
    </row>
    <row r="7240" spans="1:19" x14ac:dyDescent="0.25">
      <c r="A7240">
        <v>101311615</v>
      </c>
      <c r="B7240" t="s">
        <v>17105</v>
      </c>
      <c r="C7240" t="s">
        <v>17106</v>
      </c>
      <c r="G7240" t="s">
        <v>17107</v>
      </c>
      <c r="H7240" t="s">
        <v>11379</v>
      </c>
      <c r="I7240" t="s">
        <v>2566</v>
      </c>
      <c r="J7240">
        <v>99516</v>
      </c>
      <c r="K7240">
        <v>1612</v>
      </c>
      <c r="L7240" t="s">
        <v>23</v>
      </c>
      <c r="M7240" t="s">
        <v>17107</v>
      </c>
      <c r="N7240" t="s">
        <v>11379</v>
      </c>
      <c r="O7240" t="s">
        <v>2566</v>
      </c>
      <c r="P7240">
        <v>99516</v>
      </c>
      <c r="Q7240">
        <v>1612</v>
      </c>
      <c r="R7240" t="s">
        <v>23</v>
      </c>
      <c r="S7240" s="1" t="s">
        <v>34218</v>
      </c>
    </row>
    <row r="7241" spans="1:19" x14ac:dyDescent="0.25">
      <c r="A7241">
        <v>101314197</v>
      </c>
      <c r="B7241" t="s">
        <v>17108</v>
      </c>
      <c r="C7241" t="s">
        <v>286</v>
      </c>
      <c r="G7241" t="s">
        <v>17109</v>
      </c>
      <c r="H7241" t="s">
        <v>17110</v>
      </c>
      <c r="I7241" t="s">
        <v>178</v>
      </c>
      <c r="J7241">
        <v>44614</v>
      </c>
      <c r="K7241">
        <v>9447</v>
      </c>
      <c r="L7241" t="s">
        <v>23</v>
      </c>
      <c r="M7241" t="s">
        <v>17109</v>
      </c>
      <c r="N7241" t="s">
        <v>17110</v>
      </c>
      <c r="O7241" t="s">
        <v>178</v>
      </c>
      <c r="P7241">
        <v>44614</v>
      </c>
      <c r="Q7241">
        <v>9447</v>
      </c>
      <c r="R7241" t="s">
        <v>23</v>
      </c>
      <c r="S7241" s="1" t="s">
        <v>34218</v>
      </c>
    </row>
    <row r="7242" spans="1:19" x14ac:dyDescent="0.25">
      <c r="A7242">
        <v>101319940</v>
      </c>
      <c r="B7242" t="s">
        <v>13248</v>
      </c>
      <c r="C7242" t="s">
        <v>119</v>
      </c>
      <c r="G7242" t="s">
        <v>17111</v>
      </c>
      <c r="H7242" t="s">
        <v>445</v>
      </c>
      <c r="I7242" t="s">
        <v>446</v>
      </c>
      <c r="J7242">
        <v>28806</v>
      </c>
      <c r="K7242">
        <v>1531</v>
      </c>
      <c r="L7242" t="s">
        <v>23</v>
      </c>
      <c r="M7242" t="s">
        <v>17111</v>
      </c>
      <c r="N7242" t="s">
        <v>445</v>
      </c>
      <c r="O7242" t="s">
        <v>446</v>
      </c>
      <c r="P7242">
        <v>28806</v>
      </c>
      <c r="Q7242">
        <v>1531</v>
      </c>
      <c r="R7242" t="s">
        <v>23</v>
      </c>
      <c r="S7242" s="1" t="s">
        <v>34218</v>
      </c>
    </row>
    <row r="7243" spans="1:19" x14ac:dyDescent="0.25">
      <c r="A7243">
        <v>101318792</v>
      </c>
      <c r="B7243" t="s">
        <v>17112</v>
      </c>
      <c r="C7243" t="s">
        <v>252</v>
      </c>
      <c r="G7243" t="s">
        <v>17113</v>
      </c>
      <c r="H7243" t="s">
        <v>13035</v>
      </c>
      <c r="I7243" t="s">
        <v>140</v>
      </c>
      <c r="J7243">
        <v>48076</v>
      </c>
      <c r="K7243">
        <v>4206</v>
      </c>
      <c r="L7243" t="s">
        <v>23</v>
      </c>
      <c r="M7243" t="s">
        <v>17113</v>
      </c>
      <c r="N7243" t="s">
        <v>13035</v>
      </c>
      <c r="O7243" t="s">
        <v>140</v>
      </c>
      <c r="P7243">
        <v>48076</v>
      </c>
      <c r="Q7243">
        <v>4206</v>
      </c>
      <c r="R7243" t="s">
        <v>23</v>
      </c>
      <c r="S7243" s="1" t="s">
        <v>34218</v>
      </c>
    </row>
    <row r="7244" spans="1:19" x14ac:dyDescent="0.25">
      <c r="A7244">
        <v>101321406</v>
      </c>
      <c r="B7244" t="s">
        <v>17114</v>
      </c>
      <c r="C7244" t="s">
        <v>17115</v>
      </c>
      <c r="G7244" t="s">
        <v>17116</v>
      </c>
      <c r="H7244" t="s">
        <v>4646</v>
      </c>
      <c r="I7244" t="s">
        <v>250</v>
      </c>
      <c r="J7244">
        <v>8873</v>
      </c>
      <c r="K7244">
        <v>7125</v>
      </c>
      <c r="L7244" t="s">
        <v>23</v>
      </c>
      <c r="M7244" t="s">
        <v>17116</v>
      </c>
      <c r="N7244" t="s">
        <v>4646</v>
      </c>
      <c r="O7244" t="s">
        <v>250</v>
      </c>
      <c r="P7244">
        <v>8873</v>
      </c>
      <c r="Q7244">
        <v>7125</v>
      </c>
      <c r="R7244" t="s">
        <v>23</v>
      </c>
      <c r="S7244" s="1" t="s">
        <v>34218</v>
      </c>
    </row>
    <row r="7245" spans="1:19" x14ac:dyDescent="0.25">
      <c r="A7245">
        <v>101312708</v>
      </c>
      <c r="B7245" t="s">
        <v>17117</v>
      </c>
      <c r="C7245" t="s">
        <v>208</v>
      </c>
      <c r="G7245" t="s">
        <v>17118</v>
      </c>
      <c r="H7245" t="s">
        <v>5949</v>
      </c>
      <c r="I7245" t="s">
        <v>446</v>
      </c>
      <c r="J7245">
        <v>28562</v>
      </c>
      <c r="K7245">
        <v>5113</v>
      </c>
      <c r="L7245" t="s">
        <v>23</v>
      </c>
      <c r="M7245" t="s">
        <v>17118</v>
      </c>
      <c r="N7245" t="s">
        <v>5949</v>
      </c>
      <c r="O7245" t="s">
        <v>446</v>
      </c>
      <c r="P7245">
        <v>28562</v>
      </c>
      <c r="Q7245">
        <v>5113</v>
      </c>
      <c r="R7245" t="s">
        <v>23</v>
      </c>
      <c r="S7245" s="1" t="s">
        <v>34218</v>
      </c>
    </row>
    <row r="7246" spans="1:19" x14ac:dyDescent="0.25">
      <c r="A7246">
        <v>101323844</v>
      </c>
      <c r="B7246" t="s">
        <v>4130</v>
      </c>
      <c r="C7246" t="s">
        <v>575</v>
      </c>
      <c r="G7246" t="s">
        <v>17119</v>
      </c>
      <c r="H7246" t="s">
        <v>299</v>
      </c>
      <c r="I7246" t="s">
        <v>22</v>
      </c>
      <c r="J7246">
        <v>90026</v>
      </c>
      <c r="K7246">
        <v>1832</v>
      </c>
      <c r="L7246" t="s">
        <v>23</v>
      </c>
      <c r="M7246" t="s">
        <v>17119</v>
      </c>
      <c r="N7246" t="s">
        <v>299</v>
      </c>
      <c r="O7246" t="s">
        <v>22</v>
      </c>
      <c r="P7246">
        <v>90026</v>
      </c>
      <c r="Q7246">
        <v>1832</v>
      </c>
      <c r="R7246" t="s">
        <v>23</v>
      </c>
      <c r="S7246" s="1" t="s">
        <v>34218</v>
      </c>
    </row>
    <row r="7247" spans="1:19" x14ac:dyDescent="0.25">
      <c r="A7247">
        <v>101313385</v>
      </c>
      <c r="B7247" t="s">
        <v>17120</v>
      </c>
      <c r="C7247" t="s">
        <v>3909</v>
      </c>
      <c r="G7247" t="s">
        <v>17121</v>
      </c>
      <c r="H7247" t="s">
        <v>17122</v>
      </c>
      <c r="I7247" t="s">
        <v>33</v>
      </c>
      <c r="J7247">
        <v>18929</v>
      </c>
      <c r="K7247">
        <v>1348</v>
      </c>
      <c r="L7247" t="s">
        <v>23</v>
      </c>
      <c r="M7247" t="s">
        <v>17121</v>
      </c>
      <c r="N7247" t="s">
        <v>17122</v>
      </c>
      <c r="O7247" t="s">
        <v>33</v>
      </c>
      <c r="P7247">
        <v>18929</v>
      </c>
      <c r="Q7247">
        <v>1348</v>
      </c>
      <c r="R7247" t="s">
        <v>23</v>
      </c>
      <c r="S7247" s="1" t="s">
        <v>34218</v>
      </c>
    </row>
    <row r="7248" spans="1:19" x14ac:dyDescent="0.25">
      <c r="A7248">
        <v>101324642</v>
      </c>
      <c r="B7248" t="s">
        <v>17123</v>
      </c>
      <c r="C7248" t="s">
        <v>4115</v>
      </c>
      <c r="G7248" t="s">
        <v>17124</v>
      </c>
      <c r="H7248" t="s">
        <v>5620</v>
      </c>
      <c r="I7248" t="s">
        <v>236</v>
      </c>
      <c r="J7248">
        <v>1950</v>
      </c>
      <c r="K7248">
        <v>3124</v>
      </c>
      <c r="L7248" t="s">
        <v>23</v>
      </c>
      <c r="M7248" t="s">
        <v>17124</v>
      </c>
      <c r="N7248" t="s">
        <v>5620</v>
      </c>
      <c r="O7248" t="s">
        <v>236</v>
      </c>
      <c r="P7248">
        <v>1950</v>
      </c>
      <c r="Q7248">
        <v>3124</v>
      </c>
      <c r="R7248" t="s">
        <v>23</v>
      </c>
      <c r="S7248" s="1" t="s">
        <v>34218</v>
      </c>
    </row>
    <row r="7249" spans="1:19" x14ac:dyDescent="0.25">
      <c r="A7249">
        <v>101330528</v>
      </c>
      <c r="B7249" t="s">
        <v>17125</v>
      </c>
      <c r="C7249" t="s">
        <v>119</v>
      </c>
      <c r="F7249" t="str">
        <f>"8459471356"</f>
        <v>8459471356</v>
      </c>
      <c r="G7249" t="s">
        <v>17126</v>
      </c>
      <c r="H7249" t="s">
        <v>17127</v>
      </c>
      <c r="I7249" t="s">
        <v>117</v>
      </c>
      <c r="J7249">
        <v>10984</v>
      </c>
      <c r="K7249">
        <v>1304</v>
      </c>
      <c r="L7249" t="s">
        <v>23</v>
      </c>
      <c r="M7249" t="s">
        <v>17126</v>
      </c>
      <c r="N7249" t="s">
        <v>17127</v>
      </c>
      <c r="O7249" t="s">
        <v>117</v>
      </c>
      <c r="P7249">
        <v>10984</v>
      </c>
      <c r="Q7249">
        <v>1304</v>
      </c>
      <c r="R7249" t="s">
        <v>23</v>
      </c>
      <c r="S7249" s="1" t="s">
        <v>34218</v>
      </c>
    </row>
    <row r="7250" spans="1:19" x14ac:dyDescent="0.25">
      <c r="A7250">
        <v>101337218</v>
      </c>
      <c r="B7250" t="s">
        <v>4388</v>
      </c>
      <c r="C7250" t="s">
        <v>305</v>
      </c>
      <c r="G7250" t="s">
        <v>17128</v>
      </c>
      <c r="H7250" t="s">
        <v>7622</v>
      </c>
      <c r="I7250" t="s">
        <v>22</v>
      </c>
      <c r="J7250">
        <v>95519</v>
      </c>
      <c r="K7250">
        <v>3373</v>
      </c>
      <c r="L7250" t="s">
        <v>23</v>
      </c>
      <c r="M7250" t="s">
        <v>17128</v>
      </c>
      <c r="N7250" t="s">
        <v>7622</v>
      </c>
      <c r="O7250" t="s">
        <v>22</v>
      </c>
      <c r="P7250">
        <v>95519</v>
      </c>
      <c r="Q7250">
        <v>3373</v>
      </c>
      <c r="R7250" t="s">
        <v>23</v>
      </c>
      <c r="S7250" s="1" t="s">
        <v>34218</v>
      </c>
    </row>
    <row r="7251" spans="1:19" x14ac:dyDescent="0.25">
      <c r="A7251">
        <v>101104758</v>
      </c>
      <c r="B7251" t="s">
        <v>17129</v>
      </c>
      <c r="C7251" t="s">
        <v>2033</v>
      </c>
      <c r="G7251" t="s">
        <v>17130</v>
      </c>
      <c r="H7251" t="s">
        <v>227</v>
      </c>
      <c r="I7251" t="s">
        <v>43</v>
      </c>
      <c r="J7251">
        <v>97221</v>
      </c>
      <c r="K7251">
        <v>1645</v>
      </c>
      <c r="L7251" t="s">
        <v>23</v>
      </c>
      <c r="M7251" t="s">
        <v>17130</v>
      </c>
      <c r="N7251" t="s">
        <v>227</v>
      </c>
      <c r="O7251" t="s">
        <v>43</v>
      </c>
      <c r="P7251">
        <v>97221</v>
      </c>
      <c r="Q7251">
        <v>1645</v>
      </c>
      <c r="R7251" t="s">
        <v>23</v>
      </c>
      <c r="S7251" s="1" t="s">
        <v>34218</v>
      </c>
    </row>
    <row r="7252" spans="1:19" x14ac:dyDescent="0.25">
      <c r="A7252">
        <v>101105958</v>
      </c>
      <c r="B7252" t="s">
        <v>17131</v>
      </c>
      <c r="C7252" t="s">
        <v>17132</v>
      </c>
      <c r="G7252" t="s">
        <v>17133</v>
      </c>
      <c r="H7252" t="s">
        <v>88</v>
      </c>
      <c r="I7252" t="s">
        <v>22</v>
      </c>
      <c r="J7252">
        <v>94618</v>
      </c>
      <c r="K7252">
        <v>1370</v>
      </c>
      <c r="L7252" t="s">
        <v>23</v>
      </c>
      <c r="M7252" t="s">
        <v>17133</v>
      </c>
      <c r="N7252" t="s">
        <v>88</v>
      </c>
      <c r="O7252" t="s">
        <v>22</v>
      </c>
      <c r="P7252">
        <v>94618</v>
      </c>
      <c r="Q7252">
        <v>1370</v>
      </c>
      <c r="R7252" t="s">
        <v>23</v>
      </c>
      <c r="S7252" s="1" t="s">
        <v>34218</v>
      </c>
    </row>
    <row r="7253" spans="1:19" x14ac:dyDescent="0.25">
      <c r="A7253">
        <v>101107756</v>
      </c>
      <c r="B7253" t="s">
        <v>17134</v>
      </c>
      <c r="C7253" t="s">
        <v>17135</v>
      </c>
      <c r="F7253" t="str">
        <f>"5104281635"</f>
        <v>5104281635</v>
      </c>
      <c r="G7253" t="s">
        <v>17136</v>
      </c>
      <c r="H7253" t="s">
        <v>88</v>
      </c>
      <c r="I7253" t="s">
        <v>22</v>
      </c>
      <c r="J7253">
        <v>94609</v>
      </c>
      <c r="K7253">
        <v>1008</v>
      </c>
      <c r="L7253" t="s">
        <v>23</v>
      </c>
      <c r="M7253" t="s">
        <v>17136</v>
      </c>
      <c r="N7253" t="s">
        <v>88</v>
      </c>
      <c r="O7253" t="s">
        <v>22</v>
      </c>
      <c r="P7253">
        <v>94609</v>
      </c>
      <c r="Q7253">
        <v>1008</v>
      </c>
      <c r="R7253" t="s">
        <v>23</v>
      </c>
      <c r="S7253" s="1" t="s">
        <v>34218</v>
      </c>
    </row>
    <row r="7254" spans="1:19" x14ac:dyDescent="0.25">
      <c r="A7254">
        <v>101111599</v>
      </c>
      <c r="B7254" t="s">
        <v>6058</v>
      </c>
      <c r="C7254" t="s">
        <v>690</v>
      </c>
      <c r="G7254" t="s">
        <v>17137</v>
      </c>
      <c r="H7254" t="s">
        <v>5998</v>
      </c>
      <c r="I7254" t="s">
        <v>914</v>
      </c>
      <c r="J7254">
        <v>38122</v>
      </c>
      <c r="K7254">
        <v>5204</v>
      </c>
      <c r="L7254" t="s">
        <v>23</v>
      </c>
      <c r="M7254" t="s">
        <v>17137</v>
      </c>
      <c r="N7254" t="s">
        <v>5998</v>
      </c>
      <c r="O7254" t="s">
        <v>914</v>
      </c>
      <c r="P7254">
        <v>38122</v>
      </c>
      <c r="Q7254">
        <v>5204</v>
      </c>
      <c r="R7254" t="s">
        <v>23</v>
      </c>
      <c r="S7254" s="1" t="s">
        <v>34218</v>
      </c>
    </row>
    <row r="7255" spans="1:19" x14ac:dyDescent="0.25">
      <c r="A7255">
        <v>101111691</v>
      </c>
      <c r="B7255" t="s">
        <v>17138</v>
      </c>
      <c r="C7255" t="s">
        <v>773</v>
      </c>
      <c r="G7255" t="s">
        <v>17139</v>
      </c>
      <c r="H7255" t="s">
        <v>3466</v>
      </c>
      <c r="I7255" t="s">
        <v>22</v>
      </c>
      <c r="J7255">
        <v>94806</v>
      </c>
      <c r="K7255">
        <v>5899</v>
      </c>
      <c r="L7255" t="s">
        <v>23</v>
      </c>
      <c r="M7255" t="s">
        <v>17139</v>
      </c>
      <c r="N7255" t="s">
        <v>3466</v>
      </c>
      <c r="O7255" t="s">
        <v>22</v>
      </c>
      <c r="P7255">
        <v>94806</v>
      </c>
      <c r="Q7255">
        <v>5899</v>
      </c>
      <c r="R7255" t="s">
        <v>23</v>
      </c>
      <c r="S7255" s="1" t="s">
        <v>34218</v>
      </c>
    </row>
    <row r="7256" spans="1:19" x14ac:dyDescent="0.25">
      <c r="A7256">
        <v>101111724</v>
      </c>
      <c r="B7256" t="s">
        <v>17140</v>
      </c>
      <c r="C7256" t="s">
        <v>617</v>
      </c>
      <c r="G7256" t="s">
        <v>17141</v>
      </c>
      <c r="H7256" t="s">
        <v>17142</v>
      </c>
      <c r="I7256" t="s">
        <v>161</v>
      </c>
      <c r="J7256">
        <v>6357</v>
      </c>
      <c r="K7256">
        <v>1907</v>
      </c>
      <c r="L7256" t="s">
        <v>23</v>
      </c>
      <c r="M7256" t="s">
        <v>17141</v>
      </c>
      <c r="N7256" t="s">
        <v>17142</v>
      </c>
      <c r="O7256" t="s">
        <v>161</v>
      </c>
      <c r="P7256">
        <v>6357</v>
      </c>
      <c r="Q7256">
        <v>1907</v>
      </c>
      <c r="R7256" t="s">
        <v>23</v>
      </c>
      <c r="S7256" s="1" t="s">
        <v>34218</v>
      </c>
    </row>
    <row r="7257" spans="1:19" x14ac:dyDescent="0.25">
      <c r="A7257">
        <v>101116498</v>
      </c>
      <c r="B7257" t="s">
        <v>17143</v>
      </c>
      <c r="C7257" t="s">
        <v>1036</v>
      </c>
      <c r="G7257" t="s">
        <v>17144</v>
      </c>
      <c r="H7257" t="s">
        <v>4326</v>
      </c>
      <c r="I7257" t="s">
        <v>178</v>
      </c>
      <c r="J7257">
        <v>44107</v>
      </c>
      <c r="K7257">
        <v>2402</v>
      </c>
      <c r="L7257" t="s">
        <v>23</v>
      </c>
      <c r="M7257" t="s">
        <v>17144</v>
      </c>
      <c r="N7257" t="s">
        <v>4326</v>
      </c>
      <c r="O7257" t="s">
        <v>178</v>
      </c>
      <c r="P7257">
        <v>44107</v>
      </c>
      <c r="Q7257">
        <v>2402</v>
      </c>
      <c r="R7257" t="s">
        <v>23</v>
      </c>
      <c r="S7257" s="1" t="s">
        <v>34218</v>
      </c>
    </row>
    <row r="7258" spans="1:19" x14ac:dyDescent="0.25">
      <c r="A7258">
        <v>101112841</v>
      </c>
      <c r="B7258" t="s">
        <v>17145</v>
      </c>
      <c r="C7258" t="s">
        <v>739</v>
      </c>
      <c r="G7258" t="s">
        <v>17146</v>
      </c>
      <c r="H7258" t="s">
        <v>17147</v>
      </c>
      <c r="I7258" t="s">
        <v>178</v>
      </c>
      <c r="J7258">
        <v>44512</v>
      </c>
      <c r="K7258">
        <v>8017</v>
      </c>
      <c r="L7258" t="s">
        <v>23</v>
      </c>
      <c r="M7258" t="s">
        <v>17146</v>
      </c>
      <c r="N7258" t="s">
        <v>17147</v>
      </c>
      <c r="O7258" t="s">
        <v>178</v>
      </c>
      <c r="P7258">
        <v>44512</v>
      </c>
      <c r="Q7258">
        <v>8017</v>
      </c>
      <c r="R7258" t="s">
        <v>23</v>
      </c>
      <c r="S7258" s="1" t="s">
        <v>34218</v>
      </c>
    </row>
    <row r="7259" spans="1:19" x14ac:dyDescent="0.25">
      <c r="A7259">
        <v>101112902</v>
      </c>
      <c r="B7259" t="s">
        <v>17148</v>
      </c>
      <c r="C7259" t="s">
        <v>5009</v>
      </c>
      <c r="G7259" t="s">
        <v>17149</v>
      </c>
      <c r="H7259" t="s">
        <v>1048</v>
      </c>
      <c r="I7259" t="s">
        <v>446</v>
      </c>
      <c r="J7259">
        <v>28792</v>
      </c>
      <c r="K7259">
        <v>8105</v>
      </c>
      <c r="L7259" t="s">
        <v>23</v>
      </c>
      <c r="M7259" t="s">
        <v>17149</v>
      </c>
      <c r="N7259" t="s">
        <v>1048</v>
      </c>
      <c r="O7259" t="s">
        <v>446</v>
      </c>
      <c r="P7259">
        <v>28792</v>
      </c>
      <c r="Q7259">
        <v>8105</v>
      </c>
      <c r="R7259" t="s">
        <v>23</v>
      </c>
      <c r="S7259" s="1" t="s">
        <v>34218</v>
      </c>
    </row>
    <row r="7260" spans="1:19" x14ac:dyDescent="0.25">
      <c r="A7260">
        <v>101118549</v>
      </c>
      <c r="B7260" t="s">
        <v>17150</v>
      </c>
      <c r="C7260" t="s">
        <v>17151</v>
      </c>
      <c r="G7260" t="s">
        <v>17152</v>
      </c>
      <c r="H7260" t="s">
        <v>1402</v>
      </c>
      <c r="I7260" t="s">
        <v>38</v>
      </c>
      <c r="J7260">
        <v>77066</v>
      </c>
      <c r="K7260">
        <v>1511</v>
      </c>
      <c r="L7260" t="s">
        <v>23</v>
      </c>
      <c r="M7260" t="s">
        <v>17152</v>
      </c>
      <c r="N7260" t="s">
        <v>1402</v>
      </c>
      <c r="O7260" t="s">
        <v>38</v>
      </c>
      <c r="P7260">
        <v>77066</v>
      </c>
      <c r="Q7260">
        <v>1511</v>
      </c>
      <c r="R7260" t="s">
        <v>23</v>
      </c>
      <c r="S7260" s="1" t="s">
        <v>34218</v>
      </c>
    </row>
    <row r="7261" spans="1:19" x14ac:dyDescent="0.25">
      <c r="A7261">
        <v>101123967</v>
      </c>
      <c r="B7261" t="s">
        <v>2238</v>
      </c>
      <c r="C7261" t="s">
        <v>1623</v>
      </c>
      <c r="G7261" t="s">
        <v>17153</v>
      </c>
      <c r="H7261" t="s">
        <v>17154</v>
      </c>
      <c r="I7261" t="s">
        <v>38</v>
      </c>
      <c r="J7261">
        <v>75077</v>
      </c>
      <c r="K7261">
        <v>4022</v>
      </c>
      <c r="L7261" t="s">
        <v>23</v>
      </c>
      <c r="M7261" t="s">
        <v>17153</v>
      </c>
      <c r="N7261" t="s">
        <v>17154</v>
      </c>
      <c r="O7261" t="s">
        <v>38</v>
      </c>
      <c r="P7261">
        <v>75077</v>
      </c>
      <c r="Q7261">
        <v>4022</v>
      </c>
      <c r="R7261" t="s">
        <v>23</v>
      </c>
      <c r="S7261" s="1" t="s">
        <v>34218</v>
      </c>
    </row>
    <row r="7262" spans="1:19" x14ac:dyDescent="0.25">
      <c r="A7262">
        <v>101120516</v>
      </c>
      <c r="B7262" t="s">
        <v>17155</v>
      </c>
      <c r="C7262" t="s">
        <v>17156</v>
      </c>
      <c r="G7262" t="s">
        <v>17157</v>
      </c>
      <c r="H7262" t="s">
        <v>2468</v>
      </c>
      <c r="I7262" t="s">
        <v>22</v>
      </c>
      <c r="J7262">
        <v>92081</v>
      </c>
      <c r="K7262">
        <v>6731</v>
      </c>
      <c r="L7262" t="s">
        <v>23</v>
      </c>
      <c r="M7262" t="s">
        <v>17157</v>
      </c>
      <c r="N7262" t="s">
        <v>2468</v>
      </c>
      <c r="O7262" t="s">
        <v>22</v>
      </c>
      <c r="P7262">
        <v>92081</v>
      </c>
      <c r="Q7262">
        <v>6731</v>
      </c>
      <c r="R7262" t="s">
        <v>23</v>
      </c>
      <c r="S7262" s="1" t="s">
        <v>34218</v>
      </c>
    </row>
    <row r="7263" spans="1:19" x14ac:dyDescent="0.25">
      <c r="A7263">
        <v>101121418</v>
      </c>
      <c r="B7263" t="s">
        <v>5142</v>
      </c>
      <c r="C7263" t="s">
        <v>17158</v>
      </c>
      <c r="G7263" t="s">
        <v>17159</v>
      </c>
      <c r="H7263" t="s">
        <v>17160</v>
      </c>
      <c r="I7263" t="s">
        <v>22</v>
      </c>
      <c r="J7263">
        <v>96067</v>
      </c>
      <c r="K7263">
        <v>9038</v>
      </c>
      <c r="L7263" t="s">
        <v>23</v>
      </c>
      <c r="M7263" t="s">
        <v>17159</v>
      </c>
      <c r="N7263" t="s">
        <v>17160</v>
      </c>
      <c r="O7263" t="s">
        <v>22</v>
      </c>
      <c r="P7263">
        <v>96067</v>
      </c>
      <c r="Q7263">
        <v>9038</v>
      </c>
      <c r="R7263" t="s">
        <v>23</v>
      </c>
      <c r="S7263" s="1" t="s">
        <v>34218</v>
      </c>
    </row>
    <row r="7264" spans="1:19" x14ac:dyDescent="0.25">
      <c r="A7264">
        <v>101346187</v>
      </c>
      <c r="B7264" t="s">
        <v>17161</v>
      </c>
      <c r="C7264" t="s">
        <v>17162</v>
      </c>
      <c r="G7264" t="s">
        <v>17163</v>
      </c>
      <c r="H7264" t="s">
        <v>1748</v>
      </c>
      <c r="I7264" t="s">
        <v>236</v>
      </c>
      <c r="J7264">
        <v>2474</v>
      </c>
      <c r="K7264">
        <v>6916</v>
      </c>
      <c r="L7264" t="s">
        <v>23</v>
      </c>
      <c r="M7264" t="s">
        <v>17163</v>
      </c>
      <c r="N7264" t="s">
        <v>1748</v>
      </c>
      <c r="O7264" t="s">
        <v>236</v>
      </c>
      <c r="P7264">
        <v>2474</v>
      </c>
      <c r="Q7264">
        <v>6916</v>
      </c>
      <c r="R7264" t="s">
        <v>23</v>
      </c>
      <c r="S7264" s="1" t="s">
        <v>34218</v>
      </c>
    </row>
    <row r="7265" spans="1:19" x14ac:dyDescent="0.25">
      <c r="A7265">
        <v>101341491</v>
      </c>
      <c r="B7265" t="s">
        <v>17164</v>
      </c>
      <c r="C7265" t="s">
        <v>10665</v>
      </c>
      <c r="G7265" t="s">
        <v>17165</v>
      </c>
      <c r="H7265" t="s">
        <v>17166</v>
      </c>
      <c r="I7265" t="s">
        <v>250</v>
      </c>
      <c r="J7265">
        <v>8108</v>
      </c>
      <c r="K7265">
        <v>2302</v>
      </c>
      <c r="L7265" t="s">
        <v>23</v>
      </c>
      <c r="M7265" t="s">
        <v>17165</v>
      </c>
      <c r="N7265" t="s">
        <v>17166</v>
      </c>
      <c r="O7265" t="s">
        <v>250</v>
      </c>
      <c r="P7265">
        <v>8108</v>
      </c>
      <c r="Q7265">
        <v>2302</v>
      </c>
      <c r="R7265" t="s">
        <v>23</v>
      </c>
      <c r="S7265" s="1" t="s">
        <v>34218</v>
      </c>
    </row>
    <row r="7266" spans="1:19" x14ac:dyDescent="0.25">
      <c r="A7266">
        <v>101344387</v>
      </c>
      <c r="B7266" t="s">
        <v>3556</v>
      </c>
      <c r="C7266" t="s">
        <v>17167</v>
      </c>
      <c r="F7266" t="str">
        <f>"4013382161"</f>
        <v>4013382161</v>
      </c>
      <c r="G7266" t="s">
        <v>17168</v>
      </c>
      <c r="H7266" t="s">
        <v>11343</v>
      </c>
      <c r="I7266" t="s">
        <v>662</v>
      </c>
      <c r="J7266">
        <v>2886</v>
      </c>
      <c r="K7266">
        <v>3317</v>
      </c>
      <c r="L7266" t="s">
        <v>23</v>
      </c>
      <c r="M7266" t="s">
        <v>17168</v>
      </c>
      <c r="N7266" t="s">
        <v>11343</v>
      </c>
      <c r="O7266" t="s">
        <v>662</v>
      </c>
      <c r="P7266">
        <v>2886</v>
      </c>
      <c r="Q7266">
        <v>3317</v>
      </c>
      <c r="R7266" t="s">
        <v>23</v>
      </c>
      <c r="S7266" s="1" t="s">
        <v>34218</v>
      </c>
    </row>
    <row r="7267" spans="1:19" x14ac:dyDescent="0.25">
      <c r="A7267">
        <v>101341714</v>
      </c>
      <c r="B7267" t="s">
        <v>17169</v>
      </c>
      <c r="C7267" t="s">
        <v>119</v>
      </c>
      <c r="F7267" t="str">
        <f>"3603010198"</f>
        <v>3603010198</v>
      </c>
      <c r="G7267" t="s">
        <v>17170</v>
      </c>
      <c r="H7267" t="s">
        <v>855</v>
      </c>
      <c r="I7267" t="s">
        <v>84</v>
      </c>
      <c r="J7267">
        <v>98368</v>
      </c>
      <c r="K7267">
        <v>6132</v>
      </c>
      <c r="L7267" t="s">
        <v>23</v>
      </c>
      <c r="M7267" t="s">
        <v>17170</v>
      </c>
      <c r="N7267" t="s">
        <v>855</v>
      </c>
      <c r="O7267" t="s">
        <v>84</v>
      </c>
      <c r="P7267">
        <v>98368</v>
      </c>
      <c r="Q7267">
        <v>6132</v>
      </c>
      <c r="R7267" t="s">
        <v>23</v>
      </c>
      <c r="S7267" s="1" t="s">
        <v>34218</v>
      </c>
    </row>
    <row r="7268" spans="1:19" x14ac:dyDescent="0.25">
      <c r="A7268">
        <v>101351063</v>
      </c>
      <c r="B7268" t="s">
        <v>1463</v>
      </c>
      <c r="C7268" t="s">
        <v>350</v>
      </c>
      <c r="G7268" t="s">
        <v>17171</v>
      </c>
      <c r="H7268" t="s">
        <v>17172</v>
      </c>
      <c r="I7268" t="s">
        <v>33</v>
      </c>
      <c r="J7268">
        <v>19004</v>
      </c>
      <c r="K7268">
        <v>2000</v>
      </c>
      <c r="L7268" t="s">
        <v>23</v>
      </c>
      <c r="M7268" t="s">
        <v>17171</v>
      </c>
      <c r="N7268" t="s">
        <v>17172</v>
      </c>
      <c r="O7268" t="s">
        <v>33</v>
      </c>
      <c r="P7268">
        <v>19004</v>
      </c>
      <c r="Q7268">
        <v>2000</v>
      </c>
      <c r="R7268" t="s">
        <v>23</v>
      </c>
      <c r="S7268" s="1" t="s">
        <v>34218</v>
      </c>
    </row>
    <row r="7269" spans="1:19" x14ac:dyDescent="0.25">
      <c r="A7269">
        <v>101354053</v>
      </c>
      <c r="B7269" t="s">
        <v>17173</v>
      </c>
      <c r="C7269" t="s">
        <v>2938</v>
      </c>
      <c r="G7269" t="s">
        <v>17174</v>
      </c>
      <c r="H7269" t="s">
        <v>1246</v>
      </c>
      <c r="I7269" t="s">
        <v>140</v>
      </c>
      <c r="J7269">
        <v>49505</v>
      </c>
      <c r="K7269">
        <v>3991</v>
      </c>
      <c r="L7269" t="s">
        <v>23</v>
      </c>
      <c r="M7269" t="s">
        <v>17174</v>
      </c>
      <c r="N7269" t="s">
        <v>1246</v>
      </c>
      <c r="O7269" t="s">
        <v>140</v>
      </c>
      <c r="P7269">
        <v>49505</v>
      </c>
      <c r="Q7269">
        <v>3991</v>
      </c>
      <c r="R7269" t="s">
        <v>23</v>
      </c>
      <c r="S7269" s="1" t="s">
        <v>34218</v>
      </c>
    </row>
    <row r="7270" spans="1:19" x14ac:dyDescent="0.25">
      <c r="A7270">
        <v>101348559</v>
      </c>
      <c r="B7270" t="s">
        <v>12109</v>
      </c>
      <c r="C7270" t="s">
        <v>1069</v>
      </c>
      <c r="G7270" t="s">
        <v>17175</v>
      </c>
      <c r="H7270" t="s">
        <v>1693</v>
      </c>
      <c r="I7270" t="s">
        <v>38</v>
      </c>
      <c r="J7270">
        <v>78414</v>
      </c>
      <c r="K7270">
        <v>2508</v>
      </c>
      <c r="L7270" t="s">
        <v>23</v>
      </c>
      <c r="M7270" t="s">
        <v>17175</v>
      </c>
      <c r="N7270" t="s">
        <v>1693</v>
      </c>
      <c r="O7270" t="s">
        <v>38</v>
      </c>
      <c r="P7270">
        <v>78414</v>
      </c>
      <c r="Q7270">
        <v>2508</v>
      </c>
      <c r="R7270" t="s">
        <v>23</v>
      </c>
      <c r="S7270" s="1" t="s">
        <v>34218</v>
      </c>
    </row>
    <row r="7271" spans="1:19" x14ac:dyDescent="0.25">
      <c r="A7271">
        <v>101353025</v>
      </c>
      <c r="B7271" t="s">
        <v>17176</v>
      </c>
      <c r="C7271" t="s">
        <v>2347</v>
      </c>
      <c r="F7271" t="str">
        <f>"6462168186"</f>
        <v>6462168186</v>
      </c>
      <c r="G7271" t="s">
        <v>17177</v>
      </c>
      <c r="H7271" t="s">
        <v>653</v>
      </c>
      <c r="I7271" t="s">
        <v>117</v>
      </c>
      <c r="J7271">
        <v>10011</v>
      </c>
      <c r="K7271">
        <v>5826</v>
      </c>
      <c r="L7271" t="s">
        <v>23</v>
      </c>
      <c r="M7271" t="s">
        <v>17177</v>
      </c>
      <c r="N7271" t="s">
        <v>653</v>
      </c>
      <c r="O7271" t="s">
        <v>117</v>
      </c>
      <c r="P7271">
        <v>10011</v>
      </c>
      <c r="Q7271">
        <v>5826</v>
      </c>
      <c r="R7271" t="s">
        <v>23</v>
      </c>
      <c r="S7271" s="1" t="s">
        <v>34218</v>
      </c>
    </row>
    <row r="7272" spans="1:19" x14ac:dyDescent="0.25">
      <c r="A7272">
        <v>101354689</v>
      </c>
      <c r="B7272" t="s">
        <v>17178</v>
      </c>
      <c r="C7272" t="s">
        <v>17179</v>
      </c>
      <c r="F7272" t="str">
        <f>"7085626772"</f>
        <v>7085626772</v>
      </c>
      <c r="G7272" t="s">
        <v>17180</v>
      </c>
      <c r="H7272" t="s">
        <v>17181</v>
      </c>
      <c r="I7272" t="s">
        <v>135</v>
      </c>
      <c r="J7272">
        <v>60154</v>
      </c>
      <c r="K7272">
        <v>5632</v>
      </c>
      <c r="L7272" t="s">
        <v>23</v>
      </c>
      <c r="M7272" t="s">
        <v>17180</v>
      </c>
      <c r="N7272" t="s">
        <v>17181</v>
      </c>
      <c r="O7272" t="s">
        <v>135</v>
      </c>
      <c r="P7272">
        <v>60154</v>
      </c>
      <c r="Q7272">
        <v>5632</v>
      </c>
      <c r="R7272" t="s">
        <v>23</v>
      </c>
      <c r="S7272" s="1" t="s">
        <v>34218</v>
      </c>
    </row>
    <row r="7273" spans="1:19" x14ac:dyDescent="0.25">
      <c r="A7273">
        <v>101358159</v>
      </c>
      <c r="B7273" t="s">
        <v>17182</v>
      </c>
      <c r="C7273" t="s">
        <v>17132</v>
      </c>
      <c r="G7273" t="s">
        <v>17183</v>
      </c>
      <c r="H7273" t="s">
        <v>227</v>
      </c>
      <c r="I7273" t="s">
        <v>43</v>
      </c>
      <c r="J7273">
        <v>97219</v>
      </c>
      <c r="K7273">
        <v>1575</v>
      </c>
      <c r="L7273" t="s">
        <v>23</v>
      </c>
      <c r="M7273" t="s">
        <v>17183</v>
      </c>
      <c r="N7273" t="s">
        <v>227</v>
      </c>
      <c r="O7273" t="s">
        <v>43</v>
      </c>
      <c r="P7273">
        <v>97219</v>
      </c>
      <c r="Q7273">
        <v>1575</v>
      </c>
      <c r="R7273" t="s">
        <v>23</v>
      </c>
      <c r="S7273" s="1" t="s">
        <v>34218</v>
      </c>
    </row>
    <row r="7274" spans="1:19" x14ac:dyDescent="0.25">
      <c r="A7274">
        <v>101350151</v>
      </c>
      <c r="B7274" t="s">
        <v>15628</v>
      </c>
      <c r="C7274" t="s">
        <v>110</v>
      </c>
      <c r="G7274" t="s">
        <v>17184</v>
      </c>
      <c r="H7274" t="s">
        <v>1561</v>
      </c>
      <c r="I7274" t="s">
        <v>38</v>
      </c>
      <c r="J7274">
        <v>77316</v>
      </c>
      <c r="K7274">
        <v>2612</v>
      </c>
      <c r="L7274" t="s">
        <v>23</v>
      </c>
      <c r="M7274" t="s">
        <v>17184</v>
      </c>
      <c r="N7274" t="s">
        <v>1561</v>
      </c>
      <c r="O7274" t="s">
        <v>38</v>
      </c>
      <c r="P7274">
        <v>77316</v>
      </c>
      <c r="Q7274">
        <v>2612</v>
      </c>
      <c r="R7274" t="s">
        <v>23</v>
      </c>
      <c r="S7274" s="1" t="s">
        <v>34218</v>
      </c>
    </row>
    <row r="7275" spans="1:19" x14ac:dyDescent="0.25">
      <c r="A7275">
        <v>101365555</v>
      </c>
      <c r="B7275" t="s">
        <v>2937</v>
      </c>
      <c r="C7275" t="s">
        <v>233</v>
      </c>
      <c r="G7275" t="s">
        <v>17185</v>
      </c>
      <c r="H7275" t="s">
        <v>254</v>
      </c>
      <c r="I7275" t="s">
        <v>255</v>
      </c>
      <c r="J7275">
        <v>22901</v>
      </c>
      <c r="K7275">
        <v>1337</v>
      </c>
      <c r="L7275" t="s">
        <v>23</v>
      </c>
      <c r="M7275" t="s">
        <v>17185</v>
      </c>
      <c r="N7275" t="s">
        <v>254</v>
      </c>
      <c r="O7275" t="s">
        <v>255</v>
      </c>
      <c r="P7275">
        <v>22901</v>
      </c>
      <c r="Q7275">
        <v>1337</v>
      </c>
      <c r="R7275" t="s">
        <v>23</v>
      </c>
      <c r="S7275" s="1" t="s">
        <v>34218</v>
      </c>
    </row>
    <row r="7276" spans="1:19" x14ac:dyDescent="0.25">
      <c r="A7276">
        <v>101366867</v>
      </c>
      <c r="B7276" t="s">
        <v>17186</v>
      </c>
      <c r="C7276" t="s">
        <v>1327</v>
      </c>
      <c r="G7276" t="s">
        <v>17187</v>
      </c>
      <c r="H7276" t="s">
        <v>1315</v>
      </c>
      <c r="I7276" t="s">
        <v>33</v>
      </c>
      <c r="J7276">
        <v>18018</v>
      </c>
      <c r="K7276">
        <v>1807</v>
      </c>
      <c r="L7276" t="s">
        <v>23</v>
      </c>
      <c r="M7276" t="s">
        <v>17187</v>
      </c>
      <c r="N7276" t="s">
        <v>1315</v>
      </c>
      <c r="O7276" t="s">
        <v>33</v>
      </c>
      <c r="P7276">
        <v>18018</v>
      </c>
      <c r="Q7276">
        <v>1807</v>
      </c>
      <c r="R7276" t="s">
        <v>23</v>
      </c>
      <c r="S7276" s="1" t="s">
        <v>34218</v>
      </c>
    </row>
    <row r="7277" spans="1:19" x14ac:dyDescent="0.25">
      <c r="A7277">
        <v>101360734</v>
      </c>
      <c r="B7277" t="s">
        <v>17188</v>
      </c>
      <c r="C7277" t="s">
        <v>535</v>
      </c>
      <c r="G7277" t="s">
        <v>17189</v>
      </c>
      <c r="H7277" t="s">
        <v>4069</v>
      </c>
      <c r="I7277" t="s">
        <v>71</v>
      </c>
      <c r="J7277">
        <v>80123</v>
      </c>
      <c r="K7277">
        <v>7924</v>
      </c>
      <c r="L7277" t="s">
        <v>23</v>
      </c>
      <c r="M7277" t="s">
        <v>17189</v>
      </c>
      <c r="N7277" t="s">
        <v>4069</v>
      </c>
      <c r="O7277" t="s">
        <v>71</v>
      </c>
      <c r="P7277">
        <v>80123</v>
      </c>
      <c r="Q7277">
        <v>7924</v>
      </c>
      <c r="R7277" t="s">
        <v>23</v>
      </c>
      <c r="S7277" s="1" t="s">
        <v>34218</v>
      </c>
    </row>
    <row r="7278" spans="1:19" x14ac:dyDescent="0.25">
      <c r="A7278">
        <v>101365697</v>
      </c>
      <c r="B7278" t="s">
        <v>15418</v>
      </c>
      <c r="C7278" t="s">
        <v>1955</v>
      </c>
      <c r="G7278" t="s">
        <v>17190</v>
      </c>
      <c r="H7278" t="s">
        <v>1531</v>
      </c>
      <c r="I7278" t="s">
        <v>84</v>
      </c>
      <c r="J7278">
        <v>98136</v>
      </c>
      <c r="K7278">
        <v>2538</v>
      </c>
      <c r="L7278" t="s">
        <v>23</v>
      </c>
      <c r="M7278" t="s">
        <v>17190</v>
      </c>
      <c r="N7278" t="s">
        <v>1531</v>
      </c>
      <c r="O7278" t="s">
        <v>84</v>
      </c>
      <c r="P7278">
        <v>98136</v>
      </c>
      <c r="Q7278">
        <v>2538</v>
      </c>
      <c r="R7278" t="s">
        <v>23</v>
      </c>
      <c r="S7278" s="1" t="s">
        <v>34218</v>
      </c>
    </row>
    <row r="7279" spans="1:19" x14ac:dyDescent="0.25">
      <c r="A7279">
        <v>101370816</v>
      </c>
      <c r="B7279" t="s">
        <v>17191</v>
      </c>
      <c r="C7279" t="s">
        <v>301</v>
      </c>
      <c r="G7279" t="s">
        <v>17192</v>
      </c>
      <c r="H7279" t="s">
        <v>6400</v>
      </c>
      <c r="I7279" t="s">
        <v>22</v>
      </c>
      <c r="J7279">
        <v>94517</v>
      </c>
      <c r="K7279">
        <v>1605</v>
      </c>
      <c r="L7279" t="s">
        <v>23</v>
      </c>
      <c r="M7279" t="s">
        <v>17192</v>
      </c>
      <c r="N7279" t="s">
        <v>6400</v>
      </c>
      <c r="O7279" t="s">
        <v>22</v>
      </c>
      <c r="P7279">
        <v>94517</v>
      </c>
      <c r="Q7279">
        <v>1605</v>
      </c>
      <c r="R7279" t="s">
        <v>23</v>
      </c>
      <c r="S7279" s="1" t="s">
        <v>34218</v>
      </c>
    </row>
    <row r="7280" spans="1:19" x14ac:dyDescent="0.25">
      <c r="A7280">
        <v>101365531</v>
      </c>
      <c r="B7280" t="s">
        <v>17193</v>
      </c>
      <c r="C7280" t="s">
        <v>17194</v>
      </c>
      <c r="F7280" t="str">
        <f>"6462299121"</f>
        <v>6462299121</v>
      </c>
      <c r="G7280" t="s">
        <v>17195</v>
      </c>
      <c r="H7280" t="s">
        <v>3604</v>
      </c>
      <c r="I7280" t="s">
        <v>140</v>
      </c>
      <c r="J7280">
        <v>48331</v>
      </c>
      <c r="K7280">
        <v>1848</v>
      </c>
      <c r="L7280" t="s">
        <v>23</v>
      </c>
      <c r="M7280" t="s">
        <v>17195</v>
      </c>
      <c r="N7280" t="s">
        <v>3604</v>
      </c>
      <c r="O7280" t="s">
        <v>140</v>
      </c>
      <c r="P7280">
        <v>48331</v>
      </c>
      <c r="Q7280">
        <v>1848</v>
      </c>
      <c r="R7280" t="s">
        <v>23</v>
      </c>
      <c r="S7280" s="1" t="s">
        <v>34218</v>
      </c>
    </row>
    <row r="7281" spans="1:19" x14ac:dyDescent="0.25">
      <c r="A7281">
        <v>100979489</v>
      </c>
      <c r="B7281" t="s">
        <v>17196</v>
      </c>
      <c r="C7281" t="s">
        <v>286</v>
      </c>
      <c r="G7281" t="s">
        <v>17197</v>
      </c>
      <c r="H7281" t="s">
        <v>17198</v>
      </c>
      <c r="I7281" t="s">
        <v>84</v>
      </c>
      <c r="J7281">
        <v>98340</v>
      </c>
      <c r="K7281">
        <v>8762</v>
      </c>
      <c r="L7281" t="s">
        <v>23</v>
      </c>
      <c r="M7281" t="s">
        <v>17197</v>
      </c>
      <c r="N7281" t="s">
        <v>17198</v>
      </c>
      <c r="O7281" t="s">
        <v>84</v>
      </c>
      <c r="P7281">
        <v>98340</v>
      </c>
      <c r="Q7281">
        <v>8762</v>
      </c>
      <c r="R7281" t="s">
        <v>23</v>
      </c>
      <c r="S7281" s="1" t="s">
        <v>34218</v>
      </c>
    </row>
    <row r="7282" spans="1:19" x14ac:dyDescent="0.25">
      <c r="A7282">
        <v>100981705</v>
      </c>
      <c r="B7282" t="s">
        <v>144</v>
      </c>
      <c r="C7282" t="s">
        <v>403</v>
      </c>
      <c r="G7282" t="s">
        <v>17199</v>
      </c>
      <c r="H7282" t="s">
        <v>7601</v>
      </c>
      <c r="I7282" t="s">
        <v>178</v>
      </c>
      <c r="J7282">
        <v>44035</v>
      </c>
      <c r="K7282">
        <v>1818</v>
      </c>
      <c r="L7282" t="s">
        <v>23</v>
      </c>
      <c r="M7282" t="s">
        <v>17199</v>
      </c>
      <c r="N7282" t="s">
        <v>7601</v>
      </c>
      <c r="O7282" t="s">
        <v>178</v>
      </c>
      <c r="P7282">
        <v>44035</v>
      </c>
      <c r="Q7282">
        <v>1818</v>
      </c>
      <c r="R7282" t="s">
        <v>23</v>
      </c>
      <c r="S7282" s="1" t="s">
        <v>34218</v>
      </c>
    </row>
    <row r="7283" spans="1:19" x14ac:dyDescent="0.25">
      <c r="A7283">
        <v>100978712</v>
      </c>
      <c r="B7283" t="s">
        <v>4679</v>
      </c>
      <c r="C7283" t="s">
        <v>1793</v>
      </c>
      <c r="G7283" t="s">
        <v>17200</v>
      </c>
      <c r="H7283" t="s">
        <v>3942</v>
      </c>
      <c r="I7283" t="s">
        <v>1482</v>
      </c>
      <c r="J7283">
        <v>29576</v>
      </c>
      <c r="K7283">
        <v>5427</v>
      </c>
      <c r="L7283" t="s">
        <v>23</v>
      </c>
      <c r="M7283" t="s">
        <v>17200</v>
      </c>
      <c r="N7283" t="s">
        <v>3942</v>
      </c>
      <c r="O7283" t="s">
        <v>1482</v>
      </c>
      <c r="P7283">
        <v>29576</v>
      </c>
      <c r="Q7283">
        <v>5427</v>
      </c>
      <c r="R7283" t="s">
        <v>23</v>
      </c>
      <c r="S7283" s="1" t="s">
        <v>34218</v>
      </c>
    </row>
    <row r="7284" spans="1:19" x14ac:dyDescent="0.25">
      <c r="A7284">
        <v>100981882</v>
      </c>
      <c r="B7284" t="s">
        <v>4475</v>
      </c>
      <c r="C7284" t="s">
        <v>2509</v>
      </c>
      <c r="G7284" t="s">
        <v>17201</v>
      </c>
      <c r="H7284" t="s">
        <v>511</v>
      </c>
      <c r="I7284" t="s">
        <v>33</v>
      </c>
      <c r="J7284">
        <v>16506</v>
      </c>
      <c r="K7284">
        <v>1649</v>
      </c>
      <c r="L7284" t="s">
        <v>23</v>
      </c>
      <c r="M7284" t="s">
        <v>17201</v>
      </c>
      <c r="N7284" t="s">
        <v>511</v>
      </c>
      <c r="O7284" t="s">
        <v>33</v>
      </c>
      <c r="P7284">
        <v>16506</v>
      </c>
      <c r="Q7284">
        <v>1649</v>
      </c>
      <c r="R7284" t="s">
        <v>23</v>
      </c>
      <c r="S7284" s="1" t="s">
        <v>34218</v>
      </c>
    </row>
    <row r="7285" spans="1:19" x14ac:dyDescent="0.25">
      <c r="A7285">
        <v>100984459</v>
      </c>
      <c r="B7285" t="s">
        <v>17202</v>
      </c>
      <c r="C7285" t="s">
        <v>571</v>
      </c>
      <c r="G7285" t="s">
        <v>17203</v>
      </c>
      <c r="H7285" t="s">
        <v>1857</v>
      </c>
      <c r="I7285" t="s">
        <v>702</v>
      </c>
      <c r="J7285">
        <v>89503</v>
      </c>
      <c r="K7285">
        <v>2849</v>
      </c>
      <c r="L7285" t="s">
        <v>23</v>
      </c>
      <c r="M7285" t="s">
        <v>17203</v>
      </c>
      <c r="N7285" t="s">
        <v>1857</v>
      </c>
      <c r="O7285" t="s">
        <v>702</v>
      </c>
      <c r="P7285">
        <v>89503</v>
      </c>
      <c r="Q7285">
        <v>2849</v>
      </c>
      <c r="R7285" t="s">
        <v>23</v>
      </c>
      <c r="S7285" s="1" t="s">
        <v>34218</v>
      </c>
    </row>
    <row r="7286" spans="1:19" x14ac:dyDescent="0.25">
      <c r="A7286">
        <v>100985699</v>
      </c>
      <c r="B7286" t="s">
        <v>1402</v>
      </c>
      <c r="C7286" t="s">
        <v>575</v>
      </c>
      <c r="G7286" t="s">
        <v>17204</v>
      </c>
      <c r="H7286" t="s">
        <v>17205</v>
      </c>
      <c r="I7286" t="s">
        <v>178</v>
      </c>
      <c r="J7286">
        <v>45696</v>
      </c>
      <c r="K7286">
        <v>9071</v>
      </c>
      <c r="L7286" t="s">
        <v>23</v>
      </c>
      <c r="M7286" t="s">
        <v>17204</v>
      </c>
      <c r="N7286" t="s">
        <v>17205</v>
      </c>
      <c r="O7286" t="s">
        <v>178</v>
      </c>
      <c r="P7286">
        <v>45696</v>
      </c>
      <c r="Q7286">
        <v>9071</v>
      </c>
      <c r="R7286" t="s">
        <v>23</v>
      </c>
      <c r="S7286" s="1" t="s">
        <v>34218</v>
      </c>
    </row>
    <row r="7287" spans="1:19" x14ac:dyDescent="0.25">
      <c r="A7287">
        <v>100984722</v>
      </c>
      <c r="B7287" t="s">
        <v>17206</v>
      </c>
      <c r="C7287" t="s">
        <v>2463</v>
      </c>
      <c r="G7287" t="s">
        <v>17207</v>
      </c>
      <c r="H7287" t="s">
        <v>976</v>
      </c>
      <c r="I7287" t="s">
        <v>140</v>
      </c>
      <c r="J7287">
        <v>48104</v>
      </c>
      <c r="K7287">
        <v>3205</v>
      </c>
      <c r="L7287" t="s">
        <v>23</v>
      </c>
      <c r="M7287" t="s">
        <v>17207</v>
      </c>
      <c r="N7287" t="s">
        <v>976</v>
      </c>
      <c r="O7287" t="s">
        <v>140</v>
      </c>
      <c r="P7287">
        <v>48104</v>
      </c>
      <c r="Q7287">
        <v>3205</v>
      </c>
      <c r="R7287" t="s">
        <v>23</v>
      </c>
      <c r="S7287" s="1" t="s">
        <v>34218</v>
      </c>
    </row>
    <row r="7288" spans="1:19" x14ac:dyDescent="0.25">
      <c r="A7288">
        <v>100984696</v>
      </c>
      <c r="B7288" t="s">
        <v>17208</v>
      </c>
      <c r="C7288" t="s">
        <v>4587</v>
      </c>
      <c r="G7288" t="s">
        <v>17209</v>
      </c>
      <c r="H7288" t="s">
        <v>1283</v>
      </c>
      <c r="I7288" t="s">
        <v>117</v>
      </c>
      <c r="J7288">
        <v>10512</v>
      </c>
      <c r="K7288">
        <v>2638</v>
      </c>
      <c r="L7288" t="s">
        <v>23</v>
      </c>
      <c r="M7288" t="s">
        <v>17209</v>
      </c>
      <c r="N7288" t="s">
        <v>1283</v>
      </c>
      <c r="O7288" t="s">
        <v>117</v>
      </c>
      <c r="P7288">
        <v>10512</v>
      </c>
      <c r="Q7288">
        <v>2638</v>
      </c>
      <c r="R7288" t="s">
        <v>23</v>
      </c>
      <c r="S7288" s="1" t="s">
        <v>34218</v>
      </c>
    </row>
    <row r="7289" spans="1:19" x14ac:dyDescent="0.25">
      <c r="A7289">
        <v>100989770</v>
      </c>
      <c r="B7289" t="s">
        <v>654</v>
      </c>
      <c r="C7289" t="s">
        <v>123</v>
      </c>
      <c r="G7289" t="s">
        <v>17210</v>
      </c>
      <c r="H7289" t="s">
        <v>2266</v>
      </c>
      <c r="I7289" t="s">
        <v>84</v>
      </c>
      <c r="J7289">
        <v>98030</v>
      </c>
      <c r="K7289">
        <v>4601</v>
      </c>
      <c r="L7289" t="s">
        <v>23</v>
      </c>
      <c r="M7289" t="s">
        <v>17210</v>
      </c>
      <c r="N7289" t="s">
        <v>2266</v>
      </c>
      <c r="O7289" t="s">
        <v>84</v>
      </c>
      <c r="P7289">
        <v>98030</v>
      </c>
      <c r="Q7289">
        <v>4601</v>
      </c>
      <c r="R7289" t="s">
        <v>23</v>
      </c>
      <c r="S7289" s="1" t="s">
        <v>34218</v>
      </c>
    </row>
    <row r="7290" spans="1:19" x14ac:dyDescent="0.25">
      <c r="A7290">
        <v>100990045</v>
      </c>
      <c r="B7290" t="s">
        <v>17211</v>
      </c>
      <c r="C7290" t="s">
        <v>498</v>
      </c>
      <c r="F7290" t="str">
        <f>"2087613620"</f>
        <v>2087613620</v>
      </c>
      <c r="G7290" t="s">
        <v>17212</v>
      </c>
      <c r="H7290" t="s">
        <v>3270</v>
      </c>
      <c r="I7290" t="s">
        <v>348</v>
      </c>
      <c r="J7290">
        <v>83704</v>
      </c>
      <c r="K7290">
        <v>6079</v>
      </c>
      <c r="L7290" t="s">
        <v>23</v>
      </c>
      <c r="M7290" t="s">
        <v>17212</v>
      </c>
      <c r="N7290" t="s">
        <v>3270</v>
      </c>
      <c r="O7290" t="s">
        <v>348</v>
      </c>
      <c r="P7290">
        <v>83704</v>
      </c>
      <c r="Q7290">
        <v>6079</v>
      </c>
      <c r="R7290" t="s">
        <v>23</v>
      </c>
      <c r="S7290" s="1" t="s">
        <v>34218</v>
      </c>
    </row>
    <row r="7291" spans="1:19" x14ac:dyDescent="0.25">
      <c r="A7291">
        <v>101174956</v>
      </c>
      <c r="B7291" t="s">
        <v>8401</v>
      </c>
      <c r="C7291" t="s">
        <v>1377</v>
      </c>
      <c r="G7291" t="s">
        <v>17213</v>
      </c>
      <c r="H7291" t="s">
        <v>6545</v>
      </c>
      <c r="I7291" t="s">
        <v>22</v>
      </c>
      <c r="J7291">
        <v>94973</v>
      </c>
      <c r="K7291">
        <v>156</v>
      </c>
      <c r="L7291" t="s">
        <v>23</v>
      </c>
      <c r="M7291" t="s">
        <v>17213</v>
      </c>
      <c r="N7291" t="s">
        <v>6545</v>
      </c>
      <c r="O7291" t="s">
        <v>22</v>
      </c>
      <c r="P7291">
        <v>94973</v>
      </c>
      <c r="Q7291">
        <v>156</v>
      </c>
      <c r="R7291" t="s">
        <v>23</v>
      </c>
      <c r="S7291" s="1" t="s">
        <v>34218</v>
      </c>
    </row>
    <row r="7292" spans="1:19" x14ac:dyDescent="0.25">
      <c r="A7292">
        <v>101175007</v>
      </c>
      <c r="B7292" t="s">
        <v>17214</v>
      </c>
      <c r="C7292" t="s">
        <v>1036</v>
      </c>
      <c r="G7292" t="s">
        <v>17215</v>
      </c>
      <c r="H7292" t="s">
        <v>438</v>
      </c>
      <c r="I7292" t="s">
        <v>71</v>
      </c>
      <c r="J7292">
        <v>80503</v>
      </c>
      <c r="K7292">
        <v>1623</v>
      </c>
      <c r="L7292" t="s">
        <v>23</v>
      </c>
      <c r="M7292" t="s">
        <v>17215</v>
      </c>
      <c r="N7292" t="s">
        <v>438</v>
      </c>
      <c r="O7292" t="s">
        <v>71</v>
      </c>
      <c r="P7292">
        <v>80503</v>
      </c>
      <c r="Q7292">
        <v>1623</v>
      </c>
      <c r="R7292" t="s">
        <v>23</v>
      </c>
      <c r="S7292" s="1" t="s">
        <v>34218</v>
      </c>
    </row>
    <row r="7293" spans="1:19" x14ac:dyDescent="0.25">
      <c r="A7293">
        <v>101185465</v>
      </c>
      <c r="B7293" t="s">
        <v>8206</v>
      </c>
      <c r="C7293" t="s">
        <v>579</v>
      </c>
      <c r="G7293" t="s">
        <v>17216</v>
      </c>
      <c r="H7293" t="s">
        <v>7480</v>
      </c>
      <c r="I7293" t="s">
        <v>38</v>
      </c>
      <c r="J7293">
        <v>76063</v>
      </c>
      <c r="K7293">
        <v>5270</v>
      </c>
      <c r="L7293" t="s">
        <v>23</v>
      </c>
      <c r="M7293" t="s">
        <v>17216</v>
      </c>
      <c r="N7293" t="s">
        <v>7480</v>
      </c>
      <c r="O7293" t="s">
        <v>38</v>
      </c>
      <c r="P7293">
        <v>76063</v>
      </c>
      <c r="Q7293">
        <v>5270</v>
      </c>
      <c r="R7293" t="s">
        <v>23</v>
      </c>
      <c r="S7293" s="1" t="s">
        <v>34218</v>
      </c>
    </row>
    <row r="7294" spans="1:19" x14ac:dyDescent="0.25">
      <c r="A7294">
        <v>101183215</v>
      </c>
      <c r="B7294" t="s">
        <v>6838</v>
      </c>
      <c r="C7294" t="s">
        <v>558</v>
      </c>
      <c r="G7294" t="s">
        <v>17217</v>
      </c>
      <c r="H7294" t="s">
        <v>1787</v>
      </c>
      <c r="I7294" t="s">
        <v>702</v>
      </c>
      <c r="J7294">
        <v>89134</v>
      </c>
      <c r="K7294">
        <v>8876</v>
      </c>
      <c r="L7294" t="s">
        <v>23</v>
      </c>
      <c r="M7294" t="s">
        <v>17217</v>
      </c>
      <c r="N7294" t="s">
        <v>1787</v>
      </c>
      <c r="O7294" t="s">
        <v>702</v>
      </c>
      <c r="P7294">
        <v>89134</v>
      </c>
      <c r="Q7294">
        <v>8876</v>
      </c>
      <c r="R7294" t="s">
        <v>23</v>
      </c>
      <c r="S7294" s="1" t="s">
        <v>34218</v>
      </c>
    </row>
    <row r="7295" spans="1:19" x14ac:dyDescent="0.25">
      <c r="A7295">
        <v>101184622</v>
      </c>
      <c r="B7295" t="s">
        <v>906</v>
      </c>
      <c r="C7295" t="s">
        <v>17218</v>
      </c>
      <c r="F7295" t="str">
        <f>"9146028998"</f>
        <v>9146028998</v>
      </c>
      <c r="G7295" t="s">
        <v>17219</v>
      </c>
      <c r="H7295" t="s">
        <v>12692</v>
      </c>
      <c r="I7295" t="s">
        <v>28</v>
      </c>
      <c r="J7295">
        <v>30009</v>
      </c>
      <c r="K7295">
        <v>3139</v>
      </c>
      <c r="L7295" t="s">
        <v>23</v>
      </c>
      <c r="M7295" t="s">
        <v>17219</v>
      </c>
      <c r="N7295" t="s">
        <v>12692</v>
      </c>
      <c r="O7295" t="s">
        <v>28</v>
      </c>
      <c r="P7295">
        <v>30009</v>
      </c>
      <c r="Q7295">
        <v>3139</v>
      </c>
      <c r="R7295" t="s">
        <v>23</v>
      </c>
      <c r="S7295" s="1" t="s">
        <v>34218</v>
      </c>
    </row>
    <row r="7296" spans="1:19" x14ac:dyDescent="0.25">
      <c r="A7296">
        <v>101184738</v>
      </c>
      <c r="B7296" t="s">
        <v>9983</v>
      </c>
      <c r="C7296" t="s">
        <v>10688</v>
      </c>
      <c r="D7296" t="s">
        <v>5477</v>
      </c>
      <c r="G7296" t="s">
        <v>17220</v>
      </c>
      <c r="H7296" t="s">
        <v>369</v>
      </c>
      <c r="I7296" t="s">
        <v>370</v>
      </c>
      <c r="J7296">
        <v>68502</v>
      </c>
      <c r="K7296">
        <v>3822</v>
      </c>
      <c r="L7296" t="s">
        <v>23</v>
      </c>
      <c r="M7296" t="s">
        <v>17220</v>
      </c>
      <c r="N7296" t="s">
        <v>369</v>
      </c>
      <c r="O7296" t="s">
        <v>370</v>
      </c>
      <c r="P7296">
        <v>68502</v>
      </c>
      <c r="Q7296">
        <v>3822</v>
      </c>
      <c r="R7296" t="s">
        <v>23</v>
      </c>
      <c r="S7296" s="1" t="s">
        <v>34218</v>
      </c>
    </row>
    <row r="7297" spans="1:19" x14ac:dyDescent="0.25">
      <c r="A7297">
        <v>101421031</v>
      </c>
      <c r="B7297" t="s">
        <v>4512</v>
      </c>
      <c r="C7297" t="s">
        <v>2343</v>
      </c>
      <c r="G7297" t="s">
        <v>17221</v>
      </c>
      <c r="H7297" t="s">
        <v>573</v>
      </c>
      <c r="I7297" t="s">
        <v>33</v>
      </c>
      <c r="J7297">
        <v>19115</v>
      </c>
      <c r="K7297">
        <v>4507</v>
      </c>
      <c r="L7297" t="s">
        <v>23</v>
      </c>
      <c r="M7297" t="s">
        <v>17221</v>
      </c>
      <c r="N7297" t="s">
        <v>573</v>
      </c>
      <c r="O7297" t="s">
        <v>33</v>
      </c>
      <c r="P7297">
        <v>19115</v>
      </c>
      <c r="Q7297">
        <v>4507</v>
      </c>
      <c r="R7297" t="s">
        <v>23</v>
      </c>
      <c r="S7297" s="1" t="s">
        <v>34218</v>
      </c>
    </row>
    <row r="7298" spans="1:19" x14ac:dyDescent="0.25">
      <c r="A7298">
        <v>101309138</v>
      </c>
      <c r="B7298" t="s">
        <v>17222</v>
      </c>
      <c r="C7298" t="s">
        <v>313</v>
      </c>
      <c r="G7298" t="s">
        <v>17223</v>
      </c>
      <c r="H7298" t="s">
        <v>1280</v>
      </c>
      <c r="I7298" t="s">
        <v>22</v>
      </c>
      <c r="J7298">
        <v>93950</v>
      </c>
      <c r="K7298">
        <v>4505</v>
      </c>
      <c r="L7298" t="s">
        <v>23</v>
      </c>
      <c r="M7298" t="s">
        <v>17223</v>
      </c>
      <c r="N7298" t="s">
        <v>1280</v>
      </c>
      <c r="O7298" t="s">
        <v>22</v>
      </c>
      <c r="P7298">
        <v>93950</v>
      </c>
      <c r="Q7298">
        <v>4505</v>
      </c>
      <c r="R7298" t="s">
        <v>23</v>
      </c>
      <c r="S7298" s="1" t="s">
        <v>34218</v>
      </c>
    </row>
    <row r="7299" spans="1:19" x14ac:dyDescent="0.25">
      <c r="A7299">
        <v>100661860</v>
      </c>
      <c r="B7299" t="s">
        <v>17224</v>
      </c>
      <c r="C7299" t="s">
        <v>1506</v>
      </c>
      <c r="G7299" t="s">
        <v>17225</v>
      </c>
      <c r="H7299" t="s">
        <v>17226</v>
      </c>
      <c r="I7299" t="s">
        <v>117</v>
      </c>
      <c r="J7299">
        <v>12043</v>
      </c>
      <c r="K7299">
        <v>6905</v>
      </c>
      <c r="L7299" t="s">
        <v>23</v>
      </c>
      <c r="M7299" t="s">
        <v>17225</v>
      </c>
      <c r="N7299" t="s">
        <v>17226</v>
      </c>
      <c r="O7299" t="s">
        <v>117</v>
      </c>
      <c r="P7299">
        <v>12043</v>
      </c>
      <c r="Q7299">
        <v>6905</v>
      </c>
      <c r="R7299" t="s">
        <v>23</v>
      </c>
      <c r="S7299" s="1" t="s">
        <v>34218</v>
      </c>
    </row>
    <row r="7300" spans="1:19" x14ac:dyDescent="0.25">
      <c r="A7300">
        <v>101311662</v>
      </c>
      <c r="B7300" t="s">
        <v>17227</v>
      </c>
      <c r="C7300" t="s">
        <v>4982</v>
      </c>
      <c r="G7300" t="s">
        <v>17228</v>
      </c>
      <c r="H7300" t="s">
        <v>2449</v>
      </c>
      <c r="I7300" t="s">
        <v>71</v>
      </c>
      <c r="J7300">
        <v>80122</v>
      </c>
      <c r="K7300">
        <v>2378</v>
      </c>
      <c r="L7300" t="s">
        <v>23</v>
      </c>
      <c r="M7300" t="s">
        <v>17228</v>
      </c>
      <c r="N7300" t="s">
        <v>2449</v>
      </c>
      <c r="O7300" t="s">
        <v>71</v>
      </c>
      <c r="P7300">
        <v>80122</v>
      </c>
      <c r="Q7300">
        <v>2378</v>
      </c>
      <c r="R7300" t="s">
        <v>23</v>
      </c>
      <c r="S7300" s="1" t="s">
        <v>34218</v>
      </c>
    </row>
    <row r="7301" spans="1:19" x14ac:dyDescent="0.25">
      <c r="A7301">
        <v>101288043</v>
      </c>
      <c r="B7301" t="s">
        <v>17229</v>
      </c>
      <c r="C7301" t="s">
        <v>45</v>
      </c>
      <c r="G7301" t="s">
        <v>17230</v>
      </c>
      <c r="H7301" t="s">
        <v>5523</v>
      </c>
      <c r="I7301" t="s">
        <v>984</v>
      </c>
      <c r="J7301">
        <v>96768</v>
      </c>
      <c r="K7301">
        <v>9307</v>
      </c>
      <c r="L7301" t="s">
        <v>23</v>
      </c>
      <c r="M7301" t="s">
        <v>17230</v>
      </c>
      <c r="N7301" t="s">
        <v>5523</v>
      </c>
      <c r="O7301" t="s">
        <v>984</v>
      </c>
      <c r="P7301">
        <v>96768</v>
      </c>
      <c r="Q7301">
        <v>9307</v>
      </c>
      <c r="R7301" t="s">
        <v>23</v>
      </c>
      <c r="S7301" s="1" t="s">
        <v>34218</v>
      </c>
    </row>
    <row r="7302" spans="1:19" x14ac:dyDescent="0.25">
      <c r="A7302">
        <v>101447329</v>
      </c>
      <c r="B7302" t="s">
        <v>303</v>
      </c>
      <c r="C7302" t="s">
        <v>7139</v>
      </c>
      <c r="G7302" t="s">
        <v>17231</v>
      </c>
      <c r="H7302" t="s">
        <v>3862</v>
      </c>
      <c r="I7302" t="s">
        <v>33</v>
      </c>
      <c r="J7302">
        <v>19380</v>
      </c>
      <c r="K7302">
        <v>6919</v>
      </c>
      <c r="L7302" t="s">
        <v>23</v>
      </c>
      <c r="M7302" t="s">
        <v>17231</v>
      </c>
      <c r="N7302" t="s">
        <v>3862</v>
      </c>
      <c r="O7302" t="s">
        <v>33</v>
      </c>
      <c r="P7302">
        <v>19380</v>
      </c>
      <c r="Q7302">
        <v>6919</v>
      </c>
      <c r="R7302" t="s">
        <v>23</v>
      </c>
      <c r="S7302" s="1" t="s">
        <v>34218</v>
      </c>
    </row>
    <row r="7303" spans="1:19" x14ac:dyDescent="0.25">
      <c r="A7303">
        <v>101456894</v>
      </c>
      <c r="B7303" t="s">
        <v>17232</v>
      </c>
      <c r="C7303" t="s">
        <v>17233</v>
      </c>
      <c r="G7303" t="s">
        <v>17234</v>
      </c>
      <c r="H7303" t="s">
        <v>1196</v>
      </c>
      <c r="I7303" t="s">
        <v>52</v>
      </c>
      <c r="J7303">
        <v>32317</v>
      </c>
      <c r="K7303">
        <v>9536</v>
      </c>
      <c r="L7303" t="s">
        <v>23</v>
      </c>
      <c r="M7303" t="s">
        <v>17234</v>
      </c>
      <c r="N7303" t="s">
        <v>1196</v>
      </c>
      <c r="O7303" t="s">
        <v>52</v>
      </c>
      <c r="P7303">
        <v>32317</v>
      </c>
      <c r="Q7303">
        <v>9536</v>
      </c>
      <c r="R7303" t="s">
        <v>23</v>
      </c>
      <c r="S7303" s="1" t="s">
        <v>34218</v>
      </c>
    </row>
    <row r="7304" spans="1:19" x14ac:dyDescent="0.25">
      <c r="A7304">
        <v>101421921</v>
      </c>
      <c r="B7304" t="s">
        <v>17235</v>
      </c>
      <c r="C7304" t="s">
        <v>102</v>
      </c>
      <c r="G7304" t="s">
        <v>17236</v>
      </c>
      <c r="H7304" t="s">
        <v>1614</v>
      </c>
      <c r="I7304" t="s">
        <v>22</v>
      </c>
      <c r="J7304">
        <v>92054</v>
      </c>
      <c r="K7304">
        <v>6536</v>
      </c>
      <c r="L7304" t="s">
        <v>23</v>
      </c>
      <c r="M7304" t="s">
        <v>17236</v>
      </c>
      <c r="N7304" t="s">
        <v>1614</v>
      </c>
      <c r="O7304" t="s">
        <v>22</v>
      </c>
      <c r="P7304">
        <v>92054</v>
      </c>
      <c r="Q7304">
        <v>6536</v>
      </c>
      <c r="R7304" t="s">
        <v>23</v>
      </c>
      <c r="S7304" s="1" t="s">
        <v>34218</v>
      </c>
    </row>
    <row r="7305" spans="1:19" x14ac:dyDescent="0.25">
      <c r="A7305">
        <v>101456920</v>
      </c>
      <c r="B7305" t="s">
        <v>17237</v>
      </c>
      <c r="C7305" t="s">
        <v>1285</v>
      </c>
      <c r="G7305" t="s">
        <v>17238</v>
      </c>
      <c r="H7305" t="s">
        <v>134</v>
      </c>
      <c r="I7305" t="s">
        <v>135</v>
      </c>
      <c r="J7305">
        <v>60618</v>
      </c>
      <c r="K7305">
        <v>7871</v>
      </c>
      <c r="L7305" t="s">
        <v>23</v>
      </c>
      <c r="M7305" t="s">
        <v>17238</v>
      </c>
      <c r="N7305" t="s">
        <v>134</v>
      </c>
      <c r="O7305" t="s">
        <v>135</v>
      </c>
      <c r="P7305">
        <v>60618</v>
      </c>
      <c r="Q7305">
        <v>7871</v>
      </c>
      <c r="R7305" t="s">
        <v>23</v>
      </c>
      <c r="S7305" s="1" t="s">
        <v>34218</v>
      </c>
    </row>
    <row r="7306" spans="1:19" x14ac:dyDescent="0.25">
      <c r="A7306">
        <v>101286841</v>
      </c>
      <c r="B7306" t="s">
        <v>17239</v>
      </c>
      <c r="C7306" t="s">
        <v>3817</v>
      </c>
      <c r="G7306" t="s">
        <v>17240</v>
      </c>
      <c r="H7306" t="s">
        <v>481</v>
      </c>
      <c r="I7306" t="s">
        <v>22</v>
      </c>
      <c r="J7306">
        <v>95135</v>
      </c>
      <c r="K7306">
        <v>2217</v>
      </c>
      <c r="L7306" t="s">
        <v>23</v>
      </c>
      <c r="M7306" t="s">
        <v>17240</v>
      </c>
      <c r="N7306" t="s">
        <v>481</v>
      </c>
      <c r="O7306" t="s">
        <v>22</v>
      </c>
      <c r="P7306">
        <v>95135</v>
      </c>
      <c r="Q7306">
        <v>2217</v>
      </c>
      <c r="R7306" t="s">
        <v>23</v>
      </c>
      <c r="S7306" s="1" t="s">
        <v>34218</v>
      </c>
    </row>
    <row r="7307" spans="1:19" x14ac:dyDescent="0.25">
      <c r="A7307">
        <v>101419431</v>
      </c>
      <c r="B7307" t="s">
        <v>3650</v>
      </c>
      <c r="C7307" t="s">
        <v>17241</v>
      </c>
      <c r="G7307" t="s">
        <v>17242</v>
      </c>
      <c r="H7307" t="s">
        <v>13494</v>
      </c>
      <c r="I7307" t="s">
        <v>22</v>
      </c>
      <c r="J7307">
        <v>93454</v>
      </c>
      <c r="L7307" t="s">
        <v>23</v>
      </c>
      <c r="M7307" t="s">
        <v>17242</v>
      </c>
      <c r="N7307" t="s">
        <v>13494</v>
      </c>
      <c r="O7307" t="s">
        <v>22</v>
      </c>
      <c r="P7307">
        <v>93454</v>
      </c>
      <c r="R7307" t="s">
        <v>23</v>
      </c>
      <c r="S7307" s="1" t="s">
        <v>34218</v>
      </c>
    </row>
    <row r="7308" spans="1:19" x14ac:dyDescent="0.25">
      <c r="A7308">
        <v>101430621</v>
      </c>
      <c r="B7308" t="s">
        <v>6325</v>
      </c>
      <c r="C7308" t="s">
        <v>17243</v>
      </c>
      <c r="G7308" t="s">
        <v>17244</v>
      </c>
      <c r="H7308" t="s">
        <v>17245</v>
      </c>
      <c r="I7308" t="s">
        <v>191</v>
      </c>
      <c r="J7308">
        <v>4042</v>
      </c>
      <c r="L7308" t="s">
        <v>23</v>
      </c>
      <c r="M7308" t="s">
        <v>17244</v>
      </c>
      <c r="N7308" t="s">
        <v>17245</v>
      </c>
      <c r="O7308" t="s">
        <v>191</v>
      </c>
      <c r="P7308">
        <v>4042</v>
      </c>
      <c r="R7308" t="s">
        <v>23</v>
      </c>
      <c r="S7308" s="1" t="s">
        <v>34218</v>
      </c>
    </row>
    <row r="7309" spans="1:19" x14ac:dyDescent="0.25">
      <c r="A7309">
        <v>100982055</v>
      </c>
      <c r="B7309" t="s">
        <v>17246</v>
      </c>
      <c r="C7309" t="s">
        <v>5451</v>
      </c>
      <c r="G7309" t="s">
        <v>17247</v>
      </c>
      <c r="H7309" t="s">
        <v>412</v>
      </c>
      <c r="I7309" t="s">
        <v>117</v>
      </c>
      <c r="J7309">
        <v>11222</v>
      </c>
      <c r="K7309">
        <v>5487</v>
      </c>
      <c r="L7309" t="s">
        <v>23</v>
      </c>
      <c r="M7309" t="s">
        <v>17247</v>
      </c>
      <c r="N7309" t="s">
        <v>412</v>
      </c>
      <c r="O7309" t="s">
        <v>117</v>
      </c>
      <c r="P7309">
        <v>11222</v>
      </c>
      <c r="Q7309">
        <v>5487</v>
      </c>
      <c r="R7309" t="s">
        <v>23</v>
      </c>
      <c r="S7309" s="1" t="s">
        <v>34218</v>
      </c>
    </row>
    <row r="7310" spans="1:19" x14ac:dyDescent="0.25">
      <c r="A7310">
        <v>100858637</v>
      </c>
      <c r="B7310" t="s">
        <v>486</v>
      </c>
      <c r="C7310" t="s">
        <v>483</v>
      </c>
      <c r="G7310" t="s">
        <v>17248</v>
      </c>
      <c r="H7310" t="s">
        <v>12564</v>
      </c>
      <c r="I7310" t="s">
        <v>446</v>
      </c>
      <c r="J7310">
        <v>27408</v>
      </c>
      <c r="K7310">
        <v>7600</v>
      </c>
      <c r="L7310" t="s">
        <v>23</v>
      </c>
      <c r="M7310" t="s">
        <v>17248</v>
      </c>
      <c r="N7310" t="s">
        <v>12564</v>
      </c>
      <c r="O7310" t="s">
        <v>446</v>
      </c>
      <c r="P7310">
        <v>27408</v>
      </c>
      <c r="Q7310">
        <v>7600</v>
      </c>
      <c r="R7310" t="s">
        <v>23</v>
      </c>
      <c r="S7310" s="1" t="s">
        <v>34218</v>
      </c>
    </row>
    <row r="7311" spans="1:19" x14ac:dyDescent="0.25">
      <c r="A7311">
        <v>101160316</v>
      </c>
      <c r="B7311" t="s">
        <v>1622</v>
      </c>
      <c r="C7311" t="s">
        <v>803</v>
      </c>
      <c r="G7311" t="s">
        <v>17249</v>
      </c>
      <c r="H7311" t="s">
        <v>17250</v>
      </c>
      <c r="I7311" t="s">
        <v>117</v>
      </c>
      <c r="J7311">
        <v>11727</v>
      </c>
      <c r="K7311">
        <v>1619</v>
      </c>
      <c r="L7311" t="s">
        <v>23</v>
      </c>
      <c r="M7311" t="s">
        <v>17249</v>
      </c>
      <c r="N7311" t="s">
        <v>17250</v>
      </c>
      <c r="O7311" t="s">
        <v>117</v>
      </c>
      <c r="P7311">
        <v>11727</v>
      </c>
      <c r="Q7311">
        <v>1619</v>
      </c>
      <c r="R7311" t="s">
        <v>23</v>
      </c>
      <c r="S7311" s="1" t="s">
        <v>34218</v>
      </c>
    </row>
    <row r="7312" spans="1:19" x14ac:dyDescent="0.25">
      <c r="A7312">
        <v>100937477</v>
      </c>
      <c r="B7312" t="s">
        <v>17251</v>
      </c>
      <c r="C7312" t="s">
        <v>114</v>
      </c>
      <c r="G7312" t="s">
        <v>17252</v>
      </c>
      <c r="H7312" t="s">
        <v>573</v>
      </c>
      <c r="I7312" t="s">
        <v>33</v>
      </c>
      <c r="J7312">
        <v>19145</v>
      </c>
      <c r="K7312">
        <v>2133</v>
      </c>
      <c r="L7312" t="s">
        <v>23</v>
      </c>
      <c r="M7312" t="s">
        <v>17252</v>
      </c>
      <c r="N7312" t="s">
        <v>573</v>
      </c>
      <c r="O7312" t="s">
        <v>33</v>
      </c>
      <c r="P7312">
        <v>19145</v>
      </c>
      <c r="Q7312">
        <v>2133</v>
      </c>
      <c r="R7312" t="s">
        <v>23</v>
      </c>
      <c r="S7312" s="1" t="s">
        <v>34218</v>
      </c>
    </row>
    <row r="7313" spans="1:19" x14ac:dyDescent="0.25">
      <c r="A7313">
        <v>101314032</v>
      </c>
      <c r="B7313" t="s">
        <v>17253</v>
      </c>
      <c r="C7313" t="s">
        <v>585</v>
      </c>
      <c r="G7313" t="s">
        <v>17254</v>
      </c>
      <c r="H7313" t="s">
        <v>653</v>
      </c>
      <c r="I7313" t="s">
        <v>117</v>
      </c>
      <c r="J7313">
        <v>10023</v>
      </c>
      <c r="L7313" t="s">
        <v>23</v>
      </c>
      <c r="M7313" t="s">
        <v>17254</v>
      </c>
      <c r="N7313" t="s">
        <v>653</v>
      </c>
      <c r="O7313" t="s">
        <v>117</v>
      </c>
      <c r="P7313">
        <v>10023</v>
      </c>
      <c r="R7313" t="s">
        <v>23</v>
      </c>
      <c r="S7313" s="1" t="s">
        <v>34218</v>
      </c>
    </row>
    <row r="7314" spans="1:19" x14ac:dyDescent="0.25">
      <c r="A7314">
        <v>101317336</v>
      </c>
      <c r="B7314" t="s">
        <v>8759</v>
      </c>
      <c r="C7314" t="s">
        <v>266</v>
      </c>
      <c r="G7314" t="s">
        <v>17255</v>
      </c>
      <c r="H7314" t="s">
        <v>2468</v>
      </c>
      <c r="I7314" t="s">
        <v>22</v>
      </c>
      <c r="J7314">
        <v>92084</v>
      </c>
      <c r="K7314">
        <v>7279</v>
      </c>
      <c r="L7314" t="s">
        <v>23</v>
      </c>
      <c r="M7314" t="s">
        <v>17255</v>
      </c>
      <c r="N7314" t="s">
        <v>2468</v>
      </c>
      <c r="O7314" t="s">
        <v>22</v>
      </c>
      <c r="P7314">
        <v>92084</v>
      </c>
      <c r="Q7314">
        <v>7279</v>
      </c>
      <c r="R7314" t="s">
        <v>23</v>
      </c>
      <c r="S7314" s="1" t="s">
        <v>34218</v>
      </c>
    </row>
    <row r="7315" spans="1:19" x14ac:dyDescent="0.25">
      <c r="A7315">
        <v>101349044</v>
      </c>
      <c r="B7315" t="s">
        <v>14192</v>
      </c>
      <c r="C7315" t="s">
        <v>17256</v>
      </c>
      <c r="G7315" t="s">
        <v>17257</v>
      </c>
      <c r="H7315" t="s">
        <v>789</v>
      </c>
      <c r="I7315" t="s">
        <v>38</v>
      </c>
      <c r="J7315">
        <v>78626</v>
      </c>
      <c r="K7315">
        <v>6237</v>
      </c>
      <c r="L7315" t="s">
        <v>23</v>
      </c>
      <c r="M7315" t="s">
        <v>17257</v>
      </c>
      <c r="N7315" t="s">
        <v>789</v>
      </c>
      <c r="O7315" t="s">
        <v>38</v>
      </c>
      <c r="P7315">
        <v>78626</v>
      </c>
      <c r="Q7315">
        <v>6237</v>
      </c>
      <c r="R7315" t="s">
        <v>23</v>
      </c>
      <c r="S7315" s="1" t="s">
        <v>34218</v>
      </c>
    </row>
    <row r="7316" spans="1:19" x14ac:dyDescent="0.25">
      <c r="A7316">
        <v>101307867</v>
      </c>
      <c r="B7316" t="s">
        <v>17258</v>
      </c>
      <c r="C7316" t="s">
        <v>30</v>
      </c>
      <c r="G7316" t="s">
        <v>17259</v>
      </c>
      <c r="H7316" t="s">
        <v>2375</v>
      </c>
      <c r="I7316" t="s">
        <v>178</v>
      </c>
      <c r="J7316">
        <v>44057</v>
      </c>
      <c r="K7316">
        <v>1112</v>
      </c>
      <c r="L7316" t="s">
        <v>23</v>
      </c>
      <c r="M7316" t="s">
        <v>17259</v>
      </c>
      <c r="N7316" t="s">
        <v>2375</v>
      </c>
      <c r="O7316" t="s">
        <v>178</v>
      </c>
      <c r="P7316">
        <v>44057</v>
      </c>
      <c r="Q7316">
        <v>1112</v>
      </c>
      <c r="R7316" t="s">
        <v>23</v>
      </c>
      <c r="S7316" s="1" t="s">
        <v>34218</v>
      </c>
    </row>
    <row r="7317" spans="1:19" x14ac:dyDescent="0.25">
      <c r="A7317">
        <v>101457166</v>
      </c>
      <c r="B7317" t="s">
        <v>1711</v>
      </c>
      <c r="C7317" t="s">
        <v>1117</v>
      </c>
      <c r="G7317" t="s">
        <v>17260</v>
      </c>
      <c r="H7317" t="s">
        <v>17261</v>
      </c>
      <c r="I7317" t="s">
        <v>236</v>
      </c>
      <c r="J7317">
        <v>2050</v>
      </c>
      <c r="K7317">
        <v>6253</v>
      </c>
      <c r="L7317" t="s">
        <v>23</v>
      </c>
      <c r="M7317" t="s">
        <v>17260</v>
      </c>
      <c r="N7317" t="s">
        <v>17261</v>
      </c>
      <c r="O7317" t="s">
        <v>236</v>
      </c>
      <c r="P7317">
        <v>2050</v>
      </c>
      <c r="Q7317">
        <v>6253</v>
      </c>
      <c r="R7317" t="s">
        <v>23</v>
      </c>
      <c r="S7317" s="1" t="s">
        <v>34218</v>
      </c>
    </row>
    <row r="7318" spans="1:19" x14ac:dyDescent="0.25">
      <c r="A7318">
        <v>101289673</v>
      </c>
      <c r="B7318" t="s">
        <v>17262</v>
      </c>
      <c r="C7318" t="s">
        <v>2411</v>
      </c>
      <c r="G7318" t="s">
        <v>17263</v>
      </c>
      <c r="H7318" t="s">
        <v>17264</v>
      </c>
      <c r="I7318" t="s">
        <v>33</v>
      </c>
      <c r="J7318">
        <v>17233</v>
      </c>
      <c r="K7318">
        <v>8379</v>
      </c>
      <c r="L7318" t="s">
        <v>23</v>
      </c>
      <c r="M7318" t="s">
        <v>17263</v>
      </c>
      <c r="N7318" t="s">
        <v>17264</v>
      </c>
      <c r="O7318" t="s">
        <v>33</v>
      </c>
      <c r="P7318">
        <v>17233</v>
      </c>
      <c r="Q7318">
        <v>8379</v>
      </c>
      <c r="R7318" t="s">
        <v>23</v>
      </c>
      <c r="S7318" s="1" t="s">
        <v>34218</v>
      </c>
    </row>
    <row r="7319" spans="1:19" x14ac:dyDescent="0.25">
      <c r="A7319">
        <v>101442381</v>
      </c>
      <c r="B7319" t="s">
        <v>17265</v>
      </c>
      <c r="C7319" t="s">
        <v>1824</v>
      </c>
      <c r="G7319" t="s">
        <v>17266</v>
      </c>
      <c r="H7319" t="s">
        <v>17267</v>
      </c>
      <c r="I7319" t="s">
        <v>84</v>
      </c>
      <c r="J7319">
        <v>98252</v>
      </c>
      <c r="K7319">
        <v>9414</v>
      </c>
      <c r="L7319" t="s">
        <v>23</v>
      </c>
      <c r="M7319" t="s">
        <v>17266</v>
      </c>
      <c r="N7319" t="s">
        <v>17267</v>
      </c>
      <c r="O7319" t="s">
        <v>84</v>
      </c>
      <c r="P7319">
        <v>98252</v>
      </c>
      <c r="Q7319">
        <v>9414</v>
      </c>
      <c r="R7319" t="s">
        <v>23</v>
      </c>
      <c r="S7319" s="1" t="s">
        <v>34218</v>
      </c>
    </row>
    <row r="7320" spans="1:19" x14ac:dyDescent="0.25">
      <c r="A7320">
        <v>101279749</v>
      </c>
      <c r="B7320" t="s">
        <v>17268</v>
      </c>
      <c r="C7320" t="s">
        <v>158</v>
      </c>
      <c r="G7320" t="s">
        <v>17269</v>
      </c>
      <c r="H7320" t="s">
        <v>17270</v>
      </c>
      <c r="I7320" t="s">
        <v>33</v>
      </c>
      <c r="J7320">
        <v>17520</v>
      </c>
      <c r="K7320">
        <v>1115</v>
      </c>
      <c r="L7320" t="s">
        <v>23</v>
      </c>
      <c r="M7320" t="s">
        <v>17269</v>
      </c>
      <c r="N7320" t="s">
        <v>17270</v>
      </c>
      <c r="O7320" t="s">
        <v>33</v>
      </c>
      <c r="P7320">
        <v>17520</v>
      </c>
      <c r="Q7320">
        <v>1115</v>
      </c>
      <c r="R7320" t="s">
        <v>23</v>
      </c>
      <c r="S7320" s="1" t="s">
        <v>34218</v>
      </c>
    </row>
    <row r="7321" spans="1:19" x14ac:dyDescent="0.25">
      <c r="A7321">
        <v>101422894</v>
      </c>
      <c r="B7321" t="s">
        <v>4111</v>
      </c>
      <c r="C7321" t="s">
        <v>1623</v>
      </c>
      <c r="G7321" t="s">
        <v>17271</v>
      </c>
      <c r="H7321" t="s">
        <v>17272</v>
      </c>
      <c r="I7321" t="s">
        <v>307</v>
      </c>
      <c r="J7321">
        <v>5678</v>
      </c>
      <c r="K7321">
        <v>196</v>
      </c>
      <c r="L7321" t="s">
        <v>23</v>
      </c>
      <c r="M7321" t="s">
        <v>17271</v>
      </c>
      <c r="N7321" t="s">
        <v>17272</v>
      </c>
      <c r="O7321" t="s">
        <v>307</v>
      </c>
      <c r="P7321">
        <v>5678</v>
      </c>
      <c r="Q7321">
        <v>196</v>
      </c>
      <c r="R7321" t="s">
        <v>23</v>
      </c>
      <c r="S7321" s="1" t="s">
        <v>34218</v>
      </c>
    </row>
    <row r="7322" spans="1:19" x14ac:dyDescent="0.25">
      <c r="A7322">
        <v>101457292</v>
      </c>
      <c r="B7322" t="s">
        <v>3089</v>
      </c>
      <c r="C7322" t="s">
        <v>535</v>
      </c>
      <c r="G7322" t="s">
        <v>17273</v>
      </c>
      <c r="H7322" t="s">
        <v>134</v>
      </c>
      <c r="I7322" t="s">
        <v>135</v>
      </c>
      <c r="J7322">
        <v>60615</v>
      </c>
      <c r="K7322">
        <v>2917</v>
      </c>
      <c r="L7322" t="s">
        <v>23</v>
      </c>
      <c r="M7322" t="s">
        <v>17273</v>
      </c>
      <c r="N7322" t="s">
        <v>134</v>
      </c>
      <c r="O7322" t="s">
        <v>135</v>
      </c>
      <c r="P7322">
        <v>60615</v>
      </c>
      <c r="Q7322">
        <v>2917</v>
      </c>
      <c r="R7322" t="s">
        <v>23</v>
      </c>
      <c r="S7322" s="1" t="s">
        <v>34218</v>
      </c>
    </row>
    <row r="7323" spans="1:19" x14ac:dyDescent="0.25">
      <c r="A7323">
        <v>100515682</v>
      </c>
      <c r="B7323" t="s">
        <v>6417</v>
      </c>
      <c r="C7323" t="s">
        <v>1107</v>
      </c>
      <c r="G7323" t="s">
        <v>17274</v>
      </c>
      <c r="H7323" t="s">
        <v>638</v>
      </c>
      <c r="I7323" t="s">
        <v>639</v>
      </c>
      <c r="J7323">
        <v>87125</v>
      </c>
      <c r="L7323" t="s">
        <v>23</v>
      </c>
      <c r="M7323" t="s">
        <v>17274</v>
      </c>
      <c r="N7323" t="s">
        <v>638</v>
      </c>
      <c r="O7323" t="s">
        <v>639</v>
      </c>
      <c r="P7323">
        <v>87125</v>
      </c>
      <c r="R7323" t="s">
        <v>23</v>
      </c>
      <c r="S7323" s="1" t="s">
        <v>34218</v>
      </c>
    </row>
    <row r="7324" spans="1:19" x14ac:dyDescent="0.25">
      <c r="A7324">
        <v>100510982</v>
      </c>
      <c r="B7324" t="s">
        <v>4956</v>
      </c>
      <c r="C7324" t="s">
        <v>2357</v>
      </c>
      <c r="G7324" t="s">
        <v>17275</v>
      </c>
      <c r="H7324" t="s">
        <v>12762</v>
      </c>
      <c r="I7324" t="s">
        <v>84</v>
      </c>
      <c r="J7324">
        <v>98028</v>
      </c>
      <c r="K7324">
        <v>3567</v>
      </c>
      <c r="L7324" t="s">
        <v>23</v>
      </c>
      <c r="M7324" t="s">
        <v>17275</v>
      </c>
      <c r="N7324" t="s">
        <v>12762</v>
      </c>
      <c r="O7324" t="s">
        <v>84</v>
      </c>
      <c r="P7324">
        <v>98028</v>
      </c>
      <c r="Q7324">
        <v>3567</v>
      </c>
      <c r="R7324" t="s">
        <v>23</v>
      </c>
      <c r="S7324" s="1" t="s">
        <v>34218</v>
      </c>
    </row>
    <row r="7325" spans="1:19" x14ac:dyDescent="0.25">
      <c r="A7325">
        <v>100863985</v>
      </c>
      <c r="B7325" t="s">
        <v>17276</v>
      </c>
      <c r="C7325" t="s">
        <v>102</v>
      </c>
      <c r="G7325" t="s">
        <v>17277</v>
      </c>
      <c r="H7325" t="s">
        <v>17278</v>
      </c>
      <c r="I7325" t="s">
        <v>365</v>
      </c>
      <c r="J7325">
        <v>85377</v>
      </c>
      <c r="K7325">
        <v>2532</v>
      </c>
      <c r="L7325" t="s">
        <v>23</v>
      </c>
      <c r="M7325" t="s">
        <v>17277</v>
      </c>
      <c r="N7325" t="s">
        <v>17278</v>
      </c>
      <c r="O7325" t="s">
        <v>365</v>
      </c>
      <c r="P7325">
        <v>85377</v>
      </c>
      <c r="Q7325">
        <v>2532</v>
      </c>
      <c r="R7325" t="s">
        <v>23</v>
      </c>
      <c r="S7325" s="1" t="s">
        <v>34218</v>
      </c>
    </row>
    <row r="7326" spans="1:19" x14ac:dyDescent="0.25">
      <c r="A7326">
        <v>101184970</v>
      </c>
      <c r="B7326" t="s">
        <v>10838</v>
      </c>
      <c r="C7326" t="s">
        <v>2941</v>
      </c>
      <c r="G7326" t="s">
        <v>17279</v>
      </c>
      <c r="H7326" t="s">
        <v>5070</v>
      </c>
      <c r="I7326" t="s">
        <v>84</v>
      </c>
      <c r="J7326">
        <v>98665</v>
      </c>
      <c r="K7326">
        <v>6900</v>
      </c>
      <c r="L7326" t="s">
        <v>23</v>
      </c>
      <c r="M7326" t="s">
        <v>17279</v>
      </c>
      <c r="N7326" t="s">
        <v>5070</v>
      </c>
      <c r="O7326" t="s">
        <v>84</v>
      </c>
      <c r="P7326">
        <v>98665</v>
      </c>
      <c r="Q7326">
        <v>6900</v>
      </c>
      <c r="R7326" t="s">
        <v>23</v>
      </c>
      <c r="S7326" s="1" t="s">
        <v>34218</v>
      </c>
    </row>
    <row r="7327" spans="1:19" x14ac:dyDescent="0.25">
      <c r="A7327">
        <v>101184763</v>
      </c>
      <c r="B7327" t="s">
        <v>17280</v>
      </c>
      <c r="C7327" t="s">
        <v>4488</v>
      </c>
      <c r="G7327" t="s">
        <v>17281</v>
      </c>
      <c r="H7327" t="s">
        <v>412</v>
      </c>
      <c r="I7327" t="s">
        <v>117</v>
      </c>
      <c r="J7327">
        <v>11201</v>
      </c>
      <c r="K7327">
        <v>4506</v>
      </c>
      <c r="L7327" t="s">
        <v>23</v>
      </c>
      <c r="M7327" t="s">
        <v>17281</v>
      </c>
      <c r="N7327" t="s">
        <v>412</v>
      </c>
      <c r="O7327" t="s">
        <v>117</v>
      </c>
      <c r="P7327">
        <v>11201</v>
      </c>
      <c r="Q7327">
        <v>4506</v>
      </c>
      <c r="R7327" t="s">
        <v>23</v>
      </c>
      <c r="S7327" s="1" t="s">
        <v>34218</v>
      </c>
    </row>
    <row r="7328" spans="1:19" x14ac:dyDescent="0.25">
      <c r="A7328">
        <v>101187471</v>
      </c>
      <c r="B7328" t="s">
        <v>16838</v>
      </c>
      <c r="C7328" t="s">
        <v>1502</v>
      </c>
      <c r="G7328" t="s">
        <v>17282</v>
      </c>
      <c r="H7328" t="s">
        <v>2375</v>
      </c>
      <c r="I7328" t="s">
        <v>100</v>
      </c>
      <c r="J7328">
        <v>53704</v>
      </c>
      <c r="K7328">
        <v>5475</v>
      </c>
      <c r="L7328" t="s">
        <v>23</v>
      </c>
      <c r="M7328" t="s">
        <v>17282</v>
      </c>
      <c r="N7328" t="s">
        <v>2375</v>
      </c>
      <c r="O7328" t="s">
        <v>100</v>
      </c>
      <c r="P7328">
        <v>53704</v>
      </c>
      <c r="Q7328">
        <v>5475</v>
      </c>
      <c r="R7328" t="s">
        <v>23</v>
      </c>
      <c r="S7328" s="1" t="s">
        <v>34218</v>
      </c>
    </row>
    <row r="7329" spans="1:19" x14ac:dyDescent="0.25">
      <c r="A7329">
        <v>101183164</v>
      </c>
      <c r="B7329" t="s">
        <v>9950</v>
      </c>
      <c r="C7329" t="s">
        <v>30</v>
      </c>
      <c r="G7329" t="s">
        <v>17283</v>
      </c>
      <c r="H7329" t="s">
        <v>17284</v>
      </c>
      <c r="I7329" t="s">
        <v>43</v>
      </c>
      <c r="J7329">
        <v>97060</v>
      </c>
      <c r="K7329">
        <v>4107</v>
      </c>
      <c r="L7329" t="s">
        <v>23</v>
      </c>
      <c r="M7329" t="s">
        <v>17283</v>
      </c>
      <c r="N7329" t="s">
        <v>17284</v>
      </c>
      <c r="O7329" t="s">
        <v>43</v>
      </c>
      <c r="P7329">
        <v>97060</v>
      </c>
      <c r="Q7329">
        <v>4107</v>
      </c>
      <c r="R7329" t="s">
        <v>23</v>
      </c>
      <c r="S7329" s="1" t="s">
        <v>34218</v>
      </c>
    </row>
    <row r="7330" spans="1:19" x14ac:dyDescent="0.25">
      <c r="A7330">
        <v>101189734</v>
      </c>
      <c r="B7330" t="s">
        <v>17285</v>
      </c>
      <c r="C7330" t="s">
        <v>17286</v>
      </c>
      <c r="G7330" t="s">
        <v>17287</v>
      </c>
      <c r="H7330" t="s">
        <v>688</v>
      </c>
      <c r="I7330" t="s">
        <v>117</v>
      </c>
      <c r="J7330">
        <v>14610</v>
      </c>
      <c r="K7330">
        <v>1214</v>
      </c>
      <c r="L7330" t="s">
        <v>23</v>
      </c>
      <c r="M7330" t="s">
        <v>17287</v>
      </c>
      <c r="N7330" t="s">
        <v>688</v>
      </c>
      <c r="O7330" t="s">
        <v>117</v>
      </c>
      <c r="P7330">
        <v>14610</v>
      </c>
      <c r="Q7330">
        <v>1214</v>
      </c>
      <c r="R7330" t="s">
        <v>23</v>
      </c>
      <c r="S7330" s="1" t="s">
        <v>34218</v>
      </c>
    </row>
    <row r="7331" spans="1:19" x14ac:dyDescent="0.25">
      <c r="A7331">
        <v>101189322</v>
      </c>
      <c r="B7331" t="s">
        <v>17288</v>
      </c>
      <c r="C7331" t="s">
        <v>2447</v>
      </c>
      <c r="G7331" t="s">
        <v>17289</v>
      </c>
      <c r="H7331" t="s">
        <v>17290</v>
      </c>
      <c r="I7331" t="s">
        <v>71</v>
      </c>
      <c r="J7331">
        <v>81154</v>
      </c>
      <c r="K7331">
        <v>9432</v>
      </c>
      <c r="L7331" t="s">
        <v>23</v>
      </c>
      <c r="M7331" t="s">
        <v>17289</v>
      </c>
      <c r="N7331" t="s">
        <v>17290</v>
      </c>
      <c r="O7331" t="s">
        <v>71</v>
      </c>
      <c r="P7331">
        <v>81154</v>
      </c>
      <c r="Q7331">
        <v>9432</v>
      </c>
      <c r="R7331" t="s">
        <v>23</v>
      </c>
      <c r="S7331" s="1" t="s">
        <v>34218</v>
      </c>
    </row>
    <row r="7332" spans="1:19" x14ac:dyDescent="0.25">
      <c r="A7332">
        <v>101192658</v>
      </c>
      <c r="B7332" t="s">
        <v>17291</v>
      </c>
      <c r="C7332" t="s">
        <v>90</v>
      </c>
      <c r="F7332" t="str">
        <f>"3145555555"</f>
        <v>3145555555</v>
      </c>
      <c r="G7332" t="s">
        <v>17292</v>
      </c>
      <c r="H7332" t="s">
        <v>125</v>
      </c>
      <c r="I7332" t="s">
        <v>126</v>
      </c>
      <c r="J7332">
        <v>63109</v>
      </c>
      <c r="K7332">
        <v>1217</v>
      </c>
      <c r="L7332" t="s">
        <v>23</v>
      </c>
      <c r="M7332" t="s">
        <v>17292</v>
      </c>
      <c r="N7332" t="s">
        <v>125</v>
      </c>
      <c r="O7332" t="s">
        <v>126</v>
      </c>
      <c r="P7332">
        <v>63109</v>
      </c>
      <c r="Q7332">
        <v>1217</v>
      </c>
      <c r="R7332" t="s">
        <v>23</v>
      </c>
      <c r="S7332" s="1" t="s">
        <v>34218</v>
      </c>
    </row>
    <row r="7333" spans="1:19" x14ac:dyDescent="0.25">
      <c r="A7333">
        <v>101192113</v>
      </c>
      <c r="B7333" t="s">
        <v>6084</v>
      </c>
      <c r="C7333" t="s">
        <v>305</v>
      </c>
      <c r="G7333" t="s">
        <v>17293</v>
      </c>
      <c r="H7333" t="s">
        <v>17294</v>
      </c>
      <c r="I7333" t="s">
        <v>236</v>
      </c>
      <c r="J7333">
        <v>2131</v>
      </c>
      <c r="K7333">
        <v>4544</v>
      </c>
      <c r="L7333" t="s">
        <v>23</v>
      </c>
      <c r="M7333" t="s">
        <v>17293</v>
      </c>
      <c r="N7333" t="s">
        <v>17294</v>
      </c>
      <c r="O7333" t="s">
        <v>236</v>
      </c>
      <c r="P7333">
        <v>2131</v>
      </c>
      <c r="Q7333">
        <v>4544</v>
      </c>
      <c r="R7333" t="s">
        <v>23</v>
      </c>
      <c r="S7333" s="1" t="s">
        <v>34218</v>
      </c>
    </row>
    <row r="7334" spans="1:19" x14ac:dyDescent="0.25">
      <c r="A7334">
        <v>101194156</v>
      </c>
      <c r="B7334" t="s">
        <v>4956</v>
      </c>
      <c r="C7334" t="s">
        <v>2357</v>
      </c>
      <c r="G7334" t="s">
        <v>17295</v>
      </c>
      <c r="H7334" t="s">
        <v>17296</v>
      </c>
      <c r="I7334" t="s">
        <v>117</v>
      </c>
      <c r="J7334">
        <v>14809</v>
      </c>
      <c r="K7334">
        <v>9553</v>
      </c>
      <c r="L7334" t="s">
        <v>23</v>
      </c>
      <c r="M7334" t="s">
        <v>17295</v>
      </c>
      <c r="N7334" t="s">
        <v>17296</v>
      </c>
      <c r="O7334" t="s">
        <v>117</v>
      </c>
      <c r="P7334">
        <v>14809</v>
      </c>
      <c r="Q7334">
        <v>9553</v>
      </c>
      <c r="R7334" t="s">
        <v>23</v>
      </c>
      <c r="S7334" s="1" t="s">
        <v>34218</v>
      </c>
    </row>
    <row r="7335" spans="1:19" x14ac:dyDescent="0.25">
      <c r="A7335">
        <v>101199734</v>
      </c>
      <c r="B7335" t="s">
        <v>6376</v>
      </c>
      <c r="C7335" t="s">
        <v>102</v>
      </c>
      <c r="G7335" t="s">
        <v>17297</v>
      </c>
      <c r="H7335" t="s">
        <v>1579</v>
      </c>
      <c r="I7335" t="s">
        <v>178</v>
      </c>
      <c r="J7335">
        <v>44202</v>
      </c>
      <c r="K7335">
        <v>8004</v>
      </c>
      <c r="L7335" t="s">
        <v>23</v>
      </c>
      <c r="M7335" t="s">
        <v>17297</v>
      </c>
      <c r="N7335" t="s">
        <v>1579</v>
      </c>
      <c r="O7335" t="s">
        <v>178</v>
      </c>
      <c r="P7335">
        <v>44202</v>
      </c>
      <c r="Q7335">
        <v>8004</v>
      </c>
      <c r="R7335" t="s">
        <v>23</v>
      </c>
      <c r="S7335" s="1" t="s">
        <v>34218</v>
      </c>
    </row>
    <row r="7336" spans="1:19" x14ac:dyDescent="0.25">
      <c r="A7336">
        <v>101200897</v>
      </c>
      <c r="B7336" t="s">
        <v>17298</v>
      </c>
      <c r="C7336" t="s">
        <v>440</v>
      </c>
      <c r="G7336" t="s">
        <v>17299</v>
      </c>
      <c r="H7336" t="s">
        <v>4481</v>
      </c>
      <c r="I7336" t="s">
        <v>22</v>
      </c>
      <c r="J7336">
        <v>94509</v>
      </c>
      <c r="K7336">
        <v>1843</v>
      </c>
      <c r="L7336" t="s">
        <v>23</v>
      </c>
      <c r="M7336" t="s">
        <v>17299</v>
      </c>
      <c r="N7336" t="s">
        <v>4481</v>
      </c>
      <c r="O7336" t="s">
        <v>22</v>
      </c>
      <c r="P7336">
        <v>94509</v>
      </c>
      <c r="Q7336">
        <v>1843</v>
      </c>
      <c r="R7336" t="s">
        <v>23</v>
      </c>
      <c r="S7336" s="1" t="s">
        <v>34218</v>
      </c>
    </row>
    <row r="7337" spans="1:19" x14ac:dyDescent="0.25">
      <c r="A7337">
        <v>100865184</v>
      </c>
      <c r="B7337" t="s">
        <v>9646</v>
      </c>
      <c r="C7337" t="s">
        <v>19</v>
      </c>
      <c r="G7337" t="s">
        <v>17300</v>
      </c>
      <c r="H7337" t="s">
        <v>17301</v>
      </c>
      <c r="I7337" t="s">
        <v>250</v>
      </c>
      <c r="J7337" t="s">
        <v>17302</v>
      </c>
      <c r="K7337">
        <v>7400</v>
      </c>
      <c r="L7337" t="s">
        <v>23</v>
      </c>
      <c r="M7337" t="s">
        <v>17300</v>
      </c>
      <c r="N7337" t="s">
        <v>17301</v>
      </c>
      <c r="O7337" t="s">
        <v>250</v>
      </c>
      <c r="P7337" t="s">
        <v>17302</v>
      </c>
      <c r="Q7337">
        <v>7400</v>
      </c>
      <c r="R7337" t="s">
        <v>23</v>
      </c>
      <c r="S7337" s="1" t="s">
        <v>34218</v>
      </c>
    </row>
    <row r="7338" spans="1:19" x14ac:dyDescent="0.25">
      <c r="A7338">
        <v>101443616</v>
      </c>
      <c r="B7338" t="s">
        <v>5258</v>
      </c>
      <c r="C7338" t="s">
        <v>475</v>
      </c>
      <c r="G7338" t="s">
        <v>17303</v>
      </c>
      <c r="H7338" t="s">
        <v>17304</v>
      </c>
      <c r="I7338" t="s">
        <v>33</v>
      </c>
      <c r="J7338" t="s">
        <v>17305</v>
      </c>
      <c r="K7338">
        <v>9567</v>
      </c>
      <c r="L7338" t="s">
        <v>23</v>
      </c>
      <c r="M7338" t="s">
        <v>17303</v>
      </c>
      <c r="N7338" t="s">
        <v>17304</v>
      </c>
      <c r="O7338" t="s">
        <v>33</v>
      </c>
      <c r="P7338" t="s">
        <v>17305</v>
      </c>
      <c r="Q7338">
        <v>9567</v>
      </c>
      <c r="R7338" t="s">
        <v>23</v>
      </c>
      <c r="S7338" s="1" t="s">
        <v>34218</v>
      </c>
    </row>
    <row r="7339" spans="1:19" x14ac:dyDescent="0.25">
      <c r="A7339">
        <v>101143653</v>
      </c>
      <c r="B7339" t="s">
        <v>17306</v>
      </c>
      <c r="C7339" t="s">
        <v>17307</v>
      </c>
      <c r="G7339" t="s">
        <v>17308</v>
      </c>
      <c r="H7339" t="s">
        <v>5675</v>
      </c>
      <c r="I7339" t="s">
        <v>33</v>
      </c>
      <c r="J7339" t="s">
        <v>17309</v>
      </c>
      <c r="K7339">
        <v>3220</v>
      </c>
      <c r="L7339" t="s">
        <v>23</v>
      </c>
      <c r="M7339" t="s">
        <v>17308</v>
      </c>
      <c r="N7339" t="s">
        <v>5675</v>
      </c>
      <c r="O7339" t="s">
        <v>33</v>
      </c>
      <c r="P7339" t="s">
        <v>17309</v>
      </c>
      <c r="Q7339">
        <v>3220</v>
      </c>
      <c r="R7339" t="s">
        <v>23</v>
      </c>
      <c r="S7339" s="1" t="s">
        <v>34218</v>
      </c>
    </row>
    <row r="7340" spans="1:19" x14ac:dyDescent="0.25">
      <c r="A7340">
        <v>101443634</v>
      </c>
      <c r="B7340" t="s">
        <v>17310</v>
      </c>
      <c r="C7340" t="s">
        <v>17311</v>
      </c>
      <c r="G7340" t="s">
        <v>17312</v>
      </c>
      <c r="H7340" t="s">
        <v>567</v>
      </c>
      <c r="I7340" t="s">
        <v>446</v>
      </c>
      <c r="J7340" t="s">
        <v>17313</v>
      </c>
      <c r="K7340">
        <v>8038</v>
      </c>
      <c r="L7340" t="s">
        <v>23</v>
      </c>
      <c r="M7340" t="s">
        <v>17312</v>
      </c>
      <c r="N7340" t="s">
        <v>567</v>
      </c>
      <c r="O7340" t="s">
        <v>446</v>
      </c>
      <c r="P7340" t="s">
        <v>17313</v>
      </c>
      <c r="Q7340">
        <v>8038</v>
      </c>
      <c r="R7340" t="s">
        <v>23</v>
      </c>
      <c r="S7340" s="1" t="s">
        <v>34218</v>
      </c>
    </row>
    <row r="7341" spans="1:19" x14ac:dyDescent="0.25">
      <c r="A7341">
        <v>101060300</v>
      </c>
      <c r="B7341" t="s">
        <v>1415</v>
      </c>
      <c r="C7341" t="s">
        <v>7569</v>
      </c>
      <c r="G7341" t="s">
        <v>17314</v>
      </c>
      <c r="H7341" t="s">
        <v>17315</v>
      </c>
      <c r="I7341" t="s">
        <v>161</v>
      </c>
      <c r="J7341">
        <v>6098</v>
      </c>
      <c r="K7341">
        <v>1209</v>
      </c>
      <c r="L7341" t="s">
        <v>23</v>
      </c>
      <c r="M7341" t="s">
        <v>17314</v>
      </c>
      <c r="N7341" t="s">
        <v>17315</v>
      </c>
      <c r="O7341" t="s">
        <v>161</v>
      </c>
      <c r="P7341">
        <v>6098</v>
      </c>
      <c r="Q7341">
        <v>1209</v>
      </c>
      <c r="R7341" t="s">
        <v>23</v>
      </c>
      <c r="S7341" s="1" t="s">
        <v>34218</v>
      </c>
    </row>
    <row r="7342" spans="1:19" x14ac:dyDescent="0.25">
      <c r="A7342">
        <v>101063462</v>
      </c>
      <c r="B7342" t="s">
        <v>5321</v>
      </c>
      <c r="C7342" t="s">
        <v>145</v>
      </c>
      <c r="G7342" t="s">
        <v>17316</v>
      </c>
      <c r="H7342" t="s">
        <v>1439</v>
      </c>
      <c r="I7342" t="s">
        <v>365</v>
      </c>
      <c r="J7342">
        <v>85705</v>
      </c>
      <c r="K7342">
        <v>1465</v>
      </c>
      <c r="L7342" t="s">
        <v>23</v>
      </c>
      <c r="M7342" t="s">
        <v>17316</v>
      </c>
      <c r="N7342" t="s">
        <v>1439</v>
      </c>
      <c r="O7342" t="s">
        <v>365</v>
      </c>
      <c r="P7342">
        <v>85705</v>
      </c>
      <c r="Q7342">
        <v>1465</v>
      </c>
      <c r="R7342" t="s">
        <v>23</v>
      </c>
      <c r="S7342" s="1" t="s">
        <v>34218</v>
      </c>
    </row>
    <row r="7343" spans="1:19" x14ac:dyDescent="0.25">
      <c r="A7343">
        <v>101063590</v>
      </c>
      <c r="B7343" t="s">
        <v>17317</v>
      </c>
      <c r="C7343" t="s">
        <v>6474</v>
      </c>
      <c r="G7343" t="s">
        <v>17318</v>
      </c>
      <c r="H7343" t="s">
        <v>653</v>
      </c>
      <c r="I7343" t="s">
        <v>117</v>
      </c>
      <c r="J7343">
        <v>10009</v>
      </c>
      <c r="K7343">
        <v>4623</v>
      </c>
      <c r="L7343" t="s">
        <v>23</v>
      </c>
      <c r="M7343" t="s">
        <v>17318</v>
      </c>
      <c r="N7343" t="s">
        <v>653</v>
      </c>
      <c r="O7343" t="s">
        <v>117</v>
      </c>
      <c r="P7343">
        <v>10009</v>
      </c>
      <c r="Q7343">
        <v>4623</v>
      </c>
      <c r="R7343" t="s">
        <v>23</v>
      </c>
      <c r="S7343" s="1" t="s">
        <v>34218</v>
      </c>
    </row>
    <row r="7344" spans="1:19" x14ac:dyDescent="0.25">
      <c r="A7344">
        <v>101262840</v>
      </c>
      <c r="B7344" t="s">
        <v>17319</v>
      </c>
      <c r="C7344" t="s">
        <v>4594</v>
      </c>
      <c r="F7344" t="str">
        <f>"6029788894"</f>
        <v>6029788894</v>
      </c>
      <c r="G7344" t="s">
        <v>17320</v>
      </c>
      <c r="H7344" t="s">
        <v>682</v>
      </c>
      <c r="I7344" t="s">
        <v>365</v>
      </c>
      <c r="J7344">
        <v>85053</v>
      </c>
      <c r="K7344">
        <v>5301</v>
      </c>
      <c r="L7344" t="s">
        <v>23</v>
      </c>
      <c r="M7344" t="s">
        <v>17320</v>
      </c>
      <c r="N7344" t="s">
        <v>682</v>
      </c>
      <c r="O7344" t="s">
        <v>365</v>
      </c>
      <c r="P7344">
        <v>85053</v>
      </c>
      <c r="Q7344">
        <v>5301</v>
      </c>
      <c r="R7344" t="s">
        <v>23</v>
      </c>
      <c r="S7344" s="1" t="s">
        <v>34218</v>
      </c>
    </row>
    <row r="7345" spans="1:19" x14ac:dyDescent="0.25">
      <c r="A7345">
        <v>101277575</v>
      </c>
      <c r="B7345" t="s">
        <v>76</v>
      </c>
      <c r="C7345" t="s">
        <v>274</v>
      </c>
      <c r="G7345" t="s">
        <v>17321</v>
      </c>
      <c r="H7345" t="s">
        <v>7195</v>
      </c>
      <c r="I7345" t="s">
        <v>565</v>
      </c>
      <c r="J7345">
        <v>52302</v>
      </c>
      <c r="K7345">
        <v>7105</v>
      </c>
      <c r="L7345" t="s">
        <v>23</v>
      </c>
      <c r="M7345" t="s">
        <v>17321</v>
      </c>
      <c r="N7345" t="s">
        <v>7195</v>
      </c>
      <c r="O7345" t="s">
        <v>565</v>
      </c>
      <c r="P7345">
        <v>52302</v>
      </c>
      <c r="Q7345">
        <v>7105</v>
      </c>
      <c r="R7345" t="s">
        <v>23</v>
      </c>
      <c r="S7345" s="1" t="s">
        <v>34218</v>
      </c>
    </row>
    <row r="7346" spans="1:19" x14ac:dyDescent="0.25">
      <c r="A7346">
        <v>101275700</v>
      </c>
      <c r="B7346" t="s">
        <v>1554</v>
      </c>
      <c r="C7346" t="s">
        <v>382</v>
      </c>
      <c r="G7346" t="s">
        <v>17322</v>
      </c>
      <c r="H7346" t="s">
        <v>17323</v>
      </c>
      <c r="I7346" t="s">
        <v>33</v>
      </c>
      <c r="J7346">
        <v>18252</v>
      </c>
      <c r="K7346">
        <v>3401</v>
      </c>
      <c r="L7346" t="s">
        <v>23</v>
      </c>
      <c r="M7346" t="s">
        <v>17322</v>
      </c>
      <c r="N7346" t="s">
        <v>17323</v>
      </c>
      <c r="O7346" t="s">
        <v>33</v>
      </c>
      <c r="P7346">
        <v>18252</v>
      </c>
      <c r="Q7346">
        <v>3401</v>
      </c>
      <c r="R7346" t="s">
        <v>23</v>
      </c>
      <c r="S7346" s="1" t="s">
        <v>34218</v>
      </c>
    </row>
    <row r="7347" spans="1:19" x14ac:dyDescent="0.25">
      <c r="A7347">
        <v>101286134</v>
      </c>
      <c r="B7347" t="s">
        <v>17324</v>
      </c>
      <c r="C7347" t="s">
        <v>9961</v>
      </c>
      <c r="F7347" t="str">
        <f>"4069613163"</f>
        <v>4069613163</v>
      </c>
      <c r="G7347" t="s">
        <v>17325</v>
      </c>
      <c r="H7347" t="s">
        <v>1962</v>
      </c>
      <c r="I7347" t="s">
        <v>1000</v>
      </c>
      <c r="J7347">
        <v>59875</v>
      </c>
      <c r="K7347">
        <v>9740</v>
      </c>
      <c r="L7347" t="s">
        <v>23</v>
      </c>
      <c r="M7347" t="s">
        <v>17325</v>
      </c>
      <c r="N7347" t="s">
        <v>1962</v>
      </c>
      <c r="O7347" t="s">
        <v>1000</v>
      </c>
      <c r="P7347">
        <v>59875</v>
      </c>
      <c r="Q7347">
        <v>9740</v>
      </c>
      <c r="R7347" t="s">
        <v>23</v>
      </c>
      <c r="S7347" s="1" t="s">
        <v>34218</v>
      </c>
    </row>
    <row r="7348" spans="1:19" x14ac:dyDescent="0.25">
      <c r="A7348">
        <v>101284221</v>
      </c>
      <c r="B7348" t="s">
        <v>3287</v>
      </c>
      <c r="C7348" t="s">
        <v>1658</v>
      </c>
      <c r="G7348" t="s">
        <v>17326</v>
      </c>
      <c r="H7348" t="s">
        <v>653</v>
      </c>
      <c r="I7348" t="s">
        <v>117</v>
      </c>
      <c r="J7348">
        <v>10001</v>
      </c>
      <c r="K7348">
        <v>5902</v>
      </c>
      <c r="L7348" t="s">
        <v>23</v>
      </c>
      <c r="M7348" t="s">
        <v>17326</v>
      </c>
      <c r="N7348" t="s">
        <v>653</v>
      </c>
      <c r="O7348" t="s">
        <v>117</v>
      </c>
      <c r="P7348">
        <v>10001</v>
      </c>
      <c r="Q7348">
        <v>5902</v>
      </c>
      <c r="R7348" t="s">
        <v>23</v>
      </c>
      <c r="S7348" s="1" t="s">
        <v>34218</v>
      </c>
    </row>
    <row r="7349" spans="1:19" x14ac:dyDescent="0.25">
      <c r="A7349">
        <v>101284230</v>
      </c>
      <c r="B7349" t="s">
        <v>17327</v>
      </c>
      <c r="C7349" t="s">
        <v>1036</v>
      </c>
      <c r="G7349" t="s">
        <v>17328</v>
      </c>
      <c r="H7349" t="s">
        <v>7813</v>
      </c>
      <c r="I7349" t="s">
        <v>307</v>
      </c>
      <c r="J7349">
        <v>5403</v>
      </c>
      <c r="K7349">
        <v>7364</v>
      </c>
      <c r="L7349" t="s">
        <v>23</v>
      </c>
      <c r="M7349" t="s">
        <v>17328</v>
      </c>
      <c r="N7349" t="s">
        <v>7813</v>
      </c>
      <c r="O7349" t="s">
        <v>307</v>
      </c>
      <c r="P7349">
        <v>5403</v>
      </c>
      <c r="Q7349">
        <v>7364</v>
      </c>
      <c r="R7349" t="s">
        <v>23</v>
      </c>
      <c r="S7349" s="1" t="s">
        <v>34218</v>
      </c>
    </row>
    <row r="7350" spans="1:19" x14ac:dyDescent="0.25">
      <c r="A7350">
        <v>101286415</v>
      </c>
      <c r="B7350" t="s">
        <v>17329</v>
      </c>
      <c r="C7350" t="s">
        <v>3460</v>
      </c>
      <c r="G7350" t="s">
        <v>17330</v>
      </c>
      <c r="H7350" t="s">
        <v>17331</v>
      </c>
      <c r="I7350" t="s">
        <v>43</v>
      </c>
      <c r="J7350">
        <v>97325</v>
      </c>
      <c r="K7350">
        <v>9558</v>
      </c>
      <c r="L7350" t="s">
        <v>23</v>
      </c>
      <c r="M7350" t="s">
        <v>17330</v>
      </c>
      <c r="N7350" t="s">
        <v>17331</v>
      </c>
      <c r="O7350" t="s">
        <v>43</v>
      </c>
      <c r="P7350">
        <v>97325</v>
      </c>
      <c r="Q7350">
        <v>9558</v>
      </c>
      <c r="R7350" t="s">
        <v>23</v>
      </c>
      <c r="S7350" s="1" t="s">
        <v>34218</v>
      </c>
    </row>
    <row r="7351" spans="1:19" x14ac:dyDescent="0.25">
      <c r="A7351">
        <v>101288413</v>
      </c>
      <c r="B7351" t="s">
        <v>17332</v>
      </c>
      <c r="C7351" t="s">
        <v>498</v>
      </c>
      <c r="G7351" t="s">
        <v>17333</v>
      </c>
      <c r="H7351" t="s">
        <v>653</v>
      </c>
      <c r="I7351" t="s">
        <v>117</v>
      </c>
      <c r="J7351">
        <v>10024</v>
      </c>
      <c r="K7351">
        <v>6914</v>
      </c>
      <c r="L7351" t="s">
        <v>23</v>
      </c>
      <c r="M7351" t="s">
        <v>17333</v>
      </c>
      <c r="N7351" t="s">
        <v>653</v>
      </c>
      <c r="O7351" t="s">
        <v>117</v>
      </c>
      <c r="P7351">
        <v>10024</v>
      </c>
      <c r="Q7351">
        <v>6914</v>
      </c>
      <c r="R7351" t="s">
        <v>23</v>
      </c>
      <c r="S7351" s="1" t="s">
        <v>34218</v>
      </c>
    </row>
    <row r="7352" spans="1:19" x14ac:dyDescent="0.25">
      <c r="A7352">
        <v>101286454</v>
      </c>
      <c r="B7352" t="s">
        <v>3705</v>
      </c>
      <c r="C7352" t="s">
        <v>17334</v>
      </c>
      <c r="G7352" t="s">
        <v>17335</v>
      </c>
      <c r="H7352" t="s">
        <v>9651</v>
      </c>
      <c r="I7352" t="s">
        <v>52</v>
      </c>
      <c r="J7352">
        <v>33141</v>
      </c>
      <c r="K7352">
        <v>3828</v>
      </c>
      <c r="L7352" t="s">
        <v>23</v>
      </c>
      <c r="M7352" t="s">
        <v>17335</v>
      </c>
      <c r="N7352" t="s">
        <v>9651</v>
      </c>
      <c r="O7352" t="s">
        <v>52</v>
      </c>
      <c r="P7352">
        <v>33141</v>
      </c>
      <c r="Q7352">
        <v>3828</v>
      </c>
      <c r="R7352" t="s">
        <v>23</v>
      </c>
      <c r="S7352" s="1" t="s">
        <v>34218</v>
      </c>
    </row>
    <row r="7353" spans="1:19" x14ac:dyDescent="0.25">
      <c r="A7353">
        <v>101289208</v>
      </c>
      <c r="B7353" t="s">
        <v>17336</v>
      </c>
      <c r="C7353" t="s">
        <v>17337</v>
      </c>
      <c r="G7353" t="s">
        <v>17338</v>
      </c>
      <c r="H7353" t="s">
        <v>17339</v>
      </c>
      <c r="I7353" t="s">
        <v>236</v>
      </c>
      <c r="J7353">
        <v>2780</v>
      </c>
      <c r="K7353">
        <v>2070</v>
      </c>
      <c r="L7353" t="s">
        <v>23</v>
      </c>
      <c r="M7353" t="s">
        <v>17338</v>
      </c>
      <c r="N7353" t="s">
        <v>17339</v>
      </c>
      <c r="O7353" t="s">
        <v>236</v>
      </c>
      <c r="P7353">
        <v>2780</v>
      </c>
      <c r="Q7353">
        <v>2070</v>
      </c>
      <c r="R7353" t="s">
        <v>23</v>
      </c>
      <c r="S7353" s="1" t="s">
        <v>34218</v>
      </c>
    </row>
    <row r="7354" spans="1:19" x14ac:dyDescent="0.25">
      <c r="A7354">
        <v>101289216</v>
      </c>
      <c r="B7354" t="s">
        <v>17340</v>
      </c>
      <c r="C7354" t="s">
        <v>274</v>
      </c>
      <c r="G7354" t="s">
        <v>17341</v>
      </c>
      <c r="H7354" t="s">
        <v>17342</v>
      </c>
      <c r="I7354" t="s">
        <v>236</v>
      </c>
      <c r="J7354">
        <v>1463</v>
      </c>
      <c r="K7354">
        <v>1519</v>
      </c>
      <c r="L7354" t="s">
        <v>23</v>
      </c>
      <c r="M7354" t="s">
        <v>17341</v>
      </c>
      <c r="N7354" t="s">
        <v>17342</v>
      </c>
      <c r="O7354" t="s">
        <v>236</v>
      </c>
      <c r="P7354">
        <v>1463</v>
      </c>
      <c r="Q7354">
        <v>1519</v>
      </c>
      <c r="R7354" t="s">
        <v>23</v>
      </c>
      <c r="S7354" s="1" t="s">
        <v>34218</v>
      </c>
    </row>
    <row r="7355" spans="1:19" x14ac:dyDescent="0.25">
      <c r="A7355">
        <v>101305840</v>
      </c>
      <c r="B7355" t="s">
        <v>17343</v>
      </c>
      <c r="C7355" t="s">
        <v>123</v>
      </c>
      <c r="G7355" t="s">
        <v>17344</v>
      </c>
      <c r="H7355" t="s">
        <v>3363</v>
      </c>
      <c r="I7355" t="s">
        <v>33</v>
      </c>
      <c r="J7355">
        <v>15212</v>
      </c>
      <c r="K7355">
        <v>2253</v>
      </c>
      <c r="L7355" t="s">
        <v>23</v>
      </c>
      <c r="M7355" t="s">
        <v>17344</v>
      </c>
      <c r="N7355" t="s">
        <v>3363</v>
      </c>
      <c r="O7355" t="s">
        <v>33</v>
      </c>
      <c r="P7355">
        <v>15212</v>
      </c>
      <c r="Q7355">
        <v>2253</v>
      </c>
      <c r="R7355" t="s">
        <v>23</v>
      </c>
      <c r="S7355" s="1" t="s">
        <v>34218</v>
      </c>
    </row>
    <row r="7356" spans="1:19" x14ac:dyDescent="0.25">
      <c r="A7356">
        <v>101265849</v>
      </c>
      <c r="B7356" t="s">
        <v>17345</v>
      </c>
      <c r="C7356" t="s">
        <v>880</v>
      </c>
      <c r="G7356" t="s">
        <v>17346</v>
      </c>
      <c r="H7356" t="s">
        <v>1842</v>
      </c>
      <c r="I7356" t="s">
        <v>52</v>
      </c>
      <c r="J7356">
        <v>32566</v>
      </c>
      <c r="K7356">
        <v>371</v>
      </c>
      <c r="L7356" t="s">
        <v>23</v>
      </c>
      <c r="M7356" t="s">
        <v>17346</v>
      </c>
      <c r="N7356" t="s">
        <v>1842</v>
      </c>
      <c r="O7356" t="s">
        <v>52</v>
      </c>
      <c r="P7356">
        <v>32566</v>
      </c>
      <c r="Q7356">
        <v>371</v>
      </c>
      <c r="R7356" t="s">
        <v>23</v>
      </c>
      <c r="S7356" s="1" t="s">
        <v>34218</v>
      </c>
    </row>
    <row r="7357" spans="1:19" x14ac:dyDescent="0.25">
      <c r="A7357">
        <v>101445458</v>
      </c>
      <c r="B7357" t="s">
        <v>17347</v>
      </c>
      <c r="C7357" t="s">
        <v>17348</v>
      </c>
      <c r="G7357" t="s">
        <v>17349</v>
      </c>
      <c r="H7357" t="s">
        <v>1787</v>
      </c>
      <c r="I7357" t="s">
        <v>702</v>
      </c>
      <c r="J7357">
        <v>89135</v>
      </c>
      <c r="K7357">
        <v>1037</v>
      </c>
      <c r="L7357" t="s">
        <v>23</v>
      </c>
      <c r="M7357" t="s">
        <v>17349</v>
      </c>
      <c r="N7357" t="s">
        <v>1787</v>
      </c>
      <c r="O7357" t="s">
        <v>702</v>
      </c>
      <c r="P7357">
        <v>89135</v>
      </c>
      <c r="Q7357">
        <v>1037</v>
      </c>
      <c r="R7357" t="s">
        <v>23</v>
      </c>
      <c r="S7357" s="1" t="s">
        <v>34218</v>
      </c>
    </row>
    <row r="7358" spans="1:19" x14ac:dyDescent="0.25">
      <c r="A7358">
        <v>101447940</v>
      </c>
      <c r="B7358" t="s">
        <v>12703</v>
      </c>
      <c r="C7358" t="s">
        <v>763</v>
      </c>
      <c r="G7358" t="s">
        <v>17350</v>
      </c>
      <c r="H7358" t="s">
        <v>17351</v>
      </c>
      <c r="I7358" t="s">
        <v>191</v>
      </c>
      <c r="J7358">
        <v>4472</v>
      </c>
      <c r="K7358">
        <v>3607</v>
      </c>
      <c r="L7358" t="s">
        <v>23</v>
      </c>
      <c r="M7358" t="s">
        <v>17350</v>
      </c>
      <c r="N7358" t="s">
        <v>17351</v>
      </c>
      <c r="O7358" t="s">
        <v>191</v>
      </c>
      <c r="P7358">
        <v>4472</v>
      </c>
      <c r="Q7358">
        <v>3607</v>
      </c>
      <c r="R7358" t="s">
        <v>23</v>
      </c>
      <c r="S7358" s="1" t="s">
        <v>34218</v>
      </c>
    </row>
    <row r="7359" spans="1:19" x14ac:dyDescent="0.25">
      <c r="A7359">
        <v>101418982</v>
      </c>
      <c r="B7359" t="s">
        <v>17352</v>
      </c>
      <c r="C7359" t="s">
        <v>90</v>
      </c>
      <c r="G7359" t="s">
        <v>17353</v>
      </c>
      <c r="H7359" t="s">
        <v>17354</v>
      </c>
      <c r="I7359" t="s">
        <v>33</v>
      </c>
      <c r="J7359">
        <v>15106</v>
      </c>
      <c r="K7359">
        <v>2449</v>
      </c>
      <c r="L7359" t="s">
        <v>23</v>
      </c>
      <c r="M7359" t="s">
        <v>17353</v>
      </c>
      <c r="N7359" t="s">
        <v>17354</v>
      </c>
      <c r="O7359" t="s">
        <v>33</v>
      </c>
      <c r="P7359">
        <v>15106</v>
      </c>
      <c r="Q7359">
        <v>2449</v>
      </c>
      <c r="R7359" t="s">
        <v>23</v>
      </c>
      <c r="S7359" s="1" t="s">
        <v>34218</v>
      </c>
    </row>
    <row r="7360" spans="1:19" x14ac:dyDescent="0.25">
      <c r="A7360">
        <v>100700259</v>
      </c>
      <c r="B7360" t="s">
        <v>17355</v>
      </c>
      <c r="C7360" t="s">
        <v>17356</v>
      </c>
      <c r="G7360" t="s">
        <v>17357</v>
      </c>
      <c r="H7360" t="s">
        <v>13666</v>
      </c>
      <c r="I7360" t="s">
        <v>161</v>
      </c>
      <c r="J7360">
        <v>6790</v>
      </c>
      <c r="L7360" t="s">
        <v>23</v>
      </c>
      <c r="M7360" t="s">
        <v>17357</v>
      </c>
      <c r="N7360" t="s">
        <v>13666</v>
      </c>
      <c r="O7360" t="s">
        <v>161</v>
      </c>
      <c r="P7360">
        <v>6790</v>
      </c>
      <c r="R7360" t="s">
        <v>23</v>
      </c>
      <c r="S7360" s="1" t="s">
        <v>34218</v>
      </c>
    </row>
    <row r="7361" spans="1:19" x14ac:dyDescent="0.25">
      <c r="A7361">
        <v>101412534</v>
      </c>
      <c r="B7361" t="s">
        <v>17358</v>
      </c>
      <c r="C7361" t="s">
        <v>2509</v>
      </c>
      <c r="G7361" t="s">
        <v>17359</v>
      </c>
      <c r="H7361" t="s">
        <v>17360</v>
      </c>
      <c r="I7361" t="s">
        <v>71</v>
      </c>
      <c r="J7361">
        <v>80517</v>
      </c>
      <c r="K7361">
        <v>5176</v>
      </c>
      <c r="L7361" t="s">
        <v>23</v>
      </c>
      <c r="M7361" t="s">
        <v>17359</v>
      </c>
      <c r="N7361" t="s">
        <v>17360</v>
      </c>
      <c r="O7361" t="s">
        <v>71</v>
      </c>
      <c r="P7361">
        <v>80517</v>
      </c>
      <c r="Q7361">
        <v>5176</v>
      </c>
      <c r="R7361" t="s">
        <v>23</v>
      </c>
      <c r="S7361" s="1" t="s">
        <v>34218</v>
      </c>
    </row>
    <row r="7362" spans="1:19" x14ac:dyDescent="0.25">
      <c r="A7362">
        <v>101224223</v>
      </c>
      <c r="B7362" t="s">
        <v>308</v>
      </c>
      <c r="C7362" t="s">
        <v>406</v>
      </c>
      <c r="G7362" t="s">
        <v>17361</v>
      </c>
      <c r="H7362" t="s">
        <v>1439</v>
      </c>
      <c r="I7362" t="s">
        <v>365</v>
      </c>
      <c r="J7362">
        <v>85747</v>
      </c>
      <c r="K7362">
        <v>5886</v>
      </c>
      <c r="L7362" t="s">
        <v>23</v>
      </c>
      <c r="M7362" t="s">
        <v>17361</v>
      </c>
      <c r="N7362" t="s">
        <v>1439</v>
      </c>
      <c r="O7362" t="s">
        <v>365</v>
      </c>
      <c r="P7362">
        <v>85747</v>
      </c>
      <c r="Q7362">
        <v>5886</v>
      </c>
      <c r="R7362" t="s">
        <v>23</v>
      </c>
      <c r="S7362" s="1" t="s">
        <v>34218</v>
      </c>
    </row>
    <row r="7363" spans="1:19" x14ac:dyDescent="0.25">
      <c r="A7363">
        <v>100862015</v>
      </c>
      <c r="B7363" t="s">
        <v>17362</v>
      </c>
      <c r="C7363" t="s">
        <v>403</v>
      </c>
      <c r="G7363" t="s">
        <v>17363</v>
      </c>
      <c r="H7363" t="s">
        <v>143</v>
      </c>
      <c r="I7363" t="s">
        <v>38</v>
      </c>
      <c r="J7363">
        <v>75766</v>
      </c>
      <c r="K7363">
        <v>5028</v>
      </c>
      <c r="L7363" t="s">
        <v>23</v>
      </c>
      <c r="M7363" t="s">
        <v>17363</v>
      </c>
      <c r="N7363" t="s">
        <v>143</v>
      </c>
      <c r="O7363" t="s">
        <v>38</v>
      </c>
      <c r="P7363">
        <v>75766</v>
      </c>
      <c r="Q7363">
        <v>5028</v>
      </c>
      <c r="R7363" t="s">
        <v>23</v>
      </c>
      <c r="S7363" s="1" t="s">
        <v>34218</v>
      </c>
    </row>
    <row r="7364" spans="1:19" x14ac:dyDescent="0.25">
      <c r="A7364">
        <v>100657765</v>
      </c>
      <c r="B7364" t="s">
        <v>17364</v>
      </c>
      <c r="C7364" t="s">
        <v>367</v>
      </c>
      <c r="G7364" t="s">
        <v>17365</v>
      </c>
      <c r="H7364" t="s">
        <v>3344</v>
      </c>
      <c r="I7364" t="s">
        <v>71</v>
      </c>
      <c r="J7364">
        <v>81428</v>
      </c>
      <c r="L7364" t="s">
        <v>23</v>
      </c>
      <c r="M7364" t="s">
        <v>17365</v>
      </c>
      <c r="N7364" t="s">
        <v>3344</v>
      </c>
      <c r="O7364" t="s">
        <v>71</v>
      </c>
      <c r="P7364">
        <v>81428</v>
      </c>
      <c r="R7364" t="s">
        <v>23</v>
      </c>
      <c r="S7364" s="1" t="s">
        <v>34218</v>
      </c>
    </row>
    <row r="7365" spans="1:19" x14ac:dyDescent="0.25">
      <c r="A7365">
        <v>101352044</v>
      </c>
      <c r="B7365" t="s">
        <v>8056</v>
      </c>
      <c r="C7365" t="s">
        <v>1463</v>
      </c>
      <c r="G7365" t="s">
        <v>17366</v>
      </c>
      <c r="H7365" t="s">
        <v>2046</v>
      </c>
      <c r="I7365" t="s">
        <v>446</v>
      </c>
      <c r="J7365">
        <v>27707</v>
      </c>
      <c r="K7365">
        <v>1328</v>
      </c>
      <c r="L7365" t="s">
        <v>23</v>
      </c>
      <c r="M7365" t="s">
        <v>17366</v>
      </c>
      <c r="N7365" t="s">
        <v>2046</v>
      </c>
      <c r="O7365" t="s">
        <v>446</v>
      </c>
      <c r="P7365">
        <v>27707</v>
      </c>
      <c r="Q7365">
        <v>1328</v>
      </c>
      <c r="R7365" t="s">
        <v>23</v>
      </c>
      <c r="S7365" s="1" t="s">
        <v>34218</v>
      </c>
    </row>
    <row r="7366" spans="1:19" x14ac:dyDescent="0.25">
      <c r="A7366">
        <v>100805132</v>
      </c>
      <c r="B7366" t="s">
        <v>465</v>
      </c>
      <c r="C7366" t="s">
        <v>17367</v>
      </c>
      <c r="G7366" t="s">
        <v>17368</v>
      </c>
      <c r="H7366" t="s">
        <v>682</v>
      </c>
      <c r="I7366" t="s">
        <v>365</v>
      </c>
      <c r="J7366">
        <v>85031</v>
      </c>
      <c r="K7366">
        <v>2249</v>
      </c>
      <c r="L7366" t="s">
        <v>23</v>
      </c>
      <c r="M7366" t="s">
        <v>17368</v>
      </c>
      <c r="N7366" t="s">
        <v>682</v>
      </c>
      <c r="O7366" t="s">
        <v>365</v>
      </c>
      <c r="P7366">
        <v>85031</v>
      </c>
      <c r="Q7366">
        <v>2249</v>
      </c>
      <c r="R7366" t="s">
        <v>23</v>
      </c>
      <c r="S7366" s="1" t="s">
        <v>34218</v>
      </c>
    </row>
    <row r="7367" spans="1:19" x14ac:dyDescent="0.25">
      <c r="A7367">
        <v>101158028</v>
      </c>
      <c r="B7367" t="s">
        <v>1868</v>
      </c>
      <c r="C7367" t="s">
        <v>1638</v>
      </c>
      <c r="G7367" t="s">
        <v>17369</v>
      </c>
      <c r="H7367" t="s">
        <v>17370</v>
      </c>
      <c r="I7367" t="s">
        <v>126</v>
      </c>
      <c r="J7367">
        <v>65648</v>
      </c>
      <c r="L7367" t="s">
        <v>23</v>
      </c>
      <c r="M7367" t="s">
        <v>17369</v>
      </c>
      <c r="N7367" t="s">
        <v>17370</v>
      </c>
      <c r="O7367" t="s">
        <v>126</v>
      </c>
      <c r="P7367">
        <v>65648</v>
      </c>
      <c r="R7367" t="s">
        <v>23</v>
      </c>
      <c r="S7367" s="1" t="s">
        <v>34218</v>
      </c>
    </row>
    <row r="7368" spans="1:19" x14ac:dyDescent="0.25">
      <c r="A7368">
        <v>101331964</v>
      </c>
      <c r="B7368" t="s">
        <v>4449</v>
      </c>
      <c r="C7368" t="s">
        <v>17371</v>
      </c>
      <c r="G7368" t="s">
        <v>17372</v>
      </c>
      <c r="H7368" t="s">
        <v>746</v>
      </c>
      <c r="I7368" t="s">
        <v>43</v>
      </c>
      <c r="J7368">
        <v>97477</v>
      </c>
      <c r="K7368">
        <v>1575</v>
      </c>
      <c r="L7368" t="s">
        <v>23</v>
      </c>
      <c r="M7368" t="s">
        <v>17372</v>
      </c>
      <c r="N7368" t="s">
        <v>746</v>
      </c>
      <c r="O7368" t="s">
        <v>43</v>
      </c>
      <c r="P7368">
        <v>97477</v>
      </c>
      <c r="Q7368">
        <v>1575</v>
      </c>
      <c r="R7368" t="s">
        <v>23</v>
      </c>
      <c r="S7368" s="1" t="s">
        <v>34218</v>
      </c>
    </row>
    <row r="7369" spans="1:19" x14ac:dyDescent="0.25">
      <c r="A7369">
        <v>100704226</v>
      </c>
      <c r="B7369" t="s">
        <v>17373</v>
      </c>
      <c r="C7369" t="s">
        <v>2411</v>
      </c>
      <c r="G7369" t="s">
        <v>17374</v>
      </c>
      <c r="H7369" t="s">
        <v>17375</v>
      </c>
      <c r="I7369" t="s">
        <v>126</v>
      </c>
      <c r="J7369">
        <v>65449</v>
      </c>
      <c r="K7369">
        <v>9176</v>
      </c>
      <c r="L7369" t="s">
        <v>23</v>
      </c>
      <c r="M7369" t="s">
        <v>17374</v>
      </c>
      <c r="N7369" t="s">
        <v>17375</v>
      </c>
      <c r="O7369" t="s">
        <v>126</v>
      </c>
      <c r="P7369">
        <v>65449</v>
      </c>
      <c r="Q7369">
        <v>9176</v>
      </c>
      <c r="R7369" t="s">
        <v>23</v>
      </c>
      <c r="S7369" s="1" t="s">
        <v>34218</v>
      </c>
    </row>
    <row r="7370" spans="1:19" x14ac:dyDescent="0.25">
      <c r="A7370">
        <v>100629147</v>
      </c>
      <c r="B7370" t="s">
        <v>17376</v>
      </c>
      <c r="C7370" t="s">
        <v>17377</v>
      </c>
      <c r="G7370" t="s">
        <v>17378</v>
      </c>
      <c r="H7370" t="s">
        <v>1229</v>
      </c>
      <c r="I7370" t="s">
        <v>38</v>
      </c>
      <c r="J7370">
        <v>78247</v>
      </c>
      <c r="L7370" t="s">
        <v>23</v>
      </c>
      <c r="M7370" t="s">
        <v>17378</v>
      </c>
      <c r="N7370" t="s">
        <v>1229</v>
      </c>
      <c r="O7370" t="s">
        <v>38</v>
      </c>
      <c r="P7370">
        <v>78247</v>
      </c>
      <c r="R7370" t="s">
        <v>23</v>
      </c>
      <c r="S7370" s="1" t="s">
        <v>34218</v>
      </c>
    </row>
    <row r="7371" spans="1:19" x14ac:dyDescent="0.25">
      <c r="A7371">
        <v>100823342</v>
      </c>
      <c r="B7371" t="s">
        <v>10558</v>
      </c>
      <c r="C7371" t="s">
        <v>17379</v>
      </c>
      <c r="G7371" t="s">
        <v>17380</v>
      </c>
      <c r="H7371" t="s">
        <v>976</v>
      </c>
      <c r="I7371" t="s">
        <v>140</v>
      </c>
      <c r="J7371">
        <v>48103</v>
      </c>
      <c r="K7371">
        <v>2567</v>
      </c>
      <c r="L7371" t="s">
        <v>23</v>
      </c>
      <c r="M7371" t="s">
        <v>17380</v>
      </c>
      <c r="N7371" t="s">
        <v>976</v>
      </c>
      <c r="O7371" t="s">
        <v>140</v>
      </c>
      <c r="P7371">
        <v>48103</v>
      </c>
      <c r="Q7371">
        <v>2567</v>
      </c>
      <c r="R7371" t="s">
        <v>23</v>
      </c>
      <c r="S7371" s="1" t="s">
        <v>34218</v>
      </c>
    </row>
    <row r="7372" spans="1:19" x14ac:dyDescent="0.25">
      <c r="A7372">
        <v>100823612</v>
      </c>
      <c r="B7372" t="s">
        <v>15387</v>
      </c>
      <c r="C7372" t="s">
        <v>155</v>
      </c>
      <c r="G7372" t="s">
        <v>17381</v>
      </c>
      <c r="H7372" t="s">
        <v>2910</v>
      </c>
      <c r="I7372" t="s">
        <v>52</v>
      </c>
      <c r="J7372">
        <v>34231</v>
      </c>
      <c r="K7372">
        <v>8613</v>
      </c>
      <c r="L7372" t="s">
        <v>23</v>
      </c>
      <c r="M7372" t="s">
        <v>17381</v>
      </c>
      <c r="N7372" t="s">
        <v>2910</v>
      </c>
      <c r="O7372" t="s">
        <v>52</v>
      </c>
      <c r="P7372">
        <v>34231</v>
      </c>
      <c r="Q7372">
        <v>8613</v>
      </c>
      <c r="R7372" t="s">
        <v>23</v>
      </c>
      <c r="S7372" s="1" t="s">
        <v>34218</v>
      </c>
    </row>
    <row r="7373" spans="1:19" x14ac:dyDescent="0.25">
      <c r="A7373">
        <v>100829693</v>
      </c>
      <c r="B7373" t="s">
        <v>17382</v>
      </c>
      <c r="C7373" t="s">
        <v>2892</v>
      </c>
      <c r="G7373" t="s">
        <v>17383</v>
      </c>
      <c r="H7373" t="s">
        <v>254</v>
      </c>
      <c r="I7373" t="s">
        <v>255</v>
      </c>
      <c r="J7373">
        <v>22902</v>
      </c>
      <c r="K7373">
        <v>5742</v>
      </c>
      <c r="L7373" t="s">
        <v>23</v>
      </c>
      <c r="M7373" t="s">
        <v>17383</v>
      </c>
      <c r="N7373" t="s">
        <v>254</v>
      </c>
      <c r="O7373" t="s">
        <v>255</v>
      </c>
      <c r="P7373">
        <v>22902</v>
      </c>
      <c r="Q7373">
        <v>5742</v>
      </c>
      <c r="R7373" t="s">
        <v>23</v>
      </c>
      <c r="S7373" s="1" t="s">
        <v>34218</v>
      </c>
    </row>
    <row r="7374" spans="1:19" x14ac:dyDescent="0.25">
      <c r="A7374">
        <v>100830980</v>
      </c>
      <c r="B7374" t="s">
        <v>17384</v>
      </c>
      <c r="C7374" t="s">
        <v>9958</v>
      </c>
      <c r="G7374" t="s">
        <v>17385</v>
      </c>
      <c r="H7374" t="s">
        <v>17386</v>
      </c>
      <c r="I7374" t="s">
        <v>639</v>
      </c>
      <c r="J7374">
        <v>87514</v>
      </c>
      <c r="K7374">
        <v>818</v>
      </c>
      <c r="L7374" t="s">
        <v>23</v>
      </c>
      <c r="M7374" t="s">
        <v>17385</v>
      </c>
      <c r="N7374" t="s">
        <v>17386</v>
      </c>
      <c r="O7374" t="s">
        <v>639</v>
      </c>
      <c r="P7374">
        <v>87514</v>
      </c>
      <c r="Q7374">
        <v>818</v>
      </c>
      <c r="R7374" t="s">
        <v>23</v>
      </c>
      <c r="S7374" s="1" t="s">
        <v>34218</v>
      </c>
    </row>
    <row r="7375" spans="1:19" x14ac:dyDescent="0.25">
      <c r="A7375">
        <v>100836811</v>
      </c>
      <c r="B7375" t="s">
        <v>1339</v>
      </c>
      <c r="C7375" t="s">
        <v>4140</v>
      </c>
      <c r="G7375" t="s">
        <v>17387</v>
      </c>
      <c r="H7375" t="s">
        <v>134</v>
      </c>
      <c r="I7375" t="s">
        <v>135</v>
      </c>
      <c r="J7375">
        <v>60657</v>
      </c>
      <c r="K7375">
        <v>4652</v>
      </c>
      <c r="L7375" t="s">
        <v>23</v>
      </c>
      <c r="M7375" t="s">
        <v>17387</v>
      </c>
      <c r="N7375" t="s">
        <v>134</v>
      </c>
      <c r="O7375" t="s">
        <v>135</v>
      </c>
      <c r="P7375">
        <v>60657</v>
      </c>
      <c r="Q7375">
        <v>4652</v>
      </c>
      <c r="R7375" t="s">
        <v>23</v>
      </c>
      <c r="S7375" s="1" t="s">
        <v>34218</v>
      </c>
    </row>
    <row r="7376" spans="1:19" x14ac:dyDescent="0.25">
      <c r="A7376">
        <v>100990056</v>
      </c>
      <c r="B7376" t="s">
        <v>10757</v>
      </c>
      <c r="C7376" t="s">
        <v>3482</v>
      </c>
      <c r="G7376" t="s">
        <v>17388</v>
      </c>
      <c r="H7376" t="s">
        <v>17389</v>
      </c>
      <c r="I7376" t="s">
        <v>236</v>
      </c>
      <c r="J7376">
        <v>1748</v>
      </c>
      <c r="K7376">
        <v>2407</v>
      </c>
      <c r="L7376" t="s">
        <v>23</v>
      </c>
      <c r="M7376" t="s">
        <v>17388</v>
      </c>
      <c r="N7376" t="s">
        <v>17389</v>
      </c>
      <c r="O7376" t="s">
        <v>236</v>
      </c>
      <c r="P7376">
        <v>1748</v>
      </c>
      <c r="Q7376">
        <v>2407</v>
      </c>
      <c r="R7376" t="s">
        <v>23</v>
      </c>
      <c r="S7376" s="1" t="s">
        <v>34218</v>
      </c>
    </row>
    <row r="7377" spans="1:19" x14ac:dyDescent="0.25">
      <c r="A7377">
        <v>100993768</v>
      </c>
      <c r="B7377" t="s">
        <v>2870</v>
      </c>
      <c r="C7377" t="s">
        <v>1977</v>
      </c>
      <c r="G7377" t="s">
        <v>17390</v>
      </c>
      <c r="H7377" t="s">
        <v>139</v>
      </c>
      <c r="I7377" t="s">
        <v>178</v>
      </c>
      <c r="J7377">
        <v>44705</v>
      </c>
      <c r="K7377">
        <v>3131</v>
      </c>
      <c r="L7377" t="s">
        <v>23</v>
      </c>
      <c r="M7377" t="s">
        <v>17390</v>
      </c>
      <c r="N7377" t="s">
        <v>139</v>
      </c>
      <c r="O7377" t="s">
        <v>178</v>
      </c>
      <c r="P7377">
        <v>44705</v>
      </c>
      <c r="Q7377">
        <v>3131</v>
      </c>
      <c r="R7377" t="s">
        <v>23</v>
      </c>
      <c r="S7377" s="1" t="s">
        <v>34218</v>
      </c>
    </row>
    <row r="7378" spans="1:19" x14ac:dyDescent="0.25">
      <c r="A7378">
        <v>100995225</v>
      </c>
      <c r="B7378" t="s">
        <v>17129</v>
      </c>
      <c r="C7378" t="s">
        <v>1965</v>
      </c>
      <c r="G7378" t="s">
        <v>17391</v>
      </c>
      <c r="H7378" t="s">
        <v>8166</v>
      </c>
      <c r="I7378" t="s">
        <v>33</v>
      </c>
      <c r="J7378">
        <v>17022</v>
      </c>
      <c r="K7378">
        <v>1524</v>
      </c>
      <c r="L7378" t="s">
        <v>23</v>
      </c>
      <c r="M7378" t="s">
        <v>17391</v>
      </c>
      <c r="N7378" t="s">
        <v>8166</v>
      </c>
      <c r="O7378" t="s">
        <v>33</v>
      </c>
      <c r="P7378">
        <v>17022</v>
      </c>
      <c r="Q7378">
        <v>1524</v>
      </c>
      <c r="R7378" t="s">
        <v>23</v>
      </c>
      <c r="S7378" s="1" t="s">
        <v>34218</v>
      </c>
    </row>
    <row r="7379" spans="1:19" x14ac:dyDescent="0.25">
      <c r="A7379">
        <v>100993951</v>
      </c>
      <c r="B7379" t="s">
        <v>17392</v>
      </c>
      <c r="C7379" t="s">
        <v>7058</v>
      </c>
      <c r="G7379" t="s">
        <v>17393</v>
      </c>
      <c r="H7379" t="s">
        <v>12692</v>
      </c>
      <c r="I7379" t="s">
        <v>28</v>
      </c>
      <c r="J7379">
        <v>30022</v>
      </c>
      <c r="K7379">
        <v>1053</v>
      </c>
      <c r="L7379" t="s">
        <v>23</v>
      </c>
      <c r="M7379" t="s">
        <v>17393</v>
      </c>
      <c r="N7379" t="s">
        <v>12692</v>
      </c>
      <c r="O7379" t="s">
        <v>28</v>
      </c>
      <c r="P7379">
        <v>30022</v>
      </c>
      <c r="Q7379">
        <v>1053</v>
      </c>
      <c r="R7379" t="s">
        <v>23</v>
      </c>
      <c r="S7379" s="1" t="s">
        <v>34218</v>
      </c>
    </row>
    <row r="7380" spans="1:19" x14ac:dyDescent="0.25">
      <c r="A7380">
        <v>100996151</v>
      </c>
      <c r="B7380" t="s">
        <v>17394</v>
      </c>
      <c r="C7380" t="s">
        <v>4299</v>
      </c>
      <c r="G7380" t="s">
        <v>17395</v>
      </c>
      <c r="H7380" t="s">
        <v>227</v>
      </c>
      <c r="I7380" t="s">
        <v>43</v>
      </c>
      <c r="J7380">
        <v>97211</v>
      </c>
      <c r="K7380">
        <v>4070</v>
      </c>
      <c r="L7380" t="s">
        <v>23</v>
      </c>
      <c r="M7380" t="s">
        <v>17395</v>
      </c>
      <c r="N7380" t="s">
        <v>227</v>
      </c>
      <c r="O7380" t="s">
        <v>43</v>
      </c>
      <c r="P7380">
        <v>97211</v>
      </c>
      <c r="Q7380">
        <v>4070</v>
      </c>
      <c r="R7380" t="s">
        <v>23</v>
      </c>
      <c r="S7380" s="1" t="s">
        <v>34218</v>
      </c>
    </row>
    <row r="7381" spans="1:19" x14ac:dyDescent="0.25">
      <c r="A7381">
        <v>100994993</v>
      </c>
      <c r="B7381" t="s">
        <v>17396</v>
      </c>
      <c r="C7381" t="s">
        <v>1887</v>
      </c>
      <c r="G7381" t="s">
        <v>17397</v>
      </c>
      <c r="H7381" t="s">
        <v>3236</v>
      </c>
      <c r="I7381" t="s">
        <v>71</v>
      </c>
      <c r="J7381">
        <v>80603</v>
      </c>
      <c r="K7381">
        <v>8840</v>
      </c>
      <c r="L7381" t="s">
        <v>23</v>
      </c>
      <c r="M7381" t="s">
        <v>17397</v>
      </c>
      <c r="N7381" t="s">
        <v>3236</v>
      </c>
      <c r="O7381" t="s">
        <v>71</v>
      </c>
      <c r="P7381">
        <v>80603</v>
      </c>
      <c r="Q7381">
        <v>8840</v>
      </c>
      <c r="R7381" t="s">
        <v>23</v>
      </c>
      <c r="S7381" s="1" t="s">
        <v>34218</v>
      </c>
    </row>
    <row r="7382" spans="1:19" x14ac:dyDescent="0.25">
      <c r="A7382">
        <v>100997146</v>
      </c>
      <c r="B7382" t="s">
        <v>3109</v>
      </c>
      <c r="C7382" t="s">
        <v>7445</v>
      </c>
      <c r="G7382" t="s">
        <v>17398</v>
      </c>
      <c r="H7382" t="s">
        <v>1400</v>
      </c>
      <c r="I7382" t="s">
        <v>22</v>
      </c>
      <c r="J7382">
        <v>93307</v>
      </c>
      <c r="K7382">
        <v>2864</v>
      </c>
      <c r="L7382" t="s">
        <v>23</v>
      </c>
      <c r="M7382" t="s">
        <v>17398</v>
      </c>
      <c r="N7382" t="s">
        <v>1400</v>
      </c>
      <c r="O7382" t="s">
        <v>22</v>
      </c>
      <c r="P7382">
        <v>93307</v>
      </c>
      <c r="Q7382">
        <v>2864</v>
      </c>
      <c r="R7382" t="s">
        <v>23</v>
      </c>
      <c r="S7382" s="1" t="s">
        <v>34218</v>
      </c>
    </row>
    <row r="7383" spans="1:19" x14ac:dyDescent="0.25">
      <c r="A7383">
        <v>100995883</v>
      </c>
      <c r="B7383" t="s">
        <v>12296</v>
      </c>
      <c r="C7383" t="s">
        <v>5613</v>
      </c>
      <c r="G7383" t="s">
        <v>17399</v>
      </c>
      <c r="H7383" t="s">
        <v>17400</v>
      </c>
      <c r="I7383" t="s">
        <v>332</v>
      </c>
      <c r="J7383">
        <v>84606</v>
      </c>
      <c r="K7383">
        <v>6709</v>
      </c>
      <c r="L7383" t="s">
        <v>23</v>
      </c>
      <c r="M7383" t="s">
        <v>17399</v>
      </c>
      <c r="N7383" t="s">
        <v>17400</v>
      </c>
      <c r="O7383" t="s">
        <v>332</v>
      </c>
      <c r="P7383">
        <v>84606</v>
      </c>
      <c r="Q7383">
        <v>6709</v>
      </c>
      <c r="R7383" t="s">
        <v>23</v>
      </c>
      <c r="S7383" s="1" t="s">
        <v>34218</v>
      </c>
    </row>
    <row r="7384" spans="1:19" x14ac:dyDescent="0.25">
      <c r="A7384">
        <v>101004408</v>
      </c>
      <c r="B7384" t="s">
        <v>966</v>
      </c>
      <c r="C7384" t="s">
        <v>329</v>
      </c>
      <c r="G7384" t="s">
        <v>17401</v>
      </c>
      <c r="H7384" t="s">
        <v>454</v>
      </c>
      <c r="I7384" t="s">
        <v>22</v>
      </c>
      <c r="J7384">
        <v>93065</v>
      </c>
      <c r="K7384">
        <v>4217</v>
      </c>
      <c r="L7384" t="s">
        <v>23</v>
      </c>
      <c r="M7384" t="s">
        <v>17401</v>
      </c>
      <c r="N7384" t="s">
        <v>454</v>
      </c>
      <c r="O7384" t="s">
        <v>22</v>
      </c>
      <c r="P7384">
        <v>93065</v>
      </c>
      <c r="Q7384">
        <v>4217</v>
      </c>
      <c r="R7384" t="s">
        <v>23</v>
      </c>
      <c r="S7384" s="1" t="s">
        <v>34218</v>
      </c>
    </row>
    <row r="7385" spans="1:19" x14ac:dyDescent="0.25">
      <c r="A7385">
        <v>100999797</v>
      </c>
      <c r="B7385" t="s">
        <v>17402</v>
      </c>
      <c r="C7385" t="s">
        <v>132</v>
      </c>
      <c r="G7385" t="s">
        <v>17403</v>
      </c>
      <c r="H7385" t="s">
        <v>1857</v>
      </c>
      <c r="I7385" t="s">
        <v>702</v>
      </c>
      <c r="J7385">
        <v>89509</v>
      </c>
      <c r="K7385">
        <v>2631</v>
      </c>
      <c r="L7385" t="s">
        <v>23</v>
      </c>
      <c r="M7385" t="s">
        <v>17403</v>
      </c>
      <c r="N7385" t="s">
        <v>1857</v>
      </c>
      <c r="O7385" t="s">
        <v>702</v>
      </c>
      <c r="P7385">
        <v>89509</v>
      </c>
      <c r="Q7385">
        <v>2631</v>
      </c>
      <c r="R7385" t="s">
        <v>23</v>
      </c>
      <c r="S7385" s="1" t="s">
        <v>34218</v>
      </c>
    </row>
    <row r="7386" spans="1:19" x14ac:dyDescent="0.25">
      <c r="A7386">
        <v>101002880</v>
      </c>
      <c r="B7386" t="s">
        <v>17404</v>
      </c>
      <c r="C7386" t="s">
        <v>1002</v>
      </c>
      <c r="G7386" t="s">
        <v>17405</v>
      </c>
      <c r="H7386" t="s">
        <v>17406</v>
      </c>
      <c r="I7386" t="s">
        <v>22</v>
      </c>
      <c r="J7386">
        <v>92320</v>
      </c>
      <c r="K7386">
        <v>2205</v>
      </c>
      <c r="L7386" t="s">
        <v>23</v>
      </c>
      <c r="M7386" t="s">
        <v>17405</v>
      </c>
      <c r="N7386" t="s">
        <v>17406</v>
      </c>
      <c r="O7386" t="s">
        <v>22</v>
      </c>
      <c r="P7386">
        <v>92320</v>
      </c>
      <c r="Q7386">
        <v>2205</v>
      </c>
      <c r="R7386" t="s">
        <v>23</v>
      </c>
      <c r="S7386" s="1" t="s">
        <v>34218</v>
      </c>
    </row>
    <row r="7387" spans="1:19" x14ac:dyDescent="0.25">
      <c r="A7387">
        <v>101003509</v>
      </c>
      <c r="B7387" t="s">
        <v>3228</v>
      </c>
      <c r="C7387" t="s">
        <v>1933</v>
      </c>
      <c r="G7387" t="s">
        <v>17407</v>
      </c>
      <c r="H7387" t="s">
        <v>10328</v>
      </c>
      <c r="I7387" t="s">
        <v>307</v>
      </c>
      <c r="J7387">
        <v>5443</v>
      </c>
      <c r="K7387">
        <v>5106</v>
      </c>
      <c r="L7387" t="s">
        <v>23</v>
      </c>
      <c r="M7387" t="s">
        <v>17407</v>
      </c>
      <c r="N7387" t="s">
        <v>10328</v>
      </c>
      <c r="O7387" t="s">
        <v>307</v>
      </c>
      <c r="P7387">
        <v>5443</v>
      </c>
      <c r="Q7387">
        <v>5106</v>
      </c>
      <c r="R7387" t="s">
        <v>23</v>
      </c>
      <c r="S7387" s="1" t="s">
        <v>34218</v>
      </c>
    </row>
    <row r="7388" spans="1:19" x14ac:dyDescent="0.25">
      <c r="A7388">
        <v>101003542</v>
      </c>
      <c r="B7388" t="s">
        <v>17408</v>
      </c>
      <c r="C7388" t="s">
        <v>2127</v>
      </c>
      <c r="G7388" t="s">
        <v>17409</v>
      </c>
      <c r="H7388" t="s">
        <v>134</v>
      </c>
      <c r="I7388" t="s">
        <v>135</v>
      </c>
      <c r="J7388">
        <v>60645</v>
      </c>
      <c r="K7388">
        <v>4618</v>
      </c>
      <c r="L7388" t="s">
        <v>23</v>
      </c>
      <c r="M7388" t="s">
        <v>17409</v>
      </c>
      <c r="N7388" t="s">
        <v>134</v>
      </c>
      <c r="O7388" t="s">
        <v>135</v>
      </c>
      <c r="P7388">
        <v>60645</v>
      </c>
      <c r="Q7388">
        <v>4618</v>
      </c>
      <c r="R7388" t="s">
        <v>23</v>
      </c>
      <c r="S7388" s="1" t="s">
        <v>34218</v>
      </c>
    </row>
    <row r="7389" spans="1:19" x14ac:dyDescent="0.25">
      <c r="A7389">
        <v>101010341</v>
      </c>
      <c r="B7389" t="s">
        <v>4376</v>
      </c>
      <c r="C7389" t="s">
        <v>251</v>
      </c>
      <c r="G7389" t="s">
        <v>17410</v>
      </c>
      <c r="H7389" t="s">
        <v>3130</v>
      </c>
      <c r="I7389" t="s">
        <v>38</v>
      </c>
      <c r="J7389">
        <v>75707</v>
      </c>
      <c r="K7389">
        <v>4228</v>
      </c>
      <c r="L7389" t="s">
        <v>23</v>
      </c>
      <c r="M7389" t="s">
        <v>17410</v>
      </c>
      <c r="N7389" t="s">
        <v>3130</v>
      </c>
      <c r="O7389" t="s">
        <v>38</v>
      </c>
      <c r="P7389">
        <v>75707</v>
      </c>
      <c r="Q7389">
        <v>4228</v>
      </c>
      <c r="R7389" t="s">
        <v>23</v>
      </c>
      <c r="S7389" s="1" t="s">
        <v>34218</v>
      </c>
    </row>
    <row r="7390" spans="1:19" x14ac:dyDescent="0.25">
      <c r="A7390">
        <v>101010712</v>
      </c>
      <c r="B7390" t="s">
        <v>3857</v>
      </c>
      <c r="C7390" t="s">
        <v>2343</v>
      </c>
      <c r="G7390" t="s">
        <v>17411</v>
      </c>
      <c r="H7390" t="s">
        <v>2309</v>
      </c>
      <c r="I7390" t="s">
        <v>236</v>
      </c>
      <c r="J7390">
        <v>1887</v>
      </c>
      <c r="K7390">
        <v>2898</v>
      </c>
      <c r="L7390" t="s">
        <v>23</v>
      </c>
      <c r="M7390" t="s">
        <v>17411</v>
      </c>
      <c r="N7390" t="s">
        <v>2309</v>
      </c>
      <c r="O7390" t="s">
        <v>236</v>
      </c>
      <c r="P7390">
        <v>1887</v>
      </c>
      <c r="Q7390">
        <v>2898</v>
      </c>
      <c r="R7390" t="s">
        <v>23</v>
      </c>
      <c r="S7390" s="1" t="s">
        <v>34218</v>
      </c>
    </row>
    <row r="7391" spans="1:19" x14ac:dyDescent="0.25">
      <c r="A7391">
        <v>101018411</v>
      </c>
      <c r="B7391" t="s">
        <v>6257</v>
      </c>
      <c r="C7391" t="s">
        <v>180</v>
      </c>
      <c r="G7391" t="s">
        <v>17412</v>
      </c>
      <c r="H7391" t="s">
        <v>4186</v>
      </c>
      <c r="I7391" t="s">
        <v>84</v>
      </c>
      <c r="J7391">
        <v>98052</v>
      </c>
      <c r="K7391">
        <v>1974</v>
      </c>
      <c r="L7391" t="s">
        <v>23</v>
      </c>
      <c r="M7391" t="s">
        <v>17412</v>
      </c>
      <c r="N7391" t="s">
        <v>4186</v>
      </c>
      <c r="O7391" t="s">
        <v>84</v>
      </c>
      <c r="P7391">
        <v>98052</v>
      </c>
      <c r="Q7391">
        <v>1974</v>
      </c>
      <c r="R7391" t="s">
        <v>23</v>
      </c>
      <c r="S7391" s="1" t="s">
        <v>34218</v>
      </c>
    </row>
    <row r="7392" spans="1:19" x14ac:dyDescent="0.25">
      <c r="A7392">
        <v>101200424</v>
      </c>
      <c r="B7392" t="s">
        <v>17413</v>
      </c>
      <c r="C7392" t="s">
        <v>846</v>
      </c>
      <c r="G7392" t="s">
        <v>17414</v>
      </c>
      <c r="H7392" t="s">
        <v>125</v>
      </c>
      <c r="I7392" t="s">
        <v>126</v>
      </c>
      <c r="J7392">
        <v>63130</v>
      </c>
      <c r="K7392">
        <v>1205</v>
      </c>
      <c r="L7392" t="s">
        <v>23</v>
      </c>
      <c r="M7392" t="s">
        <v>17414</v>
      </c>
      <c r="N7392" t="s">
        <v>125</v>
      </c>
      <c r="O7392" t="s">
        <v>126</v>
      </c>
      <c r="P7392">
        <v>63130</v>
      </c>
      <c r="Q7392">
        <v>1205</v>
      </c>
      <c r="R7392" t="s">
        <v>23</v>
      </c>
      <c r="S7392" s="1" t="s">
        <v>34218</v>
      </c>
    </row>
    <row r="7393" spans="1:19" x14ac:dyDescent="0.25">
      <c r="A7393">
        <v>101205537</v>
      </c>
      <c r="B7393" t="s">
        <v>17415</v>
      </c>
      <c r="C7393" t="s">
        <v>1205</v>
      </c>
      <c r="G7393" t="s">
        <v>17416</v>
      </c>
      <c r="H7393" t="s">
        <v>1531</v>
      </c>
      <c r="I7393" t="s">
        <v>84</v>
      </c>
      <c r="J7393">
        <v>98103</v>
      </c>
      <c r="K7393">
        <v>5110</v>
      </c>
      <c r="L7393" t="s">
        <v>23</v>
      </c>
      <c r="M7393" t="s">
        <v>17416</v>
      </c>
      <c r="N7393" t="s">
        <v>1531</v>
      </c>
      <c r="O7393" t="s">
        <v>84</v>
      </c>
      <c r="P7393">
        <v>98103</v>
      </c>
      <c r="Q7393">
        <v>5110</v>
      </c>
      <c r="R7393" t="s">
        <v>23</v>
      </c>
      <c r="S7393" s="1" t="s">
        <v>34218</v>
      </c>
    </row>
    <row r="7394" spans="1:19" x14ac:dyDescent="0.25">
      <c r="A7394">
        <v>101205093</v>
      </c>
      <c r="B7394" t="s">
        <v>17417</v>
      </c>
      <c r="C7394" t="s">
        <v>1581</v>
      </c>
      <c r="G7394" t="s">
        <v>17418</v>
      </c>
      <c r="H7394" t="s">
        <v>134</v>
      </c>
      <c r="I7394" t="s">
        <v>135</v>
      </c>
      <c r="J7394">
        <v>60618</v>
      </c>
      <c r="K7394">
        <v>7013</v>
      </c>
      <c r="L7394" t="s">
        <v>23</v>
      </c>
      <c r="M7394" t="s">
        <v>17418</v>
      </c>
      <c r="N7394" t="s">
        <v>134</v>
      </c>
      <c r="O7394" t="s">
        <v>135</v>
      </c>
      <c r="P7394">
        <v>60618</v>
      </c>
      <c r="Q7394">
        <v>7013</v>
      </c>
      <c r="R7394" t="s">
        <v>23</v>
      </c>
      <c r="S7394" s="1" t="s">
        <v>34218</v>
      </c>
    </row>
    <row r="7395" spans="1:19" x14ac:dyDescent="0.25">
      <c r="A7395">
        <v>101207817</v>
      </c>
      <c r="B7395" t="s">
        <v>17419</v>
      </c>
      <c r="C7395" t="s">
        <v>1161</v>
      </c>
      <c r="G7395" t="s">
        <v>17420</v>
      </c>
      <c r="H7395" t="s">
        <v>17267</v>
      </c>
      <c r="I7395" t="s">
        <v>84</v>
      </c>
      <c r="J7395">
        <v>98252</v>
      </c>
      <c r="L7395" t="s">
        <v>23</v>
      </c>
      <c r="M7395" t="s">
        <v>17420</v>
      </c>
      <c r="N7395" t="s">
        <v>17267</v>
      </c>
      <c r="O7395" t="s">
        <v>84</v>
      </c>
      <c r="P7395">
        <v>98252</v>
      </c>
      <c r="R7395" t="s">
        <v>23</v>
      </c>
      <c r="S7395" s="1" t="s">
        <v>34218</v>
      </c>
    </row>
    <row r="7396" spans="1:19" x14ac:dyDescent="0.25">
      <c r="A7396">
        <v>101206831</v>
      </c>
      <c r="B7396" t="s">
        <v>3857</v>
      </c>
      <c r="C7396" t="s">
        <v>707</v>
      </c>
      <c r="G7396" t="s">
        <v>17421</v>
      </c>
      <c r="H7396" t="s">
        <v>5512</v>
      </c>
      <c r="I7396" t="s">
        <v>2537</v>
      </c>
      <c r="J7396">
        <v>72653</v>
      </c>
      <c r="K7396">
        <v>8364</v>
      </c>
      <c r="L7396" t="s">
        <v>23</v>
      </c>
      <c r="M7396" t="s">
        <v>17421</v>
      </c>
      <c r="N7396" t="s">
        <v>5512</v>
      </c>
      <c r="O7396" t="s">
        <v>2537</v>
      </c>
      <c r="P7396">
        <v>72653</v>
      </c>
      <c r="Q7396">
        <v>8364</v>
      </c>
      <c r="R7396" t="s">
        <v>23</v>
      </c>
      <c r="S7396" s="1" t="s">
        <v>34218</v>
      </c>
    </row>
    <row r="7397" spans="1:19" x14ac:dyDescent="0.25">
      <c r="A7397">
        <v>101208808</v>
      </c>
      <c r="B7397" t="s">
        <v>13248</v>
      </c>
      <c r="C7397" t="s">
        <v>17422</v>
      </c>
      <c r="G7397" t="s">
        <v>17423</v>
      </c>
      <c r="H7397" t="s">
        <v>11122</v>
      </c>
      <c r="I7397" t="s">
        <v>178</v>
      </c>
      <c r="J7397">
        <v>44256</v>
      </c>
      <c r="K7397">
        <v>2321</v>
      </c>
      <c r="L7397" t="s">
        <v>23</v>
      </c>
      <c r="M7397" t="s">
        <v>17423</v>
      </c>
      <c r="N7397" t="s">
        <v>11122</v>
      </c>
      <c r="O7397" t="s">
        <v>178</v>
      </c>
      <c r="P7397">
        <v>44256</v>
      </c>
      <c r="Q7397">
        <v>2321</v>
      </c>
      <c r="R7397" t="s">
        <v>23</v>
      </c>
      <c r="S7397" s="1" t="s">
        <v>34218</v>
      </c>
    </row>
    <row r="7398" spans="1:19" x14ac:dyDescent="0.25">
      <c r="A7398">
        <v>101204577</v>
      </c>
      <c r="B7398" t="s">
        <v>17424</v>
      </c>
      <c r="C7398" t="s">
        <v>1422</v>
      </c>
      <c r="F7398" t="str">
        <f>"9413834205"</f>
        <v>9413834205</v>
      </c>
      <c r="G7398" t="s">
        <v>17425</v>
      </c>
      <c r="H7398" t="s">
        <v>17426</v>
      </c>
      <c r="I7398" t="s">
        <v>52</v>
      </c>
      <c r="J7398">
        <v>34228</v>
      </c>
      <c r="K7398">
        <v>1813</v>
      </c>
      <c r="L7398" t="s">
        <v>23</v>
      </c>
      <c r="M7398" t="s">
        <v>17425</v>
      </c>
      <c r="N7398" t="s">
        <v>17426</v>
      </c>
      <c r="O7398" t="s">
        <v>52</v>
      </c>
      <c r="P7398">
        <v>34228</v>
      </c>
      <c r="Q7398">
        <v>1813</v>
      </c>
      <c r="R7398" t="s">
        <v>23</v>
      </c>
      <c r="S7398" s="1" t="s">
        <v>34218</v>
      </c>
    </row>
    <row r="7399" spans="1:19" x14ac:dyDescent="0.25">
      <c r="A7399">
        <v>101217012</v>
      </c>
      <c r="B7399" t="s">
        <v>8856</v>
      </c>
      <c r="C7399" t="s">
        <v>90</v>
      </c>
      <c r="G7399" t="s">
        <v>17427</v>
      </c>
      <c r="H7399" t="s">
        <v>17428</v>
      </c>
      <c r="I7399" t="s">
        <v>117</v>
      </c>
      <c r="J7399">
        <v>10549</v>
      </c>
      <c r="K7399">
        <v>4910</v>
      </c>
      <c r="L7399" t="s">
        <v>23</v>
      </c>
      <c r="M7399" t="s">
        <v>17427</v>
      </c>
      <c r="N7399" t="s">
        <v>17428</v>
      </c>
      <c r="O7399" t="s">
        <v>117</v>
      </c>
      <c r="P7399">
        <v>10549</v>
      </c>
      <c r="Q7399">
        <v>4910</v>
      </c>
      <c r="R7399" t="s">
        <v>23</v>
      </c>
      <c r="S7399" s="1" t="s">
        <v>34218</v>
      </c>
    </row>
    <row r="7400" spans="1:19" x14ac:dyDescent="0.25">
      <c r="A7400">
        <v>101217904</v>
      </c>
      <c r="B7400" t="s">
        <v>17429</v>
      </c>
      <c r="C7400" t="s">
        <v>2509</v>
      </c>
      <c r="G7400" t="s">
        <v>17430</v>
      </c>
      <c r="H7400" t="s">
        <v>17431</v>
      </c>
      <c r="I7400" t="s">
        <v>140</v>
      </c>
      <c r="J7400">
        <v>49095</v>
      </c>
      <c r="K7400">
        <v>9743</v>
      </c>
      <c r="L7400" t="s">
        <v>23</v>
      </c>
      <c r="M7400" t="s">
        <v>17430</v>
      </c>
      <c r="N7400" t="s">
        <v>17431</v>
      </c>
      <c r="O7400" t="s">
        <v>140</v>
      </c>
      <c r="P7400">
        <v>49095</v>
      </c>
      <c r="Q7400">
        <v>9743</v>
      </c>
      <c r="R7400" t="s">
        <v>23</v>
      </c>
      <c r="S7400" s="1" t="s">
        <v>34218</v>
      </c>
    </row>
    <row r="7401" spans="1:19" x14ac:dyDescent="0.25">
      <c r="A7401">
        <v>101225165</v>
      </c>
      <c r="B7401" t="s">
        <v>1274</v>
      </c>
      <c r="C7401" t="s">
        <v>17432</v>
      </c>
      <c r="G7401" t="s">
        <v>17433</v>
      </c>
      <c r="H7401" t="s">
        <v>17434</v>
      </c>
      <c r="I7401" t="s">
        <v>140</v>
      </c>
      <c r="J7401">
        <v>48455</v>
      </c>
      <c r="K7401">
        <v>9380</v>
      </c>
      <c r="L7401" t="s">
        <v>23</v>
      </c>
      <c r="M7401" t="s">
        <v>17433</v>
      </c>
      <c r="N7401" t="s">
        <v>17434</v>
      </c>
      <c r="O7401" t="s">
        <v>140</v>
      </c>
      <c r="P7401">
        <v>48455</v>
      </c>
      <c r="Q7401">
        <v>9380</v>
      </c>
      <c r="R7401" t="s">
        <v>23</v>
      </c>
      <c r="S7401" s="1" t="s">
        <v>34218</v>
      </c>
    </row>
    <row r="7402" spans="1:19" x14ac:dyDescent="0.25">
      <c r="A7402">
        <v>101223108</v>
      </c>
      <c r="B7402" t="s">
        <v>5893</v>
      </c>
      <c r="C7402" t="s">
        <v>585</v>
      </c>
      <c r="G7402" t="s">
        <v>17435</v>
      </c>
      <c r="H7402" t="s">
        <v>17436</v>
      </c>
      <c r="I7402" t="s">
        <v>52</v>
      </c>
      <c r="J7402">
        <v>32903</v>
      </c>
      <c r="K7402">
        <v>4604</v>
      </c>
      <c r="L7402" t="s">
        <v>23</v>
      </c>
      <c r="M7402" t="s">
        <v>17435</v>
      </c>
      <c r="N7402" t="s">
        <v>17436</v>
      </c>
      <c r="O7402" t="s">
        <v>52</v>
      </c>
      <c r="P7402">
        <v>32903</v>
      </c>
      <c r="Q7402">
        <v>4604</v>
      </c>
      <c r="R7402" t="s">
        <v>23</v>
      </c>
      <c r="S7402" s="1" t="s">
        <v>34218</v>
      </c>
    </row>
    <row r="7403" spans="1:19" x14ac:dyDescent="0.25">
      <c r="A7403">
        <v>101416818</v>
      </c>
      <c r="B7403" t="s">
        <v>37</v>
      </c>
      <c r="C7403" t="s">
        <v>2846</v>
      </c>
      <c r="G7403" t="s">
        <v>17437</v>
      </c>
      <c r="H7403" t="s">
        <v>4367</v>
      </c>
      <c r="I7403" t="s">
        <v>148</v>
      </c>
      <c r="J7403">
        <v>21078</v>
      </c>
      <c r="K7403">
        <v>4246</v>
      </c>
      <c r="L7403" t="s">
        <v>23</v>
      </c>
      <c r="M7403" t="s">
        <v>17437</v>
      </c>
      <c r="N7403" t="s">
        <v>4367</v>
      </c>
      <c r="O7403" t="s">
        <v>148</v>
      </c>
      <c r="P7403">
        <v>21078</v>
      </c>
      <c r="Q7403">
        <v>4246</v>
      </c>
      <c r="R7403" t="s">
        <v>23</v>
      </c>
      <c r="S7403" s="1" t="s">
        <v>34218</v>
      </c>
    </row>
    <row r="7404" spans="1:19" x14ac:dyDescent="0.25">
      <c r="A7404">
        <v>101291442</v>
      </c>
      <c r="B7404" t="s">
        <v>12977</v>
      </c>
      <c r="C7404" t="s">
        <v>1714</v>
      </c>
      <c r="G7404" t="s">
        <v>17438</v>
      </c>
      <c r="H7404" t="s">
        <v>1830</v>
      </c>
      <c r="I7404" t="s">
        <v>140</v>
      </c>
      <c r="J7404">
        <v>48205</v>
      </c>
      <c r="K7404">
        <v>1430</v>
      </c>
      <c r="L7404" t="s">
        <v>23</v>
      </c>
      <c r="M7404" t="s">
        <v>17438</v>
      </c>
      <c r="N7404" t="s">
        <v>1830</v>
      </c>
      <c r="O7404" t="s">
        <v>140</v>
      </c>
      <c r="P7404">
        <v>48205</v>
      </c>
      <c r="Q7404">
        <v>1430</v>
      </c>
      <c r="R7404" t="s">
        <v>23</v>
      </c>
      <c r="S7404" s="1" t="s">
        <v>34218</v>
      </c>
    </row>
    <row r="7405" spans="1:19" x14ac:dyDescent="0.25">
      <c r="A7405">
        <v>101466928</v>
      </c>
      <c r="B7405" t="s">
        <v>17439</v>
      </c>
      <c r="C7405" t="s">
        <v>1107</v>
      </c>
      <c r="G7405" t="s">
        <v>17440</v>
      </c>
      <c r="H7405" t="s">
        <v>1867</v>
      </c>
      <c r="I7405" t="s">
        <v>191</v>
      </c>
      <c r="J7405">
        <v>4027</v>
      </c>
      <c r="K7405">
        <v>4331</v>
      </c>
      <c r="L7405" t="s">
        <v>23</v>
      </c>
      <c r="M7405" t="s">
        <v>17440</v>
      </c>
      <c r="N7405" t="s">
        <v>1867</v>
      </c>
      <c r="O7405" t="s">
        <v>191</v>
      </c>
      <c r="P7405">
        <v>4027</v>
      </c>
      <c r="Q7405">
        <v>4331</v>
      </c>
      <c r="R7405" t="s">
        <v>23</v>
      </c>
      <c r="S7405" s="1" t="s">
        <v>34218</v>
      </c>
    </row>
    <row r="7406" spans="1:19" x14ac:dyDescent="0.25">
      <c r="A7406">
        <v>101466501</v>
      </c>
      <c r="B7406" t="s">
        <v>2829</v>
      </c>
      <c r="C7406" t="s">
        <v>49</v>
      </c>
      <c r="G7406" t="s">
        <v>17441</v>
      </c>
      <c r="H7406" t="s">
        <v>2375</v>
      </c>
      <c r="I7406" t="s">
        <v>100</v>
      </c>
      <c r="J7406">
        <v>53703</v>
      </c>
      <c r="K7406">
        <v>1819</v>
      </c>
      <c r="L7406" t="s">
        <v>23</v>
      </c>
      <c r="M7406" t="s">
        <v>17441</v>
      </c>
      <c r="N7406" t="s">
        <v>2375</v>
      </c>
      <c r="O7406" t="s">
        <v>100</v>
      </c>
      <c r="P7406">
        <v>53703</v>
      </c>
      <c r="Q7406">
        <v>1819</v>
      </c>
      <c r="R7406" t="s">
        <v>23</v>
      </c>
      <c r="S7406" s="1" t="s">
        <v>34218</v>
      </c>
    </row>
    <row r="7407" spans="1:19" x14ac:dyDescent="0.25">
      <c r="A7407">
        <v>101466728</v>
      </c>
      <c r="B7407" t="s">
        <v>17442</v>
      </c>
      <c r="C7407" t="s">
        <v>4719</v>
      </c>
      <c r="G7407" t="s">
        <v>17443</v>
      </c>
      <c r="H7407" t="s">
        <v>2077</v>
      </c>
      <c r="I7407" t="s">
        <v>187</v>
      </c>
      <c r="J7407">
        <v>55057</v>
      </c>
      <c r="K7407">
        <v>2256</v>
      </c>
      <c r="L7407" t="s">
        <v>23</v>
      </c>
      <c r="M7407" t="s">
        <v>17443</v>
      </c>
      <c r="N7407" t="s">
        <v>2077</v>
      </c>
      <c r="O7407" t="s">
        <v>187</v>
      </c>
      <c r="P7407">
        <v>55057</v>
      </c>
      <c r="Q7407">
        <v>2256</v>
      </c>
      <c r="R7407" t="s">
        <v>23</v>
      </c>
      <c r="S7407" s="1" t="s">
        <v>34218</v>
      </c>
    </row>
    <row r="7408" spans="1:19" x14ac:dyDescent="0.25">
      <c r="A7408">
        <v>101413670</v>
      </c>
      <c r="B7408" t="s">
        <v>11365</v>
      </c>
      <c r="C7408" t="s">
        <v>12821</v>
      </c>
      <c r="G7408" t="s">
        <v>17444</v>
      </c>
      <c r="H7408" t="s">
        <v>8037</v>
      </c>
      <c r="I7408" t="s">
        <v>117</v>
      </c>
      <c r="J7408">
        <v>11368</v>
      </c>
      <c r="L7408" t="s">
        <v>23</v>
      </c>
      <c r="M7408" t="s">
        <v>17444</v>
      </c>
      <c r="N7408" t="s">
        <v>8037</v>
      </c>
      <c r="O7408" t="s">
        <v>117</v>
      </c>
      <c r="P7408">
        <v>11368</v>
      </c>
      <c r="R7408" t="s">
        <v>23</v>
      </c>
      <c r="S7408" s="1" t="s">
        <v>34218</v>
      </c>
    </row>
    <row r="7409" spans="1:19" x14ac:dyDescent="0.25">
      <c r="A7409">
        <v>101468882</v>
      </c>
      <c r="B7409" t="s">
        <v>17445</v>
      </c>
      <c r="C7409" t="s">
        <v>123</v>
      </c>
      <c r="G7409" t="s">
        <v>17446</v>
      </c>
      <c r="H7409" t="s">
        <v>66</v>
      </c>
      <c r="I7409" t="s">
        <v>22</v>
      </c>
      <c r="J7409">
        <v>94708</v>
      </c>
      <c r="K7409">
        <v>1229</v>
      </c>
      <c r="L7409" t="s">
        <v>23</v>
      </c>
      <c r="M7409" t="s">
        <v>17446</v>
      </c>
      <c r="N7409" t="s">
        <v>66</v>
      </c>
      <c r="O7409" t="s">
        <v>22</v>
      </c>
      <c r="P7409">
        <v>94708</v>
      </c>
      <c r="Q7409">
        <v>1229</v>
      </c>
      <c r="R7409" t="s">
        <v>23</v>
      </c>
      <c r="S7409" s="1" t="s">
        <v>34218</v>
      </c>
    </row>
    <row r="7410" spans="1:19" x14ac:dyDescent="0.25">
      <c r="A7410">
        <v>100537625</v>
      </c>
      <c r="B7410" t="s">
        <v>1160</v>
      </c>
      <c r="C7410" t="s">
        <v>25</v>
      </c>
      <c r="G7410" t="s">
        <v>17447</v>
      </c>
      <c r="H7410" t="s">
        <v>6005</v>
      </c>
      <c r="I7410" t="s">
        <v>84</v>
      </c>
      <c r="J7410">
        <v>98672</v>
      </c>
      <c r="K7410">
        <v>70</v>
      </c>
      <c r="L7410" t="s">
        <v>23</v>
      </c>
      <c r="M7410" t="s">
        <v>17447</v>
      </c>
      <c r="N7410" t="s">
        <v>6005</v>
      </c>
      <c r="O7410" t="s">
        <v>84</v>
      </c>
      <c r="P7410">
        <v>98672</v>
      </c>
      <c r="Q7410">
        <v>70</v>
      </c>
      <c r="R7410" t="s">
        <v>23</v>
      </c>
      <c r="S7410" s="1" t="s">
        <v>34218</v>
      </c>
    </row>
    <row r="7411" spans="1:19" x14ac:dyDescent="0.25">
      <c r="A7411">
        <v>101465089</v>
      </c>
      <c r="B7411" t="s">
        <v>17448</v>
      </c>
      <c r="C7411" t="s">
        <v>613</v>
      </c>
      <c r="G7411" t="s">
        <v>17449</v>
      </c>
      <c r="H7411" t="s">
        <v>8140</v>
      </c>
      <c r="I7411" t="s">
        <v>22</v>
      </c>
      <c r="J7411">
        <v>91711</v>
      </c>
      <c r="K7411">
        <v>5425</v>
      </c>
      <c r="L7411" t="s">
        <v>23</v>
      </c>
      <c r="M7411" t="s">
        <v>17449</v>
      </c>
      <c r="N7411" t="s">
        <v>8140</v>
      </c>
      <c r="O7411" t="s">
        <v>22</v>
      </c>
      <c r="P7411">
        <v>91711</v>
      </c>
      <c r="Q7411">
        <v>5425</v>
      </c>
      <c r="R7411" t="s">
        <v>23</v>
      </c>
      <c r="S7411" s="1" t="s">
        <v>34218</v>
      </c>
    </row>
    <row r="7412" spans="1:19" x14ac:dyDescent="0.25">
      <c r="A7412">
        <v>101468910</v>
      </c>
      <c r="B7412" t="s">
        <v>12614</v>
      </c>
      <c r="C7412" t="s">
        <v>475</v>
      </c>
      <c r="G7412" t="s">
        <v>17450</v>
      </c>
      <c r="H7412" t="s">
        <v>9084</v>
      </c>
      <c r="I7412" t="s">
        <v>178</v>
      </c>
      <c r="J7412">
        <v>44145</v>
      </c>
      <c r="L7412" t="s">
        <v>23</v>
      </c>
      <c r="M7412" t="s">
        <v>17450</v>
      </c>
      <c r="N7412" t="s">
        <v>9084</v>
      </c>
      <c r="O7412" t="s">
        <v>178</v>
      </c>
      <c r="P7412">
        <v>44145</v>
      </c>
      <c r="R7412" t="s">
        <v>23</v>
      </c>
      <c r="S7412" s="1" t="s">
        <v>34218</v>
      </c>
    </row>
    <row r="7413" spans="1:19" x14ac:dyDescent="0.25">
      <c r="A7413">
        <v>101316435</v>
      </c>
      <c r="B7413" t="s">
        <v>17451</v>
      </c>
      <c r="C7413" t="s">
        <v>1398</v>
      </c>
      <c r="G7413" t="s">
        <v>17452</v>
      </c>
      <c r="H7413" t="s">
        <v>5845</v>
      </c>
      <c r="I7413" t="s">
        <v>22</v>
      </c>
      <c r="J7413">
        <v>95336</v>
      </c>
      <c r="K7413">
        <v>5191</v>
      </c>
      <c r="L7413" t="s">
        <v>23</v>
      </c>
      <c r="M7413" t="s">
        <v>17452</v>
      </c>
      <c r="N7413" t="s">
        <v>5845</v>
      </c>
      <c r="O7413" t="s">
        <v>22</v>
      </c>
      <c r="P7413">
        <v>95336</v>
      </c>
      <c r="Q7413">
        <v>5191</v>
      </c>
      <c r="R7413" t="s">
        <v>23</v>
      </c>
      <c r="S7413" s="1" t="s">
        <v>34218</v>
      </c>
    </row>
    <row r="7414" spans="1:19" x14ac:dyDescent="0.25">
      <c r="A7414">
        <v>101288056</v>
      </c>
      <c r="B7414" t="s">
        <v>17453</v>
      </c>
      <c r="C7414" t="s">
        <v>403</v>
      </c>
      <c r="G7414" t="s">
        <v>17454</v>
      </c>
      <c r="H7414" t="s">
        <v>17455</v>
      </c>
      <c r="I7414" t="s">
        <v>255</v>
      </c>
      <c r="J7414">
        <v>22644</v>
      </c>
      <c r="K7414">
        <v>2147</v>
      </c>
      <c r="L7414" t="s">
        <v>23</v>
      </c>
      <c r="M7414" t="s">
        <v>17454</v>
      </c>
      <c r="N7414" t="s">
        <v>17455</v>
      </c>
      <c r="O7414" t="s">
        <v>255</v>
      </c>
      <c r="P7414">
        <v>22644</v>
      </c>
      <c r="Q7414">
        <v>2147</v>
      </c>
      <c r="R7414" t="s">
        <v>23</v>
      </c>
      <c r="S7414" s="1" t="s">
        <v>34218</v>
      </c>
    </row>
    <row r="7415" spans="1:19" x14ac:dyDescent="0.25">
      <c r="A7415">
        <v>101289442</v>
      </c>
      <c r="B7415" t="s">
        <v>96</v>
      </c>
      <c r="C7415" t="s">
        <v>158</v>
      </c>
      <c r="F7415" t="str">
        <f>"2536380808"</f>
        <v>2536380808</v>
      </c>
      <c r="G7415" t="s">
        <v>17456</v>
      </c>
      <c r="H7415" t="s">
        <v>13750</v>
      </c>
      <c r="I7415" t="s">
        <v>84</v>
      </c>
      <c r="J7415">
        <v>98042</v>
      </c>
      <c r="K7415">
        <v>8285</v>
      </c>
      <c r="L7415" t="s">
        <v>23</v>
      </c>
      <c r="M7415" t="s">
        <v>17456</v>
      </c>
      <c r="N7415" t="s">
        <v>13750</v>
      </c>
      <c r="O7415" t="s">
        <v>84</v>
      </c>
      <c r="P7415">
        <v>98042</v>
      </c>
      <c r="Q7415">
        <v>8285</v>
      </c>
      <c r="R7415" t="s">
        <v>23</v>
      </c>
      <c r="S7415" s="1" t="s">
        <v>34218</v>
      </c>
    </row>
    <row r="7416" spans="1:19" x14ac:dyDescent="0.25">
      <c r="A7416">
        <v>101294826</v>
      </c>
      <c r="B7416" t="s">
        <v>826</v>
      </c>
      <c r="C7416" t="s">
        <v>49</v>
      </c>
      <c r="G7416" t="s">
        <v>17457</v>
      </c>
      <c r="H7416" t="s">
        <v>2399</v>
      </c>
      <c r="I7416" t="s">
        <v>71</v>
      </c>
      <c r="J7416">
        <v>80526</v>
      </c>
      <c r="K7416">
        <v>3422</v>
      </c>
      <c r="L7416" t="s">
        <v>23</v>
      </c>
      <c r="M7416" t="s">
        <v>17457</v>
      </c>
      <c r="N7416" t="s">
        <v>2399</v>
      </c>
      <c r="O7416" t="s">
        <v>71</v>
      </c>
      <c r="P7416">
        <v>80526</v>
      </c>
      <c r="Q7416">
        <v>3422</v>
      </c>
      <c r="R7416" t="s">
        <v>23</v>
      </c>
      <c r="S7416" s="1" t="s">
        <v>34218</v>
      </c>
    </row>
    <row r="7417" spans="1:19" x14ac:dyDescent="0.25">
      <c r="A7417">
        <v>101293976</v>
      </c>
      <c r="B7417" t="s">
        <v>654</v>
      </c>
      <c r="C7417" t="s">
        <v>627</v>
      </c>
      <c r="F7417" t="str">
        <f>"6163618218"</f>
        <v>6163618218</v>
      </c>
      <c r="G7417" t="s">
        <v>17458</v>
      </c>
      <c r="H7417" t="s">
        <v>1246</v>
      </c>
      <c r="I7417" t="s">
        <v>140</v>
      </c>
      <c r="J7417">
        <v>49505</v>
      </c>
      <c r="K7417">
        <v>3618</v>
      </c>
      <c r="L7417" t="s">
        <v>23</v>
      </c>
      <c r="M7417" t="s">
        <v>17458</v>
      </c>
      <c r="N7417" t="s">
        <v>1246</v>
      </c>
      <c r="O7417" t="s">
        <v>140</v>
      </c>
      <c r="P7417">
        <v>49505</v>
      </c>
      <c r="Q7417">
        <v>3618</v>
      </c>
      <c r="R7417" t="s">
        <v>23</v>
      </c>
      <c r="S7417" s="1" t="s">
        <v>34218</v>
      </c>
    </row>
    <row r="7418" spans="1:19" x14ac:dyDescent="0.25">
      <c r="A7418">
        <v>101292284</v>
      </c>
      <c r="B7418" t="s">
        <v>17459</v>
      </c>
      <c r="C7418" t="s">
        <v>17460</v>
      </c>
      <c r="G7418" t="s">
        <v>17461</v>
      </c>
      <c r="H7418" t="s">
        <v>66</v>
      </c>
      <c r="I7418" t="s">
        <v>22</v>
      </c>
      <c r="J7418">
        <v>94710</v>
      </c>
      <c r="K7418">
        <v>1844</v>
      </c>
      <c r="L7418" t="s">
        <v>23</v>
      </c>
      <c r="M7418" t="s">
        <v>17461</v>
      </c>
      <c r="N7418" t="s">
        <v>66</v>
      </c>
      <c r="O7418" t="s">
        <v>22</v>
      </c>
      <c r="P7418">
        <v>94710</v>
      </c>
      <c r="Q7418">
        <v>1844</v>
      </c>
      <c r="R7418" t="s">
        <v>23</v>
      </c>
      <c r="S7418" s="1" t="s">
        <v>34218</v>
      </c>
    </row>
    <row r="7419" spans="1:19" x14ac:dyDescent="0.25">
      <c r="A7419">
        <v>101278547</v>
      </c>
      <c r="B7419" t="s">
        <v>1017</v>
      </c>
      <c r="C7419" t="s">
        <v>1588</v>
      </c>
      <c r="F7419" t="str">
        <f>"6313242027"</f>
        <v>6313242027</v>
      </c>
      <c r="G7419" t="s">
        <v>17462</v>
      </c>
      <c r="H7419" t="s">
        <v>15259</v>
      </c>
      <c r="I7419" t="s">
        <v>117</v>
      </c>
      <c r="J7419">
        <v>11937</v>
      </c>
      <c r="K7419">
        <v>4621</v>
      </c>
      <c r="L7419" t="s">
        <v>23</v>
      </c>
      <c r="M7419" t="s">
        <v>17462</v>
      </c>
      <c r="N7419" t="s">
        <v>15259</v>
      </c>
      <c r="O7419" t="s">
        <v>117</v>
      </c>
      <c r="P7419">
        <v>11937</v>
      </c>
      <c r="Q7419">
        <v>4621</v>
      </c>
      <c r="R7419" t="s">
        <v>23</v>
      </c>
      <c r="S7419" s="1" t="s">
        <v>34218</v>
      </c>
    </row>
    <row r="7420" spans="1:19" x14ac:dyDescent="0.25">
      <c r="A7420">
        <v>101290603</v>
      </c>
      <c r="B7420" t="s">
        <v>17463</v>
      </c>
      <c r="C7420" t="s">
        <v>5868</v>
      </c>
      <c r="G7420" t="s">
        <v>17464</v>
      </c>
      <c r="H7420" t="s">
        <v>7162</v>
      </c>
      <c r="I7420" t="s">
        <v>38</v>
      </c>
      <c r="J7420">
        <v>77450</v>
      </c>
      <c r="K7420">
        <v>4224</v>
      </c>
      <c r="L7420" t="s">
        <v>23</v>
      </c>
      <c r="M7420" t="s">
        <v>17464</v>
      </c>
      <c r="N7420" t="s">
        <v>7162</v>
      </c>
      <c r="O7420" t="s">
        <v>38</v>
      </c>
      <c r="P7420">
        <v>77450</v>
      </c>
      <c r="Q7420">
        <v>4224</v>
      </c>
      <c r="R7420" t="s">
        <v>23</v>
      </c>
      <c r="S7420" s="1" t="s">
        <v>34218</v>
      </c>
    </row>
    <row r="7421" spans="1:19" x14ac:dyDescent="0.25">
      <c r="A7421">
        <v>101291188</v>
      </c>
      <c r="B7421" t="s">
        <v>1204</v>
      </c>
      <c r="C7421" t="s">
        <v>5507</v>
      </c>
      <c r="G7421" t="s">
        <v>17465</v>
      </c>
      <c r="H7421" t="s">
        <v>11847</v>
      </c>
      <c r="I7421" t="s">
        <v>117</v>
      </c>
      <c r="J7421">
        <v>10532</v>
      </c>
      <c r="K7421">
        <v>2050</v>
      </c>
      <c r="L7421" t="s">
        <v>23</v>
      </c>
      <c r="M7421" t="s">
        <v>17465</v>
      </c>
      <c r="N7421" t="s">
        <v>11847</v>
      </c>
      <c r="O7421" t="s">
        <v>117</v>
      </c>
      <c r="P7421">
        <v>10532</v>
      </c>
      <c r="Q7421">
        <v>2050</v>
      </c>
      <c r="R7421" t="s">
        <v>23</v>
      </c>
      <c r="S7421" s="1" t="s">
        <v>34218</v>
      </c>
    </row>
    <row r="7422" spans="1:19" x14ac:dyDescent="0.25">
      <c r="A7422">
        <v>101299028</v>
      </c>
      <c r="B7422" t="s">
        <v>1463</v>
      </c>
      <c r="C7422" t="s">
        <v>1479</v>
      </c>
      <c r="G7422" t="s">
        <v>17466</v>
      </c>
      <c r="H7422" t="s">
        <v>4810</v>
      </c>
      <c r="I7422" t="s">
        <v>236</v>
      </c>
      <c r="J7422">
        <v>1602</v>
      </c>
      <c r="K7422">
        <v>2646</v>
      </c>
      <c r="L7422" t="s">
        <v>23</v>
      </c>
      <c r="M7422" t="s">
        <v>17466</v>
      </c>
      <c r="N7422" t="s">
        <v>4810</v>
      </c>
      <c r="O7422" t="s">
        <v>236</v>
      </c>
      <c r="P7422">
        <v>1602</v>
      </c>
      <c r="Q7422">
        <v>2646</v>
      </c>
      <c r="R7422" t="s">
        <v>23</v>
      </c>
      <c r="S7422" s="1" t="s">
        <v>34218</v>
      </c>
    </row>
    <row r="7423" spans="1:19" x14ac:dyDescent="0.25">
      <c r="A7423">
        <v>101300249</v>
      </c>
      <c r="B7423" t="s">
        <v>17467</v>
      </c>
      <c r="C7423" t="s">
        <v>266</v>
      </c>
      <c r="G7423" t="s">
        <v>17468</v>
      </c>
      <c r="H7423" t="s">
        <v>1431</v>
      </c>
      <c r="I7423" t="s">
        <v>639</v>
      </c>
      <c r="J7423">
        <v>87508</v>
      </c>
      <c r="K7423">
        <v>8369</v>
      </c>
      <c r="L7423" t="s">
        <v>23</v>
      </c>
      <c r="M7423" t="s">
        <v>17468</v>
      </c>
      <c r="N7423" t="s">
        <v>1431</v>
      </c>
      <c r="O7423" t="s">
        <v>639</v>
      </c>
      <c r="P7423">
        <v>87508</v>
      </c>
      <c r="Q7423">
        <v>8369</v>
      </c>
      <c r="R7423" t="s">
        <v>23</v>
      </c>
      <c r="S7423" s="1" t="s">
        <v>34218</v>
      </c>
    </row>
    <row r="7424" spans="1:19" x14ac:dyDescent="0.25">
      <c r="A7424">
        <v>101298935</v>
      </c>
      <c r="B7424" t="s">
        <v>17469</v>
      </c>
      <c r="C7424" t="s">
        <v>1141</v>
      </c>
      <c r="G7424" t="s">
        <v>17470</v>
      </c>
      <c r="H7424" t="s">
        <v>2403</v>
      </c>
      <c r="I7424" t="s">
        <v>117</v>
      </c>
      <c r="J7424">
        <v>10605</v>
      </c>
      <c r="K7424">
        <v>1119</v>
      </c>
      <c r="L7424" t="s">
        <v>23</v>
      </c>
      <c r="M7424" t="s">
        <v>17470</v>
      </c>
      <c r="N7424" t="s">
        <v>2403</v>
      </c>
      <c r="O7424" t="s">
        <v>117</v>
      </c>
      <c r="P7424">
        <v>10605</v>
      </c>
      <c r="Q7424">
        <v>1119</v>
      </c>
      <c r="R7424" t="s">
        <v>23</v>
      </c>
      <c r="S7424" s="1" t="s">
        <v>34218</v>
      </c>
    </row>
    <row r="7425" spans="1:19" x14ac:dyDescent="0.25">
      <c r="A7425">
        <v>101299194</v>
      </c>
      <c r="B7425" t="s">
        <v>17471</v>
      </c>
      <c r="C7425" t="s">
        <v>1598</v>
      </c>
      <c r="G7425" t="s">
        <v>17472</v>
      </c>
      <c r="H7425" t="s">
        <v>4510</v>
      </c>
      <c r="I7425" t="s">
        <v>84</v>
      </c>
      <c r="J7425">
        <v>98208</v>
      </c>
      <c r="K7425">
        <v>9706</v>
      </c>
      <c r="L7425" t="s">
        <v>23</v>
      </c>
      <c r="M7425" t="s">
        <v>17472</v>
      </c>
      <c r="N7425" t="s">
        <v>4510</v>
      </c>
      <c r="O7425" t="s">
        <v>84</v>
      </c>
      <c r="P7425">
        <v>98208</v>
      </c>
      <c r="Q7425">
        <v>9706</v>
      </c>
      <c r="R7425" t="s">
        <v>23</v>
      </c>
      <c r="S7425" s="1" t="s">
        <v>34218</v>
      </c>
    </row>
    <row r="7426" spans="1:19" x14ac:dyDescent="0.25">
      <c r="A7426">
        <v>101297603</v>
      </c>
      <c r="B7426" t="s">
        <v>17473</v>
      </c>
      <c r="C7426" t="s">
        <v>1463</v>
      </c>
      <c r="F7426" t="str">
        <f>"4408457764"</f>
        <v>4408457764</v>
      </c>
      <c r="G7426" t="s">
        <v>17474</v>
      </c>
      <c r="H7426" t="s">
        <v>3373</v>
      </c>
      <c r="I7426" t="s">
        <v>178</v>
      </c>
      <c r="J7426">
        <v>44129</v>
      </c>
      <c r="K7426">
        <v>2735</v>
      </c>
      <c r="L7426" t="s">
        <v>23</v>
      </c>
      <c r="M7426" t="s">
        <v>17474</v>
      </c>
      <c r="N7426" t="s">
        <v>3373</v>
      </c>
      <c r="O7426" t="s">
        <v>178</v>
      </c>
      <c r="P7426">
        <v>44129</v>
      </c>
      <c r="Q7426">
        <v>2735</v>
      </c>
      <c r="R7426" t="s">
        <v>23</v>
      </c>
      <c r="S7426" s="1" t="s">
        <v>34218</v>
      </c>
    </row>
    <row r="7427" spans="1:19" x14ac:dyDescent="0.25">
      <c r="A7427">
        <v>100937333</v>
      </c>
      <c r="B7427" t="s">
        <v>17475</v>
      </c>
      <c r="C7427" t="s">
        <v>17476</v>
      </c>
      <c r="G7427" t="s">
        <v>17477</v>
      </c>
      <c r="H7427" t="s">
        <v>11573</v>
      </c>
      <c r="I7427" t="s">
        <v>250</v>
      </c>
      <c r="J7427">
        <v>8805</v>
      </c>
      <c r="K7427">
        <v>1450</v>
      </c>
      <c r="L7427" t="s">
        <v>23</v>
      </c>
      <c r="M7427" t="s">
        <v>17477</v>
      </c>
      <c r="N7427" t="s">
        <v>11573</v>
      </c>
      <c r="O7427" t="s">
        <v>250</v>
      </c>
      <c r="P7427">
        <v>8805</v>
      </c>
      <c r="Q7427">
        <v>1450</v>
      </c>
      <c r="R7427" t="s">
        <v>23</v>
      </c>
      <c r="S7427" s="1" t="s">
        <v>34218</v>
      </c>
    </row>
    <row r="7428" spans="1:19" x14ac:dyDescent="0.25">
      <c r="A7428">
        <v>100939075</v>
      </c>
      <c r="B7428" t="s">
        <v>17478</v>
      </c>
      <c r="C7428" t="s">
        <v>180</v>
      </c>
      <c r="G7428" t="s">
        <v>17479</v>
      </c>
      <c r="H7428" t="s">
        <v>471</v>
      </c>
      <c r="I7428" t="s">
        <v>365</v>
      </c>
      <c r="J7428">
        <v>85254</v>
      </c>
      <c r="K7428">
        <v>3619</v>
      </c>
      <c r="L7428" t="s">
        <v>23</v>
      </c>
      <c r="M7428" t="s">
        <v>17479</v>
      </c>
      <c r="N7428" t="s">
        <v>471</v>
      </c>
      <c r="O7428" t="s">
        <v>365</v>
      </c>
      <c r="P7428">
        <v>85254</v>
      </c>
      <c r="Q7428">
        <v>3619</v>
      </c>
      <c r="R7428" t="s">
        <v>23</v>
      </c>
      <c r="S7428" s="1" t="s">
        <v>34218</v>
      </c>
    </row>
    <row r="7429" spans="1:19" x14ac:dyDescent="0.25">
      <c r="A7429">
        <v>100942678</v>
      </c>
      <c r="B7429" t="s">
        <v>1605</v>
      </c>
      <c r="C7429" t="s">
        <v>432</v>
      </c>
      <c r="G7429" t="s">
        <v>17480</v>
      </c>
      <c r="H7429" t="s">
        <v>17481</v>
      </c>
      <c r="I7429" t="s">
        <v>1482</v>
      </c>
      <c r="J7429">
        <v>29118</v>
      </c>
      <c r="K7429">
        <v>4060</v>
      </c>
      <c r="L7429" t="s">
        <v>23</v>
      </c>
      <c r="M7429" t="s">
        <v>17480</v>
      </c>
      <c r="N7429" t="s">
        <v>17481</v>
      </c>
      <c r="O7429" t="s">
        <v>1482</v>
      </c>
      <c r="P7429">
        <v>29118</v>
      </c>
      <c r="Q7429">
        <v>4060</v>
      </c>
      <c r="R7429" t="s">
        <v>23</v>
      </c>
      <c r="S7429" s="1" t="s">
        <v>34218</v>
      </c>
    </row>
    <row r="7430" spans="1:19" x14ac:dyDescent="0.25">
      <c r="A7430">
        <v>101129004</v>
      </c>
      <c r="B7430" t="s">
        <v>966</v>
      </c>
      <c r="C7430" t="s">
        <v>4956</v>
      </c>
      <c r="G7430" t="s">
        <v>17482</v>
      </c>
      <c r="H7430" t="s">
        <v>17483</v>
      </c>
      <c r="I7430" t="s">
        <v>22</v>
      </c>
      <c r="J7430">
        <v>95038</v>
      </c>
      <c r="K7430">
        <v>1954</v>
      </c>
      <c r="L7430" t="s">
        <v>23</v>
      </c>
      <c r="M7430" t="s">
        <v>17482</v>
      </c>
      <c r="N7430" t="s">
        <v>17483</v>
      </c>
      <c r="O7430" t="s">
        <v>22</v>
      </c>
      <c r="P7430">
        <v>95038</v>
      </c>
      <c r="Q7430">
        <v>1954</v>
      </c>
      <c r="R7430" t="s">
        <v>23</v>
      </c>
      <c r="S7430" s="1" t="s">
        <v>34218</v>
      </c>
    </row>
    <row r="7431" spans="1:19" x14ac:dyDescent="0.25">
      <c r="A7431">
        <v>101127055</v>
      </c>
      <c r="B7431" t="s">
        <v>5367</v>
      </c>
      <c r="C7431" t="s">
        <v>1658</v>
      </c>
      <c r="G7431" t="s">
        <v>17484</v>
      </c>
      <c r="H7431" t="s">
        <v>17485</v>
      </c>
      <c r="I7431" t="s">
        <v>22</v>
      </c>
      <c r="J7431">
        <v>96150</v>
      </c>
      <c r="K7431">
        <v>5350</v>
      </c>
      <c r="L7431" t="s">
        <v>23</v>
      </c>
      <c r="M7431" t="s">
        <v>17484</v>
      </c>
      <c r="N7431" t="s">
        <v>17485</v>
      </c>
      <c r="O7431" t="s">
        <v>22</v>
      </c>
      <c r="P7431">
        <v>96150</v>
      </c>
      <c r="Q7431">
        <v>5350</v>
      </c>
      <c r="R7431" t="s">
        <v>23</v>
      </c>
      <c r="S7431" s="1" t="s">
        <v>34218</v>
      </c>
    </row>
    <row r="7432" spans="1:19" x14ac:dyDescent="0.25">
      <c r="A7432">
        <v>101133169</v>
      </c>
      <c r="B7432" t="s">
        <v>17486</v>
      </c>
      <c r="C7432" t="s">
        <v>5671</v>
      </c>
      <c r="F7432" t="str">
        <f>"9205443875"</f>
        <v>9205443875</v>
      </c>
      <c r="G7432" t="s">
        <v>17487</v>
      </c>
      <c r="H7432" t="s">
        <v>5626</v>
      </c>
      <c r="I7432" t="s">
        <v>100</v>
      </c>
      <c r="J7432">
        <v>54303</v>
      </c>
      <c r="K7432">
        <v>2962</v>
      </c>
      <c r="L7432" t="s">
        <v>23</v>
      </c>
      <c r="M7432" t="s">
        <v>17487</v>
      </c>
      <c r="N7432" t="s">
        <v>5626</v>
      </c>
      <c r="O7432" t="s">
        <v>100</v>
      </c>
      <c r="P7432">
        <v>54303</v>
      </c>
      <c r="Q7432">
        <v>2962</v>
      </c>
      <c r="R7432" t="s">
        <v>23</v>
      </c>
      <c r="S7432" s="1" t="s">
        <v>34218</v>
      </c>
    </row>
    <row r="7433" spans="1:19" x14ac:dyDescent="0.25">
      <c r="A7433">
        <v>101127483</v>
      </c>
      <c r="B7433" t="s">
        <v>17488</v>
      </c>
      <c r="C7433" t="s">
        <v>498</v>
      </c>
      <c r="G7433" t="s">
        <v>17489</v>
      </c>
      <c r="H7433" t="s">
        <v>1452</v>
      </c>
      <c r="I7433" t="s">
        <v>43</v>
      </c>
      <c r="J7433">
        <v>97440</v>
      </c>
      <c r="K7433">
        <v>3445</v>
      </c>
      <c r="L7433" t="s">
        <v>23</v>
      </c>
      <c r="M7433" t="s">
        <v>17489</v>
      </c>
      <c r="N7433" t="s">
        <v>1452</v>
      </c>
      <c r="O7433" t="s">
        <v>43</v>
      </c>
      <c r="P7433">
        <v>97440</v>
      </c>
      <c r="Q7433">
        <v>3445</v>
      </c>
      <c r="R7433" t="s">
        <v>23</v>
      </c>
      <c r="S7433" s="1" t="s">
        <v>34218</v>
      </c>
    </row>
    <row r="7434" spans="1:19" x14ac:dyDescent="0.25">
      <c r="A7434">
        <v>101132134</v>
      </c>
      <c r="B7434" t="s">
        <v>17490</v>
      </c>
      <c r="C7434" t="s">
        <v>403</v>
      </c>
      <c r="G7434" t="s">
        <v>17491</v>
      </c>
      <c r="H7434" t="s">
        <v>4856</v>
      </c>
      <c r="I7434" t="s">
        <v>22</v>
      </c>
      <c r="J7434">
        <v>92065</v>
      </c>
      <c r="K7434">
        <v>4525</v>
      </c>
      <c r="L7434" t="s">
        <v>23</v>
      </c>
      <c r="M7434" t="s">
        <v>17491</v>
      </c>
      <c r="N7434" t="s">
        <v>4856</v>
      </c>
      <c r="O7434" t="s">
        <v>22</v>
      </c>
      <c r="P7434">
        <v>92065</v>
      </c>
      <c r="Q7434">
        <v>4525</v>
      </c>
      <c r="R7434" t="s">
        <v>23</v>
      </c>
      <c r="S7434" s="1" t="s">
        <v>34218</v>
      </c>
    </row>
    <row r="7435" spans="1:19" x14ac:dyDescent="0.25">
      <c r="A7435">
        <v>101137721</v>
      </c>
      <c r="B7435" t="s">
        <v>17492</v>
      </c>
      <c r="C7435" t="s">
        <v>2727</v>
      </c>
      <c r="G7435" t="s">
        <v>17493</v>
      </c>
      <c r="H7435" t="s">
        <v>13397</v>
      </c>
      <c r="I7435" t="s">
        <v>187</v>
      </c>
      <c r="J7435">
        <v>55124</v>
      </c>
      <c r="K7435">
        <v>3311</v>
      </c>
      <c r="L7435" t="s">
        <v>23</v>
      </c>
      <c r="M7435" t="s">
        <v>17493</v>
      </c>
      <c r="N7435" t="s">
        <v>13397</v>
      </c>
      <c r="O7435" t="s">
        <v>187</v>
      </c>
      <c r="P7435">
        <v>55124</v>
      </c>
      <c r="Q7435">
        <v>3311</v>
      </c>
      <c r="R7435" t="s">
        <v>23</v>
      </c>
      <c r="S7435" s="1" t="s">
        <v>34218</v>
      </c>
    </row>
    <row r="7436" spans="1:19" x14ac:dyDescent="0.25">
      <c r="A7436">
        <v>101133920</v>
      </c>
      <c r="B7436" t="s">
        <v>17494</v>
      </c>
      <c r="C7436" t="s">
        <v>30</v>
      </c>
      <c r="G7436" t="s">
        <v>17495</v>
      </c>
      <c r="H7436" t="s">
        <v>8059</v>
      </c>
      <c r="I7436" t="s">
        <v>100</v>
      </c>
      <c r="J7436">
        <v>54403</v>
      </c>
      <c r="K7436">
        <v>6807</v>
      </c>
      <c r="L7436" t="s">
        <v>23</v>
      </c>
      <c r="M7436" t="s">
        <v>17495</v>
      </c>
      <c r="N7436" t="s">
        <v>8059</v>
      </c>
      <c r="O7436" t="s">
        <v>100</v>
      </c>
      <c r="P7436">
        <v>54403</v>
      </c>
      <c r="Q7436">
        <v>6807</v>
      </c>
      <c r="R7436" t="s">
        <v>23</v>
      </c>
      <c r="S7436" s="1" t="s">
        <v>34218</v>
      </c>
    </row>
    <row r="7437" spans="1:19" x14ac:dyDescent="0.25">
      <c r="A7437">
        <v>101146988</v>
      </c>
      <c r="B7437" t="s">
        <v>17496</v>
      </c>
      <c r="C7437" t="s">
        <v>1487</v>
      </c>
      <c r="G7437" t="s">
        <v>17497</v>
      </c>
      <c r="H7437" t="s">
        <v>2399</v>
      </c>
      <c r="I7437" t="s">
        <v>71</v>
      </c>
      <c r="J7437">
        <v>80525</v>
      </c>
      <c r="K7437">
        <v>5583</v>
      </c>
      <c r="L7437" t="s">
        <v>23</v>
      </c>
      <c r="M7437" t="s">
        <v>17497</v>
      </c>
      <c r="N7437" t="s">
        <v>2399</v>
      </c>
      <c r="O7437" t="s">
        <v>71</v>
      </c>
      <c r="P7437">
        <v>80525</v>
      </c>
      <c r="Q7437">
        <v>5583</v>
      </c>
      <c r="R7437" t="s">
        <v>23</v>
      </c>
      <c r="S7437" s="1" t="s">
        <v>34218</v>
      </c>
    </row>
    <row r="7438" spans="1:19" x14ac:dyDescent="0.25">
      <c r="A7438">
        <v>101147192</v>
      </c>
      <c r="B7438" t="s">
        <v>2656</v>
      </c>
      <c r="C7438" t="s">
        <v>15672</v>
      </c>
      <c r="G7438" t="s">
        <v>17498</v>
      </c>
      <c r="H7438" t="s">
        <v>17499</v>
      </c>
      <c r="I7438" t="s">
        <v>117</v>
      </c>
      <c r="J7438">
        <v>13806</v>
      </c>
      <c r="K7438">
        <v>15</v>
      </c>
      <c r="L7438" t="s">
        <v>23</v>
      </c>
      <c r="M7438" t="s">
        <v>17498</v>
      </c>
      <c r="N7438" t="s">
        <v>17499</v>
      </c>
      <c r="O7438" t="s">
        <v>117</v>
      </c>
      <c r="P7438">
        <v>13806</v>
      </c>
      <c r="Q7438">
        <v>15</v>
      </c>
      <c r="R7438" t="s">
        <v>23</v>
      </c>
      <c r="S7438" s="1" t="s">
        <v>34218</v>
      </c>
    </row>
    <row r="7439" spans="1:19" x14ac:dyDescent="0.25">
      <c r="A7439">
        <v>101386304</v>
      </c>
      <c r="B7439" t="s">
        <v>4984</v>
      </c>
      <c r="C7439" t="s">
        <v>16367</v>
      </c>
      <c r="G7439" t="s">
        <v>16368</v>
      </c>
      <c r="H7439" t="s">
        <v>6400</v>
      </c>
      <c r="I7439" t="s">
        <v>446</v>
      </c>
      <c r="J7439">
        <v>27528</v>
      </c>
      <c r="K7439">
        <v>1183</v>
      </c>
      <c r="L7439" t="s">
        <v>23</v>
      </c>
      <c r="M7439" t="s">
        <v>16368</v>
      </c>
      <c r="N7439" t="s">
        <v>6400</v>
      </c>
      <c r="O7439" t="s">
        <v>446</v>
      </c>
      <c r="P7439">
        <v>27528</v>
      </c>
      <c r="Q7439">
        <v>1183</v>
      </c>
      <c r="R7439" t="s">
        <v>23</v>
      </c>
      <c r="S7439" s="1" t="s">
        <v>34218</v>
      </c>
    </row>
    <row r="7440" spans="1:19" x14ac:dyDescent="0.25">
      <c r="A7440">
        <v>101387979</v>
      </c>
      <c r="B7440" t="s">
        <v>17500</v>
      </c>
      <c r="C7440" t="s">
        <v>1050</v>
      </c>
      <c r="G7440" t="s">
        <v>17501</v>
      </c>
      <c r="H7440" t="s">
        <v>17502</v>
      </c>
      <c r="I7440" t="s">
        <v>38</v>
      </c>
      <c r="J7440">
        <v>75116</v>
      </c>
      <c r="K7440">
        <v>2413</v>
      </c>
      <c r="L7440" t="s">
        <v>23</v>
      </c>
      <c r="M7440" t="s">
        <v>17501</v>
      </c>
      <c r="N7440" t="s">
        <v>17502</v>
      </c>
      <c r="O7440" t="s">
        <v>38</v>
      </c>
      <c r="P7440">
        <v>75116</v>
      </c>
      <c r="Q7440">
        <v>2413</v>
      </c>
      <c r="R7440" t="s">
        <v>23</v>
      </c>
      <c r="S7440" s="1" t="s">
        <v>34218</v>
      </c>
    </row>
    <row r="7441" spans="1:19" x14ac:dyDescent="0.25">
      <c r="A7441">
        <v>101388741</v>
      </c>
      <c r="B7441" t="s">
        <v>17503</v>
      </c>
      <c r="C7441" t="s">
        <v>257</v>
      </c>
      <c r="G7441" t="s">
        <v>17504</v>
      </c>
      <c r="H7441" t="s">
        <v>1186</v>
      </c>
      <c r="I7441" t="s">
        <v>117</v>
      </c>
      <c r="J7441">
        <v>11768</v>
      </c>
      <c r="K7441">
        <v>2729</v>
      </c>
      <c r="L7441" t="s">
        <v>23</v>
      </c>
      <c r="M7441" t="s">
        <v>17504</v>
      </c>
      <c r="N7441" t="s">
        <v>1186</v>
      </c>
      <c r="O7441" t="s">
        <v>117</v>
      </c>
      <c r="P7441">
        <v>11768</v>
      </c>
      <c r="Q7441">
        <v>2729</v>
      </c>
      <c r="R7441" t="s">
        <v>23</v>
      </c>
      <c r="S7441" s="1" t="s">
        <v>34218</v>
      </c>
    </row>
    <row r="7442" spans="1:19" x14ac:dyDescent="0.25">
      <c r="A7442">
        <v>101397122</v>
      </c>
      <c r="B7442" t="s">
        <v>17505</v>
      </c>
      <c r="C7442" t="s">
        <v>911</v>
      </c>
      <c r="G7442" t="s">
        <v>17506</v>
      </c>
      <c r="H7442" t="s">
        <v>299</v>
      </c>
      <c r="I7442" t="s">
        <v>22</v>
      </c>
      <c r="J7442">
        <v>90064</v>
      </c>
      <c r="K7442">
        <v>2812</v>
      </c>
      <c r="L7442" t="s">
        <v>23</v>
      </c>
      <c r="M7442" t="s">
        <v>17506</v>
      </c>
      <c r="N7442" t="s">
        <v>299</v>
      </c>
      <c r="O7442" t="s">
        <v>22</v>
      </c>
      <c r="P7442">
        <v>90064</v>
      </c>
      <c r="Q7442">
        <v>2812</v>
      </c>
      <c r="R7442" t="s">
        <v>23</v>
      </c>
      <c r="S7442" s="1" t="s">
        <v>34218</v>
      </c>
    </row>
    <row r="7443" spans="1:19" x14ac:dyDescent="0.25">
      <c r="A7443">
        <v>101399930</v>
      </c>
      <c r="B7443" t="s">
        <v>17507</v>
      </c>
      <c r="C7443" t="s">
        <v>17508</v>
      </c>
      <c r="G7443" t="s">
        <v>17509</v>
      </c>
      <c r="H7443" t="s">
        <v>4866</v>
      </c>
      <c r="I7443" t="s">
        <v>22</v>
      </c>
      <c r="J7443">
        <v>92262</v>
      </c>
      <c r="K7443">
        <v>322</v>
      </c>
      <c r="L7443" t="s">
        <v>23</v>
      </c>
      <c r="M7443" t="s">
        <v>17509</v>
      </c>
      <c r="N7443" t="s">
        <v>4866</v>
      </c>
      <c r="O7443" t="s">
        <v>22</v>
      </c>
      <c r="P7443">
        <v>92262</v>
      </c>
      <c r="Q7443">
        <v>322</v>
      </c>
      <c r="R7443" t="s">
        <v>23</v>
      </c>
      <c r="S7443" s="1" t="s">
        <v>34218</v>
      </c>
    </row>
    <row r="7444" spans="1:19" x14ac:dyDescent="0.25">
      <c r="A7444">
        <v>101448273</v>
      </c>
      <c r="B7444" t="s">
        <v>17510</v>
      </c>
      <c r="C7444" t="s">
        <v>1124</v>
      </c>
      <c r="G7444" t="s">
        <v>17511</v>
      </c>
      <c r="H7444" t="s">
        <v>17512</v>
      </c>
      <c r="I7444" t="s">
        <v>38</v>
      </c>
      <c r="J7444">
        <v>78620</v>
      </c>
      <c r="K7444">
        <v>4376</v>
      </c>
      <c r="L7444" t="s">
        <v>23</v>
      </c>
      <c r="M7444" t="s">
        <v>17511</v>
      </c>
      <c r="N7444" t="s">
        <v>17512</v>
      </c>
      <c r="O7444" t="s">
        <v>38</v>
      </c>
      <c r="P7444">
        <v>78620</v>
      </c>
      <c r="Q7444">
        <v>4376</v>
      </c>
      <c r="R7444" t="s">
        <v>23</v>
      </c>
      <c r="S7444" s="1" t="s">
        <v>34218</v>
      </c>
    </row>
    <row r="7445" spans="1:19" x14ac:dyDescent="0.25">
      <c r="A7445">
        <v>101299136</v>
      </c>
      <c r="B7445" t="s">
        <v>5631</v>
      </c>
      <c r="C7445" t="s">
        <v>1487</v>
      </c>
      <c r="G7445" t="s">
        <v>17513</v>
      </c>
      <c r="H7445" t="s">
        <v>17514</v>
      </c>
      <c r="I7445" t="s">
        <v>71</v>
      </c>
      <c r="J7445">
        <v>80813</v>
      </c>
      <c r="K7445">
        <v>1232</v>
      </c>
      <c r="L7445" t="s">
        <v>23</v>
      </c>
      <c r="M7445" t="s">
        <v>17513</v>
      </c>
      <c r="N7445" t="s">
        <v>17514</v>
      </c>
      <c r="O7445" t="s">
        <v>71</v>
      </c>
      <c r="P7445">
        <v>80813</v>
      </c>
      <c r="Q7445">
        <v>1232</v>
      </c>
      <c r="R7445" t="s">
        <v>23</v>
      </c>
      <c r="S7445" s="1" t="s">
        <v>34218</v>
      </c>
    </row>
    <row r="7446" spans="1:19" x14ac:dyDescent="0.25">
      <c r="A7446">
        <v>101467891</v>
      </c>
      <c r="B7446" t="s">
        <v>76</v>
      </c>
      <c r="C7446" t="s">
        <v>17515</v>
      </c>
      <c r="G7446" t="s">
        <v>17516</v>
      </c>
      <c r="H7446" t="s">
        <v>3363</v>
      </c>
      <c r="I7446" t="s">
        <v>33</v>
      </c>
      <c r="J7446">
        <v>15217</v>
      </c>
      <c r="K7446">
        <v>1248</v>
      </c>
      <c r="L7446" t="s">
        <v>23</v>
      </c>
      <c r="M7446" t="s">
        <v>17516</v>
      </c>
      <c r="N7446" t="s">
        <v>3363</v>
      </c>
      <c r="O7446" t="s">
        <v>33</v>
      </c>
      <c r="P7446">
        <v>15217</v>
      </c>
      <c r="Q7446">
        <v>1248</v>
      </c>
      <c r="R7446" t="s">
        <v>23</v>
      </c>
      <c r="S7446" s="1" t="s">
        <v>34218</v>
      </c>
    </row>
    <row r="7447" spans="1:19" x14ac:dyDescent="0.25">
      <c r="A7447">
        <v>101467694</v>
      </c>
      <c r="B7447" t="s">
        <v>17517</v>
      </c>
      <c r="C7447" t="s">
        <v>15293</v>
      </c>
      <c r="G7447" t="s">
        <v>17518</v>
      </c>
      <c r="H7447" t="s">
        <v>7846</v>
      </c>
      <c r="I7447" t="s">
        <v>22</v>
      </c>
      <c r="J7447">
        <v>95482</v>
      </c>
      <c r="K7447">
        <v>7640</v>
      </c>
      <c r="L7447" t="s">
        <v>23</v>
      </c>
      <c r="M7447" t="s">
        <v>17518</v>
      </c>
      <c r="N7447" t="s">
        <v>7846</v>
      </c>
      <c r="O7447" t="s">
        <v>22</v>
      </c>
      <c r="P7447">
        <v>95482</v>
      </c>
      <c r="Q7447">
        <v>7640</v>
      </c>
      <c r="R7447" t="s">
        <v>23</v>
      </c>
      <c r="S7447" s="1" t="s">
        <v>34218</v>
      </c>
    </row>
    <row r="7448" spans="1:19" x14ac:dyDescent="0.25">
      <c r="A7448">
        <v>101428489</v>
      </c>
      <c r="B7448" t="s">
        <v>1327</v>
      </c>
      <c r="C7448" t="s">
        <v>40</v>
      </c>
      <c r="G7448" t="s">
        <v>17519</v>
      </c>
      <c r="H7448" t="s">
        <v>6942</v>
      </c>
      <c r="I7448" t="s">
        <v>52</v>
      </c>
      <c r="J7448">
        <v>33013</v>
      </c>
      <c r="K7448">
        <v>1446</v>
      </c>
      <c r="L7448" t="s">
        <v>23</v>
      </c>
      <c r="M7448" t="s">
        <v>17519</v>
      </c>
      <c r="N7448" t="s">
        <v>6942</v>
      </c>
      <c r="O7448" t="s">
        <v>52</v>
      </c>
      <c r="P7448">
        <v>33013</v>
      </c>
      <c r="Q7448">
        <v>1446</v>
      </c>
      <c r="R7448" t="s">
        <v>23</v>
      </c>
      <c r="S7448" s="1" t="s">
        <v>34218</v>
      </c>
    </row>
    <row r="7449" spans="1:19" x14ac:dyDescent="0.25">
      <c r="A7449">
        <v>101302380</v>
      </c>
      <c r="B7449" t="s">
        <v>3559</v>
      </c>
      <c r="C7449" t="s">
        <v>12821</v>
      </c>
      <c r="G7449" t="s">
        <v>17520</v>
      </c>
      <c r="H7449" t="s">
        <v>17521</v>
      </c>
      <c r="I7449" t="s">
        <v>84</v>
      </c>
      <c r="J7449">
        <v>98815</v>
      </c>
      <c r="K7449">
        <v>1184</v>
      </c>
      <c r="L7449" t="s">
        <v>23</v>
      </c>
      <c r="M7449" t="s">
        <v>17520</v>
      </c>
      <c r="N7449" t="s">
        <v>17521</v>
      </c>
      <c r="O7449" t="s">
        <v>84</v>
      </c>
      <c r="P7449">
        <v>98815</v>
      </c>
      <c r="Q7449">
        <v>1184</v>
      </c>
      <c r="R7449" t="s">
        <v>23</v>
      </c>
      <c r="S7449" s="1" t="s">
        <v>34218</v>
      </c>
    </row>
    <row r="7450" spans="1:19" x14ac:dyDescent="0.25">
      <c r="A7450">
        <v>100537609</v>
      </c>
      <c r="B7450" t="s">
        <v>17522</v>
      </c>
      <c r="C7450" t="s">
        <v>6214</v>
      </c>
      <c r="G7450" t="s">
        <v>17523</v>
      </c>
      <c r="H7450" t="s">
        <v>573</v>
      </c>
      <c r="I7450" t="s">
        <v>33</v>
      </c>
      <c r="J7450">
        <v>19131</v>
      </c>
      <c r="K7450">
        <v>2984</v>
      </c>
      <c r="L7450" t="s">
        <v>23</v>
      </c>
      <c r="M7450" t="s">
        <v>17523</v>
      </c>
      <c r="N7450" t="s">
        <v>573</v>
      </c>
      <c r="O7450" t="s">
        <v>33</v>
      </c>
      <c r="P7450">
        <v>19131</v>
      </c>
      <c r="Q7450">
        <v>2984</v>
      </c>
      <c r="R7450" t="s">
        <v>23</v>
      </c>
      <c r="S7450" s="1" t="s">
        <v>34218</v>
      </c>
    </row>
    <row r="7451" spans="1:19" x14ac:dyDescent="0.25">
      <c r="A7451">
        <v>101288488</v>
      </c>
      <c r="B7451" t="s">
        <v>17524</v>
      </c>
      <c r="C7451" t="s">
        <v>123</v>
      </c>
      <c r="G7451" t="s">
        <v>17525</v>
      </c>
      <c r="H7451" t="s">
        <v>8751</v>
      </c>
      <c r="I7451" t="s">
        <v>140</v>
      </c>
      <c r="J7451">
        <v>48823</v>
      </c>
      <c r="K7451">
        <v>3981</v>
      </c>
      <c r="L7451" t="s">
        <v>23</v>
      </c>
      <c r="M7451" t="s">
        <v>17525</v>
      </c>
      <c r="N7451" t="s">
        <v>8751</v>
      </c>
      <c r="O7451" t="s">
        <v>140</v>
      </c>
      <c r="P7451">
        <v>48823</v>
      </c>
      <c r="Q7451">
        <v>3981</v>
      </c>
      <c r="R7451" t="s">
        <v>23</v>
      </c>
      <c r="S7451" s="1" t="s">
        <v>34218</v>
      </c>
    </row>
    <row r="7452" spans="1:19" x14ac:dyDescent="0.25">
      <c r="A7452">
        <v>101469597</v>
      </c>
      <c r="B7452" t="s">
        <v>17526</v>
      </c>
      <c r="C7452" t="s">
        <v>17527</v>
      </c>
      <c r="G7452" t="s">
        <v>17528</v>
      </c>
      <c r="H7452" t="s">
        <v>17529</v>
      </c>
      <c r="I7452" t="s">
        <v>178</v>
      </c>
      <c r="J7452">
        <v>44137</v>
      </c>
      <c r="K7452">
        <v>4403</v>
      </c>
      <c r="L7452" t="s">
        <v>23</v>
      </c>
      <c r="M7452" t="s">
        <v>17528</v>
      </c>
      <c r="N7452" t="s">
        <v>17529</v>
      </c>
      <c r="O7452" t="s">
        <v>178</v>
      </c>
      <c r="P7452">
        <v>44137</v>
      </c>
      <c r="Q7452">
        <v>4403</v>
      </c>
      <c r="R7452" t="s">
        <v>23</v>
      </c>
      <c r="S7452" s="1" t="s">
        <v>34218</v>
      </c>
    </row>
    <row r="7453" spans="1:19" x14ac:dyDescent="0.25">
      <c r="A7453">
        <v>101469614</v>
      </c>
      <c r="B7453" t="s">
        <v>3676</v>
      </c>
      <c r="C7453" t="s">
        <v>119</v>
      </c>
      <c r="G7453" t="s">
        <v>17530</v>
      </c>
      <c r="H7453" t="s">
        <v>88</v>
      </c>
      <c r="I7453" t="s">
        <v>22</v>
      </c>
      <c r="J7453">
        <v>94606</v>
      </c>
      <c r="K7453">
        <v>1684</v>
      </c>
      <c r="L7453" t="s">
        <v>23</v>
      </c>
      <c r="M7453" t="s">
        <v>17530</v>
      </c>
      <c r="N7453" t="s">
        <v>88</v>
      </c>
      <c r="O7453" t="s">
        <v>22</v>
      </c>
      <c r="P7453">
        <v>94606</v>
      </c>
      <c r="Q7453">
        <v>1684</v>
      </c>
      <c r="R7453" t="s">
        <v>23</v>
      </c>
      <c r="S7453" s="1" t="s">
        <v>34218</v>
      </c>
    </row>
    <row r="7454" spans="1:19" x14ac:dyDescent="0.25">
      <c r="A7454">
        <v>101466574</v>
      </c>
      <c r="B7454" t="s">
        <v>17531</v>
      </c>
      <c r="C7454" t="s">
        <v>1107</v>
      </c>
      <c r="G7454" t="s">
        <v>17532</v>
      </c>
      <c r="H7454" t="s">
        <v>3183</v>
      </c>
      <c r="I7454" t="s">
        <v>178</v>
      </c>
      <c r="J7454">
        <v>45458</v>
      </c>
      <c r="K7454">
        <v>1104</v>
      </c>
      <c r="L7454" t="s">
        <v>23</v>
      </c>
      <c r="M7454" t="s">
        <v>17532</v>
      </c>
      <c r="N7454" t="s">
        <v>3183</v>
      </c>
      <c r="O7454" t="s">
        <v>178</v>
      </c>
      <c r="P7454">
        <v>45458</v>
      </c>
      <c r="Q7454">
        <v>1104</v>
      </c>
      <c r="R7454" t="s">
        <v>23</v>
      </c>
      <c r="S7454" s="1" t="s">
        <v>34218</v>
      </c>
    </row>
    <row r="7455" spans="1:19" x14ac:dyDescent="0.25">
      <c r="A7455">
        <v>101468358</v>
      </c>
      <c r="B7455" t="s">
        <v>17533</v>
      </c>
      <c r="C7455" t="s">
        <v>3482</v>
      </c>
      <c r="G7455" t="s">
        <v>17534</v>
      </c>
      <c r="H7455" t="s">
        <v>17535</v>
      </c>
      <c r="I7455" t="s">
        <v>161</v>
      </c>
      <c r="J7455">
        <v>6076</v>
      </c>
      <c r="K7455">
        <v>1067</v>
      </c>
      <c r="L7455" t="s">
        <v>23</v>
      </c>
      <c r="M7455" t="s">
        <v>17534</v>
      </c>
      <c r="N7455" t="s">
        <v>17535</v>
      </c>
      <c r="O7455" t="s">
        <v>161</v>
      </c>
      <c r="P7455">
        <v>6076</v>
      </c>
      <c r="Q7455">
        <v>1067</v>
      </c>
      <c r="R7455" t="s">
        <v>23</v>
      </c>
      <c r="S7455" s="1" t="s">
        <v>34218</v>
      </c>
    </row>
    <row r="7456" spans="1:19" x14ac:dyDescent="0.25">
      <c r="A7456">
        <v>101239619</v>
      </c>
      <c r="B7456" t="s">
        <v>15430</v>
      </c>
      <c r="C7456" t="s">
        <v>233</v>
      </c>
      <c r="G7456" t="s">
        <v>17536</v>
      </c>
      <c r="H7456" t="s">
        <v>1452</v>
      </c>
      <c r="I7456" t="s">
        <v>43</v>
      </c>
      <c r="J7456">
        <v>97405</v>
      </c>
      <c r="K7456">
        <v>2888</v>
      </c>
      <c r="L7456" t="s">
        <v>23</v>
      </c>
      <c r="M7456" t="s">
        <v>17536</v>
      </c>
      <c r="N7456" t="s">
        <v>1452</v>
      </c>
      <c r="O7456" t="s">
        <v>43</v>
      </c>
      <c r="P7456">
        <v>97405</v>
      </c>
      <c r="Q7456">
        <v>2888</v>
      </c>
      <c r="R7456" t="s">
        <v>23</v>
      </c>
      <c r="S7456" s="1" t="s">
        <v>34218</v>
      </c>
    </row>
    <row r="7457" spans="1:19" x14ac:dyDescent="0.25">
      <c r="A7457">
        <v>101213678</v>
      </c>
      <c r="B7457" t="s">
        <v>17537</v>
      </c>
      <c r="C7457" t="s">
        <v>4159</v>
      </c>
      <c r="G7457" t="s">
        <v>17538</v>
      </c>
      <c r="H7457" t="s">
        <v>276</v>
      </c>
      <c r="I7457" t="s">
        <v>22</v>
      </c>
      <c r="J7457">
        <v>95616</v>
      </c>
      <c r="K7457">
        <v>1366</v>
      </c>
      <c r="L7457" t="s">
        <v>23</v>
      </c>
      <c r="M7457" t="s">
        <v>17538</v>
      </c>
      <c r="N7457" t="s">
        <v>276</v>
      </c>
      <c r="O7457" t="s">
        <v>22</v>
      </c>
      <c r="P7457">
        <v>95616</v>
      </c>
      <c r="Q7457">
        <v>1366</v>
      </c>
      <c r="R7457" t="s">
        <v>23</v>
      </c>
      <c r="S7457" s="1" t="s">
        <v>34218</v>
      </c>
    </row>
    <row r="7458" spans="1:19" x14ac:dyDescent="0.25">
      <c r="A7458">
        <v>101230431</v>
      </c>
      <c r="B7458" t="s">
        <v>715</v>
      </c>
      <c r="C7458" t="s">
        <v>3130</v>
      </c>
      <c r="G7458" t="s">
        <v>17539</v>
      </c>
      <c r="H7458" t="s">
        <v>17540</v>
      </c>
      <c r="I7458" t="s">
        <v>117</v>
      </c>
      <c r="J7458">
        <v>10928</v>
      </c>
      <c r="K7458">
        <v>2022</v>
      </c>
      <c r="L7458" t="s">
        <v>23</v>
      </c>
      <c r="M7458" t="s">
        <v>17539</v>
      </c>
      <c r="N7458" t="s">
        <v>17540</v>
      </c>
      <c r="O7458" t="s">
        <v>117</v>
      </c>
      <c r="P7458">
        <v>10928</v>
      </c>
      <c r="Q7458">
        <v>2022</v>
      </c>
      <c r="R7458" t="s">
        <v>23</v>
      </c>
      <c r="S7458" s="1" t="s">
        <v>34218</v>
      </c>
    </row>
    <row r="7459" spans="1:19" x14ac:dyDescent="0.25">
      <c r="A7459">
        <v>101194412</v>
      </c>
      <c r="B7459" t="s">
        <v>6618</v>
      </c>
      <c r="C7459" t="s">
        <v>17541</v>
      </c>
      <c r="G7459" t="s">
        <v>17542</v>
      </c>
      <c r="H7459" t="s">
        <v>653</v>
      </c>
      <c r="I7459" t="s">
        <v>117</v>
      </c>
      <c r="J7459">
        <v>10024</v>
      </c>
      <c r="K7459">
        <v>5260</v>
      </c>
      <c r="L7459" t="s">
        <v>23</v>
      </c>
      <c r="M7459" t="s">
        <v>17542</v>
      </c>
      <c r="N7459" t="s">
        <v>653</v>
      </c>
      <c r="O7459" t="s">
        <v>117</v>
      </c>
      <c r="P7459">
        <v>10024</v>
      </c>
      <c r="Q7459">
        <v>5260</v>
      </c>
      <c r="R7459" t="s">
        <v>23</v>
      </c>
      <c r="S7459" s="1" t="s">
        <v>34218</v>
      </c>
    </row>
    <row r="7460" spans="1:19" x14ac:dyDescent="0.25">
      <c r="A7460">
        <v>101464989</v>
      </c>
      <c r="B7460" t="s">
        <v>2074</v>
      </c>
      <c r="C7460" t="s">
        <v>699</v>
      </c>
      <c r="G7460" t="s">
        <v>17543</v>
      </c>
      <c r="H7460" t="s">
        <v>1091</v>
      </c>
      <c r="I7460" t="s">
        <v>365</v>
      </c>
      <c r="J7460">
        <v>86351</v>
      </c>
      <c r="K7460">
        <v>7768</v>
      </c>
      <c r="L7460" t="s">
        <v>23</v>
      </c>
      <c r="M7460" t="s">
        <v>17543</v>
      </c>
      <c r="N7460" t="s">
        <v>1091</v>
      </c>
      <c r="O7460" t="s">
        <v>365</v>
      </c>
      <c r="P7460">
        <v>86351</v>
      </c>
      <c r="Q7460">
        <v>7768</v>
      </c>
      <c r="R7460" t="s">
        <v>23</v>
      </c>
      <c r="S7460" s="1" t="s">
        <v>34218</v>
      </c>
    </row>
    <row r="7461" spans="1:19" x14ac:dyDescent="0.25">
      <c r="A7461">
        <v>101426961</v>
      </c>
      <c r="B7461" t="s">
        <v>17544</v>
      </c>
      <c r="C7461" t="s">
        <v>1124</v>
      </c>
      <c r="G7461" t="s">
        <v>17545</v>
      </c>
      <c r="H7461" t="s">
        <v>2468</v>
      </c>
      <c r="I7461" t="s">
        <v>22</v>
      </c>
      <c r="J7461">
        <v>92084</v>
      </c>
      <c r="K7461">
        <v>4208</v>
      </c>
      <c r="L7461" t="s">
        <v>23</v>
      </c>
      <c r="M7461" t="s">
        <v>17545</v>
      </c>
      <c r="N7461" t="s">
        <v>2468</v>
      </c>
      <c r="O7461" t="s">
        <v>22</v>
      </c>
      <c r="P7461">
        <v>92084</v>
      </c>
      <c r="Q7461">
        <v>4208</v>
      </c>
      <c r="R7461" t="s">
        <v>23</v>
      </c>
      <c r="S7461" s="1" t="s">
        <v>34218</v>
      </c>
    </row>
    <row r="7462" spans="1:19" x14ac:dyDescent="0.25">
      <c r="A7462">
        <v>101282771</v>
      </c>
      <c r="B7462" t="s">
        <v>8864</v>
      </c>
      <c r="C7462" t="s">
        <v>1588</v>
      </c>
      <c r="G7462" t="s">
        <v>17546</v>
      </c>
      <c r="H7462" t="s">
        <v>2712</v>
      </c>
      <c r="I7462" t="s">
        <v>662</v>
      </c>
      <c r="J7462">
        <v>2919</v>
      </c>
      <c r="K7462">
        <v>785</v>
      </c>
      <c r="L7462" t="s">
        <v>23</v>
      </c>
      <c r="M7462" t="s">
        <v>17546</v>
      </c>
      <c r="N7462" t="s">
        <v>2712</v>
      </c>
      <c r="O7462" t="s">
        <v>662</v>
      </c>
      <c r="P7462">
        <v>2919</v>
      </c>
      <c r="Q7462">
        <v>785</v>
      </c>
      <c r="R7462" t="s">
        <v>23</v>
      </c>
      <c r="S7462" s="1" t="s">
        <v>34218</v>
      </c>
    </row>
    <row r="7463" spans="1:19" x14ac:dyDescent="0.25">
      <c r="A7463">
        <v>101263494</v>
      </c>
      <c r="B7463" t="s">
        <v>17547</v>
      </c>
      <c r="C7463" t="s">
        <v>14640</v>
      </c>
      <c r="F7463" t="str">
        <f>"3037530470"</f>
        <v>3037530470</v>
      </c>
      <c r="G7463" t="s">
        <v>17548</v>
      </c>
      <c r="H7463" t="s">
        <v>393</v>
      </c>
      <c r="I7463" t="s">
        <v>71</v>
      </c>
      <c r="J7463">
        <v>80222</v>
      </c>
      <c r="K7463">
        <v>6602</v>
      </c>
      <c r="L7463" t="s">
        <v>23</v>
      </c>
      <c r="M7463" t="s">
        <v>17548</v>
      </c>
      <c r="N7463" t="s">
        <v>393</v>
      </c>
      <c r="O7463" t="s">
        <v>71</v>
      </c>
      <c r="P7463">
        <v>80222</v>
      </c>
      <c r="Q7463">
        <v>6602</v>
      </c>
      <c r="R7463" t="s">
        <v>23</v>
      </c>
      <c r="S7463" s="1" t="s">
        <v>34218</v>
      </c>
    </row>
    <row r="7464" spans="1:19" x14ac:dyDescent="0.25">
      <c r="A7464">
        <v>100757189</v>
      </c>
      <c r="B7464" t="s">
        <v>369</v>
      </c>
      <c r="C7464" t="s">
        <v>10389</v>
      </c>
      <c r="G7464" t="s">
        <v>17549</v>
      </c>
      <c r="H7464" t="s">
        <v>1765</v>
      </c>
      <c r="I7464" t="s">
        <v>84</v>
      </c>
      <c r="J7464" t="s">
        <v>17550</v>
      </c>
      <c r="K7464">
        <v>9522</v>
      </c>
      <c r="L7464" t="s">
        <v>23</v>
      </c>
      <c r="M7464" t="s">
        <v>17549</v>
      </c>
      <c r="N7464" t="s">
        <v>1765</v>
      </c>
      <c r="O7464" t="s">
        <v>84</v>
      </c>
      <c r="P7464" t="s">
        <v>17550</v>
      </c>
      <c r="Q7464">
        <v>9522</v>
      </c>
      <c r="R7464" t="s">
        <v>23</v>
      </c>
      <c r="S7464" s="1" t="s">
        <v>34218</v>
      </c>
    </row>
    <row r="7465" spans="1:19" x14ac:dyDescent="0.25">
      <c r="A7465">
        <v>101472739</v>
      </c>
      <c r="B7465" t="s">
        <v>17551</v>
      </c>
      <c r="C7465" t="s">
        <v>305</v>
      </c>
      <c r="G7465" t="s">
        <v>17552</v>
      </c>
      <c r="H7465" t="s">
        <v>17553</v>
      </c>
      <c r="I7465" t="s">
        <v>52</v>
      </c>
      <c r="J7465">
        <v>34695</v>
      </c>
      <c r="K7465">
        <v>2155</v>
      </c>
      <c r="L7465" t="s">
        <v>23</v>
      </c>
      <c r="M7465" t="s">
        <v>17552</v>
      </c>
      <c r="N7465" t="s">
        <v>17553</v>
      </c>
      <c r="O7465" t="s">
        <v>52</v>
      </c>
      <c r="P7465">
        <v>34695</v>
      </c>
      <c r="Q7465">
        <v>2155</v>
      </c>
      <c r="R7465" t="s">
        <v>23</v>
      </c>
      <c r="S7465" s="1" t="s">
        <v>34218</v>
      </c>
    </row>
    <row r="7466" spans="1:19" x14ac:dyDescent="0.25">
      <c r="A7466">
        <v>101333750</v>
      </c>
      <c r="B7466" t="s">
        <v>17554</v>
      </c>
      <c r="C7466" t="s">
        <v>290</v>
      </c>
      <c r="G7466" t="s">
        <v>17555</v>
      </c>
      <c r="H7466" t="s">
        <v>299</v>
      </c>
      <c r="I7466" t="s">
        <v>22</v>
      </c>
      <c r="J7466">
        <v>90036</v>
      </c>
      <c r="K7466">
        <v>4072</v>
      </c>
      <c r="L7466" t="s">
        <v>23</v>
      </c>
      <c r="M7466" t="s">
        <v>17555</v>
      </c>
      <c r="N7466" t="s">
        <v>299</v>
      </c>
      <c r="O7466" t="s">
        <v>22</v>
      </c>
      <c r="P7466">
        <v>90036</v>
      </c>
      <c r="Q7466">
        <v>4072</v>
      </c>
      <c r="R7466" t="s">
        <v>23</v>
      </c>
      <c r="S7466" s="1" t="s">
        <v>34218</v>
      </c>
    </row>
    <row r="7467" spans="1:19" x14ac:dyDescent="0.25">
      <c r="A7467">
        <v>101453444</v>
      </c>
      <c r="B7467" t="s">
        <v>17556</v>
      </c>
      <c r="C7467" t="s">
        <v>543</v>
      </c>
      <c r="G7467" t="s">
        <v>17557</v>
      </c>
      <c r="H7467" t="s">
        <v>6224</v>
      </c>
      <c r="I7467" t="s">
        <v>914</v>
      </c>
      <c r="J7467">
        <v>37932</v>
      </c>
      <c r="K7467">
        <v>3620</v>
      </c>
      <c r="L7467" t="s">
        <v>23</v>
      </c>
      <c r="M7467" t="s">
        <v>17557</v>
      </c>
      <c r="N7467" t="s">
        <v>6224</v>
      </c>
      <c r="O7467" t="s">
        <v>914</v>
      </c>
      <c r="P7467">
        <v>37932</v>
      </c>
      <c r="Q7467">
        <v>3620</v>
      </c>
      <c r="R7467" t="s">
        <v>23</v>
      </c>
      <c r="S7467" s="1" t="s">
        <v>34218</v>
      </c>
    </row>
    <row r="7468" spans="1:19" x14ac:dyDescent="0.25">
      <c r="A7468">
        <v>101467687</v>
      </c>
      <c r="B7468" t="s">
        <v>3828</v>
      </c>
      <c r="C7468" t="s">
        <v>81</v>
      </c>
      <c r="G7468" t="s">
        <v>17558</v>
      </c>
      <c r="H7468" t="s">
        <v>12736</v>
      </c>
      <c r="I7468" t="s">
        <v>38</v>
      </c>
      <c r="J7468">
        <v>75087</v>
      </c>
      <c r="K7468">
        <v>6466</v>
      </c>
      <c r="L7468" t="s">
        <v>23</v>
      </c>
      <c r="M7468" t="s">
        <v>17558</v>
      </c>
      <c r="N7468" t="s">
        <v>12736</v>
      </c>
      <c r="O7468" t="s">
        <v>38</v>
      </c>
      <c r="P7468">
        <v>75087</v>
      </c>
      <c r="Q7468">
        <v>6466</v>
      </c>
      <c r="R7468" t="s">
        <v>23</v>
      </c>
      <c r="S7468" s="1" t="s">
        <v>34218</v>
      </c>
    </row>
    <row r="7469" spans="1:19" x14ac:dyDescent="0.25">
      <c r="A7469">
        <v>101265635</v>
      </c>
      <c r="B7469" t="s">
        <v>17559</v>
      </c>
      <c r="C7469" t="s">
        <v>3350</v>
      </c>
      <c r="G7469" t="s">
        <v>17560</v>
      </c>
      <c r="H7469" t="s">
        <v>7649</v>
      </c>
      <c r="I7469" t="s">
        <v>57</v>
      </c>
      <c r="J7469">
        <v>46220</v>
      </c>
      <c r="K7469">
        <v>5614</v>
      </c>
      <c r="L7469" t="s">
        <v>23</v>
      </c>
      <c r="M7469" t="s">
        <v>17560</v>
      </c>
      <c r="N7469" t="s">
        <v>7649</v>
      </c>
      <c r="O7469" t="s">
        <v>57</v>
      </c>
      <c r="P7469">
        <v>46220</v>
      </c>
      <c r="Q7469">
        <v>5614</v>
      </c>
      <c r="R7469" t="s">
        <v>23</v>
      </c>
      <c r="S7469" s="1" t="s">
        <v>34218</v>
      </c>
    </row>
    <row r="7470" spans="1:19" x14ac:dyDescent="0.25">
      <c r="A7470">
        <v>101466851</v>
      </c>
      <c r="B7470" t="s">
        <v>3881</v>
      </c>
      <c r="C7470" t="s">
        <v>1429</v>
      </c>
      <c r="G7470" t="s">
        <v>17561</v>
      </c>
      <c r="H7470" t="s">
        <v>412</v>
      </c>
      <c r="I7470" t="s">
        <v>117</v>
      </c>
      <c r="J7470">
        <v>11230</v>
      </c>
      <c r="K7470">
        <v>1824</v>
      </c>
      <c r="L7470" t="s">
        <v>23</v>
      </c>
      <c r="M7470" t="s">
        <v>17561</v>
      </c>
      <c r="N7470" t="s">
        <v>412</v>
      </c>
      <c r="O7470" t="s">
        <v>117</v>
      </c>
      <c r="P7470">
        <v>11230</v>
      </c>
      <c r="Q7470">
        <v>1824</v>
      </c>
      <c r="R7470" t="s">
        <v>23</v>
      </c>
      <c r="S7470" s="1" t="s">
        <v>34218</v>
      </c>
    </row>
    <row r="7471" spans="1:19" x14ac:dyDescent="0.25">
      <c r="A7471">
        <v>101300036</v>
      </c>
      <c r="B7471" t="s">
        <v>17562</v>
      </c>
      <c r="C7471" t="s">
        <v>7445</v>
      </c>
      <c r="G7471" t="s">
        <v>17563</v>
      </c>
      <c r="H7471" t="s">
        <v>3473</v>
      </c>
      <c r="I7471" t="s">
        <v>161</v>
      </c>
      <c r="J7471">
        <v>6040</v>
      </c>
      <c r="K7471">
        <v>7086</v>
      </c>
      <c r="L7471" t="s">
        <v>23</v>
      </c>
      <c r="M7471" t="s">
        <v>17563</v>
      </c>
      <c r="N7471" t="s">
        <v>3473</v>
      </c>
      <c r="O7471" t="s">
        <v>161</v>
      </c>
      <c r="P7471">
        <v>6040</v>
      </c>
      <c r="Q7471">
        <v>7086</v>
      </c>
      <c r="R7471" t="s">
        <v>23</v>
      </c>
      <c r="S7471" s="1" t="s">
        <v>34218</v>
      </c>
    </row>
    <row r="7472" spans="1:19" x14ac:dyDescent="0.25">
      <c r="A7472">
        <v>101423627</v>
      </c>
      <c r="B7472" t="s">
        <v>17564</v>
      </c>
      <c r="C7472" t="s">
        <v>270</v>
      </c>
      <c r="G7472" t="s">
        <v>17565</v>
      </c>
      <c r="H7472" t="s">
        <v>1604</v>
      </c>
      <c r="I7472" t="s">
        <v>126</v>
      </c>
      <c r="J7472">
        <v>65215</v>
      </c>
      <c r="K7472">
        <v>1000</v>
      </c>
      <c r="L7472" t="s">
        <v>23</v>
      </c>
      <c r="M7472" t="s">
        <v>17565</v>
      </c>
      <c r="N7472" t="s">
        <v>1604</v>
      </c>
      <c r="O7472" t="s">
        <v>126</v>
      </c>
      <c r="P7472">
        <v>65215</v>
      </c>
      <c r="Q7472">
        <v>1000</v>
      </c>
      <c r="R7472" t="s">
        <v>23</v>
      </c>
      <c r="S7472" s="1" t="s">
        <v>34218</v>
      </c>
    </row>
    <row r="7473" spans="1:19" x14ac:dyDescent="0.25">
      <c r="A7473">
        <v>101397322</v>
      </c>
      <c r="B7473" t="s">
        <v>4714</v>
      </c>
      <c r="C7473" t="s">
        <v>403</v>
      </c>
      <c r="G7473" t="s">
        <v>17566</v>
      </c>
      <c r="H7473" t="s">
        <v>4122</v>
      </c>
      <c r="I7473" t="s">
        <v>22</v>
      </c>
      <c r="J7473">
        <v>91942</v>
      </c>
      <c r="K7473">
        <v>1316</v>
      </c>
      <c r="L7473" t="s">
        <v>23</v>
      </c>
      <c r="M7473" t="s">
        <v>17566</v>
      </c>
      <c r="N7473" t="s">
        <v>4122</v>
      </c>
      <c r="O7473" t="s">
        <v>22</v>
      </c>
      <c r="P7473">
        <v>91942</v>
      </c>
      <c r="Q7473">
        <v>1316</v>
      </c>
      <c r="R7473" t="s">
        <v>23</v>
      </c>
      <c r="S7473" s="1" t="s">
        <v>34218</v>
      </c>
    </row>
    <row r="7474" spans="1:19" x14ac:dyDescent="0.25">
      <c r="A7474">
        <v>101406512</v>
      </c>
      <c r="B7474" t="s">
        <v>17567</v>
      </c>
      <c r="C7474" t="s">
        <v>1205</v>
      </c>
      <c r="G7474" t="s">
        <v>17568</v>
      </c>
      <c r="H7474" t="s">
        <v>10093</v>
      </c>
      <c r="I7474" t="s">
        <v>84</v>
      </c>
      <c r="J7474">
        <v>98382</v>
      </c>
      <c r="K7474">
        <v>8419</v>
      </c>
      <c r="L7474" t="s">
        <v>23</v>
      </c>
      <c r="M7474" t="s">
        <v>17568</v>
      </c>
      <c r="N7474" t="s">
        <v>10093</v>
      </c>
      <c r="O7474" t="s">
        <v>84</v>
      </c>
      <c r="P7474">
        <v>98382</v>
      </c>
      <c r="Q7474">
        <v>8419</v>
      </c>
      <c r="R7474" t="s">
        <v>23</v>
      </c>
      <c r="S7474" s="1" t="s">
        <v>34218</v>
      </c>
    </row>
    <row r="7475" spans="1:19" x14ac:dyDescent="0.25">
      <c r="A7475">
        <v>101399484</v>
      </c>
      <c r="B7475" t="s">
        <v>1274</v>
      </c>
      <c r="C7475" t="s">
        <v>2427</v>
      </c>
      <c r="G7475" t="s">
        <v>17569</v>
      </c>
      <c r="H7475" t="s">
        <v>17570</v>
      </c>
      <c r="I7475" t="s">
        <v>255</v>
      </c>
      <c r="J7475">
        <v>23898</v>
      </c>
      <c r="K7475">
        <v>2047</v>
      </c>
      <c r="L7475" t="s">
        <v>23</v>
      </c>
      <c r="M7475" t="s">
        <v>17569</v>
      </c>
      <c r="N7475" t="s">
        <v>17570</v>
      </c>
      <c r="O7475" t="s">
        <v>255</v>
      </c>
      <c r="P7475">
        <v>23898</v>
      </c>
      <c r="Q7475">
        <v>2047</v>
      </c>
      <c r="R7475" t="s">
        <v>23</v>
      </c>
      <c r="S7475" s="1" t="s">
        <v>34218</v>
      </c>
    </row>
    <row r="7476" spans="1:19" x14ac:dyDescent="0.25">
      <c r="A7476">
        <v>101411689</v>
      </c>
      <c r="B7476" t="s">
        <v>17571</v>
      </c>
      <c r="C7476" t="s">
        <v>522</v>
      </c>
      <c r="G7476" t="s">
        <v>17572</v>
      </c>
      <c r="H7476" t="s">
        <v>4334</v>
      </c>
      <c r="I7476" t="s">
        <v>84</v>
      </c>
      <c r="J7476">
        <v>98597</v>
      </c>
      <c r="K7476">
        <v>9212</v>
      </c>
      <c r="L7476" t="s">
        <v>23</v>
      </c>
      <c r="M7476" t="s">
        <v>17572</v>
      </c>
      <c r="N7476" t="s">
        <v>4334</v>
      </c>
      <c r="O7476" t="s">
        <v>84</v>
      </c>
      <c r="P7476">
        <v>98597</v>
      </c>
      <c r="Q7476">
        <v>9212</v>
      </c>
      <c r="R7476" t="s">
        <v>23</v>
      </c>
      <c r="S7476" s="1" t="s">
        <v>34218</v>
      </c>
    </row>
    <row r="7477" spans="1:19" x14ac:dyDescent="0.25">
      <c r="A7477">
        <v>101413555</v>
      </c>
      <c r="B7477" t="s">
        <v>17573</v>
      </c>
      <c r="C7477" t="s">
        <v>2599</v>
      </c>
      <c r="G7477" t="s">
        <v>17574</v>
      </c>
      <c r="H7477" t="s">
        <v>4799</v>
      </c>
      <c r="I7477" t="s">
        <v>22</v>
      </c>
      <c r="J7477">
        <v>95742</v>
      </c>
      <c r="K7477">
        <v>7766</v>
      </c>
      <c r="L7477" t="s">
        <v>23</v>
      </c>
      <c r="M7477" t="s">
        <v>17574</v>
      </c>
      <c r="N7477" t="s">
        <v>4799</v>
      </c>
      <c r="O7477" t="s">
        <v>22</v>
      </c>
      <c r="P7477">
        <v>95742</v>
      </c>
      <c r="Q7477">
        <v>7766</v>
      </c>
      <c r="R7477" t="s">
        <v>23</v>
      </c>
      <c r="S7477" s="1" t="s">
        <v>34218</v>
      </c>
    </row>
    <row r="7478" spans="1:19" x14ac:dyDescent="0.25">
      <c r="A7478">
        <v>101413571</v>
      </c>
      <c r="B7478" t="s">
        <v>17575</v>
      </c>
      <c r="C7478" t="s">
        <v>59</v>
      </c>
      <c r="G7478" t="s">
        <v>17576</v>
      </c>
      <c r="H7478" t="s">
        <v>17577</v>
      </c>
      <c r="I7478" t="s">
        <v>370</v>
      </c>
      <c r="J7478">
        <v>69337</v>
      </c>
      <c r="K7478">
        <v>2562</v>
      </c>
      <c r="L7478" t="s">
        <v>23</v>
      </c>
      <c r="M7478" t="s">
        <v>17576</v>
      </c>
      <c r="N7478" t="s">
        <v>17577</v>
      </c>
      <c r="O7478" t="s">
        <v>370</v>
      </c>
      <c r="P7478">
        <v>69337</v>
      </c>
      <c r="Q7478">
        <v>2562</v>
      </c>
      <c r="R7478" t="s">
        <v>23</v>
      </c>
      <c r="S7478" s="1" t="s">
        <v>34218</v>
      </c>
    </row>
    <row r="7479" spans="1:19" x14ac:dyDescent="0.25">
      <c r="A7479">
        <v>101418570</v>
      </c>
      <c r="B7479" t="s">
        <v>17578</v>
      </c>
      <c r="C7479" t="s">
        <v>8388</v>
      </c>
      <c r="G7479" t="s">
        <v>17579</v>
      </c>
      <c r="H7479" t="s">
        <v>14474</v>
      </c>
      <c r="I7479" t="s">
        <v>52</v>
      </c>
      <c r="J7479" t="s">
        <v>17580</v>
      </c>
      <c r="K7479">
        <v>1242</v>
      </c>
      <c r="L7479" t="s">
        <v>23</v>
      </c>
      <c r="M7479" t="s">
        <v>17579</v>
      </c>
      <c r="N7479" t="s">
        <v>14474</v>
      </c>
      <c r="O7479" t="s">
        <v>52</v>
      </c>
      <c r="P7479" t="s">
        <v>17580</v>
      </c>
      <c r="Q7479">
        <v>1242</v>
      </c>
      <c r="R7479" t="s">
        <v>23</v>
      </c>
      <c r="S7479" s="1" t="s">
        <v>34218</v>
      </c>
    </row>
    <row r="7480" spans="1:19" x14ac:dyDescent="0.25">
      <c r="A7480">
        <v>101413562</v>
      </c>
      <c r="B7480" t="s">
        <v>9511</v>
      </c>
      <c r="C7480" t="s">
        <v>1208</v>
      </c>
      <c r="G7480" t="s">
        <v>17581</v>
      </c>
      <c r="H7480" t="s">
        <v>2910</v>
      </c>
      <c r="I7480" t="s">
        <v>52</v>
      </c>
      <c r="J7480" t="s">
        <v>17582</v>
      </c>
      <c r="K7480">
        <v>8144</v>
      </c>
      <c r="L7480" t="s">
        <v>23</v>
      </c>
      <c r="M7480" t="s">
        <v>17581</v>
      </c>
      <c r="N7480" t="s">
        <v>2910</v>
      </c>
      <c r="O7480" t="s">
        <v>52</v>
      </c>
      <c r="P7480" t="s">
        <v>17582</v>
      </c>
      <c r="Q7480">
        <v>8144</v>
      </c>
      <c r="R7480" t="s">
        <v>23</v>
      </c>
      <c r="S7480" s="1" t="s">
        <v>34218</v>
      </c>
    </row>
    <row r="7481" spans="1:19" x14ac:dyDescent="0.25">
      <c r="A7481">
        <v>101473448</v>
      </c>
      <c r="B7481" t="s">
        <v>2087</v>
      </c>
      <c r="C7481" t="s">
        <v>613</v>
      </c>
      <c r="G7481" t="s">
        <v>17583</v>
      </c>
      <c r="H7481" t="s">
        <v>16248</v>
      </c>
      <c r="I7481" t="s">
        <v>33</v>
      </c>
      <c r="J7481">
        <v>17963</v>
      </c>
      <c r="K7481">
        <v>1077</v>
      </c>
      <c r="L7481" t="s">
        <v>23</v>
      </c>
      <c r="M7481" t="s">
        <v>17583</v>
      </c>
      <c r="N7481" t="s">
        <v>16248</v>
      </c>
      <c r="O7481" t="s">
        <v>33</v>
      </c>
      <c r="P7481">
        <v>17963</v>
      </c>
      <c r="Q7481">
        <v>1077</v>
      </c>
      <c r="R7481" t="s">
        <v>23</v>
      </c>
      <c r="S7481" s="1" t="s">
        <v>34218</v>
      </c>
    </row>
    <row r="7482" spans="1:19" x14ac:dyDescent="0.25">
      <c r="A7482">
        <v>101473456</v>
      </c>
      <c r="B7482" t="s">
        <v>7182</v>
      </c>
      <c r="C7482" t="s">
        <v>803</v>
      </c>
      <c r="G7482" t="s">
        <v>17584</v>
      </c>
      <c r="H7482" t="s">
        <v>17585</v>
      </c>
      <c r="I7482" t="s">
        <v>71</v>
      </c>
      <c r="J7482">
        <v>80130</v>
      </c>
      <c r="K7482">
        <v>4443</v>
      </c>
      <c r="L7482" t="s">
        <v>23</v>
      </c>
      <c r="M7482" t="s">
        <v>17584</v>
      </c>
      <c r="N7482" t="s">
        <v>17585</v>
      </c>
      <c r="O7482" t="s">
        <v>71</v>
      </c>
      <c r="P7482">
        <v>80130</v>
      </c>
      <c r="Q7482">
        <v>4443</v>
      </c>
      <c r="R7482" t="s">
        <v>23</v>
      </c>
      <c r="S7482" s="1" t="s">
        <v>34218</v>
      </c>
    </row>
    <row r="7483" spans="1:19" x14ac:dyDescent="0.25">
      <c r="A7483">
        <v>101473732</v>
      </c>
      <c r="B7483" t="s">
        <v>17586</v>
      </c>
      <c r="C7483" t="s">
        <v>1616</v>
      </c>
      <c r="G7483" t="s">
        <v>17587</v>
      </c>
      <c r="H7483" t="s">
        <v>1563</v>
      </c>
      <c r="I7483" t="s">
        <v>33</v>
      </c>
      <c r="J7483">
        <v>19464</v>
      </c>
      <c r="K7483">
        <v>4205</v>
      </c>
      <c r="L7483" t="s">
        <v>23</v>
      </c>
      <c r="M7483" t="s">
        <v>17587</v>
      </c>
      <c r="N7483" t="s">
        <v>1563</v>
      </c>
      <c r="O7483" t="s">
        <v>33</v>
      </c>
      <c r="P7483">
        <v>19464</v>
      </c>
      <c r="Q7483">
        <v>4205</v>
      </c>
      <c r="R7483" t="s">
        <v>23</v>
      </c>
      <c r="S7483" s="1" t="s">
        <v>34218</v>
      </c>
    </row>
    <row r="7484" spans="1:19" x14ac:dyDescent="0.25">
      <c r="A7484">
        <v>100937592</v>
      </c>
      <c r="B7484" t="s">
        <v>17588</v>
      </c>
      <c r="C7484" t="s">
        <v>123</v>
      </c>
      <c r="G7484" t="s">
        <v>17589</v>
      </c>
      <c r="H7484" t="s">
        <v>1787</v>
      </c>
      <c r="I7484" t="s">
        <v>702</v>
      </c>
      <c r="J7484" t="s">
        <v>17590</v>
      </c>
      <c r="K7484">
        <v>1028</v>
      </c>
      <c r="L7484" t="s">
        <v>23</v>
      </c>
      <c r="M7484" t="s">
        <v>17589</v>
      </c>
      <c r="N7484" t="s">
        <v>1787</v>
      </c>
      <c r="O7484" t="s">
        <v>702</v>
      </c>
      <c r="P7484" t="s">
        <v>17590</v>
      </c>
      <c r="Q7484">
        <v>1028</v>
      </c>
      <c r="R7484" t="s">
        <v>23</v>
      </c>
      <c r="S7484" s="1" t="s">
        <v>34218</v>
      </c>
    </row>
    <row r="7485" spans="1:19" x14ac:dyDescent="0.25">
      <c r="A7485">
        <v>100603716</v>
      </c>
      <c r="B7485" t="s">
        <v>17591</v>
      </c>
      <c r="C7485" t="s">
        <v>252</v>
      </c>
      <c r="G7485" t="s">
        <v>17592</v>
      </c>
      <c r="H7485" t="s">
        <v>1667</v>
      </c>
      <c r="I7485" t="s">
        <v>250</v>
      </c>
      <c r="J7485" t="s">
        <v>17593</v>
      </c>
      <c r="K7485">
        <v>1531</v>
      </c>
      <c r="L7485" t="s">
        <v>23</v>
      </c>
      <c r="M7485" t="s">
        <v>17592</v>
      </c>
      <c r="N7485" t="s">
        <v>1667</v>
      </c>
      <c r="O7485" t="s">
        <v>250</v>
      </c>
      <c r="P7485" t="s">
        <v>17593</v>
      </c>
      <c r="Q7485">
        <v>1531</v>
      </c>
      <c r="R7485" t="s">
        <v>23</v>
      </c>
      <c r="S7485" s="1" t="s">
        <v>34218</v>
      </c>
    </row>
    <row r="7486" spans="1:19" x14ac:dyDescent="0.25">
      <c r="A7486">
        <v>101419413</v>
      </c>
      <c r="B7486" t="s">
        <v>17594</v>
      </c>
      <c r="C7486" t="s">
        <v>2518</v>
      </c>
      <c r="G7486" t="s">
        <v>17595</v>
      </c>
      <c r="H7486" t="s">
        <v>2396</v>
      </c>
      <c r="I7486" t="s">
        <v>52</v>
      </c>
      <c r="J7486" t="s">
        <v>17596</v>
      </c>
      <c r="K7486">
        <v>5245</v>
      </c>
      <c r="L7486" t="s">
        <v>23</v>
      </c>
      <c r="M7486" t="s">
        <v>17595</v>
      </c>
      <c r="N7486" t="s">
        <v>2396</v>
      </c>
      <c r="O7486" t="s">
        <v>52</v>
      </c>
      <c r="P7486" t="s">
        <v>17596</v>
      </c>
      <c r="Q7486">
        <v>5245</v>
      </c>
      <c r="R7486" t="s">
        <v>23</v>
      </c>
      <c r="S7486" s="1" t="s">
        <v>34218</v>
      </c>
    </row>
    <row r="7487" spans="1:19" x14ac:dyDescent="0.25">
      <c r="A7487">
        <v>101443717</v>
      </c>
      <c r="B7487" t="s">
        <v>8051</v>
      </c>
      <c r="C7487" t="s">
        <v>2173</v>
      </c>
      <c r="G7487" t="s">
        <v>17597</v>
      </c>
      <c r="H7487" t="s">
        <v>11094</v>
      </c>
      <c r="I7487" t="s">
        <v>33</v>
      </c>
      <c r="J7487" t="s">
        <v>17598</v>
      </c>
      <c r="K7487">
        <v>7802</v>
      </c>
      <c r="L7487" t="s">
        <v>23</v>
      </c>
      <c r="M7487" t="s">
        <v>17597</v>
      </c>
      <c r="N7487" t="s">
        <v>11094</v>
      </c>
      <c r="O7487" t="s">
        <v>33</v>
      </c>
      <c r="P7487" t="s">
        <v>17598</v>
      </c>
      <c r="Q7487">
        <v>7802</v>
      </c>
      <c r="R7487" t="s">
        <v>23</v>
      </c>
      <c r="S7487" s="1" t="s">
        <v>34218</v>
      </c>
    </row>
    <row r="7488" spans="1:19" x14ac:dyDescent="0.25">
      <c r="A7488">
        <v>101419297</v>
      </c>
      <c r="B7488" t="s">
        <v>17599</v>
      </c>
      <c r="C7488" t="s">
        <v>585</v>
      </c>
      <c r="G7488" t="s">
        <v>17600</v>
      </c>
      <c r="H7488" t="s">
        <v>2948</v>
      </c>
      <c r="I7488" t="s">
        <v>22</v>
      </c>
      <c r="J7488" t="s">
        <v>17601</v>
      </c>
      <c r="K7488">
        <v>2828</v>
      </c>
      <c r="L7488" t="s">
        <v>23</v>
      </c>
      <c r="M7488" t="s">
        <v>17600</v>
      </c>
      <c r="N7488" t="s">
        <v>2948</v>
      </c>
      <c r="O7488" t="s">
        <v>22</v>
      </c>
      <c r="P7488" t="s">
        <v>17601</v>
      </c>
      <c r="Q7488">
        <v>2828</v>
      </c>
      <c r="R7488" t="s">
        <v>23</v>
      </c>
      <c r="S7488" s="1" t="s">
        <v>34218</v>
      </c>
    </row>
    <row r="7489" spans="1:19" x14ac:dyDescent="0.25">
      <c r="A7489">
        <v>101290680</v>
      </c>
      <c r="B7489" t="s">
        <v>3011</v>
      </c>
      <c r="C7489" t="s">
        <v>13791</v>
      </c>
      <c r="G7489" t="s">
        <v>17602</v>
      </c>
      <c r="H7489" t="s">
        <v>818</v>
      </c>
      <c r="I7489" t="s">
        <v>43</v>
      </c>
      <c r="J7489" t="s">
        <v>17603</v>
      </c>
      <c r="K7489">
        <v>4930</v>
      </c>
      <c r="L7489" t="s">
        <v>23</v>
      </c>
      <c r="M7489" t="s">
        <v>17602</v>
      </c>
      <c r="N7489" t="s">
        <v>818</v>
      </c>
      <c r="O7489" t="s">
        <v>43</v>
      </c>
      <c r="P7489" t="s">
        <v>17603</v>
      </c>
      <c r="Q7489">
        <v>4930</v>
      </c>
      <c r="R7489" t="s">
        <v>23</v>
      </c>
      <c r="S7489" s="1" t="s">
        <v>34218</v>
      </c>
    </row>
    <row r="7490" spans="1:19" x14ac:dyDescent="0.25">
      <c r="A7490">
        <v>101315644</v>
      </c>
      <c r="B7490" t="s">
        <v>17604</v>
      </c>
      <c r="C7490" t="s">
        <v>4133</v>
      </c>
      <c r="G7490" t="s">
        <v>17605</v>
      </c>
      <c r="H7490" t="s">
        <v>2139</v>
      </c>
      <c r="I7490" t="s">
        <v>135</v>
      </c>
      <c r="J7490" t="s">
        <v>17606</v>
      </c>
      <c r="K7490">
        <v>5502</v>
      </c>
      <c r="L7490" t="s">
        <v>23</v>
      </c>
      <c r="M7490" t="s">
        <v>17605</v>
      </c>
      <c r="N7490" t="s">
        <v>2139</v>
      </c>
      <c r="O7490" t="s">
        <v>135</v>
      </c>
      <c r="P7490" t="s">
        <v>17606</v>
      </c>
      <c r="Q7490">
        <v>5502</v>
      </c>
      <c r="R7490" t="s">
        <v>23</v>
      </c>
      <c r="S7490" s="1" t="s">
        <v>34218</v>
      </c>
    </row>
    <row r="7491" spans="1:19" x14ac:dyDescent="0.25">
      <c r="A7491">
        <v>101407102</v>
      </c>
      <c r="B7491" t="s">
        <v>1872</v>
      </c>
      <c r="C7491" t="s">
        <v>1374</v>
      </c>
      <c r="G7491" t="s">
        <v>17607</v>
      </c>
      <c r="H7491" t="s">
        <v>17608</v>
      </c>
      <c r="I7491" t="s">
        <v>250</v>
      </c>
      <c r="J7491" t="s">
        <v>17609</v>
      </c>
      <c r="K7491">
        <v>1647</v>
      </c>
      <c r="L7491" t="s">
        <v>23</v>
      </c>
      <c r="M7491" t="s">
        <v>17607</v>
      </c>
      <c r="N7491" t="s">
        <v>17608</v>
      </c>
      <c r="O7491" t="s">
        <v>250</v>
      </c>
      <c r="P7491" t="s">
        <v>17609</v>
      </c>
      <c r="Q7491">
        <v>1647</v>
      </c>
      <c r="R7491" t="s">
        <v>23</v>
      </c>
      <c r="S7491" s="1" t="s">
        <v>34218</v>
      </c>
    </row>
    <row r="7492" spans="1:19" x14ac:dyDescent="0.25">
      <c r="A7492">
        <v>101348121</v>
      </c>
      <c r="B7492" t="s">
        <v>17610</v>
      </c>
      <c r="C7492" t="s">
        <v>17611</v>
      </c>
      <c r="G7492" t="s">
        <v>17612</v>
      </c>
      <c r="H7492" t="s">
        <v>15116</v>
      </c>
      <c r="I7492" t="s">
        <v>22</v>
      </c>
      <c r="J7492" t="s">
        <v>17613</v>
      </c>
      <c r="K7492">
        <v>4346</v>
      </c>
      <c r="L7492" t="s">
        <v>23</v>
      </c>
      <c r="M7492" t="s">
        <v>17612</v>
      </c>
      <c r="N7492" t="s">
        <v>15116</v>
      </c>
      <c r="O7492" t="s">
        <v>22</v>
      </c>
      <c r="P7492" t="s">
        <v>17613</v>
      </c>
      <c r="Q7492">
        <v>4346</v>
      </c>
      <c r="R7492" t="s">
        <v>23</v>
      </c>
      <c r="S7492" s="1" t="s">
        <v>34218</v>
      </c>
    </row>
    <row r="7493" spans="1:19" x14ac:dyDescent="0.25">
      <c r="A7493">
        <v>101173088</v>
      </c>
      <c r="B7493" t="s">
        <v>17614</v>
      </c>
      <c r="C7493" t="s">
        <v>1124</v>
      </c>
      <c r="G7493" t="s">
        <v>17615</v>
      </c>
      <c r="H7493" t="s">
        <v>3312</v>
      </c>
      <c r="I7493" t="s">
        <v>33</v>
      </c>
      <c r="J7493" t="s">
        <v>17616</v>
      </c>
      <c r="K7493">
        <v>2306</v>
      </c>
      <c r="L7493" t="s">
        <v>23</v>
      </c>
      <c r="M7493" t="s">
        <v>17615</v>
      </c>
      <c r="N7493" t="s">
        <v>3312</v>
      </c>
      <c r="O7493" t="s">
        <v>33</v>
      </c>
      <c r="P7493" t="s">
        <v>17616</v>
      </c>
      <c r="Q7493">
        <v>2306</v>
      </c>
      <c r="R7493" t="s">
        <v>23</v>
      </c>
      <c r="S7493" s="1" t="s">
        <v>34218</v>
      </c>
    </row>
    <row r="7494" spans="1:19" x14ac:dyDescent="0.25">
      <c r="A7494">
        <v>101335032</v>
      </c>
      <c r="B7494" t="s">
        <v>1335</v>
      </c>
      <c r="C7494" t="s">
        <v>1147</v>
      </c>
      <c r="G7494" t="s">
        <v>17617</v>
      </c>
      <c r="H7494" t="s">
        <v>130</v>
      </c>
      <c r="I7494" t="s">
        <v>22</v>
      </c>
      <c r="J7494" t="s">
        <v>17618</v>
      </c>
      <c r="K7494">
        <v>2755</v>
      </c>
      <c r="L7494" t="s">
        <v>23</v>
      </c>
      <c r="M7494" t="s">
        <v>17617</v>
      </c>
      <c r="N7494" t="s">
        <v>130</v>
      </c>
      <c r="O7494" t="s">
        <v>22</v>
      </c>
      <c r="P7494" t="s">
        <v>17618</v>
      </c>
      <c r="Q7494">
        <v>2755</v>
      </c>
      <c r="R7494" t="s">
        <v>23</v>
      </c>
      <c r="S7494" s="1" t="s">
        <v>34218</v>
      </c>
    </row>
    <row r="7495" spans="1:19" x14ac:dyDescent="0.25">
      <c r="A7495">
        <v>101323567</v>
      </c>
      <c r="B7495" t="s">
        <v>17619</v>
      </c>
      <c r="C7495" t="s">
        <v>132</v>
      </c>
      <c r="G7495" t="s">
        <v>17620</v>
      </c>
      <c r="H7495" t="s">
        <v>2859</v>
      </c>
      <c r="I7495" t="s">
        <v>236</v>
      </c>
      <c r="J7495" t="s">
        <v>17621</v>
      </c>
      <c r="K7495">
        <v>2825</v>
      </c>
      <c r="L7495" t="s">
        <v>23</v>
      </c>
      <c r="M7495" t="s">
        <v>17620</v>
      </c>
      <c r="N7495" t="s">
        <v>2859</v>
      </c>
      <c r="O7495" t="s">
        <v>236</v>
      </c>
      <c r="P7495" t="s">
        <v>17621</v>
      </c>
      <c r="Q7495">
        <v>2825</v>
      </c>
      <c r="R7495" t="s">
        <v>23</v>
      </c>
      <c r="S7495" s="1" t="s">
        <v>34218</v>
      </c>
    </row>
    <row r="7496" spans="1:19" x14ac:dyDescent="0.25">
      <c r="A7496">
        <v>101443800</v>
      </c>
      <c r="B7496" t="s">
        <v>17622</v>
      </c>
      <c r="C7496" t="s">
        <v>17623</v>
      </c>
      <c r="G7496" t="s">
        <v>17624</v>
      </c>
      <c r="H7496" t="s">
        <v>125</v>
      </c>
      <c r="I7496" t="s">
        <v>126</v>
      </c>
      <c r="J7496" t="s">
        <v>17625</v>
      </c>
      <c r="K7496">
        <v>4807</v>
      </c>
      <c r="L7496" t="s">
        <v>23</v>
      </c>
      <c r="M7496" t="s">
        <v>17624</v>
      </c>
      <c r="N7496" t="s">
        <v>125</v>
      </c>
      <c r="O7496" t="s">
        <v>126</v>
      </c>
      <c r="P7496" t="s">
        <v>17625</v>
      </c>
      <c r="Q7496">
        <v>4807</v>
      </c>
      <c r="R7496" t="s">
        <v>23</v>
      </c>
      <c r="S7496" s="1" t="s">
        <v>34218</v>
      </c>
    </row>
    <row r="7497" spans="1:19" x14ac:dyDescent="0.25">
      <c r="A7497">
        <v>101024351</v>
      </c>
      <c r="B7497" t="s">
        <v>17626</v>
      </c>
      <c r="C7497" t="s">
        <v>475</v>
      </c>
      <c r="G7497" t="s">
        <v>17627</v>
      </c>
      <c r="H7497" t="s">
        <v>3373</v>
      </c>
      <c r="I7497" t="s">
        <v>178</v>
      </c>
      <c r="J7497" t="s">
        <v>17628</v>
      </c>
      <c r="K7497">
        <v>7601</v>
      </c>
      <c r="L7497" t="s">
        <v>23</v>
      </c>
      <c r="M7497" t="s">
        <v>17627</v>
      </c>
      <c r="N7497" t="s">
        <v>3373</v>
      </c>
      <c r="O7497" t="s">
        <v>178</v>
      </c>
      <c r="P7497" t="s">
        <v>17628</v>
      </c>
      <c r="Q7497">
        <v>7601</v>
      </c>
      <c r="R7497" t="s">
        <v>23</v>
      </c>
      <c r="S7497" s="1" t="s">
        <v>34218</v>
      </c>
    </row>
    <row r="7498" spans="1:19" x14ac:dyDescent="0.25">
      <c r="A7498">
        <v>101443821</v>
      </c>
      <c r="B7498" t="s">
        <v>17629</v>
      </c>
      <c r="C7498" t="s">
        <v>17630</v>
      </c>
      <c r="G7498" t="s">
        <v>17631</v>
      </c>
      <c r="H7498" t="s">
        <v>3196</v>
      </c>
      <c r="I7498" t="s">
        <v>307</v>
      </c>
      <c r="J7498" t="s">
        <v>17632</v>
      </c>
      <c r="K7498">
        <v>4450</v>
      </c>
      <c r="L7498" t="s">
        <v>23</v>
      </c>
      <c r="M7498" t="s">
        <v>17631</v>
      </c>
      <c r="N7498" t="s">
        <v>3196</v>
      </c>
      <c r="O7498" t="s">
        <v>307</v>
      </c>
      <c r="P7498" t="s">
        <v>17632</v>
      </c>
      <c r="Q7498">
        <v>4450</v>
      </c>
      <c r="R7498" t="s">
        <v>23</v>
      </c>
      <c r="S7498" s="1" t="s">
        <v>34218</v>
      </c>
    </row>
    <row r="7499" spans="1:19" x14ac:dyDescent="0.25">
      <c r="A7499">
        <v>101235623</v>
      </c>
      <c r="B7499" t="s">
        <v>17633</v>
      </c>
      <c r="C7499" t="s">
        <v>90</v>
      </c>
      <c r="G7499" t="s">
        <v>17634</v>
      </c>
      <c r="H7499" t="s">
        <v>3192</v>
      </c>
      <c r="I7499" t="s">
        <v>22</v>
      </c>
      <c r="J7499" t="s">
        <v>17635</v>
      </c>
      <c r="K7499">
        <v>5403</v>
      </c>
      <c r="L7499" t="s">
        <v>23</v>
      </c>
      <c r="M7499" t="s">
        <v>17634</v>
      </c>
      <c r="N7499" t="s">
        <v>3192</v>
      </c>
      <c r="O7499" t="s">
        <v>22</v>
      </c>
      <c r="P7499" t="s">
        <v>17635</v>
      </c>
      <c r="Q7499">
        <v>5403</v>
      </c>
      <c r="R7499" t="s">
        <v>23</v>
      </c>
      <c r="S7499" s="1" t="s">
        <v>34218</v>
      </c>
    </row>
    <row r="7500" spans="1:19" x14ac:dyDescent="0.25">
      <c r="A7500">
        <v>100594936</v>
      </c>
      <c r="B7500" t="s">
        <v>465</v>
      </c>
      <c r="C7500" t="s">
        <v>9565</v>
      </c>
      <c r="G7500" t="s">
        <v>17636</v>
      </c>
      <c r="H7500" t="s">
        <v>2279</v>
      </c>
      <c r="I7500" t="s">
        <v>52</v>
      </c>
      <c r="J7500" t="s">
        <v>17637</v>
      </c>
      <c r="K7500">
        <v>1</v>
      </c>
      <c r="L7500" t="s">
        <v>23</v>
      </c>
      <c r="M7500" t="s">
        <v>17636</v>
      </c>
      <c r="N7500" t="s">
        <v>2279</v>
      </c>
      <c r="O7500" t="s">
        <v>52</v>
      </c>
      <c r="P7500" t="s">
        <v>17637</v>
      </c>
      <c r="Q7500">
        <v>1</v>
      </c>
      <c r="R7500" t="s">
        <v>23</v>
      </c>
      <c r="S7500" s="1" t="s">
        <v>34218</v>
      </c>
    </row>
    <row r="7501" spans="1:19" x14ac:dyDescent="0.25">
      <c r="A7501">
        <v>101303394</v>
      </c>
      <c r="B7501" t="s">
        <v>17638</v>
      </c>
      <c r="C7501" t="s">
        <v>403</v>
      </c>
      <c r="G7501" t="s">
        <v>17639</v>
      </c>
      <c r="H7501" t="s">
        <v>1614</v>
      </c>
      <c r="I7501" t="s">
        <v>117</v>
      </c>
      <c r="J7501" t="s">
        <v>17640</v>
      </c>
      <c r="K7501">
        <v>1626</v>
      </c>
      <c r="L7501" t="s">
        <v>23</v>
      </c>
      <c r="M7501" t="s">
        <v>17639</v>
      </c>
      <c r="N7501" t="s">
        <v>1614</v>
      </c>
      <c r="O7501" t="s">
        <v>117</v>
      </c>
      <c r="P7501" t="s">
        <v>17640</v>
      </c>
      <c r="Q7501">
        <v>1626</v>
      </c>
      <c r="R7501" t="s">
        <v>23</v>
      </c>
      <c r="S7501" s="1" t="s">
        <v>34218</v>
      </c>
    </row>
    <row r="7502" spans="1:19" x14ac:dyDescent="0.25">
      <c r="A7502">
        <v>101247982</v>
      </c>
      <c r="B7502" t="s">
        <v>17641</v>
      </c>
      <c r="C7502" t="s">
        <v>102</v>
      </c>
      <c r="G7502" t="s">
        <v>17642</v>
      </c>
      <c r="H7502" t="s">
        <v>733</v>
      </c>
      <c r="I7502" t="s">
        <v>52</v>
      </c>
      <c r="J7502" t="s">
        <v>17643</v>
      </c>
      <c r="K7502">
        <v>2739</v>
      </c>
      <c r="L7502" t="s">
        <v>23</v>
      </c>
      <c r="M7502" t="s">
        <v>17642</v>
      </c>
      <c r="N7502" t="s">
        <v>733</v>
      </c>
      <c r="O7502" t="s">
        <v>52</v>
      </c>
      <c r="P7502" t="s">
        <v>17643</v>
      </c>
      <c r="Q7502">
        <v>2739</v>
      </c>
      <c r="R7502" t="s">
        <v>23</v>
      </c>
      <c r="S7502" s="1" t="s">
        <v>34218</v>
      </c>
    </row>
    <row r="7503" spans="1:19" x14ac:dyDescent="0.25">
      <c r="A7503">
        <v>101329171</v>
      </c>
      <c r="B7503" t="s">
        <v>16461</v>
      </c>
      <c r="C7503" t="s">
        <v>2411</v>
      </c>
      <c r="G7503" t="s">
        <v>17644</v>
      </c>
      <c r="H7503" t="s">
        <v>147</v>
      </c>
      <c r="I7503" t="s">
        <v>22</v>
      </c>
      <c r="J7503" t="s">
        <v>17645</v>
      </c>
      <c r="K7503">
        <v>3654</v>
      </c>
      <c r="L7503" t="s">
        <v>23</v>
      </c>
      <c r="M7503" t="s">
        <v>17644</v>
      </c>
      <c r="N7503" t="s">
        <v>147</v>
      </c>
      <c r="O7503" t="s">
        <v>22</v>
      </c>
      <c r="P7503" t="s">
        <v>17645</v>
      </c>
      <c r="Q7503">
        <v>3654</v>
      </c>
      <c r="R7503" t="s">
        <v>23</v>
      </c>
      <c r="S7503" s="1" t="s">
        <v>34218</v>
      </c>
    </row>
    <row r="7504" spans="1:19" x14ac:dyDescent="0.25">
      <c r="A7504">
        <v>101030211</v>
      </c>
      <c r="B7504" t="s">
        <v>7499</v>
      </c>
      <c r="C7504" t="s">
        <v>217</v>
      </c>
      <c r="G7504" t="s">
        <v>17646</v>
      </c>
      <c r="H7504" t="s">
        <v>4514</v>
      </c>
      <c r="I7504" t="s">
        <v>38</v>
      </c>
      <c r="J7504" t="s">
        <v>17647</v>
      </c>
      <c r="K7504">
        <v>5348</v>
      </c>
      <c r="L7504" t="s">
        <v>23</v>
      </c>
      <c r="M7504" t="s">
        <v>17646</v>
      </c>
      <c r="N7504" t="s">
        <v>4514</v>
      </c>
      <c r="O7504" t="s">
        <v>38</v>
      </c>
      <c r="P7504" t="s">
        <v>17647</v>
      </c>
      <c r="Q7504">
        <v>5348</v>
      </c>
      <c r="R7504" t="s">
        <v>23</v>
      </c>
      <c r="S7504" s="1" t="s">
        <v>34218</v>
      </c>
    </row>
    <row r="7505" spans="1:19" x14ac:dyDescent="0.25">
      <c r="A7505">
        <v>101339603</v>
      </c>
      <c r="B7505" t="s">
        <v>17648</v>
      </c>
      <c r="C7505" t="s">
        <v>505</v>
      </c>
      <c r="G7505" t="s">
        <v>17649</v>
      </c>
      <c r="H7505" t="s">
        <v>13035</v>
      </c>
      <c r="I7505" t="s">
        <v>140</v>
      </c>
      <c r="J7505" t="s">
        <v>17650</v>
      </c>
      <c r="K7505">
        <v>1085</v>
      </c>
      <c r="L7505" t="s">
        <v>23</v>
      </c>
      <c r="M7505" t="s">
        <v>17649</v>
      </c>
      <c r="N7505" t="s">
        <v>13035</v>
      </c>
      <c r="O7505" t="s">
        <v>140</v>
      </c>
      <c r="P7505" t="s">
        <v>17650</v>
      </c>
      <c r="Q7505">
        <v>1085</v>
      </c>
      <c r="R7505" t="s">
        <v>23</v>
      </c>
      <c r="S7505" s="1" t="s">
        <v>34218</v>
      </c>
    </row>
    <row r="7506" spans="1:19" x14ac:dyDescent="0.25">
      <c r="A7506">
        <v>101260824</v>
      </c>
      <c r="B7506" t="s">
        <v>2671</v>
      </c>
      <c r="C7506" t="s">
        <v>274</v>
      </c>
      <c r="G7506" t="s">
        <v>17651</v>
      </c>
      <c r="H7506" t="s">
        <v>1257</v>
      </c>
      <c r="I7506" t="s">
        <v>365</v>
      </c>
      <c r="J7506" t="s">
        <v>17652</v>
      </c>
      <c r="K7506">
        <v>6176</v>
      </c>
      <c r="L7506" t="s">
        <v>23</v>
      </c>
      <c r="M7506" t="s">
        <v>17651</v>
      </c>
      <c r="N7506" t="s">
        <v>1257</v>
      </c>
      <c r="O7506" t="s">
        <v>365</v>
      </c>
      <c r="P7506" t="s">
        <v>17652</v>
      </c>
      <c r="Q7506">
        <v>6176</v>
      </c>
      <c r="R7506" t="s">
        <v>23</v>
      </c>
      <c r="S7506" s="1" t="s">
        <v>34218</v>
      </c>
    </row>
    <row r="7507" spans="1:19" x14ac:dyDescent="0.25">
      <c r="A7507">
        <v>101443952</v>
      </c>
      <c r="B7507" t="s">
        <v>7109</v>
      </c>
      <c r="C7507" t="s">
        <v>313</v>
      </c>
      <c r="G7507" t="s">
        <v>17653</v>
      </c>
      <c r="H7507" t="s">
        <v>17654</v>
      </c>
      <c r="I7507" t="s">
        <v>22</v>
      </c>
      <c r="J7507" t="s">
        <v>17655</v>
      </c>
      <c r="K7507">
        <v>2429</v>
      </c>
      <c r="L7507" t="s">
        <v>23</v>
      </c>
      <c r="M7507" t="s">
        <v>17653</v>
      </c>
      <c r="N7507" t="s">
        <v>17654</v>
      </c>
      <c r="O7507" t="s">
        <v>22</v>
      </c>
      <c r="P7507" t="s">
        <v>17655</v>
      </c>
      <c r="Q7507">
        <v>2429</v>
      </c>
      <c r="R7507" t="s">
        <v>23</v>
      </c>
      <c r="S7507" s="1" t="s">
        <v>34218</v>
      </c>
    </row>
    <row r="7508" spans="1:19" x14ac:dyDescent="0.25">
      <c r="A7508">
        <v>101300053</v>
      </c>
      <c r="B7508" t="s">
        <v>17656</v>
      </c>
      <c r="C7508" t="s">
        <v>17657</v>
      </c>
      <c r="G7508" t="s">
        <v>17658</v>
      </c>
      <c r="H7508" t="s">
        <v>9018</v>
      </c>
      <c r="I7508" t="s">
        <v>22</v>
      </c>
      <c r="J7508" t="s">
        <v>17659</v>
      </c>
      <c r="K7508">
        <v>3701</v>
      </c>
      <c r="L7508" t="s">
        <v>23</v>
      </c>
      <c r="M7508" t="s">
        <v>17658</v>
      </c>
      <c r="N7508" t="s">
        <v>9018</v>
      </c>
      <c r="O7508" t="s">
        <v>22</v>
      </c>
      <c r="P7508" t="s">
        <v>17659</v>
      </c>
      <c r="Q7508">
        <v>3701</v>
      </c>
      <c r="R7508" t="s">
        <v>23</v>
      </c>
      <c r="S7508" s="1" t="s">
        <v>34218</v>
      </c>
    </row>
    <row r="7509" spans="1:19" x14ac:dyDescent="0.25">
      <c r="A7509">
        <v>101267845</v>
      </c>
      <c r="B7509" t="s">
        <v>8051</v>
      </c>
      <c r="C7509" t="s">
        <v>17660</v>
      </c>
      <c r="G7509" t="s">
        <v>17661</v>
      </c>
      <c r="H7509" t="s">
        <v>8206</v>
      </c>
      <c r="I7509" t="s">
        <v>161</v>
      </c>
      <c r="J7509" t="s">
        <v>17662</v>
      </c>
      <c r="K7509">
        <v>3414</v>
      </c>
      <c r="L7509" t="s">
        <v>23</v>
      </c>
      <c r="M7509" t="s">
        <v>17661</v>
      </c>
      <c r="N7509" t="s">
        <v>8206</v>
      </c>
      <c r="O7509" t="s">
        <v>161</v>
      </c>
      <c r="P7509" t="s">
        <v>17662</v>
      </c>
      <c r="Q7509">
        <v>3414</v>
      </c>
      <c r="R7509" t="s">
        <v>23</v>
      </c>
      <c r="S7509" s="1" t="s">
        <v>34218</v>
      </c>
    </row>
    <row r="7510" spans="1:19" x14ac:dyDescent="0.25">
      <c r="A7510">
        <v>101372376</v>
      </c>
      <c r="B7510" t="s">
        <v>17663</v>
      </c>
      <c r="C7510" t="s">
        <v>17664</v>
      </c>
      <c r="G7510" t="s">
        <v>17665</v>
      </c>
      <c r="H7510" t="s">
        <v>3525</v>
      </c>
      <c r="I7510" t="s">
        <v>22</v>
      </c>
      <c r="J7510">
        <v>96003</v>
      </c>
      <c r="K7510">
        <v>8613</v>
      </c>
      <c r="L7510" t="s">
        <v>23</v>
      </c>
      <c r="M7510" t="s">
        <v>17665</v>
      </c>
      <c r="N7510" t="s">
        <v>3525</v>
      </c>
      <c r="O7510" t="s">
        <v>22</v>
      </c>
      <c r="P7510">
        <v>96003</v>
      </c>
      <c r="Q7510">
        <v>8613</v>
      </c>
      <c r="R7510" t="s">
        <v>23</v>
      </c>
      <c r="S7510" s="1" t="s">
        <v>34218</v>
      </c>
    </row>
    <row r="7511" spans="1:19" x14ac:dyDescent="0.25">
      <c r="A7511">
        <v>101286285</v>
      </c>
      <c r="B7511" t="s">
        <v>17666</v>
      </c>
      <c r="C7511" t="s">
        <v>846</v>
      </c>
      <c r="G7511" t="s">
        <v>17667</v>
      </c>
      <c r="H7511" t="s">
        <v>1229</v>
      </c>
      <c r="I7511" t="s">
        <v>38</v>
      </c>
      <c r="J7511" t="s">
        <v>17668</v>
      </c>
      <c r="K7511">
        <v>3129</v>
      </c>
      <c r="L7511" t="s">
        <v>23</v>
      </c>
      <c r="M7511" t="s">
        <v>17667</v>
      </c>
      <c r="N7511" t="s">
        <v>1229</v>
      </c>
      <c r="O7511" t="s">
        <v>38</v>
      </c>
      <c r="P7511" t="s">
        <v>17668</v>
      </c>
      <c r="Q7511">
        <v>3129</v>
      </c>
      <c r="R7511" t="s">
        <v>23</v>
      </c>
      <c r="S7511" s="1" t="s">
        <v>34218</v>
      </c>
    </row>
    <row r="7512" spans="1:19" x14ac:dyDescent="0.25">
      <c r="A7512">
        <v>100625952</v>
      </c>
      <c r="B7512" t="s">
        <v>14538</v>
      </c>
      <c r="C7512" t="s">
        <v>1107</v>
      </c>
      <c r="G7512" t="s">
        <v>17669</v>
      </c>
      <c r="H7512" t="s">
        <v>17670</v>
      </c>
      <c r="I7512" t="s">
        <v>71</v>
      </c>
      <c r="J7512">
        <v>80425</v>
      </c>
      <c r="L7512" t="s">
        <v>23</v>
      </c>
      <c r="M7512" t="s">
        <v>17669</v>
      </c>
      <c r="N7512" t="s">
        <v>17670</v>
      </c>
      <c r="O7512" t="s">
        <v>71</v>
      </c>
      <c r="P7512">
        <v>80425</v>
      </c>
      <c r="R7512" t="s">
        <v>23</v>
      </c>
      <c r="S7512" s="1" t="s">
        <v>34218</v>
      </c>
    </row>
    <row r="7513" spans="1:19" x14ac:dyDescent="0.25">
      <c r="A7513">
        <v>101312258</v>
      </c>
      <c r="B7513" t="s">
        <v>734</v>
      </c>
      <c r="C7513" t="s">
        <v>17671</v>
      </c>
      <c r="G7513" t="s">
        <v>17672</v>
      </c>
      <c r="H7513" t="s">
        <v>4429</v>
      </c>
      <c r="I7513" t="s">
        <v>38</v>
      </c>
      <c r="J7513">
        <v>75023</v>
      </c>
      <c r="K7513">
        <v>4324</v>
      </c>
      <c r="L7513" t="s">
        <v>23</v>
      </c>
      <c r="M7513" t="s">
        <v>17672</v>
      </c>
      <c r="N7513" t="s">
        <v>4429</v>
      </c>
      <c r="O7513" t="s">
        <v>38</v>
      </c>
      <c r="P7513">
        <v>75023</v>
      </c>
      <c r="Q7513">
        <v>4324</v>
      </c>
      <c r="R7513" t="s">
        <v>23</v>
      </c>
      <c r="S7513" s="1" t="s">
        <v>34218</v>
      </c>
    </row>
    <row r="7514" spans="1:19" x14ac:dyDescent="0.25">
      <c r="A7514">
        <v>101193832</v>
      </c>
      <c r="B7514" t="s">
        <v>17673</v>
      </c>
      <c r="C7514" t="s">
        <v>3376</v>
      </c>
      <c r="G7514" t="s">
        <v>17674</v>
      </c>
      <c r="H7514" t="s">
        <v>1229</v>
      </c>
      <c r="I7514" t="s">
        <v>38</v>
      </c>
      <c r="J7514" t="s">
        <v>17675</v>
      </c>
      <c r="K7514">
        <v>3509</v>
      </c>
      <c r="L7514" t="s">
        <v>23</v>
      </c>
      <c r="M7514" t="s">
        <v>17674</v>
      </c>
      <c r="N7514" t="s">
        <v>1229</v>
      </c>
      <c r="O7514" t="s">
        <v>38</v>
      </c>
      <c r="P7514" t="s">
        <v>17675</v>
      </c>
      <c r="Q7514">
        <v>3509</v>
      </c>
      <c r="R7514" t="s">
        <v>23</v>
      </c>
      <c r="S7514" s="1" t="s">
        <v>34218</v>
      </c>
    </row>
    <row r="7515" spans="1:19" x14ac:dyDescent="0.25">
      <c r="A7515">
        <v>101375243</v>
      </c>
      <c r="B7515" t="s">
        <v>17676</v>
      </c>
      <c r="C7515" t="s">
        <v>282</v>
      </c>
      <c r="G7515" t="s">
        <v>17677</v>
      </c>
      <c r="H7515" t="s">
        <v>1019</v>
      </c>
      <c r="I7515" t="s">
        <v>84</v>
      </c>
      <c r="J7515">
        <v>98033</v>
      </c>
      <c r="K7515">
        <v>7193</v>
      </c>
      <c r="L7515" t="s">
        <v>23</v>
      </c>
      <c r="M7515" t="s">
        <v>17677</v>
      </c>
      <c r="N7515" t="s">
        <v>1019</v>
      </c>
      <c r="O7515" t="s">
        <v>84</v>
      </c>
      <c r="P7515">
        <v>98033</v>
      </c>
      <c r="Q7515">
        <v>7193</v>
      </c>
      <c r="R7515" t="s">
        <v>23</v>
      </c>
      <c r="S7515" s="1" t="s">
        <v>34218</v>
      </c>
    </row>
    <row r="7516" spans="1:19" x14ac:dyDescent="0.25">
      <c r="A7516">
        <v>101385355</v>
      </c>
      <c r="B7516" t="s">
        <v>17678</v>
      </c>
      <c r="C7516" t="s">
        <v>200</v>
      </c>
      <c r="G7516" t="s">
        <v>17679</v>
      </c>
      <c r="H7516" t="s">
        <v>569</v>
      </c>
      <c r="I7516" t="s">
        <v>187</v>
      </c>
      <c r="J7516">
        <v>55410</v>
      </c>
      <c r="K7516">
        <v>1139</v>
      </c>
      <c r="L7516" t="s">
        <v>23</v>
      </c>
      <c r="M7516" t="s">
        <v>17679</v>
      </c>
      <c r="N7516" t="s">
        <v>569</v>
      </c>
      <c r="O7516" t="s">
        <v>187</v>
      </c>
      <c r="P7516">
        <v>55410</v>
      </c>
      <c r="Q7516">
        <v>1139</v>
      </c>
      <c r="R7516" t="s">
        <v>23</v>
      </c>
      <c r="S7516" s="1" t="s">
        <v>34218</v>
      </c>
    </row>
    <row r="7517" spans="1:19" x14ac:dyDescent="0.25">
      <c r="A7517">
        <v>101377394</v>
      </c>
      <c r="B7517" t="s">
        <v>17680</v>
      </c>
      <c r="C7517" t="s">
        <v>6143</v>
      </c>
      <c r="G7517" t="s">
        <v>17681</v>
      </c>
      <c r="H7517" t="s">
        <v>4730</v>
      </c>
      <c r="I7517" t="s">
        <v>117</v>
      </c>
      <c r="J7517">
        <v>14225</v>
      </c>
      <c r="K7517">
        <v>1145</v>
      </c>
      <c r="L7517" t="s">
        <v>23</v>
      </c>
      <c r="M7517" t="s">
        <v>17681</v>
      </c>
      <c r="N7517" t="s">
        <v>4730</v>
      </c>
      <c r="O7517" t="s">
        <v>117</v>
      </c>
      <c r="P7517">
        <v>14225</v>
      </c>
      <c r="Q7517">
        <v>1145</v>
      </c>
      <c r="R7517" t="s">
        <v>23</v>
      </c>
      <c r="S7517" s="1" t="s">
        <v>34218</v>
      </c>
    </row>
    <row r="7518" spans="1:19" x14ac:dyDescent="0.25">
      <c r="A7518">
        <v>101297199</v>
      </c>
      <c r="B7518" t="s">
        <v>2559</v>
      </c>
      <c r="C7518" t="s">
        <v>1925</v>
      </c>
      <c r="G7518" t="s">
        <v>17682</v>
      </c>
      <c r="H7518" t="s">
        <v>1701</v>
      </c>
      <c r="I7518" t="s">
        <v>84</v>
      </c>
      <c r="J7518">
        <v>98244</v>
      </c>
      <c r="K7518">
        <v>9514</v>
      </c>
      <c r="L7518" t="s">
        <v>23</v>
      </c>
      <c r="M7518" t="s">
        <v>17682</v>
      </c>
      <c r="N7518" t="s">
        <v>1701</v>
      </c>
      <c r="O7518" t="s">
        <v>84</v>
      </c>
      <c r="P7518">
        <v>98244</v>
      </c>
      <c r="Q7518">
        <v>9514</v>
      </c>
      <c r="R7518" t="s">
        <v>23</v>
      </c>
      <c r="S7518" s="1" t="s">
        <v>34218</v>
      </c>
    </row>
    <row r="7519" spans="1:19" x14ac:dyDescent="0.25">
      <c r="A7519">
        <v>101439704</v>
      </c>
      <c r="B7519" t="s">
        <v>1698</v>
      </c>
      <c r="C7519" t="s">
        <v>81</v>
      </c>
      <c r="G7519" t="s">
        <v>17683</v>
      </c>
      <c r="H7519" t="s">
        <v>17684</v>
      </c>
      <c r="I7519" t="s">
        <v>446</v>
      </c>
      <c r="J7519">
        <v>28586</v>
      </c>
      <c r="K7519">
        <v>7826</v>
      </c>
      <c r="L7519" t="s">
        <v>23</v>
      </c>
      <c r="M7519" t="s">
        <v>17683</v>
      </c>
      <c r="N7519" t="s">
        <v>17684</v>
      </c>
      <c r="O7519" t="s">
        <v>446</v>
      </c>
      <c r="P7519">
        <v>28586</v>
      </c>
      <c r="Q7519">
        <v>7826</v>
      </c>
      <c r="R7519" t="s">
        <v>23</v>
      </c>
      <c r="S7519" s="1" t="s">
        <v>34218</v>
      </c>
    </row>
    <row r="7520" spans="1:19" x14ac:dyDescent="0.25">
      <c r="A7520">
        <v>101095168</v>
      </c>
      <c r="B7520" t="s">
        <v>17685</v>
      </c>
      <c r="C7520" t="s">
        <v>3817</v>
      </c>
      <c r="G7520" t="s">
        <v>17686</v>
      </c>
      <c r="H7520" t="s">
        <v>9347</v>
      </c>
      <c r="I7520" t="s">
        <v>1482</v>
      </c>
      <c r="J7520">
        <v>29732</v>
      </c>
      <c r="L7520" t="s">
        <v>23</v>
      </c>
      <c r="M7520" t="s">
        <v>17686</v>
      </c>
      <c r="N7520" t="s">
        <v>9347</v>
      </c>
      <c r="O7520" t="s">
        <v>1482</v>
      </c>
      <c r="P7520">
        <v>29732</v>
      </c>
      <c r="R7520" t="s">
        <v>23</v>
      </c>
      <c r="S7520" s="1" t="s">
        <v>34218</v>
      </c>
    </row>
    <row r="7521" spans="1:19" x14ac:dyDescent="0.25">
      <c r="A7521">
        <v>101124309</v>
      </c>
      <c r="B7521" t="s">
        <v>928</v>
      </c>
      <c r="C7521" t="s">
        <v>45</v>
      </c>
      <c r="G7521" t="s">
        <v>17687</v>
      </c>
      <c r="H7521" t="s">
        <v>17688</v>
      </c>
      <c r="I7521" t="s">
        <v>71</v>
      </c>
      <c r="J7521">
        <v>80461</v>
      </c>
      <c r="K7521">
        <v>9732</v>
      </c>
      <c r="L7521" t="s">
        <v>23</v>
      </c>
      <c r="M7521" t="s">
        <v>17687</v>
      </c>
      <c r="N7521" t="s">
        <v>17688</v>
      </c>
      <c r="O7521" t="s">
        <v>71</v>
      </c>
      <c r="P7521">
        <v>80461</v>
      </c>
      <c r="Q7521">
        <v>9732</v>
      </c>
      <c r="R7521" t="s">
        <v>23</v>
      </c>
      <c r="S7521" s="1" t="s">
        <v>34218</v>
      </c>
    </row>
    <row r="7522" spans="1:19" x14ac:dyDescent="0.25">
      <c r="A7522">
        <v>100682164</v>
      </c>
      <c r="B7522" t="s">
        <v>17689</v>
      </c>
      <c r="C7522" t="s">
        <v>1581</v>
      </c>
      <c r="G7522" t="s">
        <v>17690</v>
      </c>
      <c r="H7522" t="s">
        <v>17691</v>
      </c>
      <c r="I7522" t="s">
        <v>100</v>
      </c>
      <c r="J7522">
        <v>53219</v>
      </c>
      <c r="K7522">
        <v>1350</v>
      </c>
      <c r="L7522" t="s">
        <v>23</v>
      </c>
      <c r="M7522" t="s">
        <v>17690</v>
      </c>
      <c r="N7522" t="s">
        <v>17691</v>
      </c>
      <c r="O7522" t="s">
        <v>100</v>
      </c>
      <c r="P7522">
        <v>53219</v>
      </c>
      <c r="Q7522">
        <v>1350</v>
      </c>
      <c r="R7522" t="s">
        <v>23</v>
      </c>
      <c r="S7522" s="1" t="s">
        <v>34218</v>
      </c>
    </row>
    <row r="7523" spans="1:19" x14ac:dyDescent="0.25">
      <c r="A7523">
        <v>100598626</v>
      </c>
      <c r="B7523" t="s">
        <v>17692</v>
      </c>
      <c r="C7523" t="s">
        <v>554</v>
      </c>
      <c r="G7523" t="s">
        <v>17693</v>
      </c>
      <c r="H7523" t="s">
        <v>17694</v>
      </c>
      <c r="I7523" t="s">
        <v>117</v>
      </c>
      <c r="J7523">
        <v>12472</v>
      </c>
      <c r="K7523">
        <v>7001</v>
      </c>
      <c r="L7523" t="s">
        <v>23</v>
      </c>
      <c r="M7523" t="s">
        <v>17693</v>
      </c>
      <c r="N7523" t="s">
        <v>17694</v>
      </c>
      <c r="O7523" t="s">
        <v>117</v>
      </c>
      <c r="P7523">
        <v>12472</v>
      </c>
      <c r="Q7523">
        <v>7001</v>
      </c>
      <c r="R7523" t="s">
        <v>23</v>
      </c>
      <c r="S7523" s="1" t="s">
        <v>34218</v>
      </c>
    </row>
    <row r="7524" spans="1:19" x14ac:dyDescent="0.25">
      <c r="A7524">
        <v>101228217</v>
      </c>
      <c r="B7524" t="s">
        <v>6104</v>
      </c>
      <c r="C7524" t="s">
        <v>17695</v>
      </c>
      <c r="G7524" t="s">
        <v>17696</v>
      </c>
      <c r="H7524" t="s">
        <v>299</v>
      </c>
      <c r="I7524" t="s">
        <v>22</v>
      </c>
      <c r="J7524">
        <v>90027</v>
      </c>
      <c r="K7524">
        <v>3010</v>
      </c>
      <c r="L7524" t="s">
        <v>23</v>
      </c>
      <c r="M7524" t="s">
        <v>17696</v>
      </c>
      <c r="N7524" t="s">
        <v>299</v>
      </c>
      <c r="O7524" t="s">
        <v>22</v>
      </c>
      <c r="P7524">
        <v>90027</v>
      </c>
      <c r="Q7524">
        <v>3010</v>
      </c>
      <c r="R7524" t="s">
        <v>23</v>
      </c>
      <c r="S7524" s="1" t="s">
        <v>34218</v>
      </c>
    </row>
    <row r="7525" spans="1:19" x14ac:dyDescent="0.25">
      <c r="A7525">
        <v>101295938</v>
      </c>
      <c r="B7525" t="s">
        <v>17697</v>
      </c>
      <c r="C7525" t="s">
        <v>403</v>
      </c>
      <c r="G7525" t="s">
        <v>17698</v>
      </c>
      <c r="H7525" t="s">
        <v>17699</v>
      </c>
      <c r="I7525" t="s">
        <v>1097</v>
      </c>
      <c r="J7525">
        <v>40160</v>
      </c>
      <c r="K7525">
        <v>2416</v>
      </c>
      <c r="L7525" t="s">
        <v>23</v>
      </c>
      <c r="M7525" t="s">
        <v>17698</v>
      </c>
      <c r="N7525" t="s">
        <v>17699</v>
      </c>
      <c r="O7525" t="s">
        <v>1097</v>
      </c>
      <c r="P7525">
        <v>40160</v>
      </c>
      <c r="Q7525">
        <v>2416</v>
      </c>
      <c r="R7525" t="s">
        <v>23</v>
      </c>
      <c r="S7525" s="1" t="s">
        <v>34218</v>
      </c>
    </row>
    <row r="7526" spans="1:19" x14ac:dyDescent="0.25">
      <c r="A7526">
        <v>100651984</v>
      </c>
      <c r="B7526" t="s">
        <v>17700</v>
      </c>
      <c r="C7526" t="s">
        <v>3951</v>
      </c>
      <c r="G7526" t="s">
        <v>17701</v>
      </c>
      <c r="H7526" t="s">
        <v>511</v>
      </c>
      <c r="I7526" t="s">
        <v>33</v>
      </c>
      <c r="J7526">
        <v>16505</v>
      </c>
      <c r="K7526">
        <v>3249</v>
      </c>
      <c r="L7526" t="s">
        <v>23</v>
      </c>
      <c r="M7526" t="s">
        <v>17701</v>
      </c>
      <c r="N7526" t="s">
        <v>511</v>
      </c>
      <c r="O7526" t="s">
        <v>33</v>
      </c>
      <c r="P7526">
        <v>16505</v>
      </c>
      <c r="Q7526">
        <v>3249</v>
      </c>
      <c r="R7526" t="s">
        <v>23</v>
      </c>
      <c r="S7526" s="1" t="s">
        <v>34218</v>
      </c>
    </row>
    <row r="7527" spans="1:19" x14ac:dyDescent="0.25">
      <c r="A7527">
        <v>101442502</v>
      </c>
      <c r="B7527" t="s">
        <v>17702</v>
      </c>
      <c r="C7527" t="s">
        <v>17703</v>
      </c>
      <c r="G7527" t="s">
        <v>17704</v>
      </c>
      <c r="H7527" t="s">
        <v>741</v>
      </c>
      <c r="I7527" t="s">
        <v>22</v>
      </c>
      <c r="J7527">
        <v>91367</v>
      </c>
      <c r="K7527">
        <v>6842</v>
      </c>
      <c r="L7527" t="s">
        <v>23</v>
      </c>
      <c r="M7527" t="s">
        <v>17704</v>
      </c>
      <c r="N7527" t="s">
        <v>741</v>
      </c>
      <c r="O7527" t="s">
        <v>22</v>
      </c>
      <c r="P7527">
        <v>91367</v>
      </c>
      <c r="Q7527">
        <v>6842</v>
      </c>
      <c r="R7527" t="s">
        <v>23</v>
      </c>
      <c r="S7527" s="1" t="s">
        <v>34218</v>
      </c>
    </row>
    <row r="7528" spans="1:19" x14ac:dyDescent="0.25">
      <c r="A7528">
        <v>101291221</v>
      </c>
      <c r="B7528" t="s">
        <v>17705</v>
      </c>
      <c r="C7528" t="s">
        <v>17706</v>
      </c>
      <c r="G7528" t="s">
        <v>17707</v>
      </c>
      <c r="H7528" t="s">
        <v>17708</v>
      </c>
      <c r="I7528" t="s">
        <v>100</v>
      </c>
      <c r="J7528">
        <v>53139</v>
      </c>
      <c r="K7528">
        <v>9410</v>
      </c>
      <c r="L7528" t="s">
        <v>23</v>
      </c>
      <c r="M7528" t="s">
        <v>17707</v>
      </c>
      <c r="N7528" t="s">
        <v>17708</v>
      </c>
      <c r="O7528" t="s">
        <v>100</v>
      </c>
      <c r="P7528">
        <v>53139</v>
      </c>
      <c r="Q7528">
        <v>9410</v>
      </c>
      <c r="R7528" t="s">
        <v>23</v>
      </c>
      <c r="S7528" s="1" t="s">
        <v>34218</v>
      </c>
    </row>
    <row r="7529" spans="1:19" x14ac:dyDescent="0.25">
      <c r="A7529">
        <v>101419752</v>
      </c>
      <c r="B7529" t="s">
        <v>2189</v>
      </c>
      <c r="C7529" t="s">
        <v>172</v>
      </c>
      <c r="G7529" t="s">
        <v>17709</v>
      </c>
      <c r="H7529" t="s">
        <v>1086</v>
      </c>
      <c r="I7529" t="s">
        <v>446</v>
      </c>
      <c r="J7529">
        <v>28226</v>
      </c>
      <c r="K7529">
        <v>3824</v>
      </c>
      <c r="L7529" t="s">
        <v>23</v>
      </c>
      <c r="M7529" t="s">
        <v>17709</v>
      </c>
      <c r="N7529" t="s">
        <v>1086</v>
      </c>
      <c r="O7529" t="s">
        <v>446</v>
      </c>
      <c r="P7529">
        <v>28226</v>
      </c>
      <c r="Q7529">
        <v>3824</v>
      </c>
      <c r="R7529" t="s">
        <v>23</v>
      </c>
      <c r="S7529" s="1" t="s">
        <v>34218</v>
      </c>
    </row>
    <row r="7530" spans="1:19" x14ac:dyDescent="0.25">
      <c r="A7530">
        <v>101446776</v>
      </c>
      <c r="B7530" t="s">
        <v>4188</v>
      </c>
      <c r="C7530" t="s">
        <v>4956</v>
      </c>
      <c r="G7530" t="s">
        <v>17710</v>
      </c>
      <c r="H7530" t="s">
        <v>2378</v>
      </c>
      <c r="I7530" t="s">
        <v>126</v>
      </c>
      <c r="J7530">
        <v>64055</v>
      </c>
      <c r="K7530">
        <v>6782</v>
      </c>
      <c r="L7530" t="s">
        <v>23</v>
      </c>
      <c r="M7530" t="s">
        <v>17710</v>
      </c>
      <c r="N7530" t="s">
        <v>2378</v>
      </c>
      <c r="O7530" t="s">
        <v>126</v>
      </c>
      <c r="P7530">
        <v>64055</v>
      </c>
      <c r="Q7530">
        <v>6782</v>
      </c>
      <c r="R7530" t="s">
        <v>23</v>
      </c>
      <c r="S7530" s="1" t="s">
        <v>34218</v>
      </c>
    </row>
    <row r="7531" spans="1:19" x14ac:dyDescent="0.25">
      <c r="A7531">
        <v>101344562</v>
      </c>
      <c r="B7531" t="s">
        <v>17711</v>
      </c>
      <c r="C7531" t="s">
        <v>498</v>
      </c>
      <c r="G7531" t="s">
        <v>17712</v>
      </c>
      <c r="H7531" t="s">
        <v>7214</v>
      </c>
      <c r="I7531" t="s">
        <v>2566</v>
      </c>
      <c r="J7531">
        <v>99712</v>
      </c>
      <c r="K7531">
        <v>1930</v>
      </c>
      <c r="L7531" t="s">
        <v>23</v>
      </c>
      <c r="M7531" t="s">
        <v>17712</v>
      </c>
      <c r="N7531" t="s">
        <v>7214</v>
      </c>
      <c r="O7531" t="s">
        <v>2566</v>
      </c>
      <c r="P7531">
        <v>99712</v>
      </c>
      <c r="Q7531">
        <v>1930</v>
      </c>
      <c r="R7531" t="s">
        <v>23</v>
      </c>
      <c r="S7531" s="1" t="s">
        <v>34218</v>
      </c>
    </row>
    <row r="7532" spans="1:19" x14ac:dyDescent="0.25">
      <c r="A7532">
        <v>101446788</v>
      </c>
      <c r="B7532" t="s">
        <v>17713</v>
      </c>
      <c r="C7532" t="s">
        <v>16085</v>
      </c>
      <c r="G7532" t="s">
        <v>17714</v>
      </c>
      <c r="H7532" t="s">
        <v>1904</v>
      </c>
      <c r="I7532" t="s">
        <v>135</v>
      </c>
      <c r="J7532">
        <v>60126</v>
      </c>
      <c r="K7532">
        <v>2316</v>
      </c>
      <c r="L7532" t="s">
        <v>23</v>
      </c>
      <c r="M7532" t="s">
        <v>17714</v>
      </c>
      <c r="N7532" t="s">
        <v>1904</v>
      </c>
      <c r="O7532" t="s">
        <v>135</v>
      </c>
      <c r="P7532">
        <v>60126</v>
      </c>
      <c r="Q7532">
        <v>2316</v>
      </c>
      <c r="R7532" t="s">
        <v>23</v>
      </c>
      <c r="S7532" s="1" t="s">
        <v>34218</v>
      </c>
    </row>
    <row r="7533" spans="1:19" x14ac:dyDescent="0.25">
      <c r="A7533">
        <v>101323420</v>
      </c>
      <c r="B7533" t="s">
        <v>17715</v>
      </c>
      <c r="C7533" t="s">
        <v>1062</v>
      </c>
      <c r="G7533" t="s">
        <v>17716</v>
      </c>
      <c r="H7533" t="s">
        <v>17717</v>
      </c>
      <c r="I7533" t="s">
        <v>984</v>
      </c>
      <c r="J7533">
        <v>96737</v>
      </c>
      <c r="K7533">
        <v>6161</v>
      </c>
      <c r="L7533" t="s">
        <v>23</v>
      </c>
      <c r="M7533" t="s">
        <v>17716</v>
      </c>
      <c r="N7533" t="s">
        <v>17717</v>
      </c>
      <c r="O7533" t="s">
        <v>984</v>
      </c>
      <c r="P7533">
        <v>96737</v>
      </c>
      <c r="Q7533">
        <v>6161</v>
      </c>
      <c r="R7533" t="s">
        <v>23</v>
      </c>
      <c r="S7533" s="1" t="s">
        <v>34218</v>
      </c>
    </row>
    <row r="7534" spans="1:19" x14ac:dyDescent="0.25">
      <c r="A7534">
        <v>101420758</v>
      </c>
      <c r="B7534" t="s">
        <v>3462</v>
      </c>
      <c r="C7534" t="s">
        <v>155</v>
      </c>
      <c r="G7534" t="s">
        <v>17718</v>
      </c>
      <c r="H7534" t="s">
        <v>15396</v>
      </c>
      <c r="I7534" t="s">
        <v>33</v>
      </c>
      <c r="J7534">
        <v>15701</v>
      </c>
      <c r="K7534">
        <v>3519</v>
      </c>
      <c r="L7534" t="s">
        <v>23</v>
      </c>
      <c r="M7534" t="s">
        <v>17718</v>
      </c>
      <c r="N7534" t="s">
        <v>15396</v>
      </c>
      <c r="O7534" t="s">
        <v>33</v>
      </c>
      <c r="P7534">
        <v>15701</v>
      </c>
      <c r="Q7534">
        <v>3519</v>
      </c>
      <c r="R7534" t="s">
        <v>23</v>
      </c>
      <c r="S7534" s="1" t="s">
        <v>34218</v>
      </c>
    </row>
    <row r="7535" spans="1:19" x14ac:dyDescent="0.25">
      <c r="A7535">
        <v>101429079</v>
      </c>
      <c r="B7535" t="s">
        <v>744</v>
      </c>
      <c r="C7535" t="s">
        <v>2767</v>
      </c>
      <c r="G7535" t="s">
        <v>17719</v>
      </c>
      <c r="H7535" t="s">
        <v>4738</v>
      </c>
      <c r="I7535" t="s">
        <v>117</v>
      </c>
      <c r="J7535">
        <v>13053</v>
      </c>
      <c r="K7535">
        <v>9768</v>
      </c>
      <c r="L7535" t="s">
        <v>23</v>
      </c>
      <c r="M7535" t="s">
        <v>17719</v>
      </c>
      <c r="N7535" t="s">
        <v>4738</v>
      </c>
      <c r="O7535" t="s">
        <v>117</v>
      </c>
      <c r="P7535">
        <v>13053</v>
      </c>
      <c r="Q7535">
        <v>9768</v>
      </c>
      <c r="R7535" t="s">
        <v>23</v>
      </c>
      <c r="S7535" s="1" t="s">
        <v>34218</v>
      </c>
    </row>
    <row r="7536" spans="1:19" x14ac:dyDescent="0.25">
      <c r="A7536">
        <v>101433545</v>
      </c>
      <c r="B7536" t="s">
        <v>17720</v>
      </c>
      <c r="C7536" t="s">
        <v>17721</v>
      </c>
      <c r="G7536" t="s">
        <v>17722</v>
      </c>
      <c r="H7536" t="s">
        <v>299</v>
      </c>
      <c r="I7536" t="s">
        <v>22</v>
      </c>
      <c r="J7536">
        <v>90018</v>
      </c>
      <c r="K7536">
        <v>1718</v>
      </c>
      <c r="L7536" t="s">
        <v>23</v>
      </c>
      <c r="M7536" t="s">
        <v>17722</v>
      </c>
      <c r="N7536" t="s">
        <v>299</v>
      </c>
      <c r="O7536" t="s">
        <v>22</v>
      </c>
      <c r="P7536">
        <v>90018</v>
      </c>
      <c r="Q7536">
        <v>1718</v>
      </c>
      <c r="R7536" t="s">
        <v>23</v>
      </c>
      <c r="S7536" s="1" t="s">
        <v>34218</v>
      </c>
    </row>
    <row r="7537" spans="1:19" x14ac:dyDescent="0.25">
      <c r="A7537">
        <v>101428365</v>
      </c>
      <c r="B7537" t="s">
        <v>17723</v>
      </c>
      <c r="C7537" t="s">
        <v>16639</v>
      </c>
      <c r="H7537" t="s">
        <v>12354</v>
      </c>
      <c r="I7537" t="s">
        <v>365</v>
      </c>
      <c r="J7537">
        <v>85139</v>
      </c>
      <c r="L7537" t="s">
        <v>23</v>
      </c>
      <c r="N7537" t="s">
        <v>12354</v>
      </c>
      <c r="O7537" t="s">
        <v>365</v>
      </c>
      <c r="P7537">
        <v>85139</v>
      </c>
      <c r="R7537" t="s">
        <v>23</v>
      </c>
      <c r="S7537" s="1" t="s">
        <v>34218</v>
      </c>
    </row>
    <row r="7538" spans="1:19" x14ac:dyDescent="0.25">
      <c r="A7538">
        <v>101253332</v>
      </c>
      <c r="B7538" t="s">
        <v>17724</v>
      </c>
      <c r="C7538" t="s">
        <v>2599</v>
      </c>
      <c r="G7538" t="s">
        <v>17725</v>
      </c>
      <c r="H7538" t="s">
        <v>125</v>
      </c>
      <c r="I7538" t="s">
        <v>126</v>
      </c>
      <c r="J7538">
        <v>63144</v>
      </c>
      <c r="K7538">
        <v>1849</v>
      </c>
      <c r="L7538" t="s">
        <v>23</v>
      </c>
      <c r="M7538" t="s">
        <v>17725</v>
      </c>
      <c r="N7538" t="s">
        <v>125</v>
      </c>
      <c r="O7538" t="s">
        <v>126</v>
      </c>
      <c r="P7538">
        <v>63144</v>
      </c>
      <c r="Q7538">
        <v>1849</v>
      </c>
      <c r="R7538" t="s">
        <v>23</v>
      </c>
      <c r="S7538" s="1" t="s">
        <v>34218</v>
      </c>
    </row>
    <row r="7539" spans="1:19" x14ac:dyDescent="0.25">
      <c r="A7539">
        <v>101064901</v>
      </c>
      <c r="B7539" t="s">
        <v>13120</v>
      </c>
      <c r="C7539" t="s">
        <v>846</v>
      </c>
      <c r="G7539" t="s">
        <v>17726</v>
      </c>
      <c r="H7539" t="s">
        <v>277</v>
      </c>
      <c r="I7539" t="s">
        <v>140</v>
      </c>
      <c r="J7539">
        <v>49855</v>
      </c>
      <c r="K7539">
        <v>9048</v>
      </c>
      <c r="L7539" t="s">
        <v>23</v>
      </c>
      <c r="M7539" t="s">
        <v>17726</v>
      </c>
      <c r="N7539" t="s">
        <v>277</v>
      </c>
      <c r="O7539" t="s">
        <v>140</v>
      </c>
      <c r="P7539">
        <v>49855</v>
      </c>
      <c r="Q7539">
        <v>9048</v>
      </c>
      <c r="R7539" t="s">
        <v>23</v>
      </c>
      <c r="S7539" s="1" t="s">
        <v>34218</v>
      </c>
    </row>
    <row r="7540" spans="1:19" x14ac:dyDescent="0.25">
      <c r="A7540">
        <v>100851462</v>
      </c>
      <c r="B7540" t="s">
        <v>17727</v>
      </c>
      <c r="C7540" t="s">
        <v>846</v>
      </c>
      <c r="G7540" t="s">
        <v>17728</v>
      </c>
      <c r="H7540" t="s">
        <v>15963</v>
      </c>
      <c r="I7540" t="s">
        <v>33</v>
      </c>
      <c r="J7540">
        <v>19567</v>
      </c>
      <c r="K7540">
        <v>1413</v>
      </c>
      <c r="L7540" t="s">
        <v>23</v>
      </c>
      <c r="M7540" t="s">
        <v>17728</v>
      </c>
      <c r="N7540" t="s">
        <v>15963</v>
      </c>
      <c r="O7540" t="s">
        <v>33</v>
      </c>
      <c r="P7540">
        <v>19567</v>
      </c>
      <c r="Q7540">
        <v>1413</v>
      </c>
      <c r="R7540" t="s">
        <v>23</v>
      </c>
      <c r="S7540" s="1" t="s">
        <v>34218</v>
      </c>
    </row>
    <row r="7541" spans="1:19" x14ac:dyDescent="0.25">
      <c r="A7541">
        <v>101428026</v>
      </c>
      <c r="B7541" t="s">
        <v>17729</v>
      </c>
      <c r="C7541" t="s">
        <v>114</v>
      </c>
      <c r="G7541" t="s">
        <v>17730</v>
      </c>
      <c r="H7541" t="s">
        <v>17731</v>
      </c>
      <c r="I7541" t="s">
        <v>22</v>
      </c>
      <c r="J7541">
        <v>93446</v>
      </c>
      <c r="K7541">
        <v>2258</v>
      </c>
      <c r="L7541" t="s">
        <v>23</v>
      </c>
      <c r="M7541" t="s">
        <v>17730</v>
      </c>
      <c r="N7541" t="s">
        <v>17731</v>
      </c>
      <c r="O7541" t="s">
        <v>22</v>
      </c>
      <c r="P7541">
        <v>93446</v>
      </c>
      <c r="Q7541">
        <v>2258</v>
      </c>
      <c r="R7541" t="s">
        <v>23</v>
      </c>
      <c r="S7541" s="1" t="s">
        <v>34218</v>
      </c>
    </row>
    <row r="7542" spans="1:19" x14ac:dyDescent="0.25">
      <c r="A7542">
        <v>101447606</v>
      </c>
      <c r="B7542" t="s">
        <v>11945</v>
      </c>
      <c r="C7542" t="s">
        <v>274</v>
      </c>
      <c r="G7542" t="s">
        <v>17732</v>
      </c>
      <c r="H7542" t="s">
        <v>17733</v>
      </c>
      <c r="I7542" t="s">
        <v>1482</v>
      </c>
      <c r="J7542">
        <v>29016</v>
      </c>
      <c r="K7542">
        <v>9092</v>
      </c>
      <c r="L7542" t="s">
        <v>23</v>
      </c>
      <c r="M7542" t="s">
        <v>17732</v>
      </c>
      <c r="N7542" t="s">
        <v>17733</v>
      </c>
      <c r="O7542" t="s">
        <v>1482</v>
      </c>
      <c r="P7542">
        <v>29016</v>
      </c>
      <c r="Q7542">
        <v>9092</v>
      </c>
      <c r="R7542" t="s">
        <v>23</v>
      </c>
      <c r="S7542" s="1" t="s">
        <v>34218</v>
      </c>
    </row>
    <row r="7543" spans="1:19" x14ac:dyDescent="0.25">
      <c r="A7543">
        <v>101234626</v>
      </c>
      <c r="B7543" t="s">
        <v>17734</v>
      </c>
      <c r="C7543" t="s">
        <v>4719</v>
      </c>
      <c r="G7543" t="s">
        <v>17735</v>
      </c>
      <c r="H7543" t="s">
        <v>1405</v>
      </c>
      <c r="I7543" t="s">
        <v>187</v>
      </c>
      <c r="J7543">
        <v>55122</v>
      </c>
      <c r="K7543">
        <v>2706</v>
      </c>
      <c r="L7543" t="s">
        <v>23</v>
      </c>
      <c r="M7543" t="s">
        <v>17735</v>
      </c>
      <c r="N7543" t="s">
        <v>1405</v>
      </c>
      <c r="O7543" t="s">
        <v>187</v>
      </c>
      <c r="P7543">
        <v>55122</v>
      </c>
      <c r="Q7543">
        <v>2706</v>
      </c>
      <c r="R7543" t="s">
        <v>23</v>
      </c>
      <c r="S7543" s="1" t="s">
        <v>34218</v>
      </c>
    </row>
    <row r="7544" spans="1:19" x14ac:dyDescent="0.25">
      <c r="A7544">
        <v>101302081</v>
      </c>
      <c r="B7544" t="s">
        <v>17736</v>
      </c>
      <c r="C7544" t="s">
        <v>123</v>
      </c>
      <c r="G7544" t="s">
        <v>17737</v>
      </c>
      <c r="H7544" t="s">
        <v>17738</v>
      </c>
      <c r="I7544" t="s">
        <v>135</v>
      </c>
      <c r="J7544">
        <v>60106</v>
      </c>
      <c r="K7544">
        <v>3454</v>
      </c>
      <c r="L7544" t="s">
        <v>23</v>
      </c>
      <c r="M7544" t="s">
        <v>17737</v>
      </c>
      <c r="N7544" t="s">
        <v>17738</v>
      </c>
      <c r="O7544" t="s">
        <v>135</v>
      </c>
      <c r="P7544">
        <v>60106</v>
      </c>
      <c r="Q7544">
        <v>3454</v>
      </c>
      <c r="R7544" t="s">
        <v>23</v>
      </c>
      <c r="S7544" s="1" t="s">
        <v>34218</v>
      </c>
    </row>
    <row r="7545" spans="1:19" x14ac:dyDescent="0.25">
      <c r="A7545">
        <v>101447625</v>
      </c>
      <c r="B7545" t="s">
        <v>105</v>
      </c>
      <c r="C7545" t="s">
        <v>1212</v>
      </c>
      <c r="G7545" t="s">
        <v>17739</v>
      </c>
      <c r="H7545" t="s">
        <v>6171</v>
      </c>
      <c r="I7545" t="s">
        <v>255</v>
      </c>
      <c r="J7545">
        <v>23238</v>
      </c>
      <c r="K7545">
        <v>3292</v>
      </c>
      <c r="L7545" t="s">
        <v>23</v>
      </c>
      <c r="M7545" t="s">
        <v>17739</v>
      </c>
      <c r="N7545" t="s">
        <v>6171</v>
      </c>
      <c r="O7545" t="s">
        <v>255</v>
      </c>
      <c r="P7545">
        <v>23238</v>
      </c>
      <c r="Q7545">
        <v>3292</v>
      </c>
      <c r="R7545" t="s">
        <v>23</v>
      </c>
      <c r="S7545" s="1" t="s">
        <v>34218</v>
      </c>
    </row>
    <row r="7546" spans="1:19" x14ac:dyDescent="0.25">
      <c r="A7546">
        <v>101275840</v>
      </c>
      <c r="B7546" t="s">
        <v>17740</v>
      </c>
      <c r="C7546" t="s">
        <v>1327</v>
      </c>
      <c r="G7546" t="s">
        <v>17741</v>
      </c>
      <c r="H7546" t="s">
        <v>17742</v>
      </c>
      <c r="I7546" t="s">
        <v>236</v>
      </c>
      <c r="J7546">
        <v>1504</v>
      </c>
      <c r="K7546">
        <v>1531</v>
      </c>
      <c r="L7546" t="s">
        <v>23</v>
      </c>
      <c r="M7546" t="s">
        <v>17741</v>
      </c>
      <c r="N7546" t="s">
        <v>17742</v>
      </c>
      <c r="O7546" t="s">
        <v>236</v>
      </c>
      <c r="P7546">
        <v>1504</v>
      </c>
      <c r="Q7546">
        <v>1531</v>
      </c>
      <c r="R7546" t="s">
        <v>23</v>
      </c>
      <c r="S7546" s="1" t="s">
        <v>34218</v>
      </c>
    </row>
    <row r="7547" spans="1:19" x14ac:dyDescent="0.25">
      <c r="A7547">
        <v>101432130</v>
      </c>
      <c r="B7547" t="s">
        <v>17743</v>
      </c>
      <c r="C7547" t="s">
        <v>1161</v>
      </c>
      <c r="G7547" t="s">
        <v>17744</v>
      </c>
      <c r="H7547" t="s">
        <v>17745</v>
      </c>
      <c r="I7547" t="s">
        <v>241</v>
      </c>
      <c r="J7547">
        <v>67456</v>
      </c>
      <c r="K7547">
        <v>2412</v>
      </c>
      <c r="L7547" t="s">
        <v>23</v>
      </c>
      <c r="M7547" t="s">
        <v>17744</v>
      </c>
      <c r="N7547" t="s">
        <v>17745</v>
      </c>
      <c r="O7547" t="s">
        <v>241</v>
      </c>
      <c r="P7547">
        <v>67456</v>
      </c>
      <c r="Q7547">
        <v>2412</v>
      </c>
      <c r="R7547" t="s">
        <v>23</v>
      </c>
      <c r="S7547" s="1" t="s">
        <v>34218</v>
      </c>
    </row>
    <row r="7548" spans="1:19" x14ac:dyDescent="0.25">
      <c r="A7548">
        <v>100542729</v>
      </c>
      <c r="B7548" t="s">
        <v>3590</v>
      </c>
      <c r="C7548" t="s">
        <v>2269</v>
      </c>
      <c r="G7548" t="s">
        <v>17746</v>
      </c>
      <c r="H7548" t="s">
        <v>5034</v>
      </c>
      <c r="I7548" t="s">
        <v>117</v>
      </c>
      <c r="J7548">
        <v>11360</v>
      </c>
      <c r="K7548">
        <v>2498</v>
      </c>
      <c r="L7548" t="s">
        <v>23</v>
      </c>
      <c r="M7548" t="s">
        <v>17746</v>
      </c>
      <c r="N7548" t="s">
        <v>5034</v>
      </c>
      <c r="O7548" t="s">
        <v>117</v>
      </c>
      <c r="P7548">
        <v>11360</v>
      </c>
      <c r="Q7548">
        <v>2498</v>
      </c>
      <c r="R7548" t="s">
        <v>23</v>
      </c>
      <c r="S7548" s="1" t="s">
        <v>34218</v>
      </c>
    </row>
    <row r="7549" spans="1:19" x14ac:dyDescent="0.25">
      <c r="A7549">
        <v>101298940</v>
      </c>
      <c r="B7549" t="s">
        <v>13444</v>
      </c>
      <c r="C7549" t="s">
        <v>880</v>
      </c>
      <c r="G7549" t="s">
        <v>17747</v>
      </c>
      <c r="H7549" t="s">
        <v>8386</v>
      </c>
      <c r="I7549" t="s">
        <v>22</v>
      </c>
      <c r="J7549">
        <v>90706</v>
      </c>
      <c r="K7549">
        <v>2337</v>
      </c>
      <c r="L7549" t="s">
        <v>23</v>
      </c>
      <c r="M7549" t="s">
        <v>17747</v>
      </c>
      <c r="N7549" t="s">
        <v>8386</v>
      </c>
      <c r="O7549" t="s">
        <v>22</v>
      </c>
      <c r="P7549">
        <v>90706</v>
      </c>
      <c r="Q7549">
        <v>2337</v>
      </c>
      <c r="R7549" t="s">
        <v>23</v>
      </c>
      <c r="S7549" s="1" t="s">
        <v>34218</v>
      </c>
    </row>
    <row r="7550" spans="1:19" x14ac:dyDescent="0.25">
      <c r="A7550">
        <v>101270557</v>
      </c>
      <c r="B7550" t="s">
        <v>17748</v>
      </c>
      <c r="C7550" t="s">
        <v>252</v>
      </c>
      <c r="G7550" t="s">
        <v>17749</v>
      </c>
      <c r="H7550" t="s">
        <v>5838</v>
      </c>
      <c r="I7550" t="s">
        <v>914</v>
      </c>
      <c r="J7550">
        <v>37421</v>
      </c>
      <c r="K7550">
        <v>4319</v>
      </c>
      <c r="L7550" t="s">
        <v>23</v>
      </c>
      <c r="M7550" t="s">
        <v>17749</v>
      </c>
      <c r="N7550" t="s">
        <v>5838</v>
      </c>
      <c r="O7550" t="s">
        <v>914</v>
      </c>
      <c r="P7550">
        <v>37421</v>
      </c>
      <c r="Q7550">
        <v>4319</v>
      </c>
      <c r="R7550" t="s">
        <v>23</v>
      </c>
      <c r="S7550" s="1" t="s">
        <v>34218</v>
      </c>
    </row>
    <row r="7551" spans="1:19" x14ac:dyDescent="0.25">
      <c r="A7551">
        <v>101430266</v>
      </c>
      <c r="B7551" t="s">
        <v>17750</v>
      </c>
      <c r="C7551" t="s">
        <v>16543</v>
      </c>
      <c r="G7551" t="s">
        <v>17751</v>
      </c>
      <c r="H7551" t="s">
        <v>7392</v>
      </c>
      <c r="I7551" t="s">
        <v>250</v>
      </c>
      <c r="J7551">
        <v>7430</v>
      </c>
      <c r="K7551">
        <v>1714</v>
      </c>
      <c r="L7551" t="s">
        <v>23</v>
      </c>
      <c r="M7551" t="s">
        <v>17751</v>
      </c>
      <c r="N7551" t="s">
        <v>7392</v>
      </c>
      <c r="O7551" t="s">
        <v>250</v>
      </c>
      <c r="P7551">
        <v>7430</v>
      </c>
      <c r="Q7551">
        <v>1714</v>
      </c>
      <c r="R7551" t="s">
        <v>23</v>
      </c>
      <c r="S7551" s="1" t="s">
        <v>34218</v>
      </c>
    </row>
    <row r="7552" spans="1:19" x14ac:dyDescent="0.25">
      <c r="A7552">
        <v>100515698</v>
      </c>
      <c r="B7552" t="s">
        <v>17752</v>
      </c>
      <c r="C7552" t="s">
        <v>3843</v>
      </c>
      <c r="G7552" t="s">
        <v>17753</v>
      </c>
      <c r="H7552" t="s">
        <v>1246</v>
      </c>
      <c r="I7552" t="s">
        <v>140</v>
      </c>
      <c r="J7552">
        <v>49503</v>
      </c>
      <c r="K7552">
        <v>3329</v>
      </c>
      <c r="L7552" t="s">
        <v>23</v>
      </c>
      <c r="M7552" t="s">
        <v>17753</v>
      </c>
      <c r="N7552" t="s">
        <v>1246</v>
      </c>
      <c r="O7552" t="s">
        <v>140</v>
      </c>
      <c r="P7552">
        <v>49503</v>
      </c>
      <c r="Q7552">
        <v>3329</v>
      </c>
      <c r="R7552" t="s">
        <v>23</v>
      </c>
      <c r="S7552" s="1" t="s">
        <v>34218</v>
      </c>
    </row>
    <row r="7553" spans="1:19" x14ac:dyDescent="0.25">
      <c r="A7553">
        <v>101432925</v>
      </c>
      <c r="B7553" t="s">
        <v>17754</v>
      </c>
      <c r="C7553" t="s">
        <v>13882</v>
      </c>
      <c r="G7553" t="s">
        <v>17755</v>
      </c>
      <c r="H7553" t="s">
        <v>6273</v>
      </c>
      <c r="I7553" t="s">
        <v>22</v>
      </c>
      <c r="J7553">
        <v>92867</v>
      </c>
      <c r="K7553">
        <v>2904</v>
      </c>
      <c r="L7553" t="s">
        <v>23</v>
      </c>
      <c r="M7553" t="s">
        <v>17755</v>
      </c>
      <c r="N7553" t="s">
        <v>6273</v>
      </c>
      <c r="O7553" t="s">
        <v>22</v>
      </c>
      <c r="P7553">
        <v>92867</v>
      </c>
      <c r="Q7553">
        <v>2904</v>
      </c>
      <c r="R7553" t="s">
        <v>23</v>
      </c>
      <c r="S7553" s="1" t="s">
        <v>34218</v>
      </c>
    </row>
    <row r="7554" spans="1:19" x14ac:dyDescent="0.25">
      <c r="A7554">
        <v>101297983</v>
      </c>
      <c r="B7554" t="s">
        <v>17756</v>
      </c>
      <c r="C7554" t="s">
        <v>699</v>
      </c>
      <c r="F7554" t="str">
        <f>"3367555598"</f>
        <v>3367555598</v>
      </c>
      <c r="G7554" t="s">
        <v>17757</v>
      </c>
      <c r="H7554" t="s">
        <v>8280</v>
      </c>
      <c r="I7554" t="s">
        <v>446</v>
      </c>
      <c r="J7554">
        <v>27295</v>
      </c>
      <c r="K7554">
        <v>8851</v>
      </c>
      <c r="L7554" t="s">
        <v>23</v>
      </c>
      <c r="M7554" t="s">
        <v>17757</v>
      </c>
      <c r="N7554" t="s">
        <v>8280</v>
      </c>
      <c r="O7554" t="s">
        <v>446</v>
      </c>
      <c r="P7554">
        <v>27295</v>
      </c>
      <c r="Q7554">
        <v>8851</v>
      </c>
      <c r="R7554" t="s">
        <v>23</v>
      </c>
      <c r="S7554" s="1" t="s">
        <v>34218</v>
      </c>
    </row>
    <row r="7555" spans="1:19" x14ac:dyDescent="0.25">
      <c r="A7555">
        <v>101298639</v>
      </c>
      <c r="B7555" t="s">
        <v>17758</v>
      </c>
      <c r="C7555" t="s">
        <v>582</v>
      </c>
      <c r="G7555" t="s">
        <v>17759</v>
      </c>
      <c r="H7555" t="s">
        <v>17760</v>
      </c>
      <c r="I7555" t="s">
        <v>117</v>
      </c>
      <c r="J7555">
        <v>10956</v>
      </c>
      <c r="K7555">
        <v>2416</v>
      </c>
      <c r="L7555" t="s">
        <v>23</v>
      </c>
      <c r="M7555" t="s">
        <v>17759</v>
      </c>
      <c r="N7555" t="s">
        <v>17760</v>
      </c>
      <c r="O7555" t="s">
        <v>117</v>
      </c>
      <c r="P7555">
        <v>10956</v>
      </c>
      <c r="Q7555">
        <v>2416</v>
      </c>
      <c r="R7555" t="s">
        <v>23</v>
      </c>
      <c r="S7555" s="1" t="s">
        <v>34218</v>
      </c>
    </row>
    <row r="7556" spans="1:19" x14ac:dyDescent="0.25">
      <c r="A7556">
        <v>101303131</v>
      </c>
      <c r="B7556" t="s">
        <v>17761</v>
      </c>
      <c r="C7556" t="s">
        <v>5283</v>
      </c>
      <c r="G7556" t="s">
        <v>17762</v>
      </c>
      <c r="H7556" t="s">
        <v>16506</v>
      </c>
      <c r="I7556" t="s">
        <v>255</v>
      </c>
      <c r="J7556">
        <v>24101</v>
      </c>
      <c r="K7556">
        <v>2620</v>
      </c>
      <c r="L7556" t="s">
        <v>23</v>
      </c>
      <c r="M7556" t="s">
        <v>17762</v>
      </c>
      <c r="N7556" t="s">
        <v>16506</v>
      </c>
      <c r="O7556" t="s">
        <v>255</v>
      </c>
      <c r="P7556">
        <v>24101</v>
      </c>
      <c r="Q7556">
        <v>2620</v>
      </c>
      <c r="R7556" t="s">
        <v>23</v>
      </c>
      <c r="S7556" s="1" t="s">
        <v>34218</v>
      </c>
    </row>
    <row r="7557" spans="1:19" x14ac:dyDescent="0.25">
      <c r="A7557">
        <v>101301319</v>
      </c>
      <c r="B7557" t="s">
        <v>11304</v>
      </c>
      <c r="C7557" t="s">
        <v>2084</v>
      </c>
      <c r="G7557" t="s">
        <v>17763</v>
      </c>
      <c r="H7557" t="s">
        <v>822</v>
      </c>
      <c r="I7557" t="s">
        <v>140</v>
      </c>
      <c r="J7557">
        <v>48911</v>
      </c>
      <c r="K7557">
        <v>4858</v>
      </c>
      <c r="L7557" t="s">
        <v>23</v>
      </c>
      <c r="M7557" t="s">
        <v>17763</v>
      </c>
      <c r="N7557" t="s">
        <v>822</v>
      </c>
      <c r="O7557" t="s">
        <v>140</v>
      </c>
      <c r="P7557">
        <v>48911</v>
      </c>
      <c r="Q7557">
        <v>4858</v>
      </c>
      <c r="R7557" t="s">
        <v>23</v>
      </c>
      <c r="S7557" s="1" t="s">
        <v>34218</v>
      </c>
    </row>
    <row r="7558" spans="1:19" x14ac:dyDescent="0.25">
      <c r="A7558">
        <v>101297205</v>
      </c>
      <c r="B7558" t="s">
        <v>858</v>
      </c>
      <c r="C7558" t="s">
        <v>3110</v>
      </c>
      <c r="G7558" t="s">
        <v>17764</v>
      </c>
      <c r="H7558" t="s">
        <v>653</v>
      </c>
      <c r="I7558" t="s">
        <v>117</v>
      </c>
      <c r="J7558">
        <v>10036</v>
      </c>
      <c r="K7558">
        <v>2271</v>
      </c>
      <c r="L7558" t="s">
        <v>23</v>
      </c>
      <c r="M7558" t="s">
        <v>17764</v>
      </c>
      <c r="N7558" t="s">
        <v>653</v>
      </c>
      <c r="O7558" t="s">
        <v>117</v>
      </c>
      <c r="P7558">
        <v>10036</v>
      </c>
      <c r="Q7558">
        <v>2271</v>
      </c>
      <c r="R7558" t="s">
        <v>23</v>
      </c>
      <c r="S7558" s="1" t="s">
        <v>34218</v>
      </c>
    </row>
    <row r="7559" spans="1:19" x14ac:dyDescent="0.25">
      <c r="A7559">
        <v>101307265</v>
      </c>
      <c r="B7559" t="s">
        <v>17765</v>
      </c>
      <c r="C7559" t="s">
        <v>6003</v>
      </c>
      <c r="G7559" t="s">
        <v>17766</v>
      </c>
      <c r="H7559" t="s">
        <v>3363</v>
      </c>
      <c r="I7559" t="s">
        <v>33</v>
      </c>
      <c r="J7559">
        <v>15239</v>
      </c>
      <c r="K7559">
        <v>2325</v>
      </c>
      <c r="L7559" t="s">
        <v>23</v>
      </c>
      <c r="M7559" t="s">
        <v>17766</v>
      </c>
      <c r="N7559" t="s">
        <v>3363</v>
      </c>
      <c r="O7559" t="s">
        <v>33</v>
      </c>
      <c r="P7559">
        <v>15239</v>
      </c>
      <c r="Q7559">
        <v>2325</v>
      </c>
      <c r="R7559" t="s">
        <v>23</v>
      </c>
      <c r="S7559" s="1" t="s">
        <v>34218</v>
      </c>
    </row>
    <row r="7560" spans="1:19" x14ac:dyDescent="0.25">
      <c r="A7560">
        <v>101304617</v>
      </c>
      <c r="B7560" t="s">
        <v>17767</v>
      </c>
      <c r="C7560" t="s">
        <v>547</v>
      </c>
      <c r="G7560" t="s">
        <v>17768</v>
      </c>
      <c r="H7560" t="s">
        <v>1863</v>
      </c>
      <c r="I7560" t="s">
        <v>126</v>
      </c>
      <c r="J7560">
        <v>64117</v>
      </c>
      <c r="K7560">
        <v>1905</v>
      </c>
      <c r="L7560" t="s">
        <v>23</v>
      </c>
      <c r="M7560" t="s">
        <v>17768</v>
      </c>
      <c r="N7560" t="s">
        <v>1863</v>
      </c>
      <c r="O7560" t="s">
        <v>126</v>
      </c>
      <c r="P7560">
        <v>64117</v>
      </c>
      <c r="Q7560">
        <v>1905</v>
      </c>
      <c r="R7560" t="s">
        <v>23</v>
      </c>
      <c r="S7560" s="1" t="s">
        <v>34218</v>
      </c>
    </row>
    <row r="7561" spans="1:19" x14ac:dyDescent="0.25">
      <c r="A7561">
        <v>101426871</v>
      </c>
      <c r="B7561" t="s">
        <v>7529</v>
      </c>
      <c r="C7561" t="s">
        <v>17769</v>
      </c>
      <c r="G7561" t="s">
        <v>17770</v>
      </c>
      <c r="H7561" t="s">
        <v>6813</v>
      </c>
      <c r="I7561" t="s">
        <v>135</v>
      </c>
      <c r="J7561">
        <v>60440</v>
      </c>
      <c r="K7561">
        <v>4811</v>
      </c>
      <c r="L7561" t="s">
        <v>23</v>
      </c>
      <c r="M7561" t="s">
        <v>17770</v>
      </c>
      <c r="N7561" t="s">
        <v>6813</v>
      </c>
      <c r="O7561" t="s">
        <v>135</v>
      </c>
      <c r="P7561">
        <v>60440</v>
      </c>
      <c r="Q7561">
        <v>4811</v>
      </c>
      <c r="R7561" t="s">
        <v>23</v>
      </c>
      <c r="S7561" s="1" t="s">
        <v>34218</v>
      </c>
    </row>
    <row r="7562" spans="1:19" x14ac:dyDescent="0.25">
      <c r="A7562">
        <v>101418294</v>
      </c>
      <c r="B7562" t="s">
        <v>2829</v>
      </c>
      <c r="C7562" t="s">
        <v>1492</v>
      </c>
      <c r="G7562" t="s">
        <v>17771</v>
      </c>
      <c r="H7562" t="s">
        <v>9016</v>
      </c>
      <c r="I7562" t="s">
        <v>84</v>
      </c>
      <c r="J7562">
        <v>98027</v>
      </c>
      <c r="L7562" t="s">
        <v>23</v>
      </c>
      <c r="M7562" t="s">
        <v>17771</v>
      </c>
      <c r="N7562" t="s">
        <v>9016</v>
      </c>
      <c r="O7562" t="s">
        <v>84</v>
      </c>
      <c r="P7562">
        <v>98027</v>
      </c>
      <c r="R7562" t="s">
        <v>23</v>
      </c>
      <c r="S7562" s="1" t="s">
        <v>34218</v>
      </c>
    </row>
    <row r="7563" spans="1:19" x14ac:dyDescent="0.25">
      <c r="A7563">
        <v>100875572</v>
      </c>
      <c r="B7563" t="s">
        <v>17772</v>
      </c>
      <c r="C7563" t="s">
        <v>2127</v>
      </c>
      <c r="G7563" t="s">
        <v>17773</v>
      </c>
      <c r="H7563" t="s">
        <v>134</v>
      </c>
      <c r="I7563" t="s">
        <v>135</v>
      </c>
      <c r="J7563">
        <v>60618</v>
      </c>
      <c r="K7563">
        <v>6309</v>
      </c>
      <c r="L7563" t="s">
        <v>23</v>
      </c>
      <c r="M7563" t="s">
        <v>17773</v>
      </c>
      <c r="N7563" t="s">
        <v>134</v>
      </c>
      <c r="O7563" t="s">
        <v>135</v>
      </c>
      <c r="P7563">
        <v>60618</v>
      </c>
      <c r="Q7563">
        <v>6309</v>
      </c>
      <c r="R7563" t="s">
        <v>23</v>
      </c>
      <c r="S7563" s="1" t="s">
        <v>34218</v>
      </c>
    </row>
    <row r="7564" spans="1:19" x14ac:dyDescent="0.25">
      <c r="A7564">
        <v>100652759</v>
      </c>
      <c r="B7564" t="s">
        <v>17774</v>
      </c>
      <c r="C7564" t="s">
        <v>17775</v>
      </c>
      <c r="G7564" t="s">
        <v>17776</v>
      </c>
      <c r="H7564" t="s">
        <v>17777</v>
      </c>
      <c r="I7564" t="s">
        <v>914</v>
      </c>
      <c r="J7564">
        <v>37066</v>
      </c>
      <c r="L7564" t="s">
        <v>23</v>
      </c>
      <c r="M7564" t="s">
        <v>17776</v>
      </c>
      <c r="N7564" t="s">
        <v>17777</v>
      </c>
      <c r="O7564" t="s">
        <v>914</v>
      </c>
      <c r="P7564">
        <v>37066</v>
      </c>
      <c r="R7564" t="s">
        <v>23</v>
      </c>
      <c r="S7564" s="1" t="s">
        <v>34218</v>
      </c>
    </row>
    <row r="7565" spans="1:19" x14ac:dyDescent="0.25">
      <c r="A7565">
        <v>100942716</v>
      </c>
      <c r="B7565" t="s">
        <v>12359</v>
      </c>
      <c r="C7565" t="s">
        <v>575</v>
      </c>
      <c r="G7565" t="s">
        <v>17778</v>
      </c>
      <c r="H7565" t="s">
        <v>198</v>
      </c>
      <c r="I7565" t="s">
        <v>22</v>
      </c>
      <c r="J7565">
        <v>92126</v>
      </c>
      <c r="K7565">
        <v>1151</v>
      </c>
      <c r="L7565" t="s">
        <v>23</v>
      </c>
      <c r="M7565" t="s">
        <v>17778</v>
      </c>
      <c r="N7565" t="s">
        <v>198</v>
      </c>
      <c r="O7565" t="s">
        <v>22</v>
      </c>
      <c r="P7565">
        <v>92126</v>
      </c>
      <c r="Q7565">
        <v>1151</v>
      </c>
      <c r="R7565" t="s">
        <v>23</v>
      </c>
      <c r="S7565" s="1" t="s">
        <v>34218</v>
      </c>
    </row>
    <row r="7566" spans="1:19" x14ac:dyDescent="0.25">
      <c r="A7566">
        <v>101433774</v>
      </c>
      <c r="B7566" t="s">
        <v>17779</v>
      </c>
      <c r="C7566" t="s">
        <v>90</v>
      </c>
      <c r="G7566" t="s">
        <v>17780</v>
      </c>
      <c r="H7566" t="s">
        <v>227</v>
      </c>
      <c r="I7566" t="s">
        <v>43</v>
      </c>
      <c r="J7566">
        <v>97211</v>
      </c>
      <c r="K7566">
        <v>6245</v>
      </c>
      <c r="L7566" t="s">
        <v>23</v>
      </c>
      <c r="M7566" t="s">
        <v>17780</v>
      </c>
      <c r="N7566" t="s">
        <v>227</v>
      </c>
      <c r="O7566" t="s">
        <v>43</v>
      </c>
      <c r="P7566">
        <v>97211</v>
      </c>
      <c r="Q7566">
        <v>6245</v>
      </c>
      <c r="R7566" t="s">
        <v>23</v>
      </c>
      <c r="S7566" s="1" t="s">
        <v>34218</v>
      </c>
    </row>
    <row r="7567" spans="1:19" x14ac:dyDescent="0.25">
      <c r="A7567">
        <v>101301221</v>
      </c>
      <c r="B7567" t="s">
        <v>17781</v>
      </c>
      <c r="C7567" t="s">
        <v>1873</v>
      </c>
      <c r="G7567">
        <v>2258</v>
      </c>
      <c r="H7567" t="s">
        <v>11103</v>
      </c>
      <c r="I7567" t="s">
        <v>178</v>
      </c>
      <c r="J7567">
        <v>44122</v>
      </c>
      <c r="L7567" t="s">
        <v>23</v>
      </c>
      <c r="M7567">
        <v>2258</v>
      </c>
      <c r="N7567" t="s">
        <v>11103</v>
      </c>
      <c r="O7567" t="s">
        <v>178</v>
      </c>
      <c r="P7567">
        <v>44122</v>
      </c>
      <c r="R7567" t="s">
        <v>23</v>
      </c>
      <c r="S7567" s="1" t="s">
        <v>34218</v>
      </c>
    </row>
    <row r="7568" spans="1:19" x14ac:dyDescent="0.25">
      <c r="A7568">
        <v>101435819</v>
      </c>
      <c r="B7568" t="s">
        <v>1536</v>
      </c>
      <c r="C7568" t="s">
        <v>432</v>
      </c>
      <c r="G7568" t="s">
        <v>17782</v>
      </c>
      <c r="H7568" t="s">
        <v>17783</v>
      </c>
      <c r="I7568" t="s">
        <v>148</v>
      </c>
      <c r="J7568">
        <v>20912</v>
      </c>
      <c r="K7568">
        <v>6231</v>
      </c>
      <c r="L7568" t="s">
        <v>23</v>
      </c>
      <c r="M7568" t="s">
        <v>17782</v>
      </c>
      <c r="N7568" t="s">
        <v>17783</v>
      </c>
      <c r="O7568" t="s">
        <v>148</v>
      </c>
      <c r="P7568">
        <v>20912</v>
      </c>
      <c r="Q7568">
        <v>6231</v>
      </c>
      <c r="R7568" t="s">
        <v>23</v>
      </c>
      <c r="S7568" s="1" t="s">
        <v>34218</v>
      </c>
    </row>
    <row r="7569" spans="1:19" x14ac:dyDescent="0.25">
      <c r="A7569">
        <v>101410760</v>
      </c>
      <c r="B7569" t="s">
        <v>17784</v>
      </c>
      <c r="C7569" t="s">
        <v>1377</v>
      </c>
      <c r="G7569" t="s">
        <v>17785</v>
      </c>
      <c r="H7569" t="s">
        <v>4291</v>
      </c>
      <c r="I7569" t="s">
        <v>84</v>
      </c>
      <c r="J7569">
        <v>98012</v>
      </c>
      <c r="K7569">
        <v>1306</v>
      </c>
      <c r="L7569" t="s">
        <v>23</v>
      </c>
      <c r="M7569" t="s">
        <v>17785</v>
      </c>
      <c r="N7569" t="s">
        <v>4291</v>
      </c>
      <c r="O7569" t="s">
        <v>84</v>
      </c>
      <c r="P7569">
        <v>98012</v>
      </c>
      <c r="Q7569">
        <v>1306</v>
      </c>
      <c r="R7569" t="s">
        <v>23</v>
      </c>
      <c r="S7569" s="1" t="s">
        <v>34218</v>
      </c>
    </row>
    <row r="7570" spans="1:19" x14ac:dyDescent="0.25">
      <c r="A7570">
        <v>100749970</v>
      </c>
      <c r="B7570" t="s">
        <v>17786</v>
      </c>
      <c r="C7570" t="s">
        <v>17787</v>
      </c>
      <c r="G7570" t="s">
        <v>17788</v>
      </c>
      <c r="H7570" t="s">
        <v>4259</v>
      </c>
      <c r="I7570" t="s">
        <v>187</v>
      </c>
      <c r="J7570">
        <v>55445</v>
      </c>
      <c r="K7570">
        <v>1958</v>
      </c>
      <c r="L7570" t="s">
        <v>23</v>
      </c>
      <c r="M7570" t="s">
        <v>17788</v>
      </c>
      <c r="N7570" t="s">
        <v>4259</v>
      </c>
      <c r="O7570" t="s">
        <v>187</v>
      </c>
      <c r="P7570">
        <v>55445</v>
      </c>
      <c r="Q7570">
        <v>1958</v>
      </c>
      <c r="R7570" t="s">
        <v>23</v>
      </c>
      <c r="S7570" s="1" t="s">
        <v>34218</v>
      </c>
    </row>
    <row r="7571" spans="1:19" x14ac:dyDescent="0.25">
      <c r="A7571">
        <v>101228329</v>
      </c>
      <c r="B7571" t="s">
        <v>17789</v>
      </c>
      <c r="C7571" t="s">
        <v>1327</v>
      </c>
      <c r="G7571" t="s">
        <v>17790</v>
      </c>
      <c r="H7571" t="s">
        <v>389</v>
      </c>
      <c r="I7571" t="s">
        <v>100</v>
      </c>
      <c r="J7571">
        <v>53207</v>
      </c>
      <c r="K7571">
        <v>5242</v>
      </c>
      <c r="L7571" t="s">
        <v>23</v>
      </c>
      <c r="M7571" t="s">
        <v>17790</v>
      </c>
      <c r="N7571" t="s">
        <v>389</v>
      </c>
      <c r="O7571" t="s">
        <v>100</v>
      </c>
      <c r="P7571">
        <v>53207</v>
      </c>
      <c r="Q7571">
        <v>5242</v>
      </c>
      <c r="R7571" t="s">
        <v>23</v>
      </c>
      <c r="S7571" s="1" t="s">
        <v>34218</v>
      </c>
    </row>
    <row r="7572" spans="1:19" x14ac:dyDescent="0.25">
      <c r="A7572">
        <v>101437068</v>
      </c>
      <c r="B7572" t="s">
        <v>1039</v>
      </c>
      <c r="C7572" t="s">
        <v>17791</v>
      </c>
      <c r="G7572" t="s">
        <v>17792</v>
      </c>
      <c r="H7572" t="s">
        <v>450</v>
      </c>
      <c r="I7572" t="s">
        <v>191</v>
      </c>
      <c r="J7572">
        <v>3901</v>
      </c>
      <c r="K7572">
        <v>2828</v>
      </c>
      <c r="L7572" t="s">
        <v>23</v>
      </c>
      <c r="M7572" t="s">
        <v>17792</v>
      </c>
      <c r="N7572" t="s">
        <v>450</v>
      </c>
      <c r="O7572" t="s">
        <v>191</v>
      </c>
      <c r="P7572">
        <v>3901</v>
      </c>
      <c r="Q7572">
        <v>2828</v>
      </c>
      <c r="R7572" t="s">
        <v>23</v>
      </c>
      <c r="S7572" s="1" t="s">
        <v>34218</v>
      </c>
    </row>
    <row r="7573" spans="1:19" x14ac:dyDescent="0.25">
      <c r="A7573">
        <v>100559568</v>
      </c>
      <c r="B7573" t="s">
        <v>870</v>
      </c>
      <c r="C7573" t="s">
        <v>1906</v>
      </c>
      <c r="G7573" t="s">
        <v>17793</v>
      </c>
      <c r="H7573" t="s">
        <v>12197</v>
      </c>
      <c r="I7573" t="s">
        <v>135</v>
      </c>
      <c r="J7573">
        <v>62946</v>
      </c>
      <c r="K7573">
        <v>3909</v>
      </c>
      <c r="L7573" t="s">
        <v>23</v>
      </c>
      <c r="M7573" t="s">
        <v>17793</v>
      </c>
      <c r="N7573" t="s">
        <v>12197</v>
      </c>
      <c r="O7573" t="s">
        <v>135</v>
      </c>
      <c r="P7573">
        <v>62946</v>
      </c>
      <c r="Q7573">
        <v>3909</v>
      </c>
      <c r="R7573" t="s">
        <v>23</v>
      </c>
      <c r="S7573" s="1" t="s">
        <v>34218</v>
      </c>
    </row>
    <row r="7574" spans="1:19" x14ac:dyDescent="0.25">
      <c r="A7574">
        <v>100570208</v>
      </c>
      <c r="B7574" t="s">
        <v>2074</v>
      </c>
      <c r="C7574" t="s">
        <v>1124</v>
      </c>
      <c r="G7574">
        <v>28792</v>
      </c>
      <c r="H7574" t="s">
        <v>1048</v>
      </c>
      <c r="I7574" t="s">
        <v>446</v>
      </c>
      <c r="J7574">
        <v>28792</v>
      </c>
      <c r="L7574" t="s">
        <v>23</v>
      </c>
      <c r="M7574">
        <v>28792</v>
      </c>
      <c r="N7574" t="s">
        <v>1048</v>
      </c>
      <c r="O7574" t="s">
        <v>446</v>
      </c>
      <c r="P7574">
        <v>28792</v>
      </c>
      <c r="R7574" t="s">
        <v>23</v>
      </c>
      <c r="S7574" s="1" t="s">
        <v>34218</v>
      </c>
    </row>
    <row r="7575" spans="1:19" x14ac:dyDescent="0.25">
      <c r="A7575">
        <v>101108694</v>
      </c>
      <c r="B7575" t="s">
        <v>4958</v>
      </c>
      <c r="C7575" t="s">
        <v>7503</v>
      </c>
      <c r="G7575" t="s">
        <v>17794</v>
      </c>
      <c r="H7575" t="s">
        <v>15424</v>
      </c>
      <c r="I7575" t="s">
        <v>178</v>
      </c>
      <c r="J7575">
        <v>43140</v>
      </c>
      <c r="K7575">
        <v>1427</v>
      </c>
      <c r="L7575" t="s">
        <v>23</v>
      </c>
      <c r="M7575" t="s">
        <v>17794</v>
      </c>
      <c r="N7575" t="s">
        <v>15424</v>
      </c>
      <c r="O7575" t="s">
        <v>178</v>
      </c>
      <c r="P7575">
        <v>43140</v>
      </c>
      <c r="Q7575">
        <v>1427</v>
      </c>
      <c r="R7575" t="s">
        <v>23</v>
      </c>
      <c r="S7575" s="1" t="s">
        <v>34218</v>
      </c>
    </row>
    <row r="7576" spans="1:19" x14ac:dyDescent="0.25">
      <c r="A7576">
        <v>100713404</v>
      </c>
      <c r="B7576" t="s">
        <v>9085</v>
      </c>
      <c r="C7576" t="s">
        <v>1069</v>
      </c>
      <c r="G7576" t="s">
        <v>16984</v>
      </c>
      <c r="H7576" t="s">
        <v>17795</v>
      </c>
      <c r="I7576" t="s">
        <v>639</v>
      </c>
      <c r="J7576">
        <v>88052</v>
      </c>
      <c r="K7576">
        <v>160</v>
      </c>
      <c r="L7576" t="s">
        <v>23</v>
      </c>
      <c r="M7576" t="s">
        <v>16984</v>
      </c>
      <c r="N7576" t="s">
        <v>17795</v>
      </c>
      <c r="O7576" t="s">
        <v>639</v>
      </c>
      <c r="P7576">
        <v>88052</v>
      </c>
      <c r="Q7576">
        <v>160</v>
      </c>
      <c r="R7576" t="s">
        <v>23</v>
      </c>
      <c r="S7576" s="1" t="s">
        <v>34218</v>
      </c>
    </row>
    <row r="7577" spans="1:19" x14ac:dyDescent="0.25">
      <c r="A7577">
        <v>101312345</v>
      </c>
      <c r="B7577" t="s">
        <v>8109</v>
      </c>
      <c r="C7577" t="s">
        <v>803</v>
      </c>
      <c r="G7577" t="s">
        <v>17796</v>
      </c>
      <c r="H7577" t="s">
        <v>461</v>
      </c>
      <c r="I7577" t="s">
        <v>135</v>
      </c>
      <c r="J7577">
        <v>60546</v>
      </c>
      <c r="K7577">
        <v>1998</v>
      </c>
      <c r="L7577" t="s">
        <v>23</v>
      </c>
      <c r="M7577" t="s">
        <v>17796</v>
      </c>
      <c r="N7577" t="s">
        <v>461</v>
      </c>
      <c r="O7577" t="s">
        <v>135</v>
      </c>
      <c r="P7577">
        <v>60546</v>
      </c>
      <c r="Q7577">
        <v>1998</v>
      </c>
      <c r="R7577" t="s">
        <v>23</v>
      </c>
      <c r="S7577" s="1" t="s">
        <v>34218</v>
      </c>
    </row>
    <row r="7578" spans="1:19" x14ac:dyDescent="0.25">
      <c r="A7578">
        <v>101423252</v>
      </c>
      <c r="B7578" t="s">
        <v>17797</v>
      </c>
      <c r="C7578" t="s">
        <v>803</v>
      </c>
      <c r="G7578" t="s">
        <v>17798</v>
      </c>
      <c r="H7578" t="s">
        <v>2809</v>
      </c>
      <c r="I7578" t="s">
        <v>135</v>
      </c>
      <c r="J7578">
        <v>60304</v>
      </c>
      <c r="K7578">
        <v>1821</v>
      </c>
      <c r="L7578" t="s">
        <v>23</v>
      </c>
      <c r="M7578" t="s">
        <v>17798</v>
      </c>
      <c r="N7578" t="s">
        <v>2809</v>
      </c>
      <c r="O7578" t="s">
        <v>135</v>
      </c>
      <c r="P7578">
        <v>60304</v>
      </c>
      <c r="Q7578">
        <v>1821</v>
      </c>
      <c r="R7578" t="s">
        <v>23</v>
      </c>
      <c r="S7578" s="1" t="s">
        <v>34218</v>
      </c>
    </row>
    <row r="7579" spans="1:19" x14ac:dyDescent="0.25">
      <c r="A7579">
        <v>100696280</v>
      </c>
      <c r="B7579" t="s">
        <v>17799</v>
      </c>
      <c r="C7579" t="s">
        <v>1873</v>
      </c>
      <c r="G7579" t="s">
        <v>17800</v>
      </c>
      <c r="H7579" t="s">
        <v>454</v>
      </c>
      <c r="I7579" t="s">
        <v>22</v>
      </c>
      <c r="J7579">
        <v>93065</v>
      </c>
      <c r="K7579">
        <v>5950</v>
      </c>
      <c r="L7579" t="s">
        <v>23</v>
      </c>
      <c r="M7579" t="s">
        <v>17800</v>
      </c>
      <c r="N7579" t="s">
        <v>454</v>
      </c>
      <c r="O7579" t="s">
        <v>22</v>
      </c>
      <c r="P7579">
        <v>93065</v>
      </c>
      <c r="Q7579">
        <v>5950</v>
      </c>
      <c r="R7579" t="s">
        <v>23</v>
      </c>
      <c r="S7579" s="1" t="s">
        <v>34218</v>
      </c>
    </row>
    <row r="7580" spans="1:19" x14ac:dyDescent="0.25">
      <c r="A7580">
        <v>101005062</v>
      </c>
      <c r="B7580" t="s">
        <v>17801</v>
      </c>
      <c r="C7580" t="s">
        <v>1239</v>
      </c>
      <c r="G7580" t="s">
        <v>15675</v>
      </c>
      <c r="H7580" t="s">
        <v>17802</v>
      </c>
      <c r="I7580" t="s">
        <v>22</v>
      </c>
      <c r="J7580">
        <v>92398</v>
      </c>
      <c r="K7580">
        <v>219</v>
      </c>
      <c r="L7580" t="s">
        <v>23</v>
      </c>
      <c r="M7580" t="s">
        <v>15675</v>
      </c>
      <c r="N7580" t="s">
        <v>17802</v>
      </c>
      <c r="O7580" t="s">
        <v>22</v>
      </c>
      <c r="P7580">
        <v>92398</v>
      </c>
      <c r="Q7580">
        <v>219</v>
      </c>
      <c r="R7580" t="s">
        <v>23</v>
      </c>
      <c r="S7580" s="1" t="s">
        <v>34218</v>
      </c>
    </row>
    <row r="7581" spans="1:19" x14ac:dyDescent="0.25">
      <c r="A7581">
        <v>101348241</v>
      </c>
      <c r="B7581" t="s">
        <v>561</v>
      </c>
      <c r="C7581" t="s">
        <v>403</v>
      </c>
      <c r="G7581" t="s">
        <v>17803</v>
      </c>
      <c r="H7581" t="s">
        <v>37</v>
      </c>
      <c r="I7581" t="s">
        <v>38</v>
      </c>
      <c r="J7581">
        <v>78731</v>
      </c>
      <c r="K7581">
        <v>5630</v>
      </c>
      <c r="L7581" t="s">
        <v>23</v>
      </c>
      <c r="M7581" t="s">
        <v>17803</v>
      </c>
      <c r="N7581" t="s">
        <v>37</v>
      </c>
      <c r="O7581" t="s">
        <v>38</v>
      </c>
      <c r="P7581">
        <v>78731</v>
      </c>
      <c r="Q7581">
        <v>5630</v>
      </c>
      <c r="R7581" t="s">
        <v>23</v>
      </c>
      <c r="S7581" s="1" t="s">
        <v>34218</v>
      </c>
    </row>
    <row r="7582" spans="1:19" x14ac:dyDescent="0.25">
      <c r="A7582">
        <v>101447331</v>
      </c>
      <c r="B7582" t="s">
        <v>17804</v>
      </c>
      <c r="C7582" t="s">
        <v>30</v>
      </c>
      <c r="G7582" t="s">
        <v>17805</v>
      </c>
      <c r="H7582" t="s">
        <v>2191</v>
      </c>
      <c r="I7582" t="s">
        <v>22</v>
      </c>
      <c r="J7582">
        <v>91224</v>
      </c>
      <c r="K7582">
        <v>946</v>
      </c>
      <c r="L7582" t="s">
        <v>23</v>
      </c>
      <c r="M7582" t="s">
        <v>17805</v>
      </c>
      <c r="N7582" t="s">
        <v>2191</v>
      </c>
      <c r="O7582" t="s">
        <v>22</v>
      </c>
      <c r="P7582">
        <v>91224</v>
      </c>
      <c r="Q7582">
        <v>946</v>
      </c>
      <c r="R7582" t="s">
        <v>23</v>
      </c>
      <c r="S7582" s="1" t="s">
        <v>34218</v>
      </c>
    </row>
    <row r="7583" spans="1:19" x14ac:dyDescent="0.25">
      <c r="A7583">
        <v>101084363</v>
      </c>
      <c r="B7583" t="s">
        <v>17806</v>
      </c>
      <c r="C7583" t="s">
        <v>432</v>
      </c>
      <c r="G7583" t="s">
        <v>17807</v>
      </c>
      <c r="H7583" t="s">
        <v>17808</v>
      </c>
      <c r="I7583" t="s">
        <v>332</v>
      </c>
      <c r="J7583">
        <v>84036</v>
      </c>
      <c r="K7583">
        <v>8001</v>
      </c>
      <c r="L7583" t="s">
        <v>23</v>
      </c>
      <c r="M7583" t="s">
        <v>17807</v>
      </c>
      <c r="N7583" t="s">
        <v>17808</v>
      </c>
      <c r="O7583" t="s">
        <v>332</v>
      </c>
      <c r="P7583">
        <v>84036</v>
      </c>
      <c r="Q7583">
        <v>8001</v>
      </c>
      <c r="R7583" t="s">
        <v>23</v>
      </c>
      <c r="S7583" s="1" t="s">
        <v>34218</v>
      </c>
    </row>
    <row r="7584" spans="1:19" x14ac:dyDescent="0.25">
      <c r="A7584">
        <v>101155693</v>
      </c>
      <c r="B7584" t="s">
        <v>17809</v>
      </c>
      <c r="C7584" t="s">
        <v>1416</v>
      </c>
      <c r="G7584" t="s">
        <v>17810</v>
      </c>
      <c r="H7584" t="s">
        <v>1091</v>
      </c>
      <c r="I7584" t="s">
        <v>365</v>
      </c>
      <c r="J7584">
        <v>86340</v>
      </c>
      <c r="K7584">
        <v>4415</v>
      </c>
      <c r="L7584" t="s">
        <v>23</v>
      </c>
      <c r="M7584" t="s">
        <v>17810</v>
      </c>
      <c r="N7584" t="s">
        <v>1091</v>
      </c>
      <c r="O7584" t="s">
        <v>365</v>
      </c>
      <c r="P7584">
        <v>86340</v>
      </c>
      <c r="Q7584">
        <v>4415</v>
      </c>
      <c r="R7584" t="s">
        <v>23</v>
      </c>
      <c r="S7584" s="1" t="s">
        <v>34218</v>
      </c>
    </row>
    <row r="7585" spans="1:19" x14ac:dyDescent="0.25">
      <c r="A7585">
        <v>100515759</v>
      </c>
      <c r="B7585" t="s">
        <v>4620</v>
      </c>
      <c r="C7585" t="s">
        <v>2232</v>
      </c>
      <c r="G7585" t="s">
        <v>17811</v>
      </c>
      <c r="H7585" t="s">
        <v>2161</v>
      </c>
      <c r="I7585" t="s">
        <v>187</v>
      </c>
      <c r="J7585">
        <v>55122</v>
      </c>
      <c r="K7585">
        <v>4818</v>
      </c>
      <c r="L7585" t="s">
        <v>23</v>
      </c>
      <c r="M7585" t="s">
        <v>17811</v>
      </c>
      <c r="N7585" t="s">
        <v>2161</v>
      </c>
      <c r="O7585" t="s">
        <v>187</v>
      </c>
      <c r="P7585">
        <v>55122</v>
      </c>
      <c r="Q7585">
        <v>4818</v>
      </c>
      <c r="R7585" t="s">
        <v>23</v>
      </c>
      <c r="S7585" s="1" t="s">
        <v>34218</v>
      </c>
    </row>
    <row r="7586" spans="1:19" x14ac:dyDescent="0.25">
      <c r="A7586">
        <v>101301917</v>
      </c>
      <c r="B7586" t="s">
        <v>3109</v>
      </c>
      <c r="C7586" t="s">
        <v>6641</v>
      </c>
      <c r="G7586" t="s">
        <v>17812</v>
      </c>
      <c r="H7586" t="s">
        <v>7232</v>
      </c>
      <c r="I7586" t="s">
        <v>71</v>
      </c>
      <c r="J7586">
        <v>80439</v>
      </c>
      <c r="L7586" t="s">
        <v>23</v>
      </c>
      <c r="M7586" t="s">
        <v>17812</v>
      </c>
      <c r="N7586" t="s">
        <v>7232</v>
      </c>
      <c r="O7586" t="s">
        <v>71</v>
      </c>
      <c r="P7586">
        <v>80439</v>
      </c>
      <c r="R7586" t="s">
        <v>23</v>
      </c>
      <c r="S7586" s="1" t="s">
        <v>34218</v>
      </c>
    </row>
    <row r="7587" spans="1:19" x14ac:dyDescent="0.25">
      <c r="A7587">
        <v>100873262</v>
      </c>
      <c r="B7587" t="s">
        <v>3287</v>
      </c>
      <c r="C7587" t="s">
        <v>1124</v>
      </c>
      <c r="G7587" t="s">
        <v>17813</v>
      </c>
      <c r="H7587" t="s">
        <v>17814</v>
      </c>
      <c r="I7587" t="s">
        <v>126</v>
      </c>
      <c r="J7587">
        <v>63960</v>
      </c>
      <c r="L7587" t="s">
        <v>23</v>
      </c>
      <c r="M7587" t="s">
        <v>17813</v>
      </c>
      <c r="N7587" t="s">
        <v>17814</v>
      </c>
      <c r="O7587" t="s">
        <v>126</v>
      </c>
      <c r="P7587">
        <v>63960</v>
      </c>
      <c r="R7587" t="s">
        <v>23</v>
      </c>
      <c r="S7587" s="1" t="s">
        <v>34218</v>
      </c>
    </row>
    <row r="7588" spans="1:19" x14ac:dyDescent="0.25">
      <c r="A7588">
        <v>100838059</v>
      </c>
      <c r="B7588" t="s">
        <v>17815</v>
      </c>
      <c r="C7588" t="s">
        <v>432</v>
      </c>
      <c r="G7588" t="s">
        <v>17816</v>
      </c>
      <c r="H7588" t="s">
        <v>4693</v>
      </c>
      <c r="I7588" t="s">
        <v>52</v>
      </c>
      <c r="J7588">
        <v>33483</v>
      </c>
      <c r="K7588">
        <v>7235</v>
      </c>
      <c r="L7588" t="s">
        <v>23</v>
      </c>
      <c r="M7588" t="s">
        <v>17816</v>
      </c>
      <c r="N7588" t="s">
        <v>4693</v>
      </c>
      <c r="O7588" t="s">
        <v>52</v>
      </c>
      <c r="P7588">
        <v>33483</v>
      </c>
      <c r="Q7588">
        <v>7235</v>
      </c>
      <c r="R7588" t="s">
        <v>23</v>
      </c>
      <c r="S7588" s="1" t="s">
        <v>34218</v>
      </c>
    </row>
    <row r="7589" spans="1:19" x14ac:dyDescent="0.25">
      <c r="A7589">
        <v>101237803</v>
      </c>
      <c r="B7589" t="s">
        <v>17817</v>
      </c>
      <c r="C7589" t="s">
        <v>54</v>
      </c>
      <c r="G7589" t="s">
        <v>17818</v>
      </c>
      <c r="H7589" t="s">
        <v>227</v>
      </c>
      <c r="I7589" t="s">
        <v>43</v>
      </c>
      <c r="J7589">
        <v>97221</v>
      </c>
      <c r="K7589">
        <v>1601</v>
      </c>
      <c r="L7589" t="s">
        <v>23</v>
      </c>
      <c r="M7589" t="s">
        <v>17818</v>
      </c>
      <c r="N7589" t="s">
        <v>227</v>
      </c>
      <c r="O7589" t="s">
        <v>43</v>
      </c>
      <c r="P7589">
        <v>97221</v>
      </c>
      <c r="Q7589">
        <v>1601</v>
      </c>
      <c r="R7589" t="s">
        <v>23</v>
      </c>
      <c r="S7589" s="1" t="s">
        <v>34218</v>
      </c>
    </row>
    <row r="7590" spans="1:19" x14ac:dyDescent="0.25">
      <c r="A7590">
        <v>100537504</v>
      </c>
      <c r="B7590" t="s">
        <v>15555</v>
      </c>
      <c r="C7590" t="s">
        <v>1176</v>
      </c>
      <c r="G7590" t="s">
        <v>17819</v>
      </c>
      <c r="H7590" t="s">
        <v>11688</v>
      </c>
      <c r="I7590" t="s">
        <v>984</v>
      </c>
      <c r="J7590">
        <v>96706</v>
      </c>
      <c r="L7590" t="s">
        <v>23</v>
      </c>
      <c r="M7590" t="s">
        <v>17819</v>
      </c>
      <c r="N7590" t="s">
        <v>11688</v>
      </c>
      <c r="O7590" t="s">
        <v>984</v>
      </c>
      <c r="P7590">
        <v>96706</v>
      </c>
      <c r="R7590" t="s">
        <v>23</v>
      </c>
      <c r="S7590" s="1" t="s">
        <v>34218</v>
      </c>
    </row>
    <row r="7591" spans="1:19" x14ac:dyDescent="0.25">
      <c r="A7591">
        <v>100833085</v>
      </c>
      <c r="B7591" t="s">
        <v>17820</v>
      </c>
      <c r="C7591" t="s">
        <v>10963</v>
      </c>
      <c r="G7591" t="s">
        <v>17821</v>
      </c>
      <c r="H7591" t="s">
        <v>741</v>
      </c>
      <c r="I7591" t="s">
        <v>22</v>
      </c>
      <c r="J7591">
        <v>91367</v>
      </c>
      <c r="K7591">
        <v>1312</v>
      </c>
      <c r="L7591" t="s">
        <v>23</v>
      </c>
      <c r="M7591" t="s">
        <v>17821</v>
      </c>
      <c r="N7591" t="s">
        <v>741</v>
      </c>
      <c r="O7591" t="s">
        <v>22</v>
      </c>
      <c r="P7591">
        <v>91367</v>
      </c>
      <c r="Q7591">
        <v>1312</v>
      </c>
      <c r="R7591" t="s">
        <v>23</v>
      </c>
      <c r="S7591" s="1" t="s">
        <v>34218</v>
      </c>
    </row>
    <row r="7592" spans="1:19" x14ac:dyDescent="0.25">
      <c r="A7592">
        <v>100885453</v>
      </c>
      <c r="B7592" t="s">
        <v>3228</v>
      </c>
      <c r="C7592" t="s">
        <v>699</v>
      </c>
      <c r="G7592" t="s">
        <v>17822</v>
      </c>
      <c r="H7592" t="s">
        <v>17823</v>
      </c>
      <c r="I7592" t="s">
        <v>446</v>
      </c>
      <c r="J7592">
        <v>28079</v>
      </c>
      <c r="K7592">
        <v>3681</v>
      </c>
      <c r="L7592" t="s">
        <v>23</v>
      </c>
      <c r="M7592" t="s">
        <v>17822</v>
      </c>
      <c r="N7592" t="s">
        <v>17823</v>
      </c>
      <c r="O7592" t="s">
        <v>446</v>
      </c>
      <c r="P7592">
        <v>28079</v>
      </c>
      <c r="Q7592">
        <v>3681</v>
      </c>
      <c r="R7592" t="s">
        <v>23</v>
      </c>
      <c r="S7592" s="1" t="s">
        <v>34218</v>
      </c>
    </row>
    <row r="7593" spans="1:19" x14ac:dyDescent="0.25">
      <c r="A7593">
        <v>101447783</v>
      </c>
      <c r="B7593" t="s">
        <v>6555</v>
      </c>
      <c r="C7593" t="s">
        <v>3100</v>
      </c>
      <c r="G7593" t="s">
        <v>17824</v>
      </c>
      <c r="H7593" t="s">
        <v>17825</v>
      </c>
      <c r="I7593" t="s">
        <v>446</v>
      </c>
      <c r="J7593">
        <v>28779</v>
      </c>
      <c r="K7593">
        <v>7683</v>
      </c>
      <c r="L7593" t="s">
        <v>23</v>
      </c>
      <c r="M7593" t="s">
        <v>17824</v>
      </c>
      <c r="N7593" t="s">
        <v>17825</v>
      </c>
      <c r="O7593" t="s">
        <v>446</v>
      </c>
      <c r="P7593">
        <v>28779</v>
      </c>
      <c r="Q7593">
        <v>7683</v>
      </c>
      <c r="R7593" t="s">
        <v>23</v>
      </c>
      <c r="S7593" s="1" t="s">
        <v>34218</v>
      </c>
    </row>
    <row r="7594" spans="1:19" x14ac:dyDescent="0.25">
      <c r="A7594">
        <v>101108919</v>
      </c>
      <c r="B7594" t="s">
        <v>7840</v>
      </c>
      <c r="C7594" t="s">
        <v>1218</v>
      </c>
      <c r="G7594" t="s">
        <v>17826</v>
      </c>
      <c r="H7594" t="s">
        <v>1748</v>
      </c>
      <c r="I7594" t="s">
        <v>255</v>
      </c>
      <c r="J7594">
        <v>22209</v>
      </c>
      <c r="K7594">
        <v>3368</v>
      </c>
      <c r="L7594" t="s">
        <v>23</v>
      </c>
      <c r="M7594" t="s">
        <v>17826</v>
      </c>
      <c r="N7594" t="s">
        <v>1748</v>
      </c>
      <c r="O7594" t="s">
        <v>255</v>
      </c>
      <c r="P7594">
        <v>22209</v>
      </c>
      <c r="Q7594">
        <v>3368</v>
      </c>
      <c r="R7594" t="s">
        <v>23</v>
      </c>
      <c r="S7594" s="1" t="s">
        <v>34218</v>
      </c>
    </row>
    <row r="7595" spans="1:19" x14ac:dyDescent="0.25">
      <c r="A7595">
        <v>100922886</v>
      </c>
      <c r="B7595" t="s">
        <v>17827</v>
      </c>
      <c r="C7595" t="s">
        <v>440</v>
      </c>
      <c r="G7595" t="s">
        <v>17828</v>
      </c>
      <c r="H7595" t="s">
        <v>17829</v>
      </c>
      <c r="I7595" t="s">
        <v>52</v>
      </c>
      <c r="J7595">
        <v>34250</v>
      </c>
      <c r="L7595" t="s">
        <v>23</v>
      </c>
      <c r="M7595" t="s">
        <v>17828</v>
      </c>
      <c r="N7595" t="s">
        <v>17829</v>
      </c>
      <c r="O7595" t="s">
        <v>52</v>
      </c>
      <c r="P7595">
        <v>34250</v>
      </c>
      <c r="R7595" t="s">
        <v>23</v>
      </c>
      <c r="S7595" s="1" t="s">
        <v>34218</v>
      </c>
    </row>
    <row r="7596" spans="1:19" x14ac:dyDescent="0.25">
      <c r="A7596">
        <v>100620252</v>
      </c>
      <c r="B7596" t="s">
        <v>17830</v>
      </c>
      <c r="C7596" t="s">
        <v>11558</v>
      </c>
      <c r="G7596" t="s">
        <v>17831</v>
      </c>
      <c r="H7596" t="s">
        <v>3129</v>
      </c>
      <c r="I7596" t="s">
        <v>84</v>
      </c>
      <c r="J7596">
        <v>99208</v>
      </c>
      <c r="K7596">
        <v>8558</v>
      </c>
      <c r="L7596" t="s">
        <v>23</v>
      </c>
      <c r="M7596" t="s">
        <v>17831</v>
      </c>
      <c r="N7596" t="s">
        <v>3129</v>
      </c>
      <c r="O7596" t="s">
        <v>84</v>
      </c>
      <c r="P7596">
        <v>99208</v>
      </c>
      <c r="Q7596">
        <v>8558</v>
      </c>
      <c r="R7596" t="s">
        <v>23</v>
      </c>
      <c r="S7596" s="1" t="s">
        <v>34218</v>
      </c>
    </row>
    <row r="7597" spans="1:19" x14ac:dyDescent="0.25">
      <c r="A7597">
        <v>101454028</v>
      </c>
      <c r="B7597" t="s">
        <v>6658</v>
      </c>
      <c r="C7597" t="s">
        <v>17832</v>
      </c>
      <c r="G7597" t="s">
        <v>17833</v>
      </c>
      <c r="H7597" t="s">
        <v>471</v>
      </c>
      <c r="I7597" t="s">
        <v>365</v>
      </c>
      <c r="J7597">
        <v>85262</v>
      </c>
      <c r="K7597">
        <v>3213</v>
      </c>
      <c r="L7597" t="s">
        <v>23</v>
      </c>
      <c r="M7597" t="s">
        <v>17833</v>
      </c>
      <c r="N7597" t="s">
        <v>471</v>
      </c>
      <c r="O7597" t="s">
        <v>365</v>
      </c>
      <c r="P7597">
        <v>85262</v>
      </c>
      <c r="Q7597">
        <v>3213</v>
      </c>
      <c r="R7597" t="s">
        <v>23</v>
      </c>
      <c r="S7597" s="1" t="s">
        <v>34218</v>
      </c>
    </row>
    <row r="7598" spans="1:19" x14ac:dyDescent="0.25">
      <c r="A7598">
        <v>101229903</v>
      </c>
      <c r="B7598" t="s">
        <v>2248</v>
      </c>
      <c r="C7598" t="s">
        <v>102</v>
      </c>
      <c r="G7598" t="s">
        <v>17834</v>
      </c>
      <c r="H7598" t="s">
        <v>976</v>
      </c>
      <c r="I7598" t="s">
        <v>140</v>
      </c>
      <c r="J7598">
        <v>48108</v>
      </c>
      <c r="K7598">
        <v>2074</v>
      </c>
      <c r="L7598" t="s">
        <v>23</v>
      </c>
      <c r="M7598" t="s">
        <v>17834</v>
      </c>
      <c r="N7598" t="s">
        <v>976</v>
      </c>
      <c r="O7598" t="s">
        <v>140</v>
      </c>
      <c r="P7598">
        <v>48108</v>
      </c>
      <c r="Q7598">
        <v>2074</v>
      </c>
      <c r="R7598" t="s">
        <v>23</v>
      </c>
      <c r="S7598" s="1" t="s">
        <v>34218</v>
      </c>
    </row>
    <row r="7599" spans="1:19" x14ac:dyDescent="0.25">
      <c r="A7599">
        <v>101427437</v>
      </c>
      <c r="B7599" t="s">
        <v>465</v>
      </c>
      <c r="C7599" t="s">
        <v>5256</v>
      </c>
      <c r="G7599" t="s">
        <v>17835</v>
      </c>
      <c r="H7599" t="s">
        <v>1439</v>
      </c>
      <c r="I7599" t="s">
        <v>365</v>
      </c>
      <c r="J7599">
        <v>85704</v>
      </c>
      <c r="K7599">
        <v>5131</v>
      </c>
      <c r="L7599" t="s">
        <v>23</v>
      </c>
      <c r="M7599" t="s">
        <v>17835</v>
      </c>
      <c r="N7599" t="s">
        <v>1439</v>
      </c>
      <c r="O7599" t="s">
        <v>365</v>
      </c>
      <c r="P7599">
        <v>85704</v>
      </c>
      <c r="Q7599">
        <v>5131</v>
      </c>
      <c r="R7599" t="s">
        <v>23</v>
      </c>
      <c r="S7599" s="1" t="s">
        <v>34218</v>
      </c>
    </row>
    <row r="7600" spans="1:19" x14ac:dyDescent="0.25">
      <c r="A7600">
        <v>100920132</v>
      </c>
      <c r="B7600" t="s">
        <v>17836</v>
      </c>
      <c r="C7600" t="s">
        <v>1218</v>
      </c>
      <c r="G7600" t="s">
        <v>17837</v>
      </c>
      <c r="H7600" t="s">
        <v>4235</v>
      </c>
      <c r="I7600" t="s">
        <v>984</v>
      </c>
      <c r="J7600">
        <v>96813</v>
      </c>
      <c r="K7600">
        <v>1010</v>
      </c>
      <c r="L7600" t="s">
        <v>23</v>
      </c>
      <c r="M7600" t="s">
        <v>17837</v>
      </c>
      <c r="N7600" t="s">
        <v>4235</v>
      </c>
      <c r="O7600" t="s">
        <v>984</v>
      </c>
      <c r="P7600">
        <v>96813</v>
      </c>
      <c r="Q7600">
        <v>1010</v>
      </c>
      <c r="R7600" t="s">
        <v>23</v>
      </c>
      <c r="S7600" s="1" t="s">
        <v>34218</v>
      </c>
    </row>
    <row r="7601" spans="1:19" x14ac:dyDescent="0.25">
      <c r="A7601">
        <v>101477290</v>
      </c>
      <c r="B7601" t="s">
        <v>10305</v>
      </c>
      <c r="C7601" t="s">
        <v>17838</v>
      </c>
      <c r="G7601" t="s">
        <v>17839</v>
      </c>
      <c r="H7601" t="s">
        <v>6538</v>
      </c>
      <c r="I7601" t="s">
        <v>135</v>
      </c>
      <c r="J7601">
        <v>60035</v>
      </c>
      <c r="L7601" t="s">
        <v>23</v>
      </c>
      <c r="M7601" t="s">
        <v>17839</v>
      </c>
      <c r="N7601" t="s">
        <v>6538</v>
      </c>
      <c r="O7601" t="s">
        <v>135</v>
      </c>
      <c r="P7601">
        <v>60035</v>
      </c>
      <c r="R7601" t="s">
        <v>23</v>
      </c>
      <c r="S7601" s="1" t="s">
        <v>34218</v>
      </c>
    </row>
    <row r="7602" spans="1:19" x14ac:dyDescent="0.25">
      <c r="A7602">
        <v>101449997</v>
      </c>
      <c r="B7602" t="s">
        <v>13364</v>
      </c>
      <c r="C7602" t="s">
        <v>2287</v>
      </c>
      <c r="G7602" t="s">
        <v>17840</v>
      </c>
      <c r="H7602" t="s">
        <v>638</v>
      </c>
      <c r="I7602" t="s">
        <v>639</v>
      </c>
      <c r="J7602">
        <v>87112</v>
      </c>
      <c r="K7602">
        <v>4123</v>
      </c>
      <c r="L7602" t="s">
        <v>23</v>
      </c>
      <c r="M7602" t="s">
        <v>17840</v>
      </c>
      <c r="N7602" t="s">
        <v>638</v>
      </c>
      <c r="O7602" t="s">
        <v>639</v>
      </c>
      <c r="P7602">
        <v>87112</v>
      </c>
      <c r="Q7602">
        <v>4123</v>
      </c>
      <c r="R7602" t="s">
        <v>23</v>
      </c>
      <c r="S7602" s="1" t="s">
        <v>34218</v>
      </c>
    </row>
    <row r="7603" spans="1:19" x14ac:dyDescent="0.25">
      <c r="A7603">
        <v>101474378</v>
      </c>
      <c r="B7603" t="s">
        <v>17841</v>
      </c>
      <c r="C7603" t="s">
        <v>1327</v>
      </c>
      <c r="G7603" t="s">
        <v>17842</v>
      </c>
      <c r="H7603" t="s">
        <v>17294</v>
      </c>
      <c r="I7603" t="s">
        <v>236</v>
      </c>
      <c r="J7603">
        <v>2131</v>
      </c>
      <c r="K7603">
        <v>1430</v>
      </c>
      <c r="L7603" t="s">
        <v>23</v>
      </c>
      <c r="M7603" t="s">
        <v>17842</v>
      </c>
      <c r="N7603" t="s">
        <v>17294</v>
      </c>
      <c r="O7603" t="s">
        <v>236</v>
      </c>
      <c r="P7603">
        <v>2131</v>
      </c>
      <c r="Q7603">
        <v>1430</v>
      </c>
      <c r="R7603" t="s">
        <v>23</v>
      </c>
      <c r="S7603" s="1" t="s">
        <v>34218</v>
      </c>
    </row>
    <row r="7604" spans="1:19" x14ac:dyDescent="0.25">
      <c r="A7604">
        <v>101413546</v>
      </c>
      <c r="B7604" t="s">
        <v>17843</v>
      </c>
      <c r="C7604" t="s">
        <v>535</v>
      </c>
      <c r="G7604" t="s">
        <v>17844</v>
      </c>
      <c r="H7604" t="s">
        <v>66</v>
      </c>
      <c r="I7604" t="s">
        <v>22</v>
      </c>
      <c r="J7604">
        <v>94705</v>
      </c>
      <c r="K7604">
        <v>2702</v>
      </c>
      <c r="L7604" t="s">
        <v>23</v>
      </c>
      <c r="M7604" t="s">
        <v>17844</v>
      </c>
      <c r="N7604" t="s">
        <v>66</v>
      </c>
      <c r="O7604" t="s">
        <v>22</v>
      </c>
      <c r="P7604">
        <v>94705</v>
      </c>
      <c r="Q7604">
        <v>2702</v>
      </c>
      <c r="R7604" t="s">
        <v>23</v>
      </c>
      <c r="S7604" s="1" t="s">
        <v>34218</v>
      </c>
    </row>
    <row r="7605" spans="1:19" x14ac:dyDescent="0.25">
      <c r="A7605">
        <v>101453308</v>
      </c>
      <c r="B7605" t="s">
        <v>3457</v>
      </c>
      <c r="C7605" t="s">
        <v>17845</v>
      </c>
      <c r="G7605" t="s">
        <v>17846</v>
      </c>
      <c r="H7605" t="s">
        <v>2582</v>
      </c>
      <c r="I7605" t="s">
        <v>84</v>
      </c>
      <c r="J7605">
        <v>98335</v>
      </c>
      <c r="K7605">
        <v>2078</v>
      </c>
      <c r="L7605" t="s">
        <v>23</v>
      </c>
      <c r="M7605" t="s">
        <v>17846</v>
      </c>
      <c r="N7605" t="s">
        <v>2582</v>
      </c>
      <c r="O7605" t="s">
        <v>84</v>
      </c>
      <c r="P7605">
        <v>98335</v>
      </c>
      <c r="Q7605">
        <v>2078</v>
      </c>
      <c r="R7605" t="s">
        <v>23</v>
      </c>
      <c r="S7605" s="1" t="s">
        <v>34218</v>
      </c>
    </row>
    <row r="7606" spans="1:19" x14ac:dyDescent="0.25">
      <c r="A7606">
        <v>101315441</v>
      </c>
      <c r="B7606" t="s">
        <v>17847</v>
      </c>
      <c r="C7606" t="s">
        <v>90</v>
      </c>
      <c r="F7606" t="str">
        <f>"7034085075"</f>
        <v>7034085075</v>
      </c>
      <c r="G7606" t="s">
        <v>17848</v>
      </c>
      <c r="H7606" t="s">
        <v>357</v>
      </c>
      <c r="I7606" t="s">
        <v>255</v>
      </c>
      <c r="J7606">
        <v>22312</v>
      </c>
      <c r="K7606">
        <v>5567</v>
      </c>
      <c r="L7606" t="s">
        <v>23</v>
      </c>
      <c r="M7606" t="s">
        <v>17848</v>
      </c>
      <c r="N7606" t="s">
        <v>357</v>
      </c>
      <c r="O7606" t="s">
        <v>255</v>
      </c>
      <c r="P7606">
        <v>22312</v>
      </c>
      <c r="Q7606">
        <v>5567</v>
      </c>
      <c r="R7606" t="s">
        <v>23</v>
      </c>
      <c r="S7606" s="1" t="s">
        <v>34218</v>
      </c>
    </row>
    <row r="7607" spans="1:19" x14ac:dyDescent="0.25">
      <c r="A7607">
        <v>101469766</v>
      </c>
      <c r="B7607" t="s">
        <v>17849</v>
      </c>
      <c r="C7607" t="s">
        <v>102</v>
      </c>
      <c r="G7607" t="s">
        <v>17850</v>
      </c>
      <c r="H7607" t="s">
        <v>177</v>
      </c>
      <c r="I7607" t="s">
        <v>43</v>
      </c>
      <c r="J7607">
        <v>97520</v>
      </c>
      <c r="K7607">
        <v>2630</v>
      </c>
      <c r="L7607" t="s">
        <v>23</v>
      </c>
      <c r="M7607" t="s">
        <v>17850</v>
      </c>
      <c r="N7607" t="s">
        <v>177</v>
      </c>
      <c r="O7607" t="s">
        <v>43</v>
      </c>
      <c r="P7607">
        <v>97520</v>
      </c>
      <c r="Q7607">
        <v>2630</v>
      </c>
      <c r="R7607" t="s">
        <v>23</v>
      </c>
      <c r="S7607" s="1" t="s">
        <v>34218</v>
      </c>
    </row>
    <row r="7608" spans="1:19" x14ac:dyDescent="0.25">
      <c r="A7608">
        <v>101323625</v>
      </c>
      <c r="B7608" t="s">
        <v>17851</v>
      </c>
      <c r="C7608" t="s">
        <v>367</v>
      </c>
      <c r="G7608" t="s">
        <v>17852</v>
      </c>
      <c r="H7608" t="s">
        <v>198</v>
      </c>
      <c r="I7608" t="s">
        <v>22</v>
      </c>
      <c r="J7608">
        <v>92117</v>
      </c>
      <c r="K7608">
        <v>3511</v>
      </c>
      <c r="L7608" t="s">
        <v>23</v>
      </c>
      <c r="M7608" t="s">
        <v>17852</v>
      </c>
      <c r="N7608" t="s">
        <v>198</v>
      </c>
      <c r="O7608" t="s">
        <v>22</v>
      </c>
      <c r="P7608">
        <v>92117</v>
      </c>
      <c r="Q7608">
        <v>3511</v>
      </c>
      <c r="R7608" t="s">
        <v>23</v>
      </c>
      <c r="S7608" s="1" t="s">
        <v>34218</v>
      </c>
    </row>
    <row r="7609" spans="1:19" x14ac:dyDescent="0.25">
      <c r="A7609">
        <v>101222183</v>
      </c>
      <c r="B7609" t="s">
        <v>17853</v>
      </c>
      <c r="C7609" t="s">
        <v>2084</v>
      </c>
      <c r="G7609" t="s">
        <v>17854</v>
      </c>
      <c r="H7609" t="s">
        <v>17855</v>
      </c>
      <c r="I7609" t="s">
        <v>250</v>
      </c>
      <c r="J7609">
        <v>7624</v>
      </c>
      <c r="K7609">
        <v>2919</v>
      </c>
      <c r="L7609" t="s">
        <v>23</v>
      </c>
      <c r="M7609" t="s">
        <v>17854</v>
      </c>
      <c r="N7609" t="s">
        <v>17855</v>
      </c>
      <c r="O7609" t="s">
        <v>250</v>
      </c>
      <c r="P7609">
        <v>7624</v>
      </c>
      <c r="Q7609">
        <v>2919</v>
      </c>
      <c r="R7609" t="s">
        <v>23</v>
      </c>
      <c r="S7609" s="1" t="s">
        <v>34218</v>
      </c>
    </row>
    <row r="7610" spans="1:19" x14ac:dyDescent="0.25">
      <c r="A7610">
        <v>101224279</v>
      </c>
      <c r="B7610" t="s">
        <v>5713</v>
      </c>
      <c r="C7610" t="s">
        <v>17856</v>
      </c>
      <c r="G7610" t="s">
        <v>17857</v>
      </c>
      <c r="H7610" t="s">
        <v>3186</v>
      </c>
      <c r="I7610" t="s">
        <v>22</v>
      </c>
      <c r="J7610">
        <v>90603</v>
      </c>
      <c r="K7610">
        <v>3212</v>
      </c>
      <c r="L7610" t="s">
        <v>23</v>
      </c>
      <c r="M7610" t="s">
        <v>17857</v>
      </c>
      <c r="N7610" t="s">
        <v>3186</v>
      </c>
      <c r="O7610" t="s">
        <v>22</v>
      </c>
      <c r="P7610">
        <v>90603</v>
      </c>
      <c r="Q7610">
        <v>3212</v>
      </c>
      <c r="R7610" t="s">
        <v>23</v>
      </c>
      <c r="S7610" s="1" t="s">
        <v>34218</v>
      </c>
    </row>
    <row r="7611" spans="1:19" x14ac:dyDescent="0.25">
      <c r="A7611">
        <v>101222173</v>
      </c>
      <c r="B7611" t="s">
        <v>3466</v>
      </c>
      <c r="C7611" t="s">
        <v>13886</v>
      </c>
      <c r="G7611" t="s">
        <v>17858</v>
      </c>
      <c r="H7611" t="s">
        <v>3772</v>
      </c>
      <c r="I7611" t="s">
        <v>365</v>
      </c>
      <c r="J7611">
        <v>85614</v>
      </c>
      <c r="K7611">
        <v>5669</v>
      </c>
      <c r="L7611" t="s">
        <v>23</v>
      </c>
      <c r="M7611" t="s">
        <v>17858</v>
      </c>
      <c r="N7611" t="s">
        <v>3772</v>
      </c>
      <c r="O7611" t="s">
        <v>365</v>
      </c>
      <c r="P7611">
        <v>85614</v>
      </c>
      <c r="Q7611">
        <v>5669</v>
      </c>
      <c r="R7611" t="s">
        <v>23</v>
      </c>
      <c r="S7611" s="1" t="s">
        <v>34218</v>
      </c>
    </row>
    <row r="7612" spans="1:19" x14ac:dyDescent="0.25">
      <c r="A7612">
        <v>101224202</v>
      </c>
      <c r="B7612" t="s">
        <v>17859</v>
      </c>
      <c r="C7612" t="s">
        <v>1602</v>
      </c>
      <c r="F7612" t="str">
        <f>"5038658406"</f>
        <v>5038658406</v>
      </c>
      <c r="G7612" t="s">
        <v>17860</v>
      </c>
      <c r="H7612" t="s">
        <v>227</v>
      </c>
      <c r="I7612" t="s">
        <v>43</v>
      </c>
      <c r="J7612">
        <v>97266</v>
      </c>
      <c r="K7612">
        <v>2532</v>
      </c>
      <c r="L7612" t="s">
        <v>23</v>
      </c>
      <c r="M7612" t="s">
        <v>17860</v>
      </c>
      <c r="N7612" t="s">
        <v>227</v>
      </c>
      <c r="O7612" t="s">
        <v>43</v>
      </c>
      <c r="P7612">
        <v>97266</v>
      </c>
      <c r="Q7612">
        <v>2532</v>
      </c>
      <c r="R7612" t="s">
        <v>23</v>
      </c>
      <c r="S7612" s="1" t="s">
        <v>34218</v>
      </c>
    </row>
    <row r="7613" spans="1:19" x14ac:dyDescent="0.25">
      <c r="A7613">
        <v>101223170</v>
      </c>
      <c r="B7613" t="s">
        <v>17861</v>
      </c>
      <c r="C7613" t="s">
        <v>30</v>
      </c>
      <c r="G7613" t="s">
        <v>17862</v>
      </c>
      <c r="H7613" t="s">
        <v>16818</v>
      </c>
      <c r="I7613" t="s">
        <v>38</v>
      </c>
      <c r="J7613">
        <v>78613</v>
      </c>
      <c r="K7613">
        <v>5907</v>
      </c>
      <c r="L7613" t="s">
        <v>23</v>
      </c>
      <c r="M7613" t="s">
        <v>17862</v>
      </c>
      <c r="N7613" t="s">
        <v>16818</v>
      </c>
      <c r="O7613" t="s">
        <v>38</v>
      </c>
      <c r="P7613">
        <v>78613</v>
      </c>
      <c r="Q7613">
        <v>5907</v>
      </c>
      <c r="R7613" t="s">
        <v>23</v>
      </c>
      <c r="S7613" s="1" t="s">
        <v>34218</v>
      </c>
    </row>
    <row r="7614" spans="1:19" x14ac:dyDescent="0.25">
      <c r="A7614">
        <v>101226230</v>
      </c>
      <c r="B7614" t="s">
        <v>3992</v>
      </c>
      <c r="C7614" t="s">
        <v>301</v>
      </c>
      <c r="G7614" t="s">
        <v>17863</v>
      </c>
      <c r="H7614" t="s">
        <v>125</v>
      </c>
      <c r="I7614" t="s">
        <v>126</v>
      </c>
      <c r="J7614">
        <v>63132</v>
      </c>
      <c r="K7614">
        <v>3524</v>
      </c>
      <c r="L7614" t="s">
        <v>23</v>
      </c>
      <c r="M7614" t="s">
        <v>17863</v>
      </c>
      <c r="N7614" t="s">
        <v>125</v>
      </c>
      <c r="O7614" t="s">
        <v>126</v>
      </c>
      <c r="P7614">
        <v>63132</v>
      </c>
      <c r="Q7614">
        <v>3524</v>
      </c>
      <c r="R7614" t="s">
        <v>23</v>
      </c>
      <c r="S7614" s="1" t="s">
        <v>34218</v>
      </c>
    </row>
    <row r="7615" spans="1:19" x14ac:dyDescent="0.25">
      <c r="A7615">
        <v>101228752</v>
      </c>
      <c r="B7615" t="s">
        <v>17864</v>
      </c>
      <c r="C7615" t="s">
        <v>17865</v>
      </c>
      <c r="G7615" t="s">
        <v>17866</v>
      </c>
      <c r="H7615" t="s">
        <v>17867</v>
      </c>
      <c r="I7615" t="s">
        <v>22</v>
      </c>
      <c r="J7615">
        <v>95961</v>
      </c>
      <c r="K7615">
        <v>4124</v>
      </c>
      <c r="L7615" t="s">
        <v>23</v>
      </c>
      <c r="M7615" t="s">
        <v>17866</v>
      </c>
      <c r="N7615" t="s">
        <v>17867</v>
      </c>
      <c r="O7615" t="s">
        <v>22</v>
      </c>
      <c r="P7615">
        <v>95961</v>
      </c>
      <c r="Q7615">
        <v>4124</v>
      </c>
      <c r="R7615" t="s">
        <v>23</v>
      </c>
      <c r="S7615" s="1" t="s">
        <v>34218</v>
      </c>
    </row>
    <row r="7616" spans="1:19" x14ac:dyDescent="0.25">
      <c r="A7616">
        <v>101244959</v>
      </c>
      <c r="B7616" t="s">
        <v>17868</v>
      </c>
      <c r="C7616" t="s">
        <v>1306</v>
      </c>
      <c r="G7616">
        <v>83702</v>
      </c>
      <c r="H7616" t="s">
        <v>3270</v>
      </c>
      <c r="I7616" t="s">
        <v>348</v>
      </c>
      <c r="J7616">
        <v>83702</v>
      </c>
      <c r="L7616" t="s">
        <v>23</v>
      </c>
      <c r="M7616">
        <v>83702</v>
      </c>
      <c r="N7616" t="s">
        <v>3270</v>
      </c>
      <c r="O7616" t="s">
        <v>348</v>
      </c>
      <c r="P7616">
        <v>83702</v>
      </c>
      <c r="R7616" t="s">
        <v>23</v>
      </c>
      <c r="S7616" s="1" t="s">
        <v>34218</v>
      </c>
    </row>
    <row r="7617" spans="1:19" x14ac:dyDescent="0.25">
      <c r="A7617">
        <v>101329271</v>
      </c>
      <c r="B7617" t="s">
        <v>6058</v>
      </c>
      <c r="C7617" t="s">
        <v>1658</v>
      </c>
      <c r="G7617" t="s">
        <v>17869</v>
      </c>
      <c r="H7617" t="s">
        <v>653</v>
      </c>
      <c r="I7617" t="s">
        <v>117</v>
      </c>
      <c r="J7617">
        <v>10032</v>
      </c>
      <c r="K7617">
        <v>8020</v>
      </c>
      <c r="L7617" t="s">
        <v>23</v>
      </c>
      <c r="M7617" t="s">
        <v>17869</v>
      </c>
      <c r="N7617" t="s">
        <v>653</v>
      </c>
      <c r="O7617" t="s">
        <v>117</v>
      </c>
      <c r="P7617">
        <v>10032</v>
      </c>
      <c r="Q7617">
        <v>8020</v>
      </c>
      <c r="R7617" t="s">
        <v>23</v>
      </c>
      <c r="S7617" s="1" t="s">
        <v>34218</v>
      </c>
    </row>
    <row r="7618" spans="1:19" x14ac:dyDescent="0.25">
      <c r="A7618">
        <v>101455142</v>
      </c>
      <c r="B7618" t="s">
        <v>17870</v>
      </c>
      <c r="C7618" t="s">
        <v>225</v>
      </c>
      <c r="G7618" t="s">
        <v>17871</v>
      </c>
      <c r="H7618" t="s">
        <v>5571</v>
      </c>
      <c r="I7618" t="s">
        <v>84</v>
      </c>
      <c r="J7618">
        <v>98043</v>
      </c>
      <c r="K7618">
        <v>4254</v>
      </c>
      <c r="L7618" t="s">
        <v>23</v>
      </c>
      <c r="M7618" t="s">
        <v>17871</v>
      </c>
      <c r="N7618" t="s">
        <v>5571</v>
      </c>
      <c r="O7618" t="s">
        <v>84</v>
      </c>
      <c r="P7618">
        <v>98043</v>
      </c>
      <c r="Q7618">
        <v>4254</v>
      </c>
      <c r="R7618" t="s">
        <v>23</v>
      </c>
      <c r="S7618" s="1" t="s">
        <v>34218</v>
      </c>
    </row>
    <row r="7619" spans="1:19" x14ac:dyDescent="0.25">
      <c r="A7619">
        <v>100678887</v>
      </c>
      <c r="B7619" t="s">
        <v>17872</v>
      </c>
      <c r="C7619" t="s">
        <v>1363</v>
      </c>
      <c r="G7619" t="s">
        <v>17873</v>
      </c>
      <c r="H7619" t="s">
        <v>2376</v>
      </c>
      <c r="I7619" t="s">
        <v>236</v>
      </c>
      <c r="J7619">
        <v>1440</v>
      </c>
      <c r="K7619">
        <v>4302</v>
      </c>
      <c r="L7619" t="s">
        <v>23</v>
      </c>
      <c r="M7619" t="s">
        <v>17873</v>
      </c>
      <c r="N7619" t="s">
        <v>2376</v>
      </c>
      <c r="O7619" t="s">
        <v>236</v>
      </c>
      <c r="P7619">
        <v>1440</v>
      </c>
      <c r="Q7619">
        <v>4302</v>
      </c>
      <c r="R7619" t="s">
        <v>23</v>
      </c>
      <c r="S7619" s="1" t="s">
        <v>34218</v>
      </c>
    </row>
    <row r="7620" spans="1:19" x14ac:dyDescent="0.25">
      <c r="A7620">
        <v>101445631</v>
      </c>
      <c r="B7620" t="s">
        <v>11921</v>
      </c>
      <c r="C7620" t="s">
        <v>5420</v>
      </c>
      <c r="G7620" t="s">
        <v>17874</v>
      </c>
      <c r="H7620" t="s">
        <v>6136</v>
      </c>
      <c r="I7620" t="s">
        <v>22</v>
      </c>
      <c r="J7620">
        <v>92626</v>
      </c>
      <c r="K7620">
        <v>1952</v>
      </c>
      <c r="L7620" t="s">
        <v>23</v>
      </c>
      <c r="M7620" t="s">
        <v>17874</v>
      </c>
      <c r="N7620" t="s">
        <v>6136</v>
      </c>
      <c r="O7620" t="s">
        <v>22</v>
      </c>
      <c r="P7620">
        <v>92626</v>
      </c>
      <c r="Q7620">
        <v>1952</v>
      </c>
      <c r="R7620" t="s">
        <v>23</v>
      </c>
      <c r="S7620" s="1" t="s">
        <v>34218</v>
      </c>
    </row>
    <row r="7621" spans="1:19" x14ac:dyDescent="0.25">
      <c r="A7621">
        <v>101331264</v>
      </c>
      <c r="B7621" t="s">
        <v>17875</v>
      </c>
      <c r="C7621" t="s">
        <v>172</v>
      </c>
      <c r="G7621" t="s">
        <v>17876</v>
      </c>
      <c r="H7621" t="s">
        <v>2646</v>
      </c>
      <c r="I7621" t="s">
        <v>22</v>
      </c>
      <c r="J7621">
        <v>95694</v>
      </c>
      <c r="L7621" t="s">
        <v>23</v>
      </c>
      <c r="M7621" t="s">
        <v>17876</v>
      </c>
      <c r="N7621" t="s">
        <v>2646</v>
      </c>
      <c r="O7621" t="s">
        <v>22</v>
      </c>
      <c r="P7621">
        <v>95694</v>
      </c>
      <c r="R7621" t="s">
        <v>23</v>
      </c>
      <c r="S7621" s="1" t="s">
        <v>34218</v>
      </c>
    </row>
    <row r="7622" spans="1:19" x14ac:dyDescent="0.25">
      <c r="A7622">
        <v>100695740</v>
      </c>
      <c r="B7622" t="s">
        <v>17877</v>
      </c>
      <c r="C7622" t="s">
        <v>1120</v>
      </c>
      <c r="G7622" t="s">
        <v>17878</v>
      </c>
      <c r="H7622" t="s">
        <v>1531</v>
      </c>
      <c r="I7622" t="s">
        <v>84</v>
      </c>
      <c r="J7622">
        <v>98155</v>
      </c>
      <c r="L7622" t="s">
        <v>23</v>
      </c>
      <c r="M7622" t="s">
        <v>17878</v>
      </c>
      <c r="N7622" t="s">
        <v>1531</v>
      </c>
      <c r="O7622" t="s">
        <v>84</v>
      </c>
      <c r="P7622">
        <v>98155</v>
      </c>
      <c r="R7622" t="s">
        <v>23</v>
      </c>
      <c r="S7622" s="1" t="s">
        <v>34218</v>
      </c>
    </row>
    <row r="7623" spans="1:19" x14ac:dyDescent="0.25">
      <c r="A7623">
        <v>100953666</v>
      </c>
      <c r="B7623" t="s">
        <v>4139</v>
      </c>
      <c r="C7623" t="s">
        <v>428</v>
      </c>
      <c r="G7623" t="s">
        <v>17879</v>
      </c>
      <c r="H7623" t="s">
        <v>17880</v>
      </c>
      <c r="I7623" t="s">
        <v>33</v>
      </c>
      <c r="J7623">
        <v>15108</v>
      </c>
      <c r="K7623">
        <v>2825</v>
      </c>
      <c r="L7623" t="s">
        <v>23</v>
      </c>
      <c r="M7623" t="s">
        <v>17879</v>
      </c>
      <c r="N7623" t="s">
        <v>17880</v>
      </c>
      <c r="O7623" t="s">
        <v>33</v>
      </c>
      <c r="P7623">
        <v>15108</v>
      </c>
      <c r="Q7623">
        <v>2825</v>
      </c>
      <c r="R7623" t="s">
        <v>23</v>
      </c>
      <c r="S7623" s="1" t="s">
        <v>34218</v>
      </c>
    </row>
    <row r="7624" spans="1:19" x14ac:dyDescent="0.25">
      <c r="A7624">
        <v>100955158</v>
      </c>
      <c r="B7624" t="s">
        <v>17881</v>
      </c>
      <c r="C7624" t="s">
        <v>45</v>
      </c>
      <c r="G7624" t="s">
        <v>17882</v>
      </c>
      <c r="H7624" t="s">
        <v>11625</v>
      </c>
      <c r="I7624" t="s">
        <v>353</v>
      </c>
      <c r="J7624">
        <v>3820</v>
      </c>
      <c r="K7624">
        <v>6210</v>
      </c>
      <c r="L7624" t="s">
        <v>23</v>
      </c>
      <c r="M7624" t="s">
        <v>17882</v>
      </c>
      <c r="N7624" t="s">
        <v>11625</v>
      </c>
      <c r="O7624" t="s">
        <v>353</v>
      </c>
      <c r="P7624">
        <v>3820</v>
      </c>
      <c r="Q7624">
        <v>6210</v>
      </c>
      <c r="R7624" t="s">
        <v>23</v>
      </c>
      <c r="S7624" s="1" t="s">
        <v>34218</v>
      </c>
    </row>
    <row r="7625" spans="1:19" x14ac:dyDescent="0.25">
      <c r="A7625">
        <v>100964394</v>
      </c>
      <c r="B7625" t="s">
        <v>2531</v>
      </c>
      <c r="C7625" t="s">
        <v>3207</v>
      </c>
      <c r="G7625" t="s">
        <v>17883</v>
      </c>
      <c r="H7625" t="s">
        <v>3867</v>
      </c>
      <c r="I7625" t="s">
        <v>38</v>
      </c>
      <c r="J7625">
        <v>75062</v>
      </c>
      <c r="K7625">
        <v>6947</v>
      </c>
      <c r="L7625" t="s">
        <v>23</v>
      </c>
      <c r="M7625" t="s">
        <v>17883</v>
      </c>
      <c r="N7625" t="s">
        <v>3867</v>
      </c>
      <c r="O7625" t="s">
        <v>38</v>
      </c>
      <c r="P7625">
        <v>75062</v>
      </c>
      <c r="Q7625">
        <v>6947</v>
      </c>
      <c r="R7625" t="s">
        <v>23</v>
      </c>
      <c r="S7625" s="1" t="s">
        <v>34218</v>
      </c>
    </row>
    <row r="7626" spans="1:19" x14ac:dyDescent="0.25">
      <c r="A7626">
        <v>101150956</v>
      </c>
      <c r="B7626" t="s">
        <v>592</v>
      </c>
      <c r="C7626" t="s">
        <v>286</v>
      </c>
      <c r="G7626" t="s">
        <v>17884</v>
      </c>
      <c r="H7626" t="s">
        <v>17577</v>
      </c>
      <c r="I7626" t="s">
        <v>370</v>
      </c>
      <c r="J7626">
        <v>69337</v>
      </c>
      <c r="K7626">
        <v>2624</v>
      </c>
      <c r="L7626" t="s">
        <v>23</v>
      </c>
      <c r="M7626" t="s">
        <v>17884</v>
      </c>
      <c r="N7626" t="s">
        <v>17577</v>
      </c>
      <c r="O7626" t="s">
        <v>370</v>
      </c>
      <c r="P7626">
        <v>69337</v>
      </c>
      <c r="Q7626">
        <v>2624</v>
      </c>
      <c r="R7626" t="s">
        <v>23</v>
      </c>
      <c r="S7626" s="1" t="s">
        <v>34218</v>
      </c>
    </row>
    <row r="7627" spans="1:19" x14ac:dyDescent="0.25">
      <c r="A7627">
        <v>101149203</v>
      </c>
      <c r="B7627" t="s">
        <v>17885</v>
      </c>
      <c r="C7627" t="s">
        <v>403</v>
      </c>
      <c r="G7627" t="s">
        <v>17886</v>
      </c>
      <c r="H7627" t="s">
        <v>2046</v>
      </c>
      <c r="I7627" t="s">
        <v>446</v>
      </c>
      <c r="J7627">
        <v>27712</v>
      </c>
      <c r="K7627">
        <v>2403</v>
      </c>
      <c r="L7627" t="s">
        <v>23</v>
      </c>
      <c r="M7627" t="s">
        <v>17886</v>
      </c>
      <c r="N7627" t="s">
        <v>2046</v>
      </c>
      <c r="O7627" t="s">
        <v>446</v>
      </c>
      <c r="P7627">
        <v>27712</v>
      </c>
      <c r="Q7627">
        <v>2403</v>
      </c>
      <c r="R7627" t="s">
        <v>23</v>
      </c>
      <c r="S7627" s="1" t="s">
        <v>34218</v>
      </c>
    </row>
    <row r="7628" spans="1:19" x14ac:dyDescent="0.25">
      <c r="A7628">
        <v>101155007</v>
      </c>
      <c r="B7628" t="s">
        <v>17887</v>
      </c>
      <c r="C7628" t="s">
        <v>5678</v>
      </c>
      <c r="F7628" t="str">
        <f>"5414889512"</f>
        <v>5414889512</v>
      </c>
      <c r="G7628" t="s">
        <v>17888</v>
      </c>
      <c r="H7628" t="s">
        <v>177</v>
      </c>
      <c r="I7628" t="s">
        <v>43</v>
      </c>
      <c r="J7628">
        <v>97520</v>
      </c>
      <c r="K7628">
        <v>1663</v>
      </c>
      <c r="L7628" t="s">
        <v>23</v>
      </c>
      <c r="M7628" t="s">
        <v>17888</v>
      </c>
      <c r="N7628" t="s">
        <v>177</v>
      </c>
      <c r="O7628" t="s">
        <v>43</v>
      </c>
      <c r="P7628">
        <v>97520</v>
      </c>
      <c r="Q7628">
        <v>1663</v>
      </c>
      <c r="R7628" t="s">
        <v>23</v>
      </c>
      <c r="S7628" s="1" t="s">
        <v>34218</v>
      </c>
    </row>
    <row r="7629" spans="1:19" x14ac:dyDescent="0.25">
      <c r="A7629">
        <v>101154602</v>
      </c>
      <c r="B7629" t="s">
        <v>17889</v>
      </c>
      <c r="C7629" t="s">
        <v>613</v>
      </c>
      <c r="G7629" t="s">
        <v>17890</v>
      </c>
      <c r="H7629" t="s">
        <v>2778</v>
      </c>
      <c r="I7629" t="s">
        <v>236</v>
      </c>
      <c r="J7629">
        <v>1341</v>
      </c>
      <c r="K7629">
        <v>9661</v>
      </c>
      <c r="L7629" t="s">
        <v>23</v>
      </c>
      <c r="M7629" t="s">
        <v>17890</v>
      </c>
      <c r="N7629" t="s">
        <v>2778</v>
      </c>
      <c r="O7629" t="s">
        <v>236</v>
      </c>
      <c r="P7629">
        <v>1341</v>
      </c>
      <c r="Q7629">
        <v>9661</v>
      </c>
      <c r="R7629" t="s">
        <v>23</v>
      </c>
      <c r="S7629" s="1" t="s">
        <v>34218</v>
      </c>
    </row>
    <row r="7630" spans="1:19" x14ac:dyDescent="0.25">
      <c r="A7630">
        <v>101156447</v>
      </c>
      <c r="B7630" t="s">
        <v>497</v>
      </c>
      <c r="C7630" t="s">
        <v>10916</v>
      </c>
      <c r="G7630" t="s">
        <v>17891</v>
      </c>
      <c r="H7630" t="s">
        <v>2841</v>
      </c>
      <c r="I7630" t="s">
        <v>71</v>
      </c>
      <c r="J7630">
        <v>80401</v>
      </c>
      <c r="K7630">
        <v>8017</v>
      </c>
      <c r="L7630" t="s">
        <v>23</v>
      </c>
      <c r="M7630" t="s">
        <v>17891</v>
      </c>
      <c r="N7630" t="s">
        <v>2841</v>
      </c>
      <c r="O7630" t="s">
        <v>71</v>
      </c>
      <c r="P7630">
        <v>80401</v>
      </c>
      <c r="Q7630">
        <v>8017</v>
      </c>
      <c r="R7630" t="s">
        <v>23</v>
      </c>
      <c r="S7630" s="1" t="s">
        <v>34218</v>
      </c>
    </row>
    <row r="7631" spans="1:19" x14ac:dyDescent="0.25">
      <c r="A7631">
        <v>101156824</v>
      </c>
      <c r="B7631" t="s">
        <v>8150</v>
      </c>
      <c r="C7631" t="s">
        <v>110</v>
      </c>
      <c r="F7631" t="str">
        <f>"5032864712"</f>
        <v>5032864712</v>
      </c>
      <c r="G7631" t="s">
        <v>17892</v>
      </c>
      <c r="H7631" t="s">
        <v>227</v>
      </c>
      <c r="I7631" t="s">
        <v>43</v>
      </c>
      <c r="J7631">
        <v>97203</v>
      </c>
      <c r="K7631">
        <v>4708</v>
      </c>
      <c r="L7631" t="s">
        <v>23</v>
      </c>
      <c r="M7631" t="s">
        <v>17892</v>
      </c>
      <c r="N7631" t="s">
        <v>227</v>
      </c>
      <c r="O7631" t="s">
        <v>43</v>
      </c>
      <c r="P7631">
        <v>97203</v>
      </c>
      <c r="Q7631">
        <v>4708</v>
      </c>
      <c r="R7631" t="s">
        <v>23</v>
      </c>
      <c r="S7631" s="1" t="s">
        <v>34218</v>
      </c>
    </row>
    <row r="7632" spans="1:19" x14ac:dyDescent="0.25">
      <c r="A7632">
        <v>101163394</v>
      </c>
      <c r="B7632" t="s">
        <v>1872</v>
      </c>
      <c r="C7632" t="s">
        <v>17893</v>
      </c>
      <c r="G7632" t="s">
        <v>17894</v>
      </c>
      <c r="H7632" t="s">
        <v>17895</v>
      </c>
      <c r="I7632" t="s">
        <v>135</v>
      </c>
      <c r="J7632">
        <v>61201</v>
      </c>
      <c r="K7632">
        <v>3051</v>
      </c>
      <c r="L7632" t="s">
        <v>23</v>
      </c>
      <c r="M7632" t="s">
        <v>17894</v>
      </c>
      <c r="N7632" t="s">
        <v>17895</v>
      </c>
      <c r="O7632" t="s">
        <v>135</v>
      </c>
      <c r="P7632">
        <v>61201</v>
      </c>
      <c r="Q7632">
        <v>3051</v>
      </c>
      <c r="R7632" t="s">
        <v>23</v>
      </c>
      <c r="S7632" s="1" t="s">
        <v>34218</v>
      </c>
    </row>
    <row r="7633" spans="1:19" x14ac:dyDescent="0.25">
      <c r="A7633">
        <v>101168083</v>
      </c>
      <c r="B7633" t="s">
        <v>14977</v>
      </c>
      <c r="C7633" t="s">
        <v>5719</v>
      </c>
      <c r="G7633" t="s">
        <v>17896</v>
      </c>
      <c r="H7633" t="s">
        <v>6515</v>
      </c>
      <c r="I7633" t="s">
        <v>22</v>
      </c>
      <c r="J7633">
        <v>90266</v>
      </c>
      <c r="K7633">
        <v>3621</v>
      </c>
      <c r="L7633" t="s">
        <v>23</v>
      </c>
      <c r="M7633" t="s">
        <v>17896</v>
      </c>
      <c r="N7633" t="s">
        <v>6515</v>
      </c>
      <c r="O7633" t="s">
        <v>22</v>
      </c>
      <c r="P7633">
        <v>90266</v>
      </c>
      <c r="Q7633">
        <v>3621</v>
      </c>
      <c r="R7633" t="s">
        <v>23</v>
      </c>
      <c r="S7633" s="1" t="s">
        <v>34218</v>
      </c>
    </row>
    <row r="7634" spans="1:19" x14ac:dyDescent="0.25">
      <c r="A7634">
        <v>101177421</v>
      </c>
      <c r="B7634" t="s">
        <v>9330</v>
      </c>
      <c r="C7634" t="s">
        <v>2343</v>
      </c>
      <c r="G7634" t="s">
        <v>17897</v>
      </c>
      <c r="H7634" t="s">
        <v>3466</v>
      </c>
      <c r="I7634" t="s">
        <v>38</v>
      </c>
      <c r="J7634">
        <v>77406</v>
      </c>
      <c r="K7634">
        <v>5292</v>
      </c>
      <c r="L7634" t="s">
        <v>23</v>
      </c>
      <c r="M7634" t="s">
        <v>17897</v>
      </c>
      <c r="N7634" t="s">
        <v>3466</v>
      </c>
      <c r="O7634" t="s">
        <v>38</v>
      </c>
      <c r="P7634">
        <v>77406</v>
      </c>
      <c r="Q7634">
        <v>5292</v>
      </c>
      <c r="R7634" t="s">
        <v>23</v>
      </c>
      <c r="S7634" s="1" t="s">
        <v>34218</v>
      </c>
    </row>
    <row r="7635" spans="1:19" x14ac:dyDescent="0.25">
      <c r="A7635">
        <v>100727413</v>
      </c>
      <c r="B7635" t="s">
        <v>17898</v>
      </c>
      <c r="C7635" t="s">
        <v>1835</v>
      </c>
      <c r="G7635" t="s">
        <v>17899</v>
      </c>
      <c r="H7635" t="s">
        <v>17900</v>
      </c>
      <c r="I7635" t="s">
        <v>33</v>
      </c>
      <c r="J7635" t="s">
        <v>17901</v>
      </c>
      <c r="K7635">
        <v>9304</v>
      </c>
      <c r="L7635" t="s">
        <v>23</v>
      </c>
      <c r="M7635" t="s">
        <v>17899</v>
      </c>
      <c r="N7635" t="s">
        <v>17900</v>
      </c>
      <c r="O7635" t="s">
        <v>33</v>
      </c>
      <c r="P7635" t="s">
        <v>17901</v>
      </c>
      <c r="Q7635">
        <v>9304</v>
      </c>
      <c r="R7635" t="s">
        <v>23</v>
      </c>
      <c r="S7635" s="1" t="s">
        <v>34218</v>
      </c>
    </row>
    <row r="7636" spans="1:19" x14ac:dyDescent="0.25">
      <c r="A7636">
        <v>100515422</v>
      </c>
      <c r="B7636" t="s">
        <v>17902</v>
      </c>
      <c r="C7636" t="s">
        <v>1208</v>
      </c>
      <c r="G7636" t="s">
        <v>17903</v>
      </c>
      <c r="H7636" t="s">
        <v>569</v>
      </c>
      <c r="I7636" t="s">
        <v>187</v>
      </c>
      <c r="J7636" t="s">
        <v>17904</v>
      </c>
      <c r="K7636">
        <v>4854</v>
      </c>
      <c r="L7636" t="s">
        <v>23</v>
      </c>
      <c r="M7636" t="s">
        <v>17903</v>
      </c>
      <c r="N7636" t="s">
        <v>569</v>
      </c>
      <c r="O7636" t="s">
        <v>187</v>
      </c>
      <c r="P7636" t="s">
        <v>17904</v>
      </c>
      <c r="Q7636">
        <v>4854</v>
      </c>
      <c r="R7636" t="s">
        <v>23</v>
      </c>
      <c r="S7636" s="1" t="s">
        <v>34218</v>
      </c>
    </row>
    <row r="7637" spans="1:19" x14ac:dyDescent="0.25">
      <c r="A7637">
        <v>101288489</v>
      </c>
      <c r="B7637" t="s">
        <v>17905</v>
      </c>
      <c r="C7637" t="s">
        <v>4359</v>
      </c>
      <c r="G7637" t="s">
        <v>17906</v>
      </c>
      <c r="H7637" t="s">
        <v>1386</v>
      </c>
      <c r="I7637" t="s">
        <v>1387</v>
      </c>
      <c r="J7637" t="s">
        <v>17907</v>
      </c>
      <c r="K7637">
        <v>7822</v>
      </c>
      <c r="L7637" t="s">
        <v>23</v>
      </c>
      <c r="M7637" t="s">
        <v>17906</v>
      </c>
      <c r="N7637" t="s">
        <v>1386</v>
      </c>
      <c r="O7637" t="s">
        <v>1387</v>
      </c>
      <c r="P7637" t="s">
        <v>17907</v>
      </c>
      <c r="Q7637">
        <v>7822</v>
      </c>
      <c r="R7637" t="s">
        <v>23</v>
      </c>
      <c r="S7637" s="1" t="s">
        <v>34218</v>
      </c>
    </row>
    <row r="7638" spans="1:19" x14ac:dyDescent="0.25">
      <c r="A7638">
        <v>100624806</v>
      </c>
      <c r="B7638" t="s">
        <v>29</v>
      </c>
      <c r="C7638" t="s">
        <v>472</v>
      </c>
      <c r="F7638" t="str">
        <f>"4082663891"</f>
        <v>4082663891</v>
      </c>
      <c r="G7638" t="s">
        <v>17908</v>
      </c>
      <c r="H7638" t="s">
        <v>481</v>
      </c>
      <c r="I7638" t="s">
        <v>22</v>
      </c>
      <c r="J7638" t="s">
        <v>17909</v>
      </c>
      <c r="K7638">
        <v>1903</v>
      </c>
      <c r="L7638" t="s">
        <v>23</v>
      </c>
      <c r="M7638" t="s">
        <v>17908</v>
      </c>
      <c r="N7638" t="s">
        <v>481</v>
      </c>
      <c r="O7638" t="s">
        <v>22</v>
      </c>
      <c r="P7638" t="s">
        <v>17909</v>
      </c>
      <c r="Q7638">
        <v>1903</v>
      </c>
      <c r="R7638" t="s">
        <v>23</v>
      </c>
      <c r="S7638" s="1" t="s">
        <v>34218</v>
      </c>
    </row>
    <row r="7639" spans="1:19" x14ac:dyDescent="0.25">
      <c r="A7639">
        <v>101190393</v>
      </c>
      <c r="B7639" t="s">
        <v>17910</v>
      </c>
      <c r="C7639" t="s">
        <v>102</v>
      </c>
      <c r="G7639" t="s">
        <v>17911</v>
      </c>
      <c r="H7639" t="s">
        <v>364</v>
      </c>
      <c r="I7639" t="s">
        <v>365</v>
      </c>
      <c r="J7639" t="s">
        <v>17912</v>
      </c>
      <c r="K7639">
        <v>4403</v>
      </c>
      <c r="L7639" t="s">
        <v>23</v>
      </c>
      <c r="M7639" t="s">
        <v>17911</v>
      </c>
      <c r="N7639" t="s">
        <v>364</v>
      </c>
      <c r="O7639" t="s">
        <v>365</v>
      </c>
      <c r="P7639" t="s">
        <v>17912</v>
      </c>
      <c r="Q7639">
        <v>4403</v>
      </c>
      <c r="R7639" t="s">
        <v>23</v>
      </c>
      <c r="S7639" s="1" t="s">
        <v>34218</v>
      </c>
    </row>
    <row r="7640" spans="1:19" x14ac:dyDescent="0.25">
      <c r="A7640">
        <v>101244979</v>
      </c>
      <c r="B7640" t="s">
        <v>17913</v>
      </c>
      <c r="C7640" t="s">
        <v>17914</v>
      </c>
      <c r="G7640" t="s">
        <v>17915</v>
      </c>
      <c r="H7640" t="s">
        <v>3340</v>
      </c>
      <c r="I7640" t="s">
        <v>153</v>
      </c>
      <c r="J7640" t="s">
        <v>17916</v>
      </c>
      <c r="K7640">
        <v>8438</v>
      </c>
      <c r="L7640" t="s">
        <v>23</v>
      </c>
      <c r="M7640" t="s">
        <v>17915</v>
      </c>
      <c r="N7640" t="s">
        <v>3340</v>
      </c>
      <c r="O7640" t="s">
        <v>153</v>
      </c>
      <c r="P7640" t="s">
        <v>17916</v>
      </c>
      <c r="Q7640">
        <v>8438</v>
      </c>
      <c r="R7640" t="s">
        <v>23</v>
      </c>
      <c r="S7640" s="1" t="s">
        <v>34218</v>
      </c>
    </row>
    <row r="7641" spans="1:19" x14ac:dyDescent="0.25">
      <c r="A7641">
        <v>101105331</v>
      </c>
      <c r="B7641" t="s">
        <v>17917</v>
      </c>
      <c r="C7641" t="s">
        <v>17918</v>
      </c>
      <c r="G7641" t="s">
        <v>17919</v>
      </c>
      <c r="H7641" t="s">
        <v>9365</v>
      </c>
      <c r="I7641" t="s">
        <v>1482</v>
      </c>
      <c r="J7641" t="s">
        <v>17920</v>
      </c>
      <c r="K7641">
        <v>3200</v>
      </c>
      <c r="L7641" t="s">
        <v>23</v>
      </c>
      <c r="M7641" t="s">
        <v>17919</v>
      </c>
      <c r="N7641" t="s">
        <v>9365</v>
      </c>
      <c r="O7641" t="s">
        <v>1482</v>
      </c>
      <c r="P7641" t="s">
        <v>17920</v>
      </c>
      <c r="Q7641">
        <v>3200</v>
      </c>
      <c r="R7641" t="s">
        <v>23</v>
      </c>
      <c r="S7641" s="1" t="s">
        <v>34218</v>
      </c>
    </row>
    <row r="7642" spans="1:19" x14ac:dyDescent="0.25">
      <c r="A7642">
        <v>101311435</v>
      </c>
      <c r="B7642" t="s">
        <v>17921</v>
      </c>
      <c r="C7642" t="s">
        <v>6295</v>
      </c>
      <c r="G7642" t="s">
        <v>17922</v>
      </c>
      <c r="H7642" t="s">
        <v>481</v>
      </c>
      <c r="I7642" t="s">
        <v>22</v>
      </c>
      <c r="J7642" t="s">
        <v>17923</v>
      </c>
      <c r="K7642">
        <v>1823</v>
      </c>
      <c r="L7642" t="s">
        <v>23</v>
      </c>
      <c r="M7642" t="s">
        <v>17922</v>
      </c>
      <c r="N7642" t="s">
        <v>481</v>
      </c>
      <c r="O7642" t="s">
        <v>22</v>
      </c>
      <c r="P7642" t="s">
        <v>17923</v>
      </c>
      <c r="Q7642">
        <v>1823</v>
      </c>
      <c r="R7642" t="s">
        <v>23</v>
      </c>
      <c r="S7642" s="1" t="s">
        <v>34218</v>
      </c>
    </row>
    <row r="7643" spans="1:19" x14ac:dyDescent="0.25">
      <c r="A7643">
        <v>100515859</v>
      </c>
      <c r="B7643" t="s">
        <v>17924</v>
      </c>
      <c r="C7643" t="s">
        <v>3326</v>
      </c>
      <c r="G7643" t="s">
        <v>17925</v>
      </c>
      <c r="H7643" t="s">
        <v>331</v>
      </c>
      <c r="I7643" t="s">
        <v>332</v>
      </c>
      <c r="J7643" t="s">
        <v>17926</v>
      </c>
      <c r="K7643">
        <v>2228</v>
      </c>
      <c r="L7643" t="s">
        <v>23</v>
      </c>
      <c r="M7643" t="s">
        <v>17925</v>
      </c>
      <c r="N7643" t="s">
        <v>331</v>
      </c>
      <c r="O7643" t="s">
        <v>332</v>
      </c>
      <c r="P7643" t="s">
        <v>17926</v>
      </c>
      <c r="Q7643">
        <v>2228</v>
      </c>
      <c r="R7643" t="s">
        <v>23</v>
      </c>
      <c r="S7643" s="1" t="s">
        <v>34218</v>
      </c>
    </row>
    <row r="7644" spans="1:19" x14ac:dyDescent="0.25">
      <c r="A7644">
        <v>101418879</v>
      </c>
      <c r="B7644" t="s">
        <v>4551</v>
      </c>
      <c r="C7644" t="s">
        <v>17927</v>
      </c>
      <c r="G7644" t="s">
        <v>17928</v>
      </c>
      <c r="H7644" t="s">
        <v>2180</v>
      </c>
      <c r="I7644" t="s">
        <v>62</v>
      </c>
      <c r="J7644" t="s">
        <v>17929</v>
      </c>
      <c r="K7644">
        <v>6938</v>
      </c>
      <c r="L7644" t="s">
        <v>23</v>
      </c>
      <c r="M7644" t="s">
        <v>17928</v>
      </c>
      <c r="N7644" t="s">
        <v>2180</v>
      </c>
      <c r="O7644" t="s">
        <v>62</v>
      </c>
      <c r="P7644" t="s">
        <v>17929</v>
      </c>
      <c r="Q7644">
        <v>6938</v>
      </c>
      <c r="R7644" t="s">
        <v>23</v>
      </c>
      <c r="S7644" s="1" t="s">
        <v>34218</v>
      </c>
    </row>
    <row r="7645" spans="1:19" x14ac:dyDescent="0.25">
      <c r="A7645">
        <v>101329476</v>
      </c>
      <c r="B7645" t="s">
        <v>15945</v>
      </c>
      <c r="C7645" t="s">
        <v>1306</v>
      </c>
      <c r="F7645" t="str">
        <f>"3014567890"</f>
        <v>3014567890</v>
      </c>
      <c r="G7645" t="s">
        <v>17930</v>
      </c>
      <c r="H7645" t="s">
        <v>758</v>
      </c>
      <c r="I7645" t="s">
        <v>148</v>
      </c>
      <c r="J7645" t="s">
        <v>17931</v>
      </c>
      <c r="K7645">
        <v>1042</v>
      </c>
      <c r="L7645" t="s">
        <v>23</v>
      </c>
      <c r="M7645" t="s">
        <v>17930</v>
      </c>
      <c r="N7645" t="s">
        <v>758</v>
      </c>
      <c r="O7645" t="s">
        <v>148</v>
      </c>
      <c r="P7645" t="s">
        <v>17931</v>
      </c>
      <c r="Q7645">
        <v>1042</v>
      </c>
      <c r="R7645" t="s">
        <v>23</v>
      </c>
      <c r="S7645" s="1" t="s">
        <v>34218</v>
      </c>
    </row>
    <row r="7646" spans="1:19" x14ac:dyDescent="0.25">
      <c r="A7646">
        <v>101041727</v>
      </c>
      <c r="B7646" t="s">
        <v>17932</v>
      </c>
      <c r="C7646" t="s">
        <v>1873</v>
      </c>
      <c r="G7646" t="s">
        <v>17933</v>
      </c>
      <c r="H7646" t="s">
        <v>1877</v>
      </c>
      <c r="I7646" t="s">
        <v>43</v>
      </c>
      <c r="J7646">
        <v>97306</v>
      </c>
      <c r="K7646">
        <v>2011</v>
      </c>
      <c r="L7646" t="s">
        <v>23</v>
      </c>
      <c r="M7646" t="s">
        <v>17933</v>
      </c>
      <c r="N7646" t="s">
        <v>1877</v>
      </c>
      <c r="O7646" t="s">
        <v>43</v>
      </c>
      <c r="P7646">
        <v>97306</v>
      </c>
      <c r="Q7646">
        <v>2011</v>
      </c>
      <c r="R7646" t="s">
        <v>23</v>
      </c>
      <c r="S7646" s="1" t="s">
        <v>34218</v>
      </c>
    </row>
    <row r="7647" spans="1:19" x14ac:dyDescent="0.25">
      <c r="A7647">
        <v>101238247</v>
      </c>
      <c r="B7647" t="s">
        <v>16069</v>
      </c>
      <c r="C7647" t="s">
        <v>8984</v>
      </c>
      <c r="G7647" t="s">
        <v>17934</v>
      </c>
      <c r="H7647" t="s">
        <v>198</v>
      </c>
      <c r="I7647" t="s">
        <v>22</v>
      </c>
      <c r="J7647">
        <v>92111</v>
      </c>
      <c r="K7647">
        <v>5625</v>
      </c>
      <c r="L7647" t="s">
        <v>23</v>
      </c>
      <c r="M7647" t="s">
        <v>17934</v>
      </c>
      <c r="N7647" t="s">
        <v>198</v>
      </c>
      <c r="O7647" t="s">
        <v>22</v>
      </c>
      <c r="P7647">
        <v>92111</v>
      </c>
      <c r="Q7647">
        <v>5625</v>
      </c>
      <c r="R7647" t="s">
        <v>23</v>
      </c>
      <c r="S7647" s="1" t="s">
        <v>34218</v>
      </c>
    </row>
    <row r="7648" spans="1:19" x14ac:dyDescent="0.25">
      <c r="A7648">
        <v>101238281</v>
      </c>
      <c r="B7648" t="s">
        <v>1156</v>
      </c>
      <c r="C7648" t="s">
        <v>11415</v>
      </c>
      <c r="G7648" t="s">
        <v>17935</v>
      </c>
      <c r="H7648" t="s">
        <v>8280</v>
      </c>
      <c r="I7648" t="s">
        <v>1097</v>
      </c>
      <c r="J7648">
        <v>40516</v>
      </c>
      <c r="K7648">
        <v>9672</v>
      </c>
      <c r="L7648" t="s">
        <v>23</v>
      </c>
      <c r="M7648" t="s">
        <v>17935</v>
      </c>
      <c r="N7648" t="s">
        <v>8280</v>
      </c>
      <c r="O7648" t="s">
        <v>1097</v>
      </c>
      <c r="P7648">
        <v>40516</v>
      </c>
      <c r="Q7648">
        <v>9672</v>
      </c>
      <c r="R7648" t="s">
        <v>23</v>
      </c>
      <c r="S7648" s="1" t="s">
        <v>34218</v>
      </c>
    </row>
    <row r="7649" spans="1:19" x14ac:dyDescent="0.25">
      <c r="A7649">
        <v>101233089</v>
      </c>
      <c r="B7649" t="s">
        <v>29</v>
      </c>
      <c r="C7649" t="s">
        <v>3350</v>
      </c>
      <c r="G7649" t="s">
        <v>17936</v>
      </c>
      <c r="H7649" t="s">
        <v>14174</v>
      </c>
      <c r="I7649" t="s">
        <v>22</v>
      </c>
      <c r="J7649">
        <v>91352</v>
      </c>
      <c r="K7649">
        <v>3625</v>
      </c>
      <c r="L7649" t="s">
        <v>23</v>
      </c>
      <c r="M7649" t="s">
        <v>17936</v>
      </c>
      <c r="N7649" t="s">
        <v>14174</v>
      </c>
      <c r="O7649" t="s">
        <v>22</v>
      </c>
      <c r="P7649">
        <v>91352</v>
      </c>
      <c r="Q7649">
        <v>3625</v>
      </c>
      <c r="R7649" t="s">
        <v>23</v>
      </c>
      <c r="S7649" s="1" t="s">
        <v>34218</v>
      </c>
    </row>
    <row r="7650" spans="1:19" x14ac:dyDescent="0.25">
      <c r="A7650">
        <v>101236011</v>
      </c>
      <c r="B7650" t="s">
        <v>4897</v>
      </c>
      <c r="C7650" t="s">
        <v>554</v>
      </c>
      <c r="G7650" t="s">
        <v>17937</v>
      </c>
      <c r="H7650" t="s">
        <v>280</v>
      </c>
      <c r="I7650" t="s">
        <v>117</v>
      </c>
      <c r="J7650">
        <v>12561</v>
      </c>
      <c r="K7650">
        <v>1020</v>
      </c>
      <c r="L7650" t="s">
        <v>23</v>
      </c>
      <c r="M7650" t="s">
        <v>17937</v>
      </c>
      <c r="N7650" t="s">
        <v>280</v>
      </c>
      <c r="O7650" t="s">
        <v>117</v>
      </c>
      <c r="P7650">
        <v>12561</v>
      </c>
      <c r="Q7650">
        <v>1020</v>
      </c>
      <c r="R7650" t="s">
        <v>23</v>
      </c>
      <c r="S7650" s="1" t="s">
        <v>34218</v>
      </c>
    </row>
    <row r="7651" spans="1:19" x14ac:dyDescent="0.25">
      <c r="A7651">
        <v>101244091</v>
      </c>
      <c r="B7651" t="s">
        <v>3476</v>
      </c>
      <c r="C7651" t="s">
        <v>575</v>
      </c>
      <c r="G7651" t="s">
        <v>17938</v>
      </c>
      <c r="H7651" t="s">
        <v>88</v>
      </c>
      <c r="I7651" t="s">
        <v>22</v>
      </c>
      <c r="J7651">
        <v>94609</v>
      </c>
      <c r="K7651">
        <v>1124</v>
      </c>
      <c r="L7651" t="s">
        <v>23</v>
      </c>
      <c r="M7651" t="s">
        <v>17938</v>
      </c>
      <c r="N7651" t="s">
        <v>88</v>
      </c>
      <c r="O7651" t="s">
        <v>22</v>
      </c>
      <c r="P7651">
        <v>94609</v>
      </c>
      <c r="Q7651">
        <v>1124</v>
      </c>
      <c r="R7651" t="s">
        <v>23</v>
      </c>
      <c r="S7651" s="1" t="s">
        <v>34218</v>
      </c>
    </row>
    <row r="7652" spans="1:19" x14ac:dyDescent="0.25">
      <c r="A7652">
        <v>101241428</v>
      </c>
      <c r="B7652" t="s">
        <v>17939</v>
      </c>
      <c r="C7652" t="s">
        <v>17940</v>
      </c>
      <c r="G7652" t="s">
        <v>17941</v>
      </c>
      <c r="H7652" t="s">
        <v>6545</v>
      </c>
      <c r="I7652" t="s">
        <v>22</v>
      </c>
      <c r="J7652">
        <v>94973</v>
      </c>
      <c r="L7652" t="s">
        <v>23</v>
      </c>
      <c r="M7652" t="s">
        <v>17941</v>
      </c>
      <c r="N7652" t="s">
        <v>6545</v>
      </c>
      <c r="O7652" t="s">
        <v>22</v>
      </c>
      <c r="P7652">
        <v>94973</v>
      </c>
      <c r="R7652" t="s">
        <v>23</v>
      </c>
      <c r="S7652" s="1" t="s">
        <v>34218</v>
      </c>
    </row>
    <row r="7653" spans="1:19" x14ac:dyDescent="0.25">
      <c r="A7653">
        <v>101244349</v>
      </c>
      <c r="B7653" t="s">
        <v>17942</v>
      </c>
      <c r="C7653" t="s">
        <v>403</v>
      </c>
      <c r="G7653" t="s">
        <v>17943</v>
      </c>
      <c r="H7653" t="s">
        <v>3363</v>
      </c>
      <c r="I7653" t="s">
        <v>33</v>
      </c>
      <c r="J7653">
        <v>15227</v>
      </c>
      <c r="K7653">
        <v>2226</v>
      </c>
      <c r="L7653" t="s">
        <v>23</v>
      </c>
      <c r="M7653" t="s">
        <v>17943</v>
      </c>
      <c r="N7653" t="s">
        <v>3363</v>
      </c>
      <c r="O7653" t="s">
        <v>33</v>
      </c>
      <c r="P7653">
        <v>15227</v>
      </c>
      <c r="Q7653">
        <v>2226</v>
      </c>
      <c r="R7653" t="s">
        <v>23</v>
      </c>
      <c r="S7653" s="1" t="s">
        <v>34218</v>
      </c>
    </row>
    <row r="7654" spans="1:19" x14ac:dyDescent="0.25">
      <c r="A7654">
        <v>101244411</v>
      </c>
      <c r="B7654" t="s">
        <v>4388</v>
      </c>
      <c r="C7654" t="s">
        <v>3590</v>
      </c>
      <c r="G7654" t="s">
        <v>17944</v>
      </c>
      <c r="H7654" t="s">
        <v>5533</v>
      </c>
      <c r="I7654" t="s">
        <v>1387</v>
      </c>
      <c r="J7654">
        <v>35244</v>
      </c>
      <c r="K7654">
        <v>4204</v>
      </c>
      <c r="L7654" t="s">
        <v>23</v>
      </c>
      <c r="M7654" t="s">
        <v>17944</v>
      </c>
      <c r="N7654" t="s">
        <v>5533</v>
      </c>
      <c r="O7654" t="s">
        <v>1387</v>
      </c>
      <c r="P7654">
        <v>35244</v>
      </c>
      <c r="Q7654">
        <v>4204</v>
      </c>
      <c r="R7654" t="s">
        <v>23</v>
      </c>
      <c r="S7654" s="1" t="s">
        <v>34218</v>
      </c>
    </row>
    <row r="7655" spans="1:19" x14ac:dyDescent="0.25">
      <c r="A7655">
        <v>101241683</v>
      </c>
      <c r="B7655" t="s">
        <v>3466</v>
      </c>
      <c r="C7655" t="s">
        <v>4184</v>
      </c>
      <c r="G7655" t="s">
        <v>17945</v>
      </c>
      <c r="H7655" t="s">
        <v>17946</v>
      </c>
      <c r="I7655" t="s">
        <v>255</v>
      </c>
      <c r="J7655">
        <v>23063</v>
      </c>
      <c r="K7655">
        <v>3241</v>
      </c>
      <c r="L7655" t="s">
        <v>23</v>
      </c>
      <c r="M7655" t="s">
        <v>17945</v>
      </c>
      <c r="N7655" t="s">
        <v>17946</v>
      </c>
      <c r="O7655" t="s">
        <v>255</v>
      </c>
      <c r="P7655">
        <v>23063</v>
      </c>
      <c r="Q7655">
        <v>3241</v>
      </c>
      <c r="R7655" t="s">
        <v>23</v>
      </c>
      <c r="S7655" s="1" t="s">
        <v>34218</v>
      </c>
    </row>
    <row r="7656" spans="1:19" x14ac:dyDescent="0.25">
      <c r="A7656">
        <v>101241635</v>
      </c>
      <c r="B7656" t="s">
        <v>6222</v>
      </c>
      <c r="C7656" t="s">
        <v>498</v>
      </c>
      <c r="G7656" t="s">
        <v>17947</v>
      </c>
      <c r="H7656" t="s">
        <v>9237</v>
      </c>
      <c r="I7656" t="s">
        <v>353</v>
      </c>
      <c r="J7656">
        <v>3431</v>
      </c>
      <c r="K7656">
        <v>1839</v>
      </c>
      <c r="L7656" t="s">
        <v>23</v>
      </c>
      <c r="M7656" t="s">
        <v>17947</v>
      </c>
      <c r="N7656" t="s">
        <v>9237</v>
      </c>
      <c r="O7656" t="s">
        <v>353</v>
      </c>
      <c r="P7656">
        <v>3431</v>
      </c>
      <c r="Q7656">
        <v>1839</v>
      </c>
      <c r="R7656" t="s">
        <v>23</v>
      </c>
      <c r="S7656" s="1" t="s">
        <v>34218</v>
      </c>
    </row>
    <row r="7657" spans="1:19" x14ac:dyDescent="0.25">
      <c r="A7657">
        <v>101252551</v>
      </c>
      <c r="B7657" t="s">
        <v>14565</v>
      </c>
      <c r="C7657" t="s">
        <v>575</v>
      </c>
      <c r="G7657" t="s">
        <v>15675</v>
      </c>
      <c r="H7657" t="s">
        <v>8140</v>
      </c>
      <c r="I7657" t="s">
        <v>22</v>
      </c>
      <c r="J7657">
        <v>91711</v>
      </c>
      <c r="K7657">
        <v>219</v>
      </c>
      <c r="L7657" t="s">
        <v>23</v>
      </c>
      <c r="M7657" t="s">
        <v>15675</v>
      </c>
      <c r="N7657" t="s">
        <v>8140</v>
      </c>
      <c r="O7657" t="s">
        <v>22</v>
      </c>
      <c r="P7657">
        <v>91711</v>
      </c>
      <c r="Q7657">
        <v>219</v>
      </c>
      <c r="R7657" t="s">
        <v>23</v>
      </c>
      <c r="S7657" s="1" t="s">
        <v>34218</v>
      </c>
    </row>
    <row r="7658" spans="1:19" x14ac:dyDescent="0.25">
      <c r="A7658">
        <v>101246960</v>
      </c>
      <c r="B7658" t="s">
        <v>1370</v>
      </c>
      <c r="C7658" t="s">
        <v>1153</v>
      </c>
      <c r="G7658" t="s">
        <v>17948</v>
      </c>
      <c r="H7658" t="s">
        <v>17949</v>
      </c>
      <c r="I7658" t="s">
        <v>178</v>
      </c>
      <c r="J7658">
        <v>43015</v>
      </c>
      <c r="K7658">
        <v>3391</v>
      </c>
      <c r="L7658" t="s">
        <v>23</v>
      </c>
      <c r="M7658" t="s">
        <v>17948</v>
      </c>
      <c r="N7658" t="s">
        <v>17949</v>
      </c>
      <c r="O7658" t="s">
        <v>178</v>
      </c>
      <c r="P7658">
        <v>43015</v>
      </c>
      <c r="Q7658">
        <v>3391</v>
      </c>
      <c r="R7658" t="s">
        <v>23</v>
      </c>
      <c r="S7658" s="1" t="s">
        <v>34218</v>
      </c>
    </row>
    <row r="7659" spans="1:19" x14ac:dyDescent="0.25">
      <c r="A7659">
        <v>101258212</v>
      </c>
      <c r="B7659" t="s">
        <v>7290</v>
      </c>
      <c r="C7659" t="s">
        <v>6481</v>
      </c>
      <c r="G7659" t="s">
        <v>17950</v>
      </c>
      <c r="H7659" t="s">
        <v>17951</v>
      </c>
      <c r="I7659" t="s">
        <v>100</v>
      </c>
      <c r="J7659">
        <v>54407</v>
      </c>
      <c r="K7659">
        <v>8815</v>
      </c>
      <c r="L7659" t="s">
        <v>23</v>
      </c>
      <c r="M7659" t="s">
        <v>17950</v>
      </c>
      <c r="N7659" t="s">
        <v>17951</v>
      </c>
      <c r="O7659" t="s">
        <v>100</v>
      </c>
      <c r="P7659">
        <v>54407</v>
      </c>
      <c r="Q7659">
        <v>8815</v>
      </c>
      <c r="R7659" t="s">
        <v>23</v>
      </c>
      <c r="S7659" s="1" t="s">
        <v>34218</v>
      </c>
    </row>
    <row r="7660" spans="1:19" x14ac:dyDescent="0.25">
      <c r="A7660">
        <v>101052117</v>
      </c>
      <c r="B7660" t="s">
        <v>3505</v>
      </c>
      <c r="C7660" t="s">
        <v>699</v>
      </c>
      <c r="G7660" t="s">
        <v>17952</v>
      </c>
      <c r="H7660" t="s">
        <v>17953</v>
      </c>
      <c r="I7660" t="s">
        <v>178</v>
      </c>
      <c r="J7660">
        <v>45323</v>
      </c>
      <c r="K7660">
        <v>9742</v>
      </c>
      <c r="L7660" t="s">
        <v>23</v>
      </c>
      <c r="M7660" t="s">
        <v>17952</v>
      </c>
      <c r="N7660" t="s">
        <v>17953</v>
      </c>
      <c r="O7660" t="s">
        <v>178</v>
      </c>
      <c r="P7660">
        <v>45323</v>
      </c>
      <c r="Q7660">
        <v>9742</v>
      </c>
      <c r="R7660" t="s">
        <v>23</v>
      </c>
      <c r="S7660" s="1" t="s">
        <v>34218</v>
      </c>
    </row>
    <row r="7661" spans="1:19" x14ac:dyDescent="0.25">
      <c r="A7661">
        <v>101050080</v>
      </c>
      <c r="B7661" t="s">
        <v>17954</v>
      </c>
      <c r="C7661" t="s">
        <v>867</v>
      </c>
      <c r="G7661" t="s">
        <v>17955</v>
      </c>
      <c r="H7661" t="s">
        <v>17956</v>
      </c>
      <c r="I7661" t="s">
        <v>117</v>
      </c>
      <c r="J7661">
        <v>11731</v>
      </c>
      <c r="K7661">
        <v>1342</v>
      </c>
      <c r="L7661" t="s">
        <v>23</v>
      </c>
      <c r="M7661" t="s">
        <v>17955</v>
      </c>
      <c r="N7661" t="s">
        <v>17956</v>
      </c>
      <c r="O7661" t="s">
        <v>117</v>
      </c>
      <c r="P7661">
        <v>11731</v>
      </c>
      <c r="Q7661">
        <v>1342</v>
      </c>
      <c r="R7661" t="s">
        <v>23</v>
      </c>
      <c r="S7661" s="1" t="s">
        <v>34218</v>
      </c>
    </row>
    <row r="7662" spans="1:19" x14ac:dyDescent="0.25">
      <c r="A7662">
        <v>101056934</v>
      </c>
      <c r="B7662" t="s">
        <v>2130</v>
      </c>
      <c r="C7662" t="s">
        <v>274</v>
      </c>
      <c r="G7662" t="s">
        <v>5672</v>
      </c>
      <c r="H7662" t="s">
        <v>331</v>
      </c>
      <c r="I7662" t="s">
        <v>332</v>
      </c>
      <c r="J7662">
        <v>84121</v>
      </c>
      <c r="K7662">
        <v>4951</v>
      </c>
      <c r="L7662" t="s">
        <v>23</v>
      </c>
      <c r="M7662" t="s">
        <v>5672</v>
      </c>
      <c r="N7662" t="s">
        <v>331</v>
      </c>
      <c r="O7662" t="s">
        <v>332</v>
      </c>
      <c r="P7662">
        <v>84121</v>
      </c>
      <c r="Q7662">
        <v>4951</v>
      </c>
      <c r="R7662" t="s">
        <v>23</v>
      </c>
      <c r="S7662" s="1" t="s">
        <v>34218</v>
      </c>
    </row>
    <row r="7663" spans="1:19" x14ac:dyDescent="0.25">
      <c r="A7663">
        <v>101059175</v>
      </c>
      <c r="B7663" t="s">
        <v>17957</v>
      </c>
      <c r="C7663" t="s">
        <v>180</v>
      </c>
      <c r="G7663" t="s">
        <v>17958</v>
      </c>
      <c r="H7663" t="s">
        <v>682</v>
      </c>
      <c r="I7663" t="s">
        <v>365</v>
      </c>
      <c r="J7663">
        <v>85053</v>
      </c>
      <c r="K7663">
        <v>4065</v>
      </c>
      <c r="L7663" t="s">
        <v>23</v>
      </c>
      <c r="M7663" t="s">
        <v>17958</v>
      </c>
      <c r="N7663" t="s">
        <v>682</v>
      </c>
      <c r="O7663" t="s">
        <v>365</v>
      </c>
      <c r="P7663">
        <v>85053</v>
      </c>
      <c r="Q7663">
        <v>4065</v>
      </c>
      <c r="R7663" t="s">
        <v>23</v>
      </c>
      <c r="S7663" s="1" t="s">
        <v>34218</v>
      </c>
    </row>
    <row r="7664" spans="1:19" x14ac:dyDescent="0.25">
      <c r="A7664">
        <v>101065063</v>
      </c>
      <c r="B7664" t="s">
        <v>9826</v>
      </c>
      <c r="C7664" t="s">
        <v>102</v>
      </c>
      <c r="G7664" t="s">
        <v>17959</v>
      </c>
      <c r="H7664" t="s">
        <v>1765</v>
      </c>
      <c r="I7664" t="s">
        <v>84</v>
      </c>
      <c r="J7664">
        <v>98502</v>
      </c>
      <c r="K7664">
        <v>4733</v>
      </c>
      <c r="L7664" t="s">
        <v>23</v>
      </c>
      <c r="M7664" t="s">
        <v>17959</v>
      </c>
      <c r="N7664" t="s">
        <v>1765</v>
      </c>
      <c r="O7664" t="s">
        <v>84</v>
      </c>
      <c r="P7664">
        <v>98502</v>
      </c>
      <c r="Q7664">
        <v>4733</v>
      </c>
      <c r="R7664" t="s">
        <v>23</v>
      </c>
      <c r="S7664" s="1" t="s">
        <v>34218</v>
      </c>
    </row>
    <row r="7665" spans="1:19" x14ac:dyDescent="0.25">
      <c r="A7665">
        <v>101060702</v>
      </c>
      <c r="B7665" t="s">
        <v>17960</v>
      </c>
      <c r="C7665" t="s">
        <v>1502</v>
      </c>
      <c r="G7665" t="s">
        <v>17961</v>
      </c>
      <c r="H7665" t="s">
        <v>3388</v>
      </c>
      <c r="I7665" t="s">
        <v>22</v>
      </c>
      <c r="J7665">
        <v>91730</v>
      </c>
      <c r="K7665">
        <v>2412</v>
      </c>
      <c r="L7665" t="s">
        <v>23</v>
      </c>
      <c r="M7665" t="s">
        <v>17961</v>
      </c>
      <c r="N7665" t="s">
        <v>3388</v>
      </c>
      <c r="O7665" t="s">
        <v>22</v>
      </c>
      <c r="P7665">
        <v>91730</v>
      </c>
      <c r="Q7665">
        <v>2412</v>
      </c>
      <c r="R7665" t="s">
        <v>23</v>
      </c>
      <c r="S7665" s="1" t="s">
        <v>34218</v>
      </c>
    </row>
    <row r="7666" spans="1:19" x14ac:dyDescent="0.25">
      <c r="A7666">
        <v>101065449</v>
      </c>
      <c r="B7666" t="s">
        <v>3708</v>
      </c>
      <c r="C7666" t="s">
        <v>17962</v>
      </c>
      <c r="G7666" t="s">
        <v>17963</v>
      </c>
      <c r="H7666" t="s">
        <v>5471</v>
      </c>
      <c r="I7666" t="s">
        <v>135</v>
      </c>
      <c r="J7666">
        <v>60445</v>
      </c>
      <c r="K7666">
        <v>2652</v>
      </c>
      <c r="L7666" t="s">
        <v>23</v>
      </c>
      <c r="M7666" t="s">
        <v>17963</v>
      </c>
      <c r="N7666" t="s">
        <v>5471</v>
      </c>
      <c r="O7666" t="s">
        <v>135</v>
      </c>
      <c r="P7666">
        <v>60445</v>
      </c>
      <c r="Q7666">
        <v>2652</v>
      </c>
      <c r="R7666" t="s">
        <v>23</v>
      </c>
      <c r="S7666" s="1" t="s">
        <v>34218</v>
      </c>
    </row>
    <row r="7667" spans="1:19" x14ac:dyDescent="0.25">
      <c r="A7667">
        <v>101066965</v>
      </c>
      <c r="B7667" t="s">
        <v>208</v>
      </c>
      <c r="C7667" t="s">
        <v>8010</v>
      </c>
      <c r="G7667" t="s">
        <v>17964</v>
      </c>
      <c r="H7667" t="s">
        <v>1293</v>
      </c>
      <c r="I7667" t="s">
        <v>22</v>
      </c>
      <c r="J7667">
        <v>95060</v>
      </c>
      <c r="K7667">
        <v>3312</v>
      </c>
      <c r="L7667" t="s">
        <v>23</v>
      </c>
      <c r="M7667" t="s">
        <v>17964</v>
      </c>
      <c r="N7667" t="s">
        <v>1293</v>
      </c>
      <c r="O7667" t="s">
        <v>22</v>
      </c>
      <c r="P7667">
        <v>95060</v>
      </c>
      <c r="Q7667">
        <v>3312</v>
      </c>
      <c r="R7667" t="s">
        <v>23</v>
      </c>
      <c r="S7667" s="1" t="s">
        <v>34218</v>
      </c>
    </row>
    <row r="7668" spans="1:19" x14ac:dyDescent="0.25">
      <c r="A7668">
        <v>101067021</v>
      </c>
      <c r="B7668" t="s">
        <v>17965</v>
      </c>
      <c r="C7668" t="s">
        <v>472</v>
      </c>
      <c r="G7668" t="s">
        <v>17966</v>
      </c>
      <c r="H7668" t="s">
        <v>2434</v>
      </c>
      <c r="I7668" t="s">
        <v>161</v>
      </c>
      <c r="J7668">
        <v>6511</v>
      </c>
      <c r="K7668">
        <v>2624</v>
      </c>
      <c r="L7668" t="s">
        <v>23</v>
      </c>
      <c r="M7668" t="s">
        <v>17966</v>
      </c>
      <c r="N7668" t="s">
        <v>2434</v>
      </c>
      <c r="O7668" t="s">
        <v>161</v>
      </c>
      <c r="P7668">
        <v>6511</v>
      </c>
      <c r="Q7668">
        <v>2624</v>
      </c>
      <c r="R7668" t="s">
        <v>23</v>
      </c>
      <c r="S7668" s="1" t="s">
        <v>34218</v>
      </c>
    </row>
    <row r="7669" spans="1:19" x14ac:dyDescent="0.25">
      <c r="A7669">
        <v>101276265</v>
      </c>
      <c r="B7669" t="s">
        <v>17967</v>
      </c>
      <c r="C7669" t="s">
        <v>1086</v>
      </c>
      <c r="G7669" t="s">
        <v>17968</v>
      </c>
      <c r="H7669" t="s">
        <v>2894</v>
      </c>
      <c r="I7669" t="s">
        <v>178</v>
      </c>
      <c r="J7669">
        <v>43615</v>
      </c>
      <c r="K7669">
        <v>6107</v>
      </c>
      <c r="L7669" t="s">
        <v>23</v>
      </c>
      <c r="M7669" t="s">
        <v>17968</v>
      </c>
      <c r="N7669" t="s">
        <v>2894</v>
      </c>
      <c r="O7669" t="s">
        <v>178</v>
      </c>
      <c r="P7669">
        <v>43615</v>
      </c>
      <c r="Q7669">
        <v>6107</v>
      </c>
      <c r="R7669" t="s">
        <v>23</v>
      </c>
      <c r="S7669" s="1" t="s">
        <v>34218</v>
      </c>
    </row>
    <row r="7670" spans="1:19" x14ac:dyDescent="0.25">
      <c r="A7670">
        <v>101271099</v>
      </c>
      <c r="B7670" t="s">
        <v>17969</v>
      </c>
      <c r="C7670" t="s">
        <v>17970</v>
      </c>
      <c r="F7670" t="str">
        <f>"2703611272"</f>
        <v>2703611272</v>
      </c>
      <c r="G7670" t="s">
        <v>17971</v>
      </c>
      <c r="H7670" t="s">
        <v>2701</v>
      </c>
      <c r="I7670" t="s">
        <v>914</v>
      </c>
      <c r="J7670">
        <v>37064</v>
      </c>
      <c r="K7670">
        <v>9636</v>
      </c>
      <c r="L7670" t="s">
        <v>23</v>
      </c>
      <c r="M7670" t="s">
        <v>17971</v>
      </c>
      <c r="N7670" t="s">
        <v>2701</v>
      </c>
      <c r="O7670" t="s">
        <v>914</v>
      </c>
      <c r="P7670">
        <v>37064</v>
      </c>
      <c r="Q7670">
        <v>9636</v>
      </c>
      <c r="R7670" t="s">
        <v>23</v>
      </c>
      <c r="S7670" s="1" t="s">
        <v>34218</v>
      </c>
    </row>
    <row r="7671" spans="1:19" x14ac:dyDescent="0.25">
      <c r="A7671">
        <v>101280758</v>
      </c>
      <c r="B7671" t="s">
        <v>17972</v>
      </c>
      <c r="C7671" t="s">
        <v>1153</v>
      </c>
      <c r="G7671" t="s">
        <v>17973</v>
      </c>
      <c r="H7671" t="s">
        <v>380</v>
      </c>
      <c r="I7671" t="s">
        <v>38</v>
      </c>
      <c r="J7671">
        <v>75228</v>
      </c>
      <c r="K7671">
        <v>4169</v>
      </c>
      <c r="L7671" t="s">
        <v>23</v>
      </c>
      <c r="M7671" t="s">
        <v>17973</v>
      </c>
      <c r="N7671" t="s">
        <v>380</v>
      </c>
      <c r="O7671" t="s">
        <v>38</v>
      </c>
      <c r="P7671">
        <v>75228</v>
      </c>
      <c r="Q7671">
        <v>4169</v>
      </c>
      <c r="R7671" t="s">
        <v>23</v>
      </c>
      <c r="S7671" s="1" t="s">
        <v>34218</v>
      </c>
    </row>
    <row r="7672" spans="1:19" x14ac:dyDescent="0.25">
      <c r="A7672">
        <v>101277032</v>
      </c>
      <c r="B7672" t="s">
        <v>17974</v>
      </c>
      <c r="C7672" t="s">
        <v>128</v>
      </c>
      <c r="G7672" t="s">
        <v>17975</v>
      </c>
      <c r="H7672" t="s">
        <v>3363</v>
      </c>
      <c r="I7672" t="s">
        <v>33</v>
      </c>
      <c r="J7672">
        <v>15216</v>
      </c>
      <c r="K7672">
        <v>3655</v>
      </c>
      <c r="L7672" t="s">
        <v>23</v>
      </c>
      <c r="M7672" t="s">
        <v>17975</v>
      </c>
      <c r="N7672" t="s">
        <v>3363</v>
      </c>
      <c r="O7672" t="s">
        <v>33</v>
      </c>
      <c r="P7672">
        <v>15216</v>
      </c>
      <c r="Q7672">
        <v>3655</v>
      </c>
      <c r="R7672" t="s">
        <v>23</v>
      </c>
      <c r="S7672" s="1" t="s">
        <v>34218</v>
      </c>
    </row>
    <row r="7673" spans="1:19" x14ac:dyDescent="0.25">
      <c r="A7673">
        <v>101284194</v>
      </c>
      <c r="B7673" t="s">
        <v>1297</v>
      </c>
      <c r="C7673" t="s">
        <v>509</v>
      </c>
      <c r="G7673" t="s">
        <v>17976</v>
      </c>
      <c r="H7673" t="s">
        <v>653</v>
      </c>
      <c r="I7673" t="s">
        <v>117</v>
      </c>
      <c r="J7673">
        <v>10010</v>
      </c>
      <c r="K7673">
        <v>1927</v>
      </c>
      <c r="L7673" t="s">
        <v>23</v>
      </c>
      <c r="M7673" t="s">
        <v>17976</v>
      </c>
      <c r="N7673" t="s">
        <v>653</v>
      </c>
      <c r="O7673" t="s">
        <v>117</v>
      </c>
      <c r="P7673">
        <v>10010</v>
      </c>
      <c r="Q7673">
        <v>1927</v>
      </c>
      <c r="R7673" t="s">
        <v>23</v>
      </c>
      <c r="S7673" s="1" t="s">
        <v>34218</v>
      </c>
    </row>
    <row r="7674" spans="1:19" x14ac:dyDescent="0.25">
      <c r="A7674">
        <v>101284171</v>
      </c>
      <c r="B7674" t="s">
        <v>2932</v>
      </c>
      <c r="C7674" t="s">
        <v>1873</v>
      </c>
      <c r="G7674" t="s">
        <v>17977</v>
      </c>
      <c r="H7674" t="s">
        <v>650</v>
      </c>
      <c r="I7674" t="s">
        <v>22</v>
      </c>
      <c r="J7674">
        <v>95822</v>
      </c>
      <c r="K7674">
        <v>2231</v>
      </c>
      <c r="L7674" t="s">
        <v>23</v>
      </c>
      <c r="M7674" t="s">
        <v>17977</v>
      </c>
      <c r="N7674" t="s">
        <v>650</v>
      </c>
      <c r="O7674" t="s">
        <v>22</v>
      </c>
      <c r="P7674">
        <v>95822</v>
      </c>
      <c r="Q7674">
        <v>2231</v>
      </c>
      <c r="R7674" t="s">
        <v>23</v>
      </c>
      <c r="S7674" s="1" t="s">
        <v>34218</v>
      </c>
    </row>
    <row r="7675" spans="1:19" x14ac:dyDescent="0.25">
      <c r="A7675">
        <v>101292435</v>
      </c>
      <c r="B7675" t="s">
        <v>17978</v>
      </c>
      <c r="C7675" t="s">
        <v>167</v>
      </c>
      <c r="G7675" t="s">
        <v>17979</v>
      </c>
      <c r="H7675" t="s">
        <v>5179</v>
      </c>
      <c r="I7675" t="s">
        <v>236</v>
      </c>
      <c r="J7675">
        <v>2143</v>
      </c>
      <c r="K7675">
        <v>2042</v>
      </c>
      <c r="L7675" t="s">
        <v>23</v>
      </c>
      <c r="M7675" t="s">
        <v>17979</v>
      </c>
      <c r="N7675" t="s">
        <v>5179</v>
      </c>
      <c r="O7675" t="s">
        <v>236</v>
      </c>
      <c r="P7675">
        <v>2143</v>
      </c>
      <c r="Q7675">
        <v>2042</v>
      </c>
      <c r="R7675" t="s">
        <v>23</v>
      </c>
      <c r="S7675" s="1" t="s">
        <v>34218</v>
      </c>
    </row>
    <row r="7676" spans="1:19" x14ac:dyDescent="0.25">
      <c r="A7676">
        <v>100928374</v>
      </c>
      <c r="B7676" t="s">
        <v>17980</v>
      </c>
      <c r="C7676" t="s">
        <v>313</v>
      </c>
      <c r="G7676" t="s">
        <v>17981</v>
      </c>
      <c r="H7676" t="s">
        <v>7333</v>
      </c>
      <c r="I7676" t="s">
        <v>135</v>
      </c>
      <c r="J7676">
        <v>61008</v>
      </c>
      <c r="K7676">
        <v>5263</v>
      </c>
      <c r="L7676" t="s">
        <v>23</v>
      </c>
      <c r="M7676" t="s">
        <v>17981</v>
      </c>
      <c r="N7676" t="s">
        <v>7333</v>
      </c>
      <c r="O7676" t="s">
        <v>135</v>
      </c>
      <c r="P7676">
        <v>61008</v>
      </c>
      <c r="Q7676">
        <v>5263</v>
      </c>
      <c r="R7676" t="s">
        <v>23</v>
      </c>
      <c r="S7676" s="1" t="s">
        <v>34218</v>
      </c>
    </row>
    <row r="7677" spans="1:19" x14ac:dyDescent="0.25">
      <c r="A7677">
        <v>101427625</v>
      </c>
      <c r="B7677" t="s">
        <v>17982</v>
      </c>
      <c r="C7677" t="s">
        <v>403</v>
      </c>
      <c r="G7677" t="s">
        <v>17983</v>
      </c>
      <c r="H7677" t="s">
        <v>14571</v>
      </c>
      <c r="I7677" t="s">
        <v>117</v>
      </c>
      <c r="J7677">
        <v>11790</v>
      </c>
      <c r="K7677">
        <v>2919</v>
      </c>
      <c r="L7677" t="s">
        <v>23</v>
      </c>
      <c r="M7677" t="s">
        <v>17983</v>
      </c>
      <c r="N7677" t="s">
        <v>14571</v>
      </c>
      <c r="O7677" t="s">
        <v>117</v>
      </c>
      <c r="P7677">
        <v>11790</v>
      </c>
      <c r="Q7677">
        <v>2919</v>
      </c>
      <c r="R7677" t="s">
        <v>23</v>
      </c>
      <c r="S7677" s="1" t="s">
        <v>34218</v>
      </c>
    </row>
    <row r="7678" spans="1:19" x14ac:dyDescent="0.25">
      <c r="A7678">
        <v>101423624</v>
      </c>
      <c r="B7678" t="s">
        <v>6462</v>
      </c>
      <c r="C7678" t="s">
        <v>3545</v>
      </c>
      <c r="G7678" t="s">
        <v>17984</v>
      </c>
      <c r="H7678" t="s">
        <v>17985</v>
      </c>
      <c r="I7678" t="s">
        <v>332</v>
      </c>
      <c r="J7678">
        <v>84721</v>
      </c>
      <c r="L7678" t="s">
        <v>23</v>
      </c>
      <c r="M7678" t="s">
        <v>17984</v>
      </c>
      <c r="N7678" t="s">
        <v>17985</v>
      </c>
      <c r="O7678" t="s">
        <v>332</v>
      </c>
      <c r="P7678">
        <v>84721</v>
      </c>
      <c r="R7678" t="s">
        <v>23</v>
      </c>
      <c r="S7678" s="1" t="s">
        <v>34218</v>
      </c>
    </row>
    <row r="7679" spans="1:19" x14ac:dyDescent="0.25">
      <c r="A7679">
        <v>101427705</v>
      </c>
      <c r="B7679" t="s">
        <v>15424</v>
      </c>
      <c r="C7679" t="s">
        <v>17986</v>
      </c>
      <c r="G7679" t="s">
        <v>17987</v>
      </c>
      <c r="H7679" t="s">
        <v>1415</v>
      </c>
      <c r="I7679" t="s">
        <v>365</v>
      </c>
      <c r="J7679">
        <v>85233</v>
      </c>
      <c r="K7679">
        <v>5922</v>
      </c>
      <c r="L7679" t="s">
        <v>23</v>
      </c>
      <c r="M7679" t="s">
        <v>17987</v>
      </c>
      <c r="N7679" t="s">
        <v>1415</v>
      </c>
      <c r="O7679" t="s">
        <v>365</v>
      </c>
      <c r="P7679">
        <v>85233</v>
      </c>
      <c r="Q7679">
        <v>5922</v>
      </c>
      <c r="R7679" t="s">
        <v>23</v>
      </c>
      <c r="S7679" s="1" t="s">
        <v>34218</v>
      </c>
    </row>
    <row r="7680" spans="1:19" x14ac:dyDescent="0.25">
      <c r="A7680">
        <v>101468973</v>
      </c>
      <c r="B7680" t="s">
        <v>17988</v>
      </c>
      <c r="C7680" t="s">
        <v>707</v>
      </c>
      <c r="G7680" t="s">
        <v>17989</v>
      </c>
      <c r="H7680" t="s">
        <v>17990</v>
      </c>
      <c r="I7680" t="s">
        <v>52</v>
      </c>
      <c r="J7680">
        <v>33074</v>
      </c>
      <c r="K7680">
        <v>543</v>
      </c>
      <c r="L7680" t="s">
        <v>23</v>
      </c>
      <c r="M7680" t="s">
        <v>17989</v>
      </c>
      <c r="N7680" t="s">
        <v>17990</v>
      </c>
      <c r="O7680" t="s">
        <v>52</v>
      </c>
      <c r="P7680">
        <v>33074</v>
      </c>
      <c r="Q7680">
        <v>543</v>
      </c>
      <c r="R7680" t="s">
        <v>23</v>
      </c>
      <c r="S7680" s="1" t="s">
        <v>34218</v>
      </c>
    </row>
    <row r="7681" spans="1:19" x14ac:dyDescent="0.25">
      <c r="A7681">
        <v>101442501</v>
      </c>
      <c r="B7681" t="s">
        <v>17991</v>
      </c>
      <c r="C7681" t="s">
        <v>1239</v>
      </c>
      <c r="G7681" t="s">
        <v>17992</v>
      </c>
      <c r="H7681" t="s">
        <v>3668</v>
      </c>
      <c r="I7681" t="s">
        <v>148</v>
      </c>
      <c r="J7681">
        <v>21223</v>
      </c>
      <c r="K7681">
        <v>3005</v>
      </c>
      <c r="L7681" t="s">
        <v>23</v>
      </c>
      <c r="M7681" t="s">
        <v>17992</v>
      </c>
      <c r="N7681" t="s">
        <v>3668</v>
      </c>
      <c r="O7681" t="s">
        <v>148</v>
      </c>
      <c r="P7681">
        <v>21223</v>
      </c>
      <c r="Q7681">
        <v>3005</v>
      </c>
      <c r="R7681" t="s">
        <v>23</v>
      </c>
      <c r="S7681" s="1" t="s">
        <v>34218</v>
      </c>
    </row>
    <row r="7682" spans="1:19" x14ac:dyDescent="0.25">
      <c r="A7682">
        <v>101439866</v>
      </c>
      <c r="B7682" t="s">
        <v>17993</v>
      </c>
      <c r="C7682" t="s">
        <v>54</v>
      </c>
      <c r="G7682" t="s">
        <v>17994</v>
      </c>
      <c r="H7682" t="s">
        <v>17995</v>
      </c>
      <c r="I7682" t="s">
        <v>135</v>
      </c>
      <c r="J7682">
        <v>60188</v>
      </c>
      <c r="K7682">
        <v>6080</v>
      </c>
      <c r="L7682" t="s">
        <v>23</v>
      </c>
      <c r="M7682" t="s">
        <v>17994</v>
      </c>
      <c r="N7682" t="s">
        <v>17995</v>
      </c>
      <c r="O7682" t="s">
        <v>135</v>
      </c>
      <c r="P7682">
        <v>60188</v>
      </c>
      <c r="Q7682">
        <v>6080</v>
      </c>
      <c r="R7682" t="s">
        <v>23</v>
      </c>
      <c r="S7682" s="1" t="s">
        <v>34218</v>
      </c>
    </row>
    <row r="7683" spans="1:19" x14ac:dyDescent="0.25">
      <c r="A7683">
        <v>101152960</v>
      </c>
      <c r="B7683" t="s">
        <v>1370</v>
      </c>
      <c r="C7683" t="s">
        <v>432</v>
      </c>
      <c r="G7683" t="s">
        <v>17996</v>
      </c>
      <c r="H7683" t="s">
        <v>401</v>
      </c>
      <c r="I7683" t="s">
        <v>71</v>
      </c>
      <c r="J7683">
        <v>80642</v>
      </c>
      <c r="K7683">
        <v>315</v>
      </c>
      <c r="L7683" t="s">
        <v>23</v>
      </c>
      <c r="M7683" t="s">
        <v>17996</v>
      </c>
      <c r="N7683" t="s">
        <v>401</v>
      </c>
      <c r="O7683" t="s">
        <v>71</v>
      </c>
      <c r="P7683">
        <v>80642</v>
      </c>
      <c r="Q7683">
        <v>315</v>
      </c>
      <c r="R7683" t="s">
        <v>23</v>
      </c>
      <c r="S7683" s="1" t="s">
        <v>34218</v>
      </c>
    </row>
    <row r="7684" spans="1:19" x14ac:dyDescent="0.25">
      <c r="A7684">
        <v>101354027</v>
      </c>
      <c r="B7684" t="s">
        <v>17997</v>
      </c>
      <c r="C7684" t="s">
        <v>233</v>
      </c>
      <c r="G7684" t="s">
        <v>17998</v>
      </c>
      <c r="H7684" t="s">
        <v>5070</v>
      </c>
      <c r="I7684" t="s">
        <v>84</v>
      </c>
      <c r="J7684">
        <v>98683</v>
      </c>
      <c r="K7684">
        <v>8249</v>
      </c>
      <c r="L7684" t="s">
        <v>23</v>
      </c>
      <c r="M7684" t="s">
        <v>17998</v>
      </c>
      <c r="N7684" t="s">
        <v>5070</v>
      </c>
      <c r="O7684" t="s">
        <v>84</v>
      </c>
      <c r="P7684">
        <v>98683</v>
      </c>
      <c r="Q7684">
        <v>8249</v>
      </c>
      <c r="R7684" t="s">
        <v>23</v>
      </c>
      <c r="S7684" s="1" t="s">
        <v>34218</v>
      </c>
    </row>
    <row r="7685" spans="1:19" x14ac:dyDescent="0.25">
      <c r="A7685">
        <v>101465696</v>
      </c>
      <c r="B7685" t="s">
        <v>17999</v>
      </c>
      <c r="C7685" t="s">
        <v>4969</v>
      </c>
      <c r="G7685" t="s">
        <v>18000</v>
      </c>
      <c r="H7685" t="s">
        <v>9018</v>
      </c>
      <c r="I7685" t="s">
        <v>22</v>
      </c>
      <c r="J7685">
        <v>92677</v>
      </c>
      <c r="K7685">
        <v>1515</v>
      </c>
      <c r="L7685" t="s">
        <v>23</v>
      </c>
      <c r="M7685" t="s">
        <v>18000</v>
      </c>
      <c r="N7685" t="s">
        <v>9018</v>
      </c>
      <c r="O7685" t="s">
        <v>22</v>
      </c>
      <c r="P7685">
        <v>92677</v>
      </c>
      <c r="Q7685">
        <v>1515</v>
      </c>
      <c r="R7685" t="s">
        <v>23</v>
      </c>
      <c r="S7685" s="1" t="s">
        <v>34218</v>
      </c>
    </row>
    <row r="7686" spans="1:19" x14ac:dyDescent="0.25">
      <c r="A7686">
        <v>101433120</v>
      </c>
      <c r="B7686" t="s">
        <v>18001</v>
      </c>
      <c r="C7686" t="s">
        <v>1873</v>
      </c>
      <c r="G7686" t="s">
        <v>18002</v>
      </c>
      <c r="H7686" t="s">
        <v>4570</v>
      </c>
      <c r="I7686" t="s">
        <v>52</v>
      </c>
      <c r="J7686">
        <v>34292</v>
      </c>
      <c r="K7686">
        <v>1717</v>
      </c>
      <c r="L7686" t="s">
        <v>23</v>
      </c>
      <c r="M7686" t="s">
        <v>18002</v>
      </c>
      <c r="N7686" t="s">
        <v>4570</v>
      </c>
      <c r="O7686" t="s">
        <v>52</v>
      </c>
      <c r="P7686">
        <v>34292</v>
      </c>
      <c r="Q7686">
        <v>1717</v>
      </c>
      <c r="R7686" t="s">
        <v>23</v>
      </c>
      <c r="S7686" s="1" t="s">
        <v>34218</v>
      </c>
    </row>
    <row r="7687" spans="1:19" x14ac:dyDescent="0.25">
      <c r="A7687">
        <v>101313221</v>
      </c>
      <c r="B7687" t="s">
        <v>18003</v>
      </c>
      <c r="C7687" t="s">
        <v>247</v>
      </c>
      <c r="G7687" t="s">
        <v>18004</v>
      </c>
      <c r="H7687" t="s">
        <v>2031</v>
      </c>
      <c r="I7687" t="s">
        <v>22</v>
      </c>
      <c r="J7687">
        <v>94061</v>
      </c>
      <c r="K7687">
        <v>2111</v>
      </c>
      <c r="L7687" t="s">
        <v>23</v>
      </c>
      <c r="M7687" t="s">
        <v>18004</v>
      </c>
      <c r="N7687" t="s">
        <v>2031</v>
      </c>
      <c r="O7687" t="s">
        <v>22</v>
      </c>
      <c r="P7687">
        <v>94061</v>
      </c>
      <c r="Q7687">
        <v>2111</v>
      </c>
      <c r="R7687" t="s">
        <v>23</v>
      </c>
      <c r="S7687" s="1" t="s">
        <v>34218</v>
      </c>
    </row>
    <row r="7688" spans="1:19" x14ac:dyDescent="0.25">
      <c r="A7688">
        <v>101413417</v>
      </c>
      <c r="B7688" t="s">
        <v>18005</v>
      </c>
      <c r="C7688" t="s">
        <v>440</v>
      </c>
      <c r="G7688" t="s">
        <v>18006</v>
      </c>
      <c r="H7688" t="s">
        <v>3385</v>
      </c>
      <c r="I7688" t="s">
        <v>236</v>
      </c>
      <c r="J7688">
        <v>2139</v>
      </c>
      <c r="K7688">
        <v>3973</v>
      </c>
      <c r="L7688" t="s">
        <v>23</v>
      </c>
      <c r="M7688" t="s">
        <v>18006</v>
      </c>
      <c r="N7688" t="s">
        <v>3385</v>
      </c>
      <c r="O7688" t="s">
        <v>236</v>
      </c>
      <c r="P7688">
        <v>2139</v>
      </c>
      <c r="Q7688">
        <v>3973</v>
      </c>
      <c r="R7688" t="s">
        <v>23</v>
      </c>
      <c r="S7688" s="1" t="s">
        <v>34218</v>
      </c>
    </row>
    <row r="7689" spans="1:19" x14ac:dyDescent="0.25">
      <c r="A7689">
        <v>100961168</v>
      </c>
      <c r="B7689" t="s">
        <v>6084</v>
      </c>
      <c r="C7689" t="s">
        <v>4184</v>
      </c>
      <c r="G7689" t="s">
        <v>18007</v>
      </c>
      <c r="H7689" t="s">
        <v>1405</v>
      </c>
      <c r="I7689" t="s">
        <v>187</v>
      </c>
      <c r="J7689">
        <v>55108</v>
      </c>
      <c r="K7689">
        <v>1155</v>
      </c>
      <c r="L7689" t="s">
        <v>23</v>
      </c>
      <c r="M7689" t="s">
        <v>18007</v>
      </c>
      <c r="N7689" t="s">
        <v>1405</v>
      </c>
      <c r="O7689" t="s">
        <v>187</v>
      </c>
      <c r="P7689">
        <v>55108</v>
      </c>
      <c r="Q7689">
        <v>1155</v>
      </c>
      <c r="R7689" t="s">
        <v>23</v>
      </c>
      <c r="S7689" s="1" t="s">
        <v>34218</v>
      </c>
    </row>
    <row r="7690" spans="1:19" x14ac:dyDescent="0.25">
      <c r="A7690">
        <v>100515245</v>
      </c>
      <c r="B7690" t="s">
        <v>18008</v>
      </c>
      <c r="C7690" t="s">
        <v>7667</v>
      </c>
      <c r="G7690" t="s">
        <v>18009</v>
      </c>
      <c r="H7690" t="s">
        <v>18010</v>
      </c>
      <c r="I7690" t="s">
        <v>84</v>
      </c>
      <c r="J7690">
        <v>98624</v>
      </c>
      <c r="K7690">
        <v>217</v>
      </c>
      <c r="L7690" t="s">
        <v>23</v>
      </c>
      <c r="M7690" t="s">
        <v>18009</v>
      </c>
      <c r="N7690" t="s">
        <v>18010</v>
      </c>
      <c r="O7690" t="s">
        <v>84</v>
      </c>
      <c r="P7690">
        <v>98624</v>
      </c>
      <c r="Q7690">
        <v>217</v>
      </c>
      <c r="R7690" t="s">
        <v>23</v>
      </c>
      <c r="S7690" s="1" t="s">
        <v>34218</v>
      </c>
    </row>
    <row r="7691" spans="1:19" x14ac:dyDescent="0.25">
      <c r="A7691">
        <v>101264207</v>
      </c>
      <c r="B7691" t="s">
        <v>18011</v>
      </c>
      <c r="C7691" t="s">
        <v>3618</v>
      </c>
      <c r="G7691" t="s">
        <v>18012</v>
      </c>
      <c r="H7691" t="s">
        <v>1026</v>
      </c>
      <c r="I7691" t="s">
        <v>135</v>
      </c>
      <c r="J7691">
        <v>60010</v>
      </c>
      <c r="K7691">
        <v>4823</v>
      </c>
      <c r="L7691" t="s">
        <v>23</v>
      </c>
      <c r="M7691" t="s">
        <v>18012</v>
      </c>
      <c r="N7691" t="s">
        <v>1026</v>
      </c>
      <c r="O7691" t="s">
        <v>135</v>
      </c>
      <c r="P7691">
        <v>60010</v>
      </c>
      <c r="Q7691">
        <v>4823</v>
      </c>
      <c r="R7691" t="s">
        <v>23</v>
      </c>
      <c r="S7691" s="1" t="s">
        <v>34218</v>
      </c>
    </row>
    <row r="7692" spans="1:19" x14ac:dyDescent="0.25">
      <c r="A7692">
        <v>100936587</v>
      </c>
      <c r="B7692" t="s">
        <v>18013</v>
      </c>
      <c r="C7692" t="s">
        <v>1658</v>
      </c>
      <c r="G7692" t="s">
        <v>18014</v>
      </c>
      <c r="H7692" t="s">
        <v>18015</v>
      </c>
      <c r="I7692" t="s">
        <v>84</v>
      </c>
      <c r="J7692">
        <v>98569</v>
      </c>
      <c r="L7692" t="s">
        <v>23</v>
      </c>
      <c r="M7692" t="s">
        <v>18014</v>
      </c>
      <c r="N7692" t="s">
        <v>18015</v>
      </c>
      <c r="O7692" t="s">
        <v>84</v>
      </c>
      <c r="P7692">
        <v>98569</v>
      </c>
      <c r="R7692" t="s">
        <v>23</v>
      </c>
      <c r="S7692" s="1" t="s">
        <v>34218</v>
      </c>
    </row>
    <row r="7693" spans="1:19" x14ac:dyDescent="0.25">
      <c r="A7693">
        <v>101314107</v>
      </c>
      <c r="B7693" t="s">
        <v>18016</v>
      </c>
      <c r="C7693" t="s">
        <v>286</v>
      </c>
      <c r="G7693" t="s">
        <v>18017</v>
      </c>
      <c r="H7693" t="s">
        <v>1207</v>
      </c>
      <c r="I7693" t="s">
        <v>22</v>
      </c>
      <c r="J7693">
        <v>95066</v>
      </c>
      <c r="K7693">
        <v>3333</v>
      </c>
      <c r="L7693" t="s">
        <v>23</v>
      </c>
      <c r="M7693" t="s">
        <v>18017</v>
      </c>
      <c r="N7693" t="s">
        <v>1207</v>
      </c>
      <c r="O7693" t="s">
        <v>22</v>
      </c>
      <c r="P7693">
        <v>95066</v>
      </c>
      <c r="Q7693">
        <v>3333</v>
      </c>
      <c r="R7693" t="s">
        <v>23</v>
      </c>
      <c r="S7693" s="1" t="s">
        <v>34218</v>
      </c>
    </row>
    <row r="7694" spans="1:19" x14ac:dyDescent="0.25">
      <c r="A7694">
        <v>101469703</v>
      </c>
      <c r="B7694" t="s">
        <v>18018</v>
      </c>
      <c r="C7694" t="s">
        <v>18019</v>
      </c>
      <c r="G7694" t="s">
        <v>9805</v>
      </c>
      <c r="H7694" t="s">
        <v>9806</v>
      </c>
      <c r="I7694" t="s">
        <v>446</v>
      </c>
      <c r="J7694">
        <v>27051</v>
      </c>
      <c r="K7694">
        <v>9500</v>
      </c>
      <c r="L7694" t="s">
        <v>23</v>
      </c>
      <c r="M7694" t="s">
        <v>9805</v>
      </c>
      <c r="N7694" t="s">
        <v>9806</v>
      </c>
      <c r="O7694" t="s">
        <v>446</v>
      </c>
      <c r="P7694">
        <v>27051</v>
      </c>
      <c r="Q7694">
        <v>9500</v>
      </c>
      <c r="R7694" t="s">
        <v>23</v>
      </c>
      <c r="S7694" s="1" t="s">
        <v>34218</v>
      </c>
    </row>
    <row r="7695" spans="1:19" x14ac:dyDescent="0.25">
      <c r="A7695">
        <v>100994664</v>
      </c>
      <c r="B7695" t="s">
        <v>18020</v>
      </c>
      <c r="C7695" t="s">
        <v>2463</v>
      </c>
      <c r="G7695" t="s">
        <v>18021</v>
      </c>
      <c r="H7695" t="s">
        <v>8997</v>
      </c>
      <c r="I7695" t="s">
        <v>662</v>
      </c>
      <c r="J7695">
        <v>2906</v>
      </c>
      <c r="K7695">
        <v>4642</v>
      </c>
      <c r="L7695" t="s">
        <v>23</v>
      </c>
      <c r="M7695" t="s">
        <v>18021</v>
      </c>
      <c r="N7695" t="s">
        <v>8997</v>
      </c>
      <c r="O7695" t="s">
        <v>662</v>
      </c>
      <c r="P7695">
        <v>2906</v>
      </c>
      <c r="Q7695">
        <v>4642</v>
      </c>
      <c r="R7695" t="s">
        <v>23</v>
      </c>
      <c r="S7695" s="1" t="s">
        <v>34218</v>
      </c>
    </row>
    <row r="7696" spans="1:19" x14ac:dyDescent="0.25">
      <c r="A7696">
        <v>101437407</v>
      </c>
      <c r="B7696" t="s">
        <v>18022</v>
      </c>
      <c r="C7696" t="s">
        <v>1176</v>
      </c>
      <c r="G7696" t="s">
        <v>18023</v>
      </c>
      <c r="H7696" t="s">
        <v>7482</v>
      </c>
      <c r="I7696" t="s">
        <v>43</v>
      </c>
      <c r="J7696">
        <v>97443</v>
      </c>
      <c r="K7696">
        <v>330</v>
      </c>
      <c r="L7696" t="s">
        <v>23</v>
      </c>
      <c r="M7696" t="s">
        <v>18023</v>
      </c>
      <c r="N7696" t="s">
        <v>7482</v>
      </c>
      <c r="O7696" t="s">
        <v>43</v>
      </c>
      <c r="P7696">
        <v>97443</v>
      </c>
      <c r="Q7696">
        <v>330</v>
      </c>
      <c r="R7696" t="s">
        <v>23</v>
      </c>
      <c r="S7696" s="1" t="s">
        <v>34218</v>
      </c>
    </row>
    <row r="7697" spans="1:19" x14ac:dyDescent="0.25">
      <c r="A7697">
        <v>101361961</v>
      </c>
      <c r="B7697" t="s">
        <v>18024</v>
      </c>
      <c r="C7697" t="s">
        <v>498</v>
      </c>
      <c r="G7697" t="s">
        <v>18025</v>
      </c>
      <c r="H7697" t="s">
        <v>3373</v>
      </c>
      <c r="I7697" t="s">
        <v>178</v>
      </c>
      <c r="J7697">
        <v>44102</v>
      </c>
      <c r="L7697" t="s">
        <v>23</v>
      </c>
      <c r="M7697" t="s">
        <v>18025</v>
      </c>
      <c r="N7697" t="s">
        <v>3373</v>
      </c>
      <c r="O7697" t="s">
        <v>178</v>
      </c>
      <c r="P7697">
        <v>44102</v>
      </c>
      <c r="R7697" t="s">
        <v>23</v>
      </c>
      <c r="S7697" s="1" t="s">
        <v>34218</v>
      </c>
    </row>
    <row r="7698" spans="1:19" x14ac:dyDescent="0.25">
      <c r="A7698">
        <v>101431929</v>
      </c>
      <c r="B7698" t="s">
        <v>105</v>
      </c>
      <c r="C7698" t="s">
        <v>543</v>
      </c>
      <c r="G7698" t="s">
        <v>18026</v>
      </c>
      <c r="H7698" t="s">
        <v>130</v>
      </c>
      <c r="I7698" t="s">
        <v>22</v>
      </c>
      <c r="J7698">
        <v>94116</v>
      </c>
      <c r="K7698">
        <v>2077</v>
      </c>
      <c r="L7698" t="s">
        <v>23</v>
      </c>
      <c r="M7698" t="s">
        <v>18026</v>
      </c>
      <c r="N7698" t="s">
        <v>130</v>
      </c>
      <c r="O7698" t="s">
        <v>22</v>
      </c>
      <c r="P7698">
        <v>94116</v>
      </c>
      <c r="Q7698">
        <v>2077</v>
      </c>
      <c r="R7698" t="s">
        <v>23</v>
      </c>
      <c r="S7698" s="1" t="s">
        <v>34218</v>
      </c>
    </row>
    <row r="7699" spans="1:19" x14ac:dyDescent="0.25">
      <c r="A7699">
        <v>101470172</v>
      </c>
      <c r="B7699" t="s">
        <v>6139</v>
      </c>
      <c r="C7699" t="s">
        <v>2786</v>
      </c>
      <c r="G7699" t="s">
        <v>18027</v>
      </c>
      <c r="H7699" t="s">
        <v>2178</v>
      </c>
      <c r="I7699" t="s">
        <v>28</v>
      </c>
      <c r="J7699">
        <v>30096</v>
      </c>
      <c r="K7699">
        <v>2100</v>
      </c>
      <c r="L7699" t="s">
        <v>23</v>
      </c>
      <c r="M7699" t="s">
        <v>18027</v>
      </c>
      <c r="N7699" t="s">
        <v>2178</v>
      </c>
      <c r="O7699" t="s">
        <v>28</v>
      </c>
      <c r="P7699">
        <v>30096</v>
      </c>
      <c r="Q7699">
        <v>2100</v>
      </c>
      <c r="R7699" t="s">
        <v>23</v>
      </c>
      <c r="S7699" s="1" t="s">
        <v>34218</v>
      </c>
    </row>
    <row r="7700" spans="1:19" x14ac:dyDescent="0.25">
      <c r="A7700">
        <v>101432312</v>
      </c>
      <c r="B7700" t="s">
        <v>237</v>
      </c>
      <c r="C7700" t="s">
        <v>7555</v>
      </c>
      <c r="G7700" t="s">
        <v>18028</v>
      </c>
      <c r="H7700" t="s">
        <v>198</v>
      </c>
      <c r="I7700" t="s">
        <v>22</v>
      </c>
      <c r="J7700">
        <v>92176</v>
      </c>
      <c r="K7700">
        <v>7001</v>
      </c>
      <c r="L7700" t="s">
        <v>23</v>
      </c>
      <c r="M7700" t="s">
        <v>18028</v>
      </c>
      <c r="N7700" t="s">
        <v>198</v>
      </c>
      <c r="O7700" t="s">
        <v>22</v>
      </c>
      <c r="P7700">
        <v>92176</v>
      </c>
      <c r="Q7700">
        <v>7001</v>
      </c>
      <c r="R7700" t="s">
        <v>23</v>
      </c>
      <c r="S7700" s="1" t="s">
        <v>34218</v>
      </c>
    </row>
    <row r="7701" spans="1:19" x14ac:dyDescent="0.25">
      <c r="A7701">
        <v>101419000</v>
      </c>
      <c r="B7701" t="s">
        <v>826</v>
      </c>
      <c r="C7701" t="s">
        <v>18029</v>
      </c>
      <c r="G7701" t="s">
        <v>18030</v>
      </c>
      <c r="H7701" t="s">
        <v>380</v>
      </c>
      <c r="I7701" t="s">
        <v>38</v>
      </c>
      <c r="J7701">
        <v>75201</v>
      </c>
      <c r="K7701">
        <v>5411</v>
      </c>
      <c r="L7701" t="s">
        <v>23</v>
      </c>
      <c r="M7701" t="s">
        <v>18030</v>
      </c>
      <c r="N7701" t="s">
        <v>380</v>
      </c>
      <c r="O7701" t="s">
        <v>38</v>
      </c>
      <c r="P7701">
        <v>75201</v>
      </c>
      <c r="Q7701">
        <v>5411</v>
      </c>
      <c r="R7701" t="s">
        <v>23</v>
      </c>
      <c r="S7701" s="1" t="s">
        <v>34218</v>
      </c>
    </row>
    <row r="7702" spans="1:19" x14ac:dyDescent="0.25">
      <c r="A7702">
        <v>101446790</v>
      </c>
      <c r="B7702" t="s">
        <v>18031</v>
      </c>
      <c r="C7702" t="s">
        <v>1069</v>
      </c>
      <c r="G7702" t="s">
        <v>18032</v>
      </c>
      <c r="H7702" t="s">
        <v>8692</v>
      </c>
      <c r="I7702" t="s">
        <v>28</v>
      </c>
      <c r="J7702">
        <v>30033</v>
      </c>
      <c r="K7702">
        <v>2511</v>
      </c>
      <c r="L7702" t="s">
        <v>23</v>
      </c>
      <c r="M7702" t="s">
        <v>18032</v>
      </c>
      <c r="N7702" t="s">
        <v>8692</v>
      </c>
      <c r="O7702" t="s">
        <v>28</v>
      </c>
      <c r="P7702">
        <v>30033</v>
      </c>
      <c r="Q7702">
        <v>2511</v>
      </c>
      <c r="R7702" t="s">
        <v>23</v>
      </c>
      <c r="S7702" s="1" t="s">
        <v>34218</v>
      </c>
    </row>
    <row r="7703" spans="1:19" x14ac:dyDescent="0.25">
      <c r="A7703">
        <v>101469411</v>
      </c>
      <c r="B7703" t="s">
        <v>7568</v>
      </c>
      <c r="C7703" t="s">
        <v>30</v>
      </c>
      <c r="G7703" t="s">
        <v>18033</v>
      </c>
      <c r="H7703" t="s">
        <v>12603</v>
      </c>
      <c r="I7703" t="s">
        <v>52</v>
      </c>
      <c r="J7703">
        <v>32958</v>
      </c>
      <c r="K7703">
        <v>6120</v>
      </c>
      <c r="L7703" t="s">
        <v>23</v>
      </c>
      <c r="M7703" t="s">
        <v>18033</v>
      </c>
      <c r="N7703" t="s">
        <v>12603</v>
      </c>
      <c r="O7703" t="s">
        <v>52</v>
      </c>
      <c r="P7703">
        <v>32958</v>
      </c>
      <c r="Q7703">
        <v>6120</v>
      </c>
      <c r="R7703" t="s">
        <v>23</v>
      </c>
      <c r="S7703" s="1" t="s">
        <v>34218</v>
      </c>
    </row>
    <row r="7704" spans="1:19" x14ac:dyDescent="0.25">
      <c r="A7704">
        <v>101470002</v>
      </c>
      <c r="B7704" t="s">
        <v>18034</v>
      </c>
      <c r="C7704" t="s">
        <v>1078</v>
      </c>
      <c r="G7704" t="s">
        <v>18035</v>
      </c>
      <c r="H7704" t="s">
        <v>2684</v>
      </c>
      <c r="I7704" t="s">
        <v>22</v>
      </c>
      <c r="J7704">
        <v>94901</v>
      </c>
      <c r="K7704">
        <v>5110</v>
      </c>
      <c r="L7704" t="s">
        <v>23</v>
      </c>
      <c r="M7704" t="s">
        <v>18035</v>
      </c>
      <c r="N7704" t="s">
        <v>2684</v>
      </c>
      <c r="O7704" t="s">
        <v>22</v>
      </c>
      <c r="P7704">
        <v>94901</v>
      </c>
      <c r="Q7704">
        <v>5110</v>
      </c>
      <c r="R7704" t="s">
        <v>23</v>
      </c>
      <c r="S7704" s="1" t="s">
        <v>34218</v>
      </c>
    </row>
    <row r="7705" spans="1:19" x14ac:dyDescent="0.25">
      <c r="A7705">
        <v>100805250</v>
      </c>
      <c r="B7705" t="s">
        <v>15094</v>
      </c>
      <c r="C7705" t="s">
        <v>7721</v>
      </c>
      <c r="F7705" t="str">
        <f>"7173824455"</f>
        <v>7173824455</v>
      </c>
      <c r="G7705" t="s">
        <v>18036</v>
      </c>
      <c r="H7705" t="s">
        <v>21</v>
      </c>
      <c r="I7705" t="s">
        <v>22</v>
      </c>
      <c r="J7705" t="s">
        <v>18037</v>
      </c>
      <c r="K7705">
        <v>2715</v>
      </c>
      <c r="L7705" t="s">
        <v>23</v>
      </c>
      <c r="M7705" t="s">
        <v>18036</v>
      </c>
      <c r="N7705" t="s">
        <v>21</v>
      </c>
      <c r="O7705" t="s">
        <v>22</v>
      </c>
      <c r="P7705" t="s">
        <v>18037</v>
      </c>
      <c r="Q7705">
        <v>2715</v>
      </c>
      <c r="R7705" t="s">
        <v>23</v>
      </c>
      <c r="S7705" s="1" t="s">
        <v>34218</v>
      </c>
    </row>
    <row r="7706" spans="1:19" x14ac:dyDescent="0.25">
      <c r="A7706">
        <v>101246466</v>
      </c>
      <c r="B7706" t="s">
        <v>208</v>
      </c>
      <c r="C7706" t="s">
        <v>123</v>
      </c>
      <c r="G7706" t="s">
        <v>18038</v>
      </c>
      <c r="H7706" t="s">
        <v>8280</v>
      </c>
      <c r="I7706" t="s">
        <v>1097</v>
      </c>
      <c r="J7706" t="s">
        <v>18039</v>
      </c>
      <c r="K7706">
        <v>1413</v>
      </c>
      <c r="L7706" t="s">
        <v>23</v>
      </c>
      <c r="M7706" t="s">
        <v>18038</v>
      </c>
      <c r="N7706" t="s">
        <v>8280</v>
      </c>
      <c r="O7706" t="s">
        <v>1097</v>
      </c>
      <c r="P7706" t="s">
        <v>18039</v>
      </c>
      <c r="Q7706">
        <v>1413</v>
      </c>
      <c r="R7706" t="s">
        <v>23</v>
      </c>
      <c r="S7706" s="1" t="s">
        <v>34218</v>
      </c>
    </row>
    <row r="7707" spans="1:19" x14ac:dyDescent="0.25">
      <c r="A7707">
        <v>101418668</v>
      </c>
      <c r="B7707" t="s">
        <v>18040</v>
      </c>
      <c r="C7707" t="s">
        <v>1157</v>
      </c>
      <c r="G7707" t="s">
        <v>18041</v>
      </c>
      <c r="H7707" t="s">
        <v>1325</v>
      </c>
      <c r="I7707" t="s">
        <v>22</v>
      </c>
      <c r="J7707" t="s">
        <v>18042</v>
      </c>
      <c r="K7707">
        <v>3606</v>
      </c>
      <c r="L7707" t="s">
        <v>23</v>
      </c>
      <c r="M7707" t="s">
        <v>18041</v>
      </c>
      <c r="N7707" t="s">
        <v>1325</v>
      </c>
      <c r="O7707" t="s">
        <v>22</v>
      </c>
      <c r="P7707" t="s">
        <v>18042</v>
      </c>
      <c r="Q7707">
        <v>3606</v>
      </c>
      <c r="R7707" t="s">
        <v>23</v>
      </c>
      <c r="S7707" s="1" t="s">
        <v>34218</v>
      </c>
    </row>
    <row r="7708" spans="1:19" x14ac:dyDescent="0.25">
      <c r="A7708">
        <v>100899417</v>
      </c>
      <c r="B7708" t="s">
        <v>18043</v>
      </c>
      <c r="C7708" t="s">
        <v>5075</v>
      </c>
      <c r="G7708" t="s">
        <v>18044</v>
      </c>
      <c r="H7708" t="s">
        <v>18045</v>
      </c>
      <c r="I7708" t="s">
        <v>187</v>
      </c>
      <c r="J7708" t="s">
        <v>18046</v>
      </c>
      <c r="K7708">
        <v>1609</v>
      </c>
      <c r="L7708" t="s">
        <v>23</v>
      </c>
      <c r="M7708" t="s">
        <v>18044</v>
      </c>
      <c r="N7708" t="s">
        <v>18045</v>
      </c>
      <c r="O7708" t="s">
        <v>187</v>
      </c>
      <c r="P7708" t="s">
        <v>18046</v>
      </c>
      <c r="Q7708">
        <v>1609</v>
      </c>
      <c r="R7708" t="s">
        <v>23</v>
      </c>
      <c r="S7708" s="1" t="s">
        <v>34218</v>
      </c>
    </row>
    <row r="7709" spans="1:19" x14ac:dyDescent="0.25">
      <c r="A7709">
        <v>101273912</v>
      </c>
      <c r="B7709" t="s">
        <v>18047</v>
      </c>
      <c r="C7709" t="s">
        <v>18048</v>
      </c>
      <c r="G7709" t="s">
        <v>18049</v>
      </c>
      <c r="H7709" t="s">
        <v>18050</v>
      </c>
      <c r="I7709" t="s">
        <v>446</v>
      </c>
      <c r="J7709" t="s">
        <v>18051</v>
      </c>
      <c r="K7709">
        <v>7733</v>
      </c>
      <c r="L7709" t="s">
        <v>23</v>
      </c>
      <c r="M7709" t="s">
        <v>18049</v>
      </c>
      <c r="N7709" t="s">
        <v>18050</v>
      </c>
      <c r="O7709" t="s">
        <v>446</v>
      </c>
      <c r="P7709" t="s">
        <v>18051</v>
      </c>
      <c r="Q7709">
        <v>7733</v>
      </c>
      <c r="R7709" t="s">
        <v>23</v>
      </c>
      <c r="S7709" s="1" t="s">
        <v>34218</v>
      </c>
    </row>
    <row r="7710" spans="1:19" x14ac:dyDescent="0.25">
      <c r="A7710">
        <v>100515964</v>
      </c>
      <c r="B7710" t="s">
        <v>18052</v>
      </c>
      <c r="C7710" t="s">
        <v>1377</v>
      </c>
      <c r="G7710" t="s">
        <v>18053</v>
      </c>
      <c r="H7710" t="s">
        <v>2086</v>
      </c>
      <c r="I7710" t="s">
        <v>178</v>
      </c>
      <c r="J7710" t="s">
        <v>18054</v>
      </c>
      <c r="K7710">
        <v>1013</v>
      </c>
      <c r="L7710" t="s">
        <v>23</v>
      </c>
      <c r="M7710" t="s">
        <v>18053</v>
      </c>
      <c r="N7710" t="s">
        <v>2086</v>
      </c>
      <c r="O7710" t="s">
        <v>178</v>
      </c>
      <c r="P7710" t="s">
        <v>18054</v>
      </c>
      <c r="Q7710">
        <v>1013</v>
      </c>
      <c r="R7710" t="s">
        <v>23</v>
      </c>
      <c r="S7710" s="1" t="s">
        <v>34218</v>
      </c>
    </row>
    <row r="7711" spans="1:19" x14ac:dyDescent="0.25">
      <c r="A7711">
        <v>100691709</v>
      </c>
      <c r="B7711" t="s">
        <v>18055</v>
      </c>
      <c r="C7711" t="s">
        <v>1959</v>
      </c>
      <c r="G7711" t="s">
        <v>18056</v>
      </c>
      <c r="H7711" t="s">
        <v>4235</v>
      </c>
      <c r="I7711" t="s">
        <v>984</v>
      </c>
      <c r="J7711" t="s">
        <v>18057</v>
      </c>
      <c r="K7711">
        <v>2158</v>
      </c>
      <c r="L7711" t="s">
        <v>23</v>
      </c>
      <c r="M7711" t="s">
        <v>18056</v>
      </c>
      <c r="N7711" t="s">
        <v>4235</v>
      </c>
      <c r="O7711" t="s">
        <v>984</v>
      </c>
      <c r="P7711" t="s">
        <v>18057</v>
      </c>
      <c r="Q7711">
        <v>2158</v>
      </c>
      <c r="R7711" t="s">
        <v>23</v>
      </c>
      <c r="S7711" s="1" t="s">
        <v>34218</v>
      </c>
    </row>
    <row r="7712" spans="1:19" x14ac:dyDescent="0.25">
      <c r="A7712">
        <v>101366365</v>
      </c>
      <c r="B7712" t="s">
        <v>18058</v>
      </c>
      <c r="C7712" t="s">
        <v>18059</v>
      </c>
      <c r="G7712" t="s">
        <v>18060</v>
      </c>
      <c r="H7712" t="s">
        <v>18061</v>
      </c>
      <c r="I7712" t="s">
        <v>914</v>
      </c>
      <c r="J7712" t="s">
        <v>18062</v>
      </c>
      <c r="K7712">
        <v>4136</v>
      </c>
      <c r="L7712" t="s">
        <v>23</v>
      </c>
      <c r="M7712" t="s">
        <v>18060</v>
      </c>
      <c r="N7712" t="s">
        <v>18061</v>
      </c>
      <c r="O7712" t="s">
        <v>914</v>
      </c>
      <c r="P7712" t="s">
        <v>18062</v>
      </c>
      <c r="Q7712">
        <v>4136</v>
      </c>
      <c r="R7712" t="s">
        <v>23</v>
      </c>
      <c r="S7712" s="1" t="s">
        <v>34218</v>
      </c>
    </row>
    <row r="7713" spans="1:19" x14ac:dyDescent="0.25">
      <c r="A7713">
        <v>100999396</v>
      </c>
      <c r="B7713" t="s">
        <v>1135</v>
      </c>
      <c r="C7713" t="s">
        <v>3254</v>
      </c>
      <c r="G7713" t="s">
        <v>18063</v>
      </c>
      <c r="H7713" t="s">
        <v>15574</v>
      </c>
      <c r="I7713" t="s">
        <v>57</v>
      </c>
      <c r="J7713" t="s">
        <v>18064</v>
      </c>
      <c r="K7713">
        <v>1023</v>
      </c>
      <c r="L7713" t="s">
        <v>23</v>
      </c>
      <c r="M7713" t="s">
        <v>18063</v>
      </c>
      <c r="N7713" t="s">
        <v>15574</v>
      </c>
      <c r="O7713" t="s">
        <v>57</v>
      </c>
      <c r="P7713" t="s">
        <v>18064</v>
      </c>
      <c r="Q7713">
        <v>1023</v>
      </c>
      <c r="R7713" t="s">
        <v>23</v>
      </c>
      <c r="S7713" s="1" t="s">
        <v>34218</v>
      </c>
    </row>
    <row r="7714" spans="1:19" x14ac:dyDescent="0.25">
      <c r="A7714">
        <v>101220840</v>
      </c>
      <c r="B7714" t="s">
        <v>11551</v>
      </c>
      <c r="C7714" t="s">
        <v>217</v>
      </c>
      <c r="G7714" t="s">
        <v>18065</v>
      </c>
      <c r="H7714" t="s">
        <v>393</v>
      </c>
      <c r="I7714" t="s">
        <v>71</v>
      </c>
      <c r="J7714" t="s">
        <v>18066</v>
      </c>
      <c r="K7714">
        <v>1535</v>
      </c>
      <c r="L7714" t="s">
        <v>23</v>
      </c>
      <c r="M7714" t="s">
        <v>18065</v>
      </c>
      <c r="N7714" t="s">
        <v>393</v>
      </c>
      <c r="O7714" t="s">
        <v>71</v>
      </c>
      <c r="P7714" t="s">
        <v>18066</v>
      </c>
      <c r="Q7714">
        <v>1535</v>
      </c>
      <c r="R7714" t="s">
        <v>23</v>
      </c>
      <c r="S7714" s="1" t="s">
        <v>34218</v>
      </c>
    </row>
    <row r="7715" spans="1:19" x14ac:dyDescent="0.25">
      <c r="A7715">
        <v>101032177</v>
      </c>
      <c r="B7715" t="s">
        <v>1886</v>
      </c>
      <c r="C7715" t="s">
        <v>8702</v>
      </c>
      <c r="G7715" t="s">
        <v>18067</v>
      </c>
      <c r="H7715" t="s">
        <v>3473</v>
      </c>
      <c r="I7715" t="s">
        <v>353</v>
      </c>
      <c r="J7715">
        <v>3102</v>
      </c>
      <c r="K7715">
        <v>4602</v>
      </c>
      <c r="L7715" t="s">
        <v>23</v>
      </c>
      <c r="M7715" t="s">
        <v>18067</v>
      </c>
      <c r="N7715" t="s">
        <v>3473</v>
      </c>
      <c r="O7715" t="s">
        <v>353</v>
      </c>
      <c r="P7715">
        <v>3102</v>
      </c>
      <c r="Q7715">
        <v>4602</v>
      </c>
      <c r="R7715" t="s">
        <v>23</v>
      </c>
      <c r="S7715" s="1" t="s">
        <v>34218</v>
      </c>
    </row>
    <row r="7716" spans="1:19" x14ac:dyDescent="0.25">
      <c r="A7716">
        <v>101034839</v>
      </c>
      <c r="B7716" t="s">
        <v>8489</v>
      </c>
      <c r="C7716" t="s">
        <v>3254</v>
      </c>
      <c r="G7716" t="s">
        <v>18068</v>
      </c>
      <c r="H7716" t="s">
        <v>758</v>
      </c>
      <c r="I7716" t="s">
        <v>148</v>
      </c>
      <c r="J7716">
        <v>20906</v>
      </c>
      <c r="K7716">
        <v>2647</v>
      </c>
      <c r="L7716" t="s">
        <v>23</v>
      </c>
      <c r="M7716" t="s">
        <v>18068</v>
      </c>
      <c r="N7716" t="s">
        <v>758</v>
      </c>
      <c r="O7716" t="s">
        <v>148</v>
      </c>
      <c r="P7716">
        <v>20906</v>
      </c>
      <c r="Q7716">
        <v>2647</v>
      </c>
      <c r="R7716" t="s">
        <v>23</v>
      </c>
      <c r="S7716" s="1" t="s">
        <v>34218</v>
      </c>
    </row>
    <row r="7717" spans="1:19" x14ac:dyDescent="0.25">
      <c r="A7717">
        <v>101027358</v>
      </c>
      <c r="B7717" t="s">
        <v>14233</v>
      </c>
      <c r="C7717" t="s">
        <v>18069</v>
      </c>
      <c r="G7717" t="s">
        <v>14235</v>
      </c>
      <c r="H7717" t="s">
        <v>14236</v>
      </c>
      <c r="I7717" t="s">
        <v>191</v>
      </c>
      <c r="J7717">
        <v>4459</v>
      </c>
      <c r="K7717">
        <v>3229</v>
      </c>
      <c r="L7717" t="s">
        <v>23</v>
      </c>
      <c r="M7717" t="s">
        <v>14235</v>
      </c>
      <c r="N7717" t="s">
        <v>14236</v>
      </c>
      <c r="O7717" t="s">
        <v>191</v>
      </c>
      <c r="P7717">
        <v>4459</v>
      </c>
      <c r="Q7717">
        <v>3229</v>
      </c>
      <c r="R7717" t="s">
        <v>23</v>
      </c>
      <c r="S7717" s="1" t="s">
        <v>34218</v>
      </c>
    </row>
    <row r="7718" spans="1:19" x14ac:dyDescent="0.25">
      <c r="A7718">
        <v>101042225</v>
      </c>
      <c r="B7718" t="s">
        <v>3689</v>
      </c>
      <c r="C7718" t="s">
        <v>865</v>
      </c>
      <c r="F7718" t="str">
        <f>"6078956390"</f>
        <v>6078956390</v>
      </c>
      <c r="G7718" t="s">
        <v>18070</v>
      </c>
      <c r="H7718" t="s">
        <v>18071</v>
      </c>
      <c r="I7718" t="s">
        <v>117</v>
      </c>
      <c r="J7718">
        <v>13809</v>
      </c>
      <c r="K7718">
        <v>4172</v>
      </c>
      <c r="L7718" t="s">
        <v>23</v>
      </c>
      <c r="M7718" t="s">
        <v>18070</v>
      </c>
      <c r="N7718" t="s">
        <v>18071</v>
      </c>
      <c r="O7718" t="s">
        <v>117</v>
      </c>
      <c r="P7718">
        <v>13809</v>
      </c>
      <c r="Q7718">
        <v>4172</v>
      </c>
      <c r="R7718" t="s">
        <v>23</v>
      </c>
      <c r="S7718" s="1" t="s">
        <v>34218</v>
      </c>
    </row>
    <row r="7719" spans="1:19" x14ac:dyDescent="0.25">
      <c r="A7719">
        <v>101042310</v>
      </c>
      <c r="B7719" t="s">
        <v>12777</v>
      </c>
      <c r="C7719" t="s">
        <v>1002</v>
      </c>
      <c r="F7719" t="str">
        <f>"3155367329"</f>
        <v>3155367329</v>
      </c>
      <c r="G7719" t="s">
        <v>18072</v>
      </c>
      <c r="H7719" t="s">
        <v>18073</v>
      </c>
      <c r="I7719" t="s">
        <v>117</v>
      </c>
      <c r="J7719">
        <v>14527</v>
      </c>
      <c r="K7719">
        <v>8933</v>
      </c>
      <c r="L7719" t="s">
        <v>23</v>
      </c>
      <c r="M7719" t="s">
        <v>18072</v>
      </c>
      <c r="N7719" t="s">
        <v>18073</v>
      </c>
      <c r="O7719" t="s">
        <v>117</v>
      </c>
      <c r="P7719">
        <v>14527</v>
      </c>
      <c r="Q7719">
        <v>8933</v>
      </c>
      <c r="R7719" t="s">
        <v>23</v>
      </c>
      <c r="S7719" s="1" t="s">
        <v>34218</v>
      </c>
    </row>
    <row r="7720" spans="1:19" x14ac:dyDescent="0.25">
      <c r="A7720">
        <v>101043288</v>
      </c>
      <c r="B7720" t="s">
        <v>18074</v>
      </c>
      <c r="C7720" t="s">
        <v>483</v>
      </c>
      <c r="G7720" t="s">
        <v>18075</v>
      </c>
      <c r="H7720" t="s">
        <v>8692</v>
      </c>
      <c r="I7720" t="s">
        <v>28</v>
      </c>
      <c r="J7720">
        <v>30033</v>
      </c>
      <c r="K7720">
        <v>4923</v>
      </c>
      <c r="L7720" t="s">
        <v>23</v>
      </c>
      <c r="M7720" t="s">
        <v>18075</v>
      </c>
      <c r="N7720" t="s">
        <v>8692</v>
      </c>
      <c r="O7720" t="s">
        <v>28</v>
      </c>
      <c r="P7720">
        <v>30033</v>
      </c>
      <c r="Q7720">
        <v>4923</v>
      </c>
      <c r="R7720" t="s">
        <v>23</v>
      </c>
      <c r="S7720" s="1" t="s">
        <v>34218</v>
      </c>
    </row>
    <row r="7721" spans="1:19" x14ac:dyDescent="0.25">
      <c r="A7721">
        <v>101238263</v>
      </c>
      <c r="B7721" t="s">
        <v>1698</v>
      </c>
      <c r="C7721" t="s">
        <v>7569</v>
      </c>
      <c r="G7721" t="s">
        <v>18076</v>
      </c>
      <c r="H7721" t="s">
        <v>380</v>
      </c>
      <c r="I7721" t="s">
        <v>38</v>
      </c>
      <c r="J7721">
        <v>75243</v>
      </c>
      <c r="K7721">
        <v>4510</v>
      </c>
      <c r="L7721" t="s">
        <v>23</v>
      </c>
      <c r="M7721" t="s">
        <v>18076</v>
      </c>
      <c r="N7721" t="s">
        <v>380</v>
      </c>
      <c r="O7721" t="s">
        <v>38</v>
      </c>
      <c r="P7721">
        <v>75243</v>
      </c>
      <c r="Q7721">
        <v>4510</v>
      </c>
      <c r="R7721" t="s">
        <v>23</v>
      </c>
      <c r="S7721" s="1" t="s">
        <v>34218</v>
      </c>
    </row>
    <row r="7722" spans="1:19" x14ac:dyDescent="0.25">
      <c r="A7722">
        <v>101233021</v>
      </c>
      <c r="B7722" t="s">
        <v>3266</v>
      </c>
      <c r="C7722" t="s">
        <v>1350</v>
      </c>
      <c r="G7722" t="s">
        <v>18077</v>
      </c>
      <c r="H7722" t="s">
        <v>18078</v>
      </c>
      <c r="I7722" t="s">
        <v>307</v>
      </c>
      <c r="J7722">
        <v>5673</v>
      </c>
      <c r="K7722">
        <v>7117</v>
      </c>
      <c r="L7722" t="s">
        <v>23</v>
      </c>
      <c r="M7722" t="s">
        <v>18077</v>
      </c>
      <c r="N7722" t="s">
        <v>18078</v>
      </c>
      <c r="O7722" t="s">
        <v>307</v>
      </c>
      <c r="P7722">
        <v>5673</v>
      </c>
      <c r="Q7722">
        <v>7117</v>
      </c>
      <c r="R7722" t="s">
        <v>23</v>
      </c>
      <c r="S7722" s="1" t="s">
        <v>34218</v>
      </c>
    </row>
    <row r="7723" spans="1:19" x14ac:dyDescent="0.25">
      <c r="A7723">
        <v>101242515</v>
      </c>
      <c r="B7723" t="s">
        <v>18079</v>
      </c>
      <c r="C7723" t="s">
        <v>9026</v>
      </c>
      <c r="G7723" t="s">
        <v>18080</v>
      </c>
      <c r="H7723" t="s">
        <v>3183</v>
      </c>
      <c r="I7723" t="s">
        <v>178</v>
      </c>
      <c r="J7723">
        <v>45458</v>
      </c>
      <c r="K7723">
        <v>4123</v>
      </c>
      <c r="L7723" t="s">
        <v>23</v>
      </c>
      <c r="M7723" t="s">
        <v>18080</v>
      </c>
      <c r="N7723" t="s">
        <v>3183</v>
      </c>
      <c r="O7723" t="s">
        <v>178</v>
      </c>
      <c r="P7723">
        <v>45458</v>
      </c>
      <c r="Q7723">
        <v>4123</v>
      </c>
      <c r="R7723" t="s">
        <v>23</v>
      </c>
      <c r="S7723" s="1" t="s">
        <v>34218</v>
      </c>
    </row>
    <row r="7724" spans="1:19" x14ac:dyDescent="0.25">
      <c r="A7724">
        <v>101247226</v>
      </c>
      <c r="B7724" t="s">
        <v>4848</v>
      </c>
      <c r="C7724" t="s">
        <v>123</v>
      </c>
      <c r="G7724" t="s">
        <v>18081</v>
      </c>
      <c r="H7724" t="s">
        <v>207</v>
      </c>
      <c r="I7724" t="s">
        <v>22</v>
      </c>
      <c r="J7724">
        <v>93702</v>
      </c>
      <c r="K7724">
        <v>2803</v>
      </c>
      <c r="L7724" t="s">
        <v>23</v>
      </c>
      <c r="M7724" t="s">
        <v>18081</v>
      </c>
      <c r="N7724" t="s">
        <v>207</v>
      </c>
      <c r="O7724" t="s">
        <v>22</v>
      </c>
      <c r="P7724">
        <v>93702</v>
      </c>
      <c r="Q7724">
        <v>2803</v>
      </c>
      <c r="R7724" t="s">
        <v>23</v>
      </c>
      <c r="S7724" s="1" t="s">
        <v>34218</v>
      </c>
    </row>
    <row r="7725" spans="1:19" x14ac:dyDescent="0.25">
      <c r="A7725">
        <v>101243201</v>
      </c>
      <c r="B7725" t="s">
        <v>18082</v>
      </c>
      <c r="C7725" t="s">
        <v>2873</v>
      </c>
      <c r="F7725" t="str">
        <f>"6082157142"</f>
        <v>6082157142</v>
      </c>
      <c r="G7725" t="s">
        <v>18083</v>
      </c>
      <c r="H7725" t="s">
        <v>2125</v>
      </c>
      <c r="I7725" t="s">
        <v>100</v>
      </c>
      <c r="J7725">
        <v>53562</v>
      </c>
      <c r="K7725">
        <v>3002</v>
      </c>
      <c r="L7725" t="s">
        <v>23</v>
      </c>
      <c r="M7725" t="s">
        <v>18083</v>
      </c>
      <c r="N7725" t="s">
        <v>2125</v>
      </c>
      <c r="O7725" t="s">
        <v>100</v>
      </c>
      <c r="P7725">
        <v>53562</v>
      </c>
      <c r="Q7725">
        <v>3002</v>
      </c>
      <c r="R7725" t="s">
        <v>23</v>
      </c>
      <c r="S7725" s="1" t="s">
        <v>34218</v>
      </c>
    </row>
    <row r="7726" spans="1:19" x14ac:dyDescent="0.25">
      <c r="A7726">
        <v>101244361</v>
      </c>
      <c r="B7726" t="s">
        <v>18084</v>
      </c>
      <c r="C7726" t="s">
        <v>367</v>
      </c>
      <c r="G7726" t="s">
        <v>18085</v>
      </c>
      <c r="H7726" t="s">
        <v>18086</v>
      </c>
      <c r="I7726" t="s">
        <v>22</v>
      </c>
      <c r="J7726">
        <v>95666</v>
      </c>
      <c r="K7726">
        <v>9715</v>
      </c>
      <c r="L7726" t="s">
        <v>23</v>
      </c>
      <c r="M7726" t="s">
        <v>18085</v>
      </c>
      <c r="N7726" t="s">
        <v>18086</v>
      </c>
      <c r="O7726" t="s">
        <v>22</v>
      </c>
      <c r="P7726">
        <v>95666</v>
      </c>
      <c r="Q7726">
        <v>9715</v>
      </c>
      <c r="R7726" t="s">
        <v>23</v>
      </c>
      <c r="S7726" s="1" t="s">
        <v>34218</v>
      </c>
    </row>
    <row r="7727" spans="1:19" x14ac:dyDescent="0.25">
      <c r="A7727">
        <v>101241697</v>
      </c>
      <c r="B7727" t="s">
        <v>18087</v>
      </c>
      <c r="C7727" t="s">
        <v>7844</v>
      </c>
      <c r="G7727" t="s">
        <v>18088</v>
      </c>
      <c r="H7727" t="s">
        <v>8982</v>
      </c>
      <c r="I7727" t="s">
        <v>52</v>
      </c>
      <c r="J7727">
        <v>32082</v>
      </c>
      <c r="K7727">
        <v>4167</v>
      </c>
      <c r="L7727" t="s">
        <v>23</v>
      </c>
      <c r="M7727" t="s">
        <v>18088</v>
      </c>
      <c r="N7727" t="s">
        <v>8982</v>
      </c>
      <c r="O7727" t="s">
        <v>52</v>
      </c>
      <c r="P7727">
        <v>32082</v>
      </c>
      <c r="Q7727">
        <v>4167</v>
      </c>
      <c r="R7727" t="s">
        <v>23</v>
      </c>
      <c r="S7727" s="1" t="s">
        <v>34218</v>
      </c>
    </row>
    <row r="7728" spans="1:19" x14ac:dyDescent="0.25">
      <c r="A7728">
        <v>101248008</v>
      </c>
      <c r="B7728" t="s">
        <v>557</v>
      </c>
      <c r="C7728" t="s">
        <v>18089</v>
      </c>
      <c r="G7728" t="s">
        <v>18090</v>
      </c>
      <c r="H7728" t="s">
        <v>18091</v>
      </c>
      <c r="I7728" t="s">
        <v>117</v>
      </c>
      <c r="J7728">
        <v>12463</v>
      </c>
      <c r="K7728">
        <v>252</v>
      </c>
      <c r="L7728" t="s">
        <v>23</v>
      </c>
      <c r="M7728" t="s">
        <v>18090</v>
      </c>
      <c r="N7728" t="s">
        <v>18091</v>
      </c>
      <c r="O7728" t="s">
        <v>117</v>
      </c>
      <c r="P7728">
        <v>12463</v>
      </c>
      <c r="Q7728">
        <v>252</v>
      </c>
      <c r="R7728" t="s">
        <v>23</v>
      </c>
      <c r="S7728" s="1" t="s">
        <v>34218</v>
      </c>
    </row>
    <row r="7729" spans="1:19" x14ac:dyDescent="0.25">
      <c r="A7729">
        <v>101248976</v>
      </c>
      <c r="B7729" t="s">
        <v>1872</v>
      </c>
      <c r="C7729" t="s">
        <v>30</v>
      </c>
      <c r="F7729" t="str">
        <f>"2695896954"</f>
        <v>2695896954</v>
      </c>
      <c r="G7729" t="s">
        <v>18092</v>
      </c>
      <c r="H7729" t="s">
        <v>18093</v>
      </c>
      <c r="I7729" t="s">
        <v>140</v>
      </c>
      <c r="J7729">
        <v>49015</v>
      </c>
      <c r="K7729">
        <v>4662</v>
      </c>
      <c r="L7729" t="s">
        <v>23</v>
      </c>
      <c r="M7729" t="s">
        <v>18092</v>
      </c>
      <c r="N7729" t="s">
        <v>18093</v>
      </c>
      <c r="O7729" t="s">
        <v>140</v>
      </c>
      <c r="P7729">
        <v>49015</v>
      </c>
      <c r="Q7729">
        <v>4662</v>
      </c>
      <c r="R7729" t="s">
        <v>23</v>
      </c>
      <c r="S7729" s="1" t="s">
        <v>34218</v>
      </c>
    </row>
    <row r="7730" spans="1:19" x14ac:dyDescent="0.25">
      <c r="A7730">
        <v>101253881</v>
      </c>
      <c r="B7730" t="s">
        <v>18094</v>
      </c>
      <c r="C7730" t="s">
        <v>18095</v>
      </c>
      <c r="G7730" t="s">
        <v>18096</v>
      </c>
      <c r="H7730" t="s">
        <v>7527</v>
      </c>
      <c r="I7730" t="s">
        <v>117</v>
      </c>
      <c r="J7730">
        <v>11385</v>
      </c>
      <c r="K7730">
        <v>3845</v>
      </c>
      <c r="L7730" t="s">
        <v>23</v>
      </c>
      <c r="M7730" t="s">
        <v>18096</v>
      </c>
      <c r="N7730" t="s">
        <v>7527</v>
      </c>
      <c r="O7730" t="s">
        <v>117</v>
      </c>
      <c r="P7730">
        <v>11385</v>
      </c>
      <c r="Q7730">
        <v>3845</v>
      </c>
      <c r="R7730" t="s">
        <v>23</v>
      </c>
      <c r="S7730" s="1" t="s">
        <v>34218</v>
      </c>
    </row>
    <row r="7731" spans="1:19" x14ac:dyDescent="0.25">
      <c r="A7731">
        <v>101253118</v>
      </c>
      <c r="B7731" t="s">
        <v>18097</v>
      </c>
      <c r="C7731" t="s">
        <v>644</v>
      </c>
      <c r="G7731" t="s">
        <v>18098</v>
      </c>
      <c r="H7731" t="s">
        <v>2407</v>
      </c>
      <c r="I7731" t="s">
        <v>52</v>
      </c>
      <c r="J7731">
        <v>33756</v>
      </c>
      <c r="K7731">
        <v>2164</v>
      </c>
      <c r="L7731" t="s">
        <v>23</v>
      </c>
      <c r="M7731" t="s">
        <v>18098</v>
      </c>
      <c r="N7731" t="s">
        <v>2407</v>
      </c>
      <c r="O7731" t="s">
        <v>52</v>
      </c>
      <c r="P7731">
        <v>33756</v>
      </c>
      <c r="Q7731">
        <v>2164</v>
      </c>
      <c r="R7731" t="s">
        <v>23</v>
      </c>
      <c r="S7731" s="1" t="s">
        <v>34218</v>
      </c>
    </row>
    <row r="7732" spans="1:19" x14ac:dyDescent="0.25">
      <c r="A7732">
        <v>101254327</v>
      </c>
      <c r="B7732" t="s">
        <v>18099</v>
      </c>
      <c r="C7732" t="s">
        <v>90</v>
      </c>
      <c r="G7732" t="s">
        <v>18100</v>
      </c>
      <c r="H7732" t="s">
        <v>1405</v>
      </c>
      <c r="I7732" t="s">
        <v>187</v>
      </c>
      <c r="J7732">
        <v>55116</v>
      </c>
      <c r="K7732">
        <v>2404</v>
      </c>
      <c r="L7732" t="s">
        <v>23</v>
      </c>
      <c r="M7732" t="s">
        <v>18100</v>
      </c>
      <c r="N7732" t="s">
        <v>1405</v>
      </c>
      <c r="O7732" t="s">
        <v>187</v>
      </c>
      <c r="P7732">
        <v>55116</v>
      </c>
      <c r="Q7732">
        <v>2404</v>
      </c>
      <c r="R7732" t="s">
        <v>23</v>
      </c>
      <c r="S7732" s="1" t="s">
        <v>34218</v>
      </c>
    </row>
    <row r="7733" spans="1:19" x14ac:dyDescent="0.25">
      <c r="A7733">
        <v>101256376</v>
      </c>
      <c r="B7733" t="s">
        <v>18101</v>
      </c>
      <c r="C7733" t="s">
        <v>4046</v>
      </c>
      <c r="F7733" t="str">
        <f>"9282751695"</f>
        <v>9282751695</v>
      </c>
      <c r="G7733" t="s">
        <v>18102</v>
      </c>
      <c r="H7733" t="s">
        <v>1621</v>
      </c>
      <c r="I7733" t="s">
        <v>365</v>
      </c>
      <c r="J7733">
        <v>86413</v>
      </c>
      <c r="K7733">
        <v>9111</v>
      </c>
      <c r="L7733" t="s">
        <v>23</v>
      </c>
      <c r="M7733" t="s">
        <v>18102</v>
      </c>
      <c r="N7733" t="s">
        <v>1621</v>
      </c>
      <c r="O7733" t="s">
        <v>365</v>
      </c>
      <c r="P7733">
        <v>86413</v>
      </c>
      <c r="Q7733">
        <v>9111</v>
      </c>
      <c r="R7733" t="s">
        <v>23</v>
      </c>
      <c r="S7733" s="1" t="s">
        <v>34218</v>
      </c>
    </row>
    <row r="7734" spans="1:19" x14ac:dyDescent="0.25">
      <c r="A7734">
        <v>101282798</v>
      </c>
      <c r="B7734" t="s">
        <v>18103</v>
      </c>
      <c r="C7734" t="s">
        <v>711</v>
      </c>
      <c r="G7734" t="s">
        <v>18104</v>
      </c>
      <c r="H7734" t="s">
        <v>18105</v>
      </c>
      <c r="I7734" t="s">
        <v>255</v>
      </c>
      <c r="J7734">
        <v>22116</v>
      </c>
      <c r="K7734">
        <v>3687</v>
      </c>
      <c r="L7734" t="s">
        <v>23</v>
      </c>
      <c r="M7734" t="s">
        <v>18104</v>
      </c>
      <c r="N7734" t="s">
        <v>18105</v>
      </c>
      <c r="O7734" t="s">
        <v>255</v>
      </c>
      <c r="P7734">
        <v>22116</v>
      </c>
      <c r="Q7734">
        <v>3687</v>
      </c>
      <c r="R7734" t="s">
        <v>23</v>
      </c>
      <c r="S7734" s="1" t="s">
        <v>34218</v>
      </c>
    </row>
    <row r="7735" spans="1:19" x14ac:dyDescent="0.25">
      <c r="A7735">
        <v>101288933</v>
      </c>
      <c r="B7735" t="s">
        <v>18106</v>
      </c>
      <c r="C7735" t="s">
        <v>18107</v>
      </c>
      <c r="F7735" t="str">
        <f>"2128652410"</f>
        <v>2128652410</v>
      </c>
      <c r="G7735" t="s">
        <v>18108</v>
      </c>
      <c r="H7735" t="s">
        <v>653</v>
      </c>
      <c r="I7735" t="s">
        <v>117</v>
      </c>
      <c r="J7735">
        <v>10025</v>
      </c>
      <c r="K7735">
        <v>6907</v>
      </c>
      <c r="L7735" t="s">
        <v>23</v>
      </c>
      <c r="M7735" t="s">
        <v>18108</v>
      </c>
      <c r="N7735" t="s">
        <v>653</v>
      </c>
      <c r="O7735" t="s">
        <v>117</v>
      </c>
      <c r="P7735">
        <v>10025</v>
      </c>
      <c r="Q7735">
        <v>6907</v>
      </c>
      <c r="R7735" t="s">
        <v>23</v>
      </c>
      <c r="S7735" s="1" t="s">
        <v>34218</v>
      </c>
    </row>
    <row r="7736" spans="1:19" x14ac:dyDescent="0.25">
      <c r="A7736">
        <v>101286458</v>
      </c>
      <c r="B7736" t="s">
        <v>18109</v>
      </c>
      <c r="C7736" t="s">
        <v>3590</v>
      </c>
      <c r="G7736" t="s">
        <v>18110</v>
      </c>
      <c r="H7736" t="s">
        <v>18111</v>
      </c>
      <c r="I7736" t="s">
        <v>161</v>
      </c>
      <c r="J7736">
        <v>6109</v>
      </c>
      <c r="K7736">
        <v>1340</v>
      </c>
      <c r="L7736" t="s">
        <v>23</v>
      </c>
      <c r="M7736" t="s">
        <v>18110</v>
      </c>
      <c r="N7736" t="s">
        <v>18111</v>
      </c>
      <c r="O7736" t="s">
        <v>161</v>
      </c>
      <c r="P7736">
        <v>6109</v>
      </c>
      <c r="Q7736">
        <v>1340</v>
      </c>
      <c r="R7736" t="s">
        <v>23</v>
      </c>
      <c r="S7736" s="1" t="s">
        <v>34218</v>
      </c>
    </row>
    <row r="7737" spans="1:19" x14ac:dyDescent="0.25">
      <c r="A7737">
        <v>101284818</v>
      </c>
      <c r="B7737" t="s">
        <v>5218</v>
      </c>
      <c r="C7737" t="s">
        <v>123</v>
      </c>
      <c r="G7737" t="s">
        <v>18112</v>
      </c>
      <c r="H7737" t="s">
        <v>18113</v>
      </c>
      <c r="I7737" t="s">
        <v>446</v>
      </c>
      <c r="J7737">
        <v>28147</v>
      </c>
      <c r="K7737">
        <v>8534</v>
      </c>
      <c r="L7737" t="s">
        <v>23</v>
      </c>
      <c r="M7737" t="s">
        <v>18112</v>
      </c>
      <c r="N7737" t="s">
        <v>18113</v>
      </c>
      <c r="O7737" t="s">
        <v>446</v>
      </c>
      <c r="P7737">
        <v>28147</v>
      </c>
      <c r="Q7737">
        <v>8534</v>
      </c>
      <c r="R7737" t="s">
        <v>23</v>
      </c>
      <c r="S7737" s="1" t="s">
        <v>34218</v>
      </c>
    </row>
    <row r="7738" spans="1:19" x14ac:dyDescent="0.25">
      <c r="A7738">
        <v>101293464</v>
      </c>
      <c r="B7738" t="s">
        <v>18114</v>
      </c>
      <c r="C7738" t="s">
        <v>18115</v>
      </c>
      <c r="G7738" t="s">
        <v>18116</v>
      </c>
      <c r="H7738" t="s">
        <v>18117</v>
      </c>
      <c r="I7738" t="s">
        <v>250</v>
      </c>
      <c r="J7738">
        <v>7307</v>
      </c>
      <c r="K7738">
        <v>3954</v>
      </c>
      <c r="L7738" t="s">
        <v>23</v>
      </c>
      <c r="M7738" t="s">
        <v>18116</v>
      </c>
      <c r="N7738" t="s">
        <v>18117</v>
      </c>
      <c r="O7738" t="s">
        <v>250</v>
      </c>
      <c r="P7738">
        <v>7307</v>
      </c>
      <c r="Q7738">
        <v>3954</v>
      </c>
      <c r="R7738" t="s">
        <v>23</v>
      </c>
      <c r="S7738" s="1" t="s">
        <v>34218</v>
      </c>
    </row>
    <row r="7739" spans="1:19" x14ac:dyDescent="0.25">
      <c r="A7739">
        <v>101283240</v>
      </c>
      <c r="B7739" t="s">
        <v>18118</v>
      </c>
      <c r="C7739" t="s">
        <v>1886</v>
      </c>
      <c r="G7739" t="s">
        <v>18119</v>
      </c>
      <c r="H7739" t="s">
        <v>9229</v>
      </c>
      <c r="I7739" t="s">
        <v>52</v>
      </c>
      <c r="J7739">
        <v>33966</v>
      </c>
      <c r="K7739">
        <v>1370</v>
      </c>
      <c r="L7739" t="s">
        <v>23</v>
      </c>
      <c r="M7739" t="s">
        <v>18119</v>
      </c>
      <c r="N7739" t="s">
        <v>9229</v>
      </c>
      <c r="O7739" t="s">
        <v>52</v>
      </c>
      <c r="P7739">
        <v>33966</v>
      </c>
      <c r="Q7739">
        <v>1370</v>
      </c>
      <c r="R7739" t="s">
        <v>23</v>
      </c>
      <c r="S7739" s="1" t="s">
        <v>34218</v>
      </c>
    </row>
    <row r="7740" spans="1:19" x14ac:dyDescent="0.25">
      <c r="A7740">
        <v>101285305</v>
      </c>
      <c r="B7740" t="s">
        <v>14610</v>
      </c>
      <c r="C7740" t="s">
        <v>3951</v>
      </c>
      <c r="G7740" t="s">
        <v>18120</v>
      </c>
      <c r="H7740" t="s">
        <v>17360</v>
      </c>
      <c r="I7740" t="s">
        <v>71</v>
      </c>
      <c r="J7740">
        <v>80517</v>
      </c>
      <c r="K7740">
        <v>8600</v>
      </c>
      <c r="L7740" t="s">
        <v>23</v>
      </c>
      <c r="M7740" t="s">
        <v>18120</v>
      </c>
      <c r="N7740" t="s">
        <v>17360</v>
      </c>
      <c r="O7740" t="s">
        <v>71</v>
      </c>
      <c r="P7740">
        <v>80517</v>
      </c>
      <c r="Q7740">
        <v>8600</v>
      </c>
      <c r="R7740" t="s">
        <v>23</v>
      </c>
      <c r="S7740" s="1" t="s">
        <v>34218</v>
      </c>
    </row>
    <row r="7741" spans="1:19" x14ac:dyDescent="0.25">
      <c r="A7741">
        <v>101293518</v>
      </c>
      <c r="B7741" t="s">
        <v>14565</v>
      </c>
      <c r="C7741" t="s">
        <v>539</v>
      </c>
      <c r="G7741" t="s">
        <v>18121</v>
      </c>
      <c r="H7741" t="s">
        <v>134</v>
      </c>
      <c r="I7741" t="s">
        <v>135</v>
      </c>
      <c r="J7741">
        <v>60643</v>
      </c>
      <c r="K7741">
        <v>4511</v>
      </c>
      <c r="L7741" t="s">
        <v>23</v>
      </c>
      <c r="M7741" t="s">
        <v>18121</v>
      </c>
      <c r="N7741" t="s">
        <v>134</v>
      </c>
      <c r="O7741" t="s">
        <v>135</v>
      </c>
      <c r="P7741">
        <v>60643</v>
      </c>
      <c r="Q7741">
        <v>4511</v>
      </c>
      <c r="R7741" t="s">
        <v>23</v>
      </c>
      <c r="S7741" s="1" t="s">
        <v>34218</v>
      </c>
    </row>
    <row r="7742" spans="1:19" x14ac:dyDescent="0.25">
      <c r="A7742">
        <v>101291731</v>
      </c>
      <c r="B7742" t="s">
        <v>18122</v>
      </c>
      <c r="C7742" t="s">
        <v>18123</v>
      </c>
      <c r="G7742" t="s">
        <v>18124</v>
      </c>
      <c r="H7742" t="s">
        <v>18125</v>
      </c>
      <c r="I7742" t="s">
        <v>365</v>
      </c>
      <c r="J7742">
        <v>86323</v>
      </c>
      <c r="K7742">
        <v>7115</v>
      </c>
      <c r="L7742" t="s">
        <v>23</v>
      </c>
      <c r="M7742" t="s">
        <v>18124</v>
      </c>
      <c r="N7742" t="s">
        <v>18125</v>
      </c>
      <c r="O7742" t="s">
        <v>365</v>
      </c>
      <c r="P7742">
        <v>86323</v>
      </c>
      <c r="Q7742">
        <v>7115</v>
      </c>
      <c r="R7742" t="s">
        <v>23</v>
      </c>
      <c r="S7742" s="1" t="s">
        <v>34218</v>
      </c>
    </row>
    <row r="7743" spans="1:19" x14ac:dyDescent="0.25">
      <c r="A7743">
        <v>101294863</v>
      </c>
      <c r="B7743" t="s">
        <v>18126</v>
      </c>
      <c r="C7743" t="s">
        <v>2892</v>
      </c>
      <c r="G7743" t="s">
        <v>18127</v>
      </c>
      <c r="H7743" t="s">
        <v>685</v>
      </c>
      <c r="I7743" t="s">
        <v>187</v>
      </c>
      <c r="J7743">
        <v>55437</v>
      </c>
      <c r="K7743">
        <v>1846</v>
      </c>
      <c r="L7743" t="s">
        <v>23</v>
      </c>
      <c r="M7743" t="s">
        <v>18127</v>
      </c>
      <c r="N7743" t="s">
        <v>685</v>
      </c>
      <c r="O7743" t="s">
        <v>187</v>
      </c>
      <c r="P7743">
        <v>55437</v>
      </c>
      <c r="Q7743">
        <v>1846</v>
      </c>
      <c r="R7743" t="s">
        <v>23</v>
      </c>
      <c r="S7743" s="1" t="s">
        <v>34218</v>
      </c>
    </row>
    <row r="7744" spans="1:19" x14ac:dyDescent="0.25">
      <c r="A7744">
        <v>101290547</v>
      </c>
      <c r="B7744" t="s">
        <v>18128</v>
      </c>
      <c r="C7744" t="s">
        <v>2642</v>
      </c>
      <c r="F7744" t="str">
        <f>"9703684764"</f>
        <v>9703684764</v>
      </c>
      <c r="G7744" t="s">
        <v>7102</v>
      </c>
      <c r="H7744" t="s">
        <v>4098</v>
      </c>
      <c r="I7744" t="s">
        <v>71</v>
      </c>
      <c r="J7744">
        <v>80435</v>
      </c>
      <c r="K7744">
        <v>223</v>
      </c>
      <c r="L7744" t="s">
        <v>23</v>
      </c>
      <c r="M7744" t="s">
        <v>7102</v>
      </c>
      <c r="N7744" t="s">
        <v>4098</v>
      </c>
      <c r="O7744" t="s">
        <v>71</v>
      </c>
      <c r="P7744">
        <v>80435</v>
      </c>
      <c r="Q7744">
        <v>223</v>
      </c>
      <c r="R7744" t="s">
        <v>23</v>
      </c>
      <c r="S7744" s="1" t="s">
        <v>34218</v>
      </c>
    </row>
    <row r="7745" spans="1:19" x14ac:dyDescent="0.25">
      <c r="A7745">
        <v>101294880</v>
      </c>
      <c r="B7745" t="s">
        <v>10214</v>
      </c>
      <c r="C7745" t="s">
        <v>102</v>
      </c>
      <c r="G7745" t="s">
        <v>18129</v>
      </c>
      <c r="H7745" t="s">
        <v>1439</v>
      </c>
      <c r="I7745" t="s">
        <v>365</v>
      </c>
      <c r="J7745">
        <v>85739</v>
      </c>
      <c r="K7745">
        <v>8332</v>
      </c>
      <c r="L7745" t="s">
        <v>23</v>
      </c>
      <c r="M7745" t="s">
        <v>18129</v>
      </c>
      <c r="N7745" t="s">
        <v>1439</v>
      </c>
      <c r="O7745" t="s">
        <v>365</v>
      </c>
      <c r="P7745">
        <v>85739</v>
      </c>
      <c r="Q7745">
        <v>8332</v>
      </c>
      <c r="R7745" t="s">
        <v>23</v>
      </c>
      <c r="S7745" s="1" t="s">
        <v>34218</v>
      </c>
    </row>
    <row r="7746" spans="1:19" x14ac:dyDescent="0.25">
      <c r="A7746">
        <v>101292239</v>
      </c>
      <c r="B7746" t="s">
        <v>18130</v>
      </c>
      <c r="C7746" t="s">
        <v>123</v>
      </c>
      <c r="G7746" t="s">
        <v>18131</v>
      </c>
      <c r="H7746" t="s">
        <v>761</v>
      </c>
      <c r="I7746" t="s">
        <v>22</v>
      </c>
      <c r="J7746">
        <v>94520</v>
      </c>
      <c r="K7746">
        <v>5506</v>
      </c>
      <c r="L7746" t="s">
        <v>23</v>
      </c>
      <c r="M7746" t="s">
        <v>18131</v>
      </c>
      <c r="N7746" t="s">
        <v>761</v>
      </c>
      <c r="O7746" t="s">
        <v>22</v>
      </c>
      <c r="P7746">
        <v>94520</v>
      </c>
      <c r="Q7746">
        <v>5506</v>
      </c>
      <c r="R7746" t="s">
        <v>23</v>
      </c>
      <c r="S7746" s="1" t="s">
        <v>34218</v>
      </c>
    </row>
    <row r="7747" spans="1:19" x14ac:dyDescent="0.25">
      <c r="A7747">
        <v>101289539</v>
      </c>
      <c r="B7747" t="s">
        <v>18</v>
      </c>
      <c r="C7747" t="s">
        <v>483</v>
      </c>
      <c r="G7747" t="s">
        <v>18132</v>
      </c>
      <c r="H7747" t="s">
        <v>11842</v>
      </c>
      <c r="I7747" t="s">
        <v>57</v>
      </c>
      <c r="J7747">
        <v>46143</v>
      </c>
      <c r="K7747">
        <v>6585</v>
      </c>
      <c r="L7747" t="s">
        <v>23</v>
      </c>
      <c r="M7747" t="s">
        <v>18132</v>
      </c>
      <c r="N7747" t="s">
        <v>11842</v>
      </c>
      <c r="O7747" t="s">
        <v>57</v>
      </c>
      <c r="P7747">
        <v>46143</v>
      </c>
      <c r="Q7747">
        <v>6585</v>
      </c>
      <c r="R7747" t="s">
        <v>23</v>
      </c>
      <c r="S7747" s="1" t="s">
        <v>34218</v>
      </c>
    </row>
    <row r="7748" spans="1:19" x14ac:dyDescent="0.25">
      <c r="A7748">
        <v>101296146</v>
      </c>
      <c r="B7748" t="s">
        <v>216</v>
      </c>
      <c r="C7748" t="s">
        <v>18133</v>
      </c>
      <c r="G7748" t="s">
        <v>18134</v>
      </c>
      <c r="H7748" t="s">
        <v>1748</v>
      </c>
      <c r="I7748" t="s">
        <v>236</v>
      </c>
      <c r="J7748">
        <v>2476</v>
      </c>
      <c r="K7748">
        <v>5748</v>
      </c>
      <c r="L7748" t="s">
        <v>23</v>
      </c>
      <c r="M7748" t="s">
        <v>18134</v>
      </c>
      <c r="N7748" t="s">
        <v>1748</v>
      </c>
      <c r="O7748" t="s">
        <v>236</v>
      </c>
      <c r="P7748">
        <v>2476</v>
      </c>
      <c r="Q7748">
        <v>5748</v>
      </c>
      <c r="R7748" t="s">
        <v>23</v>
      </c>
      <c r="S7748" s="1" t="s">
        <v>34218</v>
      </c>
    </row>
    <row r="7749" spans="1:19" x14ac:dyDescent="0.25">
      <c r="A7749">
        <v>101069530</v>
      </c>
      <c r="B7749" t="s">
        <v>18135</v>
      </c>
      <c r="C7749" t="s">
        <v>18136</v>
      </c>
      <c r="G7749" t="s">
        <v>18137</v>
      </c>
      <c r="H7749" t="s">
        <v>2434</v>
      </c>
      <c r="I7749" t="s">
        <v>161</v>
      </c>
      <c r="J7749">
        <v>6512</v>
      </c>
      <c r="K7749">
        <v>3654</v>
      </c>
      <c r="L7749" t="s">
        <v>23</v>
      </c>
      <c r="M7749" t="s">
        <v>18137</v>
      </c>
      <c r="N7749" t="s">
        <v>2434</v>
      </c>
      <c r="O7749" t="s">
        <v>161</v>
      </c>
      <c r="P7749">
        <v>6512</v>
      </c>
      <c r="Q7749">
        <v>3654</v>
      </c>
      <c r="R7749" t="s">
        <v>23</v>
      </c>
      <c r="S7749" s="1" t="s">
        <v>34218</v>
      </c>
    </row>
    <row r="7750" spans="1:19" x14ac:dyDescent="0.25">
      <c r="A7750">
        <v>101073227</v>
      </c>
      <c r="B7750" t="s">
        <v>18138</v>
      </c>
      <c r="C7750" t="s">
        <v>718</v>
      </c>
      <c r="G7750" t="s">
        <v>18139</v>
      </c>
      <c r="H7750" t="s">
        <v>2274</v>
      </c>
      <c r="I7750" t="s">
        <v>236</v>
      </c>
      <c r="J7750">
        <v>2324</v>
      </c>
      <c r="K7750">
        <v>2814</v>
      </c>
      <c r="L7750" t="s">
        <v>23</v>
      </c>
      <c r="M7750" t="s">
        <v>18139</v>
      </c>
      <c r="N7750" t="s">
        <v>2274</v>
      </c>
      <c r="O7750" t="s">
        <v>236</v>
      </c>
      <c r="P7750">
        <v>2324</v>
      </c>
      <c r="Q7750">
        <v>2814</v>
      </c>
      <c r="R7750" t="s">
        <v>23</v>
      </c>
      <c r="S7750" s="1" t="s">
        <v>34218</v>
      </c>
    </row>
    <row r="7751" spans="1:19" x14ac:dyDescent="0.25">
      <c r="A7751">
        <v>101082248</v>
      </c>
      <c r="B7751" t="s">
        <v>18140</v>
      </c>
      <c r="C7751" t="s">
        <v>432</v>
      </c>
      <c r="G7751" t="s">
        <v>18141</v>
      </c>
      <c r="H7751" t="s">
        <v>11625</v>
      </c>
      <c r="I7751" t="s">
        <v>353</v>
      </c>
      <c r="J7751">
        <v>3820</v>
      </c>
      <c r="K7751">
        <v>4927</v>
      </c>
      <c r="L7751" t="s">
        <v>23</v>
      </c>
      <c r="M7751" t="s">
        <v>18141</v>
      </c>
      <c r="N7751" t="s">
        <v>11625</v>
      </c>
      <c r="O7751" t="s">
        <v>353</v>
      </c>
      <c r="P7751">
        <v>3820</v>
      </c>
      <c r="Q7751">
        <v>4927</v>
      </c>
      <c r="R7751" t="s">
        <v>23</v>
      </c>
      <c r="S7751" s="1" t="s">
        <v>34218</v>
      </c>
    </row>
    <row r="7752" spans="1:19" x14ac:dyDescent="0.25">
      <c r="A7752">
        <v>101082524</v>
      </c>
      <c r="B7752" t="s">
        <v>18142</v>
      </c>
      <c r="C7752" t="s">
        <v>305</v>
      </c>
      <c r="G7752" t="s">
        <v>18143</v>
      </c>
      <c r="H7752" t="s">
        <v>18144</v>
      </c>
      <c r="I7752" t="s">
        <v>135</v>
      </c>
      <c r="J7752">
        <v>60554</v>
      </c>
      <c r="K7752">
        <v>5939</v>
      </c>
      <c r="L7752" t="s">
        <v>23</v>
      </c>
      <c r="M7752" t="s">
        <v>18143</v>
      </c>
      <c r="N7752" t="s">
        <v>18144</v>
      </c>
      <c r="O7752" t="s">
        <v>135</v>
      </c>
      <c r="P7752">
        <v>60554</v>
      </c>
      <c r="Q7752">
        <v>5939</v>
      </c>
      <c r="R7752" t="s">
        <v>23</v>
      </c>
      <c r="S7752" s="1" t="s">
        <v>34218</v>
      </c>
    </row>
    <row r="7753" spans="1:19" x14ac:dyDescent="0.25">
      <c r="A7753">
        <v>101087254</v>
      </c>
      <c r="B7753" t="s">
        <v>4984</v>
      </c>
      <c r="C7753" t="s">
        <v>535</v>
      </c>
      <c r="G7753" t="s">
        <v>18145</v>
      </c>
      <c r="H7753" t="s">
        <v>7440</v>
      </c>
      <c r="I7753" t="s">
        <v>33</v>
      </c>
      <c r="J7753">
        <v>19526</v>
      </c>
      <c r="K7753">
        <v>8037</v>
      </c>
      <c r="L7753" t="s">
        <v>23</v>
      </c>
      <c r="M7753" t="s">
        <v>18145</v>
      </c>
      <c r="N7753" t="s">
        <v>7440</v>
      </c>
      <c r="O7753" t="s">
        <v>33</v>
      </c>
      <c r="P7753">
        <v>19526</v>
      </c>
      <c r="Q7753">
        <v>8037</v>
      </c>
      <c r="R7753" t="s">
        <v>23</v>
      </c>
      <c r="S7753" s="1" t="s">
        <v>34218</v>
      </c>
    </row>
    <row r="7754" spans="1:19" x14ac:dyDescent="0.25">
      <c r="A7754">
        <v>101091393</v>
      </c>
      <c r="B7754" t="s">
        <v>6111</v>
      </c>
      <c r="C7754" t="s">
        <v>535</v>
      </c>
      <c r="G7754" t="s">
        <v>18146</v>
      </c>
      <c r="H7754" t="s">
        <v>861</v>
      </c>
      <c r="I7754" t="s">
        <v>33</v>
      </c>
      <c r="J7754">
        <v>19355</v>
      </c>
      <c r="K7754">
        <v>2234</v>
      </c>
      <c r="L7754" t="s">
        <v>23</v>
      </c>
      <c r="M7754" t="s">
        <v>18146</v>
      </c>
      <c r="N7754" t="s">
        <v>861</v>
      </c>
      <c r="O7754" t="s">
        <v>33</v>
      </c>
      <c r="P7754">
        <v>19355</v>
      </c>
      <c r="Q7754">
        <v>2234</v>
      </c>
      <c r="R7754" t="s">
        <v>23</v>
      </c>
      <c r="S7754" s="1" t="s">
        <v>34218</v>
      </c>
    </row>
    <row r="7755" spans="1:19" x14ac:dyDescent="0.25">
      <c r="A7755">
        <v>101082754</v>
      </c>
      <c r="B7755" t="s">
        <v>18147</v>
      </c>
      <c r="C7755" t="s">
        <v>247</v>
      </c>
      <c r="G7755" t="s">
        <v>18148</v>
      </c>
      <c r="H7755" t="s">
        <v>7108</v>
      </c>
      <c r="I7755" t="s">
        <v>353</v>
      </c>
      <c r="J7755">
        <v>3458</v>
      </c>
      <c r="K7755">
        <v>2153</v>
      </c>
      <c r="L7755" t="s">
        <v>23</v>
      </c>
      <c r="M7755" t="s">
        <v>18148</v>
      </c>
      <c r="N7755" t="s">
        <v>7108</v>
      </c>
      <c r="O7755" t="s">
        <v>353</v>
      </c>
      <c r="P7755">
        <v>3458</v>
      </c>
      <c r="Q7755">
        <v>2153</v>
      </c>
      <c r="R7755" t="s">
        <v>23</v>
      </c>
      <c r="S7755" s="1" t="s">
        <v>34218</v>
      </c>
    </row>
    <row r="7756" spans="1:19" x14ac:dyDescent="0.25">
      <c r="A7756">
        <v>101307655</v>
      </c>
      <c r="B7756" t="s">
        <v>18149</v>
      </c>
      <c r="C7756" t="s">
        <v>1679</v>
      </c>
      <c r="G7756" t="s">
        <v>18150</v>
      </c>
      <c r="H7756" t="s">
        <v>6879</v>
      </c>
      <c r="I7756" t="s">
        <v>565</v>
      </c>
      <c r="J7756">
        <v>50311</v>
      </c>
      <c r="K7756">
        <v>3318</v>
      </c>
      <c r="L7756" t="s">
        <v>23</v>
      </c>
      <c r="M7756" t="s">
        <v>18150</v>
      </c>
      <c r="N7756" t="s">
        <v>6879</v>
      </c>
      <c r="O7756" t="s">
        <v>565</v>
      </c>
      <c r="P7756">
        <v>50311</v>
      </c>
      <c r="Q7756">
        <v>3318</v>
      </c>
      <c r="R7756" t="s">
        <v>23</v>
      </c>
      <c r="S7756" s="1" t="s">
        <v>34218</v>
      </c>
    </row>
    <row r="7757" spans="1:19" x14ac:dyDescent="0.25">
      <c r="A7757">
        <v>101312290</v>
      </c>
      <c r="B7757" t="s">
        <v>1505</v>
      </c>
      <c r="C7757" t="s">
        <v>81</v>
      </c>
      <c r="G7757" t="s">
        <v>18151</v>
      </c>
      <c r="H7757" t="s">
        <v>1962</v>
      </c>
      <c r="I7757" t="s">
        <v>71</v>
      </c>
      <c r="J7757">
        <v>80860</v>
      </c>
      <c r="K7757">
        <v>225</v>
      </c>
      <c r="L7757" t="s">
        <v>23</v>
      </c>
      <c r="M7757" t="s">
        <v>18151</v>
      </c>
      <c r="N7757" t="s">
        <v>1962</v>
      </c>
      <c r="O7757" t="s">
        <v>71</v>
      </c>
      <c r="P7757">
        <v>80860</v>
      </c>
      <c r="Q7757">
        <v>225</v>
      </c>
      <c r="R7757" t="s">
        <v>23</v>
      </c>
      <c r="S7757" s="1" t="s">
        <v>34218</v>
      </c>
    </row>
    <row r="7758" spans="1:19" x14ac:dyDescent="0.25">
      <c r="A7758">
        <v>101302976</v>
      </c>
      <c r="B7758" t="s">
        <v>18152</v>
      </c>
      <c r="C7758" t="s">
        <v>286</v>
      </c>
      <c r="G7758" t="s">
        <v>18153</v>
      </c>
      <c r="H7758" t="s">
        <v>5975</v>
      </c>
      <c r="I7758" t="s">
        <v>255</v>
      </c>
      <c r="J7758">
        <v>23116</v>
      </c>
      <c r="K7758">
        <v>5426</v>
      </c>
      <c r="L7758" t="s">
        <v>23</v>
      </c>
      <c r="M7758" t="s">
        <v>18153</v>
      </c>
      <c r="N7758" t="s">
        <v>5975</v>
      </c>
      <c r="O7758" t="s">
        <v>255</v>
      </c>
      <c r="P7758">
        <v>23116</v>
      </c>
      <c r="Q7758">
        <v>5426</v>
      </c>
      <c r="R7758" t="s">
        <v>23</v>
      </c>
      <c r="S7758" s="1" t="s">
        <v>34218</v>
      </c>
    </row>
    <row r="7759" spans="1:19" x14ac:dyDescent="0.25">
      <c r="A7759">
        <v>101303021</v>
      </c>
      <c r="B7759" t="s">
        <v>1134</v>
      </c>
      <c r="C7759" t="s">
        <v>509</v>
      </c>
      <c r="G7759" t="s">
        <v>18154</v>
      </c>
      <c r="H7759" t="s">
        <v>4199</v>
      </c>
      <c r="I7759" t="s">
        <v>71</v>
      </c>
      <c r="J7759">
        <v>80026</v>
      </c>
      <c r="K7759">
        <v>7001</v>
      </c>
      <c r="L7759" t="s">
        <v>23</v>
      </c>
      <c r="M7759" t="s">
        <v>18154</v>
      </c>
      <c r="N7759" t="s">
        <v>4199</v>
      </c>
      <c r="O7759" t="s">
        <v>71</v>
      </c>
      <c r="P7759">
        <v>80026</v>
      </c>
      <c r="Q7759">
        <v>7001</v>
      </c>
      <c r="R7759" t="s">
        <v>23</v>
      </c>
      <c r="S7759" s="1" t="s">
        <v>34218</v>
      </c>
    </row>
    <row r="7760" spans="1:19" x14ac:dyDescent="0.25">
      <c r="A7760">
        <v>101310636</v>
      </c>
      <c r="B7760" t="s">
        <v>18155</v>
      </c>
      <c r="C7760" t="s">
        <v>2938</v>
      </c>
      <c r="G7760" t="s">
        <v>18156</v>
      </c>
      <c r="H7760" t="s">
        <v>653</v>
      </c>
      <c r="I7760" t="s">
        <v>117</v>
      </c>
      <c r="J7760">
        <v>10023</v>
      </c>
      <c r="K7760">
        <v>4100</v>
      </c>
      <c r="L7760" t="s">
        <v>23</v>
      </c>
      <c r="M7760" t="s">
        <v>18156</v>
      </c>
      <c r="N7760" t="s">
        <v>653</v>
      </c>
      <c r="O7760" t="s">
        <v>117</v>
      </c>
      <c r="P7760">
        <v>10023</v>
      </c>
      <c r="Q7760">
        <v>4100</v>
      </c>
      <c r="R7760" t="s">
        <v>23</v>
      </c>
      <c r="S7760" s="1" t="s">
        <v>34218</v>
      </c>
    </row>
    <row r="7761" spans="1:19" x14ac:dyDescent="0.25">
      <c r="A7761">
        <v>101306672</v>
      </c>
      <c r="B7761" t="s">
        <v>18157</v>
      </c>
      <c r="C7761" t="s">
        <v>5283</v>
      </c>
      <c r="G7761" t="s">
        <v>18158</v>
      </c>
      <c r="H7761" t="s">
        <v>18159</v>
      </c>
      <c r="I7761" t="s">
        <v>255</v>
      </c>
      <c r="J7761">
        <v>23235</v>
      </c>
      <c r="K7761">
        <v>2762</v>
      </c>
      <c r="L7761" t="s">
        <v>23</v>
      </c>
      <c r="M7761" t="s">
        <v>18158</v>
      </c>
      <c r="N7761" t="s">
        <v>18159</v>
      </c>
      <c r="O7761" t="s">
        <v>255</v>
      </c>
      <c r="P7761">
        <v>23235</v>
      </c>
      <c r="Q7761">
        <v>2762</v>
      </c>
      <c r="R7761" t="s">
        <v>23</v>
      </c>
      <c r="S7761" s="1" t="s">
        <v>34218</v>
      </c>
    </row>
    <row r="7762" spans="1:19" x14ac:dyDescent="0.25">
      <c r="A7762">
        <v>101313619</v>
      </c>
      <c r="B7762" t="s">
        <v>18160</v>
      </c>
      <c r="C7762" t="s">
        <v>329</v>
      </c>
      <c r="G7762" t="s">
        <v>18161</v>
      </c>
      <c r="H7762" t="s">
        <v>1988</v>
      </c>
      <c r="I7762" t="s">
        <v>984</v>
      </c>
      <c r="J7762">
        <v>96740</v>
      </c>
      <c r="K7762">
        <v>2568</v>
      </c>
      <c r="L7762" t="s">
        <v>23</v>
      </c>
      <c r="M7762" t="s">
        <v>18161</v>
      </c>
      <c r="N7762" t="s">
        <v>1988</v>
      </c>
      <c r="O7762" t="s">
        <v>984</v>
      </c>
      <c r="P7762">
        <v>96740</v>
      </c>
      <c r="Q7762">
        <v>2568</v>
      </c>
      <c r="R7762" t="s">
        <v>23</v>
      </c>
      <c r="S7762" s="1" t="s">
        <v>34218</v>
      </c>
    </row>
    <row r="7763" spans="1:19" x14ac:dyDescent="0.25">
      <c r="A7763">
        <v>101311454</v>
      </c>
      <c r="B7763" t="s">
        <v>18162</v>
      </c>
      <c r="C7763" t="s">
        <v>403</v>
      </c>
      <c r="G7763" t="s">
        <v>18163</v>
      </c>
      <c r="H7763" t="s">
        <v>10357</v>
      </c>
      <c r="I7763" t="s">
        <v>33</v>
      </c>
      <c r="J7763">
        <v>17815</v>
      </c>
      <c r="K7763">
        <v>6810</v>
      </c>
      <c r="L7763" t="s">
        <v>23</v>
      </c>
      <c r="M7763" t="s">
        <v>18163</v>
      </c>
      <c r="N7763" t="s">
        <v>10357</v>
      </c>
      <c r="O7763" t="s">
        <v>33</v>
      </c>
      <c r="P7763">
        <v>17815</v>
      </c>
      <c r="Q7763">
        <v>6810</v>
      </c>
      <c r="R7763" t="s">
        <v>23</v>
      </c>
      <c r="S7763" s="1" t="s">
        <v>34218</v>
      </c>
    </row>
    <row r="7764" spans="1:19" x14ac:dyDescent="0.25">
      <c r="A7764">
        <v>101315371</v>
      </c>
      <c r="B7764" t="s">
        <v>18164</v>
      </c>
      <c r="C7764" t="s">
        <v>2515</v>
      </c>
      <c r="G7764" t="s">
        <v>18165</v>
      </c>
      <c r="H7764" t="s">
        <v>5876</v>
      </c>
      <c r="I7764" t="s">
        <v>52</v>
      </c>
      <c r="J7764">
        <v>34208</v>
      </c>
      <c r="K7764">
        <v>5830</v>
      </c>
      <c r="L7764" t="s">
        <v>23</v>
      </c>
      <c r="M7764" t="s">
        <v>18165</v>
      </c>
      <c r="N7764" t="s">
        <v>5876</v>
      </c>
      <c r="O7764" t="s">
        <v>52</v>
      </c>
      <c r="P7764">
        <v>34208</v>
      </c>
      <c r="Q7764">
        <v>5830</v>
      </c>
      <c r="R7764" t="s">
        <v>23</v>
      </c>
      <c r="S7764" s="1" t="s">
        <v>34218</v>
      </c>
    </row>
    <row r="7765" spans="1:19" x14ac:dyDescent="0.25">
      <c r="A7765">
        <v>101308706</v>
      </c>
      <c r="B7765" t="s">
        <v>18166</v>
      </c>
      <c r="C7765" t="s">
        <v>1616</v>
      </c>
      <c r="G7765" t="s">
        <v>18167</v>
      </c>
      <c r="H7765" t="s">
        <v>18168</v>
      </c>
      <c r="I7765" t="s">
        <v>187</v>
      </c>
      <c r="J7765">
        <v>55364</v>
      </c>
      <c r="K7765">
        <v>8238</v>
      </c>
      <c r="L7765" t="s">
        <v>23</v>
      </c>
      <c r="M7765" t="s">
        <v>18167</v>
      </c>
      <c r="N7765" t="s">
        <v>18168</v>
      </c>
      <c r="O7765" t="s">
        <v>187</v>
      </c>
      <c r="P7765">
        <v>55364</v>
      </c>
      <c r="Q7765">
        <v>8238</v>
      </c>
      <c r="R7765" t="s">
        <v>23</v>
      </c>
      <c r="S7765" s="1" t="s">
        <v>34218</v>
      </c>
    </row>
    <row r="7766" spans="1:19" x14ac:dyDescent="0.25">
      <c r="A7766">
        <v>101311605</v>
      </c>
      <c r="B7766" t="s">
        <v>18169</v>
      </c>
      <c r="C7766" t="s">
        <v>1363</v>
      </c>
      <c r="G7766" t="s">
        <v>18170</v>
      </c>
      <c r="H7766" t="s">
        <v>5413</v>
      </c>
      <c r="I7766" t="s">
        <v>191</v>
      </c>
      <c r="J7766">
        <v>4938</v>
      </c>
      <c r="K7766">
        <v>5103</v>
      </c>
      <c r="L7766" t="s">
        <v>23</v>
      </c>
      <c r="M7766" t="s">
        <v>18170</v>
      </c>
      <c r="N7766" t="s">
        <v>5413</v>
      </c>
      <c r="O7766" t="s">
        <v>191</v>
      </c>
      <c r="P7766">
        <v>4938</v>
      </c>
      <c r="Q7766">
        <v>5103</v>
      </c>
      <c r="R7766" t="s">
        <v>23</v>
      </c>
      <c r="S7766" s="1" t="s">
        <v>34218</v>
      </c>
    </row>
    <row r="7767" spans="1:19" x14ac:dyDescent="0.25">
      <c r="A7767">
        <v>101320877</v>
      </c>
      <c r="B7767" t="s">
        <v>18171</v>
      </c>
      <c r="C7767" t="s">
        <v>30</v>
      </c>
      <c r="G7767" t="s">
        <v>18172</v>
      </c>
      <c r="H7767" t="s">
        <v>653</v>
      </c>
      <c r="I7767" t="s">
        <v>117</v>
      </c>
      <c r="J7767">
        <v>10025</v>
      </c>
      <c r="K7767">
        <v>4807</v>
      </c>
      <c r="L7767" t="s">
        <v>23</v>
      </c>
      <c r="M7767" t="s">
        <v>18172</v>
      </c>
      <c r="N7767" t="s">
        <v>653</v>
      </c>
      <c r="O7767" t="s">
        <v>117</v>
      </c>
      <c r="P7767">
        <v>10025</v>
      </c>
      <c r="Q7767">
        <v>4807</v>
      </c>
      <c r="R7767" t="s">
        <v>23</v>
      </c>
      <c r="S7767" s="1" t="s">
        <v>34218</v>
      </c>
    </row>
    <row r="7768" spans="1:19" x14ac:dyDescent="0.25">
      <c r="A7768">
        <v>101314185</v>
      </c>
      <c r="B7768" t="s">
        <v>916</v>
      </c>
      <c r="C7768" t="s">
        <v>7844</v>
      </c>
      <c r="G7768" t="s">
        <v>18173</v>
      </c>
      <c r="H7768" t="s">
        <v>13397</v>
      </c>
      <c r="I7768" t="s">
        <v>187</v>
      </c>
      <c r="J7768">
        <v>55124</v>
      </c>
      <c r="K7768">
        <v>8428</v>
      </c>
      <c r="L7768" t="s">
        <v>23</v>
      </c>
      <c r="M7768" t="s">
        <v>18173</v>
      </c>
      <c r="N7768" t="s">
        <v>13397</v>
      </c>
      <c r="O7768" t="s">
        <v>187</v>
      </c>
      <c r="P7768">
        <v>55124</v>
      </c>
      <c r="Q7768">
        <v>8428</v>
      </c>
      <c r="R7768" t="s">
        <v>23</v>
      </c>
      <c r="S7768" s="1" t="s">
        <v>34218</v>
      </c>
    </row>
    <row r="7769" spans="1:19" x14ac:dyDescent="0.25">
      <c r="A7769">
        <v>101312528</v>
      </c>
      <c r="B7769" t="s">
        <v>18174</v>
      </c>
      <c r="C7769" t="s">
        <v>18175</v>
      </c>
      <c r="F7769" t="str">
        <f>"9252879460"</f>
        <v>9252879460</v>
      </c>
      <c r="G7769" t="s">
        <v>18176</v>
      </c>
      <c r="H7769" t="s">
        <v>1318</v>
      </c>
      <c r="I7769" t="s">
        <v>22</v>
      </c>
      <c r="J7769">
        <v>94595</v>
      </c>
      <c r="K7769">
        <v>3908</v>
      </c>
      <c r="L7769" t="s">
        <v>23</v>
      </c>
      <c r="M7769" t="s">
        <v>18176</v>
      </c>
      <c r="N7769" t="s">
        <v>1318</v>
      </c>
      <c r="O7769" t="s">
        <v>22</v>
      </c>
      <c r="P7769">
        <v>94595</v>
      </c>
      <c r="Q7769">
        <v>3908</v>
      </c>
      <c r="R7769" t="s">
        <v>23</v>
      </c>
      <c r="S7769" s="1" t="s">
        <v>34218</v>
      </c>
    </row>
    <row r="7770" spans="1:19" x14ac:dyDescent="0.25">
      <c r="A7770">
        <v>101319890</v>
      </c>
      <c r="B7770" t="s">
        <v>18177</v>
      </c>
      <c r="C7770" t="s">
        <v>575</v>
      </c>
      <c r="G7770" t="s">
        <v>18178</v>
      </c>
      <c r="H7770" t="s">
        <v>18179</v>
      </c>
      <c r="I7770" t="s">
        <v>353</v>
      </c>
      <c r="J7770">
        <v>3237</v>
      </c>
      <c r="K7770">
        <v>5012</v>
      </c>
      <c r="L7770" t="s">
        <v>23</v>
      </c>
      <c r="M7770" t="s">
        <v>18178</v>
      </c>
      <c r="N7770" t="s">
        <v>18179</v>
      </c>
      <c r="O7770" t="s">
        <v>353</v>
      </c>
      <c r="P7770">
        <v>3237</v>
      </c>
      <c r="Q7770">
        <v>5012</v>
      </c>
      <c r="R7770" t="s">
        <v>23</v>
      </c>
      <c r="S7770" s="1" t="s">
        <v>34218</v>
      </c>
    </row>
    <row r="7771" spans="1:19" x14ac:dyDescent="0.25">
      <c r="A7771">
        <v>101312552</v>
      </c>
      <c r="B7771" t="s">
        <v>18180</v>
      </c>
      <c r="C7771" t="s">
        <v>846</v>
      </c>
      <c r="F7771" t="str">
        <f>"5634455831"</f>
        <v>5634455831</v>
      </c>
      <c r="G7771" t="s">
        <v>18181</v>
      </c>
      <c r="H7771" t="s">
        <v>5929</v>
      </c>
      <c r="I7771" t="s">
        <v>565</v>
      </c>
      <c r="J7771">
        <v>52806</v>
      </c>
      <c r="K7771">
        <v>2812</v>
      </c>
      <c r="L7771" t="s">
        <v>23</v>
      </c>
      <c r="M7771" t="s">
        <v>18181</v>
      </c>
      <c r="N7771" t="s">
        <v>5929</v>
      </c>
      <c r="O7771" t="s">
        <v>565</v>
      </c>
      <c r="P7771">
        <v>52806</v>
      </c>
      <c r="Q7771">
        <v>2812</v>
      </c>
      <c r="R7771" t="s">
        <v>23</v>
      </c>
      <c r="S7771" s="1" t="s">
        <v>34218</v>
      </c>
    </row>
    <row r="7772" spans="1:19" x14ac:dyDescent="0.25">
      <c r="A7772">
        <v>101323722</v>
      </c>
      <c r="B7772" t="s">
        <v>18182</v>
      </c>
      <c r="C7772" t="s">
        <v>18183</v>
      </c>
      <c r="G7772" t="s">
        <v>18184</v>
      </c>
      <c r="H7772" t="s">
        <v>18185</v>
      </c>
      <c r="I7772" t="s">
        <v>52</v>
      </c>
      <c r="J7772">
        <v>32327</v>
      </c>
      <c r="K7772">
        <v>1510</v>
      </c>
      <c r="L7772" t="s">
        <v>23</v>
      </c>
      <c r="M7772" t="s">
        <v>18184</v>
      </c>
      <c r="N7772" t="s">
        <v>18185</v>
      </c>
      <c r="O7772" t="s">
        <v>52</v>
      </c>
      <c r="P7772">
        <v>32327</v>
      </c>
      <c r="Q7772">
        <v>1510</v>
      </c>
      <c r="R7772" t="s">
        <v>23</v>
      </c>
      <c r="S7772" s="1" t="s">
        <v>34218</v>
      </c>
    </row>
    <row r="7773" spans="1:19" x14ac:dyDescent="0.25">
      <c r="A7773">
        <v>101319230</v>
      </c>
      <c r="B7773" t="s">
        <v>18186</v>
      </c>
      <c r="C7773" t="s">
        <v>505</v>
      </c>
      <c r="G7773" t="s">
        <v>18187</v>
      </c>
      <c r="H7773" t="s">
        <v>18188</v>
      </c>
      <c r="I7773" t="s">
        <v>255</v>
      </c>
      <c r="J7773">
        <v>22520</v>
      </c>
      <c r="K7773">
        <v>8730</v>
      </c>
      <c r="L7773" t="s">
        <v>23</v>
      </c>
      <c r="M7773" t="s">
        <v>18187</v>
      </c>
      <c r="N7773" t="s">
        <v>18188</v>
      </c>
      <c r="O7773" t="s">
        <v>255</v>
      </c>
      <c r="P7773">
        <v>22520</v>
      </c>
      <c r="Q7773">
        <v>8730</v>
      </c>
      <c r="R7773" t="s">
        <v>23</v>
      </c>
      <c r="S7773" s="1" t="s">
        <v>34218</v>
      </c>
    </row>
    <row r="7774" spans="1:19" x14ac:dyDescent="0.25">
      <c r="A7774">
        <v>101320417</v>
      </c>
      <c r="B7774" t="s">
        <v>18189</v>
      </c>
      <c r="C7774" t="s">
        <v>18190</v>
      </c>
      <c r="G7774" t="s">
        <v>18191</v>
      </c>
      <c r="H7774" t="s">
        <v>573</v>
      </c>
      <c r="I7774" t="s">
        <v>33</v>
      </c>
      <c r="J7774">
        <v>19147</v>
      </c>
      <c r="K7774">
        <v>6525</v>
      </c>
      <c r="L7774" t="s">
        <v>23</v>
      </c>
      <c r="M7774" t="s">
        <v>18191</v>
      </c>
      <c r="N7774" t="s">
        <v>573</v>
      </c>
      <c r="O7774" t="s">
        <v>33</v>
      </c>
      <c r="P7774">
        <v>19147</v>
      </c>
      <c r="Q7774">
        <v>6525</v>
      </c>
      <c r="R7774" t="s">
        <v>23</v>
      </c>
      <c r="S7774" s="1" t="s">
        <v>34218</v>
      </c>
    </row>
    <row r="7775" spans="1:19" x14ac:dyDescent="0.25">
      <c r="A7775">
        <v>101321954</v>
      </c>
      <c r="B7775" t="s">
        <v>18192</v>
      </c>
      <c r="C7775" t="s">
        <v>18193</v>
      </c>
      <c r="G7775" t="s">
        <v>18194</v>
      </c>
      <c r="H7775" t="s">
        <v>18195</v>
      </c>
      <c r="I7775" t="s">
        <v>187</v>
      </c>
      <c r="J7775">
        <v>56082</v>
      </c>
      <c r="K7775">
        <v>1344</v>
      </c>
      <c r="L7775" t="s">
        <v>23</v>
      </c>
      <c r="M7775" t="s">
        <v>18194</v>
      </c>
      <c r="N7775" t="s">
        <v>18195</v>
      </c>
      <c r="O7775" t="s">
        <v>187</v>
      </c>
      <c r="P7775">
        <v>56082</v>
      </c>
      <c r="Q7775">
        <v>1344</v>
      </c>
      <c r="R7775" t="s">
        <v>23</v>
      </c>
      <c r="S7775" s="1" t="s">
        <v>34218</v>
      </c>
    </row>
    <row r="7776" spans="1:19" x14ac:dyDescent="0.25">
      <c r="A7776">
        <v>101313253</v>
      </c>
      <c r="B7776" t="s">
        <v>5206</v>
      </c>
      <c r="C7776" t="s">
        <v>18196</v>
      </c>
      <c r="F7776" t="str">
        <f>"4153462807"</f>
        <v>4153462807</v>
      </c>
      <c r="G7776" t="s">
        <v>8551</v>
      </c>
      <c r="H7776" t="s">
        <v>130</v>
      </c>
      <c r="I7776" t="s">
        <v>22</v>
      </c>
      <c r="J7776">
        <v>94115</v>
      </c>
      <c r="K7776">
        <v>2927</v>
      </c>
      <c r="L7776" t="s">
        <v>23</v>
      </c>
      <c r="M7776" t="s">
        <v>8551</v>
      </c>
      <c r="N7776" t="s">
        <v>130</v>
      </c>
      <c r="O7776" t="s">
        <v>22</v>
      </c>
      <c r="P7776">
        <v>94115</v>
      </c>
      <c r="Q7776">
        <v>2927</v>
      </c>
      <c r="R7776" t="s">
        <v>23</v>
      </c>
      <c r="S7776" s="1" t="s">
        <v>34218</v>
      </c>
    </row>
    <row r="7777" spans="1:19" x14ac:dyDescent="0.25">
      <c r="A7777">
        <v>101324623</v>
      </c>
      <c r="B7777" t="s">
        <v>4018</v>
      </c>
      <c r="C7777" t="s">
        <v>571</v>
      </c>
      <c r="G7777" t="s">
        <v>18197</v>
      </c>
      <c r="H7777" t="s">
        <v>685</v>
      </c>
      <c r="I7777" t="s">
        <v>57</v>
      </c>
      <c r="J7777">
        <v>47401</v>
      </c>
      <c r="K7777">
        <v>5224</v>
      </c>
      <c r="L7777" t="s">
        <v>23</v>
      </c>
      <c r="M7777" t="s">
        <v>18197</v>
      </c>
      <c r="N7777" t="s">
        <v>685</v>
      </c>
      <c r="O7777" t="s">
        <v>57</v>
      </c>
      <c r="P7777">
        <v>47401</v>
      </c>
      <c r="Q7777">
        <v>5224</v>
      </c>
      <c r="R7777" t="s">
        <v>23</v>
      </c>
      <c r="S7777" s="1" t="s">
        <v>34218</v>
      </c>
    </row>
    <row r="7778" spans="1:19" x14ac:dyDescent="0.25">
      <c r="A7778">
        <v>101322915</v>
      </c>
      <c r="B7778" t="s">
        <v>18198</v>
      </c>
      <c r="C7778" t="s">
        <v>217</v>
      </c>
      <c r="G7778" t="s">
        <v>18199</v>
      </c>
      <c r="H7778" t="s">
        <v>5070</v>
      </c>
      <c r="I7778" t="s">
        <v>84</v>
      </c>
      <c r="J7778">
        <v>98686</v>
      </c>
      <c r="K7778">
        <v>1417</v>
      </c>
      <c r="L7778" t="s">
        <v>23</v>
      </c>
      <c r="M7778" t="s">
        <v>18199</v>
      </c>
      <c r="N7778" t="s">
        <v>5070</v>
      </c>
      <c r="O7778" t="s">
        <v>84</v>
      </c>
      <c r="P7778">
        <v>98686</v>
      </c>
      <c r="Q7778">
        <v>1417</v>
      </c>
      <c r="R7778" t="s">
        <v>23</v>
      </c>
      <c r="S7778" s="1" t="s">
        <v>34218</v>
      </c>
    </row>
    <row r="7779" spans="1:19" x14ac:dyDescent="0.25">
      <c r="A7779">
        <v>101327350</v>
      </c>
      <c r="B7779" t="s">
        <v>18200</v>
      </c>
      <c r="C7779" t="s">
        <v>208</v>
      </c>
      <c r="G7779" t="s">
        <v>18201</v>
      </c>
      <c r="H7779" t="s">
        <v>7221</v>
      </c>
      <c r="I7779" t="s">
        <v>135</v>
      </c>
      <c r="J7779">
        <v>60548</v>
      </c>
      <c r="K7779">
        <v>1720</v>
      </c>
      <c r="L7779" t="s">
        <v>23</v>
      </c>
      <c r="M7779" t="s">
        <v>18201</v>
      </c>
      <c r="N7779" t="s">
        <v>7221</v>
      </c>
      <c r="O7779" t="s">
        <v>135</v>
      </c>
      <c r="P7779">
        <v>60548</v>
      </c>
      <c r="Q7779">
        <v>1720</v>
      </c>
      <c r="R7779" t="s">
        <v>23</v>
      </c>
      <c r="S7779" s="1" t="s">
        <v>34218</v>
      </c>
    </row>
    <row r="7780" spans="1:19" x14ac:dyDescent="0.25">
      <c r="A7780">
        <v>100937582</v>
      </c>
      <c r="B7780" t="s">
        <v>3629</v>
      </c>
      <c r="C7780" t="s">
        <v>3314</v>
      </c>
      <c r="G7780" t="s">
        <v>18202</v>
      </c>
      <c r="H7780" t="s">
        <v>471</v>
      </c>
      <c r="I7780" t="s">
        <v>365</v>
      </c>
      <c r="J7780">
        <v>85258</v>
      </c>
      <c r="K7780">
        <v>5691</v>
      </c>
      <c r="L7780" t="s">
        <v>23</v>
      </c>
      <c r="M7780" t="s">
        <v>18202</v>
      </c>
      <c r="N7780" t="s">
        <v>471</v>
      </c>
      <c r="O7780" t="s">
        <v>365</v>
      </c>
      <c r="P7780">
        <v>85258</v>
      </c>
      <c r="Q7780">
        <v>5691</v>
      </c>
      <c r="R7780" t="s">
        <v>23</v>
      </c>
      <c r="S7780" s="1" t="s">
        <v>34218</v>
      </c>
    </row>
    <row r="7781" spans="1:19" x14ac:dyDescent="0.25">
      <c r="A7781">
        <v>100940074</v>
      </c>
      <c r="B7781" t="s">
        <v>497</v>
      </c>
      <c r="C7781" t="s">
        <v>18203</v>
      </c>
      <c r="G7781" t="s">
        <v>18204</v>
      </c>
      <c r="H7781" t="s">
        <v>12372</v>
      </c>
      <c r="I7781" t="s">
        <v>348</v>
      </c>
      <c r="J7781">
        <v>83642</v>
      </c>
      <c r="K7781">
        <v>2943</v>
      </c>
      <c r="L7781" t="s">
        <v>23</v>
      </c>
      <c r="M7781" t="s">
        <v>18204</v>
      </c>
      <c r="N7781" t="s">
        <v>12372</v>
      </c>
      <c r="O7781" t="s">
        <v>348</v>
      </c>
      <c r="P7781">
        <v>83642</v>
      </c>
      <c r="Q7781">
        <v>2943</v>
      </c>
      <c r="R7781" t="s">
        <v>23</v>
      </c>
      <c r="S7781" s="1" t="s">
        <v>34218</v>
      </c>
    </row>
    <row r="7782" spans="1:19" x14ac:dyDescent="0.25">
      <c r="A7782">
        <v>101125820</v>
      </c>
      <c r="B7782" t="s">
        <v>18205</v>
      </c>
      <c r="C7782" t="s">
        <v>18206</v>
      </c>
      <c r="G7782" t="s">
        <v>18207</v>
      </c>
      <c r="H7782" t="s">
        <v>18208</v>
      </c>
      <c r="I7782" t="s">
        <v>22</v>
      </c>
      <c r="J7782">
        <v>92610</v>
      </c>
      <c r="K7782">
        <v>2305</v>
      </c>
      <c r="L7782" t="s">
        <v>23</v>
      </c>
      <c r="M7782" t="s">
        <v>18207</v>
      </c>
      <c r="N7782" t="s">
        <v>18208</v>
      </c>
      <c r="O7782" t="s">
        <v>22</v>
      </c>
      <c r="P7782">
        <v>92610</v>
      </c>
      <c r="Q7782">
        <v>2305</v>
      </c>
      <c r="R7782" t="s">
        <v>23</v>
      </c>
      <c r="S7782" s="1" t="s">
        <v>34218</v>
      </c>
    </row>
    <row r="7783" spans="1:19" x14ac:dyDescent="0.25">
      <c r="A7783">
        <v>101126060</v>
      </c>
      <c r="B7783" t="s">
        <v>3459</v>
      </c>
      <c r="C7783" t="s">
        <v>18209</v>
      </c>
      <c r="G7783" t="s">
        <v>18210</v>
      </c>
      <c r="H7783" t="s">
        <v>1604</v>
      </c>
      <c r="I7783" t="s">
        <v>126</v>
      </c>
      <c r="J7783">
        <v>65202</v>
      </c>
      <c r="K7783">
        <v>3424</v>
      </c>
      <c r="L7783" t="s">
        <v>23</v>
      </c>
      <c r="M7783" t="s">
        <v>18210</v>
      </c>
      <c r="N7783" t="s">
        <v>1604</v>
      </c>
      <c r="O7783" t="s">
        <v>126</v>
      </c>
      <c r="P7783">
        <v>65202</v>
      </c>
      <c r="Q7783">
        <v>3424</v>
      </c>
      <c r="R7783" t="s">
        <v>23</v>
      </c>
      <c r="S7783" s="1" t="s">
        <v>34218</v>
      </c>
    </row>
    <row r="7784" spans="1:19" x14ac:dyDescent="0.25">
      <c r="A7784">
        <v>101122637</v>
      </c>
      <c r="B7784" t="s">
        <v>18211</v>
      </c>
      <c r="C7784" t="s">
        <v>865</v>
      </c>
      <c r="G7784" t="s">
        <v>18212</v>
      </c>
      <c r="H7784" t="s">
        <v>108</v>
      </c>
      <c r="I7784" t="s">
        <v>22</v>
      </c>
      <c r="J7784">
        <v>93003</v>
      </c>
      <c r="K7784">
        <v>6157</v>
      </c>
      <c r="L7784" t="s">
        <v>23</v>
      </c>
      <c r="M7784" t="s">
        <v>18212</v>
      </c>
      <c r="N7784" t="s">
        <v>108</v>
      </c>
      <c r="O7784" t="s">
        <v>22</v>
      </c>
      <c r="P7784">
        <v>93003</v>
      </c>
      <c r="Q7784">
        <v>6157</v>
      </c>
      <c r="R7784" t="s">
        <v>23</v>
      </c>
      <c r="S7784" s="1" t="s">
        <v>34218</v>
      </c>
    </row>
    <row r="7785" spans="1:19" x14ac:dyDescent="0.25">
      <c r="A7785">
        <v>101125433</v>
      </c>
      <c r="B7785" t="s">
        <v>18213</v>
      </c>
      <c r="C7785" t="s">
        <v>1176</v>
      </c>
      <c r="G7785" t="s">
        <v>18214</v>
      </c>
      <c r="H7785" t="s">
        <v>17106</v>
      </c>
      <c r="I7785" t="s">
        <v>140</v>
      </c>
      <c r="J7785">
        <v>48118</v>
      </c>
      <c r="K7785">
        <v>1171</v>
      </c>
      <c r="L7785" t="s">
        <v>23</v>
      </c>
      <c r="M7785" t="s">
        <v>18214</v>
      </c>
      <c r="N7785" t="s">
        <v>17106</v>
      </c>
      <c r="O7785" t="s">
        <v>140</v>
      </c>
      <c r="P7785">
        <v>48118</v>
      </c>
      <c r="Q7785">
        <v>1171</v>
      </c>
      <c r="R7785" t="s">
        <v>23</v>
      </c>
      <c r="S7785" s="1" t="s">
        <v>34218</v>
      </c>
    </row>
    <row r="7786" spans="1:19" x14ac:dyDescent="0.25">
      <c r="A7786">
        <v>101128106</v>
      </c>
      <c r="B7786" t="s">
        <v>18215</v>
      </c>
      <c r="C7786" t="s">
        <v>403</v>
      </c>
      <c r="G7786" t="s">
        <v>18216</v>
      </c>
      <c r="H7786" t="s">
        <v>8438</v>
      </c>
      <c r="I7786" t="s">
        <v>187</v>
      </c>
      <c r="J7786">
        <v>55110</v>
      </c>
      <c r="K7786">
        <v>4369</v>
      </c>
      <c r="L7786" t="s">
        <v>23</v>
      </c>
      <c r="M7786" t="s">
        <v>18216</v>
      </c>
      <c r="N7786" t="s">
        <v>8438</v>
      </c>
      <c r="O7786" t="s">
        <v>187</v>
      </c>
      <c r="P7786">
        <v>55110</v>
      </c>
      <c r="Q7786">
        <v>4369</v>
      </c>
      <c r="R7786" t="s">
        <v>23</v>
      </c>
      <c r="S7786" s="1" t="s">
        <v>34218</v>
      </c>
    </row>
    <row r="7787" spans="1:19" x14ac:dyDescent="0.25">
      <c r="A7787">
        <v>101131783</v>
      </c>
      <c r="B7787" t="s">
        <v>581</v>
      </c>
      <c r="C7787" t="s">
        <v>8920</v>
      </c>
      <c r="F7787" t="str">
        <f>"4356448729"</f>
        <v>4356448729</v>
      </c>
      <c r="G7787" t="s">
        <v>18217</v>
      </c>
      <c r="H7787" t="s">
        <v>18218</v>
      </c>
      <c r="I7787" t="s">
        <v>332</v>
      </c>
      <c r="J7787">
        <v>84741</v>
      </c>
      <c r="K7787">
        <v>4161</v>
      </c>
      <c r="L7787" t="s">
        <v>23</v>
      </c>
      <c r="M7787" t="s">
        <v>18217</v>
      </c>
      <c r="N7787" t="s">
        <v>18218</v>
      </c>
      <c r="O7787" t="s">
        <v>332</v>
      </c>
      <c r="P7787">
        <v>84741</v>
      </c>
      <c r="Q7787">
        <v>4161</v>
      </c>
      <c r="R7787" t="s">
        <v>23</v>
      </c>
      <c r="S7787" s="1" t="s">
        <v>34218</v>
      </c>
    </row>
    <row r="7788" spans="1:19" x14ac:dyDescent="0.25">
      <c r="A7788">
        <v>101132797</v>
      </c>
      <c r="B7788" t="s">
        <v>8938</v>
      </c>
      <c r="C7788" t="s">
        <v>172</v>
      </c>
      <c r="G7788" t="s">
        <v>18219</v>
      </c>
      <c r="H7788" t="s">
        <v>1748</v>
      </c>
      <c r="I7788" t="s">
        <v>236</v>
      </c>
      <c r="J7788">
        <v>2476</v>
      </c>
      <c r="K7788">
        <v>7803</v>
      </c>
      <c r="L7788" t="s">
        <v>23</v>
      </c>
      <c r="M7788" t="s">
        <v>18219</v>
      </c>
      <c r="N7788" t="s">
        <v>1748</v>
      </c>
      <c r="O7788" t="s">
        <v>236</v>
      </c>
      <c r="P7788">
        <v>2476</v>
      </c>
      <c r="Q7788">
        <v>7803</v>
      </c>
      <c r="R7788" t="s">
        <v>23</v>
      </c>
      <c r="S7788" s="1" t="s">
        <v>34218</v>
      </c>
    </row>
    <row r="7789" spans="1:19" x14ac:dyDescent="0.25">
      <c r="A7789">
        <v>101132914</v>
      </c>
      <c r="B7789" t="s">
        <v>18220</v>
      </c>
      <c r="C7789" t="s">
        <v>18221</v>
      </c>
      <c r="G7789" t="s">
        <v>18222</v>
      </c>
      <c r="H7789" t="s">
        <v>13409</v>
      </c>
      <c r="I7789" t="s">
        <v>135</v>
      </c>
      <c r="J7789">
        <v>60451</v>
      </c>
      <c r="K7789">
        <v>2711</v>
      </c>
      <c r="L7789" t="s">
        <v>23</v>
      </c>
      <c r="M7789" t="s">
        <v>18222</v>
      </c>
      <c r="N7789" t="s">
        <v>13409</v>
      </c>
      <c r="O7789" t="s">
        <v>135</v>
      </c>
      <c r="P7789">
        <v>60451</v>
      </c>
      <c r="Q7789">
        <v>2711</v>
      </c>
      <c r="R7789" t="s">
        <v>23</v>
      </c>
      <c r="S7789" s="1" t="s">
        <v>34218</v>
      </c>
    </row>
    <row r="7790" spans="1:19" x14ac:dyDescent="0.25">
      <c r="A7790">
        <v>101129394</v>
      </c>
      <c r="B7790" t="s">
        <v>15351</v>
      </c>
      <c r="C7790" t="s">
        <v>3511</v>
      </c>
      <c r="G7790" t="s">
        <v>18223</v>
      </c>
      <c r="H7790" t="s">
        <v>18224</v>
      </c>
      <c r="I7790" t="s">
        <v>22</v>
      </c>
      <c r="J7790">
        <v>91320</v>
      </c>
      <c r="K7790">
        <v>3548</v>
      </c>
      <c r="L7790" t="s">
        <v>23</v>
      </c>
      <c r="M7790" t="s">
        <v>18223</v>
      </c>
      <c r="N7790" t="s">
        <v>18224</v>
      </c>
      <c r="O7790" t="s">
        <v>22</v>
      </c>
      <c r="P7790">
        <v>91320</v>
      </c>
      <c r="Q7790">
        <v>3548</v>
      </c>
      <c r="R7790" t="s">
        <v>23</v>
      </c>
      <c r="S7790" s="1" t="s">
        <v>34218</v>
      </c>
    </row>
    <row r="7791" spans="1:19" x14ac:dyDescent="0.25">
      <c r="A7791">
        <v>101130537</v>
      </c>
      <c r="B7791" t="s">
        <v>10081</v>
      </c>
      <c r="C7791" t="s">
        <v>1959</v>
      </c>
      <c r="G7791" t="s">
        <v>18225</v>
      </c>
      <c r="H7791" t="s">
        <v>7944</v>
      </c>
      <c r="I7791" t="s">
        <v>236</v>
      </c>
      <c r="J7791">
        <v>1061</v>
      </c>
      <c r="K7791">
        <v>1643</v>
      </c>
      <c r="L7791" t="s">
        <v>23</v>
      </c>
      <c r="M7791" t="s">
        <v>18225</v>
      </c>
      <c r="N7791" t="s">
        <v>7944</v>
      </c>
      <c r="O7791" t="s">
        <v>236</v>
      </c>
      <c r="P7791">
        <v>1061</v>
      </c>
      <c r="Q7791">
        <v>1643</v>
      </c>
      <c r="R7791" t="s">
        <v>23</v>
      </c>
      <c r="S7791" s="1" t="s">
        <v>34218</v>
      </c>
    </row>
    <row r="7792" spans="1:19" x14ac:dyDescent="0.25">
      <c r="A7792">
        <v>101255420</v>
      </c>
      <c r="B7792" t="s">
        <v>18226</v>
      </c>
      <c r="C7792" t="s">
        <v>1107</v>
      </c>
      <c r="G7792" t="s">
        <v>18227</v>
      </c>
      <c r="H7792" t="s">
        <v>1405</v>
      </c>
      <c r="I7792" t="s">
        <v>187</v>
      </c>
      <c r="J7792">
        <v>55102</v>
      </c>
      <c r="K7792">
        <v>5617</v>
      </c>
      <c r="L7792" t="s">
        <v>23</v>
      </c>
      <c r="M7792" t="s">
        <v>18227</v>
      </c>
      <c r="N7792" t="s">
        <v>1405</v>
      </c>
      <c r="O7792" t="s">
        <v>187</v>
      </c>
      <c r="P7792">
        <v>55102</v>
      </c>
      <c r="Q7792">
        <v>5617</v>
      </c>
      <c r="R7792" t="s">
        <v>23</v>
      </c>
      <c r="S7792" s="1" t="s">
        <v>34218</v>
      </c>
    </row>
    <row r="7793" spans="1:19" x14ac:dyDescent="0.25">
      <c r="A7793">
        <v>101255414</v>
      </c>
      <c r="B7793" t="s">
        <v>12094</v>
      </c>
      <c r="C7793" t="s">
        <v>18228</v>
      </c>
      <c r="G7793" t="s">
        <v>18229</v>
      </c>
      <c r="H7793" t="s">
        <v>99</v>
      </c>
      <c r="I7793" t="s">
        <v>100</v>
      </c>
      <c r="J7793">
        <v>53548</v>
      </c>
      <c r="K7793">
        <v>3741</v>
      </c>
      <c r="L7793" t="s">
        <v>23</v>
      </c>
      <c r="M7793" t="s">
        <v>18229</v>
      </c>
      <c r="N7793" t="s">
        <v>99</v>
      </c>
      <c r="O7793" t="s">
        <v>100</v>
      </c>
      <c r="P7793">
        <v>53548</v>
      </c>
      <c r="Q7793">
        <v>3741</v>
      </c>
      <c r="R7793" t="s">
        <v>23</v>
      </c>
      <c r="S7793" s="1" t="s">
        <v>34218</v>
      </c>
    </row>
    <row r="7794" spans="1:19" x14ac:dyDescent="0.25">
      <c r="A7794">
        <v>101255321</v>
      </c>
      <c r="B7794" t="s">
        <v>654</v>
      </c>
      <c r="C7794" t="s">
        <v>644</v>
      </c>
      <c r="F7794" t="str">
        <f>"3527879826"</f>
        <v>3527879826</v>
      </c>
      <c r="G7794" t="s">
        <v>18230</v>
      </c>
      <c r="H7794" t="s">
        <v>4420</v>
      </c>
      <c r="I7794" t="s">
        <v>52</v>
      </c>
      <c r="J7794">
        <v>34748</v>
      </c>
      <c r="K7794">
        <v>5735</v>
      </c>
      <c r="L7794" t="s">
        <v>23</v>
      </c>
      <c r="M7794" t="s">
        <v>18230</v>
      </c>
      <c r="N7794" t="s">
        <v>4420</v>
      </c>
      <c r="O7794" t="s">
        <v>52</v>
      </c>
      <c r="P7794">
        <v>34748</v>
      </c>
      <c r="Q7794">
        <v>5735</v>
      </c>
      <c r="R7794" t="s">
        <v>23</v>
      </c>
      <c r="S7794" s="1" t="s">
        <v>34218</v>
      </c>
    </row>
    <row r="7795" spans="1:19" x14ac:dyDescent="0.25">
      <c r="A7795">
        <v>101255967</v>
      </c>
      <c r="B7795" t="s">
        <v>2457</v>
      </c>
      <c r="C7795" t="s">
        <v>410</v>
      </c>
      <c r="G7795" t="s">
        <v>18231</v>
      </c>
      <c r="H7795" t="s">
        <v>3768</v>
      </c>
      <c r="I7795" t="s">
        <v>22</v>
      </c>
      <c r="J7795">
        <v>94041</v>
      </c>
      <c r="K7795">
        <v>1640</v>
      </c>
      <c r="L7795" t="s">
        <v>23</v>
      </c>
      <c r="M7795" t="s">
        <v>18231</v>
      </c>
      <c r="N7795" t="s">
        <v>3768</v>
      </c>
      <c r="O7795" t="s">
        <v>22</v>
      </c>
      <c r="P7795">
        <v>94041</v>
      </c>
      <c r="Q7795">
        <v>1640</v>
      </c>
      <c r="R7795" t="s">
        <v>23</v>
      </c>
      <c r="S7795" s="1" t="s">
        <v>34218</v>
      </c>
    </row>
    <row r="7796" spans="1:19" x14ac:dyDescent="0.25">
      <c r="A7796">
        <v>101266397</v>
      </c>
      <c r="B7796" t="s">
        <v>18232</v>
      </c>
      <c r="C7796" t="s">
        <v>4284</v>
      </c>
      <c r="G7796" t="s">
        <v>18233</v>
      </c>
      <c r="H7796" t="s">
        <v>15073</v>
      </c>
      <c r="I7796" t="s">
        <v>71</v>
      </c>
      <c r="J7796">
        <v>80466</v>
      </c>
      <c r="K7796">
        <v>9634</v>
      </c>
      <c r="L7796" t="s">
        <v>23</v>
      </c>
      <c r="M7796" t="s">
        <v>18233</v>
      </c>
      <c r="N7796" t="s">
        <v>15073</v>
      </c>
      <c r="O7796" t="s">
        <v>71</v>
      </c>
      <c r="P7796">
        <v>80466</v>
      </c>
      <c r="Q7796">
        <v>9634</v>
      </c>
      <c r="R7796" t="s">
        <v>23</v>
      </c>
      <c r="S7796" s="1" t="s">
        <v>34218</v>
      </c>
    </row>
    <row r="7797" spans="1:19" x14ac:dyDescent="0.25">
      <c r="A7797">
        <v>101271948</v>
      </c>
      <c r="B7797" t="s">
        <v>14967</v>
      </c>
      <c r="C7797" t="s">
        <v>18234</v>
      </c>
      <c r="G7797" t="s">
        <v>18235</v>
      </c>
      <c r="H7797" t="s">
        <v>12005</v>
      </c>
      <c r="I7797" t="s">
        <v>126</v>
      </c>
      <c r="J7797">
        <v>64625</v>
      </c>
      <c r="K7797">
        <v>9639</v>
      </c>
      <c r="L7797" t="s">
        <v>23</v>
      </c>
      <c r="M7797" t="s">
        <v>18235</v>
      </c>
      <c r="N7797" t="s">
        <v>12005</v>
      </c>
      <c r="O7797" t="s">
        <v>126</v>
      </c>
      <c r="P7797">
        <v>64625</v>
      </c>
      <c r="Q7797">
        <v>9639</v>
      </c>
      <c r="R7797" t="s">
        <v>23</v>
      </c>
      <c r="S7797" s="1" t="s">
        <v>34218</v>
      </c>
    </row>
    <row r="7798" spans="1:19" x14ac:dyDescent="0.25">
      <c r="A7798">
        <v>100821152</v>
      </c>
      <c r="B7798" t="s">
        <v>18236</v>
      </c>
      <c r="C7798" t="s">
        <v>1327</v>
      </c>
      <c r="G7798" t="s">
        <v>18237</v>
      </c>
      <c r="H7798" t="s">
        <v>653</v>
      </c>
      <c r="I7798" t="s">
        <v>117</v>
      </c>
      <c r="J7798">
        <v>10009</v>
      </c>
      <c r="K7798">
        <v>2729</v>
      </c>
      <c r="L7798" t="s">
        <v>23</v>
      </c>
      <c r="M7798" t="s">
        <v>18237</v>
      </c>
      <c r="N7798" t="s">
        <v>653</v>
      </c>
      <c r="O7798" t="s">
        <v>117</v>
      </c>
      <c r="P7798">
        <v>10009</v>
      </c>
      <c r="Q7798">
        <v>2729</v>
      </c>
      <c r="R7798" t="s">
        <v>23</v>
      </c>
      <c r="S7798" s="1" t="s">
        <v>34218</v>
      </c>
    </row>
    <row r="7799" spans="1:19" x14ac:dyDescent="0.25">
      <c r="A7799">
        <v>100816290</v>
      </c>
      <c r="B7799" t="s">
        <v>4590</v>
      </c>
      <c r="C7799" t="s">
        <v>7237</v>
      </c>
      <c r="G7799" t="s">
        <v>4591</v>
      </c>
      <c r="H7799" t="s">
        <v>4592</v>
      </c>
      <c r="I7799" t="s">
        <v>148</v>
      </c>
      <c r="J7799">
        <v>21234</v>
      </c>
      <c r="K7799">
        <v>4258</v>
      </c>
      <c r="L7799" t="s">
        <v>23</v>
      </c>
      <c r="M7799" t="s">
        <v>4591</v>
      </c>
      <c r="N7799" t="s">
        <v>4592</v>
      </c>
      <c r="O7799" t="s">
        <v>148</v>
      </c>
      <c r="P7799">
        <v>21234</v>
      </c>
      <c r="Q7799">
        <v>4258</v>
      </c>
      <c r="R7799" t="s">
        <v>23</v>
      </c>
      <c r="S7799" s="1" t="s">
        <v>34218</v>
      </c>
    </row>
    <row r="7800" spans="1:19" x14ac:dyDescent="0.25">
      <c r="A7800">
        <v>100824824</v>
      </c>
      <c r="B7800" t="s">
        <v>18238</v>
      </c>
      <c r="C7800" t="s">
        <v>18239</v>
      </c>
      <c r="G7800" t="s">
        <v>18240</v>
      </c>
      <c r="H7800" t="s">
        <v>3703</v>
      </c>
      <c r="I7800" t="s">
        <v>22</v>
      </c>
      <c r="J7800">
        <v>94070</v>
      </c>
      <c r="K7800">
        <v>5009</v>
      </c>
      <c r="L7800" t="s">
        <v>23</v>
      </c>
      <c r="M7800" t="s">
        <v>18240</v>
      </c>
      <c r="N7800" t="s">
        <v>3703</v>
      </c>
      <c r="O7800" t="s">
        <v>22</v>
      </c>
      <c r="P7800">
        <v>94070</v>
      </c>
      <c r="Q7800">
        <v>5009</v>
      </c>
      <c r="R7800" t="s">
        <v>23</v>
      </c>
      <c r="S7800" s="1" t="s">
        <v>34218</v>
      </c>
    </row>
    <row r="7801" spans="1:19" x14ac:dyDescent="0.25">
      <c r="A7801">
        <v>100830954</v>
      </c>
      <c r="B7801" t="s">
        <v>15405</v>
      </c>
      <c r="C7801" t="s">
        <v>1147</v>
      </c>
      <c r="G7801" t="s">
        <v>18241</v>
      </c>
      <c r="H7801" t="s">
        <v>2069</v>
      </c>
      <c r="I7801" t="s">
        <v>22</v>
      </c>
      <c r="J7801">
        <v>95472</v>
      </c>
      <c r="K7801">
        <v>8912</v>
      </c>
      <c r="L7801" t="s">
        <v>23</v>
      </c>
      <c r="M7801" t="s">
        <v>18241</v>
      </c>
      <c r="N7801" t="s">
        <v>2069</v>
      </c>
      <c r="O7801" t="s">
        <v>22</v>
      </c>
      <c r="P7801">
        <v>95472</v>
      </c>
      <c r="Q7801">
        <v>8912</v>
      </c>
      <c r="R7801" t="s">
        <v>23</v>
      </c>
      <c r="S7801" s="1" t="s">
        <v>34218</v>
      </c>
    </row>
    <row r="7802" spans="1:19" x14ac:dyDescent="0.25">
      <c r="A7802">
        <v>100830992</v>
      </c>
      <c r="B7802" t="s">
        <v>13823</v>
      </c>
      <c r="C7802" t="s">
        <v>1350</v>
      </c>
      <c r="F7802" t="str">
        <f>"8453970901"</f>
        <v>8453970901</v>
      </c>
      <c r="G7802" t="s">
        <v>18242</v>
      </c>
      <c r="H7802" t="s">
        <v>18243</v>
      </c>
      <c r="I7802" t="s">
        <v>117</v>
      </c>
      <c r="J7802">
        <v>10987</v>
      </c>
      <c r="K7802">
        <v>4262</v>
      </c>
      <c r="L7802" t="s">
        <v>23</v>
      </c>
      <c r="M7802" t="s">
        <v>18242</v>
      </c>
      <c r="N7802" t="s">
        <v>18243</v>
      </c>
      <c r="O7802" t="s">
        <v>117</v>
      </c>
      <c r="P7802">
        <v>10987</v>
      </c>
      <c r="Q7802">
        <v>4262</v>
      </c>
      <c r="R7802" t="s">
        <v>23</v>
      </c>
      <c r="S7802" s="1" t="s">
        <v>34218</v>
      </c>
    </row>
    <row r="7803" spans="1:19" x14ac:dyDescent="0.25">
      <c r="A7803">
        <v>100829896</v>
      </c>
      <c r="B7803" t="s">
        <v>18244</v>
      </c>
      <c r="C7803" t="s">
        <v>1622</v>
      </c>
      <c r="G7803" t="s">
        <v>18245</v>
      </c>
      <c r="H7803" t="s">
        <v>18246</v>
      </c>
      <c r="I7803" t="s">
        <v>100</v>
      </c>
      <c r="J7803">
        <v>54727</v>
      </c>
      <c r="K7803">
        <v>5001</v>
      </c>
      <c r="L7803" t="s">
        <v>23</v>
      </c>
      <c r="M7803" t="s">
        <v>18245</v>
      </c>
      <c r="N7803" t="s">
        <v>18246</v>
      </c>
      <c r="O7803" t="s">
        <v>100</v>
      </c>
      <c r="P7803">
        <v>54727</v>
      </c>
      <c r="Q7803">
        <v>5001</v>
      </c>
      <c r="R7803" t="s">
        <v>23</v>
      </c>
      <c r="S7803" s="1" t="s">
        <v>34218</v>
      </c>
    </row>
    <row r="7804" spans="1:19" x14ac:dyDescent="0.25">
      <c r="A7804">
        <v>100836605</v>
      </c>
      <c r="B7804" t="s">
        <v>18247</v>
      </c>
      <c r="C7804" t="s">
        <v>25</v>
      </c>
      <c r="G7804" t="s">
        <v>18248</v>
      </c>
      <c r="H7804" t="s">
        <v>18249</v>
      </c>
      <c r="I7804" t="s">
        <v>84</v>
      </c>
      <c r="J7804">
        <v>98258</v>
      </c>
      <c r="K7804">
        <v>8057</v>
      </c>
      <c r="L7804" t="s">
        <v>23</v>
      </c>
      <c r="M7804" t="s">
        <v>18248</v>
      </c>
      <c r="N7804" t="s">
        <v>18249</v>
      </c>
      <c r="O7804" t="s">
        <v>84</v>
      </c>
      <c r="P7804">
        <v>98258</v>
      </c>
      <c r="Q7804">
        <v>8057</v>
      </c>
      <c r="R7804" t="s">
        <v>23</v>
      </c>
      <c r="S7804" s="1" t="s">
        <v>34218</v>
      </c>
    </row>
    <row r="7805" spans="1:19" x14ac:dyDescent="0.25">
      <c r="A7805">
        <v>100837330</v>
      </c>
      <c r="B7805" t="s">
        <v>10205</v>
      </c>
      <c r="C7805" t="s">
        <v>18250</v>
      </c>
      <c r="G7805" t="s">
        <v>18251</v>
      </c>
      <c r="H7805" t="s">
        <v>16371</v>
      </c>
      <c r="I7805" t="s">
        <v>178</v>
      </c>
      <c r="J7805">
        <v>43537</v>
      </c>
      <c r="K7805">
        <v>9620</v>
      </c>
      <c r="L7805" t="s">
        <v>23</v>
      </c>
      <c r="M7805" t="s">
        <v>18251</v>
      </c>
      <c r="N7805" t="s">
        <v>16371</v>
      </c>
      <c r="O7805" t="s">
        <v>178</v>
      </c>
      <c r="P7805">
        <v>43537</v>
      </c>
      <c r="Q7805">
        <v>9620</v>
      </c>
      <c r="R7805" t="s">
        <v>23</v>
      </c>
      <c r="S7805" s="1" t="s">
        <v>34218</v>
      </c>
    </row>
    <row r="7806" spans="1:19" x14ac:dyDescent="0.25">
      <c r="A7806">
        <v>100833625</v>
      </c>
      <c r="B7806" t="s">
        <v>3016</v>
      </c>
      <c r="C7806" t="s">
        <v>1179</v>
      </c>
      <c r="G7806" t="s">
        <v>18252</v>
      </c>
      <c r="H7806" t="s">
        <v>653</v>
      </c>
      <c r="I7806" t="s">
        <v>117</v>
      </c>
      <c r="J7806">
        <v>10014</v>
      </c>
      <c r="K7806">
        <v>4324</v>
      </c>
      <c r="L7806" t="s">
        <v>23</v>
      </c>
      <c r="M7806" t="s">
        <v>18252</v>
      </c>
      <c r="N7806" t="s">
        <v>653</v>
      </c>
      <c r="O7806" t="s">
        <v>117</v>
      </c>
      <c r="P7806">
        <v>10014</v>
      </c>
      <c r="Q7806">
        <v>4324</v>
      </c>
      <c r="R7806" t="s">
        <v>23</v>
      </c>
      <c r="S7806" s="1" t="s">
        <v>34218</v>
      </c>
    </row>
    <row r="7807" spans="1:19" x14ac:dyDescent="0.25">
      <c r="A7807">
        <v>100837198</v>
      </c>
      <c r="B7807" t="s">
        <v>11597</v>
      </c>
      <c r="C7807" t="s">
        <v>2802</v>
      </c>
      <c r="G7807" t="s">
        <v>18253</v>
      </c>
      <c r="H7807" t="s">
        <v>3348</v>
      </c>
      <c r="I7807" t="s">
        <v>71</v>
      </c>
      <c r="J7807">
        <v>81147</v>
      </c>
      <c r="K7807">
        <v>8750</v>
      </c>
      <c r="L7807" t="s">
        <v>23</v>
      </c>
      <c r="M7807" t="s">
        <v>18253</v>
      </c>
      <c r="N7807" t="s">
        <v>3348</v>
      </c>
      <c r="O7807" t="s">
        <v>71</v>
      </c>
      <c r="P7807">
        <v>81147</v>
      </c>
      <c r="Q7807">
        <v>8750</v>
      </c>
      <c r="R7807" t="s">
        <v>23</v>
      </c>
      <c r="S7807" s="1" t="s">
        <v>34218</v>
      </c>
    </row>
    <row r="7808" spans="1:19" x14ac:dyDescent="0.25">
      <c r="A7808">
        <v>100834204</v>
      </c>
      <c r="B7808" t="s">
        <v>18254</v>
      </c>
      <c r="C7808" t="s">
        <v>3951</v>
      </c>
      <c r="G7808" t="s">
        <v>18255</v>
      </c>
      <c r="H7808" t="s">
        <v>125</v>
      </c>
      <c r="I7808" t="s">
        <v>126</v>
      </c>
      <c r="J7808">
        <v>63104</v>
      </c>
      <c r="K7808">
        <v>1723</v>
      </c>
      <c r="L7808" t="s">
        <v>23</v>
      </c>
      <c r="M7808" t="s">
        <v>18255</v>
      </c>
      <c r="N7808" t="s">
        <v>125</v>
      </c>
      <c r="O7808" t="s">
        <v>126</v>
      </c>
      <c r="P7808">
        <v>63104</v>
      </c>
      <c r="Q7808">
        <v>1723</v>
      </c>
      <c r="R7808" t="s">
        <v>23</v>
      </c>
      <c r="S7808" s="1" t="s">
        <v>34218</v>
      </c>
    </row>
    <row r="7809" spans="1:19" x14ac:dyDescent="0.25">
      <c r="A7809">
        <v>100993819</v>
      </c>
      <c r="B7809" t="s">
        <v>18256</v>
      </c>
      <c r="C7809" t="s">
        <v>137</v>
      </c>
      <c r="G7809" t="s">
        <v>18257</v>
      </c>
      <c r="H7809" t="s">
        <v>18258</v>
      </c>
      <c r="I7809" t="s">
        <v>332</v>
      </c>
      <c r="J7809">
        <v>84414</v>
      </c>
      <c r="K7809">
        <v>2508</v>
      </c>
      <c r="L7809" t="s">
        <v>23</v>
      </c>
      <c r="M7809" t="s">
        <v>18257</v>
      </c>
      <c r="N7809" t="s">
        <v>18258</v>
      </c>
      <c r="O7809" t="s">
        <v>332</v>
      </c>
      <c r="P7809">
        <v>84414</v>
      </c>
      <c r="Q7809">
        <v>2508</v>
      </c>
      <c r="R7809" t="s">
        <v>23</v>
      </c>
      <c r="S7809" s="1" t="s">
        <v>34218</v>
      </c>
    </row>
    <row r="7810" spans="1:19" x14ac:dyDescent="0.25">
      <c r="A7810">
        <v>100989174</v>
      </c>
      <c r="B7810" t="s">
        <v>18259</v>
      </c>
      <c r="C7810" t="s">
        <v>3714</v>
      </c>
      <c r="G7810" t="s">
        <v>18260</v>
      </c>
      <c r="H7810" t="s">
        <v>9387</v>
      </c>
      <c r="I7810" t="s">
        <v>38</v>
      </c>
      <c r="J7810">
        <v>75078</v>
      </c>
      <c r="K7810">
        <v>7062</v>
      </c>
      <c r="L7810" t="s">
        <v>23</v>
      </c>
      <c r="M7810" t="s">
        <v>18260</v>
      </c>
      <c r="N7810" t="s">
        <v>9387</v>
      </c>
      <c r="O7810" t="s">
        <v>38</v>
      </c>
      <c r="P7810">
        <v>75078</v>
      </c>
      <c r="Q7810">
        <v>7062</v>
      </c>
      <c r="R7810" t="s">
        <v>23</v>
      </c>
      <c r="S7810" s="1" t="s">
        <v>34218</v>
      </c>
    </row>
    <row r="7811" spans="1:19" x14ac:dyDescent="0.25">
      <c r="A7811">
        <v>100994998</v>
      </c>
      <c r="B7811" t="s">
        <v>9103</v>
      </c>
      <c r="C7811" t="s">
        <v>403</v>
      </c>
      <c r="G7811" t="s">
        <v>18261</v>
      </c>
      <c r="H7811" t="s">
        <v>134</v>
      </c>
      <c r="I7811" t="s">
        <v>135</v>
      </c>
      <c r="J7811">
        <v>60640</v>
      </c>
      <c r="K7811">
        <v>1601</v>
      </c>
      <c r="L7811" t="s">
        <v>23</v>
      </c>
      <c r="M7811" t="s">
        <v>18261</v>
      </c>
      <c r="N7811" t="s">
        <v>134</v>
      </c>
      <c r="O7811" t="s">
        <v>135</v>
      </c>
      <c r="P7811">
        <v>60640</v>
      </c>
      <c r="Q7811">
        <v>1601</v>
      </c>
      <c r="R7811" t="s">
        <v>23</v>
      </c>
      <c r="S7811" s="1" t="s">
        <v>34218</v>
      </c>
    </row>
    <row r="7812" spans="1:19" x14ac:dyDescent="0.25">
      <c r="A7812">
        <v>100995897</v>
      </c>
      <c r="B7812" t="s">
        <v>1581</v>
      </c>
      <c r="C7812" t="s">
        <v>15617</v>
      </c>
      <c r="G7812" t="s">
        <v>18262</v>
      </c>
      <c r="H7812" t="s">
        <v>92</v>
      </c>
      <c r="I7812" t="s">
        <v>84</v>
      </c>
      <c r="J7812">
        <v>98008</v>
      </c>
      <c r="K7812">
        <v>2124</v>
      </c>
      <c r="L7812" t="s">
        <v>23</v>
      </c>
      <c r="M7812" t="s">
        <v>18262</v>
      </c>
      <c r="N7812" t="s">
        <v>92</v>
      </c>
      <c r="O7812" t="s">
        <v>84</v>
      </c>
      <c r="P7812">
        <v>98008</v>
      </c>
      <c r="Q7812">
        <v>2124</v>
      </c>
      <c r="R7812" t="s">
        <v>23</v>
      </c>
      <c r="S7812" s="1" t="s">
        <v>34218</v>
      </c>
    </row>
    <row r="7813" spans="1:19" x14ac:dyDescent="0.25">
      <c r="A7813">
        <v>101000345</v>
      </c>
      <c r="B7813" t="s">
        <v>18263</v>
      </c>
      <c r="C7813" t="s">
        <v>18264</v>
      </c>
      <c r="G7813" t="s">
        <v>18265</v>
      </c>
      <c r="H7813" t="s">
        <v>1614</v>
      </c>
      <c r="I7813" t="s">
        <v>22</v>
      </c>
      <c r="J7813">
        <v>92054</v>
      </c>
      <c r="K7813">
        <v>4510</v>
      </c>
      <c r="L7813" t="s">
        <v>23</v>
      </c>
      <c r="M7813" t="s">
        <v>18265</v>
      </c>
      <c r="N7813" t="s">
        <v>1614</v>
      </c>
      <c r="O7813" t="s">
        <v>22</v>
      </c>
      <c r="P7813">
        <v>92054</v>
      </c>
      <c r="Q7813">
        <v>4510</v>
      </c>
      <c r="R7813" t="s">
        <v>23</v>
      </c>
      <c r="S7813" s="1" t="s">
        <v>34218</v>
      </c>
    </row>
    <row r="7814" spans="1:19" x14ac:dyDescent="0.25">
      <c r="A7814">
        <v>101001943</v>
      </c>
      <c r="B7814" t="s">
        <v>1581</v>
      </c>
      <c r="C7814" t="s">
        <v>4502</v>
      </c>
      <c r="G7814" t="s">
        <v>18266</v>
      </c>
      <c r="H7814" t="s">
        <v>1196</v>
      </c>
      <c r="I7814" t="s">
        <v>52</v>
      </c>
      <c r="J7814">
        <v>32308</v>
      </c>
      <c r="K7814">
        <v>4526</v>
      </c>
      <c r="L7814" t="s">
        <v>23</v>
      </c>
      <c r="M7814" t="s">
        <v>18266</v>
      </c>
      <c r="N7814" t="s">
        <v>1196</v>
      </c>
      <c r="O7814" t="s">
        <v>52</v>
      </c>
      <c r="P7814">
        <v>32308</v>
      </c>
      <c r="Q7814">
        <v>4526</v>
      </c>
      <c r="R7814" t="s">
        <v>23</v>
      </c>
      <c r="S7814" s="1" t="s">
        <v>34218</v>
      </c>
    </row>
    <row r="7815" spans="1:19" x14ac:dyDescent="0.25">
      <c r="A7815">
        <v>101003515</v>
      </c>
      <c r="B7815" t="s">
        <v>18267</v>
      </c>
      <c r="C7815" t="s">
        <v>547</v>
      </c>
      <c r="G7815" t="s">
        <v>18268</v>
      </c>
      <c r="H7815" t="s">
        <v>1625</v>
      </c>
      <c r="I7815" t="s">
        <v>702</v>
      </c>
      <c r="J7815">
        <v>89015</v>
      </c>
      <c r="K7815">
        <v>1756</v>
      </c>
      <c r="L7815" t="s">
        <v>23</v>
      </c>
      <c r="M7815" t="s">
        <v>18268</v>
      </c>
      <c r="N7815" t="s">
        <v>1625</v>
      </c>
      <c r="O7815" t="s">
        <v>702</v>
      </c>
      <c r="P7815">
        <v>89015</v>
      </c>
      <c r="Q7815">
        <v>1756</v>
      </c>
      <c r="R7815" t="s">
        <v>23</v>
      </c>
      <c r="S7815" s="1" t="s">
        <v>34218</v>
      </c>
    </row>
    <row r="7816" spans="1:19" x14ac:dyDescent="0.25">
      <c r="A7816">
        <v>101007455</v>
      </c>
      <c r="B7816" t="s">
        <v>427</v>
      </c>
      <c r="C7816" t="s">
        <v>329</v>
      </c>
      <c r="G7816" t="s">
        <v>18269</v>
      </c>
      <c r="H7816" t="s">
        <v>18270</v>
      </c>
      <c r="I7816" t="s">
        <v>250</v>
      </c>
      <c r="J7816">
        <v>7032</v>
      </c>
      <c r="K7816">
        <v>3585</v>
      </c>
      <c r="L7816" t="s">
        <v>23</v>
      </c>
      <c r="M7816" t="s">
        <v>18269</v>
      </c>
      <c r="N7816" t="s">
        <v>18270</v>
      </c>
      <c r="O7816" t="s">
        <v>250</v>
      </c>
      <c r="P7816">
        <v>7032</v>
      </c>
      <c r="Q7816">
        <v>3585</v>
      </c>
      <c r="R7816" t="s">
        <v>23</v>
      </c>
      <c r="S7816" s="1" t="s">
        <v>34218</v>
      </c>
    </row>
    <row r="7817" spans="1:19" x14ac:dyDescent="0.25">
      <c r="A7817">
        <v>101013499</v>
      </c>
      <c r="B7817" t="s">
        <v>1004</v>
      </c>
      <c r="C7817" t="s">
        <v>18271</v>
      </c>
      <c r="G7817" t="s">
        <v>18272</v>
      </c>
      <c r="H7817" t="s">
        <v>7232</v>
      </c>
      <c r="I7817" t="s">
        <v>71</v>
      </c>
      <c r="J7817">
        <v>80439</v>
      </c>
      <c r="K7817">
        <v>7006</v>
      </c>
      <c r="L7817" t="s">
        <v>23</v>
      </c>
      <c r="M7817" t="s">
        <v>18272</v>
      </c>
      <c r="N7817" t="s">
        <v>7232</v>
      </c>
      <c r="O7817" t="s">
        <v>71</v>
      </c>
      <c r="P7817">
        <v>80439</v>
      </c>
      <c r="Q7817">
        <v>7006</v>
      </c>
      <c r="R7817" t="s">
        <v>23</v>
      </c>
      <c r="S7817" s="1" t="s">
        <v>34218</v>
      </c>
    </row>
    <row r="7818" spans="1:19" x14ac:dyDescent="0.25">
      <c r="A7818">
        <v>101203844</v>
      </c>
      <c r="B7818" t="s">
        <v>18273</v>
      </c>
      <c r="C7818" t="s">
        <v>18274</v>
      </c>
      <c r="G7818" t="s">
        <v>18275</v>
      </c>
      <c r="H7818" t="s">
        <v>5540</v>
      </c>
      <c r="I7818" t="s">
        <v>140</v>
      </c>
      <c r="J7818">
        <v>48843</v>
      </c>
      <c r="K7818">
        <v>2039</v>
      </c>
      <c r="L7818" t="s">
        <v>23</v>
      </c>
      <c r="M7818" t="s">
        <v>18275</v>
      </c>
      <c r="N7818" t="s">
        <v>5540</v>
      </c>
      <c r="O7818" t="s">
        <v>140</v>
      </c>
      <c r="P7818">
        <v>48843</v>
      </c>
      <c r="Q7818">
        <v>2039</v>
      </c>
      <c r="R7818" t="s">
        <v>23</v>
      </c>
      <c r="S7818" s="1" t="s">
        <v>34218</v>
      </c>
    </row>
    <row r="7819" spans="1:19" x14ac:dyDescent="0.25">
      <c r="A7819">
        <v>101201202</v>
      </c>
      <c r="B7819" t="s">
        <v>6648</v>
      </c>
      <c r="C7819" t="s">
        <v>18276</v>
      </c>
      <c r="G7819" t="s">
        <v>18277</v>
      </c>
      <c r="H7819" t="s">
        <v>18278</v>
      </c>
      <c r="I7819" t="s">
        <v>236</v>
      </c>
      <c r="J7819">
        <v>2568</v>
      </c>
      <c r="K7819">
        <v>6722</v>
      </c>
      <c r="L7819" t="s">
        <v>23</v>
      </c>
      <c r="M7819" t="s">
        <v>18277</v>
      </c>
      <c r="N7819" t="s">
        <v>18278</v>
      </c>
      <c r="O7819" t="s">
        <v>236</v>
      </c>
      <c r="P7819">
        <v>2568</v>
      </c>
      <c r="Q7819">
        <v>6722</v>
      </c>
      <c r="R7819" t="s">
        <v>23</v>
      </c>
      <c r="S7819" s="1" t="s">
        <v>34218</v>
      </c>
    </row>
    <row r="7820" spans="1:19" x14ac:dyDescent="0.25">
      <c r="A7820">
        <v>101219002</v>
      </c>
      <c r="B7820" t="s">
        <v>18279</v>
      </c>
      <c r="C7820" t="s">
        <v>18280</v>
      </c>
      <c r="G7820" t="s">
        <v>18281</v>
      </c>
      <c r="H7820" t="s">
        <v>18282</v>
      </c>
      <c r="I7820" t="s">
        <v>135</v>
      </c>
      <c r="J7820">
        <v>61821</v>
      </c>
      <c r="K7820">
        <v>2712</v>
      </c>
      <c r="L7820" t="s">
        <v>23</v>
      </c>
      <c r="M7820" t="s">
        <v>18281</v>
      </c>
      <c r="N7820" t="s">
        <v>18282</v>
      </c>
      <c r="O7820" t="s">
        <v>135</v>
      </c>
      <c r="P7820">
        <v>61821</v>
      </c>
      <c r="Q7820">
        <v>2712</v>
      </c>
      <c r="R7820" t="s">
        <v>23</v>
      </c>
      <c r="S7820" s="1" t="s">
        <v>34218</v>
      </c>
    </row>
    <row r="7821" spans="1:19" x14ac:dyDescent="0.25">
      <c r="A7821">
        <v>101405905</v>
      </c>
      <c r="B7821" t="s">
        <v>18283</v>
      </c>
      <c r="C7821" t="s">
        <v>18284</v>
      </c>
      <c r="G7821" t="s">
        <v>18285</v>
      </c>
      <c r="H7821" t="s">
        <v>653</v>
      </c>
      <c r="I7821" t="s">
        <v>117</v>
      </c>
      <c r="J7821">
        <v>10023</v>
      </c>
      <c r="K7821">
        <v>2769</v>
      </c>
      <c r="L7821" t="s">
        <v>23</v>
      </c>
      <c r="M7821" t="s">
        <v>18285</v>
      </c>
      <c r="N7821" t="s">
        <v>653</v>
      </c>
      <c r="O7821" t="s">
        <v>117</v>
      </c>
      <c r="P7821">
        <v>10023</v>
      </c>
      <c r="Q7821">
        <v>2769</v>
      </c>
      <c r="R7821" t="s">
        <v>23</v>
      </c>
      <c r="S7821" s="1" t="s">
        <v>34218</v>
      </c>
    </row>
    <row r="7822" spans="1:19" x14ac:dyDescent="0.25">
      <c r="A7822">
        <v>101415433</v>
      </c>
      <c r="B7822" t="s">
        <v>18286</v>
      </c>
      <c r="C7822" t="s">
        <v>1208</v>
      </c>
      <c r="G7822" t="s">
        <v>18287</v>
      </c>
      <c r="H7822" t="s">
        <v>1052</v>
      </c>
      <c r="I7822" t="s">
        <v>117</v>
      </c>
      <c r="J7822">
        <v>12202</v>
      </c>
      <c r="K7822">
        <v>1122</v>
      </c>
      <c r="L7822" t="s">
        <v>23</v>
      </c>
      <c r="M7822" t="s">
        <v>18287</v>
      </c>
      <c r="N7822" t="s">
        <v>1052</v>
      </c>
      <c r="O7822" t="s">
        <v>117</v>
      </c>
      <c r="P7822">
        <v>12202</v>
      </c>
      <c r="Q7822">
        <v>1122</v>
      </c>
      <c r="R7822" t="s">
        <v>23</v>
      </c>
      <c r="S7822" s="1" t="s">
        <v>34218</v>
      </c>
    </row>
    <row r="7823" spans="1:19" x14ac:dyDescent="0.25">
      <c r="A7823">
        <v>101410740</v>
      </c>
      <c r="B7823" t="s">
        <v>1444</v>
      </c>
      <c r="C7823" t="s">
        <v>123</v>
      </c>
      <c r="G7823" t="s">
        <v>18288</v>
      </c>
      <c r="H7823" t="s">
        <v>16591</v>
      </c>
      <c r="I7823" t="s">
        <v>140</v>
      </c>
      <c r="J7823">
        <v>49079</v>
      </c>
      <c r="K7823">
        <v>8042</v>
      </c>
      <c r="L7823" t="s">
        <v>23</v>
      </c>
      <c r="M7823" t="s">
        <v>18288</v>
      </c>
      <c r="N7823" t="s">
        <v>16591</v>
      </c>
      <c r="O7823" t="s">
        <v>140</v>
      </c>
      <c r="P7823">
        <v>49079</v>
      </c>
      <c r="Q7823">
        <v>8042</v>
      </c>
      <c r="R7823" t="s">
        <v>23</v>
      </c>
      <c r="S7823" s="1" t="s">
        <v>34218</v>
      </c>
    </row>
    <row r="7824" spans="1:19" x14ac:dyDescent="0.25">
      <c r="A7824">
        <v>101415811</v>
      </c>
      <c r="B7824" t="s">
        <v>308</v>
      </c>
      <c r="C7824" t="s">
        <v>644</v>
      </c>
      <c r="G7824" t="s">
        <v>18289</v>
      </c>
      <c r="H7824" t="s">
        <v>18290</v>
      </c>
      <c r="I7824" t="s">
        <v>135</v>
      </c>
      <c r="J7824">
        <v>60118</v>
      </c>
      <c r="K7824">
        <v>3233</v>
      </c>
      <c r="L7824" t="s">
        <v>23</v>
      </c>
      <c r="M7824" t="s">
        <v>18289</v>
      </c>
      <c r="N7824" t="s">
        <v>18290</v>
      </c>
      <c r="O7824" t="s">
        <v>135</v>
      </c>
      <c r="P7824">
        <v>60118</v>
      </c>
      <c r="Q7824">
        <v>3233</v>
      </c>
      <c r="R7824" t="s">
        <v>23</v>
      </c>
      <c r="S7824" s="1" t="s">
        <v>34218</v>
      </c>
    </row>
    <row r="7825" spans="1:19" x14ac:dyDescent="0.25">
      <c r="A7825">
        <v>101419902</v>
      </c>
      <c r="B7825" t="s">
        <v>18291</v>
      </c>
      <c r="C7825" t="s">
        <v>803</v>
      </c>
      <c r="G7825" t="s">
        <v>18292</v>
      </c>
      <c r="H7825" t="s">
        <v>18293</v>
      </c>
      <c r="I7825" t="s">
        <v>250</v>
      </c>
      <c r="J7825">
        <v>7041</v>
      </c>
      <c r="K7825">
        <v>2122</v>
      </c>
      <c r="L7825" t="s">
        <v>23</v>
      </c>
      <c r="M7825" t="s">
        <v>18292</v>
      </c>
      <c r="N7825" t="s">
        <v>18293</v>
      </c>
      <c r="O7825" t="s">
        <v>250</v>
      </c>
      <c r="P7825">
        <v>7041</v>
      </c>
      <c r="Q7825">
        <v>2122</v>
      </c>
      <c r="R7825" t="s">
        <v>23</v>
      </c>
      <c r="S7825" s="1" t="s">
        <v>34218</v>
      </c>
    </row>
    <row r="7826" spans="1:19" x14ac:dyDescent="0.25">
      <c r="A7826">
        <v>101434969</v>
      </c>
      <c r="B7826" t="s">
        <v>18294</v>
      </c>
      <c r="C7826" t="s">
        <v>1714</v>
      </c>
      <c r="G7826" t="s">
        <v>18295</v>
      </c>
      <c r="H7826" t="s">
        <v>6658</v>
      </c>
      <c r="I7826" t="s">
        <v>446</v>
      </c>
      <c r="J7826">
        <v>27253</v>
      </c>
      <c r="K7826">
        <v>8232</v>
      </c>
      <c r="L7826" t="s">
        <v>23</v>
      </c>
      <c r="M7826" t="s">
        <v>18295</v>
      </c>
      <c r="N7826" t="s">
        <v>6658</v>
      </c>
      <c r="O7826" t="s">
        <v>446</v>
      </c>
      <c r="P7826">
        <v>27253</v>
      </c>
      <c r="Q7826">
        <v>8232</v>
      </c>
      <c r="R7826" t="s">
        <v>23</v>
      </c>
      <c r="S7826" s="1" t="s">
        <v>34218</v>
      </c>
    </row>
    <row r="7827" spans="1:19" x14ac:dyDescent="0.25">
      <c r="A7827">
        <v>100697656</v>
      </c>
      <c r="B7827" t="s">
        <v>18296</v>
      </c>
      <c r="C7827" t="s">
        <v>1309</v>
      </c>
      <c r="G7827" t="s">
        <v>18297</v>
      </c>
      <c r="H7827" t="s">
        <v>393</v>
      </c>
      <c r="I7827" t="s">
        <v>71</v>
      </c>
      <c r="J7827">
        <v>80238</v>
      </c>
      <c r="K7827">
        <v>2702</v>
      </c>
      <c r="L7827" t="s">
        <v>23</v>
      </c>
      <c r="M7827" t="s">
        <v>18297</v>
      </c>
      <c r="N7827" t="s">
        <v>393</v>
      </c>
      <c r="O7827" t="s">
        <v>71</v>
      </c>
      <c r="P7827">
        <v>80238</v>
      </c>
      <c r="Q7827">
        <v>2702</v>
      </c>
      <c r="R7827" t="s">
        <v>23</v>
      </c>
      <c r="S7827" s="1" t="s">
        <v>34218</v>
      </c>
    </row>
    <row r="7828" spans="1:19" x14ac:dyDescent="0.25">
      <c r="A7828">
        <v>100712391</v>
      </c>
      <c r="B7828" t="s">
        <v>18298</v>
      </c>
      <c r="C7828" t="s">
        <v>1306</v>
      </c>
      <c r="G7828" t="s">
        <v>18299</v>
      </c>
      <c r="H7828" t="s">
        <v>1276</v>
      </c>
      <c r="I7828" t="s">
        <v>446</v>
      </c>
      <c r="J7828">
        <v>27517</v>
      </c>
      <c r="K7828">
        <v>5629</v>
      </c>
      <c r="L7828" t="s">
        <v>23</v>
      </c>
      <c r="M7828" t="s">
        <v>18299</v>
      </c>
      <c r="N7828" t="s">
        <v>1276</v>
      </c>
      <c r="O7828" t="s">
        <v>446</v>
      </c>
      <c r="P7828">
        <v>27517</v>
      </c>
      <c r="Q7828">
        <v>5629</v>
      </c>
      <c r="R7828" t="s">
        <v>23</v>
      </c>
      <c r="S7828" s="1" t="s">
        <v>34218</v>
      </c>
    </row>
    <row r="7829" spans="1:19" x14ac:dyDescent="0.25">
      <c r="A7829">
        <v>101468830</v>
      </c>
      <c r="B7829" t="s">
        <v>18300</v>
      </c>
      <c r="C7829" t="s">
        <v>2929</v>
      </c>
      <c r="G7829" t="s">
        <v>18301</v>
      </c>
      <c r="H7829" t="s">
        <v>11343</v>
      </c>
      <c r="I7829" t="s">
        <v>662</v>
      </c>
      <c r="J7829">
        <v>2886</v>
      </c>
      <c r="K7829">
        <v>1203</v>
      </c>
      <c r="L7829" t="s">
        <v>23</v>
      </c>
      <c r="M7829" t="s">
        <v>18301</v>
      </c>
      <c r="N7829" t="s">
        <v>11343</v>
      </c>
      <c r="O7829" t="s">
        <v>662</v>
      </c>
      <c r="P7829">
        <v>2886</v>
      </c>
      <c r="Q7829">
        <v>1203</v>
      </c>
      <c r="R7829" t="s">
        <v>23</v>
      </c>
      <c r="S7829" s="1" t="s">
        <v>34218</v>
      </c>
    </row>
    <row r="7830" spans="1:19" x14ac:dyDescent="0.25">
      <c r="A7830">
        <v>101466643</v>
      </c>
      <c r="B7830" t="s">
        <v>18302</v>
      </c>
      <c r="C7830" t="s">
        <v>11588</v>
      </c>
      <c r="G7830" t="s">
        <v>18303</v>
      </c>
      <c r="H7830" t="s">
        <v>14686</v>
      </c>
      <c r="I7830" t="s">
        <v>250</v>
      </c>
      <c r="J7830">
        <v>8831</v>
      </c>
      <c r="K7830">
        <v>8732</v>
      </c>
      <c r="L7830" t="s">
        <v>23</v>
      </c>
      <c r="M7830" t="s">
        <v>18303</v>
      </c>
      <c r="N7830" t="s">
        <v>14686</v>
      </c>
      <c r="O7830" t="s">
        <v>250</v>
      </c>
      <c r="P7830">
        <v>8831</v>
      </c>
      <c r="Q7830">
        <v>8732</v>
      </c>
      <c r="R7830" t="s">
        <v>23</v>
      </c>
      <c r="S7830" s="1" t="s">
        <v>34218</v>
      </c>
    </row>
    <row r="7831" spans="1:19" x14ac:dyDescent="0.25">
      <c r="A7831">
        <v>101468848</v>
      </c>
      <c r="B7831" t="s">
        <v>18304</v>
      </c>
      <c r="C7831" t="s">
        <v>2287</v>
      </c>
      <c r="G7831" t="s">
        <v>18305</v>
      </c>
      <c r="H7831" t="s">
        <v>18306</v>
      </c>
      <c r="I7831" t="s">
        <v>117</v>
      </c>
      <c r="J7831">
        <v>14042</v>
      </c>
      <c r="K7831">
        <v>106</v>
      </c>
      <c r="L7831" t="s">
        <v>23</v>
      </c>
      <c r="M7831" t="s">
        <v>18305</v>
      </c>
      <c r="N7831" t="s">
        <v>18306</v>
      </c>
      <c r="O7831" t="s">
        <v>117</v>
      </c>
      <c r="P7831">
        <v>14042</v>
      </c>
      <c r="Q7831">
        <v>106</v>
      </c>
      <c r="R7831" t="s">
        <v>23</v>
      </c>
      <c r="S7831" s="1" t="s">
        <v>34218</v>
      </c>
    </row>
    <row r="7832" spans="1:19" x14ac:dyDescent="0.25">
      <c r="A7832">
        <v>100890930</v>
      </c>
      <c r="B7832" t="s">
        <v>18307</v>
      </c>
      <c r="C7832" t="s">
        <v>2084</v>
      </c>
      <c r="G7832" t="s">
        <v>18308</v>
      </c>
      <c r="H7832" t="s">
        <v>227</v>
      </c>
      <c r="I7832" t="s">
        <v>43</v>
      </c>
      <c r="J7832">
        <v>97202</v>
      </c>
      <c r="L7832" t="s">
        <v>23</v>
      </c>
      <c r="M7832" t="s">
        <v>18308</v>
      </c>
      <c r="N7832" t="s">
        <v>227</v>
      </c>
      <c r="O7832" t="s">
        <v>43</v>
      </c>
      <c r="P7832">
        <v>97202</v>
      </c>
      <c r="R7832" t="s">
        <v>23</v>
      </c>
      <c r="S7832" s="1" t="s">
        <v>34218</v>
      </c>
    </row>
    <row r="7833" spans="1:19" x14ac:dyDescent="0.25">
      <c r="A7833">
        <v>101330506</v>
      </c>
      <c r="B7833" t="s">
        <v>18309</v>
      </c>
      <c r="C7833" t="s">
        <v>1598</v>
      </c>
      <c r="G7833" t="s">
        <v>18310</v>
      </c>
      <c r="H7833" t="s">
        <v>169</v>
      </c>
      <c r="I7833" t="s">
        <v>170</v>
      </c>
      <c r="J7833">
        <v>20009</v>
      </c>
      <c r="K7833">
        <v>3657</v>
      </c>
      <c r="L7833" t="s">
        <v>23</v>
      </c>
      <c r="M7833" t="s">
        <v>18310</v>
      </c>
      <c r="N7833" t="s">
        <v>169</v>
      </c>
      <c r="O7833" t="s">
        <v>170</v>
      </c>
      <c r="P7833">
        <v>20009</v>
      </c>
      <c r="Q7833">
        <v>3657</v>
      </c>
      <c r="R7833" t="s">
        <v>23</v>
      </c>
      <c r="S7833" s="1" t="s">
        <v>34218</v>
      </c>
    </row>
    <row r="7834" spans="1:19" x14ac:dyDescent="0.25">
      <c r="A7834">
        <v>101464995</v>
      </c>
      <c r="B7834" t="s">
        <v>18311</v>
      </c>
      <c r="C7834" t="s">
        <v>985</v>
      </c>
      <c r="G7834" t="s">
        <v>18312</v>
      </c>
      <c r="H7834" t="s">
        <v>18313</v>
      </c>
      <c r="I7834" t="s">
        <v>250</v>
      </c>
      <c r="J7834">
        <v>7652</v>
      </c>
      <c r="K7834">
        <v>4048</v>
      </c>
      <c r="L7834" t="s">
        <v>23</v>
      </c>
      <c r="M7834" t="s">
        <v>18312</v>
      </c>
      <c r="N7834" t="s">
        <v>18313</v>
      </c>
      <c r="O7834" t="s">
        <v>250</v>
      </c>
      <c r="P7834">
        <v>7652</v>
      </c>
      <c r="Q7834">
        <v>4048</v>
      </c>
      <c r="R7834" t="s">
        <v>23</v>
      </c>
      <c r="S7834" s="1" t="s">
        <v>34218</v>
      </c>
    </row>
    <row r="7835" spans="1:19" x14ac:dyDescent="0.25">
      <c r="A7835">
        <v>101466045</v>
      </c>
      <c r="B7835" t="s">
        <v>18314</v>
      </c>
      <c r="C7835" t="s">
        <v>428</v>
      </c>
      <c r="G7835" t="s">
        <v>18315</v>
      </c>
      <c r="H7835" t="s">
        <v>18316</v>
      </c>
      <c r="I7835" t="s">
        <v>250</v>
      </c>
      <c r="J7835">
        <v>8742</v>
      </c>
      <c r="K7835">
        <v>5346</v>
      </c>
      <c r="L7835" t="s">
        <v>23</v>
      </c>
      <c r="M7835" t="s">
        <v>18315</v>
      </c>
      <c r="N7835" t="s">
        <v>18316</v>
      </c>
      <c r="O7835" t="s">
        <v>250</v>
      </c>
      <c r="P7835">
        <v>8742</v>
      </c>
      <c r="Q7835">
        <v>5346</v>
      </c>
      <c r="R7835" t="s">
        <v>23</v>
      </c>
      <c r="S7835" s="1" t="s">
        <v>34218</v>
      </c>
    </row>
    <row r="7836" spans="1:19" x14ac:dyDescent="0.25">
      <c r="A7836">
        <v>101435108</v>
      </c>
      <c r="B7836" t="s">
        <v>18317</v>
      </c>
      <c r="C7836" t="s">
        <v>225</v>
      </c>
      <c r="G7836" t="s">
        <v>18318</v>
      </c>
      <c r="H7836" t="s">
        <v>18319</v>
      </c>
      <c r="I7836" t="s">
        <v>117</v>
      </c>
      <c r="J7836">
        <v>11374</v>
      </c>
      <c r="K7836">
        <v>2544</v>
      </c>
      <c r="L7836" t="s">
        <v>23</v>
      </c>
      <c r="M7836" t="s">
        <v>18318</v>
      </c>
      <c r="N7836" t="s">
        <v>18319</v>
      </c>
      <c r="O7836" t="s">
        <v>117</v>
      </c>
      <c r="P7836">
        <v>11374</v>
      </c>
      <c r="Q7836">
        <v>2544</v>
      </c>
      <c r="R7836" t="s">
        <v>23</v>
      </c>
      <c r="S7836" s="1" t="s">
        <v>34218</v>
      </c>
    </row>
    <row r="7837" spans="1:19" x14ac:dyDescent="0.25">
      <c r="A7837">
        <v>101439548</v>
      </c>
      <c r="B7837" t="s">
        <v>3956</v>
      </c>
      <c r="C7837" t="s">
        <v>18320</v>
      </c>
      <c r="G7837" t="s">
        <v>18321</v>
      </c>
      <c r="H7837" t="s">
        <v>855</v>
      </c>
      <c r="I7837" t="s">
        <v>84</v>
      </c>
      <c r="J7837">
        <v>98368</v>
      </c>
      <c r="K7837">
        <v>6604</v>
      </c>
      <c r="L7837" t="s">
        <v>23</v>
      </c>
      <c r="M7837" t="s">
        <v>18321</v>
      </c>
      <c r="N7837" t="s">
        <v>855</v>
      </c>
      <c r="O7837" t="s">
        <v>84</v>
      </c>
      <c r="P7837">
        <v>98368</v>
      </c>
      <c r="Q7837">
        <v>6604</v>
      </c>
      <c r="R7837" t="s">
        <v>23</v>
      </c>
      <c r="S7837" s="1" t="s">
        <v>34218</v>
      </c>
    </row>
    <row r="7838" spans="1:19" x14ac:dyDescent="0.25">
      <c r="A7838">
        <v>101467100</v>
      </c>
      <c r="B7838" t="s">
        <v>18322</v>
      </c>
      <c r="C7838" t="s">
        <v>15371</v>
      </c>
      <c r="G7838" t="s">
        <v>18323</v>
      </c>
      <c r="H7838" t="s">
        <v>1614</v>
      </c>
      <c r="I7838" t="s">
        <v>22</v>
      </c>
      <c r="J7838">
        <v>92058</v>
      </c>
      <c r="K7838">
        <v>1727</v>
      </c>
      <c r="L7838" t="s">
        <v>23</v>
      </c>
      <c r="M7838" t="s">
        <v>18323</v>
      </c>
      <c r="N7838" t="s">
        <v>1614</v>
      </c>
      <c r="O7838" t="s">
        <v>22</v>
      </c>
      <c r="P7838">
        <v>92058</v>
      </c>
      <c r="Q7838">
        <v>1727</v>
      </c>
      <c r="R7838" t="s">
        <v>23</v>
      </c>
      <c r="S7838" s="1" t="s">
        <v>34218</v>
      </c>
    </row>
    <row r="7839" spans="1:19" x14ac:dyDescent="0.25">
      <c r="A7839">
        <v>101432076</v>
      </c>
      <c r="B7839" t="s">
        <v>18324</v>
      </c>
      <c r="C7839" t="s">
        <v>959</v>
      </c>
      <c r="G7839" t="s">
        <v>18325</v>
      </c>
      <c r="H7839" t="s">
        <v>1139</v>
      </c>
      <c r="I7839" t="s">
        <v>22</v>
      </c>
      <c r="J7839">
        <v>94565</v>
      </c>
      <c r="K7839">
        <v>4814</v>
      </c>
      <c r="L7839" t="s">
        <v>23</v>
      </c>
      <c r="M7839" t="s">
        <v>18325</v>
      </c>
      <c r="N7839" t="s">
        <v>1139</v>
      </c>
      <c r="O7839" t="s">
        <v>22</v>
      </c>
      <c r="P7839">
        <v>94565</v>
      </c>
      <c r="Q7839">
        <v>4814</v>
      </c>
      <c r="R7839" t="s">
        <v>23</v>
      </c>
      <c r="S7839" s="1" t="s">
        <v>34218</v>
      </c>
    </row>
    <row r="7840" spans="1:19" x14ac:dyDescent="0.25">
      <c r="A7840">
        <v>101306029</v>
      </c>
      <c r="B7840" t="s">
        <v>369</v>
      </c>
      <c r="C7840" t="s">
        <v>7257</v>
      </c>
      <c r="G7840" t="s">
        <v>18326</v>
      </c>
      <c r="H7840" t="s">
        <v>2712</v>
      </c>
      <c r="I7840" t="s">
        <v>565</v>
      </c>
      <c r="J7840">
        <v>50131</v>
      </c>
      <c r="K7840">
        <v>1461</v>
      </c>
      <c r="L7840" t="s">
        <v>23</v>
      </c>
      <c r="M7840" t="s">
        <v>18326</v>
      </c>
      <c r="N7840" t="s">
        <v>2712</v>
      </c>
      <c r="O7840" t="s">
        <v>565</v>
      </c>
      <c r="P7840">
        <v>50131</v>
      </c>
      <c r="Q7840">
        <v>1461</v>
      </c>
      <c r="R7840" t="s">
        <v>23</v>
      </c>
      <c r="S7840" s="1" t="s">
        <v>34218</v>
      </c>
    </row>
    <row r="7841" spans="1:19" x14ac:dyDescent="0.25">
      <c r="A7841">
        <v>101466939</v>
      </c>
      <c r="B7841" t="s">
        <v>18327</v>
      </c>
      <c r="C7841" t="s">
        <v>9687</v>
      </c>
      <c r="G7841" t="s">
        <v>18328</v>
      </c>
      <c r="H7841" t="s">
        <v>2749</v>
      </c>
      <c r="I7841" t="s">
        <v>191</v>
      </c>
      <c r="J7841">
        <v>4011</v>
      </c>
      <c r="K7841">
        <v>1915</v>
      </c>
      <c r="L7841" t="s">
        <v>23</v>
      </c>
      <c r="M7841" t="s">
        <v>18328</v>
      </c>
      <c r="N7841" t="s">
        <v>2749</v>
      </c>
      <c r="O7841" t="s">
        <v>191</v>
      </c>
      <c r="P7841">
        <v>4011</v>
      </c>
      <c r="Q7841">
        <v>1915</v>
      </c>
      <c r="R7841" t="s">
        <v>23</v>
      </c>
      <c r="S7841" s="1" t="s">
        <v>34218</v>
      </c>
    </row>
    <row r="7842" spans="1:19" x14ac:dyDescent="0.25">
      <c r="A7842">
        <v>100857982</v>
      </c>
      <c r="B7842" t="s">
        <v>328</v>
      </c>
      <c r="C7842" t="s">
        <v>1487</v>
      </c>
      <c r="G7842" t="s">
        <v>18329</v>
      </c>
      <c r="H7842" t="s">
        <v>16805</v>
      </c>
      <c r="I7842" t="s">
        <v>22</v>
      </c>
      <c r="J7842">
        <v>94599</v>
      </c>
      <c r="K7842">
        <v>1359</v>
      </c>
      <c r="L7842" t="s">
        <v>23</v>
      </c>
      <c r="M7842" t="s">
        <v>18329</v>
      </c>
      <c r="N7842" t="s">
        <v>16805</v>
      </c>
      <c r="O7842" t="s">
        <v>22</v>
      </c>
      <c r="P7842">
        <v>94599</v>
      </c>
      <c r="Q7842">
        <v>1359</v>
      </c>
      <c r="R7842" t="s">
        <v>23</v>
      </c>
      <c r="S7842" s="1" t="s">
        <v>34218</v>
      </c>
    </row>
    <row r="7843" spans="1:19" x14ac:dyDescent="0.25">
      <c r="A7843">
        <v>101457684</v>
      </c>
      <c r="B7843" t="s">
        <v>18330</v>
      </c>
      <c r="C7843" t="s">
        <v>2269</v>
      </c>
      <c r="G7843" t="s">
        <v>18331</v>
      </c>
      <c r="H7843" t="s">
        <v>1105</v>
      </c>
      <c r="I7843" t="s">
        <v>117</v>
      </c>
      <c r="J7843">
        <v>10463</v>
      </c>
      <c r="K7843">
        <v>1242</v>
      </c>
      <c r="L7843" t="s">
        <v>23</v>
      </c>
      <c r="M7843" t="s">
        <v>18331</v>
      </c>
      <c r="N7843" t="s">
        <v>1105</v>
      </c>
      <c r="O7843" t="s">
        <v>117</v>
      </c>
      <c r="P7843">
        <v>10463</v>
      </c>
      <c r="Q7843">
        <v>1242</v>
      </c>
      <c r="R7843" t="s">
        <v>23</v>
      </c>
      <c r="S7843" s="1" t="s">
        <v>34218</v>
      </c>
    </row>
    <row r="7844" spans="1:19" x14ac:dyDescent="0.25">
      <c r="A7844">
        <v>101468961</v>
      </c>
      <c r="B7844" t="s">
        <v>2606</v>
      </c>
      <c r="C7844" t="s">
        <v>1555</v>
      </c>
      <c r="G7844" t="s">
        <v>18332</v>
      </c>
      <c r="H7844" t="s">
        <v>18333</v>
      </c>
      <c r="I7844" t="s">
        <v>1387</v>
      </c>
      <c r="J7844">
        <v>35953</v>
      </c>
      <c r="K7844">
        <v>3039</v>
      </c>
      <c r="L7844" t="s">
        <v>23</v>
      </c>
      <c r="M7844" t="s">
        <v>18332</v>
      </c>
      <c r="N7844" t="s">
        <v>18333</v>
      </c>
      <c r="O7844" t="s">
        <v>1387</v>
      </c>
      <c r="P7844">
        <v>35953</v>
      </c>
      <c r="Q7844">
        <v>3039</v>
      </c>
      <c r="R7844" t="s">
        <v>23</v>
      </c>
      <c r="S7844" s="1" t="s">
        <v>34218</v>
      </c>
    </row>
    <row r="7845" spans="1:19" x14ac:dyDescent="0.25">
      <c r="A7845">
        <v>101466804</v>
      </c>
      <c r="B7845" t="s">
        <v>465</v>
      </c>
      <c r="C7845" t="s">
        <v>707</v>
      </c>
      <c r="G7845" t="s">
        <v>18334</v>
      </c>
      <c r="H7845" t="s">
        <v>1293</v>
      </c>
      <c r="I7845" t="s">
        <v>22</v>
      </c>
      <c r="J7845">
        <v>95062</v>
      </c>
      <c r="K7845">
        <v>5124</v>
      </c>
      <c r="L7845" t="s">
        <v>23</v>
      </c>
      <c r="M7845" t="s">
        <v>18334</v>
      </c>
      <c r="N7845" t="s">
        <v>1293</v>
      </c>
      <c r="O7845" t="s">
        <v>22</v>
      </c>
      <c r="P7845">
        <v>95062</v>
      </c>
      <c r="Q7845">
        <v>5124</v>
      </c>
      <c r="R7845" t="s">
        <v>23</v>
      </c>
      <c r="S7845" s="1" t="s">
        <v>34218</v>
      </c>
    </row>
    <row r="7846" spans="1:19" x14ac:dyDescent="0.25">
      <c r="A7846">
        <v>101468296</v>
      </c>
      <c r="B7846" t="s">
        <v>1239</v>
      </c>
      <c r="C7846" t="s">
        <v>217</v>
      </c>
      <c r="G7846" t="s">
        <v>18335</v>
      </c>
      <c r="H7846" t="s">
        <v>653</v>
      </c>
      <c r="I7846" t="s">
        <v>117</v>
      </c>
      <c r="J7846">
        <v>10024</v>
      </c>
      <c r="K7846">
        <v>2605</v>
      </c>
      <c r="L7846" t="s">
        <v>23</v>
      </c>
      <c r="M7846" t="s">
        <v>18335</v>
      </c>
      <c r="N7846" t="s">
        <v>653</v>
      </c>
      <c r="O7846" t="s">
        <v>117</v>
      </c>
      <c r="P7846">
        <v>10024</v>
      </c>
      <c r="Q7846">
        <v>2605</v>
      </c>
      <c r="R7846" t="s">
        <v>23</v>
      </c>
      <c r="S7846" s="1" t="s">
        <v>34218</v>
      </c>
    </row>
    <row r="7847" spans="1:19" x14ac:dyDescent="0.25">
      <c r="A7847">
        <v>101362115</v>
      </c>
      <c r="B7847" t="s">
        <v>744</v>
      </c>
      <c r="C7847" t="s">
        <v>2266</v>
      </c>
      <c r="G7847" t="s">
        <v>18336</v>
      </c>
      <c r="H7847" t="s">
        <v>13062</v>
      </c>
      <c r="I7847" t="s">
        <v>52</v>
      </c>
      <c r="J7847">
        <v>32940</v>
      </c>
      <c r="K7847">
        <v>1886</v>
      </c>
      <c r="L7847" t="s">
        <v>23</v>
      </c>
      <c r="M7847" t="s">
        <v>18336</v>
      </c>
      <c r="N7847" t="s">
        <v>13062</v>
      </c>
      <c r="O7847" t="s">
        <v>52</v>
      </c>
      <c r="P7847">
        <v>32940</v>
      </c>
      <c r="Q7847">
        <v>1886</v>
      </c>
      <c r="R7847" t="s">
        <v>23</v>
      </c>
      <c r="S7847" s="1" t="s">
        <v>34218</v>
      </c>
    </row>
    <row r="7848" spans="1:19" x14ac:dyDescent="0.25">
      <c r="A7848">
        <v>101322533</v>
      </c>
      <c r="B7848" t="s">
        <v>1569</v>
      </c>
      <c r="C7848" t="s">
        <v>54</v>
      </c>
      <c r="G7848" t="s">
        <v>18337</v>
      </c>
      <c r="H7848" t="s">
        <v>13992</v>
      </c>
      <c r="I7848" t="s">
        <v>52</v>
      </c>
      <c r="J7848">
        <v>32779</v>
      </c>
      <c r="L7848" t="s">
        <v>23</v>
      </c>
      <c r="M7848" t="s">
        <v>18337</v>
      </c>
      <c r="N7848" t="s">
        <v>13992</v>
      </c>
      <c r="O7848" t="s">
        <v>52</v>
      </c>
      <c r="P7848">
        <v>32779</v>
      </c>
      <c r="R7848" t="s">
        <v>23</v>
      </c>
      <c r="S7848" s="1" t="s">
        <v>34218</v>
      </c>
    </row>
    <row r="7849" spans="1:19" x14ac:dyDescent="0.25">
      <c r="A7849">
        <v>100556346</v>
      </c>
      <c r="B7849" t="s">
        <v>2712</v>
      </c>
      <c r="C7849" t="s">
        <v>40</v>
      </c>
      <c r="G7849" t="s">
        <v>18338</v>
      </c>
      <c r="H7849" t="s">
        <v>1315</v>
      </c>
      <c r="I7849" t="s">
        <v>33</v>
      </c>
      <c r="J7849">
        <v>18020</v>
      </c>
      <c r="K7849">
        <v>9789</v>
      </c>
      <c r="L7849" t="s">
        <v>23</v>
      </c>
      <c r="M7849" t="s">
        <v>18338</v>
      </c>
      <c r="N7849" t="s">
        <v>1315</v>
      </c>
      <c r="O7849" t="s">
        <v>33</v>
      </c>
      <c r="P7849">
        <v>18020</v>
      </c>
      <c r="Q7849">
        <v>9789</v>
      </c>
      <c r="R7849" t="s">
        <v>23</v>
      </c>
      <c r="S7849" s="1" t="s">
        <v>34218</v>
      </c>
    </row>
    <row r="7850" spans="1:19" x14ac:dyDescent="0.25">
      <c r="A7850">
        <v>101142555</v>
      </c>
      <c r="B7850" t="s">
        <v>16055</v>
      </c>
      <c r="C7850" t="s">
        <v>3590</v>
      </c>
      <c r="G7850" t="s">
        <v>18339</v>
      </c>
      <c r="H7850" t="s">
        <v>292</v>
      </c>
      <c r="I7850" t="s">
        <v>22</v>
      </c>
      <c r="J7850">
        <v>95630</v>
      </c>
      <c r="K7850">
        <v>5317</v>
      </c>
      <c r="L7850" t="s">
        <v>23</v>
      </c>
      <c r="M7850" t="s">
        <v>18339</v>
      </c>
      <c r="N7850" t="s">
        <v>292</v>
      </c>
      <c r="O7850" t="s">
        <v>22</v>
      </c>
      <c r="P7850">
        <v>95630</v>
      </c>
      <c r="Q7850">
        <v>5317</v>
      </c>
      <c r="R7850" t="s">
        <v>23</v>
      </c>
      <c r="S7850" s="1" t="s">
        <v>34218</v>
      </c>
    </row>
    <row r="7851" spans="1:19" x14ac:dyDescent="0.25">
      <c r="A7851">
        <v>101131680</v>
      </c>
      <c r="B7851" t="s">
        <v>18340</v>
      </c>
      <c r="C7851" t="s">
        <v>522</v>
      </c>
      <c r="F7851" t="str">
        <f>"8188848686"</f>
        <v>8188848686</v>
      </c>
      <c r="G7851" t="s">
        <v>18341</v>
      </c>
      <c r="H7851" t="s">
        <v>741</v>
      </c>
      <c r="I7851" t="s">
        <v>22</v>
      </c>
      <c r="J7851">
        <v>91367</v>
      </c>
      <c r="K7851">
        <v>5609</v>
      </c>
      <c r="L7851" t="s">
        <v>23</v>
      </c>
      <c r="M7851" t="s">
        <v>18341</v>
      </c>
      <c r="N7851" t="s">
        <v>741</v>
      </c>
      <c r="O7851" t="s">
        <v>22</v>
      </c>
      <c r="P7851">
        <v>91367</v>
      </c>
      <c r="Q7851">
        <v>5609</v>
      </c>
      <c r="R7851" t="s">
        <v>23</v>
      </c>
      <c r="S7851" s="1" t="s">
        <v>34218</v>
      </c>
    </row>
    <row r="7852" spans="1:19" x14ac:dyDescent="0.25">
      <c r="A7852">
        <v>101135635</v>
      </c>
      <c r="B7852" t="s">
        <v>9316</v>
      </c>
      <c r="C7852" t="s">
        <v>1239</v>
      </c>
      <c r="G7852" t="s">
        <v>18342</v>
      </c>
      <c r="H7852" t="s">
        <v>18343</v>
      </c>
      <c r="I7852" t="s">
        <v>117</v>
      </c>
      <c r="J7852">
        <v>11793</v>
      </c>
      <c r="K7852">
        <v>4225</v>
      </c>
      <c r="L7852" t="s">
        <v>23</v>
      </c>
      <c r="M7852" t="s">
        <v>18342</v>
      </c>
      <c r="N7852" t="s">
        <v>18343</v>
      </c>
      <c r="O7852" t="s">
        <v>117</v>
      </c>
      <c r="P7852">
        <v>11793</v>
      </c>
      <c r="Q7852">
        <v>4225</v>
      </c>
      <c r="R7852" t="s">
        <v>23</v>
      </c>
      <c r="S7852" s="1" t="s">
        <v>34218</v>
      </c>
    </row>
    <row r="7853" spans="1:19" x14ac:dyDescent="0.25">
      <c r="A7853">
        <v>101139096</v>
      </c>
      <c r="B7853" t="s">
        <v>529</v>
      </c>
      <c r="C7853" t="s">
        <v>45</v>
      </c>
      <c r="G7853" t="s">
        <v>18344</v>
      </c>
      <c r="H7853" t="s">
        <v>1571</v>
      </c>
      <c r="I7853" t="s">
        <v>52</v>
      </c>
      <c r="J7853">
        <v>33707</v>
      </c>
      <c r="K7853">
        <v>3327</v>
      </c>
      <c r="L7853" t="s">
        <v>23</v>
      </c>
      <c r="M7853" t="s">
        <v>18344</v>
      </c>
      <c r="N7853" t="s">
        <v>1571</v>
      </c>
      <c r="O7853" t="s">
        <v>52</v>
      </c>
      <c r="P7853">
        <v>33707</v>
      </c>
      <c r="Q7853">
        <v>3327</v>
      </c>
      <c r="R7853" t="s">
        <v>23</v>
      </c>
      <c r="S7853" s="1" t="s">
        <v>34218</v>
      </c>
    </row>
    <row r="7854" spans="1:19" x14ac:dyDescent="0.25">
      <c r="A7854">
        <v>101137433</v>
      </c>
      <c r="B7854" t="s">
        <v>9665</v>
      </c>
      <c r="C7854" t="s">
        <v>274</v>
      </c>
      <c r="G7854" t="s">
        <v>18345</v>
      </c>
      <c r="H7854" t="s">
        <v>1431</v>
      </c>
      <c r="I7854" t="s">
        <v>639</v>
      </c>
      <c r="J7854">
        <v>87505</v>
      </c>
      <c r="K7854">
        <v>3865</v>
      </c>
      <c r="L7854" t="s">
        <v>23</v>
      </c>
      <c r="M7854" t="s">
        <v>18345</v>
      </c>
      <c r="N7854" t="s">
        <v>1431</v>
      </c>
      <c r="O7854" t="s">
        <v>639</v>
      </c>
      <c r="P7854">
        <v>87505</v>
      </c>
      <c r="Q7854">
        <v>3865</v>
      </c>
      <c r="R7854" t="s">
        <v>23</v>
      </c>
      <c r="S7854" s="1" t="s">
        <v>34218</v>
      </c>
    </row>
    <row r="7855" spans="1:19" x14ac:dyDescent="0.25">
      <c r="A7855">
        <v>101140162</v>
      </c>
      <c r="B7855" t="s">
        <v>3857</v>
      </c>
      <c r="C7855" t="s">
        <v>3747</v>
      </c>
      <c r="G7855" t="s">
        <v>18346</v>
      </c>
      <c r="H7855" t="s">
        <v>18347</v>
      </c>
      <c r="I7855" t="s">
        <v>22</v>
      </c>
      <c r="J7855">
        <v>94963</v>
      </c>
      <c r="L7855" t="s">
        <v>23</v>
      </c>
      <c r="M7855" t="s">
        <v>18346</v>
      </c>
      <c r="N7855" t="s">
        <v>18347</v>
      </c>
      <c r="O7855" t="s">
        <v>22</v>
      </c>
      <c r="P7855">
        <v>94963</v>
      </c>
      <c r="R7855" t="s">
        <v>23</v>
      </c>
      <c r="S7855" s="1" t="s">
        <v>34218</v>
      </c>
    </row>
    <row r="7856" spans="1:19" x14ac:dyDescent="0.25">
      <c r="A7856">
        <v>101144325</v>
      </c>
      <c r="B7856" t="s">
        <v>18348</v>
      </c>
      <c r="C7856" t="s">
        <v>8632</v>
      </c>
      <c r="G7856" t="s">
        <v>18349</v>
      </c>
      <c r="H7856" t="s">
        <v>4069</v>
      </c>
      <c r="I7856" t="s">
        <v>71</v>
      </c>
      <c r="J7856">
        <v>80128</v>
      </c>
      <c r="K7856">
        <v>6128</v>
      </c>
      <c r="L7856" t="s">
        <v>23</v>
      </c>
      <c r="M7856" t="s">
        <v>18349</v>
      </c>
      <c r="N7856" t="s">
        <v>4069</v>
      </c>
      <c r="O7856" t="s">
        <v>71</v>
      </c>
      <c r="P7856">
        <v>80128</v>
      </c>
      <c r="Q7856">
        <v>6128</v>
      </c>
      <c r="R7856" t="s">
        <v>23</v>
      </c>
      <c r="S7856" s="1" t="s">
        <v>34218</v>
      </c>
    </row>
    <row r="7857" spans="1:19" x14ac:dyDescent="0.25">
      <c r="A7857">
        <v>101143152</v>
      </c>
      <c r="B7857" t="s">
        <v>7173</v>
      </c>
      <c r="C7857" t="s">
        <v>2642</v>
      </c>
      <c r="G7857" t="s">
        <v>18350</v>
      </c>
      <c r="H7857" t="s">
        <v>5446</v>
      </c>
      <c r="I7857" t="s">
        <v>255</v>
      </c>
      <c r="J7857">
        <v>22193</v>
      </c>
      <c r="K7857">
        <v>3461</v>
      </c>
      <c r="L7857" t="s">
        <v>23</v>
      </c>
      <c r="M7857" t="s">
        <v>18350</v>
      </c>
      <c r="N7857" t="s">
        <v>5446</v>
      </c>
      <c r="O7857" t="s">
        <v>255</v>
      </c>
      <c r="P7857">
        <v>22193</v>
      </c>
      <c r="Q7857">
        <v>3461</v>
      </c>
      <c r="R7857" t="s">
        <v>23</v>
      </c>
      <c r="S7857" s="1" t="s">
        <v>34218</v>
      </c>
    </row>
    <row r="7858" spans="1:19" x14ac:dyDescent="0.25">
      <c r="A7858">
        <v>101144759</v>
      </c>
      <c r="B7858" t="s">
        <v>1698</v>
      </c>
      <c r="C7858" t="s">
        <v>18351</v>
      </c>
      <c r="F7858" t="str">
        <f>"9196451700"</f>
        <v>9196451700</v>
      </c>
      <c r="G7858" t="s">
        <v>18352</v>
      </c>
      <c r="H7858" t="s">
        <v>567</v>
      </c>
      <c r="I7858" t="s">
        <v>446</v>
      </c>
      <c r="J7858">
        <v>27612</v>
      </c>
      <c r="K7858">
        <v>2474</v>
      </c>
      <c r="L7858" t="s">
        <v>23</v>
      </c>
      <c r="M7858" t="s">
        <v>18352</v>
      </c>
      <c r="N7858" t="s">
        <v>567</v>
      </c>
      <c r="O7858" t="s">
        <v>446</v>
      </c>
      <c r="P7858">
        <v>27612</v>
      </c>
      <c r="Q7858">
        <v>2474</v>
      </c>
      <c r="R7858" t="s">
        <v>23</v>
      </c>
      <c r="S7858" s="1" t="s">
        <v>34218</v>
      </c>
    </row>
    <row r="7859" spans="1:19" x14ac:dyDescent="0.25">
      <c r="A7859">
        <v>101148753</v>
      </c>
      <c r="B7859" t="s">
        <v>18353</v>
      </c>
      <c r="C7859" t="s">
        <v>2790</v>
      </c>
      <c r="F7859" t="str">
        <f>"5093072876"</f>
        <v>5093072876</v>
      </c>
      <c r="G7859" t="s">
        <v>18354</v>
      </c>
      <c r="H7859" t="s">
        <v>12507</v>
      </c>
      <c r="I7859" t="s">
        <v>84</v>
      </c>
      <c r="J7859">
        <v>98902</v>
      </c>
      <c r="K7859">
        <v>7329</v>
      </c>
      <c r="L7859" t="s">
        <v>23</v>
      </c>
      <c r="M7859" t="s">
        <v>18354</v>
      </c>
      <c r="N7859" t="s">
        <v>12507</v>
      </c>
      <c r="O7859" t="s">
        <v>84</v>
      </c>
      <c r="P7859">
        <v>98902</v>
      </c>
      <c r="Q7859">
        <v>7329</v>
      </c>
      <c r="R7859" t="s">
        <v>23</v>
      </c>
      <c r="S7859" s="1" t="s">
        <v>34218</v>
      </c>
    </row>
    <row r="7860" spans="1:19" x14ac:dyDescent="0.25">
      <c r="A7860">
        <v>101386262</v>
      </c>
      <c r="B7860" t="s">
        <v>3075</v>
      </c>
      <c r="C7860" t="s">
        <v>956</v>
      </c>
      <c r="G7860" t="s">
        <v>18355</v>
      </c>
      <c r="H7860" t="s">
        <v>445</v>
      </c>
      <c r="I7860" t="s">
        <v>446</v>
      </c>
      <c r="J7860">
        <v>28804</v>
      </c>
      <c r="K7860">
        <v>9793</v>
      </c>
      <c r="L7860" t="s">
        <v>23</v>
      </c>
      <c r="M7860" t="s">
        <v>18355</v>
      </c>
      <c r="N7860" t="s">
        <v>445</v>
      </c>
      <c r="O7860" t="s">
        <v>446</v>
      </c>
      <c r="P7860">
        <v>28804</v>
      </c>
      <c r="Q7860">
        <v>9793</v>
      </c>
      <c r="R7860" t="s">
        <v>23</v>
      </c>
      <c r="S7860" s="1" t="s">
        <v>34218</v>
      </c>
    </row>
    <row r="7861" spans="1:19" x14ac:dyDescent="0.25">
      <c r="A7861">
        <v>101386510</v>
      </c>
      <c r="B7861" t="s">
        <v>18356</v>
      </c>
      <c r="C7861" t="s">
        <v>1873</v>
      </c>
      <c r="G7861" t="s">
        <v>18357</v>
      </c>
      <c r="H7861" t="s">
        <v>4512</v>
      </c>
      <c r="I7861" t="s">
        <v>148</v>
      </c>
      <c r="J7861">
        <v>21703</v>
      </c>
      <c r="K7861">
        <v>2819</v>
      </c>
      <c r="L7861" t="s">
        <v>23</v>
      </c>
      <c r="M7861" t="s">
        <v>18357</v>
      </c>
      <c r="N7861" t="s">
        <v>4512</v>
      </c>
      <c r="O7861" t="s">
        <v>148</v>
      </c>
      <c r="P7861">
        <v>21703</v>
      </c>
      <c r="Q7861">
        <v>2819</v>
      </c>
      <c r="R7861" t="s">
        <v>23</v>
      </c>
      <c r="S7861" s="1" t="s">
        <v>34218</v>
      </c>
    </row>
    <row r="7862" spans="1:19" x14ac:dyDescent="0.25">
      <c r="A7862">
        <v>101388666</v>
      </c>
      <c r="B7862" t="s">
        <v>29</v>
      </c>
      <c r="C7862" t="s">
        <v>406</v>
      </c>
      <c r="G7862" t="s">
        <v>18358</v>
      </c>
      <c r="H7862" t="s">
        <v>2724</v>
      </c>
      <c r="I7862" t="s">
        <v>22</v>
      </c>
      <c r="J7862">
        <v>95678</v>
      </c>
      <c r="K7862">
        <v>2207</v>
      </c>
      <c r="L7862" t="s">
        <v>23</v>
      </c>
      <c r="M7862" t="s">
        <v>18358</v>
      </c>
      <c r="N7862" t="s">
        <v>2724</v>
      </c>
      <c r="O7862" t="s">
        <v>22</v>
      </c>
      <c r="P7862">
        <v>95678</v>
      </c>
      <c r="Q7862">
        <v>2207</v>
      </c>
      <c r="R7862" t="s">
        <v>23</v>
      </c>
      <c r="S7862" s="1" t="s">
        <v>34218</v>
      </c>
    </row>
    <row r="7863" spans="1:19" x14ac:dyDescent="0.25">
      <c r="A7863">
        <v>101390781</v>
      </c>
      <c r="B7863" t="s">
        <v>18359</v>
      </c>
      <c r="C7863" t="s">
        <v>1309</v>
      </c>
      <c r="G7863" t="s">
        <v>18360</v>
      </c>
      <c r="H7863" t="s">
        <v>16248</v>
      </c>
      <c r="I7863" t="s">
        <v>33</v>
      </c>
      <c r="J7863">
        <v>17963</v>
      </c>
      <c r="K7863">
        <v>9482</v>
      </c>
      <c r="L7863" t="s">
        <v>23</v>
      </c>
      <c r="M7863" t="s">
        <v>18360</v>
      </c>
      <c r="N7863" t="s">
        <v>16248</v>
      </c>
      <c r="O7863" t="s">
        <v>33</v>
      </c>
      <c r="P7863">
        <v>17963</v>
      </c>
      <c r="Q7863">
        <v>9482</v>
      </c>
      <c r="R7863" t="s">
        <v>23</v>
      </c>
      <c r="S7863" s="1" t="s">
        <v>34218</v>
      </c>
    </row>
    <row r="7864" spans="1:19" x14ac:dyDescent="0.25">
      <c r="A7864">
        <v>101117369</v>
      </c>
      <c r="B7864" t="s">
        <v>18361</v>
      </c>
      <c r="C7864" t="s">
        <v>18362</v>
      </c>
      <c r="G7864" t="s">
        <v>18363</v>
      </c>
      <c r="H7864" t="s">
        <v>3298</v>
      </c>
      <c r="I7864" t="s">
        <v>148</v>
      </c>
      <c r="J7864">
        <v>21117</v>
      </c>
      <c r="K7864">
        <v>7593</v>
      </c>
      <c r="L7864" t="s">
        <v>23</v>
      </c>
      <c r="M7864" t="s">
        <v>18363</v>
      </c>
      <c r="N7864" t="s">
        <v>3298</v>
      </c>
      <c r="O7864" t="s">
        <v>148</v>
      </c>
      <c r="P7864">
        <v>21117</v>
      </c>
      <c r="Q7864">
        <v>7593</v>
      </c>
      <c r="R7864" t="s">
        <v>23</v>
      </c>
      <c r="S7864" s="1" t="s">
        <v>34218</v>
      </c>
    </row>
    <row r="7865" spans="1:19" x14ac:dyDescent="0.25">
      <c r="A7865">
        <v>101116561</v>
      </c>
      <c r="B7865" t="s">
        <v>18364</v>
      </c>
      <c r="C7865" t="s">
        <v>390</v>
      </c>
      <c r="G7865" t="s">
        <v>18365</v>
      </c>
      <c r="H7865" t="s">
        <v>496</v>
      </c>
      <c r="I7865" t="s">
        <v>22</v>
      </c>
      <c r="J7865">
        <v>94952</v>
      </c>
      <c r="K7865">
        <v>3212</v>
      </c>
      <c r="L7865" t="s">
        <v>23</v>
      </c>
      <c r="M7865" t="s">
        <v>18365</v>
      </c>
      <c r="N7865" t="s">
        <v>496</v>
      </c>
      <c r="O7865" t="s">
        <v>22</v>
      </c>
      <c r="P7865">
        <v>94952</v>
      </c>
      <c r="Q7865">
        <v>3212</v>
      </c>
      <c r="R7865" t="s">
        <v>23</v>
      </c>
      <c r="S7865" s="1" t="s">
        <v>34218</v>
      </c>
    </row>
    <row r="7866" spans="1:19" x14ac:dyDescent="0.25">
      <c r="A7866">
        <v>101116083</v>
      </c>
      <c r="B7866" t="s">
        <v>308</v>
      </c>
      <c r="C7866" t="s">
        <v>9349</v>
      </c>
      <c r="G7866" t="s">
        <v>18366</v>
      </c>
      <c r="H7866" t="s">
        <v>88</v>
      </c>
      <c r="I7866" t="s">
        <v>22</v>
      </c>
      <c r="J7866">
        <v>94608</v>
      </c>
      <c r="K7866">
        <v>3120</v>
      </c>
      <c r="L7866" t="s">
        <v>23</v>
      </c>
      <c r="M7866" t="s">
        <v>18366</v>
      </c>
      <c r="N7866" t="s">
        <v>88</v>
      </c>
      <c r="O7866" t="s">
        <v>22</v>
      </c>
      <c r="P7866">
        <v>94608</v>
      </c>
      <c r="Q7866">
        <v>3120</v>
      </c>
      <c r="R7866" t="s">
        <v>23</v>
      </c>
      <c r="S7866" s="1" t="s">
        <v>34218</v>
      </c>
    </row>
    <row r="7867" spans="1:19" x14ac:dyDescent="0.25">
      <c r="A7867">
        <v>101124032</v>
      </c>
      <c r="B7867" t="s">
        <v>2778</v>
      </c>
      <c r="C7867" t="s">
        <v>1327</v>
      </c>
      <c r="G7867" t="s">
        <v>18367</v>
      </c>
      <c r="H7867" t="s">
        <v>2169</v>
      </c>
      <c r="I7867" t="s">
        <v>365</v>
      </c>
      <c r="J7867">
        <v>85283</v>
      </c>
      <c r="K7867">
        <v>1791</v>
      </c>
      <c r="L7867" t="s">
        <v>23</v>
      </c>
      <c r="M7867" t="s">
        <v>18367</v>
      </c>
      <c r="N7867" t="s">
        <v>2169</v>
      </c>
      <c r="O7867" t="s">
        <v>365</v>
      </c>
      <c r="P7867">
        <v>85283</v>
      </c>
      <c r="Q7867">
        <v>1791</v>
      </c>
      <c r="R7867" t="s">
        <v>23</v>
      </c>
      <c r="S7867" s="1" t="s">
        <v>34218</v>
      </c>
    </row>
    <row r="7868" spans="1:19" x14ac:dyDescent="0.25">
      <c r="A7868">
        <v>101344932</v>
      </c>
      <c r="B7868" t="s">
        <v>18368</v>
      </c>
      <c r="C7868" t="s">
        <v>9862</v>
      </c>
      <c r="G7868" t="s">
        <v>18369</v>
      </c>
      <c r="H7868" t="s">
        <v>18370</v>
      </c>
      <c r="I7868" t="s">
        <v>255</v>
      </c>
      <c r="J7868">
        <v>23103</v>
      </c>
      <c r="K7868">
        <v>2532</v>
      </c>
      <c r="L7868" t="s">
        <v>23</v>
      </c>
      <c r="M7868" t="s">
        <v>18369</v>
      </c>
      <c r="N7868" t="s">
        <v>18370</v>
      </c>
      <c r="O7868" t="s">
        <v>255</v>
      </c>
      <c r="P7868">
        <v>23103</v>
      </c>
      <c r="Q7868">
        <v>2532</v>
      </c>
      <c r="R7868" t="s">
        <v>23</v>
      </c>
      <c r="S7868" s="1" t="s">
        <v>34218</v>
      </c>
    </row>
    <row r="7869" spans="1:19" x14ac:dyDescent="0.25">
      <c r="A7869">
        <v>101344997</v>
      </c>
      <c r="B7869" t="s">
        <v>13577</v>
      </c>
      <c r="C7869" t="s">
        <v>432</v>
      </c>
      <c r="G7869" t="s">
        <v>18371</v>
      </c>
      <c r="H7869" t="s">
        <v>1396</v>
      </c>
      <c r="I7869" t="s">
        <v>22</v>
      </c>
      <c r="J7869">
        <v>95602</v>
      </c>
      <c r="K7869">
        <v>9517</v>
      </c>
      <c r="L7869" t="s">
        <v>23</v>
      </c>
      <c r="M7869" t="s">
        <v>18371</v>
      </c>
      <c r="N7869" t="s">
        <v>1396</v>
      </c>
      <c r="O7869" t="s">
        <v>22</v>
      </c>
      <c r="P7869">
        <v>95602</v>
      </c>
      <c r="Q7869">
        <v>9517</v>
      </c>
      <c r="R7869" t="s">
        <v>23</v>
      </c>
      <c r="S7869" s="1" t="s">
        <v>34218</v>
      </c>
    </row>
    <row r="7870" spans="1:19" x14ac:dyDescent="0.25">
      <c r="A7870">
        <v>101348635</v>
      </c>
      <c r="B7870" t="s">
        <v>18372</v>
      </c>
      <c r="C7870" t="s">
        <v>410</v>
      </c>
      <c r="G7870" t="s">
        <v>18373</v>
      </c>
      <c r="H7870" t="s">
        <v>18374</v>
      </c>
      <c r="I7870" t="s">
        <v>117</v>
      </c>
      <c r="J7870">
        <v>10573</v>
      </c>
      <c r="K7870">
        <v>1639</v>
      </c>
      <c r="L7870" t="s">
        <v>23</v>
      </c>
      <c r="M7870" t="s">
        <v>18373</v>
      </c>
      <c r="N7870" t="s">
        <v>18374</v>
      </c>
      <c r="O7870" t="s">
        <v>117</v>
      </c>
      <c r="P7870">
        <v>10573</v>
      </c>
      <c r="Q7870">
        <v>1639</v>
      </c>
      <c r="R7870" t="s">
        <v>23</v>
      </c>
      <c r="S7870" s="1" t="s">
        <v>34218</v>
      </c>
    </row>
    <row r="7871" spans="1:19" x14ac:dyDescent="0.25">
      <c r="A7871">
        <v>101356227</v>
      </c>
      <c r="B7871" t="s">
        <v>18375</v>
      </c>
      <c r="C7871" t="s">
        <v>1050</v>
      </c>
      <c r="G7871" t="s">
        <v>18376</v>
      </c>
      <c r="H7871" t="s">
        <v>18377</v>
      </c>
      <c r="I7871" t="s">
        <v>2537</v>
      </c>
      <c r="J7871">
        <v>72450</v>
      </c>
      <c r="K7871">
        <v>2811</v>
      </c>
      <c r="L7871" t="s">
        <v>23</v>
      </c>
      <c r="M7871" t="s">
        <v>18376</v>
      </c>
      <c r="N7871" t="s">
        <v>18377</v>
      </c>
      <c r="O7871" t="s">
        <v>2537</v>
      </c>
      <c r="P7871">
        <v>72450</v>
      </c>
      <c r="Q7871">
        <v>2811</v>
      </c>
      <c r="R7871" t="s">
        <v>23</v>
      </c>
      <c r="S7871" s="1" t="s">
        <v>34218</v>
      </c>
    </row>
    <row r="7872" spans="1:19" x14ac:dyDescent="0.25">
      <c r="A7872">
        <v>101360296</v>
      </c>
      <c r="B7872" t="s">
        <v>18378</v>
      </c>
      <c r="C7872" t="s">
        <v>18379</v>
      </c>
      <c r="G7872" t="s">
        <v>18380</v>
      </c>
      <c r="H7872" t="s">
        <v>1787</v>
      </c>
      <c r="I7872" t="s">
        <v>702</v>
      </c>
      <c r="J7872">
        <v>89113</v>
      </c>
      <c r="K7872">
        <v>3098</v>
      </c>
      <c r="L7872" t="s">
        <v>23</v>
      </c>
      <c r="M7872" t="s">
        <v>18380</v>
      </c>
      <c r="N7872" t="s">
        <v>1787</v>
      </c>
      <c r="O7872" t="s">
        <v>702</v>
      </c>
      <c r="P7872">
        <v>89113</v>
      </c>
      <c r="Q7872">
        <v>3098</v>
      </c>
      <c r="R7872" t="s">
        <v>23</v>
      </c>
      <c r="S7872" s="1" t="s">
        <v>34218</v>
      </c>
    </row>
    <row r="7873" spans="1:19" x14ac:dyDescent="0.25">
      <c r="A7873">
        <v>101361101</v>
      </c>
      <c r="B7873" t="s">
        <v>18381</v>
      </c>
      <c r="C7873" t="s">
        <v>4502</v>
      </c>
      <c r="F7873" t="str">
        <f>"6507878668"</f>
        <v>6507878668</v>
      </c>
      <c r="G7873" t="s">
        <v>18382</v>
      </c>
      <c r="H7873" t="s">
        <v>177</v>
      </c>
      <c r="I7873" t="s">
        <v>43</v>
      </c>
      <c r="J7873">
        <v>97520</v>
      </c>
      <c r="K7873">
        <v>2857</v>
      </c>
      <c r="L7873" t="s">
        <v>23</v>
      </c>
      <c r="M7873" t="s">
        <v>18382</v>
      </c>
      <c r="N7873" t="s">
        <v>177</v>
      </c>
      <c r="O7873" t="s">
        <v>43</v>
      </c>
      <c r="P7873">
        <v>97520</v>
      </c>
      <c r="Q7873">
        <v>2857</v>
      </c>
      <c r="R7873" t="s">
        <v>23</v>
      </c>
      <c r="S7873" s="1" t="s">
        <v>34218</v>
      </c>
    </row>
    <row r="7874" spans="1:19" x14ac:dyDescent="0.25">
      <c r="A7874">
        <v>101358652</v>
      </c>
      <c r="B7874" t="s">
        <v>3617</v>
      </c>
      <c r="C7874" t="s">
        <v>145</v>
      </c>
      <c r="F7874" t="str">
        <f>"4127599263"</f>
        <v>4127599263</v>
      </c>
      <c r="G7874" t="s">
        <v>3619</v>
      </c>
      <c r="H7874" t="s">
        <v>3620</v>
      </c>
      <c r="I7874" t="s">
        <v>33</v>
      </c>
      <c r="J7874">
        <v>16301</v>
      </c>
      <c r="K7874">
        <v>1244</v>
      </c>
      <c r="L7874" t="s">
        <v>23</v>
      </c>
      <c r="M7874" t="s">
        <v>3619</v>
      </c>
      <c r="N7874" t="s">
        <v>3620</v>
      </c>
      <c r="O7874" t="s">
        <v>33</v>
      </c>
      <c r="P7874">
        <v>16301</v>
      </c>
      <c r="Q7874">
        <v>1244</v>
      </c>
      <c r="R7874" t="s">
        <v>23</v>
      </c>
      <c r="S7874" s="1" t="s">
        <v>34218</v>
      </c>
    </row>
    <row r="7875" spans="1:19" x14ac:dyDescent="0.25">
      <c r="A7875">
        <v>101350430</v>
      </c>
      <c r="B7875" t="s">
        <v>14977</v>
      </c>
      <c r="C7875" t="s">
        <v>846</v>
      </c>
      <c r="G7875" t="s">
        <v>18383</v>
      </c>
      <c r="H7875" t="s">
        <v>1318</v>
      </c>
      <c r="I7875" t="s">
        <v>22</v>
      </c>
      <c r="J7875">
        <v>94595</v>
      </c>
      <c r="K7875">
        <v>2636</v>
      </c>
      <c r="L7875" t="s">
        <v>23</v>
      </c>
      <c r="M7875" t="s">
        <v>18383</v>
      </c>
      <c r="N7875" t="s">
        <v>1318</v>
      </c>
      <c r="O7875" t="s">
        <v>22</v>
      </c>
      <c r="P7875">
        <v>94595</v>
      </c>
      <c r="Q7875">
        <v>2636</v>
      </c>
      <c r="R7875" t="s">
        <v>23</v>
      </c>
      <c r="S7875" s="1" t="s">
        <v>34218</v>
      </c>
    </row>
    <row r="7876" spans="1:19" x14ac:dyDescent="0.25">
      <c r="A7876">
        <v>101350375</v>
      </c>
      <c r="B7876" t="s">
        <v>9511</v>
      </c>
      <c r="C7876" t="s">
        <v>699</v>
      </c>
      <c r="G7876" t="s">
        <v>18384</v>
      </c>
      <c r="H7876" t="s">
        <v>143</v>
      </c>
      <c r="I7876" t="s">
        <v>52</v>
      </c>
      <c r="J7876">
        <v>32205</v>
      </c>
      <c r="K7876">
        <v>7032</v>
      </c>
      <c r="L7876" t="s">
        <v>23</v>
      </c>
      <c r="M7876" t="s">
        <v>18384</v>
      </c>
      <c r="N7876" t="s">
        <v>143</v>
      </c>
      <c r="O7876" t="s">
        <v>52</v>
      </c>
      <c r="P7876">
        <v>32205</v>
      </c>
      <c r="Q7876">
        <v>7032</v>
      </c>
      <c r="R7876" t="s">
        <v>23</v>
      </c>
      <c r="S7876" s="1" t="s">
        <v>34218</v>
      </c>
    </row>
    <row r="7877" spans="1:19" x14ac:dyDescent="0.25">
      <c r="A7877">
        <v>101365202</v>
      </c>
      <c r="B7877" t="s">
        <v>18385</v>
      </c>
      <c r="C7877" t="s">
        <v>18386</v>
      </c>
      <c r="G7877" t="s">
        <v>18387</v>
      </c>
      <c r="H7877" t="s">
        <v>18388</v>
      </c>
      <c r="I7877" t="s">
        <v>250</v>
      </c>
      <c r="J7877">
        <v>8046</v>
      </c>
      <c r="K7877">
        <v>1208</v>
      </c>
      <c r="L7877" t="s">
        <v>23</v>
      </c>
      <c r="M7877" t="s">
        <v>18387</v>
      </c>
      <c r="N7877" t="s">
        <v>18388</v>
      </c>
      <c r="O7877" t="s">
        <v>250</v>
      </c>
      <c r="P7877">
        <v>8046</v>
      </c>
      <c r="Q7877">
        <v>1208</v>
      </c>
      <c r="R7877" t="s">
        <v>23</v>
      </c>
      <c r="S7877" s="1" t="s">
        <v>34218</v>
      </c>
    </row>
    <row r="7878" spans="1:19" x14ac:dyDescent="0.25">
      <c r="A7878">
        <v>101366050</v>
      </c>
      <c r="B7878" t="s">
        <v>4064</v>
      </c>
      <c r="C7878" t="s">
        <v>123</v>
      </c>
      <c r="G7878" t="s">
        <v>18389</v>
      </c>
      <c r="H7878" t="s">
        <v>7944</v>
      </c>
      <c r="I7878" t="s">
        <v>236</v>
      </c>
      <c r="J7878">
        <v>1060</v>
      </c>
      <c r="K7878">
        <v>4235</v>
      </c>
      <c r="L7878" t="s">
        <v>23</v>
      </c>
      <c r="M7878" t="s">
        <v>18389</v>
      </c>
      <c r="N7878" t="s">
        <v>7944</v>
      </c>
      <c r="O7878" t="s">
        <v>236</v>
      </c>
      <c r="P7878">
        <v>1060</v>
      </c>
      <c r="Q7878">
        <v>4235</v>
      </c>
      <c r="R7878" t="s">
        <v>23</v>
      </c>
      <c r="S7878" s="1" t="s">
        <v>34218</v>
      </c>
    </row>
    <row r="7879" spans="1:19" x14ac:dyDescent="0.25">
      <c r="A7879">
        <v>101369898</v>
      </c>
      <c r="B7879" t="s">
        <v>18390</v>
      </c>
      <c r="C7879" t="s">
        <v>18391</v>
      </c>
      <c r="G7879" t="s">
        <v>18392</v>
      </c>
      <c r="H7879" t="s">
        <v>11424</v>
      </c>
      <c r="I7879" t="s">
        <v>187</v>
      </c>
      <c r="J7879">
        <v>55331</v>
      </c>
      <c r="K7879">
        <v>8228</v>
      </c>
      <c r="L7879" t="s">
        <v>23</v>
      </c>
      <c r="M7879" t="s">
        <v>18392</v>
      </c>
      <c r="N7879" t="s">
        <v>11424</v>
      </c>
      <c r="O7879" t="s">
        <v>187</v>
      </c>
      <c r="P7879">
        <v>55331</v>
      </c>
      <c r="Q7879">
        <v>8228</v>
      </c>
      <c r="R7879" t="s">
        <v>23</v>
      </c>
      <c r="S7879" s="1" t="s">
        <v>34218</v>
      </c>
    </row>
    <row r="7880" spans="1:19" x14ac:dyDescent="0.25">
      <c r="A7880">
        <v>101379423</v>
      </c>
      <c r="B7880" t="s">
        <v>18393</v>
      </c>
      <c r="C7880" t="s">
        <v>1298</v>
      </c>
      <c r="G7880" t="s">
        <v>18394</v>
      </c>
      <c r="H7880" t="s">
        <v>9008</v>
      </c>
      <c r="I7880" t="s">
        <v>52</v>
      </c>
      <c r="J7880">
        <v>34609</v>
      </c>
      <c r="K7880">
        <v>3011</v>
      </c>
      <c r="L7880" t="s">
        <v>23</v>
      </c>
      <c r="M7880" t="s">
        <v>18394</v>
      </c>
      <c r="N7880" t="s">
        <v>9008</v>
      </c>
      <c r="O7880" t="s">
        <v>52</v>
      </c>
      <c r="P7880">
        <v>34609</v>
      </c>
      <c r="Q7880">
        <v>3011</v>
      </c>
      <c r="R7880" t="s">
        <v>23</v>
      </c>
      <c r="S7880" s="1" t="s">
        <v>34218</v>
      </c>
    </row>
    <row r="7881" spans="1:19" x14ac:dyDescent="0.25">
      <c r="A7881">
        <v>101437563</v>
      </c>
      <c r="B7881" t="s">
        <v>6905</v>
      </c>
      <c r="C7881" t="s">
        <v>18395</v>
      </c>
      <c r="G7881" t="s">
        <v>18396</v>
      </c>
      <c r="H7881" t="s">
        <v>3571</v>
      </c>
      <c r="I7881" t="s">
        <v>187</v>
      </c>
      <c r="J7881">
        <v>55082</v>
      </c>
      <c r="K7881">
        <v>4269</v>
      </c>
      <c r="L7881" t="s">
        <v>23</v>
      </c>
      <c r="M7881" t="s">
        <v>18396</v>
      </c>
      <c r="N7881" t="s">
        <v>3571</v>
      </c>
      <c r="O7881" t="s">
        <v>187</v>
      </c>
      <c r="P7881">
        <v>55082</v>
      </c>
      <c r="Q7881">
        <v>4269</v>
      </c>
      <c r="R7881" t="s">
        <v>23</v>
      </c>
      <c r="S7881" s="1" t="s">
        <v>34218</v>
      </c>
    </row>
    <row r="7882" spans="1:19" x14ac:dyDescent="0.25">
      <c r="A7882">
        <v>100556587</v>
      </c>
      <c r="B7882" t="s">
        <v>228</v>
      </c>
      <c r="C7882" t="s">
        <v>748</v>
      </c>
      <c r="G7882" t="s">
        <v>18397</v>
      </c>
      <c r="H7882" t="s">
        <v>6104</v>
      </c>
      <c r="I7882" t="s">
        <v>236</v>
      </c>
      <c r="J7882">
        <v>2464</v>
      </c>
      <c r="K7882">
        <v>1211</v>
      </c>
      <c r="L7882" t="s">
        <v>23</v>
      </c>
      <c r="M7882" t="s">
        <v>18397</v>
      </c>
      <c r="N7882" t="s">
        <v>6104</v>
      </c>
      <c r="O7882" t="s">
        <v>236</v>
      </c>
      <c r="P7882">
        <v>2464</v>
      </c>
      <c r="Q7882">
        <v>1211</v>
      </c>
      <c r="R7882" t="s">
        <v>23</v>
      </c>
      <c r="S7882" s="1" t="s">
        <v>34218</v>
      </c>
    </row>
    <row r="7883" spans="1:19" x14ac:dyDescent="0.25">
      <c r="A7883">
        <v>101277893</v>
      </c>
      <c r="B7883" t="s">
        <v>744</v>
      </c>
      <c r="C7883" t="s">
        <v>367</v>
      </c>
      <c r="G7883" t="s">
        <v>18398</v>
      </c>
      <c r="H7883" t="s">
        <v>198</v>
      </c>
      <c r="I7883" t="s">
        <v>22</v>
      </c>
      <c r="J7883">
        <v>92105</v>
      </c>
      <c r="K7883">
        <v>3731</v>
      </c>
      <c r="L7883" t="s">
        <v>23</v>
      </c>
      <c r="M7883" t="s">
        <v>18398</v>
      </c>
      <c r="N7883" t="s">
        <v>198</v>
      </c>
      <c r="O7883" t="s">
        <v>22</v>
      </c>
      <c r="P7883">
        <v>92105</v>
      </c>
      <c r="Q7883">
        <v>3731</v>
      </c>
      <c r="R7883" t="s">
        <v>23</v>
      </c>
      <c r="S7883" s="1" t="s">
        <v>34218</v>
      </c>
    </row>
    <row r="7884" spans="1:19" x14ac:dyDescent="0.25">
      <c r="A7884">
        <v>100515627</v>
      </c>
      <c r="B7884" t="s">
        <v>281</v>
      </c>
      <c r="C7884" t="s">
        <v>18399</v>
      </c>
      <c r="G7884" t="s">
        <v>18400</v>
      </c>
      <c r="H7884" t="s">
        <v>1396</v>
      </c>
      <c r="I7884" t="s">
        <v>353</v>
      </c>
      <c r="J7884">
        <v>3032</v>
      </c>
      <c r="K7884">
        <v>3310</v>
      </c>
      <c r="L7884" t="s">
        <v>23</v>
      </c>
      <c r="M7884" t="s">
        <v>18400</v>
      </c>
      <c r="N7884" t="s">
        <v>1396</v>
      </c>
      <c r="O7884" t="s">
        <v>353</v>
      </c>
      <c r="P7884">
        <v>3032</v>
      </c>
      <c r="Q7884">
        <v>3310</v>
      </c>
      <c r="R7884" t="s">
        <v>23</v>
      </c>
      <c r="S7884" s="1" t="s">
        <v>34218</v>
      </c>
    </row>
    <row r="7885" spans="1:19" x14ac:dyDescent="0.25">
      <c r="A7885">
        <v>101307307</v>
      </c>
      <c r="B7885" t="s">
        <v>18401</v>
      </c>
      <c r="C7885" t="s">
        <v>3670</v>
      </c>
      <c r="G7885" t="s">
        <v>18402</v>
      </c>
      <c r="H7885" t="s">
        <v>4793</v>
      </c>
      <c r="I7885" t="s">
        <v>100</v>
      </c>
      <c r="J7885" t="s">
        <v>18403</v>
      </c>
      <c r="K7885">
        <v>1660</v>
      </c>
      <c r="L7885" t="s">
        <v>23</v>
      </c>
      <c r="M7885" t="s">
        <v>18402</v>
      </c>
      <c r="N7885" t="s">
        <v>4793</v>
      </c>
      <c r="O7885" t="s">
        <v>100</v>
      </c>
      <c r="P7885" t="s">
        <v>18403</v>
      </c>
      <c r="Q7885">
        <v>1660</v>
      </c>
      <c r="R7885" t="s">
        <v>23</v>
      </c>
      <c r="S7885" s="1" t="s">
        <v>34218</v>
      </c>
    </row>
    <row r="7886" spans="1:19" x14ac:dyDescent="0.25">
      <c r="A7886">
        <v>101449459</v>
      </c>
      <c r="B7886" t="s">
        <v>18404</v>
      </c>
      <c r="C7886" t="s">
        <v>90</v>
      </c>
      <c r="G7886" t="s">
        <v>18405</v>
      </c>
      <c r="H7886" t="s">
        <v>10374</v>
      </c>
      <c r="I7886" t="s">
        <v>140</v>
      </c>
      <c r="J7886">
        <v>48170</v>
      </c>
      <c r="K7886">
        <v>3028</v>
      </c>
      <c r="L7886" t="s">
        <v>23</v>
      </c>
      <c r="M7886" t="s">
        <v>18405</v>
      </c>
      <c r="N7886" t="s">
        <v>10374</v>
      </c>
      <c r="O7886" t="s">
        <v>140</v>
      </c>
      <c r="P7886">
        <v>48170</v>
      </c>
      <c r="Q7886">
        <v>3028</v>
      </c>
      <c r="R7886" t="s">
        <v>23</v>
      </c>
      <c r="S7886" s="1" t="s">
        <v>34218</v>
      </c>
    </row>
    <row r="7887" spans="1:19" x14ac:dyDescent="0.25">
      <c r="A7887">
        <v>101394833</v>
      </c>
      <c r="B7887" t="s">
        <v>9091</v>
      </c>
      <c r="C7887" t="s">
        <v>1153</v>
      </c>
      <c r="G7887" t="s">
        <v>18406</v>
      </c>
      <c r="H7887" t="s">
        <v>344</v>
      </c>
      <c r="I7887" t="s">
        <v>639</v>
      </c>
      <c r="J7887">
        <v>88201</v>
      </c>
      <c r="K7887">
        <v>3310</v>
      </c>
      <c r="L7887" t="s">
        <v>23</v>
      </c>
      <c r="M7887" t="s">
        <v>18406</v>
      </c>
      <c r="N7887" t="s">
        <v>344</v>
      </c>
      <c r="O7887" t="s">
        <v>639</v>
      </c>
      <c r="P7887">
        <v>88201</v>
      </c>
      <c r="Q7887">
        <v>3310</v>
      </c>
      <c r="R7887" t="s">
        <v>23</v>
      </c>
      <c r="S7887" s="1" t="s">
        <v>34218</v>
      </c>
    </row>
    <row r="7888" spans="1:19" x14ac:dyDescent="0.25">
      <c r="A7888">
        <v>101024323</v>
      </c>
      <c r="B7888" t="s">
        <v>9085</v>
      </c>
      <c r="C7888" t="s">
        <v>199</v>
      </c>
      <c r="G7888" t="s">
        <v>18407</v>
      </c>
      <c r="H7888" t="s">
        <v>4186</v>
      </c>
      <c r="I7888" t="s">
        <v>84</v>
      </c>
      <c r="J7888">
        <v>98052</v>
      </c>
      <c r="K7888">
        <v>700</v>
      </c>
      <c r="L7888" t="s">
        <v>23</v>
      </c>
      <c r="M7888" t="s">
        <v>18407</v>
      </c>
      <c r="N7888" t="s">
        <v>4186</v>
      </c>
      <c r="O7888" t="s">
        <v>84</v>
      </c>
      <c r="P7888">
        <v>98052</v>
      </c>
      <c r="Q7888">
        <v>700</v>
      </c>
      <c r="R7888" t="s">
        <v>23</v>
      </c>
      <c r="S7888" s="1" t="s">
        <v>34218</v>
      </c>
    </row>
    <row r="7889" spans="1:19" x14ac:dyDescent="0.25">
      <c r="A7889">
        <v>101256826</v>
      </c>
      <c r="B7889" t="s">
        <v>18408</v>
      </c>
      <c r="C7889" t="s">
        <v>18409</v>
      </c>
      <c r="G7889" t="s">
        <v>18410</v>
      </c>
      <c r="H7889" t="s">
        <v>10881</v>
      </c>
      <c r="I7889" t="s">
        <v>117</v>
      </c>
      <c r="J7889">
        <v>12075</v>
      </c>
      <c r="L7889" t="s">
        <v>23</v>
      </c>
      <c r="M7889" t="s">
        <v>18410</v>
      </c>
      <c r="N7889" t="s">
        <v>10881</v>
      </c>
      <c r="O7889" t="s">
        <v>117</v>
      </c>
      <c r="P7889">
        <v>12075</v>
      </c>
      <c r="R7889" t="s">
        <v>23</v>
      </c>
      <c r="S7889" s="1" t="s">
        <v>34218</v>
      </c>
    </row>
    <row r="7890" spans="1:19" x14ac:dyDescent="0.25">
      <c r="A7890">
        <v>101304223</v>
      </c>
      <c r="B7890" t="s">
        <v>16075</v>
      </c>
      <c r="C7890" t="s">
        <v>229</v>
      </c>
      <c r="G7890" t="s">
        <v>18411</v>
      </c>
      <c r="H7890" t="s">
        <v>18412</v>
      </c>
      <c r="I7890" t="s">
        <v>57</v>
      </c>
      <c r="J7890">
        <v>47036</v>
      </c>
      <c r="K7890">
        <v>100</v>
      </c>
      <c r="L7890" t="s">
        <v>23</v>
      </c>
      <c r="M7890" t="s">
        <v>18411</v>
      </c>
      <c r="N7890" t="s">
        <v>18412</v>
      </c>
      <c r="O7890" t="s">
        <v>57</v>
      </c>
      <c r="P7890">
        <v>47036</v>
      </c>
      <c r="Q7890">
        <v>100</v>
      </c>
      <c r="R7890" t="s">
        <v>23</v>
      </c>
      <c r="S7890" s="1" t="s">
        <v>34218</v>
      </c>
    </row>
    <row r="7891" spans="1:19" x14ac:dyDescent="0.25">
      <c r="A7891">
        <v>101092519</v>
      </c>
      <c r="B7891" t="s">
        <v>925</v>
      </c>
      <c r="C7891" t="s">
        <v>274</v>
      </c>
      <c r="G7891" t="s">
        <v>18413</v>
      </c>
      <c r="H7891" t="s">
        <v>18414</v>
      </c>
      <c r="I7891" t="s">
        <v>148</v>
      </c>
      <c r="J7891">
        <v>21113</v>
      </c>
      <c r="K7891">
        <v>2609</v>
      </c>
      <c r="L7891" t="s">
        <v>23</v>
      </c>
      <c r="M7891" t="s">
        <v>18413</v>
      </c>
      <c r="N7891" t="s">
        <v>18414</v>
      </c>
      <c r="O7891" t="s">
        <v>148</v>
      </c>
      <c r="P7891">
        <v>21113</v>
      </c>
      <c r="Q7891">
        <v>2609</v>
      </c>
      <c r="R7891" t="s">
        <v>23</v>
      </c>
      <c r="S7891" s="1" t="s">
        <v>34218</v>
      </c>
    </row>
    <row r="7892" spans="1:19" x14ac:dyDescent="0.25">
      <c r="A7892">
        <v>100979641</v>
      </c>
      <c r="B7892" t="s">
        <v>18074</v>
      </c>
      <c r="C7892" t="s">
        <v>403</v>
      </c>
      <c r="G7892" t="s">
        <v>18415</v>
      </c>
      <c r="H7892" t="s">
        <v>7195</v>
      </c>
      <c r="I7892" t="s">
        <v>446</v>
      </c>
      <c r="J7892">
        <v>28752</v>
      </c>
      <c r="K7892">
        <v>3882</v>
      </c>
      <c r="L7892" t="s">
        <v>23</v>
      </c>
      <c r="M7892" t="s">
        <v>18415</v>
      </c>
      <c r="N7892" t="s">
        <v>7195</v>
      </c>
      <c r="O7892" t="s">
        <v>446</v>
      </c>
      <c r="P7892">
        <v>28752</v>
      </c>
      <c r="Q7892">
        <v>3882</v>
      </c>
      <c r="R7892" t="s">
        <v>23</v>
      </c>
      <c r="S7892" s="1" t="s">
        <v>34218</v>
      </c>
    </row>
    <row r="7893" spans="1:19" x14ac:dyDescent="0.25">
      <c r="A7893">
        <v>100981670</v>
      </c>
      <c r="B7893" t="s">
        <v>10083</v>
      </c>
      <c r="C7893" t="s">
        <v>18416</v>
      </c>
      <c r="G7893" t="s">
        <v>18417</v>
      </c>
      <c r="H7893" t="s">
        <v>198</v>
      </c>
      <c r="I7893" t="s">
        <v>22</v>
      </c>
      <c r="J7893">
        <v>92120</v>
      </c>
      <c r="K7893">
        <v>3921</v>
      </c>
      <c r="L7893" t="s">
        <v>23</v>
      </c>
      <c r="M7893" t="s">
        <v>18417</v>
      </c>
      <c r="N7893" t="s">
        <v>198</v>
      </c>
      <c r="O7893" t="s">
        <v>22</v>
      </c>
      <c r="P7893">
        <v>92120</v>
      </c>
      <c r="Q7893">
        <v>3921</v>
      </c>
      <c r="R7893" t="s">
        <v>23</v>
      </c>
      <c r="S7893" s="1" t="s">
        <v>34218</v>
      </c>
    </row>
    <row r="7894" spans="1:19" x14ac:dyDescent="0.25">
      <c r="A7894">
        <v>100985229</v>
      </c>
      <c r="B7894" t="s">
        <v>18418</v>
      </c>
      <c r="C7894" t="s">
        <v>2892</v>
      </c>
      <c r="G7894" t="s">
        <v>18419</v>
      </c>
      <c r="H7894" t="s">
        <v>1096</v>
      </c>
      <c r="I7894" t="s">
        <v>1097</v>
      </c>
      <c r="J7894">
        <v>40241</v>
      </c>
      <c r="K7894">
        <v>6519</v>
      </c>
      <c r="L7894" t="s">
        <v>23</v>
      </c>
      <c r="M7894" t="s">
        <v>18419</v>
      </c>
      <c r="N7894" t="s">
        <v>1096</v>
      </c>
      <c r="O7894" t="s">
        <v>1097</v>
      </c>
      <c r="P7894">
        <v>40241</v>
      </c>
      <c r="Q7894">
        <v>6519</v>
      </c>
      <c r="R7894" t="s">
        <v>23</v>
      </c>
      <c r="S7894" s="1" t="s">
        <v>34218</v>
      </c>
    </row>
    <row r="7895" spans="1:19" x14ac:dyDescent="0.25">
      <c r="A7895">
        <v>100984781</v>
      </c>
      <c r="B7895" t="s">
        <v>18420</v>
      </c>
      <c r="C7895" t="s">
        <v>119</v>
      </c>
      <c r="G7895" t="s">
        <v>18421</v>
      </c>
      <c r="H7895" t="s">
        <v>18422</v>
      </c>
      <c r="I7895" t="s">
        <v>639</v>
      </c>
      <c r="J7895">
        <v>87114</v>
      </c>
      <c r="K7895">
        <v>1125</v>
      </c>
      <c r="L7895" t="s">
        <v>23</v>
      </c>
      <c r="M7895" t="s">
        <v>18421</v>
      </c>
      <c r="N7895" t="s">
        <v>18422</v>
      </c>
      <c r="O7895" t="s">
        <v>639</v>
      </c>
      <c r="P7895">
        <v>87114</v>
      </c>
      <c r="Q7895">
        <v>1125</v>
      </c>
      <c r="R7895" t="s">
        <v>23</v>
      </c>
      <c r="S7895" s="1" t="s">
        <v>34218</v>
      </c>
    </row>
    <row r="7896" spans="1:19" x14ac:dyDescent="0.25">
      <c r="A7896">
        <v>100988740</v>
      </c>
      <c r="B7896" t="s">
        <v>18423</v>
      </c>
      <c r="C7896" t="s">
        <v>313</v>
      </c>
      <c r="F7896" t="str">
        <f>"7173647608"</f>
        <v>7173647608</v>
      </c>
      <c r="G7896" t="s">
        <v>18424</v>
      </c>
      <c r="H7896" t="s">
        <v>18425</v>
      </c>
      <c r="I7896" t="s">
        <v>33</v>
      </c>
      <c r="J7896">
        <v>17011</v>
      </c>
      <c r="K7896">
        <v>2808</v>
      </c>
      <c r="L7896" t="s">
        <v>23</v>
      </c>
      <c r="M7896" t="s">
        <v>18424</v>
      </c>
      <c r="N7896" t="s">
        <v>18425</v>
      </c>
      <c r="O7896" t="s">
        <v>33</v>
      </c>
      <c r="P7896">
        <v>17011</v>
      </c>
      <c r="Q7896">
        <v>2808</v>
      </c>
      <c r="R7896" t="s">
        <v>23</v>
      </c>
      <c r="S7896" s="1" t="s">
        <v>34218</v>
      </c>
    </row>
    <row r="7897" spans="1:19" x14ac:dyDescent="0.25">
      <c r="A7897">
        <v>100982864</v>
      </c>
      <c r="B7897" t="s">
        <v>262</v>
      </c>
      <c r="C7897" t="s">
        <v>123</v>
      </c>
      <c r="G7897" t="s">
        <v>18426</v>
      </c>
      <c r="H7897" t="s">
        <v>10374</v>
      </c>
      <c r="I7897" t="s">
        <v>100</v>
      </c>
      <c r="J7897">
        <v>53073</v>
      </c>
      <c r="K7897">
        <v>2502</v>
      </c>
      <c r="L7897" t="s">
        <v>23</v>
      </c>
      <c r="M7897" t="s">
        <v>18426</v>
      </c>
      <c r="N7897" t="s">
        <v>10374</v>
      </c>
      <c r="O7897" t="s">
        <v>100</v>
      </c>
      <c r="P7897">
        <v>53073</v>
      </c>
      <c r="Q7897">
        <v>2502</v>
      </c>
      <c r="R7897" t="s">
        <v>23</v>
      </c>
      <c r="S7897" s="1" t="s">
        <v>34218</v>
      </c>
    </row>
    <row r="7898" spans="1:19" x14ac:dyDescent="0.25">
      <c r="A7898">
        <v>101177682</v>
      </c>
      <c r="B7898" t="s">
        <v>18427</v>
      </c>
      <c r="C7898" t="s">
        <v>1027</v>
      </c>
      <c r="G7898" t="s">
        <v>18428</v>
      </c>
      <c r="H7898" t="s">
        <v>13452</v>
      </c>
      <c r="I7898" t="s">
        <v>178</v>
      </c>
      <c r="J7898">
        <v>44870</v>
      </c>
      <c r="K7898">
        <v>1624</v>
      </c>
      <c r="L7898" t="s">
        <v>23</v>
      </c>
      <c r="M7898" t="s">
        <v>18428</v>
      </c>
      <c r="N7898" t="s">
        <v>13452</v>
      </c>
      <c r="O7898" t="s">
        <v>178</v>
      </c>
      <c r="P7898">
        <v>44870</v>
      </c>
      <c r="Q7898">
        <v>1624</v>
      </c>
      <c r="R7898" t="s">
        <v>23</v>
      </c>
      <c r="S7898" s="1" t="s">
        <v>34218</v>
      </c>
    </row>
    <row r="7899" spans="1:19" x14ac:dyDescent="0.25">
      <c r="A7899">
        <v>101179336</v>
      </c>
      <c r="B7899" t="s">
        <v>18429</v>
      </c>
      <c r="C7899" t="s">
        <v>641</v>
      </c>
      <c r="G7899" t="s">
        <v>18430</v>
      </c>
      <c r="H7899" t="s">
        <v>18431</v>
      </c>
      <c r="I7899" t="s">
        <v>71</v>
      </c>
      <c r="J7899">
        <v>81623</v>
      </c>
      <c r="K7899">
        <v>9041</v>
      </c>
      <c r="L7899" t="s">
        <v>23</v>
      </c>
      <c r="M7899" t="s">
        <v>18430</v>
      </c>
      <c r="N7899" t="s">
        <v>18431</v>
      </c>
      <c r="O7899" t="s">
        <v>71</v>
      </c>
      <c r="P7899">
        <v>81623</v>
      </c>
      <c r="Q7899">
        <v>9041</v>
      </c>
      <c r="R7899" t="s">
        <v>23</v>
      </c>
      <c r="S7899" s="1" t="s">
        <v>34218</v>
      </c>
    </row>
    <row r="7900" spans="1:19" x14ac:dyDescent="0.25">
      <c r="A7900">
        <v>101186802</v>
      </c>
      <c r="B7900" t="s">
        <v>18432</v>
      </c>
      <c r="C7900" t="s">
        <v>8042</v>
      </c>
      <c r="G7900" t="s">
        <v>18433</v>
      </c>
      <c r="H7900" t="s">
        <v>2696</v>
      </c>
      <c r="I7900" t="s">
        <v>52</v>
      </c>
      <c r="J7900">
        <v>33019</v>
      </c>
      <c r="K7900">
        <v>5042</v>
      </c>
      <c r="L7900" t="s">
        <v>23</v>
      </c>
      <c r="M7900" t="s">
        <v>18433</v>
      </c>
      <c r="N7900" t="s">
        <v>2696</v>
      </c>
      <c r="O7900" t="s">
        <v>52</v>
      </c>
      <c r="P7900">
        <v>33019</v>
      </c>
      <c r="Q7900">
        <v>5042</v>
      </c>
      <c r="R7900" t="s">
        <v>23</v>
      </c>
      <c r="S7900" s="1" t="s">
        <v>34218</v>
      </c>
    </row>
    <row r="7901" spans="1:19" x14ac:dyDescent="0.25">
      <c r="A7901">
        <v>101189695</v>
      </c>
      <c r="B7901" t="s">
        <v>18434</v>
      </c>
      <c r="C7901" t="s">
        <v>5868</v>
      </c>
      <c r="G7901" t="s">
        <v>18435</v>
      </c>
      <c r="H7901" t="s">
        <v>7738</v>
      </c>
      <c r="I7901" t="s">
        <v>33</v>
      </c>
      <c r="J7901">
        <v>15101</v>
      </c>
      <c r="K7901">
        <v>2314</v>
      </c>
      <c r="L7901" t="s">
        <v>23</v>
      </c>
      <c r="M7901" t="s">
        <v>18435</v>
      </c>
      <c r="N7901" t="s">
        <v>7738</v>
      </c>
      <c r="O7901" t="s">
        <v>33</v>
      </c>
      <c r="P7901">
        <v>15101</v>
      </c>
      <c r="Q7901">
        <v>2314</v>
      </c>
      <c r="R7901" t="s">
        <v>23</v>
      </c>
      <c r="S7901" s="1" t="s">
        <v>34218</v>
      </c>
    </row>
    <row r="7902" spans="1:19" x14ac:dyDescent="0.25">
      <c r="A7902">
        <v>101188363</v>
      </c>
      <c r="B7902" t="s">
        <v>3482</v>
      </c>
      <c r="C7902" t="s">
        <v>137</v>
      </c>
      <c r="G7902" t="s">
        <v>18436</v>
      </c>
      <c r="H7902" t="s">
        <v>13304</v>
      </c>
      <c r="I7902" t="s">
        <v>348</v>
      </c>
      <c r="J7902">
        <v>83864</v>
      </c>
      <c r="K7902">
        <v>4791</v>
      </c>
      <c r="L7902" t="s">
        <v>23</v>
      </c>
      <c r="M7902" t="s">
        <v>18436</v>
      </c>
      <c r="N7902" t="s">
        <v>13304</v>
      </c>
      <c r="O7902" t="s">
        <v>348</v>
      </c>
      <c r="P7902">
        <v>83864</v>
      </c>
      <c r="Q7902">
        <v>4791</v>
      </c>
      <c r="R7902" t="s">
        <v>23</v>
      </c>
      <c r="S7902" s="1" t="s">
        <v>34218</v>
      </c>
    </row>
    <row r="7903" spans="1:19" x14ac:dyDescent="0.25">
      <c r="A7903">
        <v>101197261</v>
      </c>
      <c r="B7903" t="s">
        <v>12229</v>
      </c>
      <c r="C7903" t="s">
        <v>3307</v>
      </c>
      <c r="G7903" t="s">
        <v>18437</v>
      </c>
      <c r="H7903" t="s">
        <v>4675</v>
      </c>
      <c r="I7903" t="s">
        <v>984</v>
      </c>
      <c r="J7903">
        <v>96708</v>
      </c>
      <c r="K7903">
        <v>5602</v>
      </c>
      <c r="L7903" t="s">
        <v>23</v>
      </c>
      <c r="M7903" t="s">
        <v>18437</v>
      </c>
      <c r="N7903" t="s">
        <v>4675</v>
      </c>
      <c r="O7903" t="s">
        <v>984</v>
      </c>
      <c r="P7903">
        <v>96708</v>
      </c>
      <c r="Q7903">
        <v>5602</v>
      </c>
      <c r="R7903" t="s">
        <v>23</v>
      </c>
      <c r="S7903" s="1" t="s">
        <v>34218</v>
      </c>
    </row>
    <row r="7904" spans="1:19" x14ac:dyDescent="0.25">
      <c r="A7904">
        <v>101198840</v>
      </c>
      <c r="B7904" t="s">
        <v>18438</v>
      </c>
      <c r="C7904" t="s">
        <v>1992</v>
      </c>
      <c r="G7904" t="s">
        <v>18439</v>
      </c>
      <c r="H7904" t="s">
        <v>653</v>
      </c>
      <c r="I7904" t="s">
        <v>117</v>
      </c>
      <c r="J7904">
        <v>10028</v>
      </c>
      <c r="K7904">
        <v>6181</v>
      </c>
      <c r="L7904" t="s">
        <v>23</v>
      </c>
      <c r="M7904" t="s">
        <v>18439</v>
      </c>
      <c r="N7904" t="s">
        <v>653</v>
      </c>
      <c r="O7904" t="s">
        <v>117</v>
      </c>
      <c r="P7904">
        <v>10028</v>
      </c>
      <c r="Q7904">
        <v>6181</v>
      </c>
      <c r="R7904" t="s">
        <v>23</v>
      </c>
      <c r="S7904" s="1" t="s">
        <v>34218</v>
      </c>
    </row>
    <row r="7905" spans="1:19" x14ac:dyDescent="0.25">
      <c r="A7905">
        <v>101200603</v>
      </c>
      <c r="B7905" t="s">
        <v>18440</v>
      </c>
      <c r="C7905" t="s">
        <v>18441</v>
      </c>
      <c r="G7905" t="s">
        <v>18442</v>
      </c>
      <c r="H7905" t="s">
        <v>66</v>
      </c>
      <c r="I7905" t="s">
        <v>22</v>
      </c>
      <c r="J7905">
        <v>94706</v>
      </c>
      <c r="K7905">
        <v>2423</v>
      </c>
      <c r="L7905" t="s">
        <v>23</v>
      </c>
      <c r="M7905" t="s">
        <v>18442</v>
      </c>
      <c r="N7905" t="s">
        <v>66</v>
      </c>
      <c r="O7905" t="s">
        <v>22</v>
      </c>
      <c r="P7905">
        <v>94706</v>
      </c>
      <c r="Q7905">
        <v>2423</v>
      </c>
      <c r="R7905" t="s">
        <v>23</v>
      </c>
      <c r="S7905" s="1" t="s">
        <v>34218</v>
      </c>
    </row>
    <row r="7906" spans="1:19" x14ac:dyDescent="0.25">
      <c r="A7906">
        <v>101196285</v>
      </c>
      <c r="B7906" t="s">
        <v>6598</v>
      </c>
      <c r="C7906" t="s">
        <v>30</v>
      </c>
      <c r="G7906" t="s">
        <v>18443</v>
      </c>
      <c r="H7906" t="s">
        <v>18444</v>
      </c>
      <c r="I7906" t="s">
        <v>117</v>
      </c>
      <c r="J7906">
        <v>12571</v>
      </c>
      <c r="K7906">
        <v>2706</v>
      </c>
      <c r="L7906" t="s">
        <v>23</v>
      </c>
      <c r="M7906" t="s">
        <v>18443</v>
      </c>
      <c r="N7906" t="s">
        <v>18444</v>
      </c>
      <c r="O7906" t="s">
        <v>117</v>
      </c>
      <c r="P7906">
        <v>12571</v>
      </c>
      <c r="Q7906">
        <v>2706</v>
      </c>
      <c r="R7906" t="s">
        <v>23</v>
      </c>
      <c r="S7906" s="1" t="s">
        <v>34218</v>
      </c>
    </row>
    <row r="7907" spans="1:19" x14ac:dyDescent="0.25">
      <c r="A7907">
        <v>101146759</v>
      </c>
      <c r="B7907" t="s">
        <v>2015</v>
      </c>
      <c r="C7907" t="s">
        <v>452</v>
      </c>
      <c r="G7907" t="s">
        <v>2016</v>
      </c>
      <c r="H7907" t="s">
        <v>240</v>
      </c>
      <c r="I7907" t="s">
        <v>241</v>
      </c>
      <c r="J7907" t="s">
        <v>18445</v>
      </c>
      <c r="K7907">
        <v>3942</v>
      </c>
      <c r="L7907" t="s">
        <v>23</v>
      </c>
      <c r="M7907" t="s">
        <v>2016</v>
      </c>
      <c r="N7907" t="s">
        <v>240</v>
      </c>
      <c r="O7907" t="s">
        <v>241</v>
      </c>
      <c r="P7907" t="s">
        <v>18445</v>
      </c>
      <c r="Q7907">
        <v>3942</v>
      </c>
      <c r="R7907" t="s">
        <v>23</v>
      </c>
      <c r="S7907" s="1" t="s">
        <v>34218</v>
      </c>
    </row>
    <row r="7908" spans="1:19" x14ac:dyDescent="0.25">
      <c r="A7908">
        <v>101223149</v>
      </c>
      <c r="B7908" t="s">
        <v>14684</v>
      </c>
      <c r="C7908" t="s">
        <v>846</v>
      </c>
      <c r="G7908" t="s">
        <v>18446</v>
      </c>
      <c r="H7908" t="s">
        <v>10076</v>
      </c>
      <c r="I7908" t="s">
        <v>117</v>
      </c>
      <c r="J7908" t="s">
        <v>18447</v>
      </c>
      <c r="K7908">
        <v>2116</v>
      </c>
      <c r="L7908" t="s">
        <v>23</v>
      </c>
      <c r="M7908" t="s">
        <v>18446</v>
      </c>
      <c r="N7908" t="s">
        <v>10076</v>
      </c>
      <c r="O7908" t="s">
        <v>117</v>
      </c>
      <c r="P7908" t="s">
        <v>18447</v>
      </c>
      <c r="Q7908">
        <v>2116</v>
      </c>
      <c r="R7908" t="s">
        <v>23</v>
      </c>
      <c r="S7908" s="1" t="s">
        <v>34218</v>
      </c>
    </row>
    <row r="7909" spans="1:19" x14ac:dyDescent="0.25">
      <c r="A7909">
        <v>101325363</v>
      </c>
      <c r="B7909" t="s">
        <v>2637</v>
      </c>
      <c r="C7909" t="s">
        <v>309</v>
      </c>
      <c r="G7909" t="s">
        <v>18448</v>
      </c>
      <c r="H7909" t="s">
        <v>14686</v>
      </c>
      <c r="I7909" t="s">
        <v>250</v>
      </c>
      <c r="J7909" t="s">
        <v>18449</v>
      </c>
      <c r="K7909">
        <v>4741</v>
      </c>
      <c r="L7909" t="s">
        <v>23</v>
      </c>
      <c r="M7909" t="s">
        <v>18448</v>
      </c>
      <c r="N7909" t="s">
        <v>14686</v>
      </c>
      <c r="O7909" t="s">
        <v>250</v>
      </c>
      <c r="P7909" t="s">
        <v>18449</v>
      </c>
      <c r="Q7909">
        <v>4741</v>
      </c>
      <c r="R7909" t="s">
        <v>23</v>
      </c>
      <c r="S7909" s="1" t="s">
        <v>34218</v>
      </c>
    </row>
    <row r="7910" spans="1:19" x14ac:dyDescent="0.25">
      <c r="A7910">
        <v>101294225</v>
      </c>
      <c r="B7910" t="s">
        <v>2074</v>
      </c>
      <c r="C7910" t="s">
        <v>123</v>
      </c>
      <c r="G7910" t="s">
        <v>18450</v>
      </c>
      <c r="H7910" t="s">
        <v>12209</v>
      </c>
      <c r="I7910" t="s">
        <v>71</v>
      </c>
      <c r="J7910" t="s">
        <v>18451</v>
      </c>
      <c r="K7910">
        <v>2184</v>
      </c>
      <c r="L7910" t="s">
        <v>23</v>
      </c>
      <c r="M7910" t="s">
        <v>18450</v>
      </c>
      <c r="N7910" t="s">
        <v>12209</v>
      </c>
      <c r="O7910" t="s">
        <v>71</v>
      </c>
      <c r="P7910" t="s">
        <v>18451</v>
      </c>
      <c r="Q7910">
        <v>2184</v>
      </c>
      <c r="R7910" t="s">
        <v>23</v>
      </c>
      <c r="S7910" s="1" t="s">
        <v>34218</v>
      </c>
    </row>
    <row r="7911" spans="1:19" x14ac:dyDescent="0.25">
      <c r="A7911">
        <v>101193766</v>
      </c>
      <c r="B7911" t="s">
        <v>18452</v>
      </c>
      <c r="C7911" t="s">
        <v>81</v>
      </c>
      <c r="G7911" t="s">
        <v>18453</v>
      </c>
      <c r="H7911" t="s">
        <v>15350</v>
      </c>
      <c r="I7911" t="s">
        <v>984</v>
      </c>
      <c r="J7911" t="s">
        <v>18454</v>
      </c>
      <c r="K7911">
        <v>7047</v>
      </c>
      <c r="L7911" t="s">
        <v>23</v>
      </c>
      <c r="M7911" t="s">
        <v>18453</v>
      </c>
      <c r="N7911" t="s">
        <v>15350</v>
      </c>
      <c r="O7911" t="s">
        <v>984</v>
      </c>
      <c r="P7911" t="s">
        <v>18454</v>
      </c>
      <c r="Q7911">
        <v>7047</v>
      </c>
      <c r="R7911" t="s">
        <v>23</v>
      </c>
      <c r="S7911" s="1" t="s">
        <v>34218</v>
      </c>
    </row>
    <row r="7912" spans="1:19" x14ac:dyDescent="0.25">
      <c r="A7912">
        <v>101443670</v>
      </c>
      <c r="B7912" t="s">
        <v>18455</v>
      </c>
      <c r="C7912" t="s">
        <v>18456</v>
      </c>
      <c r="G7912" t="s">
        <v>18457</v>
      </c>
      <c r="H7912" t="s">
        <v>3186</v>
      </c>
      <c r="I7912" t="s">
        <v>22</v>
      </c>
      <c r="J7912" t="s">
        <v>18458</v>
      </c>
      <c r="K7912">
        <v>2248</v>
      </c>
      <c r="L7912" t="s">
        <v>23</v>
      </c>
      <c r="M7912" t="s">
        <v>18457</v>
      </c>
      <c r="N7912" t="s">
        <v>3186</v>
      </c>
      <c r="O7912" t="s">
        <v>22</v>
      </c>
      <c r="P7912" t="s">
        <v>18458</v>
      </c>
      <c r="Q7912">
        <v>2248</v>
      </c>
      <c r="R7912" t="s">
        <v>23</v>
      </c>
      <c r="S7912" s="1" t="s">
        <v>34218</v>
      </c>
    </row>
    <row r="7913" spans="1:19" x14ac:dyDescent="0.25">
      <c r="A7913">
        <v>101302437</v>
      </c>
      <c r="B7913" t="s">
        <v>293</v>
      </c>
      <c r="C7913" t="s">
        <v>1161</v>
      </c>
      <c r="G7913" t="s">
        <v>18459</v>
      </c>
      <c r="H7913" t="s">
        <v>1325</v>
      </c>
      <c r="I7913" t="s">
        <v>22</v>
      </c>
      <c r="J7913" t="s">
        <v>18460</v>
      </c>
      <c r="K7913">
        <v>1518</v>
      </c>
      <c r="L7913" t="s">
        <v>23</v>
      </c>
      <c r="M7913" t="s">
        <v>18459</v>
      </c>
      <c r="N7913" t="s">
        <v>1325</v>
      </c>
      <c r="O7913" t="s">
        <v>22</v>
      </c>
      <c r="P7913" t="s">
        <v>18460</v>
      </c>
      <c r="Q7913">
        <v>1518</v>
      </c>
      <c r="R7913" t="s">
        <v>23</v>
      </c>
      <c r="S7913" s="1" t="s">
        <v>34218</v>
      </c>
    </row>
    <row r="7914" spans="1:19" x14ac:dyDescent="0.25">
      <c r="A7914">
        <v>101473510</v>
      </c>
      <c r="B7914" t="s">
        <v>18461</v>
      </c>
      <c r="C7914" t="s">
        <v>4299</v>
      </c>
      <c r="G7914" t="s">
        <v>18462</v>
      </c>
      <c r="H7914" t="s">
        <v>18463</v>
      </c>
      <c r="I7914" t="s">
        <v>250</v>
      </c>
      <c r="J7914">
        <v>7452</v>
      </c>
      <c r="K7914">
        <v>1606</v>
      </c>
      <c r="L7914" t="s">
        <v>23</v>
      </c>
      <c r="M7914" t="s">
        <v>18462</v>
      </c>
      <c r="N7914" t="s">
        <v>18463</v>
      </c>
      <c r="O7914" t="s">
        <v>250</v>
      </c>
      <c r="P7914">
        <v>7452</v>
      </c>
      <c r="Q7914">
        <v>1606</v>
      </c>
      <c r="R7914" t="s">
        <v>23</v>
      </c>
      <c r="S7914" s="1" t="s">
        <v>34218</v>
      </c>
    </row>
    <row r="7915" spans="1:19" x14ac:dyDescent="0.25">
      <c r="A7915">
        <v>101307775</v>
      </c>
      <c r="B7915" t="s">
        <v>5980</v>
      </c>
      <c r="C7915" t="s">
        <v>12999</v>
      </c>
      <c r="G7915" t="s">
        <v>18464</v>
      </c>
      <c r="H7915" t="s">
        <v>5908</v>
      </c>
      <c r="I7915" t="s">
        <v>52</v>
      </c>
      <c r="J7915" t="s">
        <v>18465</v>
      </c>
      <c r="K7915">
        <v>3105</v>
      </c>
      <c r="L7915" t="s">
        <v>23</v>
      </c>
      <c r="M7915" t="s">
        <v>18464</v>
      </c>
      <c r="N7915" t="s">
        <v>5908</v>
      </c>
      <c r="O7915" t="s">
        <v>52</v>
      </c>
      <c r="P7915" t="s">
        <v>18465</v>
      </c>
      <c r="Q7915">
        <v>3105</v>
      </c>
      <c r="R7915" t="s">
        <v>23</v>
      </c>
      <c r="S7915" s="1" t="s">
        <v>34218</v>
      </c>
    </row>
    <row r="7916" spans="1:19" x14ac:dyDescent="0.25">
      <c r="A7916">
        <v>101443690</v>
      </c>
      <c r="B7916" t="s">
        <v>18466</v>
      </c>
      <c r="C7916" t="s">
        <v>167</v>
      </c>
      <c r="G7916" t="s">
        <v>18467</v>
      </c>
      <c r="H7916" t="s">
        <v>15721</v>
      </c>
      <c r="I7916" t="s">
        <v>148</v>
      </c>
      <c r="J7916" t="s">
        <v>18468</v>
      </c>
      <c r="K7916">
        <v>8226</v>
      </c>
      <c r="L7916" t="s">
        <v>23</v>
      </c>
      <c r="M7916" t="s">
        <v>18467</v>
      </c>
      <c r="N7916" t="s">
        <v>15721</v>
      </c>
      <c r="O7916" t="s">
        <v>148</v>
      </c>
      <c r="P7916" t="s">
        <v>18468</v>
      </c>
      <c r="Q7916">
        <v>8226</v>
      </c>
      <c r="R7916" t="s">
        <v>23</v>
      </c>
      <c r="S7916" s="1" t="s">
        <v>34218</v>
      </c>
    </row>
    <row r="7917" spans="1:19" x14ac:dyDescent="0.25">
      <c r="A7917">
        <v>100529256</v>
      </c>
      <c r="B7917" t="s">
        <v>18469</v>
      </c>
      <c r="C7917" t="s">
        <v>535</v>
      </c>
      <c r="G7917" t="s">
        <v>18470</v>
      </c>
      <c r="H7917" t="s">
        <v>195</v>
      </c>
      <c r="I7917" t="s">
        <v>22</v>
      </c>
      <c r="J7917" t="s">
        <v>18471</v>
      </c>
      <c r="K7917">
        <v>9689</v>
      </c>
      <c r="L7917" t="s">
        <v>23</v>
      </c>
      <c r="M7917" t="s">
        <v>18470</v>
      </c>
      <c r="N7917" t="s">
        <v>195</v>
      </c>
      <c r="O7917" t="s">
        <v>22</v>
      </c>
      <c r="P7917" t="s">
        <v>18471</v>
      </c>
      <c r="Q7917">
        <v>9689</v>
      </c>
      <c r="R7917" t="s">
        <v>23</v>
      </c>
      <c r="S7917" s="1" t="s">
        <v>34218</v>
      </c>
    </row>
    <row r="7918" spans="1:19" x14ac:dyDescent="0.25">
      <c r="A7918">
        <v>101293308</v>
      </c>
      <c r="B7918" t="s">
        <v>2336</v>
      </c>
      <c r="C7918" t="s">
        <v>1075</v>
      </c>
      <c r="G7918" t="s">
        <v>18472</v>
      </c>
      <c r="H7918" t="s">
        <v>18473</v>
      </c>
      <c r="I7918" t="s">
        <v>117</v>
      </c>
      <c r="J7918" t="s">
        <v>18474</v>
      </c>
      <c r="K7918">
        <v>415</v>
      </c>
      <c r="L7918" t="s">
        <v>23</v>
      </c>
      <c r="M7918" t="s">
        <v>18472</v>
      </c>
      <c r="N7918" t="s">
        <v>18473</v>
      </c>
      <c r="O7918" t="s">
        <v>117</v>
      </c>
      <c r="P7918" t="s">
        <v>18474</v>
      </c>
      <c r="Q7918">
        <v>415</v>
      </c>
      <c r="R7918" t="s">
        <v>23</v>
      </c>
      <c r="S7918" s="1" t="s">
        <v>34218</v>
      </c>
    </row>
    <row r="7919" spans="1:19" x14ac:dyDescent="0.25">
      <c r="A7919">
        <v>101293337</v>
      </c>
      <c r="B7919" t="s">
        <v>18475</v>
      </c>
      <c r="C7919" t="s">
        <v>18476</v>
      </c>
      <c r="G7919" t="s">
        <v>18477</v>
      </c>
      <c r="H7919" t="s">
        <v>9057</v>
      </c>
      <c r="I7919" t="s">
        <v>236</v>
      </c>
      <c r="J7919" t="s">
        <v>18478</v>
      </c>
      <c r="K7919">
        <v>2040</v>
      </c>
      <c r="L7919" t="s">
        <v>23</v>
      </c>
      <c r="M7919" t="s">
        <v>18477</v>
      </c>
      <c r="N7919" t="s">
        <v>9057</v>
      </c>
      <c r="O7919" t="s">
        <v>236</v>
      </c>
      <c r="P7919" t="s">
        <v>18478</v>
      </c>
      <c r="Q7919">
        <v>2040</v>
      </c>
      <c r="R7919" t="s">
        <v>23</v>
      </c>
      <c r="S7919" s="1" t="s">
        <v>34218</v>
      </c>
    </row>
    <row r="7920" spans="1:19" x14ac:dyDescent="0.25">
      <c r="A7920">
        <v>101279295</v>
      </c>
      <c r="B7920" t="s">
        <v>1561</v>
      </c>
      <c r="C7920" t="s">
        <v>18479</v>
      </c>
      <c r="G7920" t="s">
        <v>18480</v>
      </c>
      <c r="H7920" t="s">
        <v>737</v>
      </c>
      <c r="I7920" t="s">
        <v>255</v>
      </c>
      <c r="J7920" t="s">
        <v>18481</v>
      </c>
      <c r="K7920">
        <v>4829</v>
      </c>
      <c r="L7920" t="s">
        <v>23</v>
      </c>
      <c r="M7920" t="s">
        <v>18480</v>
      </c>
      <c r="N7920" t="s">
        <v>737</v>
      </c>
      <c r="O7920" t="s">
        <v>255</v>
      </c>
      <c r="P7920" t="s">
        <v>18481</v>
      </c>
      <c r="Q7920">
        <v>4829</v>
      </c>
      <c r="R7920" t="s">
        <v>23</v>
      </c>
      <c r="S7920" s="1" t="s">
        <v>34218</v>
      </c>
    </row>
    <row r="7921" spans="1:19" x14ac:dyDescent="0.25">
      <c r="A7921">
        <v>100915355</v>
      </c>
      <c r="B7921" t="s">
        <v>5101</v>
      </c>
      <c r="C7921" t="s">
        <v>18221</v>
      </c>
      <c r="G7921" t="s">
        <v>18482</v>
      </c>
      <c r="H7921" t="s">
        <v>227</v>
      </c>
      <c r="I7921" t="s">
        <v>43</v>
      </c>
      <c r="J7921" t="s">
        <v>18483</v>
      </c>
      <c r="K7921">
        <v>2632</v>
      </c>
      <c r="L7921" t="s">
        <v>23</v>
      </c>
      <c r="M7921" t="s">
        <v>18482</v>
      </c>
      <c r="N7921" t="s">
        <v>227</v>
      </c>
      <c r="O7921" t="s">
        <v>43</v>
      </c>
      <c r="P7921" t="s">
        <v>18483</v>
      </c>
      <c r="Q7921">
        <v>2632</v>
      </c>
      <c r="R7921" t="s">
        <v>23</v>
      </c>
      <c r="S7921" s="1" t="s">
        <v>34218</v>
      </c>
    </row>
    <row r="7922" spans="1:19" x14ac:dyDescent="0.25">
      <c r="A7922">
        <v>101261622</v>
      </c>
      <c r="B7922" t="s">
        <v>11833</v>
      </c>
      <c r="C7922" t="s">
        <v>158</v>
      </c>
      <c r="G7922" t="s">
        <v>18484</v>
      </c>
      <c r="H7922" t="s">
        <v>1985</v>
      </c>
      <c r="I7922" t="s">
        <v>71</v>
      </c>
      <c r="J7922" t="s">
        <v>18485</v>
      </c>
      <c r="K7922">
        <v>6401</v>
      </c>
      <c r="L7922" t="s">
        <v>23</v>
      </c>
      <c r="M7922" t="s">
        <v>18484</v>
      </c>
      <c r="N7922" t="s">
        <v>1985</v>
      </c>
      <c r="O7922" t="s">
        <v>71</v>
      </c>
      <c r="P7922" t="s">
        <v>18485</v>
      </c>
      <c r="Q7922">
        <v>6401</v>
      </c>
      <c r="R7922" t="s">
        <v>23</v>
      </c>
      <c r="S7922" s="1" t="s">
        <v>34218</v>
      </c>
    </row>
    <row r="7923" spans="1:19" x14ac:dyDescent="0.25">
      <c r="A7923">
        <v>101273193</v>
      </c>
      <c r="B7923" t="s">
        <v>5789</v>
      </c>
      <c r="C7923" t="s">
        <v>6149</v>
      </c>
      <c r="G7923" t="s">
        <v>18486</v>
      </c>
      <c r="H7923" t="s">
        <v>169</v>
      </c>
      <c r="I7923" t="s">
        <v>250</v>
      </c>
      <c r="J7923" t="s">
        <v>18487</v>
      </c>
      <c r="K7923">
        <v>2416</v>
      </c>
      <c r="L7923" t="s">
        <v>23</v>
      </c>
      <c r="M7923" t="s">
        <v>18486</v>
      </c>
      <c r="N7923" t="s">
        <v>169</v>
      </c>
      <c r="O7923" t="s">
        <v>250</v>
      </c>
      <c r="P7923" t="s">
        <v>18487</v>
      </c>
      <c r="Q7923">
        <v>2416</v>
      </c>
      <c r="R7923" t="s">
        <v>23</v>
      </c>
      <c r="S7923" s="1" t="s">
        <v>34218</v>
      </c>
    </row>
    <row r="7924" spans="1:19" x14ac:dyDescent="0.25">
      <c r="A7924">
        <v>101443774</v>
      </c>
      <c r="B7924" t="s">
        <v>18488</v>
      </c>
      <c r="C7924" t="s">
        <v>1036</v>
      </c>
      <c r="G7924" t="s">
        <v>11260</v>
      </c>
      <c r="H7924" t="s">
        <v>11261</v>
      </c>
      <c r="I7924" t="s">
        <v>33</v>
      </c>
      <c r="J7924" t="s">
        <v>18489</v>
      </c>
      <c r="K7924">
        <v>2671</v>
      </c>
      <c r="L7924" t="s">
        <v>23</v>
      </c>
      <c r="M7924" t="s">
        <v>11260</v>
      </c>
      <c r="N7924" t="s">
        <v>11261</v>
      </c>
      <c r="O7924" t="s">
        <v>33</v>
      </c>
      <c r="P7924" t="s">
        <v>18489</v>
      </c>
      <c r="Q7924">
        <v>2671</v>
      </c>
      <c r="R7924" t="s">
        <v>23</v>
      </c>
      <c r="S7924" s="1" t="s">
        <v>34218</v>
      </c>
    </row>
    <row r="7925" spans="1:19" x14ac:dyDescent="0.25">
      <c r="A7925">
        <v>101140850</v>
      </c>
      <c r="B7925" t="s">
        <v>2637</v>
      </c>
      <c r="C7925" t="s">
        <v>305</v>
      </c>
      <c r="G7925" t="s">
        <v>18490</v>
      </c>
      <c r="H7925" t="s">
        <v>18491</v>
      </c>
      <c r="I7925" t="s">
        <v>33</v>
      </c>
      <c r="J7925" t="s">
        <v>18492</v>
      </c>
      <c r="K7925">
        <v>732</v>
      </c>
      <c r="L7925" t="s">
        <v>23</v>
      </c>
      <c r="M7925" t="s">
        <v>18490</v>
      </c>
      <c r="N7925" t="s">
        <v>18491</v>
      </c>
      <c r="O7925" t="s">
        <v>33</v>
      </c>
      <c r="P7925" t="s">
        <v>18492</v>
      </c>
      <c r="Q7925">
        <v>732</v>
      </c>
      <c r="R7925" t="s">
        <v>23</v>
      </c>
      <c r="S7925" s="1" t="s">
        <v>34218</v>
      </c>
    </row>
    <row r="7926" spans="1:19" x14ac:dyDescent="0.25">
      <c r="A7926">
        <v>101294868</v>
      </c>
      <c r="B7926" t="s">
        <v>11170</v>
      </c>
      <c r="C7926" t="s">
        <v>102</v>
      </c>
      <c r="G7926" t="s">
        <v>18493</v>
      </c>
      <c r="H7926" t="s">
        <v>18494</v>
      </c>
      <c r="I7926" t="s">
        <v>914</v>
      </c>
      <c r="J7926">
        <v>38221</v>
      </c>
      <c r="K7926">
        <v>3061</v>
      </c>
      <c r="L7926" t="s">
        <v>23</v>
      </c>
      <c r="M7926" t="s">
        <v>18493</v>
      </c>
      <c r="N7926" t="s">
        <v>18494</v>
      </c>
      <c r="O7926" t="s">
        <v>914</v>
      </c>
      <c r="P7926">
        <v>38221</v>
      </c>
      <c r="Q7926">
        <v>3061</v>
      </c>
      <c r="R7926" t="s">
        <v>23</v>
      </c>
      <c r="S7926" s="1" t="s">
        <v>34218</v>
      </c>
    </row>
    <row r="7927" spans="1:19" x14ac:dyDescent="0.25">
      <c r="A7927">
        <v>101291153</v>
      </c>
      <c r="B7927" t="s">
        <v>162</v>
      </c>
      <c r="C7927" t="s">
        <v>18495</v>
      </c>
      <c r="G7927" t="s">
        <v>18496</v>
      </c>
      <c r="H7927" t="s">
        <v>10941</v>
      </c>
      <c r="I7927" t="s">
        <v>84</v>
      </c>
      <c r="J7927">
        <v>98075</v>
      </c>
      <c r="K7927">
        <v>9578</v>
      </c>
      <c r="L7927" t="s">
        <v>23</v>
      </c>
      <c r="M7927" t="s">
        <v>18496</v>
      </c>
      <c r="N7927" t="s">
        <v>10941</v>
      </c>
      <c r="O7927" t="s">
        <v>84</v>
      </c>
      <c r="P7927">
        <v>98075</v>
      </c>
      <c r="Q7927">
        <v>9578</v>
      </c>
      <c r="R7927" t="s">
        <v>23</v>
      </c>
      <c r="S7927" s="1" t="s">
        <v>34218</v>
      </c>
    </row>
    <row r="7928" spans="1:19" x14ac:dyDescent="0.25">
      <c r="A7928">
        <v>101294918</v>
      </c>
      <c r="B7928" t="s">
        <v>18497</v>
      </c>
      <c r="C7928" t="s">
        <v>3951</v>
      </c>
      <c r="G7928" t="s">
        <v>18498</v>
      </c>
      <c r="H7928" t="s">
        <v>147</v>
      </c>
      <c r="I7928" t="s">
        <v>22</v>
      </c>
      <c r="J7928">
        <v>91106</v>
      </c>
      <c r="K7928">
        <v>1319</v>
      </c>
      <c r="L7928" t="s">
        <v>23</v>
      </c>
      <c r="M7928" t="s">
        <v>18498</v>
      </c>
      <c r="N7928" t="s">
        <v>147</v>
      </c>
      <c r="O7928" t="s">
        <v>22</v>
      </c>
      <c r="P7928">
        <v>91106</v>
      </c>
      <c r="Q7928">
        <v>1319</v>
      </c>
      <c r="R7928" t="s">
        <v>23</v>
      </c>
      <c r="S7928" s="1" t="s">
        <v>34218</v>
      </c>
    </row>
    <row r="7929" spans="1:19" x14ac:dyDescent="0.25">
      <c r="A7929">
        <v>101300233</v>
      </c>
      <c r="B7929" t="s">
        <v>18499</v>
      </c>
      <c r="C7929" t="s">
        <v>7569</v>
      </c>
      <c r="G7929" t="s">
        <v>18500</v>
      </c>
      <c r="H7929" t="s">
        <v>18501</v>
      </c>
      <c r="I7929" t="s">
        <v>148</v>
      </c>
      <c r="J7929">
        <v>21120</v>
      </c>
      <c r="K7929">
        <v>9010</v>
      </c>
      <c r="L7929" t="s">
        <v>23</v>
      </c>
      <c r="M7929" t="s">
        <v>18500</v>
      </c>
      <c r="N7929" t="s">
        <v>18501</v>
      </c>
      <c r="O7929" t="s">
        <v>148</v>
      </c>
      <c r="P7929">
        <v>21120</v>
      </c>
      <c r="Q7929">
        <v>9010</v>
      </c>
      <c r="R7929" t="s">
        <v>23</v>
      </c>
      <c r="S7929" s="1" t="s">
        <v>34218</v>
      </c>
    </row>
    <row r="7930" spans="1:19" x14ac:dyDescent="0.25">
      <c r="A7930">
        <v>101300254</v>
      </c>
      <c r="B7930" t="s">
        <v>216</v>
      </c>
      <c r="C7930" t="s">
        <v>18502</v>
      </c>
      <c r="G7930" t="s">
        <v>18503</v>
      </c>
      <c r="H7930" t="s">
        <v>17654</v>
      </c>
      <c r="I7930" t="s">
        <v>22</v>
      </c>
      <c r="J7930">
        <v>91042</v>
      </c>
      <c r="K7930">
        <v>1505</v>
      </c>
      <c r="L7930" t="s">
        <v>23</v>
      </c>
      <c r="M7930" t="s">
        <v>18503</v>
      </c>
      <c r="N7930" t="s">
        <v>17654</v>
      </c>
      <c r="O7930" t="s">
        <v>22</v>
      </c>
      <c r="P7930">
        <v>91042</v>
      </c>
      <c r="Q7930">
        <v>1505</v>
      </c>
      <c r="R7930" t="s">
        <v>23</v>
      </c>
      <c r="S7930" s="1" t="s">
        <v>34218</v>
      </c>
    </row>
    <row r="7931" spans="1:19" x14ac:dyDescent="0.25">
      <c r="A7931">
        <v>101297584</v>
      </c>
      <c r="B7931" t="s">
        <v>18504</v>
      </c>
      <c r="C7931" t="s">
        <v>2134</v>
      </c>
      <c r="G7931" t="s">
        <v>18505</v>
      </c>
      <c r="H7931" t="s">
        <v>2674</v>
      </c>
      <c r="I7931" t="s">
        <v>22</v>
      </c>
      <c r="J7931">
        <v>95945</v>
      </c>
      <c r="K7931">
        <v>3501</v>
      </c>
      <c r="L7931" t="s">
        <v>23</v>
      </c>
      <c r="M7931" t="s">
        <v>18505</v>
      </c>
      <c r="N7931" t="s">
        <v>2674</v>
      </c>
      <c r="O7931" t="s">
        <v>22</v>
      </c>
      <c r="P7931">
        <v>95945</v>
      </c>
      <c r="Q7931">
        <v>3501</v>
      </c>
      <c r="R7931" t="s">
        <v>23</v>
      </c>
      <c r="S7931" s="1" t="s">
        <v>34218</v>
      </c>
    </row>
    <row r="7932" spans="1:19" x14ac:dyDescent="0.25">
      <c r="A7932">
        <v>101296572</v>
      </c>
      <c r="B7932" t="s">
        <v>6376</v>
      </c>
      <c r="C7932" t="s">
        <v>5564</v>
      </c>
      <c r="G7932" t="s">
        <v>18506</v>
      </c>
      <c r="H7932" t="s">
        <v>1096</v>
      </c>
      <c r="I7932" t="s">
        <v>1097</v>
      </c>
      <c r="J7932">
        <v>40204</v>
      </c>
      <c r="K7932">
        <v>1534</v>
      </c>
      <c r="L7932" t="s">
        <v>23</v>
      </c>
      <c r="M7932" t="s">
        <v>18506</v>
      </c>
      <c r="N7932" t="s">
        <v>1096</v>
      </c>
      <c r="O7932" t="s">
        <v>1097</v>
      </c>
      <c r="P7932">
        <v>40204</v>
      </c>
      <c r="Q7932">
        <v>1534</v>
      </c>
      <c r="R7932" t="s">
        <v>23</v>
      </c>
      <c r="S7932" s="1" t="s">
        <v>34218</v>
      </c>
    </row>
    <row r="7933" spans="1:19" x14ac:dyDescent="0.25">
      <c r="A7933">
        <v>101292655</v>
      </c>
      <c r="B7933" t="s">
        <v>626</v>
      </c>
      <c r="C7933" t="s">
        <v>3511</v>
      </c>
      <c r="G7933" t="s">
        <v>18507</v>
      </c>
      <c r="H7933" t="s">
        <v>869</v>
      </c>
      <c r="I7933" t="s">
        <v>52</v>
      </c>
      <c r="J7933">
        <v>33165</v>
      </c>
      <c r="K7933">
        <v>4001</v>
      </c>
      <c r="L7933" t="s">
        <v>23</v>
      </c>
      <c r="M7933" t="s">
        <v>18507</v>
      </c>
      <c r="N7933" t="s">
        <v>869</v>
      </c>
      <c r="O7933" t="s">
        <v>52</v>
      </c>
      <c r="P7933">
        <v>33165</v>
      </c>
      <c r="Q7933">
        <v>4001</v>
      </c>
      <c r="R7933" t="s">
        <v>23</v>
      </c>
      <c r="S7933" s="1" t="s">
        <v>34218</v>
      </c>
    </row>
    <row r="7934" spans="1:19" x14ac:dyDescent="0.25">
      <c r="A7934">
        <v>101303143</v>
      </c>
      <c r="B7934" t="s">
        <v>18508</v>
      </c>
      <c r="C7934" t="s">
        <v>2557</v>
      </c>
      <c r="G7934" t="s">
        <v>18509</v>
      </c>
      <c r="H7934" t="s">
        <v>653</v>
      </c>
      <c r="I7934" t="s">
        <v>117</v>
      </c>
      <c r="J7934">
        <v>10009</v>
      </c>
      <c r="K7934">
        <v>7206</v>
      </c>
      <c r="L7934" t="s">
        <v>23</v>
      </c>
      <c r="M7934" t="s">
        <v>18509</v>
      </c>
      <c r="N7934" t="s">
        <v>653</v>
      </c>
      <c r="O7934" t="s">
        <v>117</v>
      </c>
      <c r="P7934">
        <v>10009</v>
      </c>
      <c r="Q7934">
        <v>7206</v>
      </c>
      <c r="R7934" t="s">
        <v>23</v>
      </c>
      <c r="S7934" s="1" t="s">
        <v>34218</v>
      </c>
    </row>
    <row r="7935" spans="1:19" x14ac:dyDescent="0.25">
      <c r="A7935">
        <v>101304595</v>
      </c>
      <c r="B7935" t="s">
        <v>18510</v>
      </c>
      <c r="C7935" t="s">
        <v>1669</v>
      </c>
      <c r="G7935" t="s">
        <v>18511</v>
      </c>
      <c r="H7935" t="s">
        <v>139</v>
      </c>
      <c r="I7935" t="s">
        <v>140</v>
      </c>
      <c r="J7935">
        <v>48187</v>
      </c>
      <c r="K7935">
        <v>3070</v>
      </c>
      <c r="L7935" t="s">
        <v>23</v>
      </c>
      <c r="M7935" t="s">
        <v>18511</v>
      </c>
      <c r="N7935" t="s">
        <v>139</v>
      </c>
      <c r="O7935" t="s">
        <v>140</v>
      </c>
      <c r="P7935">
        <v>48187</v>
      </c>
      <c r="Q7935">
        <v>3070</v>
      </c>
      <c r="R7935" t="s">
        <v>23</v>
      </c>
      <c r="S7935" s="1" t="s">
        <v>34218</v>
      </c>
    </row>
    <row r="7936" spans="1:19" x14ac:dyDescent="0.25">
      <c r="A7936">
        <v>101308831</v>
      </c>
      <c r="B7936" t="s">
        <v>18512</v>
      </c>
      <c r="C7936" t="s">
        <v>229</v>
      </c>
      <c r="G7936" t="s">
        <v>18513</v>
      </c>
      <c r="H7936" t="s">
        <v>1748</v>
      </c>
      <c r="I7936" t="s">
        <v>255</v>
      </c>
      <c r="J7936">
        <v>22201</v>
      </c>
      <c r="K7936">
        <v>5107</v>
      </c>
      <c r="L7936" t="s">
        <v>23</v>
      </c>
      <c r="M7936" t="s">
        <v>18513</v>
      </c>
      <c r="N7936" t="s">
        <v>1748</v>
      </c>
      <c r="O7936" t="s">
        <v>255</v>
      </c>
      <c r="P7936">
        <v>22201</v>
      </c>
      <c r="Q7936">
        <v>5107</v>
      </c>
      <c r="R7936" t="s">
        <v>23</v>
      </c>
      <c r="S7936" s="1" t="s">
        <v>34218</v>
      </c>
    </row>
    <row r="7937" spans="1:19" x14ac:dyDescent="0.25">
      <c r="A7937">
        <v>101312009</v>
      </c>
      <c r="B7937" t="s">
        <v>8669</v>
      </c>
      <c r="C7937" t="s">
        <v>579</v>
      </c>
      <c r="G7937" t="s">
        <v>18514</v>
      </c>
      <c r="H7937" t="s">
        <v>6151</v>
      </c>
      <c r="I7937" t="s">
        <v>1482</v>
      </c>
      <c r="J7937">
        <v>29720</v>
      </c>
      <c r="K7937">
        <v>8832</v>
      </c>
      <c r="L7937" t="s">
        <v>23</v>
      </c>
      <c r="M7937" t="s">
        <v>18514</v>
      </c>
      <c r="N7937" t="s">
        <v>6151</v>
      </c>
      <c r="O7937" t="s">
        <v>1482</v>
      </c>
      <c r="P7937">
        <v>29720</v>
      </c>
      <c r="Q7937">
        <v>8832</v>
      </c>
      <c r="R7937" t="s">
        <v>23</v>
      </c>
      <c r="S7937" s="1" t="s">
        <v>34218</v>
      </c>
    </row>
    <row r="7938" spans="1:19" x14ac:dyDescent="0.25">
      <c r="A7938">
        <v>100914673</v>
      </c>
      <c r="B7938" t="s">
        <v>18515</v>
      </c>
      <c r="C7938" t="s">
        <v>1549</v>
      </c>
      <c r="G7938" t="s">
        <v>18516</v>
      </c>
      <c r="H7938" t="s">
        <v>445</v>
      </c>
      <c r="I7938" t="s">
        <v>446</v>
      </c>
      <c r="J7938">
        <v>28804</v>
      </c>
      <c r="K7938">
        <v>3725</v>
      </c>
      <c r="L7938" t="s">
        <v>23</v>
      </c>
      <c r="M7938" t="s">
        <v>18516</v>
      </c>
      <c r="N7938" t="s">
        <v>445</v>
      </c>
      <c r="O7938" t="s">
        <v>446</v>
      </c>
      <c r="P7938">
        <v>28804</v>
      </c>
      <c r="Q7938">
        <v>3725</v>
      </c>
      <c r="R7938" t="s">
        <v>23</v>
      </c>
      <c r="S7938" s="1" t="s">
        <v>34218</v>
      </c>
    </row>
    <row r="7939" spans="1:19" x14ac:dyDescent="0.25">
      <c r="A7939">
        <v>101431754</v>
      </c>
      <c r="B7939" t="s">
        <v>3889</v>
      </c>
      <c r="C7939" t="s">
        <v>6689</v>
      </c>
      <c r="G7939" t="s">
        <v>18517</v>
      </c>
      <c r="H7939" t="s">
        <v>2023</v>
      </c>
      <c r="I7939" t="s">
        <v>178</v>
      </c>
      <c r="J7939">
        <v>45430</v>
      </c>
      <c r="K7939">
        <v>1837</v>
      </c>
      <c r="L7939" t="s">
        <v>23</v>
      </c>
      <c r="M7939" t="s">
        <v>18517</v>
      </c>
      <c r="N7939" t="s">
        <v>2023</v>
      </c>
      <c r="O7939" t="s">
        <v>178</v>
      </c>
      <c r="P7939">
        <v>45430</v>
      </c>
      <c r="Q7939">
        <v>1837</v>
      </c>
      <c r="R7939" t="s">
        <v>23</v>
      </c>
      <c r="S7939" s="1" t="s">
        <v>34218</v>
      </c>
    </row>
    <row r="7940" spans="1:19" x14ac:dyDescent="0.25">
      <c r="A7940">
        <v>101290637</v>
      </c>
      <c r="B7940" t="s">
        <v>553</v>
      </c>
      <c r="C7940" t="s">
        <v>4133</v>
      </c>
      <c r="G7940" t="s">
        <v>18518</v>
      </c>
      <c r="H7940" t="s">
        <v>18519</v>
      </c>
      <c r="I7940" t="s">
        <v>117</v>
      </c>
      <c r="J7940">
        <v>10514</v>
      </c>
      <c r="K7940">
        <v>3504</v>
      </c>
      <c r="L7940" t="s">
        <v>23</v>
      </c>
      <c r="M7940" t="s">
        <v>18518</v>
      </c>
      <c r="N7940" t="s">
        <v>18519</v>
      </c>
      <c r="O7940" t="s">
        <v>117</v>
      </c>
      <c r="P7940">
        <v>10514</v>
      </c>
      <c r="Q7940">
        <v>3504</v>
      </c>
      <c r="R7940" t="s">
        <v>23</v>
      </c>
      <c r="S7940" s="1" t="s">
        <v>34218</v>
      </c>
    </row>
    <row r="7941" spans="1:19" x14ac:dyDescent="0.25">
      <c r="A7941">
        <v>101338644</v>
      </c>
      <c r="B7941" t="s">
        <v>3881</v>
      </c>
      <c r="C7941" t="s">
        <v>123</v>
      </c>
      <c r="G7941" t="s">
        <v>18520</v>
      </c>
      <c r="H7941" t="s">
        <v>13117</v>
      </c>
      <c r="I7941" t="s">
        <v>117</v>
      </c>
      <c r="J7941">
        <v>13835</v>
      </c>
      <c r="K7941">
        <v>1723</v>
      </c>
      <c r="L7941" t="s">
        <v>23</v>
      </c>
      <c r="M7941" t="s">
        <v>18520</v>
      </c>
      <c r="N7941" t="s">
        <v>13117</v>
      </c>
      <c r="O7941" t="s">
        <v>117</v>
      </c>
      <c r="P7941">
        <v>13835</v>
      </c>
      <c r="Q7941">
        <v>1723</v>
      </c>
      <c r="R7941" t="s">
        <v>23</v>
      </c>
      <c r="S7941" s="1" t="s">
        <v>34218</v>
      </c>
    </row>
    <row r="7942" spans="1:19" x14ac:dyDescent="0.25">
      <c r="A7942">
        <v>100539208</v>
      </c>
      <c r="B7942" t="s">
        <v>1800</v>
      </c>
      <c r="C7942" t="s">
        <v>846</v>
      </c>
      <c r="G7942" t="s">
        <v>18521</v>
      </c>
      <c r="H7942" t="s">
        <v>6441</v>
      </c>
      <c r="I7942" t="s">
        <v>117</v>
      </c>
      <c r="J7942">
        <v>10708</v>
      </c>
      <c r="K7942">
        <v>3143</v>
      </c>
      <c r="L7942" t="s">
        <v>23</v>
      </c>
      <c r="M7942" t="s">
        <v>18521</v>
      </c>
      <c r="N7942" t="s">
        <v>6441</v>
      </c>
      <c r="O7942" t="s">
        <v>117</v>
      </c>
      <c r="P7942">
        <v>10708</v>
      </c>
      <c r="Q7942">
        <v>3143</v>
      </c>
      <c r="R7942" t="s">
        <v>23</v>
      </c>
      <c r="S7942" s="1" t="s">
        <v>34218</v>
      </c>
    </row>
    <row r="7943" spans="1:19" x14ac:dyDescent="0.25">
      <c r="A7943">
        <v>100863385</v>
      </c>
      <c r="B7943" t="s">
        <v>18522</v>
      </c>
      <c r="C7943" t="s">
        <v>114</v>
      </c>
      <c r="G7943" t="s">
        <v>18523</v>
      </c>
      <c r="H7943" t="s">
        <v>2335</v>
      </c>
      <c r="I7943" t="s">
        <v>22</v>
      </c>
      <c r="J7943">
        <v>92603</v>
      </c>
      <c r="K7943">
        <v>3790</v>
      </c>
      <c r="L7943" t="s">
        <v>23</v>
      </c>
      <c r="M7943" t="s">
        <v>18523</v>
      </c>
      <c r="N7943" t="s">
        <v>2335</v>
      </c>
      <c r="O7943" t="s">
        <v>22</v>
      </c>
      <c r="P7943">
        <v>92603</v>
      </c>
      <c r="Q7943">
        <v>3790</v>
      </c>
      <c r="R7943" t="s">
        <v>23</v>
      </c>
      <c r="S7943" s="1" t="s">
        <v>34218</v>
      </c>
    </row>
    <row r="7944" spans="1:19" x14ac:dyDescent="0.25">
      <c r="A7944">
        <v>101296031</v>
      </c>
      <c r="B7944" t="s">
        <v>8550</v>
      </c>
      <c r="C7944" t="s">
        <v>1623</v>
      </c>
      <c r="G7944" t="s">
        <v>18524</v>
      </c>
      <c r="H7944" t="s">
        <v>18525</v>
      </c>
      <c r="I7944" t="s">
        <v>117</v>
      </c>
      <c r="J7944">
        <v>11783</v>
      </c>
      <c r="K7944">
        <v>2809</v>
      </c>
      <c r="L7944" t="s">
        <v>23</v>
      </c>
      <c r="M7944" t="s">
        <v>18524</v>
      </c>
      <c r="N7944" t="s">
        <v>18525</v>
      </c>
      <c r="O7944" t="s">
        <v>117</v>
      </c>
      <c r="P7944">
        <v>11783</v>
      </c>
      <c r="Q7944">
        <v>2809</v>
      </c>
      <c r="R7944" t="s">
        <v>23</v>
      </c>
      <c r="S7944" s="1" t="s">
        <v>34218</v>
      </c>
    </row>
    <row r="7945" spans="1:19" x14ac:dyDescent="0.25">
      <c r="A7945">
        <v>100531936</v>
      </c>
      <c r="B7945" t="s">
        <v>18526</v>
      </c>
      <c r="C7945" t="s">
        <v>509</v>
      </c>
      <c r="G7945" t="s">
        <v>18527</v>
      </c>
      <c r="H7945" t="s">
        <v>18528</v>
      </c>
      <c r="I7945" t="s">
        <v>353</v>
      </c>
      <c r="J7945">
        <v>3856</v>
      </c>
      <c r="K7945">
        <v>934</v>
      </c>
      <c r="L7945" t="s">
        <v>23</v>
      </c>
      <c r="M7945" t="s">
        <v>18527</v>
      </c>
      <c r="N7945" t="s">
        <v>18528</v>
      </c>
      <c r="O7945" t="s">
        <v>353</v>
      </c>
      <c r="P7945">
        <v>3856</v>
      </c>
      <c r="Q7945">
        <v>934</v>
      </c>
      <c r="R7945" t="s">
        <v>23</v>
      </c>
      <c r="S7945" s="1" t="s">
        <v>34218</v>
      </c>
    </row>
    <row r="7946" spans="1:19" x14ac:dyDescent="0.25">
      <c r="A7946">
        <v>100699640</v>
      </c>
      <c r="B7946" t="s">
        <v>18529</v>
      </c>
      <c r="C7946" t="s">
        <v>644</v>
      </c>
      <c r="G7946" t="s">
        <v>18530</v>
      </c>
      <c r="H7946" t="s">
        <v>758</v>
      </c>
      <c r="I7946" t="s">
        <v>148</v>
      </c>
      <c r="J7946">
        <v>20901</v>
      </c>
      <c r="K7946">
        <v>4914</v>
      </c>
      <c r="L7946" t="s">
        <v>23</v>
      </c>
      <c r="M7946" t="s">
        <v>18530</v>
      </c>
      <c r="N7946" t="s">
        <v>758</v>
      </c>
      <c r="O7946" t="s">
        <v>148</v>
      </c>
      <c r="P7946">
        <v>20901</v>
      </c>
      <c r="Q7946">
        <v>4914</v>
      </c>
      <c r="R7946" t="s">
        <v>23</v>
      </c>
      <c r="S7946" s="1" t="s">
        <v>34218</v>
      </c>
    </row>
    <row r="7947" spans="1:19" x14ac:dyDescent="0.25">
      <c r="A7947">
        <v>101456717</v>
      </c>
      <c r="B7947" t="s">
        <v>18531</v>
      </c>
      <c r="C7947" t="s">
        <v>362</v>
      </c>
      <c r="G7947" t="s">
        <v>18532</v>
      </c>
      <c r="H7947" t="s">
        <v>2613</v>
      </c>
      <c r="I7947" t="s">
        <v>22</v>
      </c>
      <c r="J7947">
        <v>95667</v>
      </c>
      <c r="K7947">
        <v>907</v>
      </c>
      <c r="L7947" t="s">
        <v>23</v>
      </c>
      <c r="M7947" t="s">
        <v>18532</v>
      </c>
      <c r="N7947" t="s">
        <v>2613</v>
      </c>
      <c r="O7947" t="s">
        <v>22</v>
      </c>
      <c r="P7947">
        <v>95667</v>
      </c>
      <c r="Q7947">
        <v>907</v>
      </c>
      <c r="R7947" t="s">
        <v>23</v>
      </c>
      <c r="S7947" s="1" t="s">
        <v>34218</v>
      </c>
    </row>
    <row r="7948" spans="1:19" x14ac:dyDescent="0.25">
      <c r="A7948">
        <v>101314564</v>
      </c>
      <c r="B7948" t="s">
        <v>18533</v>
      </c>
      <c r="C7948" t="s">
        <v>114</v>
      </c>
      <c r="G7948" t="s">
        <v>18534</v>
      </c>
      <c r="H7948" t="s">
        <v>12726</v>
      </c>
      <c r="I7948" t="s">
        <v>100</v>
      </c>
      <c r="J7948">
        <v>53143</v>
      </c>
      <c r="K7948">
        <v>5038</v>
      </c>
      <c r="L7948" t="s">
        <v>23</v>
      </c>
      <c r="M7948" t="s">
        <v>18534</v>
      </c>
      <c r="N7948" t="s">
        <v>12726</v>
      </c>
      <c r="O7948" t="s">
        <v>100</v>
      </c>
      <c r="P7948">
        <v>53143</v>
      </c>
      <c r="Q7948">
        <v>5038</v>
      </c>
      <c r="R7948" t="s">
        <v>23</v>
      </c>
      <c r="S7948" s="1" t="s">
        <v>34218</v>
      </c>
    </row>
    <row r="7949" spans="1:19" x14ac:dyDescent="0.25">
      <c r="A7949">
        <v>101434476</v>
      </c>
      <c r="B7949" t="s">
        <v>1234</v>
      </c>
      <c r="C7949" t="s">
        <v>102</v>
      </c>
      <c r="G7949" t="s">
        <v>18535</v>
      </c>
      <c r="H7949" t="s">
        <v>211</v>
      </c>
      <c r="I7949" t="s">
        <v>100</v>
      </c>
      <c r="J7949">
        <v>53190</v>
      </c>
      <c r="K7949">
        <v>4224</v>
      </c>
      <c r="L7949" t="s">
        <v>23</v>
      </c>
      <c r="M7949" t="s">
        <v>18535</v>
      </c>
      <c r="N7949" t="s">
        <v>211</v>
      </c>
      <c r="O7949" t="s">
        <v>100</v>
      </c>
      <c r="P7949">
        <v>53190</v>
      </c>
      <c r="Q7949">
        <v>4224</v>
      </c>
      <c r="R7949" t="s">
        <v>23</v>
      </c>
      <c r="S7949" s="1" t="s">
        <v>34218</v>
      </c>
    </row>
    <row r="7950" spans="1:19" x14ac:dyDescent="0.25">
      <c r="A7950">
        <v>101424435</v>
      </c>
      <c r="B7950" t="s">
        <v>18536</v>
      </c>
      <c r="C7950" t="s">
        <v>274</v>
      </c>
      <c r="G7950" t="s">
        <v>18537</v>
      </c>
      <c r="H7950" t="s">
        <v>1091</v>
      </c>
      <c r="I7950" t="s">
        <v>365</v>
      </c>
      <c r="J7950">
        <v>86351</v>
      </c>
      <c r="L7950" t="s">
        <v>23</v>
      </c>
      <c r="M7950" t="s">
        <v>18537</v>
      </c>
      <c r="N7950" t="s">
        <v>1091</v>
      </c>
      <c r="O7950" t="s">
        <v>365</v>
      </c>
      <c r="P7950">
        <v>86351</v>
      </c>
      <c r="R7950" t="s">
        <v>23</v>
      </c>
      <c r="S7950" s="1" t="s">
        <v>34218</v>
      </c>
    </row>
    <row r="7951" spans="1:19" x14ac:dyDescent="0.25">
      <c r="A7951">
        <v>101434604</v>
      </c>
      <c r="B7951" t="s">
        <v>18538</v>
      </c>
      <c r="C7951" t="s">
        <v>180</v>
      </c>
      <c r="G7951" t="s">
        <v>18539</v>
      </c>
      <c r="H7951" t="s">
        <v>56</v>
      </c>
      <c r="I7951" t="s">
        <v>57</v>
      </c>
      <c r="J7951">
        <v>46835</v>
      </c>
      <c r="K7951">
        <v>8703</v>
      </c>
      <c r="L7951" t="s">
        <v>23</v>
      </c>
      <c r="M7951" t="s">
        <v>18539</v>
      </c>
      <c r="N7951" t="s">
        <v>56</v>
      </c>
      <c r="O7951" t="s">
        <v>57</v>
      </c>
      <c r="P7951">
        <v>46835</v>
      </c>
      <c r="Q7951">
        <v>8703</v>
      </c>
      <c r="R7951" t="s">
        <v>23</v>
      </c>
      <c r="S7951" s="1" t="s">
        <v>34218</v>
      </c>
    </row>
    <row r="7952" spans="1:19" x14ac:dyDescent="0.25">
      <c r="A7952">
        <v>101104794</v>
      </c>
      <c r="B7952" t="s">
        <v>763</v>
      </c>
      <c r="C7952" t="s">
        <v>9807</v>
      </c>
      <c r="G7952">
        <v>111</v>
      </c>
      <c r="H7952" t="s">
        <v>18540</v>
      </c>
      <c r="I7952" t="s">
        <v>187</v>
      </c>
      <c r="J7952">
        <v>55001</v>
      </c>
      <c r="L7952" t="s">
        <v>23</v>
      </c>
      <c r="M7952">
        <v>111</v>
      </c>
      <c r="N7952" t="s">
        <v>18540</v>
      </c>
      <c r="O7952" t="s">
        <v>187</v>
      </c>
      <c r="P7952">
        <v>55001</v>
      </c>
      <c r="R7952" t="s">
        <v>23</v>
      </c>
      <c r="S7952" s="1" t="s">
        <v>34218</v>
      </c>
    </row>
    <row r="7953" spans="1:19" x14ac:dyDescent="0.25">
      <c r="A7953">
        <v>101410436</v>
      </c>
      <c r="B7953" t="s">
        <v>18541</v>
      </c>
      <c r="C7953" t="s">
        <v>557</v>
      </c>
      <c r="G7953" t="s">
        <v>18542</v>
      </c>
      <c r="H7953" t="s">
        <v>18543</v>
      </c>
      <c r="I7953" t="s">
        <v>117</v>
      </c>
      <c r="J7953">
        <v>13787</v>
      </c>
      <c r="K7953">
        <v>1825</v>
      </c>
      <c r="L7953" t="s">
        <v>23</v>
      </c>
      <c r="M7953" t="s">
        <v>18542</v>
      </c>
      <c r="N7953" t="s">
        <v>18543</v>
      </c>
      <c r="O7953" t="s">
        <v>117</v>
      </c>
      <c r="P7953">
        <v>13787</v>
      </c>
      <c r="Q7953">
        <v>1825</v>
      </c>
      <c r="R7953" t="s">
        <v>23</v>
      </c>
      <c r="S7953" s="1" t="s">
        <v>34218</v>
      </c>
    </row>
    <row r="7954" spans="1:19" x14ac:dyDescent="0.25">
      <c r="A7954">
        <v>100989016</v>
      </c>
      <c r="B7954" t="s">
        <v>18544</v>
      </c>
      <c r="C7954" t="s">
        <v>18545</v>
      </c>
      <c r="F7954" t="str">
        <f>"5308911713"</f>
        <v>5308911713</v>
      </c>
      <c r="G7954" t="s">
        <v>18546</v>
      </c>
      <c r="H7954" t="s">
        <v>18547</v>
      </c>
      <c r="I7954" t="s">
        <v>100</v>
      </c>
      <c r="J7954">
        <v>54639</v>
      </c>
      <c r="K7954">
        <v>6604</v>
      </c>
      <c r="L7954" t="s">
        <v>23</v>
      </c>
      <c r="M7954" t="s">
        <v>18546</v>
      </c>
      <c r="N7954" t="s">
        <v>18547</v>
      </c>
      <c r="O7954" t="s">
        <v>100</v>
      </c>
      <c r="P7954">
        <v>54639</v>
      </c>
      <c r="Q7954">
        <v>6604</v>
      </c>
      <c r="R7954" t="s">
        <v>23</v>
      </c>
      <c r="S7954" s="1" t="s">
        <v>34218</v>
      </c>
    </row>
    <row r="7955" spans="1:19" x14ac:dyDescent="0.25">
      <c r="A7955">
        <v>101455903</v>
      </c>
      <c r="B7955" t="s">
        <v>18548</v>
      </c>
      <c r="C7955" t="s">
        <v>15041</v>
      </c>
      <c r="G7955" t="s">
        <v>18549</v>
      </c>
      <c r="H7955" t="s">
        <v>130</v>
      </c>
      <c r="I7955" t="s">
        <v>22</v>
      </c>
      <c r="J7955">
        <v>94131</v>
      </c>
      <c r="K7955">
        <v>2918</v>
      </c>
      <c r="L7955" t="s">
        <v>23</v>
      </c>
      <c r="M7955" t="s">
        <v>18549</v>
      </c>
      <c r="N7955" t="s">
        <v>130</v>
      </c>
      <c r="O7955" t="s">
        <v>22</v>
      </c>
      <c r="P7955">
        <v>94131</v>
      </c>
      <c r="Q7955">
        <v>2918</v>
      </c>
      <c r="R7955" t="s">
        <v>23</v>
      </c>
      <c r="S7955" s="1" t="s">
        <v>34218</v>
      </c>
    </row>
    <row r="7956" spans="1:19" x14ac:dyDescent="0.25">
      <c r="A7956">
        <v>101455618</v>
      </c>
      <c r="B7956" t="s">
        <v>18550</v>
      </c>
      <c r="C7956" t="s">
        <v>18551</v>
      </c>
      <c r="G7956" t="s">
        <v>18552</v>
      </c>
      <c r="H7956" t="s">
        <v>1982</v>
      </c>
      <c r="I7956" t="s">
        <v>33</v>
      </c>
      <c r="J7956">
        <v>19460</v>
      </c>
      <c r="K7956">
        <v>2868</v>
      </c>
      <c r="L7956" t="s">
        <v>23</v>
      </c>
      <c r="M7956" t="s">
        <v>18552</v>
      </c>
      <c r="N7956" t="s">
        <v>1982</v>
      </c>
      <c r="O7956" t="s">
        <v>33</v>
      </c>
      <c r="P7956">
        <v>19460</v>
      </c>
      <c r="Q7956">
        <v>2868</v>
      </c>
      <c r="R7956" t="s">
        <v>23</v>
      </c>
      <c r="S7956" s="1" t="s">
        <v>34218</v>
      </c>
    </row>
    <row r="7957" spans="1:19" x14ac:dyDescent="0.25">
      <c r="A7957">
        <v>101423613</v>
      </c>
      <c r="B7957" t="s">
        <v>18553</v>
      </c>
      <c r="C7957" t="s">
        <v>621</v>
      </c>
      <c r="G7957" t="s">
        <v>18554</v>
      </c>
      <c r="H7957" t="s">
        <v>3689</v>
      </c>
      <c r="I7957" t="s">
        <v>250</v>
      </c>
      <c r="J7957">
        <v>7013</v>
      </c>
      <c r="K7957">
        <v>1806</v>
      </c>
      <c r="L7957" t="s">
        <v>23</v>
      </c>
      <c r="M7957" t="s">
        <v>18554</v>
      </c>
      <c r="N7957" t="s">
        <v>3689</v>
      </c>
      <c r="O7957" t="s">
        <v>250</v>
      </c>
      <c r="P7957">
        <v>7013</v>
      </c>
      <c r="Q7957">
        <v>1806</v>
      </c>
      <c r="R7957" t="s">
        <v>23</v>
      </c>
      <c r="S7957" s="1" t="s">
        <v>34218</v>
      </c>
    </row>
    <row r="7958" spans="1:19" x14ac:dyDescent="0.25">
      <c r="A7958">
        <v>100826821</v>
      </c>
      <c r="B7958" t="s">
        <v>18555</v>
      </c>
      <c r="C7958" t="s">
        <v>2653</v>
      </c>
      <c r="G7958" t="s">
        <v>18556</v>
      </c>
      <c r="H7958" t="s">
        <v>2279</v>
      </c>
      <c r="I7958" t="s">
        <v>52</v>
      </c>
      <c r="J7958">
        <v>33610</v>
      </c>
      <c r="K7958">
        <v>9008</v>
      </c>
      <c r="L7958" t="s">
        <v>23</v>
      </c>
      <c r="M7958" t="s">
        <v>18556</v>
      </c>
      <c r="N7958" t="s">
        <v>2279</v>
      </c>
      <c r="O7958" t="s">
        <v>52</v>
      </c>
      <c r="P7958">
        <v>33610</v>
      </c>
      <c r="Q7958">
        <v>9008</v>
      </c>
      <c r="R7958" t="s">
        <v>23</v>
      </c>
      <c r="S7958" s="1" t="s">
        <v>34218</v>
      </c>
    </row>
    <row r="7959" spans="1:19" x14ac:dyDescent="0.25">
      <c r="A7959">
        <v>100829751</v>
      </c>
      <c r="B7959" t="s">
        <v>18557</v>
      </c>
      <c r="C7959" t="s">
        <v>278</v>
      </c>
      <c r="G7959" t="s">
        <v>18558</v>
      </c>
      <c r="H7959" t="s">
        <v>10410</v>
      </c>
      <c r="I7959" t="s">
        <v>22</v>
      </c>
      <c r="J7959">
        <v>94015</v>
      </c>
      <c r="K7959">
        <v>1040</v>
      </c>
      <c r="L7959" t="s">
        <v>23</v>
      </c>
      <c r="M7959" t="s">
        <v>18558</v>
      </c>
      <c r="N7959" t="s">
        <v>10410</v>
      </c>
      <c r="O7959" t="s">
        <v>22</v>
      </c>
      <c r="P7959">
        <v>94015</v>
      </c>
      <c r="Q7959">
        <v>1040</v>
      </c>
      <c r="R7959" t="s">
        <v>23</v>
      </c>
      <c r="S7959" s="1" t="s">
        <v>34218</v>
      </c>
    </row>
    <row r="7960" spans="1:19" x14ac:dyDescent="0.25">
      <c r="A7960">
        <v>100829742</v>
      </c>
      <c r="B7960" t="s">
        <v>18559</v>
      </c>
      <c r="C7960" t="s">
        <v>1873</v>
      </c>
      <c r="G7960" t="s">
        <v>18560</v>
      </c>
      <c r="H7960" t="s">
        <v>688</v>
      </c>
      <c r="I7960" t="s">
        <v>140</v>
      </c>
      <c r="J7960">
        <v>48306</v>
      </c>
      <c r="K7960">
        <v>2067</v>
      </c>
      <c r="L7960" t="s">
        <v>23</v>
      </c>
      <c r="M7960" t="s">
        <v>18560</v>
      </c>
      <c r="N7960" t="s">
        <v>688</v>
      </c>
      <c r="O7960" t="s">
        <v>140</v>
      </c>
      <c r="P7960">
        <v>48306</v>
      </c>
      <c r="Q7960">
        <v>2067</v>
      </c>
      <c r="R7960" t="s">
        <v>23</v>
      </c>
      <c r="S7960" s="1" t="s">
        <v>34218</v>
      </c>
    </row>
    <row r="7961" spans="1:19" x14ac:dyDescent="0.25">
      <c r="A7961">
        <v>100829832</v>
      </c>
      <c r="B7961" t="s">
        <v>18561</v>
      </c>
      <c r="C7961" t="s">
        <v>18562</v>
      </c>
      <c r="G7961" t="s">
        <v>18563</v>
      </c>
      <c r="H7961" t="s">
        <v>331</v>
      </c>
      <c r="I7961" t="s">
        <v>332</v>
      </c>
      <c r="J7961">
        <v>84106</v>
      </c>
      <c r="K7961">
        <v>1822</v>
      </c>
      <c r="L7961" t="s">
        <v>23</v>
      </c>
      <c r="M7961" t="s">
        <v>18563</v>
      </c>
      <c r="N7961" t="s">
        <v>331</v>
      </c>
      <c r="O7961" t="s">
        <v>332</v>
      </c>
      <c r="P7961">
        <v>84106</v>
      </c>
      <c r="Q7961">
        <v>1822</v>
      </c>
      <c r="R7961" t="s">
        <v>23</v>
      </c>
      <c r="S7961" s="1" t="s">
        <v>34218</v>
      </c>
    </row>
    <row r="7962" spans="1:19" x14ac:dyDescent="0.25">
      <c r="A7962">
        <v>100831207</v>
      </c>
      <c r="B7962" t="s">
        <v>2127</v>
      </c>
      <c r="C7962" t="s">
        <v>699</v>
      </c>
      <c r="G7962" t="s">
        <v>18564</v>
      </c>
      <c r="H7962" t="s">
        <v>18565</v>
      </c>
      <c r="I7962" t="s">
        <v>446</v>
      </c>
      <c r="J7962">
        <v>28173</v>
      </c>
      <c r="K7962">
        <v>6967</v>
      </c>
      <c r="L7962" t="s">
        <v>23</v>
      </c>
      <c r="M7962" t="s">
        <v>18564</v>
      </c>
      <c r="N7962" t="s">
        <v>18565</v>
      </c>
      <c r="O7962" t="s">
        <v>446</v>
      </c>
      <c r="P7962">
        <v>28173</v>
      </c>
      <c r="Q7962">
        <v>6967</v>
      </c>
      <c r="R7962" t="s">
        <v>23</v>
      </c>
      <c r="S7962" s="1" t="s">
        <v>34218</v>
      </c>
    </row>
    <row r="7963" spans="1:19" x14ac:dyDescent="0.25">
      <c r="A7963">
        <v>100835533</v>
      </c>
      <c r="B7963" t="s">
        <v>18566</v>
      </c>
      <c r="C7963" t="s">
        <v>2343</v>
      </c>
      <c r="G7963" t="s">
        <v>18567</v>
      </c>
      <c r="H7963" t="s">
        <v>2309</v>
      </c>
      <c r="I7963" t="s">
        <v>446</v>
      </c>
      <c r="J7963">
        <v>28405</v>
      </c>
      <c r="K7963">
        <v>3812</v>
      </c>
      <c r="L7963" t="s">
        <v>23</v>
      </c>
      <c r="M7963" t="s">
        <v>18567</v>
      </c>
      <c r="N7963" t="s">
        <v>2309</v>
      </c>
      <c r="O7963" t="s">
        <v>446</v>
      </c>
      <c r="P7963">
        <v>28405</v>
      </c>
      <c r="Q7963">
        <v>3812</v>
      </c>
      <c r="R7963" t="s">
        <v>23</v>
      </c>
      <c r="S7963" s="1" t="s">
        <v>34218</v>
      </c>
    </row>
    <row r="7964" spans="1:19" x14ac:dyDescent="0.25">
      <c r="A7964">
        <v>100834625</v>
      </c>
      <c r="B7964" t="s">
        <v>18568</v>
      </c>
      <c r="C7964" t="s">
        <v>49</v>
      </c>
      <c r="G7964" t="s">
        <v>18569</v>
      </c>
      <c r="H7964" t="s">
        <v>1873</v>
      </c>
      <c r="I7964" t="s">
        <v>236</v>
      </c>
      <c r="J7964">
        <v>2067</v>
      </c>
      <c r="K7964">
        <v>2853</v>
      </c>
      <c r="L7964" t="s">
        <v>23</v>
      </c>
      <c r="M7964" t="s">
        <v>18569</v>
      </c>
      <c r="N7964" t="s">
        <v>1873</v>
      </c>
      <c r="O7964" t="s">
        <v>236</v>
      </c>
      <c r="P7964">
        <v>2067</v>
      </c>
      <c r="Q7964">
        <v>2853</v>
      </c>
      <c r="R7964" t="s">
        <v>23</v>
      </c>
      <c r="S7964" s="1" t="s">
        <v>34218</v>
      </c>
    </row>
    <row r="7965" spans="1:19" x14ac:dyDescent="0.25">
      <c r="A7965">
        <v>100835295</v>
      </c>
      <c r="B7965" t="s">
        <v>18570</v>
      </c>
      <c r="C7965" t="s">
        <v>102</v>
      </c>
      <c r="G7965" t="s">
        <v>18571</v>
      </c>
      <c r="H7965" t="s">
        <v>18572</v>
      </c>
      <c r="I7965" t="s">
        <v>187</v>
      </c>
      <c r="J7965">
        <v>55118</v>
      </c>
      <c r="K7965">
        <v>1922</v>
      </c>
      <c r="L7965" t="s">
        <v>23</v>
      </c>
      <c r="M7965" t="s">
        <v>18571</v>
      </c>
      <c r="N7965" t="s">
        <v>18572</v>
      </c>
      <c r="O7965" t="s">
        <v>187</v>
      </c>
      <c r="P7965">
        <v>55118</v>
      </c>
      <c r="Q7965">
        <v>1922</v>
      </c>
      <c r="R7965" t="s">
        <v>23</v>
      </c>
      <c r="S7965" s="1" t="s">
        <v>34218</v>
      </c>
    </row>
    <row r="7966" spans="1:19" x14ac:dyDescent="0.25">
      <c r="A7966">
        <v>100994905</v>
      </c>
      <c r="B7966" t="s">
        <v>18573</v>
      </c>
      <c r="C7966" t="s">
        <v>18574</v>
      </c>
      <c r="G7966" t="s">
        <v>18575</v>
      </c>
      <c r="H7966" t="s">
        <v>134</v>
      </c>
      <c r="I7966" t="s">
        <v>135</v>
      </c>
      <c r="J7966">
        <v>60618</v>
      </c>
      <c r="K7966">
        <v>3813</v>
      </c>
      <c r="L7966" t="s">
        <v>23</v>
      </c>
      <c r="M7966" t="s">
        <v>18575</v>
      </c>
      <c r="N7966" t="s">
        <v>134</v>
      </c>
      <c r="O7966" t="s">
        <v>135</v>
      </c>
      <c r="P7966">
        <v>60618</v>
      </c>
      <c r="Q7966">
        <v>3813</v>
      </c>
      <c r="R7966" t="s">
        <v>23</v>
      </c>
      <c r="S7966" s="1" t="s">
        <v>34218</v>
      </c>
    </row>
    <row r="7967" spans="1:19" x14ac:dyDescent="0.25">
      <c r="A7967">
        <v>100995904</v>
      </c>
      <c r="B7967" t="s">
        <v>14967</v>
      </c>
      <c r="C7967" t="s">
        <v>699</v>
      </c>
      <c r="G7967" t="s">
        <v>18576</v>
      </c>
      <c r="H7967" t="s">
        <v>18577</v>
      </c>
      <c r="I7967" t="s">
        <v>117</v>
      </c>
      <c r="J7967">
        <v>13036</v>
      </c>
      <c r="K7967">
        <v>3449</v>
      </c>
      <c r="L7967" t="s">
        <v>23</v>
      </c>
      <c r="M7967" t="s">
        <v>18576</v>
      </c>
      <c r="N7967" t="s">
        <v>18577</v>
      </c>
      <c r="O7967" t="s">
        <v>117</v>
      </c>
      <c r="P7967">
        <v>13036</v>
      </c>
      <c r="Q7967">
        <v>3449</v>
      </c>
      <c r="R7967" t="s">
        <v>23</v>
      </c>
      <c r="S7967" s="1" t="s">
        <v>34218</v>
      </c>
    </row>
    <row r="7968" spans="1:19" x14ac:dyDescent="0.25">
      <c r="A7968">
        <v>100999469</v>
      </c>
      <c r="B7968" t="s">
        <v>18578</v>
      </c>
      <c r="C7968" t="s">
        <v>180</v>
      </c>
      <c r="G7968" t="s">
        <v>18579</v>
      </c>
      <c r="H7968" t="s">
        <v>638</v>
      </c>
      <c r="I7968" t="s">
        <v>639</v>
      </c>
      <c r="J7968">
        <v>87105</v>
      </c>
      <c r="K7968">
        <v>6102</v>
      </c>
      <c r="L7968" t="s">
        <v>23</v>
      </c>
      <c r="M7968" t="s">
        <v>18579</v>
      </c>
      <c r="N7968" t="s">
        <v>638</v>
      </c>
      <c r="O7968" t="s">
        <v>639</v>
      </c>
      <c r="P7968">
        <v>87105</v>
      </c>
      <c r="Q7968">
        <v>6102</v>
      </c>
      <c r="R7968" t="s">
        <v>23</v>
      </c>
      <c r="S7968" s="1" t="s">
        <v>34218</v>
      </c>
    </row>
    <row r="7969" spans="1:19" x14ac:dyDescent="0.25">
      <c r="A7969">
        <v>101003477</v>
      </c>
      <c r="B7969" t="s">
        <v>18580</v>
      </c>
      <c r="C7969" t="s">
        <v>3113</v>
      </c>
      <c r="G7969" t="s">
        <v>18581</v>
      </c>
      <c r="H7969" t="s">
        <v>5916</v>
      </c>
      <c r="I7969" t="s">
        <v>126</v>
      </c>
      <c r="J7969">
        <v>63017</v>
      </c>
      <c r="K7969">
        <v>7412</v>
      </c>
      <c r="L7969" t="s">
        <v>23</v>
      </c>
      <c r="M7969" t="s">
        <v>18581</v>
      </c>
      <c r="N7969" t="s">
        <v>5916</v>
      </c>
      <c r="O7969" t="s">
        <v>126</v>
      </c>
      <c r="P7969">
        <v>63017</v>
      </c>
      <c r="Q7969">
        <v>7412</v>
      </c>
      <c r="R7969" t="s">
        <v>23</v>
      </c>
      <c r="S7969" s="1" t="s">
        <v>34218</v>
      </c>
    </row>
    <row r="7970" spans="1:19" x14ac:dyDescent="0.25">
      <c r="A7970">
        <v>101005635</v>
      </c>
      <c r="B7970" t="s">
        <v>4046</v>
      </c>
      <c r="C7970" t="s">
        <v>1107</v>
      </c>
      <c r="G7970" t="s">
        <v>18582</v>
      </c>
      <c r="H7970" t="s">
        <v>108</v>
      </c>
      <c r="I7970" t="s">
        <v>22</v>
      </c>
      <c r="J7970">
        <v>93004</v>
      </c>
      <c r="K7970">
        <v>2370</v>
      </c>
      <c r="L7970" t="s">
        <v>23</v>
      </c>
      <c r="M7970" t="s">
        <v>18582</v>
      </c>
      <c r="N7970" t="s">
        <v>108</v>
      </c>
      <c r="O7970" t="s">
        <v>22</v>
      </c>
      <c r="P7970">
        <v>93004</v>
      </c>
      <c r="Q7970">
        <v>2370</v>
      </c>
      <c r="R7970" t="s">
        <v>23</v>
      </c>
      <c r="S7970" s="1" t="s">
        <v>34218</v>
      </c>
    </row>
    <row r="7971" spans="1:19" x14ac:dyDescent="0.25">
      <c r="A7971">
        <v>101011089</v>
      </c>
      <c r="B7971" t="s">
        <v>18583</v>
      </c>
      <c r="C7971" t="s">
        <v>18584</v>
      </c>
      <c r="G7971" t="s">
        <v>18585</v>
      </c>
      <c r="H7971" t="s">
        <v>8841</v>
      </c>
      <c r="I7971" t="s">
        <v>22</v>
      </c>
      <c r="J7971">
        <v>94023</v>
      </c>
      <c r="K7971">
        <v>1132</v>
      </c>
      <c r="L7971" t="s">
        <v>23</v>
      </c>
      <c r="M7971" t="s">
        <v>18585</v>
      </c>
      <c r="N7971" t="s">
        <v>8841</v>
      </c>
      <c r="O7971" t="s">
        <v>22</v>
      </c>
      <c r="P7971">
        <v>94023</v>
      </c>
      <c r="Q7971">
        <v>1132</v>
      </c>
      <c r="R7971" t="s">
        <v>23</v>
      </c>
      <c r="S7971" s="1" t="s">
        <v>34218</v>
      </c>
    </row>
    <row r="7972" spans="1:19" x14ac:dyDescent="0.25">
      <c r="A7972">
        <v>101013382</v>
      </c>
      <c r="B7972" t="s">
        <v>18586</v>
      </c>
      <c r="C7972" t="s">
        <v>18587</v>
      </c>
      <c r="G7972" t="s">
        <v>18588</v>
      </c>
      <c r="H7972" t="s">
        <v>227</v>
      </c>
      <c r="I7972" t="s">
        <v>43</v>
      </c>
      <c r="J7972">
        <v>97211</v>
      </c>
      <c r="K7972">
        <v>6805</v>
      </c>
      <c r="L7972" t="s">
        <v>23</v>
      </c>
      <c r="M7972" t="s">
        <v>18588</v>
      </c>
      <c r="N7972" t="s">
        <v>227</v>
      </c>
      <c r="O7972" t="s">
        <v>43</v>
      </c>
      <c r="P7972">
        <v>97211</v>
      </c>
      <c r="Q7972">
        <v>6805</v>
      </c>
      <c r="R7972" t="s">
        <v>23</v>
      </c>
      <c r="S7972" s="1" t="s">
        <v>34218</v>
      </c>
    </row>
    <row r="7973" spans="1:19" x14ac:dyDescent="0.25">
      <c r="A7973">
        <v>101010830</v>
      </c>
      <c r="B7973" t="s">
        <v>3970</v>
      </c>
      <c r="C7973" t="s">
        <v>30</v>
      </c>
      <c r="G7973" t="s">
        <v>18589</v>
      </c>
      <c r="H7973" t="s">
        <v>2608</v>
      </c>
      <c r="I7973" t="s">
        <v>255</v>
      </c>
      <c r="J7973">
        <v>22603</v>
      </c>
      <c r="K7973">
        <v>4043</v>
      </c>
      <c r="L7973" t="s">
        <v>23</v>
      </c>
      <c r="M7973" t="s">
        <v>18589</v>
      </c>
      <c r="N7973" t="s">
        <v>2608</v>
      </c>
      <c r="O7973" t="s">
        <v>255</v>
      </c>
      <c r="P7973">
        <v>22603</v>
      </c>
      <c r="Q7973">
        <v>4043</v>
      </c>
      <c r="R7973" t="s">
        <v>23</v>
      </c>
      <c r="S7973" s="1" t="s">
        <v>34218</v>
      </c>
    </row>
    <row r="7974" spans="1:19" x14ac:dyDescent="0.25">
      <c r="A7974">
        <v>101012802</v>
      </c>
      <c r="B7974" t="s">
        <v>18590</v>
      </c>
      <c r="C7974" t="s">
        <v>18591</v>
      </c>
      <c r="F7974" t="str">
        <f>"5206487454"</f>
        <v>5206487454</v>
      </c>
      <c r="G7974" t="s">
        <v>18592</v>
      </c>
      <c r="H7974" t="s">
        <v>3772</v>
      </c>
      <c r="I7974" t="s">
        <v>365</v>
      </c>
      <c r="J7974">
        <v>85614</v>
      </c>
      <c r="K7974">
        <v>4015</v>
      </c>
      <c r="L7974" t="s">
        <v>23</v>
      </c>
      <c r="M7974" t="s">
        <v>18592</v>
      </c>
      <c r="N7974" t="s">
        <v>3772</v>
      </c>
      <c r="O7974" t="s">
        <v>365</v>
      </c>
      <c r="P7974">
        <v>85614</v>
      </c>
      <c r="Q7974">
        <v>4015</v>
      </c>
      <c r="R7974" t="s">
        <v>23</v>
      </c>
      <c r="S7974" s="1" t="s">
        <v>34218</v>
      </c>
    </row>
    <row r="7975" spans="1:19" x14ac:dyDescent="0.25">
      <c r="A7975">
        <v>101021100</v>
      </c>
      <c r="B7975" t="s">
        <v>18593</v>
      </c>
      <c r="C7975" t="s">
        <v>18594</v>
      </c>
      <c r="G7975" t="s">
        <v>18595</v>
      </c>
      <c r="H7975" t="s">
        <v>438</v>
      </c>
      <c r="I7975" t="s">
        <v>71</v>
      </c>
      <c r="J7975">
        <v>80503</v>
      </c>
      <c r="K7975">
        <v>8612</v>
      </c>
      <c r="L7975" t="s">
        <v>23</v>
      </c>
      <c r="M7975" t="s">
        <v>18595</v>
      </c>
      <c r="N7975" t="s">
        <v>438</v>
      </c>
      <c r="O7975" t="s">
        <v>71</v>
      </c>
      <c r="P7975">
        <v>80503</v>
      </c>
      <c r="Q7975">
        <v>8612</v>
      </c>
      <c r="R7975" t="s">
        <v>23</v>
      </c>
      <c r="S7975" s="1" t="s">
        <v>34218</v>
      </c>
    </row>
    <row r="7976" spans="1:19" x14ac:dyDescent="0.25">
      <c r="A7976">
        <v>101204807</v>
      </c>
      <c r="B7976" t="s">
        <v>1698</v>
      </c>
      <c r="C7976" t="s">
        <v>7132</v>
      </c>
      <c r="G7976" t="s">
        <v>18596</v>
      </c>
      <c r="H7976" t="s">
        <v>7630</v>
      </c>
      <c r="I7976" t="s">
        <v>255</v>
      </c>
      <c r="J7976">
        <v>22042</v>
      </c>
      <c r="K7976">
        <v>2516</v>
      </c>
      <c r="L7976" t="s">
        <v>23</v>
      </c>
      <c r="M7976" t="s">
        <v>18596</v>
      </c>
      <c r="N7976" t="s">
        <v>7630</v>
      </c>
      <c r="O7976" t="s">
        <v>255</v>
      </c>
      <c r="P7976">
        <v>22042</v>
      </c>
      <c r="Q7976">
        <v>2516</v>
      </c>
      <c r="R7976" t="s">
        <v>23</v>
      </c>
      <c r="S7976" s="1" t="s">
        <v>34218</v>
      </c>
    </row>
    <row r="7977" spans="1:19" x14ac:dyDescent="0.25">
      <c r="A7977">
        <v>101201308</v>
      </c>
      <c r="B7977" t="s">
        <v>18597</v>
      </c>
      <c r="C7977" t="s">
        <v>1623</v>
      </c>
      <c r="G7977" t="s">
        <v>18598</v>
      </c>
      <c r="H7977" t="s">
        <v>14658</v>
      </c>
      <c r="I7977" t="s">
        <v>236</v>
      </c>
      <c r="J7977">
        <v>2026</v>
      </c>
      <c r="K7977">
        <v>6115</v>
      </c>
      <c r="L7977" t="s">
        <v>23</v>
      </c>
      <c r="M7977" t="s">
        <v>18598</v>
      </c>
      <c r="N7977" t="s">
        <v>14658</v>
      </c>
      <c r="O7977" t="s">
        <v>236</v>
      </c>
      <c r="P7977">
        <v>2026</v>
      </c>
      <c r="Q7977">
        <v>6115</v>
      </c>
      <c r="R7977" t="s">
        <v>23</v>
      </c>
      <c r="S7977" s="1" t="s">
        <v>34218</v>
      </c>
    </row>
    <row r="7978" spans="1:19" x14ac:dyDescent="0.25">
      <c r="A7978">
        <v>101205702</v>
      </c>
      <c r="B7978" t="s">
        <v>18599</v>
      </c>
      <c r="C7978" t="s">
        <v>2642</v>
      </c>
      <c r="G7978" t="s">
        <v>18600</v>
      </c>
      <c r="H7978" t="s">
        <v>653</v>
      </c>
      <c r="I7978" t="s">
        <v>117</v>
      </c>
      <c r="J7978">
        <v>10032</v>
      </c>
      <c r="K7978">
        <v>1326</v>
      </c>
      <c r="L7978" t="s">
        <v>23</v>
      </c>
      <c r="M7978" t="s">
        <v>18600</v>
      </c>
      <c r="N7978" t="s">
        <v>653</v>
      </c>
      <c r="O7978" t="s">
        <v>117</v>
      </c>
      <c r="P7978">
        <v>10032</v>
      </c>
      <c r="Q7978">
        <v>1326</v>
      </c>
      <c r="R7978" t="s">
        <v>23</v>
      </c>
      <c r="S7978" s="1" t="s">
        <v>34218</v>
      </c>
    </row>
    <row r="7979" spans="1:19" x14ac:dyDescent="0.25">
      <c r="A7979">
        <v>101203127</v>
      </c>
      <c r="B7979" t="s">
        <v>18601</v>
      </c>
      <c r="C7979" t="s">
        <v>102</v>
      </c>
      <c r="G7979" t="s">
        <v>18602</v>
      </c>
      <c r="H7979" t="s">
        <v>1276</v>
      </c>
      <c r="I7979" t="s">
        <v>914</v>
      </c>
      <c r="J7979">
        <v>37034</v>
      </c>
      <c r="K7979">
        <v>2075</v>
      </c>
      <c r="L7979" t="s">
        <v>23</v>
      </c>
      <c r="M7979" t="s">
        <v>18602</v>
      </c>
      <c r="N7979" t="s">
        <v>1276</v>
      </c>
      <c r="O7979" t="s">
        <v>914</v>
      </c>
      <c r="P7979">
        <v>37034</v>
      </c>
      <c r="Q7979">
        <v>2075</v>
      </c>
      <c r="R7979" t="s">
        <v>23</v>
      </c>
      <c r="S7979" s="1" t="s">
        <v>34218</v>
      </c>
    </row>
    <row r="7980" spans="1:19" x14ac:dyDescent="0.25">
      <c r="A7980">
        <v>101206706</v>
      </c>
      <c r="B7980" t="s">
        <v>18603</v>
      </c>
      <c r="C7980" t="s">
        <v>2329</v>
      </c>
      <c r="G7980" t="s">
        <v>18604</v>
      </c>
      <c r="H7980" t="s">
        <v>1489</v>
      </c>
      <c r="I7980" t="s">
        <v>62</v>
      </c>
      <c r="J7980">
        <v>74137</v>
      </c>
      <c r="K7980">
        <v>3301</v>
      </c>
      <c r="L7980" t="s">
        <v>23</v>
      </c>
      <c r="M7980" t="s">
        <v>18604</v>
      </c>
      <c r="N7980" t="s">
        <v>1489</v>
      </c>
      <c r="O7980" t="s">
        <v>62</v>
      </c>
      <c r="P7980">
        <v>74137</v>
      </c>
      <c r="Q7980">
        <v>3301</v>
      </c>
      <c r="R7980" t="s">
        <v>23</v>
      </c>
      <c r="S7980" s="1" t="s">
        <v>34218</v>
      </c>
    </row>
    <row r="7981" spans="1:19" x14ac:dyDescent="0.25">
      <c r="A7981">
        <v>101204485</v>
      </c>
      <c r="B7981" t="s">
        <v>2189</v>
      </c>
      <c r="C7981" t="s">
        <v>1298</v>
      </c>
      <c r="G7981" t="s">
        <v>18605</v>
      </c>
      <c r="H7981" t="s">
        <v>18606</v>
      </c>
      <c r="I7981" t="s">
        <v>148</v>
      </c>
      <c r="J7981">
        <v>20732</v>
      </c>
      <c r="K7981">
        <v>4656</v>
      </c>
      <c r="L7981" t="s">
        <v>23</v>
      </c>
      <c r="M7981" t="s">
        <v>18605</v>
      </c>
      <c r="N7981" t="s">
        <v>18606</v>
      </c>
      <c r="O7981" t="s">
        <v>148</v>
      </c>
      <c r="P7981">
        <v>20732</v>
      </c>
      <c r="Q7981">
        <v>4656</v>
      </c>
      <c r="R7981" t="s">
        <v>23</v>
      </c>
      <c r="S7981" s="1" t="s">
        <v>34218</v>
      </c>
    </row>
    <row r="7982" spans="1:19" x14ac:dyDescent="0.25">
      <c r="A7982">
        <v>101209857</v>
      </c>
      <c r="B7982" t="s">
        <v>18607</v>
      </c>
      <c r="C7982" t="s">
        <v>2127</v>
      </c>
      <c r="G7982" t="s">
        <v>18608</v>
      </c>
      <c r="H7982" t="s">
        <v>18609</v>
      </c>
      <c r="I7982" t="s">
        <v>117</v>
      </c>
      <c r="J7982">
        <v>13754</v>
      </c>
      <c r="K7982">
        <v>1301</v>
      </c>
      <c r="L7982" t="s">
        <v>23</v>
      </c>
      <c r="M7982" t="s">
        <v>18608</v>
      </c>
      <c r="N7982" t="s">
        <v>18609</v>
      </c>
      <c r="O7982" t="s">
        <v>117</v>
      </c>
      <c r="P7982">
        <v>13754</v>
      </c>
      <c r="Q7982">
        <v>1301</v>
      </c>
      <c r="R7982" t="s">
        <v>23</v>
      </c>
      <c r="S7982" s="1" t="s">
        <v>34218</v>
      </c>
    </row>
    <row r="7983" spans="1:19" x14ac:dyDescent="0.25">
      <c r="A7983">
        <v>101213836</v>
      </c>
      <c r="B7983" t="s">
        <v>18610</v>
      </c>
      <c r="C7983" t="s">
        <v>1153</v>
      </c>
      <c r="G7983" t="s">
        <v>18611</v>
      </c>
      <c r="H7983" t="s">
        <v>17717</v>
      </c>
      <c r="I7983" t="s">
        <v>250</v>
      </c>
      <c r="J7983">
        <v>8230</v>
      </c>
      <c r="K7983">
        <v>1505</v>
      </c>
      <c r="L7983" t="s">
        <v>23</v>
      </c>
      <c r="M7983" t="s">
        <v>18611</v>
      </c>
      <c r="N7983" t="s">
        <v>17717</v>
      </c>
      <c r="O7983" t="s">
        <v>250</v>
      </c>
      <c r="P7983">
        <v>8230</v>
      </c>
      <c r="Q7983">
        <v>1505</v>
      </c>
      <c r="R7983" t="s">
        <v>23</v>
      </c>
      <c r="S7983" s="1" t="s">
        <v>34218</v>
      </c>
    </row>
    <row r="7984" spans="1:19" x14ac:dyDescent="0.25">
      <c r="A7984">
        <v>101217558</v>
      </c>
      <c r="B7984" t="s">
        <v>18612</v>
      </c>
      <c r="C7984" t="s">
        <v>18613</v>
      </c>
      <c r="G7984" t="s">
        <v>18614</v>
      </c>
      <c r="H7984" t="s">
        <v>682</v>
      </c>
      <c r="I7984" t="s">
        <v>365</v>
      </c>
      <c r="J7984">
        <v>85024</v>
      </c>
      <c r="K7984">
        <v>4342</v>
      </c>
      <c r="L7984" t="s">
        <v>23</v>
      </c>
      <c r="M7984" t="s">
        <v>18614</v>
      </c>
      <c r="N7984" t="s">
        <v>682</v>
      </c>
      <c r="O7984" t="s">
        <v>365</v>
      </c>
      <c r="P7984">
        <v>85024</v>
      </c>
      <c r="Q7984">
        <v>4342</v>
      </c>
      <c r="R7984" t="s">
        <v>23</v>
      </c>
      <c r="S7984" s="1" t="s">
        <v>34218</v>
      </c>
    </row>
    <row r="7985" spans="1:19" x14ac:dyDescent="0.25">
      <c r="A7985">
        <v>101223950</v>
      </c>
      <c r="B7985" t="s">
        <v>18615</v>
      </c>
      <c r="C7985" t="s">
        <v>18616</v>
      </c>
      <c r="G7985" t="s">
        <v>18617</v>
      </c>
      <c r="H7985" t="s">
        <v>5533</v>
      </c>
      <c r="I7985" t="s">
        <v>1387</v>
      </c>
      <c r="J7985">
        <v>35244</v>
      </c>
      <c r="K7985">
        <v>6741</v>
      </c>
      <c r="L7985" t="s">
        <v>23</v>
      </c>
      <c r="M7985" t="s">
        <v>18617</v>
      </c>
      <c r="N7985" t="s">
        <v>5533</v>
      </c>
      <c r="O7985" t="s">
        <v>1387</v>
      </c>
      <c r="P7985">
        <v>35244</v>
      </c>
      <c r="Q7985">
        <v>6741</v>
      </c>
      <c r="R7985" t="s">
        <v>23</v>
      </c>
      <c r="S7985" s="1" t="s">
        <v>34218</v>
      </c>
    </row>
    <row r="7986" spans="1:19" x14ac:dyDescent="0.25">
      <c r="A7986">
        <v>101217894</v>
      </c>
      <c r="B7986" t="s">
        <v>9679</v>
      </c>
      <c r="C7986" t="s">
        <v>5478</v>
      </c>
      <c r="G7986" t="s">
        <v>18618</v>
      </c>
      <c r="H7986" t="s">
        <v>152</v>
      </c>
      <c r="I7986" t="s">
        <v>153</v>
      </c>
      <c r="J7986">
        <v>70005</v>
      </c>
      <c r="K7986">
        <v>1617</v>
      </c>
      <c r="L7986" t="s">
        <v>23</v>
      </c>
      <c r="M7986" t="s">
        <v>18618</v>
      </c>
      <c r="N7986" t="s">
        <v>152</v>
      </c>
      <c r="O7986" t="s">
        <v>153</v>
      </c>
      <c r="P7986">
        <v>70005</v>
      </c>
      <c r="Q7986">
        <v>1617</v>
      </c>
      <c r="R7986" t="s">
        <v>23</v>
      </c>
      <c r="S7986" s="1" t="s">
        <v>34218</v>
      </c>
    </row>
    <row r="7987" spans="1:19" x14ac:dyDescent="0.25">
      <c r="A7987">
        <v>101218013</v>
      </c>
      <c r="B7987" t="s">
        <v>18619</v>
      </c>
      <c r="C7987" t="s">
        <v>1962</v>
      </c>
      <c r="F7987" t="str">
        <f>"5412929764"</f>
        <v>5412929764</v>
      </c>
      <c r="G7987" t="s">
        <v>18620</v>
      </c>
      <c r="H7987" t="s">
        <v>177</v>
      </c>
      <c r="I7987" t="s">
        <v>43</v>
      </c>
      <c r="J7987">
        <v>97520</v>
      </c>
      <c r="K7987">
        <v>1641</v>
      </c>
      <c r="L7987" t="s">
        <v>23</v>
      </c>
      <c r="M7987" t="s">
        <v>18620</v>
      </c>
      <c r="N7987" t="s">
        <v>177</v>
      </c>
      <c r="O7987" t="s">
        <v>43</v>
      </c>
      <c r="P7987">
        <v>97520</v>
      </c>
      <c r="Q7987">
        <v>1641</v>
      </c>
      <c r="R7987" t="s">
        <v>23</v>
      </c>
      <c r="S7987" s="1" t="s">
        <v>34218</v>
      </c>
    </row>
    <row r="7988" spans="1:19" x14ac:dyDescent="0.25">
      <c r="A7988">
        <v>101415422</v>
      </c>
      <c r="B7988" t="s">
        <v>1581</v>
      </c>
      <c r="C7988" t="s">
        <v>2857</v>
      </c>
      <c r="G7988" t="s">
        <v>18621</v>
      </c>
      <c r="H7988" t="s">
        <v>5795</v>
      </c>
      <c r="I7988" t="s">
        <v>255</v>
      </c>
      <c r="J7988">
        <v>20112</v>
      </c>
      <c r="K7988">
        <v>5565</v>
      </c>
      <c r="L7988" t="s">
        <v>23</v>
      </c>
      <c r="M7988" t="s">
        <v>18621</v>
      </c>
      <c r="N7988" t="s">
        <v>5795</v>
      </c>
      <c r="O7988" t="s">
        <v>255</v>
      </c>
      <c r="P7988">
        <v>20112</v>
      </c>
      <c r="Q7988">
        <v>5565</v>
      </c>
      <c r="R7988" t="s">
        <v>23</v>
      </c>
      <c r="S7988" s="1" t="s">
        <v>34218</v>
      </c>
    </row>
    <row r="7989" spans="1:19" x14ac:dyDescent="0.25">
      <c r="A7989">
        <v>101409590</v>
      </c>
      <c r="B7989" t="s">
        <v>18622</v>
      </c>
      <c r="C7989" t="s">
        <v>18623</v>
      </c>
      <c r="G7989" t="s">
        <v>18624</v>
      </c>
      <c r="H7989" t="s">
        <v>2319</v>
      </c>
      <c r="I7989" t="s">
        <v>117</v>
      </c>
      <c r="J7989">
        <v>10308</v>
      </c>
      <c r="K7989">
        <v>2706</v>
      </c>
      <c r="L7989" t="s">
        <v>23</v>
      </c>
      <c r="M7989" t="s">
        <v>18624</v>
      </c>
      <c r="N7989" t="s">
        <v>2319</v>
      </c>
      <c r="O7989" t="s">
        <v>117</v>
      </c>
      <c r="P7989">
        <v>10308</v>
      </c>
      <c r="Q7989">
        <v>2706</v>
      </c>
      <c r="R7989" t="s">
        <v>23</v>
      </c>
      <c r="S7989" s="1" t="s">
        <v>34218</v>
      </c>
    </row>
    <row r="7990" spans="1:19" x14ac:dyDescent="0.25">
      <c r="A7990">
        <v>101415958</v>
      </c>
      <c r="B7990" t="s">
        <v>18625</v>
      </c>
      <c r="C7990" t="s">
        <v>2343</v>
      </c>
      <c r="G7990" t="s">
        <v>18626</v>
      </c>
      <c r="H7990" t="s">
        <v>18627</v>
      </c>
      <c r="I7990" t="s">
        <v>126</v>
      </c>
      <c r="J7990">
        <v>65043</v>
      </c>
      <c r="K7990">
        <v>1483</v>
      </c>
      <c r="L7990" t="s">
        <v>23</v>
      </c>
      <c r="M7990" t="s">
        <v>18626</v>
      </c>
      <c r="N7990" t="s">
        <v>18627</v>
      </c>
      <c r="O7990" t="s">
        <v>126</v>
      </c>
      <c r="P7990">
        <v>65043</v>
      </c>
      <c r="Q7990">
        <v>1483</v>
      </c>
      <c r="R7990" t="s">
        <v>23</v>
      </c>
      <c r="S7990" s="1" t="s">
        <v>34218</v>
      </c>
    </row>
    <row r="7991" spans="1:19" x14ac:dyDescent="0.25">
      <c r="A7991">
        <v>100928212</v>
      </c>
      <c r="B7991" t="s">
        <v>18628</v>
      </c>
      <c r="C7991" t="s">
        <v>2127</v>
      </c>
      <c r="G7991" t="s">
        <v>18629</v>
      </c>
      <c r="H7991" t="s">
        <v>18630</v>
      </c>
      <c r="I7991" t="s">
        <v>22</v>
      </c>
      <c r="J7991">
        <v>90094</v>
      </c>
      <c r="K7991">
        <v>3039</v>
      </c>
      <c r="L7991" t="s">
        <v>23</v>
      </c>
      <c r="M7991" t="s">
        <v>18629</v>
      </c>
      <c r="N7991" t="s">
        <v>18630</v>
      </c>
      <c r="O7991" t="s">
        <v>22</v>
      </c>
      <c r="P7991">
        <v>90094</v>
      </c>
      <c r="Q7991">
        <v>3039</v>
      </c>
      <c r="R7991" t="s">
        <v>23</v>
      </c>
      <c r="S7991" s="1" t="s">
        <v>34218</v>
      </c>
    </row>
    <row r="7992" spans="1:19" x14ac:dyDescent="0.25">
      <c r="A7992">
        <v>101427903</v>
      </c>
      <c r="B7992" t="s">
        <v>654</v>
      </c>
      <c r="C7992" t="s">
        <v>3110</v>
      </c>
      <c r="G7992" t="s">
        <v>18631</v>
      </c>
      <c r="H7992" t="s">
        <v>4400</v>
      </c>
      <c r="I7992" t="s">
        <v>117</v>
      </c>
      <c r="J7992">
        <v>10705</v>
      </c>
      <c r="K7992">
        <v>1193</v>
      </c>
      <c r="L7992" t="s">
        <v>23</v>
      </c>
      <c r="M7992" t="s">
        <v>18631</v>
      </c>
      <c r="N7992" t="s">
        <v>4400</v>
      </c>
      <c r="O7992" t="s">
        <v>117</v>
      </c>
      <c r="P7992">
        <v>10705</v>
      </c>
      <c r="Q7992">
        <v>1193</v>
      </c>
      <c r="R7992" t="s">
        <v>23</v>
      </c>
      <c r="S7992" s="1" t="s">
        <v>34218</v>
      </c>
    </row>
    <row r="7993" spans="1:19" x14ac:dyDescent="0.25">
      <c r="A7993">
        <v>101288305</v>
      </c>
      <c r="B7993" t="s">
        <v>18632</v>
      </c>
      <c r="C7993" t="s">
        <v>6818</v>
      </c>
      <c r="G7993" t="s">
        <v>18633</v>
      </c>
      <c r="H7993" t="s">
        <v>869</v>
      </c>
      <c r="I7993" t="s">
        <v>52</v>
      </c>
      <c r="J7993">
        <v>33179</v>
      </c>
      <c r="K7993">
        <v>4705</v>
      </c>
      <c r="L7993" t="s">
        <v>23</v>
      </c>
      <c r="M7993" t="s">
        <v>18633</v>
      </c>
      <c r="N7993" t="s">
        <v>869</v>
      </c>
      <c r="O7993" t="s">
        <v>52</v>
      </c>
      <c r="P7993">
        <v>33179</v>
      </c>
      <c r="Q7993">
        <v>4705</v>
      </c>
      <c r="R7993" t="s">
        <v>23</v>
      </c>
      <c r="S7993" s="1" t="s">
        <v>34218</v>
      </c>
    </row>
    <row r="7994" spans="1:19" x14ac:dyDescent="0.25">
      <c r="A7994">
        <v>101060847</v>
      </c>
      <c r="B7994" t="s">
        <v>144</v>
      </c>
      <c r="C7994" t="s">
        <v>119</v>
      </c>
      <c r="G7994" t="s">
        <v>18634</v>
      </c>
      <c r="H7994" t="s">
        <v>10328</v>
      </c>
      <c r="I7994" t="s">
        <v>161</v>
      </c>
      <c r="J7994">
        <v>6010</v>
      </c>
      <c r="L7994" t="s">
        <v>23</v>
      </c>
      <c r="M7994" t="s">
        <v>18634</v>
      </c>
      <c r="N7994" t="s">
        <v>10328</v>
      </c>
      <c r="O7994" t="s">
        <v>161</v>
      </c>
      <c r="P7994">
        <v>6010</v>
      </c>
      <c r="R7994" t="s">
        <v>23</v>
      </c>
      <c r="S7994" s="1" t="s">
        <v>34218</v>
      </c>
    </row>
    <row r="7995" spans="1:19" x14ac:dyDescent="0.25">
      <c r="A7995">
        <v>101465934</v>
      </c>
      <c r="B7995" t="s">
        <v>18635</v>
      </c>
      <c r="C7995" t="s">
        <v>617</v>
      </c>
      <c r="G7995" t="s">
        <v>18636</v>
      </c>
      <c r="H7995" t="s">
        <v>47</v>
      </c>
      <c r="I7995" t="s">
        <v>117</v>
      </c>
      <c r="J7995">
        <v>11763</v>
      </c>
      <c r="K7995">
        <v>1233</v>
      </c>
      <c r="L7995" t="s">
        <v>23</v>
      </c>
      <c r="M7995" t="s">
        <v>18636</v>
      </c>
      <c r="N7995" t="s">
        <v>47</v>
      </c>
      <c r="O7995" t="s">
        <v>117</v>
      </c>
      <c r="P7995">
        <v>11763</v>
      </c>
      <c r="Q7995">
        <v>1233</v>
      </c>
      <c r="R7995" t="s">
        <v>23</v>
      </c>
      <c r="S7995" s="1" t="s">
        <v>34218</v>
      </c>
    </row>
    <row r="7996" spans="1:19" x14ac:dyDescent="0.25">
      <c r="A7996">
        <v>100746844</v>
      </c>
      <c r="B7996" t="s">
        <v>18637</v>
      </c>
      <c r="C7996" t="s">
        <v>4848</v>
      </c>
      <c r="G7996" t="s">
        <v>18638</v>
      </c>
      <c r="H7996" t="s">
        <v>14387</v>
      </c>
      <c r="I7996" t="s">
        <v>28</v>
      </c>
      <c r="J7996">
        <v>30165</v>
      </c>
      <c r="K7996">
        <v>4064</v>
      </c>
      <c r="L7996" t="s">
        <v>23</v>
      </c>
      <c r="M7996" t="s">
        <v>18638</v>
      </c>
      <c r="N7996" t="s">
        <v>14387</v>
      </c>
      <c r="O7996" t="s">
        <v>28</v>
      </c>
      <c r="P7996">
        <v>30165</v>
      </c>
      <c r="Q7996">
        <v>4064</v>
      </c>
      <c r="R7996" t="s">
        <v>23</v>
      </c>
      <c r="S7996" s="1" t="s">
        <v>34218</v>
      </c>
    </row>
    <row r="7997" spans="1:19" x14ac:dyDescent="0.25">
      <c r="A7997">
        <v>101465113</v>
      </c>
      <c r="B7997" t="s">
        <v>5872</v>
      </c>
      <c r="C7997" t="s">
        <v>18639</v>
      </c>
      <c r="G7997" t="s">
        <v>18640</v>
      </c>
      <c r="H7997" t="s">
        <v>66</v>
      </c>
      <c r="I7997" t="s">
        <v>22</v>
      </c>
      <c r="J7997">
        <v>94709</v>
      </c>
      <c r="K7997">
        <v>2131</v>
      </c>
      <c r="L7997" t="s">
        <v>23</v>
      </c>
      <c r="M7997" t="s">
        <v>18640</v>
      </c>
      <c r="N7997" t="s">
        <v>66</v>
      </c>
      <c r="O7997" t="s">
        <v>22</v>
      </c>
      <c r="P7997">
        <v>94709</v>
      </c>
      <c r="Q7997">
        <v>2131</v>
      </c>
      <c r="R7997" t="s">
        <v>23</v>
      </c>
      <c r="S7997" s="1" t="s">
        <v>34218</v>
      </c>
    </row>
    <row r="7998" spans="1:19" x14ac:dyDescent="0.25">
      <c r="A7998">
        <v>101088211</v>
      </c>
      <c r="B7998" t="s">
        <v>12987</v>
      </c>
      <c r="C7998" t="s">
        <v>10135</v>
      </c>
      <c r="G7998" t="s">
        <v>18641</v>
      </c>
      <c r="H7998" t="s">
        <v>3183</v>
      </c>
      <c r="I7998" t="s">
        <v>178</v>
      </c>
      <c r="J7998">
        <v>45415</v>
      </c>
      <c r="K7998">
        <v>2406</v>
      </c>
      <c r="L7998" t="s">
        <v>23</v>
      </c>
      <c r="M7998" t="s">
        <v>18641</v>
      </c>
      <c r="N7998" t="s">
        <v>3183</v>
      </c>
      <c r="O7998" t="s">
        <v>178</v>
      </c>
      <c r="P7998">
        <v>45415</v>
      </c>
      <c r="Q7998">
        <v>2406</v>
      </c>
      <c r="R7998" t="s">
        <v>23</v>
      </c>
      <c r="S7998" s="1" t="s">
        <v>34218</v>
      </c>
    </row>
    <row r="7999" spans="1:19" x14ac:dyDescent="0.25">
      <c r="A7999">
        <v>101468889</v>
      </c>
      <c r="B7999" t="s">
        <v>18642</v>
      </c>
      <c r="C7999" t="s">
        <v>432</v>
      </c>
      <c r="G7999" t="s">
        <v>18643</v>
      </c>
      <c r="H7999" t="s">
        <v>6192</v>
      </c>
      <c r="I7999" t="s">
        <v>117</v>
      </c>
      <c r="J7999">
        <v>11358</v>
      </c>
      <c r="K7999">
        <v>1028</v>
      </c>
      <c r="L7999" t="s">
        <v>23</v>
      </c>
      <c r="M7999" t="s">
        <v>18643</v>
      </c>
      <c r="N7999" t="s">
        <v>6192</v>
      </c>
      <c r="O7999" t="s">
        <v>117</v>
      </c>
      <c r="P7999">
        <v>11358</v>
      </c>
      <c r="Q7999">
        <v>1028</v>
      </c>
      <c r="R7999" t="s">
        <v>23</v>
      </c>
      <c r="S7999" s="1" t="s">
        <v>34218</v>
      </c>
    </row>
    <row r="8000" spans="1:19" x14ac:dyDescent="0.25">
      <c r="A8000">
        <v>101468901</v>
      </c>
      <c r="B8000" t="s">
        <v>11995</v>
      </c>
      <c r="C8000" t="s">
        <v>8578</v>
      </c>
      <c r="G8000" t="s">
        <v>18644</v>
      </c>
      <c r="H8000" t="s">
        <v>1787</v>
      </c>
      <c r="I8000" t="s">
        <v>702</v>
      </c>
      <c r="J8000">
        <v>89145</v>
      </c>
      <c r="K8000">
        <v>6238</v>
      </c>
      <c r="L8000" t="s">
        <v>23</v>
      </c>
      <c r="M8000" t="s">
        <v>18644</v>
      </c>
      <c r="N8000" t="s">
        <v>1787</v>
      </c>
      <c r="O8000" t="s">
        <v>702</v>
      </c>
      <c r="P8000">
        <v>89145</v>
      </c>
      <c r="Q8000">
        <v>6238</v>
      </c>
      <c r="R8000" t="s">
        <v>23</v>
      </c>
      <c r="S8000" s="1" t="s">
        <v>34218</v>
      </c>
    </row>
    <row r="8001" spans="1:19" x14ac:dyDescent="0.25">
      <c r="A8001">
        <v>101418346</v>
      </c>
      <c r="B8001" t="s">
        <v>18645</v>
      </c>
      <c r="C8001" t="s">
        <v>3545</v>
      </c>
      <c r="G8001" t="s">
        <v>18646</v>
      </c>
      <c r="H8001" t="s">
        <v>3815</v>
      </c>
      <c r="I8001" t="s">
        <v>22</v>
      </c>
      <c r="J8001">
        <v>94960</v>
      </c>
      <c r="L8001" t="s">
        <v>23</v>
      </c>
      <c r="M8001" t="s">
        <v>18646</v>
      </c>
      <c r="N8001" t="s">
        <v>3815</v>
      </c>
      <c r="O8001" t="s">
        <v>22</v>
      </c>
      <c r="P8001">
        <v>94960</v>
      </c>
      <c r="R8001" t="s">
        <v>23</v>
      </c>
      <c r="S8001" s="1" t="s">
        <v>34218</v>
      </c>
    </row>
    <row r="8002" spans="1:19" x14ac:dyDescent="0.25">
      <c r="A8002">
        <v>101316537</v>
      </c>
      <c r="B8002" t="s">
        <v>18647</v>
      </c>
      <c r="C8002" t="s">
        <v>3361</v>
      </c>
      <c r="G8002" t="s">
        <v>18648</v>
      </c>
      <c r="H8002" t="s">
        <v>7857</v>
      </c>
      <c r="I8002" t="s">
        <v>148</v>
      </c>
      <c r="J8002">
        <v>21093</v>
      </c>
      <c r="K8002">
        <v>5806</v>
      </c>
      <c r="L8002" t="s">
        <v>23</v>
      </c>
      <c r="M8002" t="s">
        <v>18648</v>
      </c>
      <c r="N8002" t="s">
        <v>7857</v>
      </c>
      <c r="O8002" t="s">
        <v>148</v>
      </c>
      <c r="P8002">
        <v>21093</v>
      </c>
      <c r="Q8002">
        <v>5806</v>
      </c>
      <c r="R8002" t="s">
        <v>23</v>
      </c>
      <c r="S8002" s="1" t="s">
        <v>34218</v>
      </c>
    </row>
    <row r="8003" spans="1:19" x14ac:dyDescent="0.25">
      <c r="A8003">
        <v>101465749</v>
      </c>
      <c r="B8003" t="s">
        <v>18649</v>
      </c>
      <c r="C8003" t="s">
        <v>2786</v>
      </c>
      <c r="G8003" t="s">
        <v>18650</v>
      </c>
      <c r="H8003" t="s">
        <v>27</v>
      </c>
      <c r="I8003" t="s">
        <v>28</v>
      </c>
      <c r="J8003">
        <v>30306</v>
      </c>
      <c r="K8003">
        <v>3659</v>
      </c>
      <c r="L8003" t="s">
        <v>23</v>
      </c>
      <c r="M8003" t="s">
        <v>18650</v>
      </c>
      <c r="N8003" t="s">
        <v>27</v>
      </c>
      <c r="O8003" t="s">
        <v>28</v>
      </c>
      <c r="P8003">
        <v>30306</v>
      </c>
      <c r="Q8003">
        <v>3659</v>
      </c>
      <c r="R8003" t="s">
        <v>23</v>
      </c>
      <c r="S8003" s="1" t="s">
        <v>34218</v>
      </c>
    </row>
    <row r="8004" spans="1:19" x14ac:dyDescent="0.25">
      <c r="A8004">
        <v>101468945</v>
      </c>
      <c r="B8004" t="s">
        <v>3956</v>
      </c>
      <c r="C8004" t="s">
        <v>562</v>
      </c>
      <c r="G8004" t="s">
        <v>18651</v>
      </c>
      <c r="H8004" t="s">
        <v>1135</v>
      </c>
      <c r="I8004" t="s">
        <v>178</v>
      </c>
      <c r="J8004">
        <v>43003</v>
      </c>
      <c r="K8004">
        <v>9769</v>
      </c>
      <c r="L8004" t="s">
        <v>23</v>
      </c>
      <c r="M8004" t="s">
        <v>18651</v>
      </c>
      <c r="N8004" t="s">
        <v>1135</v>
      </c>
      <c r="O8004" t="s">
        <v>178</v>
      </c>
      <c r="P8004">
        <v>43003</v>
      </c>
      <c r="Q8004">
        <v>9769</v>
      </c>
      <c r="R8004" t="s">
        <v>23</v>
      </c>
      <c r="S8004" s="1" t="s">
        <v>34218</v>
      </c>
    </row>
    <row r="8005" spans="1:19" x14ac:dyDescent="0.25">
      <c r="A8005">
        <v>101465872</v>
      </c>
      <c r="B8005" t="s">
        <v>18652</v>
      </c>
      <c r="C8005" t="s">
        <v>18653</v>
      </c>
      <c r="G8005" t="s">
        <v>18654</v>
      </c>
      <c r="H8005" t="s">
        <v>688</v>
      </c>
      <c r="I8005" t="s">
        <v>117</v>
      </c>
      <c r="J8005">
        <v>14617</v>
      </c>
      <c r="K8005">
        <v>4313</v>
      </c>
      <c r="L8005" t="s">
        <v>23</v>
      </c>
      <c r="M8005" t="s">
        <v>18654</v>
      </c>
      <c r="N8005" t="s">
        <v>688</v>
      </c>
      <c r="O8005" t="s">
        <v>117</v>
      </c>
      <c r="P8005">
        <v>14617</v>
      </c>
      <c r="Q8005">
        <v>4313</v>
      </c>
      <c r="R8005" t="s">
        <v>23</v>
      </c>
      <c r="S8005" s="1" t="s">
        <v>34218</v>
      </c>
    </row>
    <row r="8006" spans="1:19" x14ac:dyDescent="0.25">
      <c r="A8006">
        <v>101445487</v>
      </c>
      <c r="B8006" t="s">
        <v>2287</v>
      </c>
      <c r="C8006" t="s">
        <v>167</v>
      </c>
      <c r="G8006" t="s">
        <v>18655</v>
      </c>
      <c r="H8006" t="s">
        <v>814</v>
      </c>
      <c r="I8006" t="s">
        <v>662</v>
      </c>
      <c r="J8006">
        <v>2842</v>
      </c>
      <c r="K8006">
        <v>4823</v>
      </c>
      <c r="L8006" t="s">
        <v>23</v>
      </c>
      <c r="M8006" t="s">
        <v>18655</v>
      </c>
      <c r="N8006" t="s">
        <v>814</v>
      </c>
      <c r="O8006" t="s">
        <v>662</v>
      </c>
      <c r="P8006">
        <v>2842</v>
      </c>
      <c r="Q8006">
        <v>4823</v>
      </c>
      <c r="R8006" t="s">
        <v>23</v>
      </c>
      <c r="S8006" s="1" t="s">
        <v>34218</v>
      </c>
    </row>
    <row r="8007" spans="1:19" x14ac:dyDescent="0.25">
      <c r="A8007">
        <v>101468980</v>
      </c>
      <c r="B8007" t="s">
        <v>13047</v>
      </c>
      <c r="C8007" t="s">
        <v>531</v>
      </c>
      <c r="G8007" t="s">
        <v>18656</v>
      </c>
      <c r="H8007" t="s">
        <v>3485</v>
      </c>
      <c r="I8007" t="s">
        <v>914</v>
      </c>
      <c r="J8007">
        <v>37601</v>
      </c>
      <c r="K8007">
        <v>9023</v>
      </c>
      <c r="L8007" t="s">
        <v>23</v>
      </c>
      <c r="M8007" t="s">
        <v>18656</v>
      </c>
      <c r="N8007" t="s">
        <v>3485</v>
      </c>
      <c r="O8007" t="s">
        <v>914</v>
      </c>
      <c r="P8007">
        <v>37601</v>
      </c>
      <c r="Q8007">
        <v>9023</v>
      </c>
      <c r="R8007" t="s">
        <v>23</v>
      </c>
      <c r="S8007" s="1" t="s">
        <v>34218</v>
      </c>
    </row>
    <row r="8008" spans="1:19" x14ac:dyDescent="0.25">
      <c r="A8008">
        <v>100801506</v>
      </c>
      <c r="B8008" t="s">
        <v>18657</v>
      </c>
      <c r="C8008" t="s">
        <v>664</v>
      </c>
      <c r="G8008" t="s">
        <v>18658</v>
      </c>
      <c r="H8008" t="s">
        <v>625</v>
      </c>
      <c r="I8008" t="s">
        <v>365</v>
      </c>
      <c r="J8008">
        <v>85204</v>
      </c>
      <c r="K8008">
        <v>6181</v>
      </c>
      <c r="L8008" t="s">
        <v>23</v>
      </c>
      <c r="M8008" t="s">
        <v>18658</v>
      </c>
      <c r="N8008" t="s">
        <v>625</v>
      </c>
      <c r="O8008" t="s">
        <v>365</v>
      </c>
      <c r="P8008">
        <v>85204</v>
      </c>
      <c r="Q8008">
        <v>6181</v>
      </c>
      <c r="R8008" t="s">
        <v>23</v>
      </c>
      <c r="S8008" s="1" t="s">
        <v>34218</v>
      </c>
    </row>
    <row r="8009" spans="1:19" x14ac:dyDescent="0.25">
      <c r="A8009">
        <v>101331949</v>
      </c>
      <c r="B8009" t="s">
        <v>18659</v>
      </c>
      <c r="C8009" t="s">
        <v>18660</v>
      </c>
      <c r="G8009" t="s">
        <v>18661</v>
      </c>
      <c r="H8009" t="s">
        <v>5290</v>
      </c>
      <c r="I8009" t="s">
        <v>22</v>
      </c>
      <c r="J8009">
        <v>91356</v>
      </c>
      <c r="K8009">
        <v>2722</v>
      </c>
      <c r="L8009" t="s">
        <v>23</v>
      </c>
      <c r="M8009" t="s">
        <v>18661</v>
      </c>
      <c r="N8009" t="s">
        <v>5290</v>
      </c>
      <c r="O8009" t="s">
        <v>22</v>
      </c>
      <c r="P8009">
        <v>91356</v>
      </c>
      <c r="Q8009">
        <v>2722</v>
      </c>
      <c r="R8009" t="s">
        <v>23</v>
      </c>
      <c r="S8009" s="1" t="s">
        <v>34218</v>
      </c>
    </row>
    <row r="8010" spans="1:19" x14ac:dyDescent="0.25">
      <c r="A8010">
        <v>101011052</v>
      </c>
      <c r="B8010" t="s">
        <v>1776</v>
      </c>
      <c r="C8010" t="s">
        <v>3622</v>
      </c>
      <c r="G8010" t="s">
        <v>18662</v>
      </c>
      <c r="H8010" t="s">
        <v>18663</v>
      </c>
      <c r="I8010" t="s">
        <v>1000</v>
      </c>
      <c r="J8010">
        <v>59844</v>
      </c>
      <c r="K8010">
        <v>91</v>
      </c>
      <c r="L8010" t="s">
        <v>23</v>
      </c>
      <c r="M8010" t="s">
        <v>18662</v>
      </c>
      <c r="N8010" t="s">
        <v>18663</v>
      </c>
      <c r="O8010" t="s">
        <v>1000</v>
      </c>
      <c r="P8010">
        <v>59844</v>
      </c>
      <c r="Q8010">
        <v>91</v>
      </c>
      <c r="R8010" t="s">
        <v>23</v>
      </c>
      <c r="S8010" s="1" t="s">
        <v>34218</v>
      </c>
    </row>
    <row r="8011" spans="1:19" x14ac:dyDescent="0.25">
      <c r="A8011">
        <v>101355858</v>
      </c>
      <c r="B8011" t="s">
        <v>18664</v>
      </c>
      <c r="C8011" t="s">
        <v>18048</v>
      </c>
      <c r="G8011" t="s">
        <v>18665</v>
      </c>
      <c r="H8011" t="s">
        <v>3243</v>
      </c>
      <c r="I8011" t="s">
        <v>22</v>
      </c>
      <c r="J8011">
        <v>92346</v>
      </c>
      <c r="K8011">
        <v>5412</v>
      </c>
      <c r="L8011" t="s">
        <v>23</v>
      </c>
      <c r="M8011" t="s">
        <v>18665</v>
      </c>
      <c r="N8011" t="s">
        <v>3243</v>
      </c>
      <c r="O8011" t="s">
        <v>22</v>
      </c>
      <c r="P8011">
        <v>92346</v>
      </c>
      <c r="Q8011">
        <v>5412</v>
      </c>
      <c r="R8011" t="s">
        <v>23</v>
      </c>
      <c r="S8011" s="1" t="s">
        <v>34218</v>
      </c>
    </row>
    <row r="8012" spans="1:19" x14ac:dyDescent="0.25">
      <c r="A8012">
        <v>100779125</v>
      </c>
      <c r="B8012" t="s">
        <v>18666</v>
      </c>
      <c r="C8012" t="s">
        <v>286</v>
      </c>
      <c r="G8012" t="s">
        <v>18667</v>
      </c>
      <c r="H8012" t="s">
        <v>458</v>
      </c>
      <c r="I8012" t="s">
        <v>43</v>
      </c>
      <c r="J8012">
        <v>97526</v>
      </c>
      <c r="K8012">
        <v>4013</v>
      </c>
      <c r="L8012" t="s">
        <v>23</v>
      </c>
      <c r="M8012" t="s">
        <v>18667</v>
      </c>
      <c r="N8012" t="s">
        <v>458</v>
      </c>
      <c r="O8012" t="s">
        <v>43</v>
      </c>
      <c r="P8012">
        <v>97526</v>
      </c>
      <c r="Q8012">
        <v>4013</v>
      </c>
      <c r="R8012" t="s">
        <v>23</v>
      </c>
      <c r="S8012" s="1" t="s">
        <v>34218</v>
      </c>
    </row>
    <row r="8013" spans="1:19" x14ac:dyDescent="0.25">
      <c r="A8013">
        <v>101341647</v>
      </c>
      <c r="B8013" t="s">
        <v>800</v>
      </c>
      <c r="C8013" t="s">
        <v>1208</v>
      </c>
      <c r="G8013" t="s">
        <v>18668</v>
      </c>
      <c r="H8013" t="s">
        <v>2407</v>
      </c>
      <c r="I8013" t="s">
        <v>52</v>
      </c>
      <c r="J8013">
        <v>33767</v>
      </c>
      <c r="K8013">
        <v>2956</v>
      </c>
      <c r="L8013" t="s">
        <v>23</v>
      </c>
      <c r="M8013" t="s">
        <v>18668</v>
      </c>
      <c r="N8013" t="s">
        <v>2407</v>
      </c>
      <c r="O8013" t="s">
        <v>52</v>
      </c>
      <c r="P8013">
        <v>33767</v>
      </c>
      <c r="Q8013">
        <v>2956</v>
      </c>
      <c r="R8013" t="s">
        <v>23</v>
      </c>
      <c r="S8013" s="1" t="s">
        <v>34218</v>
      </c>
    </row>
    <row r="8014" spans="1:19" x14ac:dyDescent="0.25">
      <c r="A8014">
        <v>100585736</v>
      </c>
      <c r="B8014" t="s">
        <v>18669</v>
      </c>
      <c r="C8014" t="s">
        <v>1555</v>
      </c>
      <c r="G8014" t="s">
        <v>18670</v>
      </c>
      <c r="H8014" t="s">
        <v>4098</v>
      </c>
      <c r="I8014" t="s">
        <v>1000</v>
      </c>
      <c r="J8014">
        <v>59725</v>
      </c>
      <c r="K8014">
        <v>3613</v>
      </c>
      <c r="L8014" t="s">
        <v>23</v>
      </c>
      <c r="M8014" t="s">
        <v>18670</v>
      </c>
      <c r="N8014" t="s">
        <v>4098</v>
      </c>
      <c r="O8014" t="s">
        <v>1000</v>
      </c>
      <c r="P8014">
        <v>59725</v>
      </c>
      <c r="Q8014">
        <v>3613</v>
      </c>
      <c r="R8014" t="s">
        <v>23</v>
      </c>
      <c r="S8014" s="1" t="s">
        <v>34218</v>
      </c>
    </row>
    <row r="8015" spans="1:19" x14ac:dyDescent="0.25">
      <c r="A8015">
        <v>101163454</v>
      </c>
      <c r="B8015" t="s">
        <v>18671</v>
      </c>
      <c r="C8015" t="s">
        <v>167</v>
      </c>
      <c r="F8015" t="str">
        <f>"2065552192"</f>
        <v>2065552192</v>
      </c>
      <c r="G8015" t="s">
        <v>18672</v>
      </c>
      <c r="H8015" t="s">
        <v>1531</v>
      </c>
      <c r="I8015" t="s">
        <v>84</v>
      </c>
      <c r="J8015">
        <v>98116</v>
      </c>
      <c r="K8015">
        <v>1910</v>
      </c>
      <c r="L8015" t="s">
        <v>23</v>
      </c>
      <c r="M8015" t="s">
        <v>18672</v>
      </c>
      <c r="N8015" t="s">
        <v>1531</v>
      </c>
      <c r="O8015" t="s">
        <v>84</v>
      </c>
      <c r="P8015">
        <v>98116</v>
      </c>
      <c r="Q8015">
        <v>1910</v>
      </c>
      <c r="R8015" t="s">
        <v>23</v>
      </c>
      <c r="S8015" s="1" t="s">
        <v>34218</v>
      </c>
    </row>
    <row r="8016" spans="1:19" x14ac:dyDescent="0.25">
      <c r="A8016">
        <v>101266257</v>
      </c>
      <c r="B8016" t="s">
        <v>18673</v>
      </c>
      <c r="C8016" t="s">
        <v>18674</v>
      </c>
      <c r="G8016" t="s">
        <v>18675</v>
      </c>
      <c r="H8016" t="s">
        <v>1560</v>
      </c>
      <c r="I8016" t="s">
        <v>191</v>
      </c>
      <c r="J8016">
        <v>4106</v>
      </c>
      <c r="K8016">
        <v>4604</v>
      </c>
      <c r="L8016" t="s">
        <v>23</v>
      </c>
      <c r="M8016" t="s">
        <v>18675</v>
      </c>
      <c r="N8016" t="s">
        <v>1560</v>
      </c>
      <c r="O8016" t="s">
        <v>191</v>
      </c>
      <c r="P8016">
        <v>4106</v>
      </c>
      <c r="Q8016">
        <v>4604</v>
      </c>
      <c r="R8016" t="s">
        <v>23</v>
      </c>
      <c r="S8016" s="1" t="s">
        <v>34218</v>
      </c>
    </row>
    <row r="8017" spans="1:19" x14ac:dyDescent="0.25">
      <c r="A8017">
        <v>100941165</v>
      </c>
      <c r="B8017" t="s">
        <v>18676</v>
      </c>
      <c r="C8017" t="s">
        <v>3545</v>
      </c>
      <c r="G8017" t="s">
        <v>18677</v>
      </c>
      <c r="H8017" t="s">
        <v>2859</v>
      </c>
      <c r="I8017" t="s">
        <v>33</v>
      </c>
      <c r="J8017">
        <v>19607</v>
      </c>
      <c r="K8017">
        <v>2825</v>
      </c>
      <c r="L8017" t="s">
        <v>23</v>
      </c>
      <c r="M8017" t="s">
        <v>18677</v>
      </c>
      <c r="N8017" t="s">
        <v>2859</v>
      </c>
      <c r="O8017" t="s">
        <v>33</v>
      </c>
      <c r="P8017">
        <v>19607</v>
      </c>
      <c r="Q8017">
        <v>2825</v>
      </c>
      <c r="R8017" t="s">
        <v>23</v>
      </c>
      <c r="S8017" s="1" t="s">
        <v>34218</v>
      </c>
    </row>
    <row r="8018" spans="1:19" x14ac:dyDescent="0.25">
      <c r="A8018">
        <v>101430294</v>
      </c>
      <c r="B8018" t="s">
        <v>18678</v>
      </c>
      <c r="C8018" t="s">
        <v>1043</v>
      </c>
      <c r="G8018" t="s">
        <v>18679</v>
      </c>
      <c r="H8018" t="s">
        <v>12726</v>
      </c>
      <c r="I8018" t="s">
        <v>100</v>
      </c>
      <c r="J8018">
        <v>53140</v>
      </c>
      <c r="K8018">
        <v>4692</v>
      </c>
      <c r="L8018" t="s">
        <v>23</v>
      </c>
      <c r="M8018" t="s">
        <v>18679</v>
      </c>
      <c r="N8018" t="s">
        <v>12726</v>
      </c>
      <c r="O8018" t="s">
        <v>100</v>
      </c>
      <c r="P8018">
        <v>53140</v>
      </c>
      <c r="Q8018">
        <v>4692</v>
      </c>
      <c r="R8018" t="s">
        <v>23</v>
      </c>
      <c r="S8018" s="1" t="s">
        <v>34218</v>
      </c>
    </row>
    <row r="8019" spans="1:19" x14ac:dyDescent="0.25">
      <c r="A8019">
        <v>101422885</v>
      </c>
      <c r="B8019" t="s">
        <v>1335</v>
      </c>
      <c r="C8019" t="s">
        <v>137</v>
      </c>
      <c r="G8019" t="s">
        <v>18680</v>
      </c>
      <c r="H8019" t="s">
        <v>240</v>
      </c>
      <c r="I8019" t="s">
        <v>241</v>
      </c>
      <c r="J8019">
        <v>66214</v>
      </c>
      <c r="K8019">
        <v>2208</v>
      </c>
      <c r="L8019" t="s">
        <v>23</v>
      </c>
      <c r="M8019" t="s">
        <v>18680</v>
      </c>
      <c r="N8019" t="s">
        <v>240</v>
      </c>
      <c r="O8019" t="s">
        <v>241</v>
      </c>
      <c r="P8019">
        <v>66214</v>
      </c>
      <c r="Q8019">
        <v>2208</v>
      </c>
      <c r="R8019" t="s">
        <v>23</v>
      </c>
      <c r="S8019" s="1" t="s">
        <v>34218</v>
      </c>
    </row>
    <row r="8020" spans="1:19" x14ac:dyDescent="0.25">
      <c r="A8020">
        <v>101465975</v>
      </c>
      <c r="B8020" t="s">
        <v>18681</v>
      </c>
      <c r="C8020" t="s">
        <v>641</v>
      </c>
      <c r="G8020" t="s">
        <v>18682</v>
      </c>
      <c r="H8020" t="s">
        <v>2461</v>
      </c>
      <c r="I8020" t="s">
        <v>250</v>
      </c>
      <c r="J8020">
        <v>7921</v>
      </c>
      <c r="K8020">
        <v>2037</v>
      </c>
      <c r="L8020" t="s">
        <v>23</v>
      </c>
      <c r="M8020" t="s">
        <v>18682</v>
      </c>
      <c r="N8020" t="s">
        <v>2461</v>
      </c>
      <c r="O8020" t="s">
        <v>250</v>
      </c>
      <c r="P8020">
        <v>7921</v>
      </c>
      <c r="Q8020">
        <v>2037</v>
      </c>
      <c r="R8020" t="s">
        <v>23</v>
      </c>
      <c r="S8020" s="1" t="s">
        <v>34218</v>
      </c>
    </row>
    <row r="8021" spans="1:19" x14ac:dyDescent="0.25">
      <c r="A8021">
        <v>101331359</v>
      </c>
      <c r="B8021" t="s">
        <v>654</v>
      </c>
      <c r="C8021" t="s">
        <v>9660</v>
      </c>
      <c r="G8021" t="s">
        <v>18683</v>
      </c>
      <c r="H8021" t="s">
        <v>5446</v>
      </c>
      <c r="I8021" t="s">
        <v>255</v>
      </c>
      <c r="J8021">
        <v>22191</v>
      </c>
      <c r="K8021">
        <v>1642</v>
      </c>
      <c r="L8021" t="s">
        <v>23</v>
      </c>
      <c r="M8021" t="s">
        <v>18683</v>
      </c>
      <c r="N8021" t="s">
        <v>5446</v>
      </c>
      <c r="O8021" t="s">
        <v>255</v>
      </c>
      <c r="P8021">
        <v>22191</v>
      </c>
      <c r="Q8021">
        <v>1642</v>
      </c>
      <c r="R8021" t="s">
        <v>23</v>
      </c>
      <c r="S8021" s="1" t="s">
        <v>34218</v>
      </c>
    </row>
    <row r="8022" spans="1:19" x14ac:dyDescent="0.25">
      <c r="A8022">
        <v>101338802</v>
      </c>
      <c r="B8022" t="s">
        <v>18684</v>
      </c>
      <c r="C8022" t="s">
        <v>3110</v>
      </c>
      <c r="G8022" t="s">
        <v>18685</v>
      </c>
      <c r="H8022" t="s">
        <v>219</v>
      </c>
      <c r="I8022" t="s">
        <v>117</v>
      </c>
      <c r="J8022">
        <v>12590</v>
      </c>
      <c r="K8022">
        <v>2317</v>
      </c>
      <c r="L8022" t="s">
        <v>23</v>
      </c>
      <c r="M8022" t="s">
        <v>18685</v>
      </c>
      <c r="N8022" t="s">
        <v>219</v>
      </c>
      <c r="O8022" t="s">
        <v>117</v>
      </c>
      <c r="P8022">
        <v>12590</v>
      </c>
      <c r="Q8022">
        <v>2317</v>
      </c>
      <c r="R8022" t="s">
        <v>23</v>
      </c>
      <c r="S8022" s="1" t="s">
        <v>34218</v>
      </c>
    </row>
    <row r="8023" spans="1:19" x14ac:dyDescent="0.25">
      <c r="A8023">
        <v>101326886</v>
      </c>
      <c r="B8023" t="s">
        <v>8686</v>
      </c>
      <c r="C8023" t="s">
        <v>4299</v>
      </c>
      <c r="G8023" t="s">
        <v>18686</v>
      </c>
      <c r="H8023" t="s">
        <v>198</v>
      </c>
      <c r="I8023" t="s">
        <v>22</v>
      </c>
      <c r="J8023">
        <v>92130</v>
      </c>
      <c r="K8023">
        <v>6868</v>
      </c>
      <c r="L8023" t="s">
        <v>23</v>
      </c>
      <c r="M8023" t="s">
        <v>18686</v>
      </c>
      <c r="N8023" t="s">
        <v>198</v>
      </c>
      <c r="O8023" t="s">
        <v>22</v>
      </c>
      <c r="P8023">
        <v>92130</v>
      </c>
      <c r="Q8023">
        <v>6868</v>
      </c>
      <c r="R8023" t="s">
        <v>23</v>
      </c>
      <c r="S8023" s="1" t="s">
        <v>34218</v>
      </c>
    </row>
    <row r="8024" spans="1:19" x14ac:dyDescent="0.25">
      <c r="A8024">
        <v>101336212</v>
      </c>
      <c r="B8024" t="s">
        <v>18687</v>
      </c>
      <c r="C8024" t="s">
        <v>1153</v>
      </c>
      <c r="G8024" t="s">
        <v>18688</v>
      </c>
      <c r="H8024" t="s">
        <v>1019</v>
      </c>
      <c r="I8024" t="s">
        <v>84</v>
      </c>
      <c r="J8024">
        <v>98034</v>
      </c>
      <c r="K8024">
        <v>5324</v>
      </c>
      <c r="L8024" t="s">
        <v>23</v>
      </c>
      <c r="M8024" t="s">
        <v>18688</v>
      </c>
      <c r="N8024" t="s">
        <v>1019</v>
      </c>
      <c r="O8024" t="s">
        <v>84</v>
      </c>
      <c r="P8024">
        <v>98034</v>
      </c>
      <c r="Q8024">
        <v>5324</v>
      </c>
      <c r="R8024" t="s">
        <v>23</v>
      </c>
      <c r="S8024" s="1" t="s">
        <v>34218</v>
      </c>
    </row>
    <row r="8025" spans="1:19" x14ac:dyDescent="0.25">
      <c r="A8025">
        <v>101336639</v>
      </c>
      <c r="B8025" t="s">
        <v>17463</v>
      </c>
      <c r="C8025" t="s">
        <v>2892</v>
      </c>
      <c r="G8025" t="s">
        <v>18689</v>
      </c>
      <c r="H8025" t="s">
        <v>14725</v>
      </c>
      <c r="I8025" t="s">
        <v>191</v>
      </c>
      <c r="J8025">
        <v>4843</v>
      </c>
      <c r="K8025">
        <v>1760</v>
      </c>
      <c r="L8025" t="s">
        <v>23</v>
      </c>
      <c r="M8025" t="s">
        <v>18689</v>
      </c>
      <c r="N8025" t="s">
        <v>14725</v>
      </c>
      <c r="O8025" t="s">
        <v>191</v>
      </c>
      <c r="P8025">
        <v>4843</v>
      </c>
      <c r="Q8025">
        <v>1760</v>
      </c>
      <c r="R8025" t="s">
        <v>23</v>
      </c>
      <c r="S8025" s="1" t="s">
        <v>34218</v>
      </c>
    </row>
    <row r="8026" spans="1:19" x14ac:dyDescent="0.25">
      <c r="A8026">
        <v>100982914</v>
      </c>
      <c r="B8026" t="s">
        <v>18690</v>
      </c>
      <c r="C8026" t="s">
        <v>1506</v>
      </c>
      <c r="G8026" t="s">
        <v>18691</v>
      </c>
      <c r="H8026" t="s">
        <v>688</v>
      </c>
      <c r="I8026" t="s">
        <v>117</v>
      </c>
      <c r="J8026" t="s">
        <v>18692</v>
      </c>
      <c r="K8026">
        <v>2354</v>
      </c>
      <c r="L8026" t="s">
        <v>23</v>
      </c>
      <c r="M8026" t="s">
        <v>18691</v>
      </c>
      <c r="N8026" t="s">
        <v>688</v>
      </c>
      <c r="O8026" t="s">
        <v>117</v>
      </c>
      <c r="P8026" t="s">
        <v>18692</v>
      </c>
      <c r="Q8026">
        <v>2354</v>
      </c>
      <c r="R8026" t="s">
        <v>23</v>
      </c>
      <c r="S8026" s="1" t="s">
        <v>34218</v>
      </c>
    </row>
    <row r="8027" spans="1:19" x14ac:dyDescent="0.25">
      <c r="A8027">
        <v>100791585</v>
      </c>
      <c r="B8027" t="s">
        <v>18693</v>
      </c>
      <c r="C8027" t="s">
        <v>7281</v>
      </c>
      <c r="G8027" t="s">
        <v>18694</v>
      </c>
      <c r="H8027" t="s">
        <v>198</v>
      </c>
      <c r="I8027" t="s">
        <v>22</v>
      </c>
      <c r="J8027" t="s">
        <v>18695</v>
      </c>
      <c r="K8027">
        <v>3356</v>
      </c>
      <c r="L8027" t="s">
        <v>23</v>
      </c>
      <c r="M8027" t="s">
        <v>18694</v>
      </c>
      <c r="N8027" t="s">
        <v>198</v>
      </c>
      <c r="O8027" t="s">
        <v>22</v>
      </c>
      <c r="P8027" t="s">
        <v>18695</v>
      </c>
      <c r="Q8027">
        <v>3356</v>
      </c>
      <c r="R8027" t="s">
        <v>23</v>
      </c>
      <c r="S8027" s="1" t="s">
        <v>34218</v>
      </c>
    </row>
    <row r="8028" spans="1:19" x14ac:dyDescent="0.25">
      <c r="A8028">
        <v>101480453</v>
      </c>
      <c r="B8028" t="s">
        <v>18696</v>
      </c>
      <c r="C8028" t="s">
        <v>2790</v>
      </c>
      <c r="G8028" t="s">
        <v>18697</v>
      </c>
      <c r="H8028" t="s">
        <v>18698</v>
      </c>
      <c r="I8028" t="s">
        <v>43</v>
      </c>
      <c r="J8028">
        <v>97367</v>
      </c>
      <c r="K8028">
        <v>2866</v>
      </c>
      <c r="L8028" t="s">
        <v>23</v>
      </c>
      <c r="M8028" t="s">
        <v>18697</v>
      </c>
      <c r="N8028" t="s">
        <v>18698</v>
      </c>
      <c r="O8028" t="s">
        <v>43</v>
      </c>
      <c r="P8028">
        <v>97367</v>
      </c>
      <c r="Q8028">
        <v>2866</v>
      </c>
      <c r="R8028" t="s">
        <v>23</v>
      </c>
      <c r="S8028" s="1" t="s">
        <v>34218</v>
      </c>
    </row>
    <row r="8029" spans="1:19" x14ac:dyDescent="0.25">
      <c r="A8029">
        <v>101480462</v>
      </c>
      <c r="B8029" t="s">
        <v>7547</v>
      </c>
      <c r="C8029" t="s">
        <v>7548</v>
      </c>
      <c r="G8029" t="s">
        <v>7549</v>
      </c>
      <c r="H8029" t="s">
        <v>177</v>
      </c>
      <c r="I8029" t="s">
        <v>43</v>
      </c>
      <c r="J8029">
        <v>97520</v>
      </c>
      <c r="K8029">
        <v>9468</v>
      </c>
      <c r="L8029" t="s">
        <v>23</v>
      </c>
      <c r="M8029" t="s">
        <v>7549</v>
      </c>
      <c r="N8029" t="s">
        <v>177</v>
      </c>
      <c r="O8029" t="s">
        <v>43</v>
      </c>
      <c r="P8029">
        <v>97520</v>
      </c>
      <c r="Q8029">
        <v>9468</v>
      </c>
      <c r="R8029" t="s">
        <v>23</v>
      </c>
      <c r="S8029" s="1" t="s">
        <v>34218</v>
      </c>
    </row>
    <row r="8030" spans="1:19" x14ac:dyDescent="0.25">
      <c r="A8030">
        <v>101443299</v>
      </c>
      <c r="B8030" t="s">
        <v>15992</v>
      </c>
      <c r="C8030" t="s">
        <v>2010</v>
      </c>
      <c r="G8030" t="s">
        <v>18699</v>
      </c>
      <c r="H8030" t="s">
        <v>2393</v>
      </c>
      <c r="I8030" t="s">
        <v>22</v>
      </c>
      <c r="J8030">
        <v>95993</v>
      </c>
      <c r="K8030">
        <v>7616</v>
      </c>
      <c r="L8030" t="s">
        <v>23</v>
      </c>
      <c r="M8030" t="s">
        <v>18699</v>
      </c>
      <c r="N8030" t="s">
        <v>2393</v>
      </c>
      <c r="O8030" t="s">
        <v>22</v>
      </c>
      <c r="P8030">
        <v>95993</v>
      </c>
      <c r="Q8030">
        <v>7616</v>
      </c>
      <c r="R8030" t="s">
        <v>23</v>
      </c>
      <c r="S8030" s="1" t="s">
        <v>34218</v>
      </c>
    </row>
    <row r="8031" spans="1:19" x14ac:dyDescent="0.25">
      <c r="A8031">
        <v>101419208</v>
      </c>
      <c r="B8031" t="s">
        <v>1807</v>
      </c>
      <c r="C8031" t="s">
        <v>2357</v>
      </c>
      <c r="G8031" t="s">
        <v>18700</v>
      </c>
      <c r="H8031" t="s">
        <v>18701</v>
      </c>
      <c r="I8031" t="s">
        <v>28</v>
      </c>
      <c r="J8031">
        <v>30126</v>
      </c>
      <c r="K8031">
        <v>2218</v>
      </c>
      <c r="L8031" t="s">
        <v>23</v>
      </c>
      <c r="M8031" t="s">
        <v>18700</v>
      </c>
      <c r="N8031" t="s">
        <v>18701</v>
      </c>
      <c r="O8031" t="s">
        <v>28</v>
      </c>
      <c r="P8031">
        <v>30126</v>
      </c>
      <c r="Q8031">
        <v>2218</v>
      </c>
      <c r="R8031" t="s">
        <v>23</v>
      </c>
      <c r="S8031" s="1" t="s">
        <v>34218</v>
      </c>
    </row>
    <row r="8032" spans="1:19" x14ac:dyDescent="0.25">
      <c r="A8032">
        <v>101421891</v>
      </c>
      <c r="B8032" t="s">
        <v>2721</v>
      </c>
      <c r="C8032" t="s">
        <v>2722</v>
      </c>
      <c r="G8032" t="s">
        <v>2723</v>
      </c>
      <c r="H8032" t="s">
        <v>2724</v>
      </c>
      <c r="I8032" t="s">
        <v>140</v>
      </c>
      <c r="J8032">
        <v>48066</v>
      </c>
      <c r="K8032">
        <v>3439</v>
      </c>
      <c r="L8032" t="s">
        <v>23</v>
      </c>
      <c r="M8032" t="s">
        <v>2723</v>
      </c>
      <c r="N8032" t="s">
        <v>2724</v>
      </c>
      <c r="O8032" t="s">
        <v>140</v>
      </c>
      <c r="P8032">
        <v>48066</v>
      </c>
      <c r="Q8032">
        <v>3439</v>
      </c>
      <c r="R8032" t="s">
        <v>23</v>
      </c>
      <c r="S8032" s="1" t="s">
        <v>34218</v>
      </c>
    </row>
    <row r="8033" spans="1:19" x14ac:dyDescent="0.25">
      <c r="A8033">
        <v>101135283</v>
      </c>
      <c r="B8033" t="s">
        <v>18702</v>
      </c>
      <c r="C8033" t="s">
        <v>102</v>
      </c>
      <c r="G8033" t="s">
        <v>18703</v>
      </c>
      <c r="H8033" t="s">
        <v>2020</v>
      </c>
      <c r="I8033" t="s">
        <v>100</v>
      </c>
      <c r="J8033">
        <v>54915</v>
      </c>
      <c r="K8033">
        <v>2051</v>
      </c>
      <c r="L8033" t="s">
        <v>23</v>
      </c>
      <c r="M8033" t="s">
        <v>18703</v>
      </c>
      <c r="N8033" t="s">
        <v>2020</v>
      </c>
      <c r="O8033" t="s">
        <v>100</v>
      </c>
      <c r="P8033">
        <v>54915</v>
      </c>
      <c r="Q8033">
        <v>2051</v>
      </c>
      <c r="R8033" t="s">
        <v>23</v>
      </c>
      <c r="S8033" s="1" t="s">
        <v>34218</v>
      </c>
    </row>
    <row r="8034" spans="1:19" x14ac:dyDescent="0.25">
      <c r="A8034">
        <v>101480475</v>
      </c>
      <c r="B8034" t="s">
        <v>4098</v>
      </c>
      <c r="C8034" t="s">
        <v>1147</v>
      </c>
      <c r="G8034" t="s">
        <v>18704</v>
      </c>
      <c r="H8034" t="s">
        <v>66</v>
      </c>
      <c r="I8034" t="s">
        <v>22</v>
      </c>
      <c r="J8034">
        <v>94707</v>
      </c>
      <c r="K8034">
        <v>1840</v>
      </c>
      <c r="L8034" t="s">
        <v>23</v>
      </c>
      <c r="M8034" t="s">
        <v>18704</v>
      </c>
      <c r="N8034" t="s">
        <v>66</v>
      </c>
      <c r="O8034" t="s">
        <v>22</v>
      </c>
      <c r="P8034">
        <v>94707</v>
      </c>
      <c r="Q8034">
        <v>1840</v>
      </c>
      <c r="R8034" t="s">
        <v>23</v>
      </c>
      <c r="S8034" s="1" t="s">
        <v>34218</v>
      </c>
    </row>
    <row r="8035" spans="1:19" x14ac:dyDescent="0.25">
      <c r="A8035">
        <v>101480477</v>
      </c>
      <c r="B8035" t="s">
        <v>12758</v>
      </c>
      <c r="C8035" t="s">
        <v>1906</v>
      </c>
      <c r="G8035" t="s">
        <v>18705</v>
      </c>
      <c r="H8035" t="s">
        <v>653</v>
      </c>
      <c r="I8035" t="s">
        <v>117</v>
      </c>
      <c r="J8035">
        <v>10024</v>
      </c>
      <c r="K8035">
        <v>3842</v>
      </c>
      <c r="L8035" t="s">
        <v>23</v>
      </c>
      <c r="M8035" t="s">
        <v>18705</v>
      </c>
      <c r="N8035" t="s">
        <v>653</v>
      </c>
      <c r="O8035" t="s">
        <v>117</v>
      </c>
      <c r="P8035">
        <v>10024</v>
      </c>
      <c r="Q8035">
        <v>3842</v>
      </c>
      <c r="R8035" t="s">
        <v>23</v>
      </c>
      <c r="S8035" s="1" t="s">
        <v>34218</v>
      </c>
    </row>
    <row r="8036" spans="1:19" x14ac:dyDescent="0.25">
      <c r="A8036">
        <v>101451933</v>
      </c>
      <c r="B8036" t="s">
        <v>18706</v>
      </c>
      <c r="C8036" t="s">
        <v>773</v>
      </c>
      <c r="G8036" t="s">
        <v>18707</v>
      </c>
      <c r="H8036" t="s">
        <v>8965</v>
      </c>
      <c r="I8036" t="s">
        <v>148</v>
      </c>
      <c r="J8036">
        <v>21661</v>
      </c>
      <c r="K8036">
        <v>1337</v>
      </c>
      <c r="L8036" t="s">
        <v>23</v>
      </c>
      <c r="M8036" t="s">
        <v>18707</v>
      </c>
      <c r="N8036" t="s">
        <v>8965</v>
      </c>
      <c r="O8036" t="s">
        <v>148</v>
      </c>
      <c r="P8036">
        <v>21661</v>
      </c>
      <c r="Q8036">
        <v>1337</v>
      </c>
      <c r="R8036" t="s">
        <v>23</v>
      </c>
      <c r="S8036" s="1" t="s">
        <v>34218</v>
      </c>
    </row>
    <row r="8037" spans="1:19" x14ac:dyDescent="0.25">
      <c r="A8037">
        <v>100918956</v>
      </c>
      <c r="B8037" t="s">
        <v>18708</v>
      </c>
      <c r="C8037" t="s">
        <v>123</v>
      </c>
      <c r="G8037" t="s">
        <v>18709</v>
      </c>
      <c r="H8037" t="s">
        <v>18710</v>
      </c>
      <c r="I8037" t="s">
        <v>52</v>
      </c>
      <c r="J8037">
        <v>32951</v>
      </c>
      <c r="K8037">
        <v>3330</v>
      </c>
      <c r="L8037" t="s">
        <v>23</v>
      </c>
      <c r="M8037" t="s">
        <v>18709</v>
      </c>
      <c r="N8037" t="s">
        <v>18710</v>
      </c>
      <c r="O8037" t="s">
        <v>52</v>
      </c>
      <c r="P8037">
        <v>32951</v>
      </c>
      <c r="Q8037">
        <v>3330</v>
      </c>
      <c r="R8037" t="s">
        <v>23</v>
      </c>
      <c r="S8037" s="1" t="s">
        <v>34218</v>
      </c>
    </row>
    <row r="8038" spans="1:19" x14ac:dyDescent="0.25">
      <c r="A8038">
        <v>101430418</v>
      </c>
      <c r="B8038" t="s">
        <v>18711</v>
      </c>
      <c r="C8038" t="s">
        <v>90</v>
      </c>
      <c r="G8038" t="s">
        <v>18712</v>
      </c>
      <c r="H8038" t="s">
        <v>331</v>
      </c>
      <c r="I8038" t="s">
        <v>332</v>
      </c>
      <c r="J8038">
        <v>84104</v>
      </c>
      <c r="K8038">
        <v>1136</v>
      </c>
      <c r="L8038" t="s">
        <v>23</v>
      </c>
      <c r="M8038" t="s">
        <v>18712</v>
      </c>
      <c r="N8038" t="s">
        <v>331</v>
      </c>
      <c r="O8038" t="s">
        <v>332</v>
      </c>
      <c r="P8038">
        <v>84104</v>
      </c>
      <c r="Q8038">
        <v>1136</v>
      </c>
      <c r="R8038" t="s">
        <v>23</v>
      </c>
      <c r="S8038" s="1" t="s">
        <v>34218</v>
      </c>
    </row>
    <row r="8039" spans="1:19" x14ac:dyDescent="0.25">
      <c r="A8039">
        <v>100833099</v>
      </c>
      <c r="B8039" t="s">
        <v>18713</v>
      </c>
      <c r="C8039" t="s">
        <v>18714</v>
      </c>
      <c r="G8039" t="s">
        <v>18715</v>
      </c>
      <c r="H8039" t="s">
        <v>737</v>
      </c>
      <c r="I8039" t="s">
        <v>255</v>
      </c>
      <c r="J8039">
        <v>23464</v>
      </c>
      <c r="L8039" t="s">
        <v>23</v>
      </c>
      <c r="M8039" t="s">
        <v>18715</v>
      </c>
      <c r="N8039" t="s">
        <v>737</v>
      </c>
      <c r="O8039" t="s">
        <v>255</v>
      </c>
      <c r="P8039">
        <v>23464</v>
      </c>
      <c r="R8039" t="s">
        <v>23</v>
      </c>
      <c r="S8039" s="1" t="s">
        <v>34218</v>
      </c>
    </row>
    <row r="8040" spans="1:19" x14ac:dyDescent="0.25">
      <c r="A8040">
        <v>101452086</v>
      </c>
      <c r="B8040" t="s">
        <v>1622</v>
      </c>
      <c r="C8040" t="s">
        <v>18716</v>
      </c>
      <c r="G8040" t="s">
        <v>18717</v>
      </c>
      <c r="H8040" t="s">
        <v>18718</v>
      </c>
      <c r="I8040" t="s">
        <v>22</v>
      </c>
      <c r="J8040">
        <v>95683</v>
      </c>
      <c r="K8040">
        <v>9562</v>
      </c>
      <c r="L8040" t="s">
        <v>23</v>
      </c>
      <c r="M8040" t="s">
        <v>18717</v>
      </c>
      <c r="N8040" t="s">
        <v>18718</v>
      </c>
      <c r="O8040" t="s">
        <v>22</v>
      </c>
      <c r="P8040">
        <v>95683</v>
      </c>
      <c r="Q8040">
        <v>9562</v>
      </c>
      <c r="R8040" t="s">
        <v>23</v>
      </c>
      <c r="S8040" s="1" t="s">
        <v>34218</v>
      </c>
    </row>
    <row r="8041" spans="1:19" x14ac:dyDescent="0.25">
      <c r="A8041">
        <v>100806892</v>
      </c>
      <c r="B8041" t="s">
        <v>18719</v>
      </c>
      <c r="C8041" t="s">
        <v>225</v>
      </c>
      <c r="G8041" t="s">
        <v>18720</v>
      </c>
      <c r="H8041" t="s">
        <v>18721</v>
      </c>
      <c r="I8041" t="s">
        <v>52</v>
      </c>
      <c r="J8041">
        <v>32043</v>
      </c>
      <c r="K8041">
        <v>3443</v>
      </c>
      <c r="L8041" t="s">
        <v>23</v>
      </c>
      <c r="M8041" t="s">
        <v>18720</v>
      </c>
      <c r="N8041" t="s">
        <v>18721</v>
      </c>
      <c r="O8041" t="s">
        <v>52</v>
      </c>
      <c r="P8041">
        <v>32043</v>
      </c>
      <c r="Q8041">
        <v>3443</v>
      </c>
      <c r="R8041" t="s">
        <v>23</v>
      </c>
      <c r="S8041" s="1" t="s">
        <v>34218</v>
      </c>
    </row>
    <row r="8042" spans="1:19" x14ac:dyDescent="0.25">
      <c r="A8042">
        <v>101359547</v>
      </c>
      <c r="B8042" t="s">
        <v>18722</v>
      </c>
      <c r="C8042" t="s">
        <v>110</v>
      </c>
      <c r="G8042" t="s">
        <v>18723</v>
      </c>
      <c r="H8042" t="s">
        <v>1405</v>
      </c>
      <c r="I8042" t="s">
        <v>187</v>
      </c>
      <c r="J8042">
        <v>55117</v>
      </c>
      <c r="K8042">
        <v>1221</v>
      </c>
      <c r="L8042" t="s">
        <v>23</v>
      </c>
      <c r="M8042" t="s">
        <v>18723</v>
      </c>
      <c r="N8042" t="s">
        <v>1405</v>
      </c>
      <c r="O8042" t="s">
        <v>187</v>
      </c>
      <c r="P8042">
        <v>55117</v>
      </c>
      <c r="Q8042">
        <v>1221</v>
      </c>
      <c r="R8042" t="s">
        <v>23</v>
      </c>
      <c r="S8042" s="1" t="s">
        <v>34218</v>
      </c>
    </row>
    <row r="8043" spans="1:19" x14ac:dyDescent="0.25">
      <c r="A8043">
        <v>100906705</v>
      </c>
      <c r="B8043" t="s">
        <v>18512</v>
      </c>
      <c r="C8043" t="s">
        <v>1002</v>
      </c>
      <c r="G8043" t="s">
        <v>18724</v>
      </c>
      <c r="H8043" t="s">
        <v>16221</v>
      </c>
      <c r="I8043" t="s">
        <v>565</v>
      </c>
      <c r="J8043">
        <v>52101</v>
      </c>
      <c r="K8043">
        <v>1668</v>
      </c>
      <c r="L8043" t="s">
        <v>23</v>
      </c>
      <c r="M8043" t="s">
        <v>18724</v>
      </c>
      <c r="N8043" t="s">
        <v>16221</v>
      </c>
      <c r="O8043" t="s">
        <v>565</v>
      </c>
      <c r="P8043">
        <v>52101</v>
      </c>
      <c r="Q8043">
        <v>1668</v>
      </c>
      <c r="R8043" t="s">
        <v>23</v>
      </c>
      <c r="S8043" s="1" t="s">
        <v>34218</v>
      </c>
    </row>
    <row r="8044" spans="1:19" x14ac:dyDescent="0.25">
      <c r="A8044">
        <v>101437448</v>
      </c>
      <c r="B8044" t="s">
        <v>6870</v>
      </c>
      <c r="C8044" t="s">
        <v>1363</v>
      </c>
      <c r="G8044" t="s">
        <v>18725</v>
      </c>
      <c r="H8044" t="s">
        <v>18726</v>
      </c>
      <c r="I8044" t="s">
        <v>236</v>
      </c>
      <c r="J8044">
        <v>1775</v>
      </c>
      <c r="K8044">
        <v>1442</v>
      </c>
      <c r="L8044" t="s">
        <v>23</v>
      </c>
      <c r="M8044" t="s">
        <v>18725</v>
      </c>
      <c r="N8044" t="s">
        <v>18726</v>
      </c>
      <c r="O8044" t="s">
        <v>236</v>
      </c>
      <c r="P8044">
        <v>1775</v>
      </c>
      <c r="Q8044">
        <v>1442</v>
      </c>
      <c r="R8044" t="s">
        <v>23</v>
      </c>
      <c r="S8044" s="1" t="s">
        <v>34218</v>
      </c>
    </row>
    <row r="8045" spans="1:19" x14ac:dyDescent="0.25">
      <c r="A8045">
        <v>101472038</v>
      </c>
      <c r="B8045" t="s">
        <v>2294</v>
      </c>
      <c r="C8045" t="s">
        <v>735</v>
      </c>
      <c r="G8045" t="s">
        <v>18727</v>
      </c>
      <c r="H8045" t="s">
        <v>15174</v>
      </c>
      <c r="I8045" t="s">
        <v>1387</v>
      </c>
      <c r="J8045">
        <v>35124</v>
      </c>
      <c r="K8045">
        <v>4336</v>
      </c>
      <c r="L8045" t="s">
        <v>23</v>
      </c>
      <c r="M8045" t="s">
        <v>18727</v>
      </c>
      <c r="N8045" t="s">
        <v>15174</v>
      </c>
      <c r="O8045" t="s">
        <v>1387</v>
      </c>
      <c r="P8045">
        <v>35124</v>
      </c>
      <c r="Q8045">
        <v>4336</v>
      </c>
      <c r="R8045" t="s">
        <v>23</v>
      </c>
      <c r="S8045" s="1" t="s">
        <v>34218</v>
      </c>
    </row>
    <row r="8046" spans="1:19" x14ac:dyDescent="0.25">
      <c r="A8046">
        <v>101466980</v>
      </c>
      <c r="B8046" t="s">
        <v>18728</v>
      </c>
      <c r="C8046" t="s">
        <v>4960</v>
      </c>
      <c r="G8046" t="s">
        <v>18729</v>
      </c>
      <c r="H8046" t="s">
        <v>18113</v>
      </c>
      <c r="I8046" t="s">
        <v>148</v>
      </c>
      <c r="J8046">
        <v>21804</v>
      </c>
      <c r="K8046">
        <v>4448</v>
      </c>
      <c r="L8046" t="s">
        <v>23</v>
      </c>
      <c r="M8046" t="s">
        <v>18729</v>
      </c>
      <c r="N8046" t="s">
        <v>18113</v>
      </c>
      <c r="O8046" t="s">
        <v>148</v>
      </c>
      <c r="P8046">
        <v>21804</v>
      </c>
      <c r="Q8046">
        <v>4448</v>
      </c>
      <c r="R8046" t="s">
        <v>23</v>
      </c>
      <c r="S8046" s="1" t="s">
        <v>34218</v>
      </c>
    </row>
    <row r="8047" spans="1:19" x14ac:dyDescent="0.25">
      <c r="A8047">
        <v>101031619</v>
      </c>
      <c r="B8047" t="s">
        <v>18730</v>
      </c>
      <c r="C8047" t="s">
        <v>535</v>
      </c>
      <c r="G8047" t="s">
        <v>18731</v>
      </c>
      <c r="H8047" t="s">
        <v>227</v>
      </c>
      <c r="I8047" t="s">
        <v>43</v>
      </c>
      <c r="J8047">
        <v>97219</v>
      </c>
      <c r="K8047">
        <v>3375</v>
      </c>
      <c r="L8047" t="s">
        <v>23</v>
      </c>
      <c r="M8047" t="s">
        <v>18731</v>
      </c>
      <c r="N8047" t="s">
        <v>227</v>
      </c>
      <c r="O8047" t="s">
        <v>43</v>
      </c>
      <c r="P8047">
        <v>97219</v>
      </c>
      <c r="Q8047">
        <v>3375</v>
      </c>
      <c r="R8047" t="s">
        <v>23</v>
      </c>
      <c r="S8047" s="1" t="s">
        <v>34218</v>
      </c>
    </row>
    <row r="8048" spans="1:19" x14ac:dyDescent="0.25">
      <c r="A8048">
        <v>101226538</v>
      </c>
      <c r="B8048" t="s">
        <v>18732</v>
      </c>
      <c r="C8048" t="s">
        <v>158</v>
      </c>
      <c r="G8048" t="s">
        <v>18733</v>
      </c>
      <c r="H8048" t="s">
        <v>1918</v>
      </c>
      <c r="I8048" t="s">
        <v>33</v>
      </c>
      <c r="J8048">
        <v>18058</v>
      </c>
      <c r="K8048">
        <v>7280</v>
      </c>
      <c r="L8048" t="s">
        <v>23</v>
      </c>
      <c r="M8048" t="s">
        <v>18733</v>
      </c>
      <c r="N8048" t="s">
        <v>1918</v>
      </c>
      <c r="O8048" t="s">
        <v>33</v>
      </c>
      <c r="P8048">
        <v>18058</v>
      </c>
      <c r="Q8048">
        <v>7280</v>
      </c>
      <c r="R8048" t="s">
        <v>23</v>
      </c>
      <c r="S8048" s="1" t="s">
        <v>34218</v>
      </c>
    </row>
    <row r="8049" spans="1:19" x14ac:dyDescent="0.25">
      <c r="A8049">
        <v>101421549</v>
      </c>
      <c r="B8049" t="s">
        <v>1508</v>
      </c>
      <c r="C8049" t="s">
        <v>18734</v>
      </c>
      <c r="G8049" t="s">
        <v>18735</v>
      </c>
      <c r="H8049" t="s">
        <v>6620</v>
      </c>
      <c r="I8049" t="s">
        <v>984</v>
      </c>
      <c r="J8049">
        <v>96754</v>
      </c>
      <c r="K8049">
        <v>679</v>
      </c>
      <c r="L8049" t="s">
        <v>23</v>
      </c>
      <c r="M8049" t="s">
        <v>18735</v>
      </c>
      <c r="N8049" t="s">
        <v>6620</v>
      </c>
      <c r="O8049" t="s">
        <v>984</v>
      </c>
      <c r="P8049">
        <v>96754</v>
      </c>
      <c r="Q8049">
        <v>679</v>
      </c>
      <c r="R8049" t="s">
        <v>23</v>
      </c>
      <c r="S8049" s="1" t="s">
        <v>34218</v>
      </c>
    </row>
    <row r="8050" spans="1:19" x14ac:dyDescent="0.25">
      <c r="A8050">
        <v>100511048</v>
      </c>
      <c r="B8050" t="s">
        <v>18736</v>
      </c>
      <c r="C8050" t="s">
        <v>205</v>
      </c>
      <c r="G8050" t="s">
        <v>18737</v>
      </c>
      <c r="H8050" t="s">
        <v>818</v>
      </c>
      <c r="I8050" t="s">
        <v>43</v>
      </c>
      <c r="J8050">
        <v>97078</v>
      </c>
      <c r="K8050">
        <v>2254</v>
      </c>
      <c r="L8050" t="s">
        <v>23</v>
      </c>
      <c r="M8050" t="s">
        <v>18737</v>
      </c>
      <c r="N8050" t="s">
        <v>818</v>
      </c>
      <c r="O8050" t="s">
        <v>43</v>
      </c>
      <c r="P8050">
        <v>97078</v>
      </c>
      <c r="Q8050">
        <v>2254</v>
      </c>
      <c r="R8050" t="s">
        <v>23</v>
      </c>
      <c r="S8050" s="1" t="s">
        <v>34218</v>
      </c>
    </row>
    <row r="8051" spans="1:19" x14ac:dyDescent="0.25">
      <c r="A8051">
        <v>101248720</v>
      </c>
      <c r="B8051" t="s">
        <v>18738</v>
      </c>
      <c r="C8051" t="s">
        <v>9629</v>
      </c>
      <c r="G8051" t="s">
        <v>18739</v>
      </c>
      <c r="H8051" t="s">
        <v>227</v>
      </c>
      <c r="I8051" t="s">
        <v>43</v>
      </c>
      <c r="J8051">
        <v>97202</v>
      </c>
      <c r="K8051">
        <v>5442</v>
      </c>
      <c r="L8051" t="s">
        <v>23</v>
      </c>
      <c r="M8051" t="s">
        <v>18739</v>
      </c>
      <c r="N8051" t="s">
        <v>227</v>
      </c>
      <c r="O8051" t="s">
        <v>43</v>
      </c>
      <c r="P8051">
        <v>97202</v>
      </c>
      <c r="Q8051">
        <v>5442</v>
      </c>
      <c r="R8051" t="s">
        <v>23</v>
      </c>
      <c r="S8051" s="1" t="s">
        <v>34218</v>
      </c>
    </row>
    <row r="8052" spans="1:19" x14ac:dyDescent="0.25">
      <c r="A8052">
        <v>101474377</v>
      </c>
      <c r="B8052" t="s">
        <v>18740</v>
      </c>
      <c r="C8052" t="s">
        <v>18741</v>
      </c>
      <c r="G8052" t="s">
        <v>18742</v>
      </c>
      <c r="H8052" t="s">
        <v>2014</v>
      </c>
      <c r="I8052" t="s">
        <v>117</v>
      </c>
      <c r="J8052">
        <v>10541</v>
      </c>
      <c r="K8052">
        <v>4758</v>
      </c>
      <c r="L8052" t="s">
        <v>23</v>
      </c>
      <c r="M8052" t="s">
        <v>18742</v>
      </c>
      <c r="N8052" t="s">
        <v>2014</v>
      </c>
      <c r="O8052" t="s">
        <v>117</v>
      </c>
      <c r="P8052">
        <v>10541</v>
      </c>
      <c r="Q8052">
        <v>4758</v>
      </c>
      <c r="R8052" t="s">
        <v>23</v>
      </c>
      <c r="S8052" s="1" t="s">
        <v>34218</v>
      </c>
    </row>
    <row r="8053" spans="1:19" x14ac:dyDescent="0.25">
      <c r="A8053">
        <v>101448137</v>
      </c>
      <c r="B8053" t="s">
        <v>18743</v>
      </c>
      <c r="C8053" t="s">
        <v>18744</v>
      </c>
      <c r="G8053" t="s">
        <v>18745</v>
      </c>
      <c r="H8053" t="s">
        <v>10653</v>
      </c>
      <c r="I8053" t="s">
        <v>135</v>
      </c>
      <c r="J8053">
        <v>60091</v>
      </c>
      <c r="K8053">
        <v>2358</v>
      </c>
      <c r="L8053" t="s">
        <v>23</v>
      </c>
      <c r="M8053" t="s">
        <v>18745</v>
      </c>
      <c r="N8053" t="s">
        <v>10653</v>
      </c>
      <c r="O8053" t="s">
        <v>135</v>
      </c>
      <c r="P8053">
        <v>60091</v>
      </c>
      <c r="Q8053">
        <v>2358</v>
      </c>
      <c r="R8053" t="s">
        <v>23</v>
      </c>
      <c r="S8053" s="1" t="s">
        <v>34218</v>
      </c>
    </row>
    <row r="8054" spans="1:19" x14ac:dyDescent="0.25">
      <c r="A8054">
        <v>100992329</v>
      </c>
      <c r="B8054" t="s">
        <v>3089</v>
      </c>
      <c r="C8054" t="s">
        <v>6897</v>
      </c>
      <c r="G8054" t="s">
        <v>18746</v>
      </c>
      <c r="H8054" t="s">
        <v>18747</v>
      </c>
      <c r="I8054" t="s">
        <v>153</v>
      </c>
      <c r="J8054">
        <v>70764</v>
      </c>
      <c r="K8054">
        <v>7112</v>
      </c>
      <c r="L8054" t="s">
        <v>23</v>
      </c>
      <c r="M8054" t="s">
        <v>18746</v>
      </c>
      <c r="N8054" t="s">
        <v>18747</v>
      </c>
      <c r="O8054" t="s">
        <v>153</v>
      </c>
      <c r="P8054">
        <v>70764</v>
      </c>
      <c r="Q8054">
        <v>7112</v>
      </c>
      <c r="R8054" t="s">
        <v>23</v>
      </c>
      <c r="S8054" s="1" t="s">
        <v>34218</v>
      </c>
    </row>
    <row r="8055" spans="1:19" x14ac:dyDescent="0.25">
      <c r="A8055">
        <v>101246467</v>
      </c>
      <c r="B8055" t="s">
        <v>7123</v>
      </c>
      <c r="C8055" t="s">
        <v>1887</v>
      </c>
      <c r="G8055" t="s">
        <v>18748</v>
      </c>
      <c r="H8055" t="s">
        <v>3363</v>
      </c>
      <c r="I8055" t="s">
        <v>33</v>
      </c>
      <c r="J8055">
        <v>15213</v>
      </c>
      <c r="L8055" t="s">
        <v>23</v>
      </c>
      <c r="M8055" t="s">
        <v>18748</v>
      </c>
      <c r="N8055" t="s">
        <v>3363</v>
      </c>
      <c r="O8055" t="s">
        <v>33</v>
      </c>
      <c r="P8055">
        <v>15213</v>
      </c>
      <c r="R8055" t="s">
        <v>23</v>
      </c>
      <c r="S8055" s="1" t="s">
        <v>34218</v>
      </c>
    </row>
    <row r="8056" spans="1:19" x14ac:dyDescent="0.25">
      <c r="A8056">
        <v>101057385</v>
      </c>
      <c r="B8056" t="s">
        <v>18749</v>
      </c>
      <c r="C8056" t="s">
        <v>894</v>
      </c>
      <c r="G8056" t="s">
        <v>18750</v>
      </c>
      <c r="H8056" t="s">
        <v>125</v>
      </c>
      <c r="I8056" t="s">
        <v>126</v>
      </c>
      <c r="J8056">
        <v>63139</v>
      </c>
      <c r="K8056">
        <v>1563</v>
      </c>
      <c r="L8056" t="s">
        <v>23</v>
      </c>
      <c r="M8056" t="s">
        <v>18750</v>
      </c>
      <c r="N8056" t="s">
        <v>125</v>
      </c>
      <c r="O8056" t="s">
        <v>126</v>
      </c>
      <c r="P8056">
        <v>63139</v>
      </c>
      <c r="Q8056">
        <v>1563</v>
      </c>
      <c r="R8056" t="s">
        <v>23</v>
      </c>
      <c r="S8056" s="1" t="s">
        <v>34218</v>
      </c>
    </row>
    <row r="8057" spans="1:19" x14ac:dyDescent="0.25">
      <c r="A8057">
        <v>101474414</v>
      </c>
      <c r="B8057" t="s">
        <v>6658</v>
      </c>
      <c r="C8057" t="s">
        <v>18751</v>
      </c>
      <c r="G8057" t="s">
        <v>18752</v>
      </c>
      <c r="H8057" t="s">
        <v>1674</v>
      </c>
      <c r="I8057" t="s">
        <v>22</v>
      </c>
      <c r="J8057">
        <v>91504</v>
      </c>
      <c r="K8057">
        <v>3926</v>
      </c>
      <c r="L8057" t="s">
        <v>23</v>
      </c>
      <c r="M8057" t="s">
        <v>18752</v>
      </c>
      <c r="N8057" t="s">
        <v>1674</v>
      </c>
      <c r="O8057" t="s">
        <v>22</v>
      </c>
      <c r="P8057">
        <v>91504</v>
      </c>
      <c r="Q8057">
        <v>3926</v>
      </c>
      <c r="R8057" t="s">
        <v>23</v>
      </c>
      <c r="S8057" s="1" t="s">
        <v>34218</v>
      </c>
    </row>
    <row r="8058" spans="1:19" x14ac:dyDescent="0.25">
      <c r="A8058">
        <v>101474422</v>
      </c>
      <c r="B8058" t="s">
        <v>15602</v>
      </c>
      <c r="C8058" t="s">
        <v>18753</v>
      </c>
      <c r="G8058" t="s">
        <v>15604</v>
      </c>
      <c r="H8058" t="s">
        <v>653</v>
      </c>
      <c r="I8058" t="s">
        <v>117</v>
      </c>
      <c r="J8058">
        <v>10128</v>
      </c>
      <c r="K8058">
        <v>3613</v>
      </c>
      <c r="L8058" t="s">
        <v>23</v>
      </c>
      <c r="M8058" t="s">
        <v>15604</v>
      </c>
      <c r="N8058" t="s">
        <v>653</v>
      </c>
      <c r="O8058" t="s">
        <v>117</v>
      </c>
      <c r="P8058">
        <v>10128</v>
      </c>
      <c r="Q8058">
        <v>3613</v>
      </c>
      <c r="R8058" t="s">
        <v>23</v>
      </c>
      <c r="S8058" s="1" t="s">
        <v>34218</v>
      </c>
    </row>
    <row r="8059" spans="1:19" x14ac:dyDescent="0.25">
      <c r="A8059">
        <v>100705273</v>
      </c>
      <c r="B8059" t="s">
        <v>18754</v>
      </c>
      <c r="C8059" t="s">
        <v>1007</v>
      </c>
      <c r="G8059" t="s">
        <v>18755</v>
      </c>
      <c r="H8059" t="s">
        <v>5225</v>
      </c>
      <c r="I8059" t="s">
        <v>914</v>
      </c>
      <c r="J8059">
        <v>37015</v>
      </c>
      <c r="K8059">
        <v>9410</v>
      </c>
      <c r="L8059" t="s">
        <v>23</v>
      </c>
      <c r="M8059" t="s">
        <v>18755</v>
      </c>
      <c r="N8059" t="s">
        <v>5225</v>
      </c>
      <c r="O8059" t="s">
        <v>914</v>
      </c>
      <c r="P8059">
        <v>37015</v>
      </c>
      <c r="Q8059">
        <v>9410</v>
      </c>
      <c r="R8059" t="s">
        <v>23</v>
      </c>
      <c r="S8059" s="1" t="s">
        <v>34218</v>
      </c>
    </row>
    <row r="8060" spans="1:19" x14ac:dyDescent="0.25">
      <c r="A8060">
        <v>100515842</v>
      </c>
      <c r="B8060" t="s">
        <v>12751</v>
      </c>
      <c r="C8060" t="s">
        <v>890</v>
      </c>
      <c r="G8060" t="s">
        <v>18756</v>
      </c>
      <c r="H8060" t="s">
        <v>419</v>
      </c>
      <c r="I8060" t="s">
        <v>38</v>
      </c>
      <c r="J8060">
        <v>76107</v>
      </c>
      <c r="K8060">
        <v>1618</v>
      </c>
      <c r="L8060" t="s">
        <v>23</v>
      </c>
      <c r="M8060" t="s">
        <v>18756</v>
      </c>
      <c r="N8060" t="s">
        <v>419</v>
      </c>
      <c r="O8060" t="s">
        <v>38</v>
      </c>
      <c r="P8060">
        <v>76107</v>
      </c>
      <c r="Q8060">
        <v>1618</v>
      </c>
      <c r="R8060" t="s">
        <v>23</v>
      </c>
      <c r="S8060" s="1" t="s">
        <v>34218</v>
      </c>
    </row>
    <row r="8061" spans="1:19" x14ac:dyDescent="0.25">
      <c r="A8061">
        <v>101427108</v>
      </c>
      <c r="B8061" t="s">
        <v>18757</v>
      </c>
      <c r="C8061" t="s">
        <v>18758</v>
      </c>
      <c r="G8061" t="s">
        <v>18759</v>
      </c>
      <c r="H8061" t="s">
        <v>9237</v>
      </c>
      <c r="I8061" t="s">
        <v>353</v>
      </c>
      <c r="J8061">
        <v>3431</v>
      </c>
      <c r="K8061">
        <v>4167</v>
      </c>
      <c r="L8061" t="s">
        <v>23</v>
      </c>
      <c r="M8061" t="s">
        <v>18759</v>
      </c>
      <c r="N8061" t="s">
        <v>9237</v>
      </c>
      <c r="O8061" t="s">
        <v>353</v>
      </c>
      <c r="P8061">
        <v>3431</v>
      </c>
      <c r="Q8061">
        <v>4167</v>
      </c>
      <c r="R8061" t="s">
        <v>23</v>
      </c>
      <c r="S8061" s="1" t="s">
        <v>34218</v>
      </c>
    </row>
    <row r="8062" spans="1:19" x14ac:dyDescent="0.25">
      <c r="A8062">
        <v>100515448</v>
      </c>
      <c r="B8062" t="s">
        <v>18760</v>
      </c>
      <c r="C8062" t="s">
        <v>11308</v>
      </c>
      <c r="G8062" t="s">
        <v>18761</v>
      </c>
      <c r="H8062" t="s">
        <v>88</v>
      </c>
      <c r="I8062" t="s">
        <v>22</v>
      </c>
      <c r="J8062">
        <v>94605</v>
      </c>
      <c r="K8062">
        <v>4627</v>
      </c>
      <c r="L8062" t="s">
        <v>23</v>
      </c>
      <c r="M8062" t="s">
        <v>18761</v>
      </c>
      <c r="N8062" t="s">
        <v>88</v>
      </c>
      <c r="O8062" t="s">
        <v>22</v>
      </c>
      <c r="P8062">
        <v>94605</v>
      </c>
      <c r="Q8062">
        <v>4627</v>
      </c>
      <c r="R8062" t="s">
        <v>23</v>
      </c>
      <c r="S8062" s="1" t="s">
        <v>34218</v>
      </c>
    </row>
    <row r="8063" spans="1:19" x14ac:dyDescent="0.25">
      <c r="A8063">
        <v>101423795</v>
      </c>
      <c r="B8063" t="s">
        <v>18762</v>
      </c>
      <c r="C8063" t="s">
        <v>1124</v>
      </c>
      <c r="G8063" t="s">
        <v>18763</v>
      </c>
      <c r="H8063" t="s">
        <v>264</v>
      </c>
      <c r="I8063" t="s">
        <v>117</v>
      </c>
      <c r="J8063">
        <v>14850</v>
      </c>
      <c r="K8063">
        <v>3203</v>
      </c>
      <c r="L8063" t="s">
        <v>23</v>
      </c>
      <c r="M8063" t="s">
        <v>18763</v>
      </c>
      <c r="N8063" t="s">
        <v>264</v>
      </c>
      <c r="O8063" t="s">
        <v>117</v>
      </c>
      <c r="P8063">
        <v>14850</v>
      </c>
      <c r="Q8063">
        <v>3203</v>
      </c>
      <c r="R8063" t="s">
        <v>23</v>
      </c>
      <c r="S8063" s="1" t="s">
        <v>34218</v>
      </c>
    </row>
    <row r="8064" spans="1:19" x14ac:dyDescent="0.25">
      <c r="A8064">
        <v>101457080</v>
      </c>
      <c r="B8064" t="s">
        <v>18764</v>
      </c>
      <c r="C8064" t="s">
        <v>1062</v>
      </c>
      <c r="G8064" t="s">
        <v>18765</v>
      </c>
      <c r="H8064" t="s">
        <v>7501</v>
      </c>
      <c r="I8064" t="s">
        <v>52</v>
      </c>
      <c r="J8064">
        <v>33884</v>
      </c>
      <c r="K8064">
        <v>3178</v>
      </c>
      <c r="L8064" t="s">
        <v>23</v>
      </c>
      <c r="M8064" t="s">
        <v>18765</v>
      </c>
      <c r="N8064" t="s">
        <v>7501</v>
      </c>
      <c r="O8064" t="s">
        <v>52</v>
      </c>
      <c r="P8064">
        <v>33884</v>
      </c>
      <c r="Q8064">
        <v>3178</v>
      </c>
      <c r="R8064" t="s">
        <v>23</v>
      </c>
      <c r="S8064" s="1" t="s">
        <v>34218</v>
      </c>
    </row>
    <row r="8065" spans="1:19" x14ac:dyDescent="0.25">
      <c r="A8065">
        <v>101118361</v>
      </c>
      <c r="B8065" t="s">
        <v>18766</v>
      </c>
      <c r="C8065" t="s">
        <v>18767</v>
      </c>
      <c r="G8065" t="s">
        <v>18768</v>
      </c>
      <c r="H8065" t="s">
        <v>653</v>
      </c>
      <c r="I8065" t="s">
        <v>117</v>
      </c>
      <c r="J8065">
        <v>10029</v>
      </c>
      <c r="K8065">
        <v>7812</v>
      </c>
      <c r="L8065" t="s">
        <v>23</v>
      </c>
      <c r="M8065" t="s">
        <v>18768</v>
      </c>
      <c r="N8065" t="s">
        <v>653</v>
      </c>
      <c r="O8065" t="s">
        <v>117</v>
      </c>
      <c r="P8065">
        <v>10029</v>
      </c>
      <c r="Q8065">
        <v>7812</v>
      </c>
      <c r="R8065" t="s">
        <v>23</v>
      </c>
      <c r="S8065" s="1" t="s">
        <v>34218</v>
      </c>
    </row>
    <row r="8066" spans="1:19" x14ac:dyDescent="0.25">
      <c r="A8066">
        <v>101439739</v>
      </c>
      <c r="B8066" t="s">
        <v>5137</v>
      </c>
      <c r="C8066" t="s">
        <v>3460</v>
      </c>
      <c r="G8066" t="s">
        <v>18769</v>
      </c>
      <c r="H8066" t="s">
        <v>1698</v>
      </c>
      <c r="I8066" t="s">
        <v>38</v>
      </c>
      <c r="J8066">
        <v>75013</v>
      </c>
      <c r="K8066">
        <v>3620</v>
      </c>
      <c r="L8066" t="s">
        <v>23</v>
      </c>
      <c r="M8066" t="s">
        <v>18769</v>
      </c>
      <c r="N8066" t="s">
        <v>1698</v>
      </c>
      <c r="O8066" t="s">
        <v>38</v>
      </c>
      <c r="P8066">
        <v>75013</v>
      </c>
      <c r="Q8066">
        <v>3620</v>
      </c>
      <c r="R8066" t="s">
        <v>23</v>
      </c>
      <c r="S8066" s="1" t="s">
        <v>34218</v>
      </c>
    </row>
    <row r="8067" spans="1:19" x14ac:dyDescent="0.25">
      <c r="A8067">
        <v>101279353</v>
      </c>
      <c r="B8067" t="s">
        <v>18770</v>
      </c>
      <c r="C8067" t="s">
        <v>4302</v>
      </c>
      <c r="G8067" t="s">
        <v>18771</v>
      </c>
      <c r="H8067" t="s">
        <v>9588</v>
      </c>
      <c r="I8067" t="s">
        <v>22</v>
      </c>
      <c r="J8067">
        <v>91381</v>
      </c>
      <c r="K8067">
        <v>1139</v>
      </c>
      <c r="L8067" t="s">
        <v>23</v>
      </c>
      <c r="M8067" t="s">
        <v>18771</v>
      </c>
      <c r="N8067" t="s">
        <v>9588</v>
      </c>
      <c r="O8067" t="s">
        <v>22</v>
      </c>
      <c r="P8067">
        <v>91381</v>
      </c>
      <c r="Q8067">
        <v>1139</v>
      </c>
      <c r="R8067" t="s">
        <v>23</v>
      </c>
      <c r="S8067" s="1" t="s">
        <v>34218</v>
      </c>
    </row>
    <row r="8068" spans="1:19" x14ac:dyDescent="0.25">
      <c r="A8068">
        <v>101415819</v>
      </c>
      <c r="B8068" t="s">
        <v>18772</v>
      </c>
      <c r="C8068" t="s">
        <v>9248</v>
      </c>
      <c r="G8068" t="s">
        <v>18773</v>
      </c>
      <c r="H8068" t="s">
        <v>12127</v>
      </c>
      <c r="I8068" t="s">
        <v>52</v>
      </c>
      <c r="J8068">
        <v>34683</v>
      </c>
      <c r="K8068">
        <v>6412</v>
      </c>
      <c r="L8068" t="s">
        <v>23</v>
      </c>
      <c r="M8068" t="s">
        <v>18773</v>
      </c>
      <c r="N8068" t="s">
        <v>12127</v>
      </c>
      <c r="O8068" t="s">
        <v>52</v>
      </c>
      <c r="P8068">
        <v>34683</v>
      </c>
      <c r="Q8068">
        <v>6412</v>
      </c>
      <c r="R8068" t="s">
        <v>23</v>
      </c>
      <c r="S8068" s="1" t="s">
        <v>34218</v>
      </c>
    </row>
    <row r="8069" spans="1:19" x14ac:dyDescent="0.25">
      <c r="A8069">
        <v>101282783</v>
      </c>
      <c r="B8069" t="s">
        <v>1581</v>
      </c>
      <c r="C8069" t="s">
        <v>3350</v>
      </c>
      <c r="G8069" t="s">
        <v>18774</v>
      </c>
      <c r="H8069" t="s">
        <v>16283</v>
      </c>
      <c r="I8069" t="s">
        <v>52</v>
      </c>
      <c r="J8069">
        <v>33437</v>
      </c>
      <c r="L8069" t="s">
        <v>23</v>
      </c>
      <c r="M8069" t="s">
        <v>18774</v>
      </c>
      <c r="N8069" t="s">
        <v>16283</v>
      </c>
      <c r="O8069" t="s">
        <v>52</v>
      </c>
      <c r="P8069">
        <v>33437</v>
      </c>
      <c r="R8069" t="s">
        <v>23</v>
      </c>
      <c r="S8069" s="1" t="s">
        <v>34218</v>
      </c>
    </row>
    <row r="8070" spans="1:19" x14ac:dyDescent="0.25">
      <c r="A8070">
        <v>100727055</v>
      </c>
      <c r="B8070" t="s">
        <v>18775</v>
      </c>
      <c r="C8070" t="s">
        <v>874</v>
      </c>
      <c r="F8070" t="str">
        <f>"5415141924"</f>
        <v>5415141924</v>
      </c>
      <c r="G8070" t="s">
        <v>18776</v>
      </c>
      <c r="H8070" t="s">
        <v>1452</v>
      </c>
      <c r="I8070" t="s">
        <v>43</v>
      </c>
      <c r="J8070">
        <v>97404</v>
      </c>
      <c r="K8070">
        <v>4512</v>
      </c>
      <c r="L8070" t="s">
        <v>23</v>
      </c>
      <c r="M8070" t="s">
        <v>18776</v>
      </c>
      <c r="N8070" t="s">
        <v>1452</v>
      </c>
      <c r="O8070" t="s">
        <v>43</v>
      </c>
      <c r="P8070">
        <v>97404</v>
      </c>
      <c r="Q8070">
        <v>4512</v>
      </c>
      <c r="R8070" t="s">
        <v>23</v>
      </c>
      <c r="S8070" s="1" t="s">
        <v>34218</v>
      </c>
    </row>
    <row r="8071" spans="1:19" x14ac:dyDescent="0.25">
      <c r="A8071">
        <v>101436781</v>
      </c>
      <c r="B8071" t="s">
        <v>10859</v>
      </c>
      <c r="C8071" t="s">
        <v>18777</v>
      </c>
      <c r="G8071" t="s">
        <v>18778</v>
      </c>
      <c r="H8071" t="s">
        <v>1531</v>
      </c>
      <c r="I8071" t="s">
        <v>84</v>
      </c>
      <c r="J8071">
        <v>98104</v>
      </c>
      <c r="K8071">
        <v>2954</v>
      </c>
      <c r="L8071" t="s">
        <v>23</v>
      </c>
      <c r="M8071" t="s">
        <v>18778</v>
      </c>
      <c r="N8071" t="s">
        <v>1531</v>
      </c>
      <c r="O8071" t="s">
        <v>84</v>
      </c>
      <c r="P8071">
        <v>98104</v>
      </c>
      <c r="Q8071">
        <v>2954</v>
      </c>
      <c r="R8071" t="s">
        <v>23</v>
      </c>
      <c r="S8071" s="1" t="s">
        <v>34218</v>
      </c>
    </row>
    <row r="8072" spans="1:19" x14ac:dyDescent="0.25">
      <c r="A8072">
        <v>101457417</v>
      </c>
      <c r="B8072" t="s">
        <v>18779</v>
      </c>
      <c r="C8072" t="s">
        <v>18780</v>
      </c>
      <c r="G8072" t="s">
        <v>18781</v>
      </c>
      <c r="H8072" t="s">
        <v>653</v>
      </c>
      <c r="I8072" t="s">
        <v>117</v>
      </c>
      <c r="J8072">
        <v>10025</v>
      </c>
      <c r="K8072">
        <v>6718</v>
      </c>
      <c r="L8072" t="s">
        <v>23</v>
      </c>
      <c r="M8072" t="s">
        <v>18781</v>
      </c>
      <c r="N8072" t="s">
        <v>653</v>
      </c>
      <c r="O8072" t="s">
        <v>117</v>
      </c>
      <c r="P8072">
        <v>10025</v>
      </c>
      <c r="Q8072">
        <v>6718</v>
      </c>
      <c r="R8072" t="s">
        <v>23</v>
      </c>
      <c r="S8072" s="1" t="s">
        <v>34218</v>
      </c>
    </row>
    <row r="8073" spans="1:19" x14ac:dyDescent="0.25">
      <c r="A8073">
        <v>101346160</v>
      </c>
      <c r="B8073" t="s">
        <v>18782</v>
      </c>
      <c r="C8073" t="s">
        <v>522</v>
      </c>
      <c r="G8073" t="s">
        <v>18783</v>
      </c>
      <c r="H8073" t="s">
        <v>653</v>
      </c>
      <c r="I8073" t="s">
        <v>117</v>
      </c>
      <c r="J8073">
        <v>10010</v>
      </c>
      <c r="K8073">
        <v>3215</v>
      </c>
      <c r="L8073" t="s">
        <v>23</v>
      </c>
      <c r="M8073" t="s">
        <v>18783</v>
      </c>
      <c r="N8073" t="s">
        <v>653</v>
      </c>
      <c r="O8073" t="s">
        <v>117</v>
      </c>
      <c r="P8073">
        <v>10010</v>
      </c>
      <c r="Q8073">
        <v>3215</v>
      </c>
      <c r="R8073" t="s">
        <v>23</v>
      </c>
      <c r="S8073" s="1" t="s">
        <v>34218</v>
      </c>
    </row>
    <row r="8074" spans="1:19" x14ac:dyDescent="0.25">
      <c r="A8074">
        <v>100515766</v>
      </c>
      <c r="B8074" t="s">
        <v>2859</v>
      </c>
      <c r="C8074" t="s">
        <v>1828</v>
      </c>
      <c r="G8074" t="s">
        <v>18784</v>
      </c>
      <c r="H8074" t="s">
        <v>18785</v>
      </c>
      <c r="I8074" t="s">
        <v>84</v>
      </c>
      <c r="J8074">
        <v>98294</v>
      </c>
      <c r="L8074" t="s">
        <v>23</v>
      </c>
      <c r="M8074" t="s">
        <v>18784</v>
      </c>
      <c r="N8074" t="s">
        <v>18785</v>
      </c>
      <c r="O8074" t="s">
        <v>84</v>
      </c>
      <c r="P8074">
        <v>98294</v>
      </c>
      <c r="R8074" t="s">
        <v>23</v>
      </c>
      <c r="S8074" s="1" t="s">
        <v>34218</v>
      </c>
    </row>
    <row r="8075" spans="1:19" x14ac:dyDescent="0.25">
      <c r="A8075">
        <v>101172297</v>
      </c>
      <c r="B8075" t="s">
        <v>18786</v>
      </c>
      <c r="C8075" t="s">
        <v>1306</v>
      </c>
      <c r="G8075" t="s">
        <v>18787</v>
      </c>
      <c r="H8075" t="s">
        <v>18788</v>
      </c>
      <c r="I8075" t="s">
        <v>365</v>
      </c>
      <c r="J8075">
        <v>86325</v>
      </c>
      <c r="L8075" t="s">
        <v>23</v>
      </c>
      <c r="M8075" t="s">
        <v>18787</v>
      </c>
      <c r="N8075" t="s">
        <v>18788</v>
      </c>
      <c r="O8075" t="s">
        <v>365</v>
      </c>
      <c r="P8075">
        <v>86325</v>
      </c>
      <c r="R8075" t="s">
        <v>23</v>
      </c>
      <c r="S8075" s="1" t="s">
        <v>34218</v>
      </c>
    </row>
    <row r="8076" spans="1:19" x14ac:dyDescent="0.25">
      <c r="A8076">
        <v>100891431</v>
      </c>
      <c r="B8076" t="s">
        <v>18789</v>
      </c>
      <c r="C8076" t="s">
        <v>1141</v>
      </c>
      <c r="G8076" t="s">
        <v>18790</v>
      </c>
      <c r="H8076" t="s">
        <v>1096</v>
      </c>
      <c r="I8076" t="s">
        <v>1097</v>
      </c>
      <c r="J8076">
        <v>40272</v>
      </c>
      <c r="K8076">
        <v>3864</v>
      </c>
      <c r="L8076" t="s">
        <v>23</v>
      </c>
      <c r="M8076" t="s">
        <v>18790</v>
      </c>
      <c r="N8076" t="s">
        <v>1096</v>
      </c>
      <c r="O8076" t="s">
        <v>1097</v>
      </c>
      <c r="P8076">
        <v>40272</v>
      </c>
      <c r="Q8076">
        <v>3864</v>
      </c>
      <c r="R8076" t="s">
        <v>23</v>
      </c>
      <c r="S8076" s="1" t="s">
        <v>34218</v>
      </c>
    </row>
    <row r="8077" spans="1:19" x14ac:dyDescent="0.25">
      <c r="A8077">
        <v>100748492</v>
      </c>
      <c r="B8077" t="s">
        <v>18791</v>
      </c>
      <c r="C8077" t="s">
        <v>1153</v>
      </c>
      <c r="G8077">
        <v>55118</v>
      </c>
      <c r="H8077" t="s">
        <v>1405</v>
      </c>
      <c r="I8077" t="s">
        <v>187</v>
      </c>
      <c r="J8077">
        <v>55118</v>
      </c>
      <c r="L8077" t="s">
        <v>23</v>
      </c>
      <c r="M8077">
        <v>55118</v>
      </c>
      <c r="N8077" t="s">
        <v>1405</v>
      </c>
      <c r="O8077" t="s">
        <v>187</v>
      </c>
      <c r="P8077">
        <v>55118</v>
      </c>
      <c r="R8077" t="s">
        <v>23</v>
      </c>
      <c r="S8077" s="1" t="s">
        <v>34218</v>
      </c>
    </row>
    <row r="8078" spans="1:19" x14ac:dyDescent="0.25">
      <c r="A8078">
        <v>101457595</v>
      </c>
      <c r="B8078" t="s">
        <v>18792</v>
      </c>
      <c r="C8078" t="s">
        <v>1463</v>
      </c>
      <c r="G8078" t="s">
        <v>18793</v>
      </c>
      <c r="H8078" t="s">
        <v>4751</v>
      </c>
      <c r="I8078" t="s">
        <v>135</v>
      </c>
      <c r="J8078">
        <v>60714</v>
      </c>
      <c r="K8078">
        <v>2940</v>
      </c>
      <c r="L8078" t="s">
        <v>23</v>
      </c>
      <c r="M8078" t="s">
        <v>18793</v>
      </c>
      <c r="N8078" t="s">
        <v>4751</v>
      </c>
      <c r="O8078" t="s">
        <v>135</v>
      </c>
      <c r="P8078">
        <v>60714</v>
      </c>
      <c r="Q8078">
        <v>2940</v>
      </c>
      <c r="R8078" t="s">
        <v>23</v>
      </c>
      <c r="S8078" s="1" t="s">
        <v>34218</v>
      </c>
    </row>
    <row r="8079" spans="1:19" x14ac:dyDescent="0.25">
      <c r="A8079">
        <v>101278146</v>
      </c>
      <c r="B8079" t="s">
        <v>3256</v>
      </c>
      <c r="C8079" t="s">
        <v>1306</v>
      </c>
      <c r="G8079" t="s">
        <v>18794</v>
      </c>
      <c r="H8079" t="s">
        <v>438</v>
      </c>
      <c r="I8079" t="s">
        <v>71</v>
      </c>
      <c r="J8079">
        <v>80503</v>
      </c>
      <c r="K8079">
        <v>8866</v>
      </c>
      <c r="L8079" t="s">
        <v>23</v>
      </c>
      <c r="M8079" t="s">
        <v>18794</v>
      </c>
      <c r="N8079" t="s">
        <v>438</v>
      </c>
      <c r="O8079" t="s">
        <v>71</v>
      </c>
      <c r="P8079">
        <v>80503</v>
      </c>
      <c r="Q8079">
        <v>8866</v>
      </c>
      <c r="R8079" t="s">
        <v>23</v>
      </c>
      <c r="S8079" s="1" t="s">
        <v>34218</v>
      </c>
    </row>
    <row r="8080" spans="1:19" x14ac:dyDescent="0.25">
      <c r="A8080">
        <v>101255328</v>
      </c>
      <c r="B8080" t="s">
        <v>18795</v>
      </c>
      <c r="C8080" t="s">
        <v>1058</v>
      </c>
      <c r="G8080" t="s">
        <v>18796</v>
      </c>
      <c r="H8080" t="s">
        <v>88</v>
      </c>
      <c r="I8080" t="s">
        <v>22</v>
      </c>
      <c r="J8080">
        <v>94602</v>
      </c>
      <c r="K8080">
        <v>4016</v>
      </c>
      <c r="L8080" t="s">
        <v>23</v>
      </c>
      <c r="M8080" t="s">
        <v>18796</v>
      </c>
      <c r="N8080" t="s">
        <v>88</v>
      </c>
      <c r="O8080" t="s">
        <v>22</v>
      </c>
      <c r="P8080">
        <v>94602</v>
      </c>
      <c r="Q8080">
        <v>4016</v>
      </c>
      <c r="R8080" t="s">
        <v>23</v>
      </c>
      <c r="S8080" s="1" t="s">
        <v>34218</v>
      </c>
    </row>
    <row r="8081" spans="1:19" x14ac:dyDescent="0.25">
      <c r="A8081">
        <v>101284277</v>
      </c>
      <c r="B8081" t="s">
        <v>15092</v>
      </c>
      <c r="C8081" t="s">
        <v>18797</v>
      </c>
      <c r="G8081" t="s">
        <v>18798</v>
      </c>
      <c r="H8081" t="s">
        <v>4117</v>
      </c>
      <c r="I8081" t="s">
        <v>187</v>
      </c>
      <c r="J8081">
        <v>55042</v>
      </c>
      <c r="K8081">
        <v>8529</v>
      </c>
      <c r="L8081" t="s">
        <v>23</v>
      </c>
      <c r="M8081" t="s">
        <v>18798</v>
      </c>
      <c r="N8081" t="s">
        <v>4117</v>
      </c>
      <c r="O8081" t="s">
        <v>187</v>
      </c>
      <c r="P8081">
        <v>55042</v>
      </c>
      <c r="Q8081">
        <v>8529</v>
      </c>
      <c r="R8081" t="s">
        <v>23</v>
      </c>
      <c r="S8081" s="1" t="s">
        <v>34218</v>
      </c>
    </row>
    <row r="8082" spans="1:19" x14ac:dyDescent="0.25">
      <c r="A8082">
        <v>101337536</v>
      </c>
      <c r="B8082" t="s">
        <v>16900</v>
      </c>
      <c r="C8082" t="s">
        <v>575</v>
      </c>
      <c r="G8082" t="s">
        <v>18799</v>
      </c>
      <c r="H8082" t="s">
        <v>16848</v>
      </c>
      <c r="I8082" t="s">
        <v>33</v>
      </c>
      <c r="J8082">
        <v>19050</v>
      </c>
      <c r="K8082">
        <v>1619</v>
      </c>
      <c r="L8082" t="s">
        <v>23</v>
      </c>
      <c r="M8082" t="s">
        <v>18799</v>
      </c>
      <c r="N8082" t="s">
        <v>16848</v>
      </c>
      <c r="O8082" t="s">
        <v>33</v>
      </c>
      <c r="P8082">
        <v>19050</v>
      </c>
      <c r="Q8082">
        <v>1619</v>
      </c>
      <c r="R8082" t="s">
        <v>23</v>
      </c>
      <c r="S8082" s="1" t="s">
        <v>34218</v>
      </c>
    </row>
    <row r="8083" spans="1:19" x14ac:dyDescent="0.25">
      <c r="A8083">
        <v>101466157</v>
      </c>
      <c r="B8083" t="s">
        <v>16565</v>
      </c>
      <c r="C8083" t="s">
        <v>49</v>
      </c>
      <c r="G8083" t="s">
        <v>18800</v>
      </c>
      <c r="H8083" t="s">
        <v>88</v>
      </c>
      <c r="I8083" t="s">
        <v>22</v>
      </c>
      <c r="J8083">
        <v>94611</v>
      </c>
      <c r="K8083">
        <v>5825</v>
      </c>
      <c r="L8083" t="s">
        <v>23</v>
      </c>
      <c r="M8083" t="s">
        <v>18800</v>
      </c>
      <c r="N8083" t="s">
        <v>88</v>
      </c>
      <c r="O8083" t="s">
        <v>22</v>
      </c>
      <c r="P8083">
        <v>94611</v>
      </c>
      <c r="Q8083">
        <v>5825</v>
      </c>
      <c r="R8083" t="s">
        <v>23</v>
      </c>
      <c r="S8083" s="1" t="s">
        <v>34218</v>
      </c>
    </row>
    <row r="8084" spans="1:19" x14ac:dyDescent="0.25">
      <c r="A8084">
        <v>101291808</v>
      </c>
      <c r="B8084" t="s">
        <v>4170</v>
      </c>
      <c r="C8084" t="s">
        <v>45</v>
      </c>
      <c r="G8084" t="s">
        <v>18801</v>
      </c>
      <c r="H8084" t="s">
        <v>5700</v>
      </c>
      <c r="I8084" t="s">
        <v>28</v>
      </c>
      <c r="J8084">
        <v>30188</v>
      </c>
      <c r="K8084">
        <v>1384</v>
      </c>
      <c r="L8084" t="s">
        <v>23</v>
      </c>
      <c r="M8084" t="s">
        <v>18801</v>
      </c>
      <c r="N8084" t="s">
        <v>5700</v>
      </c>
      <c r="O8084" t="s">
        <v>28</v>
      </c>
      <c r="P8084">
        <v>30188</v>
      </c>
      <c r="Q8084">
        <v>1384</v>
      </c>
      <c r="R8084" t="s">
        <v>23</v>
      </c>
      <c r="S8084" s="1" t="s">
        <v>34218</v>
      </c>
    </row>
    <row r="8085" spans="1:19" x14ac:dyDescent="0.25">
      <c r="A8085">
        <v>101327321</v>
      </c>
      <c r="B8085" t="s">
        <v>5127</v>
      </c>
      <c r="C8085" t="s">
        <v>40</v>
      </c>
      <c r="G8085" t="s">
        <v>18802</v>
      </c>
      <c r="H8085" t="s">
        <v>12957</v>
      </c>
      <c r="I8085" t="s">
        <v>250</v>
      </c>
      <c r="J8085">
        <v>7836</v>
      </c>
      <c r="L8085" t="s">
        <v>23</v>
      </c>
      <c r="M8085" t="s">
        <v>18802</v>
      </c>
      <c r="N8085" t="s">
        <v>12957</v>
      </c>
      <c r="O8085" t="s">
        <v>250</v>
      </c>
      <c r="P8085">
        <v>7836</v>
      </c>
      <c r="R8085" t="s">
        <v>23</v>
      </c>
      <c r="S8085" s="1" t="s">
        <v>34218</v>
      </c>
    </row>
    <row r="8086" spans="1:19" x14ac:dyDescent="0.25">
      <c r="A8086">
        <v>101470079</v>
      </c>
      <c r="B8086" t="s">
        <v>18803</v>
      </c>
      <c r="C8086" t="s">
        <v>18804</v>
      </c>
      <c r="G8086" t="s">
        <v>4250</v>
      </c>
      <c r="H8086" t="s">
        <v>4251</v>
      </c>
      <c r="I8086" t="s">
        <v>914</v>
      </c>
      <c r="J8086">
        <v>37890</v>
      </c>
      <c r="K8086">
        <v>4903</v>
      </c>
      <c r="L8086" t="s">
        <v>23</v>
      </c>
      <c r="M8086" t="s">
        <v>4250</v>
      </c>
      <c r="N8086" t="s">
        <v>4251</v>
      </c>
      <c r="O8086" t="s">
        <v>914</v>
      </c>
      <c r="P8086">
        <v>37890</v>
      </c>
      <c r="Q8086">
        <v>4903</v>
      </c>
      <c r="R8086" t="s">
        <v>23</v>
      </c>
      <c r="S8086" s="1" t="s">
        <v>34218</v>
      </c>
    </row>
    <row r="8087" spans="1:19" x14ac:dyDescent="0.25">
      <c r="A8087">
        <v>101480500</v>
      </c>
      <c r="B8087" t="s">
        <v>18805</v>
      </c>
      <c r="C8087" t="s">
        <v>18806</v>
      </c>
      <c r="H8087" t="s">
        <v>9751</v>
      </c>
      <c r="I8087" t="s">
        <v>9752</v>
      </c>
      <c r="J8087">
        <v>918</v>
      </c>
      <c r="L8087" t="s">
        <v>23</v>
      </c>
      <c r="N8087" t="s">
        <v>9751</v>
      </c>
      <c r="O8087" t="s">
        <v>9752</v>
      </c>
      <c r="P8087">
        <v>918</v>
      </c>
      <c r="R8087" t="s">
        <v>23</v>
      </c>
      <c r="S8087" s="1" t="s">
        <v>34218</v>
      </c>
    </row>
    <row r="8088" spans="1:19" x14ac:dyDescent="0.25">
      <c r="A8088">
        <v>100738524</v>
      </c>
      <c r="B8088" t="s">
        <v>18807</v>
      </c>
      <c r="C8088" t="s">
        <v>1793</v>
      </c>
      <c r="H8088" t="s">
        <v>18808</v>
      </c>
      <c r="I8088" t="s">
        <v>18809</v>
      </c>
      <c r="J8088">
        <v>13210</v>
      </c>
      <c r="L8088" t="s">
        <v>9628</v>
      </c>
      <c r="N8088" t="s">
        <v>18808</v>
      </c>
      <c r="O8088" t="s">
        <v>18809</v>
      </c>
      <c r="P8088">
        <v>13210</v>
      </c>
      <c r="R8088" t="s">
        <v>9628</v>
      </c>
      <c r="S8088" s="1" t="s">
        <v>34218</v>
      </c>
    </row>
    <row r="8089" spans="1:19" x14ac:dyDescent="0.25">
      <c r="A8089">
        <v>101481213</v>
      </c>
      <c r="B8089" t="s">
        <v>13531</v>
      </c>
      <c r="C8089" t="s">
        <v>3951</v>
      </c>
      <c r="G8089" t="s">
        <v>18810</v>
      </c>
      <c r="H8089" t="s">
        <v>4235</v>
      </c>
      <c r="I8089" t="s">
        <v>984</v>
      </c>
      <c r="J8089">
        <v>96822</v>
      </c>
      <c r="K8089">
        <v>5041</v>
      </c>
      <c r="L8089" t="s">
        <v>23</v>
      </c>
      <c r="M8089" t="s">
        <v>18810</v>
      </c>
      <c r="N8089" t="s">
        <v>4235</v>
      </c>
      <c r="O8089" t="s">
        <v>984</v>
      </c>
      <c r="P8089">
        <v>96822</v>
      </c>
      <c r="Q8089">
        <v>5041</v>
      </c>
      <c r="R8089" t="s">
        <v>23</v>
      </c>
      <c r="S8089" s="1" t="s">
        <v>34218</v>
      </c>
    </row>
    <row r="8090" spans="1:19" x14ac:dyDescent="0.25">
      <c r="A8090">
        <v>101474148</v>
      </c>
      <c r="B8090" t="s">
        <v>18811</v>
      </c>
      <c r="C8090" t="s">
        <v>2653</v>
      </c>
      <c r="G8090" t="s">
        <v>18812</v>
      </c>
      <c r="H8090" t="s">
        <v>2169</v>
      </c>
      <c r="I8090" t="s">
        <v>365</v>
      </c>
      <c r="J8090">
        <v>85284</v>
      </c>
      <c r="K8090">
        <v>1673</v>
      </c>
      <c r="L8090" t="s">
        <v>23</v>
      </c>
      <c r="M8090" t="s">
        <v>18812</v>
      </c>
      <c r="N8090" t="s">
        <v>2169</v>
      </c>
      <c r="O8090" t="s">
        <v>365</v>
      </c>
      <c r="P8090">
        <v>85284</v>
      </c>
      <c r="Q8090">
        <v>1673</v>
      </c>
      <c r="R8090" t="s">
        <v>23</v>
      </c>
      <c r="S8090" s="1" t="s">
        <v>34218</v>
      </c>
    </row>
    <row r="8091" spans="1:19" x14ac:dyDescent="0.25">
      <c r="A8091">
        <v>101474949</v>
      </c>
      <c r="B8091" t="s">
        <v>12595</v>
      </c>
      <c r="C8091" t="s">
        <v>432</v>
      </c>
      <c r="G8091" t="s">
        <v>18813</v>
      </c>
      <c r="H8091" t="s">
        <v>18814</v>
      </c>
      <c r="I8091" t="s">
        <v>52</v>
      </c>
      <c r="J8091">
        <v>33455</v>
      </c>
      <c r="K8091">
        <v>6809</v>
      </c>
      <c r="L8091" t="s">
        <v>23</v>
      </c>
      <c r="M8091" t="s">
        <v>18813</v>
      </c>
      <c r="N8091" t="s">
        <v>18814</v>
      </c>
      <c r="O8091" t="s">
        <v>52</v>
      </c>
      <c r="P8091">
        <v>33455</v>
      </c>
      <c r="Q8091">
        <v>6809</v>
      </c>
      <c r="R8091" t="s">
        <v>23</v>
      </c>
      <c r="S8091" s="1" t="s">
        <v>34218</v>
      </c>
    </row>
    <row r="8092" spans="1:19" x14ac:dyDescent="0.25">
      <c r="A8092">
        <v>101474981</v>
      </c>
      <c r="B8092" t="s">
        <v>18815</v>
      </c>
      <c r="C8092" t="s">
        <v>466</v>
      </c>
      <c r="G8092" t="s">
        <v>18816</v>
      </c>
      <c r="H8092" t="s">
        <v>18817</v>
      </c>
      <c r="I8092" t="s">
        <v>1482</v>
      </c>
      <c r="J8092">
        <v>29920</v>
      </c>
      <c r="K8092">
        <v>7053</v>
      </c>
      <c r="L8092" t="s">
        <v>23</v>
      </c>
      <c r="M8092" t="s">
        <v>18816</v>
      </c>
      <c r="N8092" t="s">
        <v>18817</v>
      </c>
      <c r="O8092" t="s">
        <v>1482</v>
      </c>
      <c r="P8092">
        <v>29920</v>
      </c>
      <c r="Q8092">
        <v>7053</v>
      </c>
      <c r="R8092" t="s">
        <v>23</v>
      </c>
      <c r="S8092" s="1" t="s">
        <v>34218</v>
      </c>
    </row>
    <row r="8093" spans="1:19" x14ac:dyDescent="0.25">
      <c r="A8093">
        <v>101475049</v>
      </c>
      <c r="B8093" t="s">
        <v>18818</v>
      </c>
      <c r="C8093" t="s">
        <v>4131</v>
      </c>
      <c r="G8093" t="s">
        <v>18819</v>
      </c>
      <c r="H8093" t="s">
        <v>18820</v>
      </c>
      <c r="I8093" t="s">
        <v>28</v>
      </c>
      <c r="J8093">
        <v>30542</v>
      </c>
      <c r="K8093">
        <v>5608</v>
      </c>
      <c r="L8093" t="s">
        <v>23</v>
      </c>
      <c r="M8093" t="s">
        <v>18819</v>
      </c>
      <c r="N8093" t="s">
        <v>18820</v>
      </c>
      <c r="O8093" t="s">
        <v>28</v>
      </c>
      <c r="P8093">
        <v>30542</v>
      </c>
      <c r="Q8093">
        <v>5608</v>
      </c>
      <c r="R8093" t="s">
        <v>23</v>
      </c>
      <c r="S8093" s="1" t="s">
        <v>34218</v>
      </c>
    </row>
    <row r="8094" spans="1:19" x14ac:dyDescent="0.25">
      <c r="A8094">
        <v>101475066</v>
      </c>
      <c r="B8094" t="s">
        <v>18821</v>
      </c>
      <c r="C8094" t="s">
        <v>1327</v>
      </c>
      <c r="G8094" t="s">
        <v>18822</v>
      </c>
      <c r="H8094" t="s">
        <v>13853</v>
      </c>
      <c r="I8094" t="s">
        <v>28</v>
      </c>
      <c r="J8094">
        <v>31548</v>
      </c>
      <c r="K8094">
        <v>6853</v>
      </c>
      <c r="L8094" t="s">
        <v>23</v>
      </c>
      <c r="M8094" t="s">
        <v>18822</v>
      </c>
      <c r="N8094" t="s">
        <v>13853</v>
      </c>
      <c r="O8094" t="s">
        <v>28</v>
      </c>
      <c r="P8094">
        <v>31548</v>
      </c>
      <c r="Q8094">
        <v>6853</v>
      </c>
      <c r="R8094" t="s">
        <v>23</v>
      </c>
      <c r="S8094" s="1" t="s">
        <v>34218</v>
      </c>
    </row>
    <row r="8095" spans="1:19" x14ac:dyDescent="0.25">
      <c r="A8095">
        <v>101475084</v>
      </c>
      <c r="B8095" t="s">
        <v>18823</v>
      </c>
      <c r="C8095" t="s">
        <v>4273</v>
      </c>
      <c r="G8095" t="s">
        <v>18824</v>
      </c>
      <c r="H8095" t="s">
        <v>8479</v>
      </c>
      <c r="I8095" t="s">
        <v>52</v>
      </c>
      <c r="J8095">
        <v>32127</v>
      </c>
      <c r="K8095">
        <v>5901</v>
      </c>
      <c r="L8095" t="s">
        <v>23</v>
      </c>
      <c r="M8095" t="s">
        <v>18824</v>
      </c>
      <c r="N8095" t="s">
        <v>8479</v>
      </c>
      <c r="O8095" t="s">
        <v>52</v>
      </c>
      <c r="P8095">
        <v>32127</v>
      </c>
      <c r="Q8095">
        <v>5901</v>
      </c>
      <c r="R8095" t="s">
        <v>23</v>
      </c>
      <c r="S8095" s="1" t="s">
        <v>34218</v>
      </c>
    </row>
    <row r="8096" spans="1:19" x14ac:dyDescent="0.25">
      <c r="A8096">
        <v>100711470</v>
      </c>
      <c r="B8096" t="s">
        <v>4477</v>
      </c>
      <c r="C8096" t="s">
        <v>4284</v>
      </c>
      <c r="G8096" t="s">
        <v>18825</v>
      </c>
      <c r="H8096" t="s">
        <v>18826</v>
      </c>
      <c r="I8096" t="s">
        <v>365</v>
      </c>
      <c r="J8096">
        <v>85625</v>
      </c>
      <c r="L8096" t="s">
        <v>23</v>
      </c>
      <c r="M8096" t="s">
        <v>18825</v>
      </c>
      <c r="N8096" t="s">
        <v>18826</v>
      </c>
      <c r="O8096" t="s">
        <v>365</v>
      </c>
      <c r="P8096">
        <v>85625</v>
      </c>
      <c r="R8096" t="s">
        <v>23</v>
      </c>
      <c r="S8096" s="1" t="s">
        <v>34218</v>
      </c>
    </row>
    <row r="8097" spans="1:19" x14ac:dyDescent="0.25">
      <c r="A8097">
        <v>101280674</v>
      </c>
      <c r="B8097" t="s">
        <v>1444</v>
      </c>
      <c r="C8097" t="s">
        <v>16976</v>
      </c>
      <c r="G8097" t="s">
        <v>18827</v>
      </c>
      <c r="H8097" t="s">
        <v>4199</v>
      </c>
      <c r="I8097" t="s">
        <v>71</v>
      </c>
      <c r="J8097">
        <v>80026</v>
      </c>
      <c r="K8097">
        <v>1102</v>
      </c>
      <c r="L8097" t="s">
        <v>23</v>
      </c>
      <c r="M8097" t="s">
        <v>18827</v>
      </c>
      <c r="N8097" t="s">
        <v>4199</v>
      </c>
      <c r="O8097" t="s">
        <v>71</v>
      </c>
      <c r="P8097">
        <v>80026</v>
      </c>
      <c r="Q8097">
        <v>1102</v>
      </c>
      <c r="R8097" t="s">
        <v>23</v>
      </c>
      <c r="S8097" s="1" t="s">
        <v>34218</v>
      </c>
    </row>
    <row r="8098" spans="1:19" x14ac:dyDescent="0.25">
      <c r="A8098">
        <v>101457115</v>
      </c>
      <c r="B8098" t="s">
        <v>2074</v>
      </c>
      <c r="C8098" t="s">
        <v>1731</v>
      </c>
      <c r="G8098" t="s">
        <v>18828</v>
      </c>
      <c r="H8098" t="s">
        <v>393</v>
      </c>
      <c r="I8098" t="s">
        <v>71</v>
      </c>
      <c r="J8098">
        <v>80211</v>
      </c>
      <c r="K8098">
        <v>4053</v>
      </c>
      <c r="L8098" t="s">
        <v>23</v>
      </c>
      <c r="M8098" t="s">
        <v>18828</v>
      </c>
      <c r="N8098" t="s">
        <v>393</v>
      </c>
      <c r="O8098" t="s">
        <v>71</v>
      </c>
      <c r="P8098">
        <v>80211</v>
      </c>
      <c r="Q8098">
        <v>4053</v>
      </c>
      <c r="R8098" t="s">
        <v>23</v>
      </c>
      <c r="S8098" s="1" t="s">
        <v>34218</v>
      </c>
    </row>
    <row r="8099" spans="1:19" x14ac:dyDescent="0.25">
      <c r="A8099">
        <v>101457211</v>
      </c>
      <c r="B8099" t="s">
        <v>18829</v>
      </c>
      <c r="C8099" t="s">
        <v>1208</v>
      </c>
      <c r="G8099" t="s">
        <v>18830</v>
      </c>
      <c r="H8099" t="s">
        <v>18525</v>
      </c>
      <c r="I8099" t="s">
        <v>117</v>
      </c>
      <c r="J8099">
        <v>11783</v>
      </c>
      <c r="K8099">
        <v>1715</v>
      </c>
      <c r="L8099" t="s">
        <v>23</v>
      </c>
      <c r="M8099" t="s">
        <v>18830</v>
      </c>
      <c r="N8099" t="s">
        <v>18525</v>
      </c>
      <c r="O8099" t="s">
        <v>117</v>
      </c>
      <c r="P8099">
        <v>11783</v>
      </c>
      <c r="Q8099">
        <v>1715</v>
      </c>
      <c r="R8099" t="s">
        <v>23</v>
      </c>
      <c r="S8099" s="1" t="s">
        <v>34218</v>
      </c>
    </row>
    <row r="8100" spans="1:19" x14ac:dyDescent="0.25">
      <c r="A8100">
        <v>101340656</v>
      </c>
      <c r="B8100" t="s">
        <v>18831</v>
      </c>
      <c r="C8100" t="s">
        <v>252</v>
      </c>
      <c r="G8100" t="s">
        <v>18832</v>
      </c>
      <c r="H8100" t="s">
        <v>6151</v>
      </c>
      <c r="I8100" t="s">
        <v>33</v>
      </c>
      <c r="J8100">
        <v>17603</v>
      </c>
      <c r="K8100">
        <v>5029</v>
      </c>
      <c r="L8100" t="s">
        <v>23</v>
      </c>
      <c r="M8100" t="s">
        <v>18832</v>
      </c>
      <c r="N8100" t="s">
        <v>6151</v>
      </c>
      <c r="O8100" t="s">
        <v>33</v>
      </c>
      <c r="P8100">
        <v>17603</v>
      </c>
      <c r="Q8100">
        <v>5029</v>
      </c>
      <c r="R8100" t="s">
        <v>23</v>
      </c>
      <c r="S8100" s="1" t="s">
        <v>34218</v>
      </c>
    </row>
    <row r="8101" spans="1:19" x14ac:dyDescent="0.25">
      <c r="A8101">
        <v>101432158</v>
      </c>
      <c r="B8101" t="s">
        <v>18833</v>
      </c>
      <c r="C8101" t="s">
        <v>9601</v>
      </c>
      <c r="G8101" t="s">
        <v>18834</v>
      </c>
      <c r="H8101" t="s">
        <v>18835</v>
      </c>
      <c r="I8101" t="s">
        <v>236</v>
      </c>
      <c r="J8101">
        <v>1824</v>
      </c>
      <c r="K8101">
        <v>3720</v>
      </c>
      <c r="L8101" t="s">
        <v>23</v>
      </c>
      <c r="M8101" t="s">
        <v>18834</v>
      </c>
      <c r="N8101" t="s">
        <v>18835</v>
      </c>
      <c r="O8101" t="s">
        <v>236</v>
      </c>
      <c r="P8101">
        <v>1824</v>
      </c>
      <c r="Q8101">
        <v>3720</v>
      </c>
      <c r="R8101" t="s">
        <v>23</v>
      </c>
      <c r="S8101" s="1" t="s">
        <v>34218</v>
      </c>
    </row>
    <row r="8102" spans="1:19" x14ac:dyDescent="0.25">
      <c r="A8102">
        <v>101417226</v>
      </c>
      <c r="B8102" t="s">
        <v>18836</v>
      </c>
      <c r="C8102" t="s">
        <v>18837</v>
      </c>
      <c r="G8102" t="s">
        <v>18838</v>
      </c>
      <c r="H8102" t="s">
        <v>18839</v>
      </c>
      <c r="I8102" t="s">
        <v>135</v>
      </c>
      <c r="J8102">
        <v>60517</v>
      </c>
      <c r="K8102">
        <v>523</v>
      </c>
      <c r="L8102" t="s">
        <v>23</v>
      </c>
      <c r="M8102" t="s">
        <v>18838</v>
      </c>
      <c r="N8102" t="s">
        <v>18839</v>
      </c>
      <c r="O8102" t="s">
        <v>135</v>
      </c>
      <c r="P8102">
        <v>60517</v>
      </c>
      <c r="Q8102">
        <v>523</v>
      </c>
      <c r="R8102" t="s">
        <v>23</v>
      </c>
      <c r="S8102" s="1" t="s">
        <v>34218</v>
      </c>
    </row>
    <row r="8103" spans="1:19" x14ac:dyDescent="0.25">
      <c r="A8103">
        <v>101321295</v>
      </c>
      <c r="B8103" t="s">
        <v>18840</v>
      </c>
      <c r="C8103" t="s">
        <v>2776</v>
      </c>
      <c r="G8103" t="s">
        <v>18841</v>
      </c>
      <c r="H8103" t="s">
        <v>2056</v>
      </c>
      <c r="I8103" t="s">
        <v>148</v>
      </c>
      <c r="J8103">
        <v>20707</v>
      </c>
      <c r="K8103">
        <v>3228</v>
      </c>
      <c r="L8103" t="s">
        <v>23</v>
      </c>
      <c r="M8103" t="s">
        <v>18841</v>
      </c>
      <c r="N8103" t="s">
        <v>2056</v>
      </c>
      <c r="O8103" t="s">
        <v>148</v>
      </c>
      <c r="P8103">
        <v>20707</v>
      </c>
      <c r="Q8103">
        <v>3228</v>
      </c>
      <c r="R8103" t="s">
        <v>23</v>
      </c>
      <c r="S8103" s="1" t="s">
        <v>34218</v>
      </c>
    </row>
    <row r="8104" spans="1:19" x14ac:dyDescent="0.25">
      <c r="A8104">
        <v>101314730</v>
      </c>
      <c r="B8104" t="s">
        <v>11399</v>
      </c>
      <c r="C8104" t="s">
        <v>2343</v>
      </c>
      <c r="G8104" t="s">
        <v>18842</v>
      </c>
      <c r="H8104" t="s">
        <v>18843</v>
      </c>
      <c r="I8104" t="s">
        <v>52</v>
      </c>
      <c r="J8104">
        <v>33042</v>
      </c>
      <c r="K8104">
        <v>5504</v>
      </c>
      <c r="L8104" t="s">
        <v>23</v>
      </c>
      <c r="M8104" t="s">
        <v>18842</v>
      </c>
      <c r="N8104" t="s">
        <v>18843</v>
      </c>
      <c r="O8104" t="s">
        <v>52</v>
      </c>
      <c r="P8104">
        <v>33042</v>
      </c>
      <c r="Q8104">
        <v>5504</v>
      </c>
      <c r="R8104" t="s">
        <v>23</v>
      </c>
      <c r="S8104" s="1" t="s">
        <v>34218</v>
      </c>
    </row>
    <row r="8105" spans="1:19" x14ac:dyDescent="0.25">
      <c r="A8105">
        <v>101238789</v>
      </c>
      <c r="B8105" t="s">
        <v>18844</v>
      </c>
      <c r="C8105" t="s">
        <v>9150</v>
      </c>
      <c r="F8105" t="str">
        <f>"9849994810"</f>
        <v>9849994810</v>
      </c>
      <c r="G8105">
        <v>27516</v>
      </c>
      <c r="H8105" t="s">
        <v>1276</v>
      </c>
      <c r="I8105" t="s">
        <v>446</v>
      </c>
      <c r="J8105">
        <v>27516</v>
      </c>
      <c r="L8105" t="s">
        <v>23</v>
      </c>
      <c r="M8105">
        <v>27516</v>
      </c>
      <c r="N8105" t="s">
        <v>1276</v>
      </c>
      <c r="O8105" t="s">
        <v>446</v>
      </c>
      <c r="P8105">
        <v>27516</v>
      </c>
      <c r="R8105" t="s">
        <v>23</v>
      </c>
      <c r="S8105" s="1" t="s">
        <v>34218</v>
      </c>
    </row>
    <row r="8106" spans="1:19" x14ac:dyDescent="0.25">
      <c r="A8106">
        <v>101457425</v>
      </c>
      <c r="B8106" t="s">
        <v>557</v>
      </c>
      <c r="C8106" t="s">
        <v>1058</v>
      </c>
      <c r="G8106" t="s">
        <v>18845</v>
      </c>
      <c r="H8106" t="s">
        <v>481</v>
      </c>
      <c r="I8106" t="s">
        <v>22</v>
      </c>
      <c r="J8106">
        <v>95148</v>
      </c>
      <c r="K8106">
        <v>3626</v>
      </c>
      <c r="L8106" t="s">
        <v>23</v>
      </c>
      <c r="M8106" t="s">
        <v>18845</v>
      </c>
      <c r="N8106" t="s">
        <v>481</v>
      </c>
      <c r="O8106" t="s">
        <v>22</v>
      </c>
      <c r="P8106">
        <v>95148</v>
      </c>
      <c r="Q8106">
        <v>3626</v>
      </c>
      <c r="R8106" t="s">
        <v>23</v>
      </c>
      <c r="S8106" s="1" t="s">
        <v>34218</v>
      </c>
    </row>
    <row r="8107" spans="1:19" x14ac:dyDescent="0.25">
      <c r="A8107">
        <v>101426866</v>
      </c>
      <c r="B8107" t="s">
        <v>18846</v>
      </c>
      <c r="C8107" t="s">
        <v>8451</v>
      </c>
      <c r="G8107" t="s">
        <v>18847</v>
      </c>
      <c r="H8107" t="s">
        <v>18848</v>
      </c>
      <c r="I8107" t="s">
        <v>100</v>
      </c>
      <c r="J8107">
        <v>53597</v>
      </c>
      <c r="K8107">
        <v>9355</v>
      </c>
      <c r="L8107" t="s">
        <v>23</v>
      </c>
      <c r="M8107" t="s">
        <v>18847</v>
      </c>
      <c r="N8107" t="s">
        <v>18848</v>
      </c>
      <c r="O8107" t="s">
        <v>100</v>
      </c>
      <c r="P8107">
        <v>53597</v>
      </c>
      <c r="Q8107">
        <v>9355</v>
      </c>
      <c r="R8107" t="s">
        <v>23</v>
      </c>
      <c r="S8107" s="1" t="s">
        <v>34218</v>
      </c>
    </row>
    <row r="8108" spans="1:19" x14ac:dyDescent="0.25">
      <c r="A8108">
        <v>101443095</v>
      </c>
      <c r="B8108" t="s">
        <v>18849</v>
      </c>
      <c r="C8108" t="s">
        <v>18850</v>
      </c>
      <c r="G8108" t="s">
        <v>18851</v>
      </c>
      <c r="H8108" t="s">
        <v>130</v>
      </c>
      <c r="I8108" t="s">
        <v>22</v>
      </c>
      <c r="J8108">
        <v>94103</v>
      </c>
      <c r="L8108" t="s">
        <v>23</v>
      </c>
      <c r="M8108" t="s">
        <v>18851</v>
      </c>
      <c r="N8108" t="s">
        <v>130</v>
      </c>
      <c r="O8108" t="s">
        <v>22</v>
      </c>
      <c r="P8108">
        <v>94103</v>
      </c>
      <c r="R8108" t="s">
        <v>23</v>
      </c>
      <c r="S8108" s="1" t="s">
        <v>34218</v>
      </c>
    </row>
    <row r="8109" spans="1:19" x14ac:dyDescent="0.25">
      <c r="A8109">
        <v>100945614</v>
      </c>
      <c r="B8109" t="s">
        <v>3937</v>
      </c>
      <c r="C8109" t="s">
        <v>1218</v>
      </c>
      <c r="G8109">
        <v>95482</v>
      </c>
      <c r="H8109" t="s">
        <v>7846</v>
      </c>
      <c r="I8109" t="s">
        <v>22</v>
      </c>
      <c r="J8109">
        <v>95482</v>
      </c>
      <c r="L8109" t="s">
        <v>23</v>
      </c>
      <c r="M8109">
        <v>95482</v>
      </c>
      <c r="N8109" t="s">
        <v>7846</v>
      </c>
      <c r="O8109" t="s">
        <v>22</v>
      </c>
      <c r="P8109">
        <v>95482</v>
      </c>
      <c r="R8109" t="s">
        <v>23</v>
      </c>
      <c r="S8109" s="1" t="s">
        <v>34218</v>
      </c>
    </row>
    <row r="8110" spans="1:19" x14ac:dyDescent="0.25">
      <c r="A8110">
        <v>100911030</v>
      </c>
      <c r="B8110" t="s">
        <v>18852</v>
      </c>
      <c r="C8110" t="s">
        <v>11182</v>
      </c>
      <c r="G8110" t="s">
        <v>18853</v>
      </c>
      <c r="H8110" t="s">
        <v>511</v>
      </c>
      <c r="I8110" t="s">
        <v>33</v>
      </c>
      <c r="J8110">
        <v>16507</v>
      </c>
      <c r="L8110" t="s">
        <v>23</v>
      </c>
      <c r="M8110" t="s">
        <v>18853</v>
      </c>
      <c r="N8110" t="s">
        <v>511</v>
      </c>
      <c r="O8110" t="s">
        <v>33</v>
      </c>
      <c r="P8110">
        <v>16507</v>
      </c>
      <c r="R8110" t="s">
        <v>23</v>
      </c>
      <c r="S8110" s="1" t="s">
        <v>34218</v>
      </c>
    </row>
    <row r="8111" spans="1:19" x14ac:dyDescent="0.25">
      <c r="A8111">
        <v>101041965</v>
      </c>
      <c r="B8111" t="s">
        <v>18854</v>
      </c>
      <c r="C8111" t="s">
        <v>286</v>
      </c>
      <c r="G8111" t="s">
        <v>18855</v>
      </c>
      <c r="H8111" t="s">
        <v>219</v>
      </c>
      <c r="I8111" t="s">
        <v>117</v>
      </c>
      <c r="J8111">
        <v>12590</v>
      </c>
      <c r="L8111" t="s">
        <v>23</v>
      </c>
      <c r="M8111" t="s">
        <v>18855</v>
      </c>
      <c r="N8111" t="s">
        <v>219</v>
      </c>
      <c r="O8111" t="s">
        <v>117</v>
      </c>
      <c r="P8111">
        <v>12590</v>
      </c>
      <c r="R8111" t="s">
        <v>23</v>
      </c>
      <c r="S8111" s="1" t="s">
        <v>34218</v>
      </c>
    </row>
    <row r="8112" spans="1:19" x14ac:dyDescent="0.25">
      <c r="A8112">
        <v>101434869</v>
      </c>
      <c r="B8112" t="s">
        <v>3537</v>
      </c>
      <c r="C8112" t="s">
        <v>4180</v>
      </c>
      <c r="G8112" t="s">
        <v>18856</v>
      </c>
      <c r="H8112" t="s">
        <v>18857</v>
      </c>
      <c r="I8112" t="s">
        <v>38</v>
      </c>
      <c r="J8112">
        <v>77303</v>
      </c>
      <c r="K8112">
        <v>1804</v>
      </c>
      <c r="L8112" t="s">
        <v>23</v>
      </c>
      <c r="M8112" t="s">
        <v>18856</v>
      </c>
      <c r="N8112" t="s">
        <v>18857</v>
      </c>
      <c r="O8112" t="s">
        <v>38</v>
      </c>
      <c r="P8112">
        <v>77303</v>
      </c>
      <c r="Q8112">
        <v>1804</v>
      </c>
      <c r="R8112" t="s">
        <v>23</v>
      </c>
      <c r="S8112" s="1" t="s">
        <v>34218</v>
      </c>
    </row>
    <row r="8113" spans="1:19" x14ac:dyDescent="0.25">
      <c r="A8113">
        <v>101314134</v>
      </c>
      <c r="B8113" t="s">
        <v>18858</v>
      </c>
      <c r="C8113" t="s">
        <v>2557</v>
      </c>
      <c r="G8113" t="s">
        <v>18859</v>
      </c>
      <c r="H8113" t="s">
        <v>4114</v>
      </c>
      <c r="I8113" t="s">
        <v>117</v>
      </c>
      <c r="J8113">
        <v>12306</v>
      </c>
      <c r="L8113" t="s">
        <v>23</v>
      </c>
      <c r="M8113" t="s">
        <v>18859</v>
      </c>
      <c r="N8113" t="s">
        <v>4114</v>
      </c>
      <c r="O8113" t="s">
        <v>117</v>
      </c>
      <c r="P8113">
        <v>12306</v>
      </c>
      <c r="R8113" t="s">
        <v>23</v>
      </c>
      <c r="S8113" s="1" t="s">
        <v>34218</v>
      </c>
    </row>
    <row r="8114" spans="1:19" x14ac:dyDescent="0.25">
      <c r="A8114">
        <v>101448614</v>
      </c>
      <c r="B8114" t="s">
        <v>9451</v>
      </c>
      <c r="C8114" t="s">
        <v>641</v>
      </c>
      <c r="G8114" t="s">
        <v>18860</v>
      </c>
      <c r="H8114" t="s">
        <v>2086</v>
      </c>
      <c r="I8114" t="s">
        <v>178</v>
      </c>
      <c r="J8114">
        <v>45213</v>
      </c>
      <c r="K8114">
        <v>2106</v>
      </c>
      <c r="L8114" t="s">
        <v>23</v>
      </c>
      <c r="M8114" t="s">
        <v>18860</v>
      </c>
      <c r="N8114" t="s">
        <v>2086</v>
      </c>
      <c r="O8114" t="s">
        <v>178</v>
      </c>
      <c r="P8114">
        <v>45213</v>
      </c>
      <c r="Q8114">
        <v>2106</v>
      </c>
      <c r="R8114" t="s">
        <v>23</v>
      </c>
      <c r="S8114" s="1" t="s">
        <v>34218</v>
      </c>
    </row>
    <row r="8115" spans="1:19" x14ac:dyDescent="0.25">
      <c r="A8115">
        <v>101469591</v>
      </c>
      <c r="B8115" t="s">
        <v>18861</v>
      </c>
      <c r="C8115" t="s">
        <v>18862</v>
      </c>
      <c r="G8115" t="s">
        <v>18863</v>
      </c>
      <c r="H8115" t="s">
        <v>2957</v>
      </c>
      <c r="I8115" t="s">
        <v>178</v>
      </c>
      <c r="J8115">
        <v>44514</v>
      </c>
      <c r="K8115">
        <v>1121</v>
      </c>
      <c r="L8115" t="s">
        <v>23</v>
      </c>
      <c r="M8115" t="s">
        <v>18863</v>
      </c>
      <c r="N8115" t="s">
        <v>2957</v>
      </c>
      <c r="O8115" t="s">
        <v>178</v>
      </c>
      <c r="P8115">
        <v>44514</v>
      </c>
      <c r="Q8115">
        <v>1121</v>
      </c>
      <c r="R8115" t="s">
        <v>23</v>
      </c>
      <c r="S8115" s="1" t="s">
        <v>34218</v>
      </c>
    </row>
    <row r="8116" spans="1:19" x14ac:dyDescent="0.25">
      <c r="A8116">
        <v>101467801</v>
      </c>
      <c r="B8116" t="s">
        <v>3903</v>
      </c>
      <c r="C8116" t="s">
        <v>2047</v>
      </c>
      <c r="G8116" t="s">
        <v>18864</v>
      </c>
      <c r="H8116" t="s">
        <v>3183</v>
      </c>
      <c r="I8116" t="s">
        <v>178</v>
      </c>
      <c r="J8116">
        <v>45431</v>
      </c>
      <c r="K8116">
        <v>1138</v>
      </c>
      <c r="L8116" t="s">
        <v>23</v>
      </c>
      <c r="M8116" t="s">
        <v>18864</v>
      </c>
      <c r="N8116" t="s">
        <v>3183</v>
      </c>
      <c r="O8116" t="s">
        <v>178</v>
      </c>
      <c r="P8116">
        <v>45431</v>
      </c>
      <c r="Q8116">
        <v>1138</v>
      </c>
      <c r="R8116" t="s">
        <v>23</v>
      </c>
      <c r="S8116" s="1" t="s">
        <v>34218</v>
      </c>
    </row>
    <row r="8117" spans="1:19" x14ac:dyDescent="0.25">
      <c r="A8117">
        <v>101469606</v>
      </c>
      <c r="B8117" t="s">
        <v>18865</v>
      </c>
      <c r="C8117" t="s">
        <v>18866</v>
      </c>
      <c r="G8117" t="s">
        <v>18867</v>
      </c>
      <c r="H8117" t="s">
        <v>2684</v>
      </c>
      <c r="I8117" t="s">
        <v>22</v>
      </c>
      <c r="J8117">
        <v>94901</v>
      </c>
      <c r="K8117">
        <v>5042</v>
      </c>
      <c r="L8117" t="s">
        <v>23</v>
      </c>
      <c r="M8117" t="s">
        <v>18867</v>
      </c>
      <c r="N8117" t="s">
        <v>2684</v>
      </c>
      <c r="O8117" t="s">
        <v>22</v>
      </c>
      <c r="P8117">
        <v>94901</v>
      </c>
      <c r="Q8117">
        <v>5042</v>
      </c>
      <c r="R8117" t="s">
        <v>23</v>
      </c>
      <c r="S8117" s="1" t="s">
        <v>34218</v>
      </c>
    </row>
    <row r="8118" spans="1:19" x14ac:dyDescent="0.25">
      <c r="A8118">
        <v>100573243</v>
      </c>
      <c r="B8118" t="s">
        <v>18868</v>
      </c>
      <c r="C8118" t="s">
        <v>123</v>
      </c>
      <c r="G8118" t="s">
        <v>18869</v>
      </c>
      <c r="H8118" t="s">
        <v>11271</v>
      </c>
      <c r="I8118" t="s">
        <v>33</v>
      </c>
      <c r="J8118">
        <v>18301</v>
      </c>
      <c r="K8118">
        <v>8755</v>
      </c>
      <c r="L8118" t="s">
        <v>23</v>
      </c>
      <c r="M8118" t="s">
        <v>18869</v>
      </c>
      <c r="N8118" t="s">
        <v>11271</v>
      </c>
      <c r="O8118" t="s">
        <v>33</v>
      </c>
      <c r="P8118">
        <v>18301</v>
      </c>
      <c r="Q8118">
        <v>8755</v>
      </c>
      <c r="R8118" t="s">
        <v>23</v>
      </c>
      <c r="S8118" s="1" t="s">
        <v>34218</v>
      </c>
    </row>
    <row r="8119" spans="1:19" x14ac:dyDescent="0.25">
      <c r="A8119">
        <v>101428310</v>
      </c>
      <c r="B8119" t="s">
        <v>9300</v>
      </c>
      <c r="C8119" t="s">
        <v>4184</v>
      </c>
      <c r="G8119" t="s">
        <v>18870</v>
      </c>
      <c r="H8119" t="s">
        <v>3745</v>
      </c>
      <c r="I8119" t="s">
        <v>38</v>
      </c>
      <c r="J8119">
        <v>75104</v>
      </c>
      <c r="K8119">
        <v>8305</v>
      </c>
      <c r="L8119" t="s">
        <v>23</v>
      </c>
      <c r="M8119" t="s">
        <v>18870</v>
      </c>
      <c r="N8119" t="s">
        <v>3745</v>
      </c>
      <c r="O8119" t="s">
        <v>38</v>
      </c>
      <c r="P8119">
        <v>75104</v>
      </c>
      <c r="Q8119">
        <v>8305</v>
      </c>
      <c r="R8119" t="s">
        <v>23</v>
      </c>
      <c r="S8119" s="1" t="s">
        <v>34218</v>
      </c>
    </row>
    <row r="8120" spans="1:19" x14ac:dyDescent="0.25">
      <c r="A8120">
        <v>101266208</v>
      </c>
      <c r="B8120" t="s">
        <v>18871</v>
      </c>
      <c r="C8120" t="s">
        <v>10596</v>
      </c>
      <c r="G8120" t="s">
        <v>18872</v>
      </c>
      <c r="H8120" t="s">
        <v>653</v>
      </c>
      <c r="I8120" t="s">
        <v>117</v>
      </c>
      <c r="J8120">
        <v>10023</v>
      </c>
      <c r="K8120">
        <v>8305</v>
      </c>
      <c r="L8120" t="s">
        <v>23</v>
      </c>
      <c r="M8120" t="s">
        <v>18872</v>
      </c>
      <c r="N8120" t="s">
        <v>653</v>
      </c>
      <c r="O8120" t="s">
        <v>117</v>
      </c>
      <c r="P8120">
        <v>10023</v>
      </c>
      <c r="Q8120">
        <v>8305</v>
      </c>
      <c r="R8120" t="s">
        <v>23</v>
      </c>
      <c r="S8120" s="1" t="s">
        <v>34218</v>
      </c>
    </row>
    <row r="8121" spans="1:19" x14ac:dyDescent="0.25">
      <c r="A8121">
        <v>100533296</v>
      </c>
      <c r="B8121" t="s">
        <v>3956</v>
      </c>
      <c r="C8121" t="s">
        <v>18873</v>
      </c>
      <c r="G8121" t="s">
        <v>18874</v>
      </c>
      <c r="H8121" t="s">
        <v>1787</v>
      </c>
      <c r="I8121" t="s">
        <v>702</v>
      </c>
      <c r="J8121">
        <v>89129</v>
      </c>
      <c r="K8121">
        <v>4854</v>
      </c>
      <c r="L8121" t="s">
        <v>23</v>
      </c>
      <c r="M8121" t="s">
        <v>18874</v>
      </c>
      <c r="N8121" t="s">
        <v>1787</v>
      </c>
      <c r="O8121" t="s">
        <v>702</v>
      </c>
      <c r="P8121">
        <v>89129</v>
      </c>
      <c r="Q8121">
        <v>4854</v>
      </c>
      <c r="R8121" t="s">
        <v>23</v>
      </c>
      <c r="S8121" s="1" t="s">
        <v>34218</v>
      </c>
    </row>
    <row r="8122" spans="1:19" x14ac:dyDescent="0.25">
      <c r="A8122">
        <v>101467149</v>
      </c>
      <c r="B8122" t="s">
        <v>18875</v>
      </c>
      <c r="C8122" t="s">
        <v>406</v>
      </c>
      <c r="G8122" t="s">
        <v>18876</v>
      </c>
      <c r="H8122" t="s">
        <v>18877</v>
      </c>
      <c r="I8122" t="s">
        <v>135</v>
      </c>
      <c r="J8122">
        <v>60172</v>
      </c>
      <c r="K8122">
        <v>3314</v>
      </c>
      <c r="L8122" t="s">
        <v>23</v>
      </c>
      <c r="M8122" t="s">
        <v>18876</v>
      </c>
      <c r="N8122" t="s">
        <v>18877</v>
      </c>
      <c r="O8122" t="s">
        <v>135</v>
      </c>
      <c r="P8122">
        <v>60172</v>
      </c>
      <c r="Q8122">
        <v>3314</v>
      </c>
      <c r="R8122" t="s">
        <v>23</v>
      </c>
      <c r="S8122" s="1" t="s">
        <v>34218</v>
      </c>
    </row>
    <row r="8123" spans="1:19" x14ac:dyDescent="0.25">
      <c r="A8123">
        <v>101465603</v>
      </c>
      <c r="B8123" t="s">
        <v>18878</v>
      </c>
      <c r="C8123" t="s">
        <v>225</v>
      </c>
      <c r="G8123" t="s">
        <v>18879</v>
      </c>
      <c r="H8123" t="s">
        <v>595</v>
      </c>
      <c r="I8123" t="s">
        <v>22</v>
      </c>
      <c r="J8123">
        <v>94555</v>
      </c>
      <c r="K8123">
        <v>2241</v>
      </c>
      <c r="L8123" t="s">
        <v>23</v>
      </c>
      <c r="M8123" t="s">
        <v>18879</v>
      </c>
      <c r="N8123" t="s">
        <v>595</v>
      </c>
      <c r="O8123" t="s">
        <v>22</v>
      </c>
      <c r="P8123">
        <v>94555</v>
      </c>
      <c r="Q8123">
        <v>2241</v>
      </c>
      <c r="R8123" t="s">
        <v>23</v>
      </c>
      <c r="S8123" s="1" t="s">
        <v>34218</v>
      </c>
    </row>
    <row r="8124" spans="1:19" x14ac:dyDescent="0.25">
      <c r="A8124">
        <v>101472737</v>
      </c>
      <c r="B8124" t="s">
        <v>497</v>
      </c>
      <c r="C8124" t="s">
        <v>11083</v>
      </c>
      <c r="G8124" t="s">
        <v>18880</v>
      </c>
      <c r="H8124" t="s">
        <v>1217</v>
      </c>
      <c r="I8124" t="s">
        <v>332</v>
      </c>
      <c r="J8124">
        <v>84401</v>
      </c>
      <c r="K8124">
        <v>7095</v>
      </c>
      <c r="L8124" t="s">
        <v>23</v>
      </c>
      <c r="M8124" t="s">
        <v>18880</v>
      </c>
      <c r="N8124" t="s">
        <v>1217</v>
      </c>
      <c r="O8124" t="s">
        <v>332</v>
      </c>
      <c r="P8124">
        <v>84401</v>
      </c>
      <c r="Q8124">
        <v>7095</v>
      </c>
      <c r="R8124" t="s">
        <v>23</v>
      </c>
      <c r="S8124" s="1" t="s">
        <v>34218</v>
      </c>
    </row>
    <row r="8125" spans="1:19" x14ac:dyDescent="0.25">
      <c r="A8125">
        <v>101138761</v>
      </c>
      <c r="B8125" t="s">
        <v>1743</v>
      </c>
      <c r="C8125" t="s">
        <v>350</v>
      </c>
      <c r="G8125" t="s">
        <v>18881</v>
      </c>
      <c r="H8125" t="s">
        <v>3680</v>
      </c>
      <c r="I8125" t="s">
        <v>161</v>
      </c>
      <c r="J8125">
        <v>6825</v>
      </c>
      <c r="K8125">
        <v>3702</v>
      </c>
      <c r="L8125" t="s">
        <v>23</v>
      </c>
      <c r="M8125" t="s">
        <v>18881</v>
      </c>
      <c r="N8125" t="s">
        <v>3680</v>
      </c>
      <c r="O8125" t="s">
        <v>161</v>
      </c>
      <c r="P8125">
        <v>6825</v>
      </c>
      <c r="Q8125">
        <v>3702</v>
      </c>
      <c r="R8125" t="s">
        <v>23</v>
      </c>
      <c r="S8125" s="1" t="s">
        <v>34218</v>
      </c>
    </row>
    <row r="8126" spans="1:19" x14ac:dyDescent="0.25">
      <c r="A8126">
        <v>101223100</v>
      </c>
      <c r="B8126" t="s">
        <v>12144</v>
      </c>
      <c r="C8126" t="s">
        <v>1208</v>
      </c>
      <c r="G8126" t="s">
        <v>18882</v>
      </c>
      <c r="H8126" t="s">
        <v>18883</v>
      </c>
      <c r="I8126" t="s">
        <v>43</v>
      </c>
      <c r="J8126">
        <v>97128</v>
      </c>
      <c r="K8126">
        <v>9512</v>
      </c>
      <c r="L8126" t="s">
        <v>23</v>
      </c>
      <c r="M8126" t="s">
        <v>18882</v>
      </c>
      <c r="N8126" t="s">
        <v>18883</v>
      </c>
      <c r="O8126" t="s">
        <v>43</v>
      </c>
      <c r="P8126">
        <v>97128</v>
      </c>
      <c r="Q8126">
        <v>9512</v>
      </c>
      <c r="R8126" t="s">
        <v>23</v>
      </c>
      <c r="S8126" s="1" t="s">
        <v>34218</v>
      </c>
    </row>
    <row r="8127" spans="1:19" x14ac:dyDescent="0.25">
      <c r="A8127">
        <v>101226168</v>
      </c>
      <c r="B8127" t="s">
        <v>18884</v>
      </c>
      <c r="C8127" t="s">
        <v>2672</v>
      </c>
      <c r="F8127" t="str">
        <f>"5415154372"</f>
        <v>5415154372</v>
      </c>
      <c r="G8127" t="s">
        <v>18885</v>
      </c>
      <c r="H8127" t="s">
        <v>18698</v>
      </c>
      <c r="I8127" t="s">
        <v>43</v>
      </c>
      <c r="J8127">
        <v>97367</v>
      </c>
      <c r="K8127">
        <v>1356</v>
      </c>
      <c r="L8127" t="s">
        <v>23</v>
      </c>
      <c r="M8127" t="s">
        <v>18885</v>
      </c>
      <c r="N8127" t="s">
        <v>18698</v>
      </c>
      <c r="O8127" t="s">
        <v>43</v>
      </c>
      <c r="P8127">
        <v>97367</v>
      </c>
      <c r="Q8127">
        <v>1356</v>
      </c>
      <c r="R8127" t="s">
        <v>23</v>
      </c>
      <c r="S8127" s="1" t="s">
        <v>34218</v>
      </c>
    </row>
    <row r="8128" spans="1:19" x14ac:dyDescent="0.25">
      <c r="A8128">
        <v>101230189</v>
      </c>
      <c r="B8128" t="s">
        <v>744</v>
      </c>
      <c r="C8128" t="s">
        <v>4966</v>
      </c>
      <c r="G8128" t="s">
        <v>18886</v>
      </c>
      <c r="H8128" t="s">
        <v>18887</v>
      </c>
      <c r="I8128" t="s">
        <v>327</v>
      </c>
      <c r="J8128">
        <v>25414</v>
      </c>
      <c r="K8128">
        <v>4661</v>
      </c>
      <c r="L8128" t="s">
        <v>23</v>
      </c>
      <c r="M8128" t="s">
        <v>18886</v>
      </c>
      <c r="N8128" t="s">
        <v>18887</v>
      </c>
      <c r="O8128" t="s">
        <v>327</v>
      </c>
      <c r="P8128">
        <v>25414</v>
      </c>
      <c r="Q8128">
        <v>4661</v>
      </c>
      <c r="R8128" t="s">
        <v>23</v>
      </c>
      <c r="S8128" s="1" t="s">
        <v>34218</v>
      </c>
    </row>
    <row r="8129" spans="1:19" x14ac:dyDescent="0.25">
      <c r="A8129">
        <v>101229000</v>
      </c>
      <c r="B8129" t="s">
        <v>265</v>
      </c>
      <c r="C8129" t="s">
        <v>6897</v>
      </c>
      <c r="G8129" t="s">
        <v>18888</v>
      </c>
      <c r="H8129" t="s">
        <v>1687</v>
      </c>
      <c r="I8129" t="s">
        <v>22</v>
      </c>
      <c r="J8129">
        <v>95628</v>
      </c>
      <c r="K8129">
        <v>2929</v>
      </c>
      <c r="L8129" t="s">
        <v>23</v>
      </c>
      <c r="M8129" t="s">
        <v>18888</v>
      </c>
      <c r="N8129" t="s">
        <v>1687</v>
      </c>
      <c r="O8129" t="s">
        <v>22</v>
      </c>
      <c r="P8129">
        <v>95628</v>
      </c>
      <c r="Q8129">
        <v>2929</v>
      </c>
      <c r="R8129" t="s">
        <v>23</v>
      </c>
      <c r="S8129" s="1" t="s">
        <v>34218</v>
      </c>
    </row>
    <row r="8130" spans="1:19" x14ac:dyDescent="0.25">
      <c r="A8130">
        <v>101227024</v>
      </c>
      <c r="B8130" t="s">
        <v>18889</v>
      </c>
      <c r="C8130" t="s">
        <v>6375</v>
      </c>
      <c r="G8130" t="s">
        <v>18890</v>
      </c>
      <c r="H8130" t="s">
        <v>18891</v>
      </c>
      <c r="I8130" t="s">
        <v>33</v>
      </c>
      <c r="J8130">
        <v>18091</v>
      </c>
      <c r="K8130">
        <v>9793</v>
      </c>
      <c r="L8130" t="s">
        <v>23</v>
      </c>
      <c r="M8130" t="s">
        <v>18890</v>
      </c>
      <c r="N8130" t="s">
        <v>18891</v>
      </c>
      <c r="O8130" t="s">
        <v>33</v>
      </c>
      <c r="P8130">
        <v>18091</v>
      </c>
      <c r="Q8130">
        <v>9793</v>
      </c>
      <c r="R8130" t="s">
        <v>23</v>
      </c>
      <c r="S8130" s="1" t="s">
        <v>34218</v>
      </c>
    </row>
    <row r="8131" spans="1:19" x14ac:dyDescent="0.25">
      <c r="A8131">
        <v>100816750</v>
      </c>
      <c r="B8131" t="s">
        <v>18892</v>
      </c>
      <c r="C8131" t="s">
        <v>18893</v>
      </c>
      <c r="G8131" t="s">
        <v>18894</v>
      </c>
      <c r="H8131" t="s">
        <v>18895</v>
      </c>
      <c r="I8131" t="s">
        <v>38</v>
      </c>
      <c r="J8131">
        <v>79539</v>
      </c>
      <c r="L8131" t="s">
        <v>23</v>
      </c>
      <c r="M8131" t="s">
        <v>18894</v>
      </c>
      <c r="N8131" t="s">
        <v>18895</v>
      </c>
      <c r="O8131" t="s">
        <v>38</v>
      </c>
      <c r="P8131">
        <v>79539</v>
      </c>
      <c r="R8131" t="s">
        <v>23</v>
      </c>
      <c r="S8131" s="1" t="s">
        <v>34218</v>
      </c>
    </row>
    <row r="8132" spans="1:19" x14ac:dyDescent="0.25">
      <c r="A8132">
        <v>100850944</v>
      </c>
      <c r="B8132" t="s">
        <v>3136</v>
      </c>
      <c r="C8132" t="s">
        <v>5868</v>
      </c>
      <c r="G8132" t="s">
        <v>18896</v>
      </c>
      <c r="H8132" t="s">
        <v>5488</v>
      </c>
      <c r="I8132" t="s">
        <v>140</v>
      </c>
      <c r="J8132">
        <v>48503</v>
      </c>
      <c r="L8132" t="s">
        <v>23</v>
      </c>
      <c r="M8132" t="s">
        <v>18896</v>
      </c>
      <c r="N8132" t="s">
        <v>5488</v>
      </c>
      <c r="O8132" t="s">
        <v>140</v>
      </c>
      <c r="P8132">
        <v>48503</v>
      </c>
      <c r="R8132" t="s">
        <v>23</v>
      </c>
      <c r="S8132" s="1" t="s">
        <v>34218</v>
      </c>
    </row>
    <row r="8133" spans="1:19" x14ac:dyDescent="0.25">
      <c r="A8133">
        <v>101388622</v>
      </c>
      <c r="B8133" t="s">
        <v>18897</v>
      </c>
      <c r="C8133" t="s">
        <v>4318</v>
      </c>
      <c r="G8133" t="s">
        <v>18898</v>
      </c>
      <c r="H8133" t="s">
        <v>567</v>
      </c>
      <c r="I8133" t="s">
        <v>446</v>
      </c>
      <c r="J8133">
        <v>27616</v>
      </c>
      <c r="K8133">
        <v>2977</v>
      </c>
      <c r="L8133" t="s">
        <v>23</v>
      </c>
      <c r="M8133" t="s">
        <v>18898</v>
      </c>
      <c r="N8133" t="s">
        <v>567</v>
      </c>
      <c r="O8133" t="s">
        <v>446</v>
      </c>
      <c r="P8133">
        <v>27616</v>
      </c>
      <c r="Q8133">
        <v>2977</v>
      </c>
      <c r="R8133" t="s">
        <v>23</v>
      </c>
      <c r="S8133" s="1" t="s">
        <v>34218</v>
      </c>
    </row>
    <row r="8134" spans="1:19" x14ac:dyDescent="0.25">
      <c r="A8134">
        <v>101451219</v>
      </c>
      <c r="B8134" t="s">
        <v>7463</v>
      </c>
      <c r="C8134" t="s">
        <v>1050</v>
      </c>
      <c r="G8134" t="s">
        <v>18899</v>
      </c>
      <c r="H8134" t="s">
        <v>2987</v>
      </c>
      <c r="I8134" t="s">
        <v>22</v>
      </c>
      <c r="J8134">
        <v>91606</v>
      </c>
      <c r="K8134">
        <v>4210</v>
      </c>
      <c r="L8134" t="s">
        <v>23</v>
      </c>
      <c r="M8134" t="s">
        <v>18899</v>
      </c>
      <c r="N8134" t="s">
        <v>2987</v>
      </c>
      <c r="O8134" t="s">
        <v>22</v>
      </c>
      <c r="P8134">
        <v>91606</v>
      </c>
      <c r="Q8134">
        <v>4210</v>
      </c>
      <c r="R8134" t="s">
        <v>23</v>
      </c>
      <c r="S8134" s="1" t="s">
        <v>34218</v>
      </c>
    </row>
    <row r="8135" spans="1:19" x14ac:dyDescent="0.25">
      <c r="A8135">
        <v>100848527</v>
      </c>
      <c r="B8135" t="s">
        <v>18900</v>
      </c>
      <c r="C8135" t="s">
        <v>329</v>
      </c>
      <c r="H8135" t="s">
        <v>5900</v>
      </c>
      <c r="I8135" t="s">
        <v>191</v>
      </c>
      <c r="J8135">
        <v>4530</v>
      </c>
      <c r="L8135" t="s">
        <v>23</v>
      </c>
      <c r="N8135" t="s">
        <v>5900</v>
      </c>
      <c r="O8135" t="s">
        <v>191</v>
      </c>
      <c r="P8135">
        <v>4530</v>
      </c>
      <c r="R8135" t="s">
        <v>23</v>
      </c>
      <c r="S8135" s="1" t="s">
        <v>34218</v>
      </c>
    </row>
    <row r="8136" spans="1:19" x14ac:dyDescent="0.25">
      <c r="A8136">
        <v>101306897</v>
      </c>
      <c r="B8136" t="s">
        <v>18901</v>
      </c>
      <c r="C8136" t="s">
        <v>1398</v>
      </c>
      <c r="G8136" t="s">
        <v>18902</v>
      </c>
      <c r="H8136" t="s">
        <v>18903</v>
      </c>
      <c r="I8136" t="s">
        <v>22</v>
      </c>
      <c r="J8136">
        <v>93060</v>
      </c>
      <c r="K8136">
        <v>1425</v>
      </c>
      <c r="L8136" t="s">
        <v>23</v>
      </c>
      <c r="M8136" t="s">
        <v>18902</v>
      </c>
      <c r="N8136" t="s">
        <v>18903</v>
      </c>
      <c r="O8136" t="s">
        <v>22</v>
      </c>
      <c r="P8136">
        <v>93060</v>
      </c>
      <c r="Q8136">
        <v>1425</v>
      </c>
      <c r="R8136" t="s">
        <v>23</v>
      </c>
      <c r="S8136" s="1" t="s">
        <v>34218</v>
      </c>
    </row>
    <row r="8137" spans="1:19" x14ac:dyDescent="0.25">
      <c r="A8137">
        <v>100960106</v>
      </c>
      <c r="B8137" t="s">
        <v>10213</v>
      </c>
      <c r="C8137" t="s">
        <v>890</v>
      </c>
      <c r="G8137" t="s">
        <v>18904</v>
      </c>
      <c r="H8137" t="s">
        <v>733</v>
      </c>
      <c r="I8137" t="s">
        <v>52</v>
      </c>
      <c r="J8137">
        <v>33704</v>
      </c>
      <c r="K8137">
        <v>2456</v>
      </c>
      <c r="L8137" t="s">
        <v>23</v>
      </c>
      <c r="M8137" t="s">
        <v>18904</v>
      </c>
      <c r="N8137" t="s">
        <v>733</v>
      </c>
      <c r="O8137" t="s">
        <v>52</v>
      </c>
      <c r="P8137">
        <v>33704</v>
      </c>
      <c r="Q8137">
        <v>2456</v>
      </c>
      <c r="R8137" t="s">
        <v>23</v>
      </c>
      <c r="S8137" s="1" t="s">
        <v>34218</v>
      </c>
    </row>
    <row r="8138" spans="1:19" x14ac:dyDescent="0.25">
      <c r="A8138">
        <v>101423835</v>
      </c>
      <c r="B8138" t="s">
        <v>2616</v>
      </c>
      <c r="C8138" t="s">
        <v>2603</v>
      </c>
      <c r="G8138" t="s">
        <v>18905</v>
      </c>
      <c r="H8138" t="s">
        <v>18906</v>
      </c>
      <c r="I8138" t="s">
        <v>100</v>
      </c>
      <c r="J8138">
        <v>54235</v>
      </c>
      <c r="K8138">
        <v>9774</v>
      </c>
      <c r="L8138" t="s">
        <v>23</v>
      </c>
      <c r="M8138" t="s">
        <v>18905</v>
      </c>
      <c r="N8138" t="s">
        <v>18906</v>
      </c>
      <c r="O8138" t="s">
        <v>100</v>
      </c>
      <c r="P8138">
        <v>54235</v>
      </c>
      <c r="Q8138">
        <v>9774</v>
      </c>
      <c r="R8138" t="s">
        <v>23</v>
      </c>
      <c r="S8138" s="1" t="s">
        <v>34218</v>
      </c>
    </row>
    <row r="8139" spans="1:19" x14ac:dyDescent="0.25">
      <c r="A8139">
        <v>101281565</v>
      </c>
      <c r="B8139" t="s">
        <v>3193</v>
      </c>
      <c r="C8139" t="s">
        <v>8472</v>
      </c>
      <c r="G8139" t="s">
        <v>18907</v>
      </c>
      <c r="H8139" t="s">
        <v>311</v>
      </c>
      <c r="I8139" t="s">
        <v>22</v>
      </c>
      <c r="J8139">
        <v>90808</v>
      </c>
      <c r="K8139">
        <v>1634</v>
      </c>
      <c r="L8139" t="s">
        <v>23</v>
      </c>
      <c r="M8139" t="s">
        <v>18907</v>
      </c>
      <c r="N8139" t="s">
        <v>311</v>
      </c>
      <c r="O8139" t="s">
        <v>22</v>
      </c>
      <c r="P8139">
        <v>90808</v>
      </c>
      <c r="Q8139">
        <v>1634</v>
      </c>
      <c r="R8139" t="s">
        <v>23</v>
      </c>
      <c r="S8139" s="1" t="s">
        <v>34218</v>
      </c>
    </row>
    <row r="8140" spans="1:19" x14ac:dyDescent="0.25">
      <c r="A8140">
        <v>100667717</v>
      </c>
      <c r="B8140" t="s">
        <v>4477</v>
      </c>
      <c r="C8140" t="s">
        <v>18908</v>
      </c>
      <c r="F8140" t="str">
        <f>"5168264425"</f>
        <v>5168264425</v>
      </c>
      <c r="G8140" t="s">
        <v>18909</v>
      </c>
      <c r="H8140" t="s">
        <v>18343</v>
      </c>
      <c r="I8140" t="s">
        <v>117</v>
      </c>
      <c r="J8140">
        <v>11793</v>
      </c>
      <c r="K8140">
        <v>2658</v>
      </c>
      <c r="L8140" t="s">
        <v>23</v>
      </c>
      <c r="M8140" t="s">
        <v>18909</v>
      </c>
      <c r="N8140" t="s">
        <v>18343</v>
      </c>
      <c r="O8140" t="s">
        <v>117</v>
      </c>
      <c r="P8140">
        <v>11793</v>
      </c>
      <c r="Q8140">
        <v>2658</v>
      </c>
      <c r="R8140" t="s">
        <v>23</v>
      </c>
      <c r="S8140" s="1" t="s">
        <v>34218</v>
      </c>
    </row>
    <row r="8141" spans="1:19" x14ac:dyDescent="0.25">
      <c r="A8141">
        <v>100595815</v>
      </c>
      <c r="B8141" t="s">
        <v>18910</v>
      </c>
      <c r="C8141" t="s">
        <v>1679</v>
      </c>
      <c r="G8141" t="s">
        <v>18911</v>
      </c>
      <c r="H8141" t="s">
        <v>761</v>
      </c>
      <c r="I8141" t="s">
        <v>353</v>
      </c>
      <c r="J8141">
        <v>3301</v>
      </c>
      <c r="K8141">
        <v>4632</v>
      </c>
      <c r="L8141" t="s">
        <v>23</v>
      </c>
      <c r="M8141" t="s">
        <v>18911</v>
      </c>
      <c r="N8141" t="s">
        <v>761</v>
      </c>
      <c r="O8141" t="s">
        <v>353</v>
      </c>
      <c r="P8141">
        <v>3301</v>
      </c>
      <c r="Q8141">
        <v>4632</v>
      </c>
      <c r="R8141" t="s">
        <v>23</v>
      </c>
      <c r="S8141" s="1" t="s">
        <v>34218</v>
      </c>
    </row>
    <row r="8142" spans="1:19" x14ac:dyDescent="0.25">
      <c r="A8142">
        <v>100605906</v>
      </c>
      <c r="B8142" t="s">
        <v>18912</v>
      </c>
      <c r="C8142" t="s">
        <v>1120</v>
      </c>
      <c r="G8142">
        <v>4</v>
      </c>
      <c r="H8142" t="s">
        <v>8583</v>
      </c>
      <c r="I8142" t="s">
        <v>22</v>
      </c>
      <c r="J8142">
        <v>91767</v>
      </c>
      <c r="L8142" t="s">
        <v>23</v>
      </c>
      <c r="M8142">
        <v>4</v>
      </c>
      <c r="N8142" t="s">
        <v>8583</v>
      </c>
      <c r="O8142" t="s">
        <v>22</v>
      </c>
      <c r="P8142">
        <v>91767</v>
      </c>
      <c r="R8142" t="s">
        <v>23</v>
      </c>
      <c r="S8142" s="1" t="s">
        <v>34218</v>
      </c>
    </row>
    <row r="8143" spans="1:19" x14ac:dyDescent="0.25">
      <c r="A8143">
        <v>101457753</v>
      </c>
      <c r="B8143" t="s">
        <v>18913</v>
      </c>
      <c r="C8143" t="s">
        <v>10596</v>
      </c>
      <c r="G8143" t="s">
        <v>18914</v>
      </c>
      <c r="H8143" t="s">
        <v>18915</v>
      </c>
      <c r="I8143" t="s">
        <v>250</v>
      </c>
      <c r="J8143">
        <v>7830</v>
      </c>
      <c r="K8143">
        <v>3507</v>
      </c>
      <c r="L8143" t="s">
        <v>23</v>
      </c>
      <c r="M8143" t="s">
        <v>18914</v>
      </c>
      <c r="N8143" t="s">
        <v>18915</v>
      </c>
      <c r="O8143" t="s">
        <v>250</v>
      </c>
      <c r="P8143">
        <v>7830</v>
      </c>
      <c r="Q8143">
        <v>3507</v>
      </c>
      <c r="R8143" t="s">
        <v>23</v>
      </c>
      <c r="S8143" s="1" t="s">
        <v>34218</v>
      </c>
    </row>
    <row r="8144" spans="1:19" x14ac:dyDescent="0.25">
      <c r="A8144">
        <v>101162002</v>
      </c>
      <c r="B8144" t="s">
        <v>18916</v>
      </c>
      <c r="C8144" t="s">
        <v>2557</v>
      </c>
      <c r="G8144" t="s">
        <v>18917</v>
      </c>
      <c r="H8144" t="s">
        <v>6202</v>
      </c>
      <c r="I8144" t="s">
        <v>236</v>
      </c>
      <c r="J8144">
        <v>2062</v>
      </c>
      <c r="L8144" t="s">
        <v>23</v>
      </c>
      <c r="M8144" t="s">
        <v>18917</v>
      </c>
      <c r="N8144" t="s">
        <v>6202</v>
      </c>
      <c r="O8144" t="s">
        <v>236</v>
      </c>
      <c r="P8144">
        <v>2062</v>
      </c>
      <c r="R8144" t="s">
        <v>23</v>
      </c>
      <c r="S8144" s="1" t="s">
        <v>34218</v>
      </c>
    </row>
    <row r="8145" spans="1:19" x14ac:dyDescent="0.25">
      <c r="A8145">
        <v>101336632</v>
      </c>
      <c r="B8145" t="s">
        <v>18918</v>
      </c>
      <c r="C8145" t="s">
        <v>14395</v>
      </c>
      <c r="G8145" t="s">
        <v>18919</v>
      </c>
      <c r="H8145" t="s">
        <v>18920</v>
      </c>
      <c r="I8145" t="s">
        <v>43</v>
      </c>
      <c r="J8145">
        <v>97498</v>
      </c>
      <c r="K8145">
        <v>841</v>
      </c>
      <c r="L8145" t="s">
        <v>23</v>
      </c>
      <c r="M8145" t="s">
        <v>18919</v>
      </c>
      <c r="N8145" t="s">
        <v>18920</v>
      </c>
      <c r="O8145" t="s">
        <v>43</v>
      </c>
      <c r="P8145">
        <v>97498</v>
      </c>
      <c r="Q8145">
        <v>841</v>
      </c>
      <c r="R8145" t="s">
        <v>23</v>
      </c>
      <c r="S8145" s="1" t="s">
        <v>34218</v>
      </c>
    </row>
    <row r="8146" spans="1:19" x14ac:dyDescent="0.25">
      <c r="A8146">
        <v>101294449</v>
      </c>
      <c r="B8146" t="s">
        <v>18921</v>
      </c>
      <c r="C8146" t="s">
        <v>180</v>
      </c>
      <c r="G8146" t="s">
        <v>18922</v>
      </c>
      <c r="H8146" t="s">
        <v>6512</v>
      </c>
      <c r="I8146" t="s">
        <v>255</v>
      </c>
      <c r="J8146">
        <v>24015</v>
      </c>
      <c r="K8146">
        <v>2415</v>
      </c>
      <c r="L8146" t="s">
        <v>23</v>
      </c>
      <c r="M8146" t="s">
        <v>18922</v>
      </c>
      <c r="N8146" t="s">
        <v>6512</v>
      </c>
      <c r="O8146" t="s">
        <v>255</v>
      </c>
      <c r="P8146">
        <v>24015</v>
      </c>
      <c r="Q8146">
        <v>2415</v>
      </c>
      <c r="R8146" t="s">
        <v>23</v>
      </c>
      <c r="S8146" s="1" t="s">
        <v>34218</v>
      </c>
    </row>
    <row r="8147" spans="1:19" x14ac:dyDescent="0.25">
      <c r="A8147">
        <v>101408976</v>
      </c>
      <c r="B8147" t="s">
        <v>18923</v>
      </c>
      <c r="C8147" t="s">
        <v>90</v>
      </c>
      <c r="G8147" t="s">
        <v>18924</v>
      </c>
      <c r="H8147" t="s">
        <v>18925</v>
      </c>
      <c r="I8147" t="s">
        <v>22</v>
      </c>
      <c r="J8147">
        <v>91901</v>
      </c>
      <c r="K8147">
        <v>2132</v>
      </c>
      <c r="L8147" t="s">
        <v>23</v>
      </c>
      <c r="M8147" t="s">
        <v>18924</v>
      </c>
      <c r="N8147" t="s">
        <v>18925</v>
      </c>
      <c r="O8147" t="s">
        <v>22</v>
      </c>
      <c r="P8147">
        <v>91901</v>
      </c>
      <c r="Q8147">
        <v>2132</v>
      </c>
      <c r="R8147" t="s">
        <v>23</v>
      </c>
      <c r="S8147" s="1" t="s">
        <v>34218</v>
      </c>
    </row>
    <row r="8148" spans="1:19" x14ac:dyDescent="0.25">
      <c r="A8148">
        <v>101423114</v>
      </c>
      <c r="B8148" t="s">
        <v>1449</v>
      </c>
      <c r="C8148" t="s">
        <v>7844</v>
      </c>
      <c r="G8148" t="s">
        <v>18926</v>
      </c>
      <c r="H8148" t="s">
        <v>18927</v>
      </c>
      <c r="I8148" t="s">
        <v>914</v>
      </c>
      <c r="J8148">
        <v>37076</v>
      </c>
      <c r="K8148">
        <v>1927</v>
      </c>
      <c r="L8148" t="s">
        <v>23</v>
      </c>
      <c r="M8148" t="s">
        <v>18926</v>
      </c>
      <c r="N8148" t="s">
        <v>18927</v>
      </c>
      <c r="O8148" t="s">
        <v>914</v>
      </c>
      <c r="P8148">
        <v>37076</v>
      </c>
      <c r="Q8148">
        <v>1927</v>
      </c>
      <c r="R8148" t="s">
        <v>23</v>
      </c>
      <c r="S8148" s="1" t="s">
        <v>34218</v>
      </c>
    </row>
    <row r="8149" spans="1:19" x14ac:dyDescent="0.25">
      <c r="A8149">
        <v>101457877</v>
      </c>
      <c r="B8149" t="s">
        <v>18928</v>
      </c>
      <c r="C8149" t="s">
        <v>18929</v>
      </c>
      <c r="G8149" t="s">
        <v>18930</v>
      </c>
      <c r="H8149" t="s">
        <v>299</v>
      </c>
      <c r="I8149" t="s">
        <v>22</v>
      </c>
      <c r="J8149">
        <v>90068</v>
      </c>
      <c r="K8149">
        <v>3619</v>
      </c>
      <c r="L8149" t="s">
        <v>23</v>
      </c>
      <c r="M8149" t="s">
        <v>18930</v>
      </c>
      <c r="N8149" t="s">
        <v>299</v>
      </c>
      <c r="O8149" t="s">
        <v>22</v>
      </c>
      <c r="P8149">
        <v>90068</v>
      </c>
      <c r="Q8149">
        <v>3619</v>
      </c>
      <c r="R8149" t="s">
        <v>23</v>
      </c>
      <c r="S8149" s="1" t="s">
        <v>34218</v>
      </c>
    </row>
    <row r="8150" spans="1:19" x14ac:dyDescent="0.25">
      <c r="A8150">
        <v>101273275</v>
      </c>
      <c r="B8150" t="s">
        <v>18931</v>
      </c>
      <c r="C8150" t="s">
        <v>3460</v>
      </c>
      <c r="G8150" t="s">
        <v>18932</v>
      </c>
      <c r="H8150" t="s">
        <v>965</v>
      </c>
      <c r="I8150" t="s">
        <v>71</v>
      </c>
      <c r="J8150">
        <v>81432</v>
      </c>
      <c r="K8150">
        <v>9345</v>
      </c>
      <c r="L8150" t="s">
        <v>23</v>
      </c>
      <c r="M8150" t="s">
        <v>18932</v>
      </c>
      <c r="N8150" t="s">
        <v>965</v>
      </c>
      <c r="O8150" t="s">
        <v>71</v>
      </c>
      <c r="P8150">
        <v>81432</v>
      </c>
      <c r="Q8150">
        <v>9345</v>
      </c>
      <c r="R8150" t="s">
        <v>23</v>
      </c>
      <c r="S8150" s="1" t="s">
        <v>34218</v>
      </c>
    </row>
    <row r="8151" spans="1:19" x14ac:dyDescent="0.25">
      <c r="A8151">
        <v>100797814</v>
      </c>
      <c r="B8151" t="s">
        <v>18933</v>
      </c>
      <c r="C8151" t="s">
        <v>1331</v>
      </c>
      <c r="G8151" t="s">
        <v>18934</v>
      </c>
      <c r="H8151" t="s">
        <v>808</v>
      </c>
      <c r="I8151" t="s">
        <v>639</v>
      </c>
      <c r="J8151">
        <v>87031</v>
      </c>
      <c r="K8151">
        <v>3193</v>
      </c>
      <c r="L8151" t="s">
        <v>23</v>
      </c>
      <c r="M8151" t="s">
        <v>18934</v>
      </c>
      <c r="N8151" t="s">
        <v>808</v>
      </c>
      <c r="O8151" t="s">
        <v>639</v>
      </c>
      <c r="P8151">
        <v>87031</v>
      </c>
      <c r="Q8151">
        <v>3193</v>
      </c>
      <c r="R8151" t="s">
        <v>23</v>
      </c>
      <c r="S8151" s="1" t="s">
        <v>34218</v>
      </c>
    </row>
    <row r="8152" spans="1:19" x14ac:dyDescent="0.25">
      <c r="A8152">
        <v>101428084</v>
      </c>
      <c r="B8152" t="s">
        <v>18935</v>
      </c>
      <c r="C8152" t="s">
        <v>13173</v>
      </c>
      <c r="G8152" t="s">
        <v>18936</v>
      </c>
      <c r="H8152" t="s">
        <v>16325</v>
      </c>
      <c r="I8152" t="s">
        <v>140</v>
      </c>
      <c r="J8152">
        <v>48192</v>
      </c>
      <c r="L8152" t="s">
        <v>23</v>
      </c>
      <c r="M8152" t="s">
        <v>18936</v>
      </c>
      <c r="N8152" t="s">
        <v>16325</v>
      </c>
      <c r="O8152" t="s">
        <v>140</v>
      </c>
      <c r="P8152">
        <v>48192</v>
      </c>
      <c r="R8152" t="s">
        <v>23</v>
      </c>
      <c r="S8152" s="1" t="s">
        <v>34218</v>
      </c>
    </row>
    <row r="8153" spans="1:19" x14ac:dyDescent="0.25">
      <c r="A8153">
        <v>100533363</v>
      </c>
      <c r="B8153" t="s">
        <v>4437</v>
      </c>
      <c r="C8153" t="s">
        <v>4257</v>
      </c>
      <c r="G8153" t="s">
        <v>18937</v>
      </c>
      <c r="H8153" t="s">
        <v>2141</v>
      </c>
      <c r="I8153" t="s">
        <v>1000</v>
      </c>
      <c r="J8153">
        <v>59715</v>
      </c>
      <c r="K8153">
        <v>5925</v>
      </c>
      <c r="L8153" t="s">
        <v>23</v>
      </c>
      <c r="M8153" t="s">
        <v>18937</v>
      </c>
      <c r="N8153" t="s">
        <v>2141</v>
      </c>
      <c r="O8153" t="s">
        <v>1000</v>
      </c>
      <c r="P8153">
        <v>59715</v>
      </c>
      <c r="Q8153">
        <v>5925</v>
      </c>
      <c r="R8153" t="s">
        <v>23</v>
      </c>
      <c r="S8153" s="1" t="s">
        <v>34218</v>
      </c>
    </row>
    <row r="8154" spans="1:19" x14ac:dyDescent="0.25">
      <c r="A8154">
        <v>100966538</v>
      </c>
      <c r="B8154" t="s">
        <v>18938</v>
      </c>
      <c r="C8154" t="s">
        <v>8445</v>
      </c>
      <c r="G8154" t="s">
        <v>18939</v>
      </c>
      <c r="H8154" t="s">
        <v>4675</v>
      </c>
      <c r="I8154" t="s">
        <v>984</v>
      </c>
      <c r="J8154">
        <v>96708</v>
      </c>
      <c r="K8154">
        <v>5647</v>
      </c>
      <c r="L8154" t="s">
        <v>23</v>
      </c>
      <c r="M8154" t="s">
        <v>18939</v>
      </c>
      <c r="N8154" t="s">
        <v>4675</v>
      </c>
      <c r="O8154" t="s">
        <v>984</v>
      </c>
      <c r="P8154">
        <v>96708</v>
      </c>
      <c r="Q8154">
        <v>5647</v>
      </c>
      <c r="R8154" t="s">
        <v>23</v>
      </c>
      <c r="S8154" s="1" t="s">
        <v>34218</v>
      </c>
    </row>
    <row r="8155" spans="1:19" x14ac:dyDescent="0.25">
      <c r="A8155">
        <v>101422920</v>
      </c>
      <c r="B8155" t="s">
        <v>11916</v>
      </c>
      <c r="C8155" t="s">
        <v>3482</v>
      </c>
      <c r="G8155" t="s">
        <v>18940</v>
      </c>
      <c r="H8155" t="s">
        <v>4235</v>
      </c>
      <c r="I8155" t="s">
        <v>984</v>
      </c>
      <c r="J8155">
        <v>96826</v>
      </c>
      <c r="K8155">
        <v>4633</v>
      </c>
      <c r="L8155" t="s">
        <v>23</v>
      </c>
      <c r="M8155" t="s">
        <v>18940</v>
      </c>
      <c r="N8155" t="s">
        <v>4235</v>
      </c>
      <c r="O8155" t="s">
        <v>984</v>
      </c>
      <c r="P8155">
        <v>96826</v>
      </c>
      <c r="Q8155">
        <v>4633</v>
      </c>
      <c r="R8155" t="s">
        <v>23</v>
      </c>
      <c r="S8155" s="1" t="s">
        <v>34218</v>
      </c>
    </row>
    <row r="8156" spans="1:19" x14ac:dyDescent="0.25">
      <c r="A8156">
        <v>101217236</v>
      </c>
      <c r="B8156" t="s">
        <v>8970</v>
      </c>
      <c r="C8156" t="s">
        <v>90</v>
      </c>
      <c r="G8156" t="s">
        <v>18941</v>
      </c>
      <c r="H8156" t="s">
        <v>14818</v>
      </c>
      <c r="I8156" t="s">
        <v>161</v>
      </c>
      <c r="J8156">
        <v>6278</v>
      </c>
      <c r="K8156">
        <v>1045</v>
      </c>
      <c r="L8156" t="s">
        <v>23</v>
      </c>
      <c r="M8156" t="s">
        <v>18941</v>
      </c>
      <c r="N8156" t="s">
        <v>14818</v>
      </c>
      <c r="O8156" t="s">
        <v>161</v>
      </c>
      <c r="P8156">
        <v>6278</v>
      </c>
      <c r="Q8156">
        <v>1045</v>
      </c>
      <c r="R8156" t="s">
        <v>23</v>
      </c>
      <c r="S8156" s="1" t="s">
        <v>34218</v>
      </c>
    </row>
    <row r="8157" spans="1:19" x14ac:dyDescent="0.25">
      <c r="A8157">
        <v>101227133</v>
      </c>
      <c r="B8157" t="s">
        <v>18942</v>
      </c>
      <c r="C8157" t="s">
        <v>102</v>
      </c>
      <c r="G8157" t="s">
        <v>18943</v>
      </c>
      <c r="H8157" t="s">
        <v>18944</v>
      </c>
      <c r="I8157" t="s">
        <v>140</v>
      </c>
      <c r="J8157">
        <v>48178</v>
      </c>
      <c r="K8157">
        <v>7082</v>
      </c>
      <c r="L8157" t="s">
        <v>23</v>
      </c>
      <c r="M8157" t="s">
        <v>18943</v>
      </c>
      <c r="N8157" t="s">
        <v>18944</v>
      </c>
      <c r="O8157" t="s">
        <v>140</v>
      </c>
      <c r="P8157">
        <v>48178</v>
      </c>
      <c r="Q8157">
        <v>7082</v>
      </c>
      <c r="R8157" t="s">
        <v>23</v>
      </c>
      <c r="S8157" s="1" t="s">
        <v>34218</v>
      </c>
    </row>
    <row r="8158" spans="1:19" x14ac:dyDescent="0.25">
      <c r="A8158">
        <v>101228728</v>
      </c>
      <c r="B8158" t="s">
        <v>4982</v>
      </c>
      <c r="C8158" t="s">
        <v>9687</v>
      </c>
      <c r="G8158" t="s">
        <v>18945</v>
      </c>
      <c r="H8158" t="s">
        <v>18946</v>
      </c>
      <c r="I8158" t="s">
        <v>250</v>
      </c>
      <c r="J8158">
        <v>8550</v>
      </c>
      <c r="K8158">
        <v>1607</v>
      </c>
      <c r="L8158" t="s">
        <v>23</v>
      </c>
      <c r="M8158" t="s">
        <v>18945</v>
      </c>
      <c r="N8158" t="s">
        <v>18946</v>
      </c>
      <c r="O8158" t="s">
        <v>250</v>
      </c>
      <c r="P8158">
        <v>8550</v>
      </c>
      <c r="Q8158">
        <v>1607</v>
      </c>
      <c r="R8158" t="s">
        <v>23</v>
      </c>
      <c r="S8158" s="1" t="s">
        <v>34218</v>
      </c>
    </row>
    <row r="8159" spans="1:19" x14ac:dyDescent="0.25">
      <c r="A8159">
        <v>101219946</v>
      </c>
      <c r="B8159" t="s">
        <v>18947</v>
      </c>
      <c r="C8159" t="s">
        <v>11308</v>
      </c>
      <c r="G8159" t="s">
        <v>18948</v>
      </c>
      <c r="H8159" t="s">
        <v>18949</v>
      </c>
      <c r="I8159" t="s">
        <v>33</v>
      </c>
      <c r="J8159">
        <v>16823</v>
      </c>
      <c r="K8159">
        <v>8415</v>
      </c>
      <c r="L8159" t="s">
        <v>23</v>
      </c>
      <c r="M8159" t="s">
        <v>18948</v>
      </c>
      <c r="N8159" t="s">
        <v>18949</v>
      </c>
      <c r="O8159" t="s">
        <v>33</v>
      </c>
      <c r="P8159">
        <v>16823</v>
      </c>
      <c r="Q8159">
        <v>8415</v>
      </c>
      <c r="R8159" t="s">
        <v>23</v>
      </c>
      <c r="S8159" s="1" t="s">
        <v>34218</v>
      </c>
    </row>
    <row r="8160" spans="1:19" x14ac:dyDescent="0.25">
      <c r="A8160">
        <v>101220845</v>
      </c>
      <c r="B8160" t="s">
        <v>18950</v>
      </c>
      <c r="C8160" t="s">
        <v>838</v>
      </c>
      <c r="F8160" t="str">
        <f>"2072066335"</f>
        <v>2072066335</v>
      </c>
      <c r="G8160" t="s">
        <v>18951</v>
      </c>
      <c r="H8160" t="s">
        <v>450</v>
      </c>
      <c r="I8160" t="s">
        <v>191</v>
      </c>
      <c r="J8160">
        <v>3901</v>
      </c>
      <c r="K8160">
        <v>2523</v>
      </c>
      <c r="L8160" t="s">
        <v>23</v>
      </c>
      <c r="M8160" t="s">
        <v>18951</v>
      </c>
      <c r="N8160" t="s">
        <v>450</v>
      </c>
      <c r="O8160" t="s">
        <v>191</v>
      </c>
      <c r="P8160">
        <v>3901</v>
      </c>
      <c r="Q8160">
        <v>2523</v>
      </c>
      <c r="R8160" t="s">
        <v>23</v>
      </c>
      <c r="S8160" s="1" t="s">
        <v>34218</v>
      </c>
    </row>
    <row r="8161" spans="1:19" x14ac:dyDescent="0.25">
      <c r="A8161">
        <v>101221550</v>
      </c>
      <c r="B8161" t="s">
        <v>18952</v>
      </c>
      <c r="C8161" t="s">
        <v>18953</v>
      </c>
      <c r="G8161" t="s">
        <v>18954</v>
      </c>
      <c r="H8161" t="s">
        <v>521</v>
      </c>
      <c r="I8161" t="s">
        <v>100</v>
      </c>
      <c r="J8161">
        <v>54843</v>
      </c>
      <c r="K8161">
        <v>2571</v>
      </c>
      <c r="L8161" t="s">
        <v>23</v>
      </c>
      <c r="M8161" t="s">
        <v>18954</v>
      </c>
      <c r="N8161" t="s">
        <v>521</v>
      </c>
      <c r="O8161" t="s">
        <v>100</v>
      </c>
      <c r="P8161">
        <v>54843</v>
      </c>
      <c r="Q8161">
        <v>2571</v>
      </c>
      <c r="R8161" t="s">
        <v>23</v>
      </c>
      <c r="S8161" s="1" t="s">
        <v>34218</v>
      </c>
    </row>
    <row r="8162" spans="1:19" x14ac:dyDescent="0.25">
      <c r="A8162">
        <v>101448838</v>
      </c>
      <c r="B8162" t="s">
        <v>18955</v>
      </c>
      <c r="C8162" t="s">
        <v>820</v>
      </c>
      <c r="G8162" t="s">
        <v>18956</v>
      </c>
      <c r="H8162" t="s">
        <v>18957</v>
      </c>
      <c r="I8162" t="s">
        <v>639</v>
      </c>
      <c r="J8162">
        <v>88346</v>
      </c>
      <c r="K8162">
        <v>9433</v>
      </c>
      <c r="L8162" t="s">
        <v>23</v>
      </c>
      <c r="M8162" t="s">
        <v>18956</v>
      </c>
      <c r="N8162" t="s">
        <v>18957</v>
      </c>
      <c r="O8162" t="s">
        <v>639</v>
      </c>
      <c r="P8162">
        <v>88346</v>
      </c>
      <c r="Q8162">
        <v>9433</v>
      </c>
      <c r="R8162" t="s">
        <v>23</v>
      </c>
      <c r="S8162" s="1" t="s">
        <v>34218</v>
      </c>
    </row>
    <row r="8163" spans="1:19" x14ac:dyDescent="0.25">
      <c r="A8163">
        <v>100554114</v>
      </c>
      <c r="B8163" t="s">
        <v>18958</v>
      </c>
      <c r="C8163" t="s">
        <v>535</v>
      </c>
      <c r="G8163" t="s">
        <v>18959</v>
      </c>
      <c r="H8163" t="s">
        <v>2407</v>
      </c>
      <c r="I8163" t="s">
        <v>52</v>
      </c>
      <c r="J8163">
        <v>33516</v>
      </c>
      <c r="L8163" t="s">
        <v>23</v>
      </c>
      <c r="M8163" t="s">
        <v>18959</v>
      </c>
      <c r="N8163" t="s">
        <v>2407</v>
      </c>
      <c r="O8163" t="s">
        <v>52</v>
      </c>
      <c r="P8163">
        <v>33516</v>
      </c>
      <c r="R8163" t="s">
        <v>23</v>
      </c>
      <c r="S8163" s="1" t="s">
        <v>34218</v>
      </c>
    </row>
    <row r="8164" spans="1:19" x14ac:dyDescent="0.25">
      <c r="A8164">
        <v>101257454</v>
      </c>
      <c r="B8164" t="s">
        <v>4802</v>
      </c>
      <c r="C8164" t="s">
        <v>68</v>
      </c>
      <c r="G8164" t="s">
        <v>18960</v>
      </c>
      <c r="H8164" t="s">
        <v>3132</v>
      </c>
      <c r="I8164" t="s">
        <v>22</v>
      </c>
      <c r="J8164">
        <v>92660</v>
      </c>
      <c r="K8164">
        <v>7359</v>
      </c>
      <c r="L8164" t="s">
        <v>23</v>
      </c>
      <c r="M8164" t="s">
        <v>18960</v>
      </c>
      <c r="N8164" t="s">
        <v>3132</v>
      </c>
      <c r="O8164" t="s">
        <v>22</v>
      </c>
      <c r="P8164">
        <v>92660</v>
      </c>
      <c r="Q8164">
        <v>7359</v>
      </c>
      <c r="R8164" t="s">
        <v>23</v>
      </c>
      <c r="S8164" s="1" t="s">
        <v>34218</v>
      </c>
    </row>
    <row r="8165" spans="1:19" x14ac:dyDescent="0.25">
      <c r="A8165">
        <v>101144635</v>
      </c>
      <c r="B8165" t="s">
        <v>18961</v>
      </c>
      <c r="C8165" t="s">
        <v>1030</v>
      </c>
      <c r="G8165" t="s">
        <v>18962</v>
      </c>
      <c r="H8165" t="s">
        <v>12820</v>
      </c>
      <c r="I8165" t="s">
        <v>161</v>
      </c>
      <c r="J8165">
        <v>6830</v>
      </c>
      <c r="K8165">
        <v>6956</v>
      </c>
      <c r="L8165" t="s">
        <v>23</v>
      </c>
      <c r="M8165" t="s">
        <v>18962</v>
      </c>
      <c r="N8165" t="s">
        <v>12820</v>
      </c>
      <c r="O8165" t="s">
        <v>161</v>
      </c>
      <c r="P8165">
        <v>6830</v>
      </c>
      <c r="Q8165">
        <v>6956</v>
      </c>
      <c r="R8165" t="s">
        <v>23</v>
      </c>
      <c r="S8165" s="1" t="s">
        <v>34218</v>
      </c>
    </row>
    <row r="8166" spans="1:19" x14ac:dyDescent="0.25">
      <c r="A8166">
        <v>101256050</v>
      </c>
      <c r="B8166" t="s">
        <v>18963</v>
      </c>
      <c r="C8166" t="s">
        <v>7503</v>
      </c>
      <c r="G8166" t="s">
        <v>18964</v>
      </c>
      <c r="H8166" t="s">
        <v>595</v>
      </c>
      <c r="I8166" t="s">
        <v>22</v>
      </c>
      <c r="J8166">
        <v>94539</v>
      </c>
      <c r="K8166">
        <v>3065</v>
      </c>
      <c r="L8166" t="s">
        <v>23</v>
      </c>
      <c r="M8166" t="s">
        <v>18964</v>
      </c>
      <c r="N8166" t="s">
        <v>595</v>
      </c>
      <c r="O8166" t="s">
        <v>22</v>
      </c>
      <c r="P8166">
        <v>94539</v>
      </c>
      <c r="Q8166">
        <v>3065</v>
      </c>
      <c r="R8166" t="s">
        <v>23</v>
      </c>
      <c r="S8166" s="1" t="s">
        <v>34218</v>
      </c>
    </row>
    <row r="8167" spans="1:19" x14ac:dyDescent="0.25">
      <c r="A8167">
        <v>101429675</v>
      </c>
      <c r="B8167" t="s">
        <v>18965</v>
      </c>
      <c r="C8167" t="s">
        <v>367</v>
      </c>
      <c r="G8167" t="s">
        <v>18966</v>
      </c>
      <c r="H8167" t="s">
        <v>1325</v>
      </c>
      <c r="I8167" t="s">
        <v>22</v>
      </c>
      <c r="J8167">
        <v>94306</v>
      </c>
      <c r="K8167">
        <v>3814</v>
      </c>
      <c r="L8167" t="s">
        <v>23</v>
      </c>
      <c r="M8167" t="s">
        <v>18966</v>
      </c>
      <c r="N8167" t="s">
        <v>1325</v>
      </c>
      <c r="O8167" t="s">
        <v>22</v>
      </c>
      <c r="P8167">
        <v>94306</v>
      </c>
      <c r="Q8167">
        <v>3814</v>
      </c>
      <c r="R8167" t="s">
        <v>23</v>
      </c>
      <c r="S8167" s="1" t="s">
        <v>34218</v>
      </c>
    </row>
    <row r="8168" spans="1:19" x14ac:dyDescent="0.25">
      <c r="A8168">
        <v>101325994</v>
      </c>
      <c r="B8168" t="s">
        <v>18967</v>
      </c>
      <c r="C8168" t="s">
        <v>68</v>
      </c>
      <c r="G8168" t="s">
        <v>18968</v>
      </c>
      <c r="H8168" t="s">
        <v>2175</v>
      </c>
      <c r="I8168" t="s">
        <v>52</v>
      </c>
      <c r="J8168">
        <v>34224</v>
      </c>
      <c r="K8168">
        <v>4719</v>
      </c>
      <c r="L8168" t="s">
        <v>23</v>
      </c>
      <c r="M8168" t="s">
        <v>18968</v>
      </c>
      <c r="N8168" t="s">
        <v>2175</v>
      </c>
      <c r="O8168" t="s">
        <v>52</v>
      </c>
      <c r="P8168">
        <v>34224</v>
      </c>
      <c r="Q8168">
        <v>4719</v>
      </c>
      <c r="R8168" t="s">
        <v>23</v>
      </c>
      <c r="S8168" s="1" t="s">
        <v>34218</v>
      </c>
    </row>
    <row r="8169" spans="1:19" x14ac:dyDescent="0.25">
      <c r="A8169">
        <v>101466805</v>
      </c>
      <c r="B8169" t="s">
        <v>8714</v>
      </c>
      <c r="C8169" t="s">
        <v>4299</v>
      </c>
      <c r="G8169" t="s">
        <v>18969</v>
      </c>
      <c r="H8169" t="s">
        <v>9916</v>
      </c>
      <c r="I8169" t="s">
        <v>57</v>
      </c>
      <c r="J8169">
        <v>46725</v>
      </c>
      <c r="K8169">
        <v>9495</v>
      </c>
      <c r="L8169" t="s">
        <v>23</v>
      </c>
      <c r="M8169" t="s">
        <v>18969</v>
      </c>
      <c r="N8169" t="s">
        <v>9916</v>
      </c>
      <c r="O8169" t="s">
        <v>57</v>
      </c>
      <c r="P8169">
        <v>46725</v>
      </c>
      <c r="Q8169">
        <v>9495</v>
      </c>
      <c r="R8169" t="s">
        <v>23</v>
      </c>
      <c r="S8169" s="1" t="s">
        <v>34218</v>
      </c>
    </row>
    <row r="8170" spans="1:19" x14ac:dyDescent="0.25">
      <c r="A8170">
        <v>101469776</v>
      </c>
      <c r="B8170" t="s">
        <v>18970</v>
      </c>
      <c r="C8170" t="s">
        <v>18971</v>
      </c>
      <c r="G8170" t="s">
        <v>18972</v>
      </c>
      <c r="H8170" t="s">
        <v>18973</v>
      </c>
      <c r="I8170" t="s">
        <v>28</v>
      </c>
      <c r="J8170">
        <v>30047</v>
      </c>
      <c r="K8170">
        <v>8705</v>
      </c>
      <c r="L8170" t="s">
        <v>23</v>
      </c>
      <c r="M8170" t="s">
        <v>18972</v>
      </c>
      <c r="N8170" t="s">
        <v>18973</v>
      </c>
      <c r="O8170" t="s">
        <v>28</v>
      </c>
      <c r="P8170">
        <v>30047</v>
      </c>
      <c r="Q8170">
        <v>8705</v>
      </c>
      <c r="R8170" t="s">
        <v>23</v>
      </c>
      <c r="S8170" s="1" t="s">
        <v>34218</v>
      </c>
    </row>
    <row r="8171" spans="1:19" x14ac:dyDescent="0.25">
      <c r="A8171">
        <v>101418508</v>
      </c>
      <c r="B8171" t="s">
        <v>3705</v>
      </c>
      <c r="C8171" t="s">
        <v>18974</v>
      </c>
      <c r="H8171" t="s">
        <v>1086</v>
      </c>
      <c r="I8171" t="s">
        <v>446</v>
      </c>
      <c r="J8171">
        <v>28210</v>
      </c>
      <c r="L8171" t="s">
        <v>23</v>
      </c>
      <c r="N8171" t="s">
        <v>1086</v>
      </c>
      <c r="O8171" t="s">
        <v>446</v>
      </c>
      <c r="P8171">
        <v>28210</v>
      </c>
      <c r="R8171" t="s">
        <v>23</v>
      </c>
      <c r="S8171" s="1" t="s">
        <v>34218</v>
      </c>
    </row>
    <row r="8172" spans="1:19" x14ac:dyDescent="0.25">
      <c r="A8172">
        <v>101466854</v>
      </c>
      <c r="B8172" t="s">
        <v>276</v>
      </c>
      <c r="C8172" t="s">
        <v>3110</v>
      </c>
      <c r="G8172" t="s">
        <v>18975</v>
      </c>
      <c r="H8172" t="s">
        <v>177</v>
      </c>
      <c r="I8172" t="s">
        <v>43</v>
      </c>
      <c r="J8172">
        <v>97520</v>
      </c>
      <c r="K8172">
        <v>2742</v>
      </c>
      <c r="L8172" t="s">
        <v>23</v>
      </c>
      <c r="M8172" t="s">
        <v>18975</v>
      </c>
      <c r="N8172" t="s">
        <v>177</v>
      </c>
      <c r="O8172" t="s">
        <v>43</v>
      </c>
      <c r="P8172">
        <v>97520</v>
      </c>
      <c r="Q8172">
        <v>2742</v>
      </c>
      <c r="R8172" t="s">
        <v>23</v>
      </c>
      <c r="S8172" s="1" t="s">
        <v>34218</v>
      </c>
    </row>
    <row r="8173" spans="1:19" x14ac:dyDescent="0.25">
      <c r="A8173">
        <v>100527537</v>
      </c>
      <c r="B8173" t="s">
        <v>18976</v>
      </c>
      <c r="C8173" t="s">
        <v>16771</v>
      </c>
      <c r="G8173" t="s">
        <v>18977</v>
      </c>
      <c r="H8173" t="s">
        <v>174</v>
      </c>
      <c r="I8173" t="s">
        <v>22</v>
      </c>
      <c r="J8173">
        <v>93103</v>
      </c>
      <c r="K8173">
        <v>2214</v>
      </c>
      <c r="L8173" t="s">
        <v>23</v>
      </c>
      <c r="M8173" t="s">
        <v>18977</v>
      </c>
      <c r="N8173" t="s">
        <v>174</v>
      </c>
      <c r="O8173" t="s">
        <v>22</v>
      </c>
      <c r="P8173">
        <v>93103</v>
      </c>
      <c r="Q8173">
        <v>2214</v>
      </c>
      <c r="R8173" t="s">
        <v>23</v>
      </c>
      <c r="S8173" s="1" t="s">
        <v>34218</v>
      </c>
    </row>
    <row r="8174" spans="1:19" x14ac:dyDescent="0.25">
      <c r="A8174">
        <v>101325372</v>
      </c>
      <c r="B8174" t="s">
        <v>4802</v>
      </c>
      <c r="C8174" t="s">
        <v>225</v>
      </c>
      <c r="G8174" t="s">
        <v>18978</v>
      </c>
      <c r="H8174" t="s">
        <v>18979</v>
      </c>
      <c r="I8174" t="s">
        <v>2537</v>
      </c>
      <c r="J8174">
        <v>72719</v>
      </c>
      <c r="L8174" t="s">
        <v>23</v>
      </c>
      <c r="M8174" t="s">
        <v>18978</v>
      </c>
      <c r="N8174" t="s">
        <v>18979</v>
      </c>
      <c r="O8174" t="s">
        <v>2537</v>
      </c>
      <c r="P8174">
        <v>72719</v>
      </c>
      <c r="R8174" t="s">
        <v>23</v>
      </c>
      <c r="S8174" s="1" t="s">
        <v>34218</v>
      </c>
    </row>
    <row r="8175" spans="1:19" x14ac:dyDescent="0.25">
      <c r="A8175">
        <v>101465125</v>
      </c>
      <c r="B8175" t="s">
        <v>18980</v>
      </c>
      <c r="C8175" t="s">
        <v>531</v>
      </c>
      <c r="G8175" t="s">
        <v>18981</v>
      </c>
      <c r="H8175" t="s">
        <v>198</v>
      </c>
      <c r="I8175" t="s">
        <v>22</v>
      </c>
      <c r="J8175">
        <v>92115</v>
      </c>
      <c r="K8175">
        <v>6538</v>
      </c>
      <c r="L8175" t="s">
        <v>23</v>
      </c>
      <c r="M8175" t="s">
        <v>18981</v>
      </c>
      <c r="N8175" t="s">
        <v>198</v>
      </c>
      <c r="O8175" t="s">
        <v>22</v>
      </c>
      <c r="P8175">
        <v>92115</v>
      </c>
      <c r="Q8175">
        <v>6538</v>
      </c>
      <c r="R8175" t="s">
        <v>23</v>
      </c>
      <c r="S8175" s="1" t="s">
        <v>34218</v>
      </c>
    </row>
    <row r="8176" spans="1:19" x14ac:dyDescent="0.25">
      <c r="A8176">
        <v>101371831</v>
      </c>
      <c r="B8176" t="s">
        <v>18982</v>
      </c>
      <c r="C8176" t="s">
        <v>1069</v>
      </c>
      <c r="F8176" t="str">
        <f>"9034645619"</f>
        <v>9034645619</v>
      </c>
      <c r="G8176" t="s">
        <v>18983</v>
      </c>
      <c r="H8176" t="s">
        <v>18984</v>
      </c>
      <c r="I8176" t="s">
        <v>38</v>
      </c>
      <c r="J8176">
        <v>75491</v>
      </c>
      <c r="K8176">
        <v>8762</v>
      </c>
      <c r="L8176" t="s">
        <v>23</v>
      </c>
      <c r="M8176" t="s">
        <v>18983</v>
      </c>
      <c r="N8176" t="s">
        <v>18984</v>
      </c>
      <c r="O8176" t="s">
        <v>38</v>
      </c>
      <c r="P8176">
        <v>75491</v>
      </c>
      <c r="Q8176">
        <v>8762</v>
      </c>
      <c r="R8176" t="s">
        <v>23</v>
      </c>
      <c r="S8176" s="1" t="s">
        <v>34218</v>
      </c>
    </row>
    <row r="8177" spans="1:19" x14ac:dyDescent="0.25">
      <c r="A8177">
        <v>101465959</v>
      </c>
      <c r="B8177" t="s">
        <v>18985</v>
      </c>
      <c r="C8177" t="s">
        <v>1506</v>
      </c>
      <c r="G8177" t="s">
        <v>18986</v>
      </c>
      <c r="H8177" t="s">
        <v>2923</v>
      </c>
      <c r="I8177" t="s">
        <v>22</v>
      </c>
      <c r="J8177">
        <v>93035</v>
      </c>
      <c r="K8177">
        <v>1432</v>
      </c>
      <c r="L8177" t="s">
        <v>23</v>
      </c>
      <c r="M8177" t="s">
        <v>18986</v>
      </c>
      <c r="N8177" t="s">
        <v>2923</v>
      </c>
      <c r="O8177" t="s">
        <v>22</v>
      </c>
      <c r="P8177">
        <v>93035</v>
      </c>
      <c r="Q8177">
        <v>1432</v>
      </c>
      <c r="R8177" t="s">
        <v>23</v>
      </c>
      <c r="S8177" s="1" t="s">
        <v>34218</v>
      </c>
    </row>
    <row r="8178" spans="1:19" x14ac:dyDescent="0.25">
      <c r="A8178">
        <v>101470407</v>
      </c>
      <c r="B8178" t="s">
        <v>18987</v>
      </c>
      <c r="C8178" t="s">
        <v>14620</v>
      </c>
      <c r="G8178" t="s">
        <v>18988</v>
      </c>
      <c r="H8178" t="s">
        <v>1531</v>
      </c>
      <c r="I8178" t="s">
        <v>84</v>
      </c>
      <c r="J8178">
        <v>98107</v>
      </c>
      <c r="K8178">
        <v>4107</v>
      </c>
      <c r="L8178" t="s">
        <v>23</v>
      </c>
      <c r="M8178" t="s">
        <v>18988</v>
      </c>
      <c r="N8178" t="s">
        <v>1531</v>
      </c>
      <c r="O8178" t="s">
        <v>84</v>
      </c>
      <c r="P8178">
        <v>98107</v>
      </c>
      <c r="Q8178">
        <v>4107</v>
      </c>
      <c r="R8178" t="s">
        <v>23</v>
      </c>
      <c r="S8178" s="1" t="s">
        <v>34218</v>
      </c>
    </row>
    <row r="8179" spans="1:19" x14ac:dyDescent="0.25">
      <c r="A8179">
        <v>101259412</v>
      </c>
      <c r="B8179" t="s">
        <v>18989</v>
      </c>
      <c r="C8179" t="s">
        <v>18990</v>
      </c>
      <c r="G8179" t="s">
        <v>18991</v>
      </c>
      <c r="H8179" t="s">
        <v>18992</v>
      </c>
      <c r="I8179" t="s">
        <v>117</v>
      </c>
      <c r="J8179">
        <v>11413</v>
      </c>
      <c r="L8179" t="s">
        <v>23</v>
      </c>
      <c r="M8179" t="s">
        <v>18991</v>
      </c>
      <c r="N8179" t="s">
        <v>18992</v>
      </c>
      <c r="O8179" t="s">
        <v>117</v>
      </c>
      <c r="P8179">
        <v>11413</v>
      </c>
      <c r="R8179" t="s">
        <v>23</v>
      </c>
      <c r="S8179" s="1" t="s">
        <v>34218</v>
      </c>
    </row>
    <row r="8180" spans="1:19" x14ac:dyDescent="0.25">
      <c r="A8180">
        <v>101481215</v>
      </c>
      <c r="B8180" t="s">
        <v>18993</v>
      </c>
      <c r="C8180" t="s">
        <v>699</v>
      </c>
      <c r="G8180" t="s">
        <v>18994</v>
      </c>
      <c r="H8180" t="s">
        <v>6435</v>
      </c>
      <c r="I8180" t="s">
        <v>1482</v>
      </c>
      <c r="J8180">
        <v>29486</v>
      </c>
      <c r="K8180">
        <v>8276</v>
      </c>
      <c r="L8180" t="s">
        <v>23</v>
      </c>
      <c r="M8180" t="s">
        <v>18994</v>
      </c>
      <c r="N8180" t="s">
        <v>6435</v>
      </c>
      <c r="O8180" t="s">
        <v>1482</v>
      </c>
      <c r="P8180">
        <v>29486</v>
      </c>
      <c r="Q8180">
        <v>8276</v>
      </c>
      <c r="R8180" t="s">
        <v>23</v>
      </c>
      <c r="S8180" s="1" t="s">
        <v>34218</v>
      </c>
    </row>
    <row r="8181" spans="1:19" x14ac:dyDescent="0.25">
      <c r="A8181">
        <v>101481816</v>
      </c>
      <c r="B8181" t="s">
        <v>18995</v>
      </c>
      <c r="C8181" t="s">
        <v>3609</v>
      </c>
      <c r="G8181" t="s">
        <v>18996</v>
      </c>
      <c r="H8181" t="s">
        <v>1579</v>
      </c>
      <c r="I8181" t="s">
        <v>71</v>
      </c>
      <c r="J8181">
        <v>80013</v>
      </c>
      <c r="K8181">
        <v>5400</v>
      </c>
      <c r="L8181" t="s">
        <v>23</v>
      </c>
      <c r="M8181" t="s">
        <v>18996</v>
      </c>
      <c r="N8181" t="s">
        <v>1579</v>
      </c>
      <c r="O8181" t="s">
        <v>71</v>
      </c>
      <c r="P8181">
        <v>80013</v>
      </c>
      <c r="Q8181">
        <v>5400</v>
      </c>
      <c r="R8181" t="s">
        <v>23</v>
      </c>
      <c r="S8181" s="1" t="s">
        <v>34218</v>
      </c>
    </row>
    <row r="8182" spans="1:19" x14ac:dyDescent="0.25">
      <c r="A8182">
        <v>101475252</v>
      </c>
      <c r="B8182" t="s">
        <v>4089</v>
      </c>
      <c r="C8182" t="s">
        <v>2557</v>
      </c>
      <c r="G8182" t="s">
        <v>18997</v>
      </c>
      <c r="H8182" t="s">
        <v>18998</v>
      </c>
      <c r="I8182" t="s">
        <v>1482</v>
      </c>
      <c r="J8182">
        <v>29112</v>
      </c>
      <c r="K8182">
        <v>8147</v>
      </c>
      <c r="L8182" t="s">
        <v>23</v>
      </c>
      <c r="M8182" t="s">
        <v>18997</v>
      </c>
      <c r="N8182" t="s">
        <v>18998</v>
      </c>
      <c r="O8182" t="s">
        <v>1482</v>
      </c>
      <c r="P8182">
        <v>29112</v>
      </c>
      <c r="Q8182">
        <v>8147</v>
      </c>
      <c r="R8182" t="s">
        <v>23</v>
      </c>
      <c r="S8182" s="1" t="s">
        <v>34218</v>
      </c>
    </row>
    <row r="8183" spans="1:19" x14ac:dyDescent="0.25">
      <c r="A8183">
        <v>101475288</v>
      </c>
      <c r="B8183" t="s">
        <v>465</v>
      </c>
      <c r="C8183" t="s">
        <v>403</v>
      </c>
      <c r="G8183" t="s">
        <v>18999</v>
      </c>
      <c r="H8183" t="s">
        <v>19000</v>
      </c>
      <c r="I8183" t="s">
        <v>1482</v>
      </c>
      <c r="J8183">
        <v>29673</v>
      </c>
      <c r="K8183">
        <v>7919</v>
      </c>
      <c r="L8183" t="s">
        <v>23</v>
      </c>
      <c r="M8183" t="s">
        <v>18999</v>
      </c>
      <c r="N8183" t="s">
        <v>19000</v>
      </c>
      <c r="O8183" t="s">
        <v>1482</v>
      </c>
      <c r="P8183">
        <v>29673</v>
      </c>
      <c r="Q8183">
        <v>7919</v>
      </c>
      <c r="R8183" t="s">
        <v>23</v>
      </c>
      <c r="S8183" s="1" t="s">
        <v>34218</v>
      </c>
    </row>
    <row r="8184" spans="1:19" x14ac:dyDescent="0.25">
      <c r="A8184">
        <v>101475338</v>
      </c>
      <c r="B8184" t="s">
        <v>19001</v>
      </c>
      <c r="C8184" t="s">
        <v>410</v>
      </c>
      <c r="G8184" t="s">
        <v>19002</v>
      </c>
      <c r="H8184" t="s">
        <v>12242</v>
      </c>
      <c r="I8184" t="s">
        <v>255</v>
      </c>
      <c r="J8184">
        <v>22642</v>
      </c>
      <c r="K8184">
        <v>5872</v>
      </c>
      <c r="L8184" t="s">
        <v>23</v>
      </c>
      <c r="M8184" t="s">
        <v>19002</v>
      </c>
      <c r="N8184" t="s">
        <v>12242</v>
      </c>
      <c r="O8184" t="s">
        <v>255</v>
      </c>
      <c r="P8184">
        <v>22642</v>
      </c>
      <c r="Q8184">
        <v>5872</v>
      </c>
      <c r="R8184" t="s">
        <v>23</v>
      </c>
      <c r="S8184" s="1" t="s">
        <v>34218</v>
      </c>
    </row>
    <row r="8185" spans="1:19" x14ac:dyDescent="0.25">
      <c r="A8185">
        <v>101475406</v>
      </c>
      <c r="B8185" t="s">
        <v>37</v>
      </c>
      <c r="C8185" t="s">
        <v>4902</v>
      </c>
      <c r="G8185" t="s">
        <v>19003</v>
      </c>
      <c r="H8185" t="s">
        <v>7002</v>
      </c>
      <c r="I8185" t="s">
        <v>327</v>
      </c>
      <c r="J8185">
        <v>25701</v>
      </c>
      <c r="K8185">
        <v>2433</v>
      </c>
      <c r="L8185" t="s">
        <v>23</v>
      </c>
      <c r="M8185" t="s">
        <v>19003</v>
      </c>
      <c r="N8185" t="s">
        <v>7002</v>
      </c>
      <c r="O8185" t="s">
        <v>327</v>
      </c>
      <c r="P8185">
        <v>25701</v>
      </c>
      <c r="Q8185">
        <v>2433</v>
      </c>
      <c r="R8185" t="s">
        <v>23</v>
      </c>
      <c r="S8185" s="1" t="s">
        <v>34218</v>
      </c>
    </row>
    <row r="8186" spans="1:19" x14ac:dyDescent="0.25">
      <c r="A8186">
        <v>101475645</v>
      </c>
      <c r="B8186" t="s">
        <v>9105</v>
      </c>
      <c r="C8186" t="s">
        <v>1669</v>
      </c>
      <c r="G8186" t="s">
        <v>19004</v>
      </c>
      <c r="H8186" t="s">
        <v>7649</v>
      </c>
      <c r="I8186" t="s">
        <v>57</v>
      </c>
      <c r="J8186">
        <v>46219</v>
      </c>
      <c r="K8186">
        <v>2949</v>
      </c>
      <c r="L8186" t="s">
        <v>23</v>
      </c>
      <c r="M8186" t="s">
        <v>19004</v>
      </c>
      <c r="N8186" t="s">
        <v>7649</v>
      </c>
      <c r="O8186" t="s">
        <v>57</v>
      </c>
      <c r="P8186">
        <v>46219</v>
      </c>
      <c r="Q8186">
        <v>2949</v>
      </c>
      <c r="R8186" t="s">
        <v>23</v>
      </c>
      <c r="S8186" s="1" t="s">
        <v>34218</v>
      </c>
    </row>
    <row r="8187" spans="1:19" x14ac:dyDescent="0.25">
      <c r="A8187">
        <v>101475656</v>
      </c>
      <c r="B8187" t="s">
        <v>1622</v>
      </c>
      <c r="C8187" t="s">
        <v>3003</v>
      </c>
      <c r="G8187" t="s">
        <v>19005</v>
      </c>
      <c r="H8187" t="s">
        <v>4902</v>
      </c>
      <c r="I8187" t="s">
        <v>57</v>
      </c>
      <c r="J8187">
        <v>46356</v>
      </c>
      <c r="K8187">
        <v>2212</v>
      </c>
      <c r="L8187" t="s">
        <v>23</v>
      </c>
      <c r="M8187" t="s">
        <v>19005</v>
      </c>
      <c r="N8187" t="s">
        <v>4902</v>
      </c>
      <c r="O8187" t="s">
        <v>57</v>
      </c>
      <c r="P8187">
        <v>46356</v>
      </c>
      <c r="Q8187">
        <v>2212</v>
      </c>
      <c r="R8187" t="s">
        <v>23</v>
      </c>
      <c r="S8187" s="1" t="s">
        <v>34218</v>
      </c>
    </row>
    <row r="8188" spans="1:19" x14ac:dyDescent="0.25">
      <c r="A8188">
        <v>101475725</v>
      </c>
      <c r="B8188" t="s">
        <v>1171</v>
      </c>
      <c r="C8188" t="s">
        <v>19006</v>
      </c>
      <c r="G8188" t="s">
        <v>19007</v>
      </c>
      <c r="H8188" t="s">
        <v>19008</v>
      </c>
      <c r="I8188" t="s">
        <v>33</v>
      </c>
      <c r="J8188">
        <v>17522</v>
      </c>
      <c r="K8188">
        <v>2556</v>
      </c>
      <c r="L8188" t="s">
        <v>23</v>
      </c>
      <c r="M8188" t="s">
        <v>19007</v>
      </c>
      <c r="N8188" t="s">
        <v>19008</v>
      </c>
      <c r="O8188" t="s">
        <v>33</v>
      </c>
      <c r="P8188">
        <v>17522</v>
      </c>
      <c r="Q8188">
        <v>2556</v>
      </c>
      <c r="R8188" t="s">
        <v>23</v>
      </c>
      <c r="S8188" s="1" t="s">
        <v>34218</v>
      </c>
    </row>
    <row r="8189" spans="1:19" x14ac:dyDescent="0.25">
      <c r="A8189">
        <v>101475926</v>
      </c>
      <c r="B8189" t="s">
        <v>19009</v>
      </c>
      <c r="C8189" t="s">
        <v>1463</v>
      </c>
      <c r="G8189" t="s">
        <v>19010</v>
      </c>
      <c r="H8189" t="s">
        <v>4326</v>
      </c>
      <c r="I8189" t="s">
        <v>178</v>
      </c>
      <c r="J8189">
        <v>44107</v>
      </c>
      <c r="K8189">
        <v>6142</v>
      </c>
      <c r="L8189" t="s">
        <v>23</v>
      </c>
      <c r="M8189" t="s">
        <v>19010</v>
      </c>
      <c r="N8189" t="s">
        <v>4326</v>
      </c>
      <c r="O8189" t="s">
        <v>178</v>
      </c>
      <c r="P8189">
        <v>44107</v>
      </c>
      <c r="Q8189">
        <v>6142</v>
      </c>
      <c r="R8189" t="s">
        <v>23</v>
      </c>
      <c r="S8189" s="1" t="s">
        <v>34218</v>
      </c>
    </row>
    <row r="8190" spans="1:19" x14ac:dyDescent="0.25">
      <c r="A8190">
        <v>101475983</v>
      </c>
      <c r="B8190" t="s">
        <v>19011</v>
      </c>
      <c r="C8190" t="s">
        <v>699</v>
      </c>
      <c r="G8190" t="s">
        <v>19012</v>
      </c>
      <c r="H8190" t="s">
        <v>13363</v>
      </c>
      <c r="I8190" t="s">
        <v>178</v>
      </c>
      <c r="J8190">
        <v>45044</v>
      </c>
      <c r="K8190">
        <v>1194</v>
      </c>
      <c r="L8190" t="s">
        <v>23</v>
      </c>
      <c r="M8190" t="s">
        <v>19012</v>
      </c>
      <c r="N8190" t="s">
        <v>13363</v>
      </c>
      <c r="O8190" t="s">
        <v>178</v>
      </c>
      <c r="P8190">
        <v>45044</v>
      </c>
      <c r="Q8190">
        <v>1194</v>
      </c>
      <c r="R8190" t="s">
        <v>23</v>
      </c>
      <c r="S8190" s="1" t="s">
        <v>34218</v>
      </c>
    </row>
    <row r="8191" spans="1:19" x14ac:dyDescent="0.25">
      <c r="A8191">
        <v>101476058</v>
      </c>
      <c r="B8191" t="s">
        <v>19013</v>
      </c>
      <c r="C8191" t="s">
        <v>102</v>
      </c>
      <c r="G8191" t="s">
        <v>19014</v>
      </c>
      <c r="H8191" t="s">
        <v>1308</v>
      </c>
      <c r="I8191" t="s">
        <v>117</v>
      </c>
      <c r="J8191">
        <v>13901</v>
      </c>
      <c r="K8191">
        <v>1826</v>
      </c>
      <c r="L8191" t="s">
        <v>23</v>
      </c>
      <c r="M8191" t="s">
        <v>19014</v>
      </c>
      <c r="N8191" t="s">
        <v>1308</v>
      </c>
      <c r="O8191" t="s">
        <v>117</v>
      </c>
      <c r="P8191">
        <v>13901</v>
      </c>
      <c r="Q8191">
        <v>1826</v>
      </c>
      <c r="R8191" t="s">
        <v>23</v>
      </c>
      <c r="S8191" s="1" t="s">
        <v>34218</v>
      </c>
    </row>
    <row r="8192" spans="1:19" x14ac:dyDescent="0.25">
      <c r="A8192">
        <v>101476108</v>
      </c>
      <c r="B8192" t="s">
        <v>706</v>
      </c>
      <c r="C8192" t="s">
        <v>1529</v>
      </c>
      <c r="G8192" t="s">
        <v>19015</v>
      </c>
      <c r="H8192" t="s">
        <v>264</v>
      </c>
      <c r="I8192" t="s">
        <v>117</v>
      </c>
      <c r="J8192">
        <v>14850</v>
      </c>
      <c r="K8192">
        <v>1140</v>
      </c>
      <c r="L8192" t="s">
        <v>23</v>
      </c>
      <c r="M8192" t="s">
        <v>19015</v>
      </c>
      <c r="N8192" t="s">
        <v>264</v>
      </c>
      <c r="O8192" t="s">
        <v>117</v>
      </c>
      <c r="P8192">
        <v>14850</v>
      </c>
      <c r="Q8192">
        <v>1140</v>
      </c>
      <c r="R8192" t="s">
        <v>23</v>
      </c>
      <c r="S8192" s="1" t="s">
        <v>34218</v>
      </c>
    </row>
    <row r="8193" spans="1:19" x14ac:dyDescent="0.25">
      <c r="A8193">
        <v>101476369</v>
      </c>
      <c r="B8193" t="s">
        <v>19016</v>
      </c>
      <c r="C8193" t="s">
        <v>2916</v>
      </c>
      <c r="G8193" t="s">
        <v>19017</v>
      </c>
      <c r="H8193" t="s">
        <v>412</v>
      </c>
      <c r="I8193" t="s">
        <v>117</v>
      </c>
      <c r="J8193">
        <v>11226</v>
      </c>
      <c r="K8193">
        <v>1341</v>
      </c>
      <c r="L8193" t="s">
        <v>23</v>
      </c>
      <c r="M8193" t="s">
        <v>19017</v>
      </c>
      <c r="N8193" t="s">
        <v>412</v>
      </c>
      <c r="O8193" t="s">
        <v>117</v>
      </c>
      <c r="P8193">
        <v>11226</v>
      </c>
      <c r="Q8193">
        <v>1341</v>
      </c>
      <c r="R8193" t="s">
        <v>23</v>
      </c>
      <c r="S8193" s="1" t="s">
        <v>34218</v>
      </c>
    </row>
    <row r="8194" spans="1:19" x14ac:dyDescent="0.25">
      <c r="A8194">
        <v>101476470</v>
      </c>
      <c r="B8194" t="s">
        <v>9103</v>
      </c>
      <c r="C8194" t="s">
        <v>19018</v>
      </c>
      <c r="G8194" t="s">
        <v>19019</v>
      </c>
      <c r="H8194" t="s">
        <v>19020</v>
      </c>
      <c r="I8194" t="s">
        <v>117</v>
      </c>
      <c r="J8194">
        <v>12458</v>
      </c>
      <c r="K8194">
        <v>2600</v>
      </c>
      <c r="L8194" t="s">
        <v>23</v>
      </c>
      <c r="M8194" t="s">
        <v>19019</v>
      </c>
      <c r="N8194" t="s">
        <v>19020</v>
      </c>
      <c r="O8194" t="s">
        <v>117</v>
      </c>
      <c r="P8194">
        <v>12458</v>
      </c>
      <c r="Q8194">
        <v>2600</v>
      </c>
      <c r="R8194" t="s">
        <v>23</v>
      </c>
      <c r="S8194" s="1" t="s">
        <v>34218</v>
      </c>
    </row>
    <row r="8195" spans="1:19" x14ac:dyDescent="0.25">
      <c r="A8195">
        <v>101476484</v>
      </c>
      <c r="B8195" t="s">
        <v>6084</v>
      </c>
      <c r="C8195" t="s">
        <v>3442</v>
      </c>
      <c r="G8195" t="s">
        <v>19021</v>
      </c>
      <c r="H8195" t="s">
        <v>280</v>
      </c>
      <c r="I8195" t="s">
        <v>117</v>
      </c>
      <c r="J8195">
        <v>12561</v>
      </c>
      <c r="K8195">
        <v>147</v>
      </c>
      <c r="L8195" t="s">
        <v>23</v>
      </c>
      <c r="M8195" t="s">
        <v>19021</v>
      </c>
      <c r="N8195" t="s">
        <v>280</v>
      </c>
      <c r="O8195" t="s">
        <v>117</v>
      </c>
      <c r="P8195">
        <v>12561</v>
      </c>
      <c r="Q8195">
        <v>147</v>
      </c>
      <c r="R8195" t="s">
        <v>23</v>
      </c>
      <c r="S8195" s="1" t="s">
        <v>34218</v>
      </c>
    </row>
    <row r="8196" spans="1:19" x14ac:dyDescent="0.25">
      <c r="A8196">
        <v>101476659</v>
      </c>
      <c r="B8196" t="s">
        <v>19022</v>
      </c>
      <c r="C8196" t="s">
        <v>1350</v>
      </c>
      <c r="G8196" t="s">
        <v>19023</v>
      </c>
      <c r="H8196" t="s">
        <v>19024</v>
      </c>
      <c r="I8196" t="s">
        <v>2537</v>
      </c>
      <c r="J8196">
        <v>71909</v>
      </c>
      <c r="K8196">
        <v>6712</v>
      </c>
      <c r="L8196" t="s">
        <v>23</v>
      </c>
      <c r="M8196" t="s">
        <v>19023</v>
      </c>
      <c r="N8196" t="s">
        <v>19024</v>
      </c>
      <c r="O8196" t="s">
        <v>2537</v>
      </c>
      <c r="P8196">
        <v>71909</v>
      </c>
      <c r="Q8196">
        <v>6712</v>
      </c>
      <c r="R8196" t="s">
        <v>23</v>
      </c>
      <c r="S8196" s="1" t="s">
        <v>34218</v>
      </c>
    </row>
    <row r="8197" spans="1:19" x14ac:dyDescent="0.25">
      <c r="A8197">
        <v>101476864</v>
      </c>
      <c r="B8197" t="s">
        <v>9108</v>
      </c>
      <c r="C8197" t="s">
        <v>19025</v>
      </c>
      <c r="G8197" t="s">
        <v>19026</v>
      </c>
      <c r="H8197" t="s">
        <v>19027</v>
      </c>
      <c r="I8197" t="s">
        <v>126</v>
      </c>
      <c r="J8197">
        <v>65468</v>
      </c>
      <c r="K8197">
        <v>6804</v>
      </c>
      <c r="L8197" t="s">
        <v>23</v>
      </c>
      <c r="M8197" t="s">
        <v>19026</v>
      </c>
      <c r="N8197" t="s">
        <v>19027</v>
      </c>
      <c r="O8197" t="s">
        <v>126</v>
      </c>
      <c r="P8197">
        <v>65468</v>
      </c>
      <c r="Q8197">
        <v>6804</v>
      </c>
      <c r="R8197" t="s">
        <v>23</v>
      </c>
      <c r="S8197" s="1" t="s">
        <v>34218</v>
      </c>
    </row>
    <row r="8198" spans="1:19" x14ac:dyDescent="0.25">
      <c r="A8198">
        <v>101476914</v>
      </c>
      <c r="B8198" t="s">
        <v>19028</v>
      </c>
      <c r="C8198" t="s">
        <v>535</v>
      </c>
      <c r="G8198" t="s">
        <v>19029</v>
      </c>
      <c r="H8198" t="s">
        <v>925</v>
      </c>
      <c r="I8198" t="s">
        <v>241</v>
      </c>
      <c r="J8198">
        <v>67357</v>
      </c>
      <c r="K8198">
        <v>8467</v>
      </c>
      <c r="L8198" t="s">
        <v>23</v>
      </c>
      <c r="M8198" t="s">
        <v>19029</v>
      </c>
      <c r="N8198" t="s">
        <v>925</v>
      </c>
      <c r="O8198" t="s">
        <v>241</v>
      </c>
      <c r="P8198">
        <v>67357</v>
      </c>
      <c r="Q8198">
        <v>8467</v>
      </c>
      <c r="R8198" t="s">
        <v>23</v>
      </c>
      <c r="S8198" s="1" t="s">
        <v>34218</v>
      </c>
    </row>
    <row r="8199" spans="1:19" x14ac:dyDescent="0.25">
      <c r="A8199">
        <v>101477097</v>
      </c>
      <c r="B8199" t="s">
        <v>3656</v>
      </c>
      <c r="C8199" t="s">
        <v>1533</v>
      </c>
      <c r="G8199" t="s">
        <v>19030</v>
      </c>
      <c r="H8199" t="s">
        <v>134</v>
      </c>
      <c r="I8199" t="s">
        <v>135</v>
      </c>
      <c r="J8199">
        <v>60643</v>
      </c>
      <c r="K8199">
        <v>2800</v>
      </c>
      <c r="L8199" t="s">
        <v>23</v>
      </c>
      <c r="M8199" t="s">
        <v>19030</v>
      </c>
      <c r="N8199" t="s">
        <v>134</v>
      </c>
      <c r="O8199" t="s">
        <v>135</v>
      </c>
      <c r="P8199">
        <v>60643</v>
      </c>
      <c r="Q8199">
        <v>2800</v>
      </c>
      <c r="R8199" t="s">
        <v>23</v>
      </c>
      <c r="S8199" s="1" t="s">
        <v>34218</v>
      </c>
    </row>
    <row r="8200" spans="1:19" x14ac:dyDescent="0.25">
      <c r="A8200">
        <v>101477229</v>
      </c>
      <c r="B8200" t="s">
        <v>19031</v>
      </c>
      <c r="C8200" t="s">
        <v>11643</v>
      </c>
      <c r="G8200" t="s">
        <v>19032</v>
      </c>
      <c r="H8200" t="s">
        <v>19033</v>
      </c>
      <c r="I8200" t="s">
        <v>187</v>
      </c>
      <c r="J8200">
        <v>56342</v>
      </c>
      <c r="K8200">
        <v>4772</v>
      </c>
      <c r="L8200" t="s">
        <v>23</v>
      </c>
      <c r="M8200" t="s">
        <v>19032</v>
      </c>
      <c r="N8200" t="s">
        <v>19033</v>
      </c>
      <c r="O8200" t="s">
        <v>187</v>
      </c>
      <c r="P8200">
        <v>56342</v>
      </c>
      <c r="Q8200">
        <v>4772</v>
      </c>
      <c r="R8200" t="s">
        <v>23</v>
      </c>
      <c r="S8200" s="1" t="s">
        <v>34218</v>
      </c>
    </row>
    <row r="8201" spans="1:19" x14ac:dyDescent="0.25">
      <c r="A8201">
        <v>101423180</v>
      </c>
      <c r="B8201" t="s">
        <v>18722</v>
      </c>
      <c r="C8201" t="s">
        <v>119</v>
      </c>
      <c r="G8201" t="s">
        <v>19034</v>
      </c>
      <c r="H8201" t="s">
        <v>240</v>
      </c>
      <c r="I8201" t="s">
        <v>241</v>
      </c>
      <c r="J8201">
        <v>66212</v>
      </c>
      <c r="K8201">
        <v>2459</v>
      </c>
      <c r="L8201" t="s">
        <v>23</v>
      </c>
      <c r="M8201" t="s">
        <v>19034</v>
      </c>
      <c r="N8201" t="s">
        <v>240</v>
      </c>
      <c r="O8201" t="s">
        <v>241</v>
      </c>
      <c r="P8201">
        <v>66212</v>
      </c>
      <c r="Q8201">
        <v>2459</v>
      </c>
      <c r="R8201" t="s">
        <v>23</v>
      </c>
      <c r="S8201" s="1" t="s">
        <v>34218</v>
      </c>
    </row>
    <row r="8202" spans="1:19" x14ac:dyDescent="0.25">
      <c r="A8202">
        <v>101410855</v>
      </c>
      <c r="B8202" t="s">
        <v>19035</v>
      </c>
      <c r="C8202" t="s">
        <v>3442</v>
      </c>
      <c r="G8202" t="s">
        <v>19036</v>
      </c>
      <c r="H8202" t="s">
        <v>5566</v>
      </c>
      <c r="I8202" t="s">
        <v>135</v>
      </c>
      <c r="J8202">
        <v>60487</v>
      </c>
      <c r="K8202">
        <v>2210</v>
      </c>
      <c r="L8202" t="s">
        <v>23</v>
      </c>
      <c r="M8202" t="s">
        <v>19036</v>
      </c>
      <c r="N8202" t="s">
        <v>5566</v>
      </c>
      <c r="O8202" t="s">
        <v>135</v>
      </c>
      <c r="P8202">
        <v>60487</v>
      </c>
      <c r="Q8202">
        <v>2210</v>
      </c>
      <c r="R8202" t="s">
        <v>23</v>
      </c>
      <c r="S8202" s="1" t="s">
        <v>34218</v>
      </c>
    </row>
    <row r="8203" spans="1:19" x14ac:dyDescent="0.25">
      <c r="A8203">
        <v>100584528</v>
      </c>
      <c r="B8203" t="s">
        <v>4696</v>
      </c>
      <c r="C8203" t="s">
        <v>313</v>
      </c>
      <c r="G8203" t="s">
        <v>19037</v>
      </c>
      <c r="H8203" t="s">
        <v>9354</v>
      </c>
      <c r="I8203" t="s">
        <v>71</v>
      </c>
      <c r="J8203">
        <v>81413</v>
      </c>
      <c r="K8203">
        <v>3314</v>
      </c>
      <c r="L8203" t="s">
        <v>23</v>
      </c>
      <c r="M8203" t="s">
        <v>19037</v>
      </c>
      <c r="N8203" t="s">
        <v>9354</v>
      </c>
      <c r="O8203" t="s">
        <v>71</v>
      </c>
      <c r="P8203">
        <v>81413</v>
      </c>
      <c r="Q8203">
        <v>3314</v>
      </c>
      <c r="R8203" t="s">
        <v>23</v>
      </c>
      <c r="S8203" s="1" t="s">
        <v>34218</v>
      </c>
    </row>
    <row r="8204" spans="1:19" x14ac:dyDescent="0.25">
      <c r="A8204">
        <v>101468437</v>
      </c>
      <c r="B8204" t="s">
        <v>19038</v>
      </c>
      <c r="C8204" t="s">
        <v>251</v>
      </c>
      <c r="G8204" t="s">
        <v>19039</v>
      </c>
      <c r="H8204" t="s">
        <v>19040</v>
      </c>
      <c r="I8204" t="s">
        <v>1482</v>
      </c>
      <c r="J8204">
        <v>29909</v>
      </c>
      <c r="K8204">
        <v>5083</v>
      </c>
      <c r="L8204" t="s">
        <v>23</v>
      </c>
      <c r="M8204" t="s">
        <v>19039</v>
      </c>
      <c r="N8204" t="s">
        <v>19040</v>
      </c>
      <c r="O8204" t="s">
        <v>1482</v>
      </c>
      <c r="P8204">
        <v>29909</v>
      </c>
      <c r="Q8204">
        <v>5083</v>
      </c>
      <c r="R8204" t="s">
        <v>23</v>
      </c>
      <c r="S8204" s="1" t="s">
        <v>34218</v>
      </c>
    </row>
    <row r="8205" spans="1:19" x14ac:dyDescent="0.25">
      <c r="A8205">
        <v>101301087</v>
      </c>
      <c r="B8205" t="s">
        <v>486</v>
      </c>
      <c r="C8205" t="s">
        <v>1306</v>
      </c>
      <c r="G8205" t="s">
        <v>19041</v>
      </c>
      <c r="H8205" t="s">
        <v>1109</v>
      </c>
      <c r="I8205" t="s">
        <v>22</v>
      </c>
      <c r="J8205">
        <v>95415</v>
      </c>
      <c r="L8205" t="s">
        <v>23</v>
      </c>
      <c r="M8205" t="s">
        <v>19041</v>
      </c>
      <c r="N8205" t="s">
        <v>1109</v>
      </c>
      <c r="O8205" t="s">
        <v>22</v>
      </c>
      <c r="P8205">
        <v>95415</v>
      </c>
      <c r="R8205" t="s">
        <v>23</v>
      </c>
      <c r="S8205" s="1" t="s">
        <v>34218</v>
      </c>
    </row>
    <row r="8206" spans="1:19" x14ac:dyDescent="0.25">
      <c r="A8206">
        <v>101327445</v>
      </c>
      <c r="B8206" t="s">
        <v>19042</v>
      </c>
      <c r="C8206" t="s">
        <v>282</v>
      </c>
      <c r="G8206" t="s">
        <v>19043</v>
      </c>
      <c r="H8206" t="s">
        <v>130</v>
      </c>
      <c r="I8206" t="s">
        <v>22</v>
      </c>
      <c r="J8206">
        <v>94127</v>
      </c>
      <c r="K8206">
        <v>2137</v>
      </c>
      <c r="L8206" t="s">
        <v>23</v>
      </c>
      <c r="M8206" t="s">
        <v>19043</v>
      </c>
      <c r="N8206" t="s">
        <v>130</v>
      </c>
      <c r="O8206" t="s">
        <v>22</v>
      </c>
      <c r="P8206">
        <v>94127</v>
      </c>
      <c r="Q8206">
        <v>2137</v>
      </c>
      <c r="R8206" t="s">
        <v>23</v>
      </c>
      <c r="S8206" s="1" t="s">
        <v>34218</v>
      </c>
    </row>
    <row r="8207" spans="1:19" x14ac:dyDescent="0.25">
      <c r="A8207">
        <v>101470176</v>
      </c>
      <c r="B8207" t="s">
        <v>19044</v>
      </c>
      <c r="C8207" t="s">
        <v>19045</v>
      </c>
      <c r="G8207" t="s">
        <v>19046</v>
      </c>
      <c r="H8207" t="s">
        <v>1531</v>
      </c>
      <c r="I8207" t="s">
        <v>84</v>
      </c>
      <c r="J8207">
        <v>98126</v>
      </c>
      <c r="K8207">
        <v>3636</v>
      </c>
      <c r="L8207" t="s">
        <v>23</v>
      </c>
      <c r="M8207" t="s">
        <v>19046</v>
      </c>
      <c r="N8207" t="s">
        <v>1531</v>
      </c>
      <c r="O8207" t="s">
        <v>84</v>
      </c>
      <c r="P8207">
        <v>98126</v>
      </c>
      <c r="Q8207">
        <v>3636</v>
      </c>
      <c r="R8207" t="s">
        <v>23</v>
      </c>
      <c r="S8207" s="1" t="s">
        <v>34218</v>
      </c>
    </row>
    <row r="8208" spans="1:19" x14ac:dyDescent="0.25">
      <c r="A8208">
        <v>101249762</v>
      </c>
      <c r="B8208" t="s">
        <v>19047</v>
      </c>
      <c r="C8208" t="s">
        <v>282</v>
      </c>
      <c r="G8208" t="s">
        <v>19048</v>
      </c>
      <c r="H8208" t="s">
        <v>13588</v>
      </c>
      <c r="I8208" t="s">
        <v>33</v>
      </c>
      <c r="J8208">
        <v>16052</v>
      </c>
      <c r="K8208">
        <v>2619</v>
      </c>
      <c r="L8208" t="s">
        <v>23</v>
      </c>
      <c r="M8208" t="s">
        <v>19048</v>
      </c>
      <c r="N8208" t="s">
        <v>13588</v>
      </c>
      <c r="O8208" t="s">
        <v>33</v>
      </c>
      <c r="P8208">
        <v>16052</v>
      </c>
      <c r="Q8208">
        <v>2619</v>
      </c>
      <c r="R8208" t="s">
        <v>23</v>
      </c>
      <c r="S8208" s="1" t="s">
        <v>34218</v>
      </c>
    </row>
    <row r="8209" spans="1:19" x14ac:dyDescent="0.25">
      <c r="A8209">
        <v>100532159</v>
      </c>
      <c r="B8209" t="s">
        <v>19049</v>
      </c>
      <c r="C8209" t="s">
        <v>3288</v>
      </c>
      <c r="G8209" t="s">
        <v>19050</v>
      </c>
      <c r="H8209" t="s">
        <v>1439</v>
      </c>
      <c r="I8209" t="s">
        <v>365</v>
      </c>
      <c r="J8209">
        <v>85745</v>
      </c>
      <c r="K8209">
        <v>2568</v>
      </c>
      <c r="L8209" t="s">
        <v>23</v>
      </c>
      <c r="M8209" t="s">
        <v>19050</v>
      </c>
      <c r="N8209" t="s">
        <v>1439</v>
      </c>
      <c r="O8209" t="s">
        <v>365</v>
      </c>
      <c r="P8209">
        <v>85745</v>
      </c>
      <c r="Q8209">
        <v>2568</v>
      </c>
      <c r="R8209" t="s">
        <v>23</v>
      </c>
      <c r="S8209" s="1" t="s">
        <v>34218</v>
      </c>
    </row>
    <row r="8210" spans="1:19" x14ac:dyDescent="0.25">
      <c r="A8210">
        <v>101435000</v>
      </c>
      <c r="B8210" t="s">
        <v>19051</v>
      </c>
      <c r="C8210" t="s">
        <v>25</v>
      </c>
      <c r="G8210" t="s">
        <v>19052</v>
      </c>
      <c r="H8210" t="s">
        <v>2901</v>
      </c>
      <c r="I8210" t="s">
        <v>255</v>
      </c>
      <c r="J8210">
        <v>23060</v>
      </c>
      <c r="K8210">
        <v>6716</v>
      </c>
      <c r="L8210" t="s">
        <v>23</v>
      </c>
      <c r="M8210" t="s">
        <v>19052</v>
      </c>
      <c r="N8210" t="s">
        <v>2901</v>
      </c>
      <c r="O8210" t="s">
        <v>255</v>
      </c>
      <c r="P8210">
        <v>23060</v>
      </c>
      <c r="Q8210">
        <v>6716</v>
      </c>
      <c r="R8210" t="s">
        <v>23</v>
      </c>
      <c r="S8210" s="1" t="s">
        <v>34218</v>
      </c>
    </row>
    <row r="8211" spans="1:19" x14ac:dyDescent="0.25">
      <c r="A8211">
        <v>101430909</v>
      </c>
      <c r="B8211" t="s">
        <v>19053</v>
      </c>
      <c r="C8211" t="s">
        <v>19054</v>
      </c>
      <c r="G8211" t="s">
        <v>19055</v>
      </c>
      <c r="H8211" t="s">
        <v>134</v>
      </c>
      <c r="I8211" t="s">
        <v>135</v>
      </c>
      <c r="J8211">
        <v>60607</v>
      </c>
      <c r="K8211">
        <v>3000</v>
      </c>
      <c r="L8211" t="s">
        <v>23</v>
      </c>
      <c r="M8211" t="s">
        <v>19055</v>
      </c>
      <c r="N8211" t="s">
        <v>134</v>
      </c>
      <c r="O8211" t="s">
        <v>135</v>
      </c>
      <c r="P8211">
        <v>60607</v>
      </c>
      <c r="Q8211">
        <v>3000</v>
      </c>
      <c r="R8211" t="s">
        <v>23</v>
      </c>
      <c r="S8211" s="1" t="s">
        <v>34218</v>
      </c>
    </row>
    <row r="8212" spans="1:19" x14ac:dyDescent="0.25">
      <c r="A8212">
        <v>100918393</v>
      </c>
      <c r="B8212" t="s">
        <v>763</v>
      </c>
      <c r="C8212" t="s">
        <v>2417</v>
      </c>
      <c r="G8212" t="s">
        <v>19056</v>
      </c>
      <c r="H8212" t="s">
        <v>152</v>
      </c>
      <c r="I8212" t="s">
        <v>153</v>
      </c>
      <c r="J8212">
        <v>70005</v>
      </c>
      <c r="K8212">
        <v>6500</v>
      </c>
      <c r="L8212" t="s">
        <v>23</v>
      </c>
      <c r="M8212" t="s">
        <v>19056</v>
      </c>
      <c r="N8212" t="s">
        <v>152</v>
      </c>
      <c r="O8212" t="s">
        <v>153</v>
      </c>
      <c r="P8212">
        <v>70005</v>
      </c>
      <c r="Q8212">
        <v>6500</v>
      </c>
      <c r="R8212" t="s">
        <v>23</v>
      </c>
      <c r="S8212" s="1" t="s">
        <v>34218</v>
      </c>
    </row>
    <row r="8213" spans="1:19" x14ac:dyDescent="0.25">
      <c r="A8213">
        <v>101469146</v>
      </c>
      <c r="B8213" t="s">
        <v>3263</v>
      </c>
      <c r="C8213" t="s">
        <v>440</v>
      </c>
      <c r="G8213" t="s">
        <v>19057</v>
      </c>
      <c r="H8213" t="s">
        <v>19058</v>
      </c>
      <c r="I8213" t="s">
        <v>135</v>
      </c>
      <c r="J8213">
        <v>60950</v>
      </c>
      <c r="K8213">
        <v>1439</v>
      </c>
      <c r="L8213" t="s">
        <v>23</v>
      </c>
      <c r="M8213" t="s">
        <v>19057</v>
      </c>
      <c r="N8213" t="s">
        <v>19058</v>
      </c>
      <c r="O8213" t="s">
        <v>135</v>
      </c>
      <c r="P8213">
        <v>60950</v>
      </c>
      <c r="Q8213">
        <v>1439</v>
      </c>
      <c r="R8213" t="s">
        <v>23</v>
      </c>
      <c r="S8213" s="1" t="s">
        <v>34218</v>
      </c>
    </row>
    <row r="8214" spans="1:19" x14ac:dyDescent="0.25">
      <c r="A8214">
        <v>101467625</v>
      </c>
      <c r="B8214" t="s">
        <v>19059</v>
      </c>
      <c r="C8214" t="s">
        <v>585</v>
      </c>
      <c r="G8214" t="s">
        <v>19060</v>
      </c>
      <c r="H8214" t="s">
        <v>19061</v>
      </c>
      <c r="I8214" t="s">
        <v>22</v>
      </c>
      <c r="J8214">
        <v>92376</v>
      </c>
      <c r="K8214">
        <v>5809</v>
      </c>
      <c r="L8214" t="s">
        <v>23</v>
      </c>
      <c r="M8214" t="s">
        <v>19060</v>
      </c>
      <c r="N8214" t="s">
        <v>19061</v>
      </c>
      <c r="O8214" t="s">
        <v>22</v>
      </c>
      <c r="P8214">
        <v>92376</v>
      </c>
      <c r="Q8214">
        <v>5809</v>
      </c>
      <c r="R8214" t="s">
        <v>23</v>
      </c>
      <c r="S8214" s="1" t="s">
        <v>34218</v>
      </c>
    </row>
    <row r="8215" spans="1:19" x14ac:dyDescent="0.25">
      <c r="A8215">
        <v>100570134</v>
      </c>
      <c r="B8215" t="s">
        <v>19062</v>
      </c>
      <c r="C8215" t="s">
        <v>1374</v>
      </c>
      <c r="G8215" t="s">
        <v>19063</v>
      </c>
      <c r="H8215" t="s">
        <v>2987</v>
      </c>
      <c r="I8215" t="s">
        <v>22</v>
      </c>
      <c r="J8215">
        <v>91601</v>
      </c>
      <c r="K8215">
        <v>1707</v>
      </c>
      <c r="L8215" t="s">
        <v>23</v>
      </c>
      <c r="M8215" t="s">
        <v>19063</v>
      </c>
      <c r="N8215" t="s">
        <v>2987</v>
      </c>
      <c r="O8215" t="s">
        <v>22</v>
      </c>
      <c r="P8215">
        <v>91601</v>
      </c>
      <c r="Q8215">
        <v>1707</v>
      </c>
      <c r="R8215" t="s">
        <v>23</v>
      </c>
      <c r="S8215" s="1" t="s">
        <v>34218</v>
      </c>
    </row>
    <row r="8216" spans="1:19" x14ac:dyDescent="0.25">
      <c r="A8216">
        <v>101357226</v>
      </c>
      <c r="B8216" t="s">
        <v>19064</v>
      </c>
      <c r="C8216" t="s">
        <v>217</v>
      </c>
      <c r="G8216" t="s">
        <v>19065</v>
      </c>
      <c r="H8216" t="s">
        <v>10969</v>
      </c>
      <c r="I8216" t="s">
        <v>38</v>
      </c>
      <c r="J8216">
        <v>75036</v>
      </c>
      <c r="K8216">
        <v>6538</v>
      </c>
      <c r="L8216" t="s">
        <v>23</v>
      </c>
      <c r="M8216" t="s">
        <v>19065</v>
      </c>
      <c r="N8216" t="s">
        <v>10969</v>
      </c>
      <c r="O8216" t="s">
        <v>38</v>
      </c>
      <c r="P8216">
        <v>75036</v>
      </c>
      <c r="Q8216">
        <v>6538</v>
      </c>
      <c r="R8216" t="s">
        <v>23</v>
      </c>
      <c r="S8216" s="1" t="s">
        <v>34218</v>
      </c>
    </row>
    <row r="8217" spans="1:19" x14ac:dyDescent="0.25">
      <c r="A8217">
        <v>101469848</v>
      </c>
      <c r="B8217" t="s">
        <v>19066</v>
      </c>
      <c r="C8217" t="s">
        <v>547</v>
      </c>
      <c r="G8217" t="s">
        <v>19067</v>
      </c>
      <c r="H8217" t="s">
        <v>5485</v>
      </c>
      <c r="I8217" t="s">
        <v>22</v>
      </c>
      <c r="J8217">
        <v>94556</v>
      </c>
      <c r="K8217">
        <v>2521</v>
      </c>
      <c r="L8217" t="s">
        <v>23</v>
      </c>
      <c r="M8217" t="s">
        <v>19067</v>
      </c>
      <c r="N8217" t="s">
        <v>5485</v>
      </c>
      <c r="O8217" t="s">
        <v>22</v>
      </c>
      <c r="P8217">
        <v>94556</v>
      </c>
      <c r="Q8217">
        <v>2521</v>
      </c>
      <c r="R8217" t="s">
        <v>23</v>
      </c>
      <c r="S8217" s="1" t="s">
        <v>34218</v>
      </c>
    </row>
    <row r="8218" spans="1:19" x14ac:dyDescent="0.25">
      <c r="A8218">
        <v>101470903</v>
      </c>
      <c r="B8218" t="s">
        <v>19068</v>
      </c>
      <c r="C8218" t="s">
        <v>3993</v>
      </c>
      <c r="H8218" t="s">
        <v>19069</v>
      </c>
      <c r="I8218" t="s">
        <v>117</v>
      </c>
      <c r="J8218">
        <v>12342</v>
      </c>
      <c r="L8218" t="s">
        <v>23</v>
      </c>
      <c r="N8218" t="s">
        <v>19069</v>
      </c>
      <c r="O8218" t="s">
        <v>117</v>
      </c>
      <c r="P8218">
        <v>12342</v>
      </c>
      <c r="R8218" t="s">
        <v>23</v>
      </c>
      <c r="S8218" s="1" t="s">
        <v>34218</v>
      </c>
    </row>
    <row r="8219" spans="1:19" x14ac:dyDescent="0.25">
      <c r="A8219">
        <v>101449647</v>
      </c>
      <c r="B8219" t="s">
        <v>7030</v>
      </c>
      <c r="C8219" t="s">
        <v>1309</v>
      </c>
      <c r="G8219" t="s">
        <v>19070</v>
      </c>
      <c r="H8219" t="s">
        <v>134</v>
      </c>
      <c r="I8219" t="s">
        <v>135</v>
      </c>
      <c r="J8219">
        <v>60618</v>
      </c>
      <c r="K8219">
        <v>5354</v>
      </c>
      <c r="L8219" t="s">
        <v>23</v>
      </c>
      <c r="M8219" t="s">
        <v>19070</v>
      </c>
      <c r="N8219" t="s">
        <v>134</v>
      </c>
      <c r="O8219" t="s">
        <v>135</v>
      </c>
      <c r="P8219">
        <v>60618</v>
      </c>
      <c r="Q8219">
        <v>5354</v>
      </c>
      <c r="R8219" t="s">
        <v>23</v>
      </c>
      <c r="S8219" s="1" t="s">
        <v>34218</v>
      </c>
    </row>
    <row r="8220" spans="1:19" x14ac:dyDescent="0.25">
      <c r="A8220">
        <v>101093041</v>
      </c>
      <c r="B8220" t="s">
        <v>19071</v>
      </c>
      <c r="C8220" t="s">
        <v>19072</v>
      </c>
      <c r="G8220" t="s">
        <v>19073</v>
      </c>
      <c r="H8220" t="s">
        <v>2910</v>
      </c>
      <c r="I8220" t="s">
        <v>52</v>
      </c>
      <c r="J8220">
        <v>34238</v>
      </c>
      <c r="L8220" t="s">
        <v>23</v>
      </c>
      <c r="M8220" t="s">
        <v>19073</v>
      </c>
      <c r="N8220" t="s">
        <v>2910</v>
      </c>
      <c r="O8220" t="s">
        <v>52</v>
      </c>
      <c r="P8220">
        <v>34238</v>
      </c>
      <c r="R8220" t="s">
        <v>23</v>
      </c>
      <c r="S8220" s="1" t="s">
        <v>34218</v>
      </c>
    </row>
    <row r="8221" spans="1:19" x14ac:dyDescent="0.25">
      <c r="A8221">
        <v>101480789</v>
      </c>
      <c r="B8221" t="s">
        <v>19074</v>
      </c>
      <c r="C8221" t="s">
        <v>362</v>
      </c>
      <c r="H8221" t="s">
        <v>2335</v>
      </c>
      <c r="I8221" t="s">
        <v>22</v>
      </c>
      <c r="J8221">
        <v>92618</v>
      </c>
      <c r="L8221" t="s">
        <v>23</v>
      </c>
      <c r="N8221" t="s">
        <v>2335</v>
      </c>
      <c r="O8221" t="s">
        <v>22</v>
      </c>
      <c r="P8221">
        <v>92618</v>
      </c>
      <c r="R8221" t="s">
        <v>23</v>
      </c>
      <c r="S8221" s="1" t="s">
        <v>34218</v>
      </c>
    </row>
    <row r="8222" spans="1:19" x14ac:dyDescent="0.25">
      <c r="A8222">
        <v>101475036</v>
      </c>
      <c r="B8222" t="s">
        <v>19075</v>
      </c>
      <c r="C8222" t="s">
        <v>3566</v>
      </c>
      <c r="G8222" t="s">
        <v>19076</v>
      </c>
      <c r="H8222" t="s">
        <v>19077</v>
      </c>
      <c r="I8222" t="s">
        <v>28</v>
      </c>
      <c r="J8222">
        <v>30350</v>
      </c>
      <c r="K8222">
        <v>6877</v>
      </c>
      <c r="L8222" t="s">
        <v>23</v>
      </c>
      <c r="M8222" t="s">
        <v>19076</v>
      </c>
      <c r="N8222" t="s">
        <v>19077</v>
      </c>
      <c r="O8222" t="s">
        <v>28</v>
      </c>
      <c r="P8222">
        <v>30350</v>
      </c>
      <c r="Q8222">
        <v>6877</v>
      </c>
      <c r="R8222" t="s">
        <v>23</v>
      </c>
      <c r="S8222" s="1" t="s">
        <v>34218</v>
      </c>
    </row>
    <row r="8223" spans="1:19" x14ac:dyDescent="0.25">
      <c r="A8223">
        <v>101475054</v>
      </c>
      <c r="B8223" t="s">
        <v>1179</v>
      </c>
      <c r="C8223" t="s">
        <v>2576</v>
      </c>
      <c r="G8223" t="s">
        <v>19078</v>
      </c>
      <c r="H8223" t="s">
        <v>19079</v>
      </c>
      <c r="I8223" t="s">
        <v>28</v>
      </c>
      <c r="J8223">
        <v>30725</v>
      </c>
      <c r="K8223">
        <v>2533</v>
      </c>
      <c r="L8223" t="s">
        <v>23</v>
      </c>
      <c r="M8223" t="s">
        <v>19078</v>
      </c>
      <c r="N8223" t="s">
        <v>19079</v>
      </c>
      <c r="O8223" t="s">
        <v>28</v>
      </c>
      <c r="P8223">
        <v>30725</v>
      </c>
      <c r="Q8223">
        <v>2533</v>
      </c>
      <c r="R8223" t="s">
        <v>23</v>
      </c>
      <c r="S8223" s="1" t="s">
        <v>34218</v>
      </c>
    </row>
    <row r="8224" spans="1:19" x14ac:dyDescent="0.25">
      <c r="A8224">
        <v>101475154</v>
      </c>
      <c r="B8224" t="s">
        <v>19080</v>
      </c>
      <c r="C8224" t="s">
        <v>19081</v>
      </c>
      <c r="G8224" t="s">
        <v>19082</v>
      </c>
      <c r="H8224" t="s">
        <v>19083</v>
      </c>
      <c r="I8224" t="s">
        <v>446</v>
      </c>
      <c r="J8224">
        <v>27818</v>
      </c>
      <c r="K8224">
        <v>9601</v>
      </c>
      <c r="L8224" t="s">
        <v>23</v>
      </c>
      <c r="M8224" t="s">
        <v>19082</v>
      </c>
      <c r="N8224" t="s">
        <v>19083</v>
      </c>
      <c r="O8224" t="s">
        <v>446</v>
      </c>
      <c r="P8224">
        <v>27818</v>
      </c>
      <c r="Q8224">
        <v>9601</v>
      </c>
      <c r="R8224" t="s">
        <v>23</v>
      </c>
      <c r="S8224" s="1" t="s">
        <v>34218</v>
      </c>
    </row>
    <row r="8225" spans="1:19" x14ac:dyDescent="0.25">
      <c r="A8225">
        <v>101475247</v>
      </c>
      <c r="B8225" t="s">
        <v>19084</v>
      </c>
      <c r="C8225" t="s">
        <v>225</v>
      </c>
      <c r="G8225" t="s">
        <v>19085</v>
      </c>
      <c r="H8225" t="s">
        <v>445</v>
      </c>
      <c r="I8225" t="s">
        <v>446</v>
      </c>
      <c r="J8225">
        <v>28806</v>
      </c>
      <c r="K8225">
        <v>4242</v>
      </c>
      <c r="L8225" t="s">
        <v>23</v>
      </c>
      <c r="M8225" t="s">
        <v>19085</v>
      </c>
      <c r="N8225" t="s">
        <v>445</v>
      </c>
      <c r="O8225" t="s">
        <v>446</v>
      </c>
      <c r="P8225">
        <v>28806</v>
      </c>
      <c r="Q8225">
        <v>4242</v>
      </c>
      <c r="R8225" t="s">
        <v>23</v>
      </c>
      <c r="S8225" s="1" t="s">
        <v>34218</v>
      </c>
    </row>
    <row r="8226" spans="1:19" x14ac:dyDescent="0.25">
      <c r="A8226">
        <v>101475297</v>
      </c>
      <c r="B8226" t="s">
        <v>19086</v>
      </c>
      <c r="C8226" t="s">
        <v>45</v>
      </c>
      <c r="G8226" t="s">
        <v>19087</v>
      </c>
      <c r="H8226" t="s">
        <v>1057</v>
      </c>
      <c r="I8226" t="s">
        <v>255</v>
      </c>
      <c r="J8226">
        <v>22015</v>
      </c>
      <c r="K8226">
        <v>3811</v>
      </c>
      <c r="L8226" t="s">
        <v>23</v>
      </c>
      <c r="M8226" t="s">
        <v>19087</v>
      </c>
      <c r="N8226" t="s">
        <v>1057</v>
      </c>
      <c r="O8226" t="s">
        <v>255</v>
      </c>
      <c r="P8226">
        <v>22015</v>
      </c>
      <c r="Q8226">
        <v>3811</v>
      </c>
      <c r="R8226" t="s">
        <v>23</v>
      </c>
      <c r="S8226" s="1" t="s">
        <v>34218</v>
      </c>
    </row>
    <row r="8227" spans="1:19" x14ac:dyDescent="0.25">
      <c r="A8227">
        <v>101475454</v>
      </c>
      <c r="B8227" t="s">
        <v>1740</v>
      </c>
      <c r="C8227" t="s">
        <v>2672</v>
      </c>
      <c r="G8227" t="s">
        <v>19088</v>
      </c>
      <c r="H8227" t="s">
        <v>7727</v>
      </c>
      <c r="I8227" t="s">
        <v>33</v>
      </c>
      <c r="J8227">
        <v>19518</v>
      </c>
      <c r="K8227">
        <v>9681</v>
      </c>
      <c r="L8227" t="s">
        <v>23</v>
      </c>
      <c r="M8227" t="s">
        <v>19088</v>
      </c>
      <c r="N8227" t="s">
        <v>7727</v>
      </c>
      <c r="O8227" t="s">
        <v>33</v>
      </c>
      <c r="P8227">
        <v>19518</v>
      </c>
      <c r="Q8227">
        <v>9681</v>
      </c>
      <c r="R8227" t="s">
        <v>23</v>
      </c>
      <c r="S8227" s="1" t="s">
        <v>34218</v>
      </c>
    </row>
    <row r="8228" spans="1:19" x14ac:dyDescent="0.25">
      <c r="A8228">
        <v>101475529</v>
      </c>
      <c r="B8228" t="s">
        <v>19089</v>
      </c>
      <c r="C8228" t="s">
        <v>19090</v>
      </c>
      <c r="G8228" t="s">
        <v>19091</v>
      </c>
      <c r="H8228" t="s">
        <v>165</v>
      </c>
      <c r="I8228" t="s">
        <v>148</v>
      </c>
      <c r="J8228">
        <v>20814</v>
      </c>
      <c r="K8228">
        <v>2052</v>
      </c>
      <c r="L8228" t="s">
        <v>23</v>
      </c>
      <c r="M8228" t="s">
        <v>19091</v>
      </c>
      <c r="N8228" t="s">
        <v>165</v>
      </c>
      <c r="O8228" t="s">
        <v>148</v>
      </c>
      <c r="P8228">
        <v>20814</v>
      </c>
      <c r="Q8228">
        <v>2052</v>
      </c>
      <c r="R8228" t="s">
        <v>23</v>
      </c>
      <c r="S8228" s="1" t="s">
        <v>34218</v>
      </c>
    </row>
    <row r="8229" spans="1:19" x14ac:dyDescent="0.25">
      <c r="A8229">
        <v>101475540</v>
      </c>
      <c r="B8229" t="s">
        <v>1558</v>
      </c>
      <c r="C8229" t="s">
        <v>2603</v>
      </c>
      <c r="G8229" t="s">
        <v>19092</v>
      </c>
      <c r="H8229" t="s">
        <v>4859</v>
      </c>
      <c r="I8229" t="s">
        <v>148</v>
      </c>
      <c r="J8229">
        <v>20877</v>
      </c>
      <c r="K8229">
        <v>2889</v>
      </c>
      <c r="L8229" t="s">
        <v>23</v>
      </c>
      <c r="M8229" t="s">
        <v>19092</v>
      </c>
      <c r="N8229" t="s">
        <v>4859</v>
      </c>
      <c r="O8229" t="s">
        <v>148</v>
      </c>
      <c r="P8229">
        <v>20877</v>
      </c>
      <c r="Q8229">
        <v>2889</v>
      </c>
      <c r="R8229" t="s">
        <v>23</v>
      </c>
      <c r="S8229" s="1" t="s">
        <v>34218</v>
      </c>
    </row>
    <row r="8230" spans="1:19" x14ac:dyDescent="0.25">
      <c r="A8230">
        <v>101477240</v>
      </c>
      <c r="B8230" t="s">
        <v>19093</v>
      </c>
      <c r="C8230" t="s">
        <v>535</v>
      </c>
      <c r="G8230" t="s">
        <v>19094</v>
      </c>
      <c r="H8230" t="s">
        <v>19095</v>
      </c>
      <c r="I8230" t="s">
        <v>4652</v>
      </c>
      <c r="J8230">
        <v>57369</v>
      </c>
      <c r="K8230">
        <v>6016</v>
      </c>
      <c r="L8230" t="s">
        <v>23</v>
      </c>
      <c r="M8230" t="s">
        <v>19094</v>
      </c>
      <c r="N8230" t="s">
        <v>19095</v>
      </c>
      <c r="O8230" t="s">
        <v>4652</v>
      </c>
      <c r="P8230">
        <v>57369</v>
      </c>
      <c r="Q8230">
        <v>6016</v>
      </c>
      <c r="R8230" t="s">
        <v>23</v>
      </c>
      <c r="S8230" s="1" t="s">
        <v>34218</v>
      </c>
    </row>
    <row r="8231" spans="1:19" x14ac:dyDescent="0.25">
      <c r="A8231">
        <v>101477322</v>
      </c>
      <c r="B8231" t="s">
        <v>19096</v>
      </c>
      <c r="C8231" t="s">
        <v>1658</v>
      </c>
      <c r="G8231" t="s">
        <v>19097</v>
      </c>
      <c r="H8231" t="s">
        <v>4611</v>
      </c>
      <c r="I8231" t="s">
        <v>135</v>
      </c>
      <c r="J8231">
        <v>60137</v>
      </c>
      <c r="K8231">
        <v>4445</v>
      </c>
      <c r="L8231" t="s">
        <v>23</v>
      </c>
      <c r="M8231" t="s">
        <v>19097</v>
      </c>
      <c r="N8231" t="s">
        <v>4611</v>
      </c>
      <c r="O8231" t="s">
        <v>135</v>
      </c>
      <c r="P8231">
        <v>60137</v>
      </c>
      <c r="Q8231">
        <v>4445</v>
      </c>
      <c r="R8231" t="s">
        <v>23</v>
      </c>
      <c r="S8231" s="1" t="s">
        <v>34218</v>
      </c>
    </row>
    <row r="8232" spans="1:19" x14ac:dyDescent="0.25">
      <c r="A8232">
        <v>101477372</v>
      </c>
      <c r="B8232" t="s">
        <v>3525</v>
      </c>
      <c r="C8232" t="s">
        <v>19098</v>
      </c>
      <c r="G8232" t="s">
        <v>19099</v>
      </c>
      <c r="H8232" t="s">
        <v>1431</v>
      </c>
      <c r="I8232" t="s">
        <v>639</v>
      </c>
      <c r="J8232">
        <v>87508</v>
      </c>
      <c r="K8232">
        <v>1451</v>
      </c>
      <c r="L8232" t="s">
        <v>23</v>
      </c>
      <c r="M8232" t="s">
        <v>19099</v>
      </c>
      <c r="N8232" t="s">
        <v>1431</v>
      </c>
      <c r="O8232" t="s">
        <v>639</v>
      </c>
      <c r="P8232">
        <v>87508</v>
      </c>
      <c r="Q8232">
        <v>1451</v>
      </c>
      <c r="R8232" t="s">
        <v>23</v>
      </c>
      <c r="S8232" s="1" t="s">
        <v>34218</v>
      </c>
    </row>
    <row r="8233" spans="1:19" x14ac:dyDescent="0.25">
      <c r="A8233">
        <v>101477458</v>
      </c>
      <c r="B8233" t="s">
        <v>19100</v>
      </c>
      <c r="C8233" t="s">
        <v>3874</v>
      </c>
      <c r="G8233" t="s">
        <v>19101</v>
      </c>
      <c r="H8233" t="s">
        <v>299</v>
      </c>
      <c r="I8233" t="s">
        <v>22</v>
      </c>
      <c r="J8233">
        <v>90025</v>
      </c>
      <c r="K8233">
        <v>1351</v>
      </c>
      <c r="L8233" t="s">
        <v>23</v>
      </c>
      <c r="M8233" t="s">
        <v>19101</v>
      </c>
      <c r="N8233" t="s">
        <v>299</v>
      </c>
      <c r="O8233" t="s">
        <v>22</v>
      </c>
      <c r="P8233">
        <v>90025</v>
      </c>
      <c r="Q8233">
        <v>1351</v>
      </c>
      <c r="R8233" t="s">
        <v>23</v>
      </c>
      <c r="S8233" s="1" t="s">
        <v>34218</v>
      </c>
    </row>
    <row r="8234" spans="1:19" x14ac:dyDescent="0.25">
      <c r="A8234">
        <v>101477465</v>
      </c>
      <c r="B8234" t="s">
        <v>19102</v>
      </c>
      <c r="C8234" t="s">
        <v>16490</v>
      </c>
      <c r="G8234" t="s">
        <v>19103</v>
      </c>
      <c r="H8234" t="s">
        <v>299</v>
      </c>
      <c r="I8234" t="s">
        <v>22</v>
      </c>
      <c r="J8234">
        <v>90034</v>
      </c>
      <c r="K8234">
        <v>4947</v>
      </c>
      <c r="L8234" t="s">
        <v>23</v>
      </c>
      <c r="M8234" t="s">
        <v>19103</v>
      </c>
      <c r="N8234" t="s">
        <v>299</v>
      </c>
      <c r="O8234" t="s">
        <v>22</v>
      </c>
      <c r="P8234">
        <v>90034</v>
      </c>
      <c r="Q8234">
        <v>4947</v>
      </c>
      <c r="R8234" t="s">
        <v>23</v>
      </c>
      <c r="S8234" s="1" t="s">
        <v>34218</v>
      </c>
    </row>
    <row r="8235" spans="1:19" x14ac:dyDescent="0.25">
      <c r="A8235">
        <v>101477540</v>
      </c>
      <c r="B8235" t="s">
        <v>19104</v>
      </c>
      <c r="C8235" t="s">
        <v>90</v>
      </c>
      <c r="G8235" t="s">
        <v>19105</v>
      </c>
      <c r="H8235" t="s">
        <v>16272</v>
      </c>
      <c r="I8235" t="s">
        <v>100</v>
      </c>
      <c r="J8235">
        <v>53913</v>
      </c>
      <c r="K8235">
        <v>1764</v>
      </c>
      <c r="L8235" t="s">
        <v>23</v>
      </c>
      <c r="M8235" t="s">
        <v>19105</v>
      </c>
      <c r="N8235" t="s">
        <v>16272</v>
      </c>
      <c r="O8235" t="s">
        <v>100</v>
      </c>
      <c r="P8235">
        <v>53913</v>
      </c>
      <c r="Q8235">
        <v>1764</v>
      </c>
      <c r="R8235" t="s">
        <v>23</v>
      </c>
      <c r="S8235" s="1" t="s">
        <v>34218</v>
      </c>
    </row>
    <row r="8236" spans="1:19" x14ac:dyDescent="0.25">
      <c r="A8236">
        <v>101477658</v>
      </c>
      <c r="B8236" t="s">
        <v>19106</v>
      </c>
      <c r="C8236" t="s">
        <v>252</v>
      </c>
      <c r="G8236" t="s">
        <v>19107</v>
      </c>
      <c r="H8236" t="s">
        <v>569</v>
      </c>
      <c r="I8236" t="s">
        <v>187</v>
      </c>
      <c r="J8236">
        <v>55403</v>
      </c>
      <c r="K8236">
        <v>3732</v>
      </c>
      <c r="L8236" t="s">
        <v>23</v>
      </c>
      <c r="M8236" t="s">
        <v>19107</v>
      </c>
      <c r="N8236" t="s">
        <v>569</v>
      </c>
      <c r="O8236" t="s">
        <v>187</v>
      </c>
      <c r="P8236">
        <v>55403</v>
      </c>
      <c r="Q8236">
        <v>3732</v>
      </c>
      <c r="R8236" t="s">
        <v>23</v>
      </c>
      <c r="S8236" s="1" t="s">
        <v>34218</v>
      </c>
    </row>
    <row r="8237" spans="1:19" x14ac:dyDescent="0.25">
      <c r="A8237">
        <v>101477783</v>
      </c>
      <c r="B8237" t="s">
        <v>8740</v>
      </c>
      <c r="C8237" t="s">
        <v>155</v>
      </c>
      <c r="G8237" t="s">
        <v>19108</v>
      </c>
      <c r="H8237" t="s">
        <v>12911</v>
      </c>
      <c r="I8237" t="s">
        <v>365</v>
      </c>
      <c r="J8237">
        <v>86409</v>
      </c>
      <c r="K8237">
        <v>8457</v>
      </c>
      <c r="L8237" t="s">
        <v>23</v>
      </c>
      <c r="M8237" t="s">
        <v>19108</v>
      </c>
      <c r="N8237" t="s">
        <v>12911</v>
      </c>
      <c r="O8237" t="s">
        <v>365</v>
      </c>
      <c r="P8237">
        <v>86409</v>
      </c>
      <c r="Q8237">
        <v>8457</v>
      </c>
      <c r="R8237" t="s">
        <v>23</v>
      </c>
      <c r="S8237" s="1" t="s">
        <v>34218</v>
      </c>
    </row>
    <row r="8238" spans="1:19" x14ac:dyDescent="0.25">
      <c r="A8238">
        <v>101477890</v>
      </c>
      <c r="B8238" t="s">
        <v>19109</v>
      </c>
      <c r="C8238" t="s">
        <v>2599</v>
      </c>
      <c r="G8238" t="s">
        <v>19110</v>
      </c>
      <c r="H8238" t="s">
        <v>1262</v>
      </c>
      <c r="I8238" t="s">
        <v>565</v>
      </c>
      <c r="J8238">
        <v>50010</v>
      </c>
      <c r="K8238">
        <v>5536</v>
      </c>
      <c r="L8238" t="s">
        <v>23</v>
      </c>
      <c r="M8238" t="s">
        <v>19110</v>
      </c>
      <c r="N8238" t="s">
        <v>1262</v>
      </c>
      <c r="O8238" t="s">
        <v>565</v>
      </c>
      <c r="P8238">
        <v>50010</v>
      </c>
      <c r="Q8238">
        <v>5536</v>
      </c>
      <c r="R8238" t="s">
        <v>23</v>
      </c>
      <c r="S8238" s="1" t="s">
        <v>34218</v>
      </c>
    </row>
    <row r="8239" spans="1:19" x14ac:dyDescent="0.25">
      <c r="A8239">
        <v>100839879</v>
      </c>
      <c r="B8239" t="s">
        <v>19111</v>
      </c>
      <c r="C8239" t="s">
        <v>475</v>
      </c>
      <c r="G8239" t="s">
        <v>19112</v>
      </c>
      <c r="H8239" t="s">
        <v>10750</v>
      </c>
      <c r="I8239" t="s">
        <v>135</v>
      </c>
      <c r="J8239">
        <v>60169</v>
      </c>
      <c r="K8239">
        <v>1626</v>
      </c>
      <c r="L8239" t="s">
        <v>23</v>
      </c>
      <c r="M8239" t="s">
        <v>19112</v>
      </c>
      <c r="N8239" t="s">
        <v>10750</v>
      </c>
      <c r="O8239" t="s">
        <v>135</v>
      </c>
      <c r="P8239">
        <v>60169</v>
      </c>
      <c r="Q8239">
        <v>1626</v>
      </c>
      <c r="R8239" t="s">
        <v>23</v>
      </c>
      <c r="S8239" s="1" t="s">
        <v>34218</v>
      </c>
    </row>
    <row r="8240" spans="1:19" x14ac:dyDescent="0.25">
      <c r="A8240">
        <v>101267806</v>
      </c>
      <c r="B8240" t="s">
        <v>858</v>
      </c>
      <c r="C8240" t="s">
        <v>102</v>
      </c>
      <c r="G8240" t="s">
        <v>19113</v>
      </c>
      <c r="H8240" t="s">
        <v>653</v>
      </c>
      <c r="I8240" t="s">
        <v>117</v>
      </c>
      <c r="J8240">
        <v>10011</v>
      </c>
      <c r="K8240">
        <v>6818</v>
      </c>
      <c r="L8240" t="s">
        <v>23</v>
      </c>
      <c r="M8240" t="s">
        <v>19113</v>
      </c>
      <c r="N8240" t="s">
        <v>653</v>
      </c>
      <c r="O8240" t="s">
        <v>117</v>
      </c>
      <c r="P8240">
        <v>10011</v>
      </c>
      <c r="Q8240">
        <v>6818</v>
      </c>
      <c r="R8240" t="s">
        <v>23</v>
      </c>
      <c r="S8240" s="1" t="s">
        <v>34218</v>
      </c>
    </row>
    <row r="8241" spans="1:19" x14ac:dyDescent="0.25">
      <c r="A8241">
        <v>101417177</v>
      </c>
      <c r="B8241" t="s">
        <v>19114</v>
      </c>
      <c r="C8241" t="s">
        <v>119</v>
      </c>
      <c r="G8241" t="s">
        <v>19115</v>
      </c>
      <c r="H8241" t="s">
        <v>3236</v>
      </c>
      <c r="I8241" t="s">
        <v>140</v>
      </c>
      <c r="J8241">
        <v>48116</v>
      </c>
      <c r="K8241">
        <v>8563</v>
      </c>
      <c r="L8241" t="s">
        <v>23</v>
      </c>
      <c r="M8241" t="s">
        <v>19115</v>
      </c>
      <c r="N8241" t="s">
        <v>3236</v>
      </c>
      <c r="O8241" t="s">
        <v>140</v>
      </c>
      <c r="P8241">
        <v>48116</v>
      </c>
      <c r="Q8241">
        <v>8563</v>
      </c>
      <c r="R8241" t="s">
        <v>23</v>
      </c>
      <c r="S8241" s="1" t="s">
        <v>34218</v>
      </c>
    </row>
    <row r="8242" spans="1:19" x14ac:dyDescent="0.25">
      <c r="A8242">
        <v>100561139</v>
      </c>
      <c r="B8242" t="s">
        <v>3545</v>
      </c>
      <c r="C8242" t="s">
        <v>7626</v>
      </c>
      <c r="G8242" t="s">
        <v>19116</v>
      </c>
      <c r="H8242" t="s">
        <v>412</v>
      </c>
      <c r="I8242" t="s">
        <v>117</v>
      </c>
      <c r="J8242">
        <v>11231</v>
      </c>
      <c r="L8242" t="s">
        <v>23</v>
      </c>
      <c r="M8242" t="s">
        <v>19116</v>
      </c>
      <c r="N8242" t="s">
        <v>412</v>
      </c>
      <c r="O8242" t="s">
        <v>117</v>
      </c>
      <c r="P8242">
        <v>11231</v>
      </c>
      <c r="R8242" t="s">
        <v>23</v>
      </c>
      <c r="S8242" s="1" t="s">
        <v>34218</v>
      </c>
    </row>
    <row r="8243" spans="1:19" x14ac:dyDescent="0.25">
      <c r="A8243">
        <v>100617257</v>
      </c>
      <c r="B8243" t="s">
        <v>19117</v>
      </c>
      <c r="C8243" t="s">
        <v>575</v>
      </c>
      <c r="G8243" t="s">
        <v>19118</v>
      </c>
      <c r="H8243" t="s">
        <v>4775</v>
      </c>
      <c r="I8243" t="s">
        <v>33</v>
      </c>
      <c r="J8243">
        <v>18974</v>
      </c>
      <c r="K8243">
        <v>2555</v>
      </c>
      <c r="L8243" t="s">
        <v>23</v>
      </c>
      <c r="M8243" t="s">
        <v>19118</v>
      </c>
      <c r="N8243" t="s">
        <v>4775</v>
      </c>
      <c r="O8243" t="s">
        <v>33</v>
      </c>
      <c r="P8243">
        <v>18974</v>
      </c>
      <c r="Q8243">
        <v>2555</v>
      </c>
      <c r="R8243" t="s">
        <v>23</v>
      </c>
      <c r="S8243" s="1" t="s">
        <v>34218</v>
      </c>
    </row>
    <row r="8244" spans="1:19" x14ac:dyDescent="0.25">
      <c r="A8244">
        <v>100742290</v>
      </c>
      <c r="B8244" t="s">
        <v>497</v>
      </c>
      <c r="C8244" t="s">
        <v>3633</v>
      </c>
      <c r="G8244" t="s">
        <v>19119</v>
      </c>
      <c r="H8244" t="s">
        <v>4902</v>
      </c>
      <c r="I8244" t="s">
        <v>140</v>
      </c>
      <c r="J8244">
        <v>49331</v>
      </c>
      <c r="K8244">
        <v>1755</v>
      </c>
      <c r="L8244" t="s">
        <v>23</v>
      </c>
      <c r="M8244" t="s">
        <v>19119</v>
      </c>
      <c r="N8244" t="s">
        <v>4902</v>
      </c>
      <c r="O8244" t="s">
        <v>140</v>
      </c>
      <c r="P8244">
        <v>49331</v>
      </c>
      <c r="Q8244">
        <v>1755</v>
      </c>
      <c r="R8244" t="s">
        <v>23</v>
      </c>
      <c r="S8244" s="1" t="s">
        <v>34218</v>
      </c>
    </row>
    <row r="8245" spans="1:19" x14ac:dyDescent="0.25">
      <c r="A8245">
        <v>101303103</v>
      </c>
      <c r="B8245" t="s">
        <v>11078</v>
      </c>
      <c r="C8245" t="s">
        <v>1327</v>
      </c>
      <c r="G8245" t="s">
        <v>19120</v>
      </c>
      <c r="H8245" t="s">
        <v>3466</v>
      </c>
      <c r="I8245" t="s">
        <v>22</v>
      </c>
      <c r="J8245">
        <v>94801</v>
      </c>
      <c r="L8245" t="s">
        <v>23</v>
      </c>
      <c r="M8245" t="s">
        <v>19120</v>
      </c>
      <c r="N8245" t="s">
        <v>3466</v>
      </c>
      <c r="O8245" t="s">
        <v>22</v>
      </c>
      <c r="P8245">
        <v>94801</v>
      </c>
      <c r="R8245" t="s">
        <v>23</v>
      </c>
      <c r="S8245" s="1" t="s">
        <v>34218</v>
      </c>
    </row>
    <row r="8246" spans="1:19" x14ac:dyDescent="0.25">
      <c r="A8246">
        <v>101295370</v>
      </c>
      <c r="B8246" t="s">
        <v>3881</v>
      </c>
      <c r="C8246" t="s">
        <v>3357</v>
      </c>
      <c r="G8246" t="s">
        <v>19121</v>
      </c>
      <c r="H8246" t="s">
        <v>653</v>
      </c>
      <c r="I8246" t="s">
        <v>117</v>
      </c>
      <c r="J8246">
        <v>10040</v>
      </c>
      <c r="K8246">
        <v>4013</v>
      </c>
      <c r="L8246" t="s">
        <v>23</v>
      </c>
      <c r="M8246" t="s">
        <v>19121</v>
      </c>
      <c r="N8246" t="s">
        <v>653</v>
      </c>
      <c r="O8246" t="s">
        <v>117</v>
      </c>
      <c r="P8246">
        <v>10040</v>
      </c>
      <c r="Q8246">
        <v>4013</v>
      </c>
      <c r="R8246" t="s">
        <v>23</v>
      </c>
      <c r="S8246" s="1" t="s">
        <v>34218</v>
      </c>
    </row>
    <row r="8247" spans="1:19" x14ac:dyDescent="0.25">
      <c r="A8247">
        <v>100668449</v>
      </c>
      <c r="B8247" t="s">
        <v>19122</v>
      </c>
      <c r="C8247" t="s">
        <v>19123</v>
      </c>
      <c r="G8247" t="s">
        <v>19124</v>
      </c>
      <c r="H8247" t="s">
        <v>896</v>
      </c>
      <c r="I8247" t="s">
        <v>22</v>
      </c>
      <c r="J8247">
        <v>91803</v>
      </c>
      <c r="K8247">
        <v>4335</v>
      </c>
      <c r="L8247" t="s">
        <v>23</v>
      </c>
      <c r="M8247" t="s">
        <v>19124</v>
      </c>
      <c r="N8247" t="s">
        <v>896</v>
      </c>
      <c r="O8247" t="s">
        <v>22</v>
      </c>
      <c r="P8247">
        <v>91803</v>
      </c>
      <c r="Q8247">
        <v>4335</v>
      </c>
      <c r="R8247" t="s">
        <v>23</v>
      </c>
      <c r="S8247" s="1" t="s">
        <v>34218</v>
      </c>
    </row>
    <row r="8248" spans="1:19" x14ac:dyDescent="0.25">
      <c r="A8248">
        <v>101315488</v>
      </c>
      <c r="B8248" t="s">
        <v>3386</v>
      </c>
      <c r="C8248" t="s">
        <v>252</v>
      </c>
      <c r="G8248" t="s">
        <v>19125</v>
      </c>
      <c r="H8248" t="s">
        <v>17585</v>
      </c>
      <c r="I8248" t="s">
        <v>71</v>
      </c>
      <c r="J8248">
        <v>80129</v>
      </c>
      <c r="K8248">
        <v>2687</v>
      </c>
      <c r="L8248" t="s">
        <v>23</v>
      </c>
      <c r="M8248" t="s">
        <v>19125</v>
      </c>
      <c r="N8248" t="s">
        <v>17585</v>
      </c>
      <c r="O8248" t="s">
        <v>71</v>
      </c>
      <c r="P8248">
        <v>80129</v>
      </c>
      <c r="Q8248">
        <v>2687</v>
      </c>
      <c r="R8248" t="s">
        <v>23</v>
      </c>
      <c r="S8248" s="1" t="s">
        <v>34218</v>
      </c>
    </row>
    <row r="8249" spans="1:19" x14ac:dyDescent="0.25">
      <c r="A8249">
        <v>101269056</v>
      </c>
      <c r="B8249" t="s">
        <v>19126</v>
      </c>
      <c r="C8249" t="s">
        <v>1487</v>
      </c>
      <c r="G8249" t="s">
        <v>19127</v>
      </c>
      <c r="H8249" t="s">
        <v>11312</v>
      </c>
      <c r="I8249" t="s">
        <v>353</v>
      </c>
      <c r="J8249">
        <v>3857</v>
      </c>
      <c r="K8249">
        <v>2205</v>
      </c>
      <c r="L8249" t="s">
        <v>23</v>
      </c>
      <c r="M8249" t="s">
        <v>19127</v>
      </c>
      <c r="N8249" t="s">
        <v>11312</v>
      </c>
      <c r="O8249" t="s">
        <v>353</v>
      </c>
      <c r="P8249">
        <v>3857</v>
      </c>
      <c r="Q8249">
        <v>2205</v>
      </c>
      <c r="R8249" t="s">
        <v>23</v>
      </c>
      <c r="S8249" s="1" t="s">
        <v>34218</v>
      </c>
    </row>
    <row r="8250" spans="1:19" x14ac:dyDescent="0.25">
      <c r="A8250">
        <v>100528729</v>
      </c>
      <c r="B8250" t="s">
        <v>19128</v>
      </c>
      <c r="C8250" t="s">
        <v>1327</v>
      </c>
      <c r="G8250" t="s">
        <v>19129</v>
      </c>
      <c r="H8250" t="s">
        <v>12592</v>
      </c>
      <c r="I8250" t="s">
        <v>52</v>
      </c>
      <c r="J8250">
        <v>33712</v>
      </c>
      <c r="K8250">
        <v>3658</v>
      </c>
      <c r="L8250" t="s">
        <v>23</v>
      </c>
      <c r="M8250" t="s">
        <v>19129</v>
      </c>
      <c r="N8250" t="s">
        <v>12592</v>
      </c>
      <c r="O8250" t="s">
        <v>52</v>
      </c>
      <c r="P8250">
        <v>33712</v>
      </c>
      <c r="Q8250">
        <v>3658</v>
      </c>
      <c r="R8250" t="s">
        <v>23</v>
      </c>
      <c r="S8250" s="1" t="s">
        <v>34218</v>
      </c>
    </row>
    <row r="8251" spans="1:19" x14ac:dyDescent="0.25">
      <c r="A8251">
        <v>101444902</v>
      </c>
      <c r="B8251" t="s">
        <v>19130</v>
      </c>
      <c r="C8251" t="s">
        <v>19131</v>
      </c>
      <c r="G8251" t="s">
        <v>19132</v>
      </c>
      <c r="H8251" t="s">
        <v>5585</v>
      </c>
      <c r="I8251" t="s">
        <v>135</v>
      </c>
      <c r="J8251">
        <v>61270</v>
      </c>
      <c r="L8251" t="s">
        <v>23</v>
      </c>
      <c r="M8251" t="s">
        <v>19132</v>
      </c>
      <c r="N8251" t="s">
        <v>5585</v>
      </c>
      <c r="O8251" t="s">
        <v>135</v>
      </c>
      <c r="P8251">
        <v>61270</v>
      </c>
      <c r="R8251" t="s">
        <v>23</v>
      </c>
      <c r="S8251" s="1" t="s">
        <v>34218</v>
      </c>
    </row>
    <row r="8252" spans="1:19" x14ac:dyDescent="0.25">
      <c r="A8252">
        <v>101346646</v>
      </c>
      <c r="B8252" t="s">
        <v>14005</v>
      </c>
      <c r="C8252" t="s">
        <v>3726</v>
      </c>
      <c r="G8252" t="s">
        <v>19133</v>
      </c>
      <c r="H8252" t="s">
        <v>19134</v>
      </c>
      <c r="I8252" t="s">
        <v>236</v>
      </c>
      <c r="J8252">
        <v>2465</v>
      </c>
      <c r="K8252">
        <v>1402</v>
      </c>
      <c r="L8252" t="s">
        <v>23</v>
      </c>
      <c r="M8252" t="s">
        <v>19133</v>
      </c>
      <c r="N8252" t="s">
        <v>19134</v>
      </c>
      <c r="O8252" t="s">
        <v>236</v>
      </c>
      <c r="P8252">
        <v>2465</v>
      </c>
      <c r="Q8252">
        <v>1402</v>
      </c>
      <c r="R8252" t="s">
        <v>23</v>
      </c>
      <c r="S8252" s="1" t="s">
        <v>34218</v>
      </c>
    </row>
    <row r="8253" spans="1:19" x14ac:dyDescent="0.25">
      <c r="A8253">
        <v>100684150</v>
      </c>
      <c r="B8253" t="s">
        <v>19135</v>
      </c>
      <c r="C8253" t="s">
        <v>1581</v>
      </c>
      <c r="G8253" t="s">
        <v>19136</v>
      </c>
      <c r="H8253" t="s">
        <v>3268</v>
      </c>
      <c r="I8253" t="s">
        <v>161</v>
      </c>
      <c r="J8253">
        <v>6511</v>
      </c>
      <c r="K8253">
        <v>6640</v>
      </c>
      <c r="L8253" t="s">
        <v>23</v>
      </c>
      <c r="M8253" t="s">
        <v>19136</v>
      </c>
      <c r="N8253" t="s">
        <v>3268</v>
      </c>
      <c r="O8253" t="s">
        <v>161</v>
      </c>
      <c r="P8253">
        <v>6511</v>
      </c>
      <c r="Q8253">
        <v>6640</v>
      </c>
      <c r="R8253" t="s">
        <v>23</v>
      </c>
      <c r="S8253" s="1" t="s">
        <v>34218</v>
      </c>
    </row>
    <row r="8254" spans="1:19" x14ac:dyDescent="0.25">
      <c r="A8254">
        <v>101078285</v>
      </c>
      <c r="B8254" t="s">
        <v>19137</v>
      </c>
      <c r="C8254" t="s">
        <v>10916</v>
      </c>
      <c r="G8254" t="s">
        <v>19138</v>
      </c>
      <c r="H8254" t="s">
        <v>19139</v>
      </c>
      <c r="I8254" t="s">
        <v>365</v>
      </c>
      <c r="J8254">
        <v>85738</v>
      </c>
      <c r="K8254">
        <v>673</v>
      </c>
      <c r="L8254" t="s">
        <v>23</v>
      </c>
      <c r="M8254" t="s">
        <v>19138</v>
      </c>
      <c r="N8254" t="s">
        <v>19139</v>
      </c>
      <c r="O8254" t="s">
        <v>365</v>
      </c>
      <c r="P8254">
        <v>85738</v>
      </c>
      <c r="Q8254">
        <v>673</v>
      </c>
      <c r="R8254" t="s">
        <v>23</v>
      </c>
      <c r="S8254" s="1" t="s">
        <v>34218</v>
      </c>
    </row>
    <row r="8255" spans="1:19" x14ac:dyDescent="0.25">
      <c r="A8255">
        <v>101339614</v>
      </c>
      <c r="B8255" t="s">
        <v>76</v>
      </c>
      <c r="C8255" t="s">
        <v>225</v>
      </c>
      <c r="G8255" t="s">
        <v>19140</v>
      </c>
      <c r="H8255" t="s">
        <v>13601</v>
      </c>
      <c r="I8255" t="s">
        <v>140</v>
      </c>
      <c r="J8255">
        <v>48152</v>
      </c>
      <c r="K8255">
        <v>3935</v>
      </c>
      <c r="L8255" t="s">
        <v>23</v>
      </c>
      <c r="M8255" t="s">
        <v>19140</v>
      </c>
      <c r="N8255" t="s">
        <v>13601</v>
      </c>
      <c r="O8255" t="s">
        <v>140</v>
      </c>
      <c r="P8255">
        <v>48152</v>
      </c>
      <c r="Q8255">
        <v>3935</v>
      </c>
      <c r="R8255" t="s">
        <v>23</v>
      </c>
      <c r="S8255" s="1" t="s">
        <v>34218</v>
      </c>
    </row>
    <row r="8256" spans="1:19" x14ac:dyDescent="0.25">
      <c r="A8256">
        <v>101423780</v>
      </c>
      <c r="B8256" t="s">
        <v>5569</v>
      </c>
      <c r="C8256" t="s">
        <v>15692</v>
      </c>
      <c r="G8256" t="s">
        <v>19141</v>
      </c>
      <c r="H8256" t="s">
        <v>5620</v>
      </c>
      <c r="I8256" t="s">
        <v>236</v>
      </c>
      <c r="J8256">
        <v>1950</v>
      </c>
      <c r="K8256">
        <v>3645</v>
      </c>
      <c r="L8256" t="s">
        <v>23</v>
      </c>
      <c r="M8256" t="s">
        <v>19141</v>
      </c>
      <c r="N8256" t="s">
        <v>5620</v>
      </c>
      <c r="O8256" t="s">
        <v>236</v>
      </c>
      <c r="P8256">
        <v>1950</v>
      </c>
      <c r="Q8256">
        <v>3645</v>
      </c>
      <c r="R8256" t="s">
        <v>23</v>
      </c>
      <c r="S8256" s="1" t="s">
        <v>34218</v>
      </c>
    </row>
    <row r="8257" spans="1:19" x14ac:dyDescent="0.25">
      <c r="A8257">
        <v>101422038</v>
      </c>
      <c r="B8257" t="s">
        <v>19142</v>
      </c>
      <c r="C8257" t="s">
        <v>19143</v>
      </c>
      <c r="G8257" t="s">
        <v>19144</v>
      </c>
      <c r="H8257" t="s">
        <v>1857</v>
      </c>
      <c r="I8257" t="s">
        <v>702</v>
      </c>
      <c r="J8257">
        <v>89502</v>
      </c>
      <c r="K8257">
        <v>2615</v>
      </c>
      <c r="L8257" t="s">
        <v>23</v>
      </c>
      <c r="M8257" t="s">
        <v>19144</v>
      </c>
      <c r="N8257" t="s">
        <v>1857</v>
      </c>
      <c r="O8257" t="s">
        <v>702</v>
      </c>
      <c r="P8257">
        <v>89502</v>
      </c>
      <c r="Q8257">
        <v>2615</v>
      </c>
      <c r="R8257" t="s">
        <v>23</v>
      </c>
      <c r="S8257" s="1" t="s">
        <v>34218</v>
      </c>
    </row>
    <row r="8258" spans="1:19" x14ac:dyDescent="0.25">
      <c r="A8258">
        <v>101250349</v>
      </c>
      <c r="B8258" t="s">
        <v>19145</v>
      </c>
      <c r="C8258" t="s">
        <v>4578</v>
      </c>
      <c r="G8258" t="s">
        <v>19146</v>
      </c>
      <c r="H8258" t="s">
        <v>3276</v>
      </c>
      <c r="I8258" t="s">
        <v>22</v>
      </c>
      <c r="J8258">
        <v>92653</v>
      </c>
      <c r="L8258" t="s">
        <v>23</v>
      </c>
      <c r="M8258" t="s">
        <v>19146</v>
      </c>
      <c r="N8258" t="s">
        <v>3276</v>
      </c>
      <c r="O8258" t="s">
        <v>22</v>
      </c>
      <c r="P8258">
        <v>92653</v>
      </c>
      <c r="R8258" t="s">
        <v>23</v>
      </c>
      <c r="S8258" s="1" t="s">
        <v>34218</v>
      </c>
    </row>
    <row r="8259" spans="1:19" x14ac:dyDescent="0.25">
      <c r="A8259">
        <v>101475873</v>
      </c>
      <c r="B8259" t="s">
        <v>19147</v>
      </c>
      <c r="C8259" t="s">
        <v>1602</v>
      </c>
      <c r="G8259" t="s">
        <v>19148</v>
      </c>
      <c r="H8259" t="s">
        <v>6151</v>
      </c>
      <c r="I8259" t="s">
        <v>178</v>
      </c>
      <c r="J8259">
        <v>43130</v>
      </c>
      <c r="K8259">
        <v>8359</v>
      </c>
      <c r="L8259" t="s">
        <v>23</v>
      </c>
      <c r="M8259" t="s">
        <v>19148</v>
      </c>
      <c r="N8259" t="s">
        <v>6151</v>
      </c>
      <c r="O8259" t="s">
        <v>178</v>
      </c>
      <c r="P8259">
        <v>43130</v>
      </c>
      <c r="Q8259">
        <v>8359</v>
      </c>
      <c r="R8259" t="s">
        <v>23</v>
      </c>
      <c r="S8259" s="1" t="s">
        <v>34218</v>
      </c>
    </row>
    <row r="8260" spans="1:19" x14ac:dyDescent="0.25">
      <c r="A8260">
        <v>101475931</v>
      </c>
      <c r="B8260" t="s">
        <v>19149</v>
      </c>
      <c r="C8260" t="s">
        <v>1331</v>
      </c>
      <c r="G8260" t="s">
        <v>19150</v>
      </c>
      <c r="H8260" t="s">
        <v>19151</v>
      </c>
      <c r="I8260" t="s">
        <v>178</v>
      </c>
      <c r="J8260">
        <v>44116</v>
      </c>
      <c r="K8260">
        <v>1448</v>
      </c>
      <c r="L8260" t="s">
        <v>23</v>
      </c>
      <c r="M8260" t="s">
        <v>19150</v>
      </c>
      <c r="N8260" t="s">
        <v>19151</v>
      </c>
      <c r="O8260" t="s">
        <v>178</v>
      </c>
      <c r="P8260">
        <v>44116</v>
      </c>
      <c r="Q8260">
        <v>1448</v>
      </c>
      <c r="R8260" t="s">
        <v>23</v>
      </c>
      <c r="S8260" s="1" t="s">
        <v>34218</v>
      </c>
    </row>
    <row r="8261" spans="1:19" x14ac:dyDescent="0.25">
      <c r="A8261">
        <v>101476160</v>
      </c>
      <c r="B8261" t="s">
        <v>19152</v>
      </c>
      <c r="C8261" t="s">
        <v>690</v>
      </c>
      <c r="G8261" t="s">
        <v>19153</v>
      </c>
      <c r="H8261" t="s">
        <v>3363</v>
      </c>
      <c r="I8261" t="s">
        <v>33</v>
      </c>
      <c r="J8261">
        <v>15237</v>
      </c>
      <c r="K8261">
        <v>5904</v>
      </c>
      <c r="L8261" t="s">
        <v>23</v>
      </c>
      <c r="M8261" t="s">
        <v>19153</v>
      </c>
      <c r="N8261" t="s">
        <v>3363</v>
      </c>
      <c r="O8261" t="s">
        <v>33</v>
      </c>
      <c r="P8261">
        <v>15237</v>
      </c>
      <c r="Q8261">
        <v>5904</v>
      </c>
      <c r="R8261" t="s">
        <v>23</v>
      </c>
      <c r="S8261" s="1" t="s">
        <v>34218</v>
      </c>
    </row>
    <row r="8262" spans="1:19" x14ac:dyDescent="0.25">
      <c r="A8262">
        <v>101476367</v>
      </c>
      <c r="B8262" t="s">
        <v>19154</v>
      </c>
      <c r="C8262" t="s">
        <v>123</v>
      </c>
      <c r="G8262" t="s">
        <v>19155</v>
      </c>
      <c r="H8262" t="s">
        <v>412</v>
      </c>
      <c r="I8262" t="s">
        <v>117</v>
      </c>
      <c r="J8262">
        <v>11223</v>
      </c>
      <c r="K8262">
        <v>2545</v>
      </c>
      <c r="L8262" t="s">
        <v>23</v>
      </c>
      <c r="M8262" t="s">
        <v>19155</v>
      </c>
      <c r="N8262" t="s">
        <v>412</v>
      </c>
      <c r="O8262" t="s">
        <v>117</v>
      </c>
      <c r="P8262">
        <v>11223</v>
      </c>
      <c r="Q8262">
        <v>2545</v>
      </c>
      <c r="R8262" t="s">
        <v>23</v>
      </c>
      <c r="S8262" s="1" t="s">
        <v>34218</v>
      </c>
    </row>
    <row r="8263" spans="1:19" x14ac:dyDescent="0.25">
      <c r="A8263">
        <v>101476411</v>
      </c>
      <c r="B8263" t="s">
        <v>19156</v>
      </c>
      <c r="C8263" t="s">
        <v>208</v>
      </c>
      <c r="G8263" t="s">
        <v>19157</v>
      </c>
      <c r="H8263" t="s">
        <v>19158</v>
      </c>
      <c r="I8263" t="s">
        <v>117</v>
      </c>
      <c r="J8263">
        <v>11590</v>
      </c>
      <c r="K8263">
        <v>4476</v>
      </c>
      <c r="L8263" t="s">
        <v>23</v>
      </c>
      <c r="M8263" t="s">
        <v>19157</v>
      </c>
      <c r="N8263" t="s">
        <v>19158</v>
      </c>
      <c r="O8263" t="s">
        <v>117</v>
      </c>
      <c r="P8263">
        <v>11590</v>
      </c>
      <c r="Q8263">
        <v>4476</v>
      </c>
      <c r="R8263" t="s">
        <v>23</v>
      </c>
      <c r="S8263" s="1" t="s">
        <v>34218</v>
      </c>
    </row>
    <row r="8264" spans="1:19" x14ac:dyDescent="0.25">
      <c r="A8264">
        <v>101476718</v>
      </c>
      <c r="B8264" t="s">
        <v>19159</v>
      </c>
      <c r="C8264" t="s">
        <v>19160</v>
      </c>
      <c r="G8264" t="s">
        <v>19161</v>
      </c>
      <c r="H8264" t="s">
        <v>12736</v>
      </c>
      <c r="I8264" t="s">
        <v>38</v>
      </c>
      <c r="J8264">
        <v>75032</v>
      </c>
      <c r="K8264">
        <v>5202</v>
      </c>
      <c r="L8264" t="s">
        <v>23</v>
      </c>
      <c r="M8264" t="s">
        <v>19161</v>
      </c>
      <c r="N8264" t="s">
        <v>12736</v>
      </c>
      <c r="O8264" t="s">
        <v>38</v>
      </c>
      <c r="P8264">
        <v>75032</v>
      </c>
      <c r="Q8264">
        <v>5202</v>
      </c>
      <c r="R8264" t="s">
        <v>23</v>
      </c>
      <c r="S8264" s="1" t="s">
        <v>34218</v>
      </c>
    </row>
    <row r="8265" spans="1:19" x14ac:dyDescent="0.25">
      <c r="A8265">
        <v>101476729</v>
      </c>
      <c r="B8265" t="s">
        <v>19162</v>
      </c>
      <c r="C8265" t="s">
        <v>90</v>
      </c>
      <c r="G8265" t="s">
        <v>19163</v>
      </c>
      <c r="H8265" t="s">
        <v>11072</v>
      </c>
      <c r="I8265" t="s">
        <v>38</v>
      </c>
      <c r="J8265">
        <v>75077</v>
      </c>
      <c r="K8265">
        <v>3723</v>
      </c>
      <c r="L8265" t="s">
        <v>23</v>
      </c>
      <c r="M8265" t="s">
        <v>19163</v>
      </c>
      <c r="N8265" t="s">
        <v>11072</v>
      </c>
      <c r="O8265" t="s">
        <v>38</v>
      </c>
      <c r="P8265">
        <v>75077</v>
      </c>
      <c r="Q8265">
        <v>3723</v>
      </c>
      <c r="R8265" t="s">
        <v>23</v>
      </c>
      <c r="S8265" s="1" t="s">
        <v>34218</v>
      </c>
    </row>
    <row r="8266" spans="1:19" x14ac:dyDescent="0.25">
      <c r="A8266">
        <v>101476786</v>
      </c>
      <c r="B8266" t="s">
        <v>19164</v>
      </c>
      <c r="C8266" t="s">
        <v>1327</v>
      </c>
      <c r="G8266" t="s">
        <v>19165</v>
      </c>
      <c r="H8266" t="s">
        <v>419</v>
      </c>
      <c r="I8266" t="s">
        <v>38</v>
      </c>
      <c r="J8266">
        <v>76124</v>
      </c>
      <c r="K8266">
        <v>932</v>
      </c>
      <c r="L8266" t="s">
        <v>23</v>
      </c>
      <c r="M8266" t="s">
        <v>19165</v>
      </c>
      <c r="N8266" t="s">
        <v>419</v>
      </c>
      <c r="O8266" t="s">
        <v>38</v>
      </c>
      <c r="P8266">
        <v>76124</v>
      </c>
      <c r="Q8266">
        <v>932</v>
      </c>
      <c r="R8266" t="s">
        <v>23</v>
      </c>
      <c r="S8266" s="1" t="s">
        <v>34218</v>
      </c>
    </row>
    <row r="8267" spans="1:19" x14ac:dyDescent="0.25">
      <c r="A8267">
        <v>101287372</v>
      </c>
      <c r="B8267" t="s">
        <v>965</v>
      </c>
      <c r="C8267" t="s">
        <v>81</v>
      </c>
      <c r="G8267" t="s">
        <v>19166</v>
      </c>
      <c r="H8267" t="s">
        <v>19167</v>
      </c>
      <c r="I8267" t="s">
        <v>365</v>
      </c>
      <c r="J8267">
        <v>85341</v>
      </c>
      <c r="K8267">
        <v>186</v>
      </c>
      <c r="L8267" t="s">
        <v>23</v>
      </c>
      <c r="M8267" t="s">
        <v>19166</v>
      </c>
      <c r="N8267" t="s">
        <v>19167</v>
      </c>
      <c r="O8267" t="s">
        <v>365</v>
      </c>
      <c r="P8267">
        <v>85341</v>
      </c>
      <c r="Q8267">
        <v>186</v>
      </c>
      <c r="R8267" t="s">
        <v>23</v>
      </c>
      <c r="S8267" s="1" t="s">
        <v>34218</v>
      </c>
    </row>
    <row r="8268" spans="1:19" x14ac:dyDescent="0.25">
      <c r="A8268">
        <v>101422015</v>
      </c>
      <c r="B8268" t="s">
        <v>465</v>
      </c>
      <c r="C8268" t="s">
        <v>7626</v>
      </c>
      <c r="G8268" t="s">
        <v>16542</v>
      </c>
      <c r="H8268" t="s">
        <v>7649</v>
      </c>
      <c r="I8268" t="s">
        <v>57</v>
      </c>
      <c r="J8268">
        <v>46278</v>
      </c>
      <c r="K8268">
        <v>9550</v>
      </c>
      <c r="L8268" t="s">
        <v>23</v>
      </c>
      <c r="M8268" t="s">
        <v>16542</v>
      </c>
      <c r="N8268" t="s">
        <v>7649</v>
      </c>
      <c r="O8268" t="s">
        <v>57</v>
      </c>
      <c r="P8268">
        <v>46278</v>
      </c>
      <c r="Q8268">
        <v>9550</v>
      </c>
      <c r="R8268" t="s">
        <v>23</v>
      </c>
      <c r="S8268" s="1" t="s">
        <v>34218</v>
      </c>
    </row>
    <row r="8269" spans="1:19" x14ac:dyDescent="0.25">
      <c r="A8269">
        <v>101265016</v>
      </c>
      <c r="B8269" t="s">
        <v>748</v>
      </c>
      <c r="C8269" t="s">
        <v>4927</v>
      </c>
      <c r="G8269" t="s">
        <v>19168</v>
      </c>
      <c r="H8269" t="s">
        <v>2100</v>
      </c>
      <c r="I8269" t="s">
        <v>52</v>
      </c>
      <c r="J8269">
        <v>33319</v>
      </c>
      <c r="L8269" t="s">
        <v>23</v>
      </c>
      <c r="M8269" t="s">
        <v>19168</v>
      </c>
      <c r="N8269" t="s">
        <v>2100</v>
      </c>
      <c r="O8269" t="s">
        <v>52</v>
      </c>
      <c r="P8269">
        <v>33319</v>
      </c>
      <c r="R8269" t="s">
        <v>23</v>
      </c>
      <c r="S8269" s="1" t="s">
        <v>34218</v>
      </c>
    </row>
    <row r="8270" spans="1:19" x14ac:dyDescent="0.25">
      <c r="A8270">
        <v>100675888</v>
      </c>
      <c r="B8270" t="s">
        <v>18114</v>
      </c>
      <c r="C8270" t="s">
        <v>1043</v>
      </c>
      <c r="G8270" t="s">
        <v>19169</v>
      </c>
      <c r="H8270" t="s">
        <v>19170</v>
      </c>
      <c r="I8270" t="s">
        <v>236</v>
      </c>
      <c r="J8270">
        <v>1921</v>
      </c>
      <c r="K8270">
        <v>1411</v>
      </c>
      <c r="L8270" t="s">
        <v>23</v>
      </c>
      <c r="M8270" t="s">
        <v>19169</v>
      </c>
      <c r="N8270" t="s">
        <v>19170</v>
      </c>
      <c r="O8270" t="s">
        <v>236</v>
      </c>
      <c r="P8270">
        <v>1921</v>
      </c>
      <c r="Q8270">
        <v>1411</v>
      </c>
      <c r="R8270" t="s">
        <v>23</v>
      </c>
      <c r="S8270" s="1" t="s">
        <v>34218</v>
      </c>
    </row>
    <row r="8271" spans="1:19" x14ac:dyDescent="0.25">
      <c r="A8271">
        <v>101439855</v>
      </c>
      <c r="B8271" t="s">
        <v>19171</v>
      </c>
      <c r="C8271" t="s">
        <v>2687</v>
      </c>
      <c r="G8271" t="s">
        <v>19172</v>
      </c>
      <c r="H8271" t="s">
        <v>685</v>
      </c>
      <c r="I8271" t="s">
        <v>57</v>
      </c>
      <c r="J8271">
        <v>47401</v>
      </c>
      <c r="K8271">
        <v>7146</v>
      </c>
      <c r="L8271" t="s">
        <v>23</v>
      </c>
      <c r="M8271" t="s">
        <v>19172</v>
      </c>
      <c r="N8271" t="s">
        <v>685</v>
      </c>
      <c r="O8271" t="s">
        <v>57</v>
      </c>
      <c r="P8271">
        <v>47401</v>
      </c>
      <c r="Q8271">
        <v>7146</v>
      </c>
      <c r="R8271" t="s">
        <v>23</v>
      </c>
      <c r="S8271" s="1" t="s">
        <v>34218</v>
      </c>
    </row>
    <row r="8272" spans="1:19" x14ac:dyDescent="0.25">
      <c r="A8272">
        <v>101307235</v>
      </c>
      <c r="B8272" t="s">
        <v>1164</v>
      </c>
      <c r="C8272" t="s">
        <v>68</v>
      </c>
      <c r="G8272" t="s">
        <v>19173</v>
      </c>
      <c r="H8272" t="s">
        <v>4326</v>
      </c>
      <c r="I8272" t="s">
        <v>84</v>
      </c>
      <c r="J8272">
        <v>98499</v>
      </c>
      <c r="K8272">
        <v>2514</v>
      </c>
      <c r="L8272" t="s">
        <v>23</v>
      </c>
      <c r="M8272" t="s">
        <v>19173</v>
      </c>
      <c r="N8272" t="s">
        <v>4326</v>
      </c>
      <c r="O8272" t="s">
        <v>84</v>
      </c>
      <c r="P8272">
        <v>98499</v>
      </c>
      <c r="Q8272">
        <v>2514</v>
      </c>
      <c r="R8272" t="s">
        <v>23</v>
      </c>
      <c r="S8272" s="1" t="s">
        <v>34218</v>
      </c>
    </row>
    <row r="8273" spans="1:19" x14ac:dyDescent="0.25">
      <c r="A8273">
        <v>100821144</v>
      </c>
      <c r="B8273" t="s">
        <v>6460</v>
      </c>
      <c r="C8273" t="s">
        <v>1591</v>
      </c>
      <c r="G8273" t="s">
        <v>19174</v>
      </c>
      <c r="H8273" t="s">
        <v>8068</v>
      </c>
      <c r="I8273" t="s">
        <v>135</v>
      </c>
      <c r="J8273">
        <v>60045</v>
      </c>
      <c r="L8273" t="s">
        <v>23</v>
      </c>
      <c r="M8273" t="s">
        <v>19174</v>
      </c>
      <c r="N8273" t="s">
        <v>8068</v>
      </c>
      <c r="O8273" t="s">
        <v>135</v>
      </c>
      <c r="P8273">
        <v>60045</v>
      </c>
      <c r="R8273" t="s">
        <v>23</v>
      </c>
      <c r="S8273" s="1" t="s">
        <v>34218</v>
      </c>
    </row>
    <row r="8274" spans="1:19" x14ac:dyDescent="0.25">
      <c r="A8274">
        <v>101395048</v>
      </c>
      <c r="B8274" t="s">
        <v>19175</v>
      </c>
      <c r="C8274" t="s">
        <v>403</v>
      </c>
      <c r="G8274" t="s">
        <v>19176</v>
      </c>
      <c r="H8274" t="s">
        <v>19177</v>
      </c>
      <c r="I8274" t="s">
        <v>148</v>
      </c>
      <c r="J8274">
        <v>20784</v>
      </c>
      <c r="K8274">
        <v>2868</v>
      </c>
      <c r="L8274" t="s">
        <v>23</v>
      </c>
      <c r="M8274" t="s">
        <v>19176</v>
      </c>
      <c r="N8274" t="s">
        <v>19177</v>
      </c>
      <c r="O8274" t="s">
        <v>148</v>
      </c>
      <c r="P8274">
        <v>20784</v>
      </c>
      <c r="Q8274">
        <v>2868</v>
      </c>
      <c r="R8274" t="s">
        <v>23</v>
      </c>
      <c r="S8274" s="1" t="s">
        <v>34218</v>
      </c>
    </row>
    <row r="8275" spans="1:19" x14ac:dyDescent="0.25">
      <c r="A8275">
        <v>101473816</v>
      </c>
      <c r="B8275" t="s">
        <v>3204</v>
      </c>
      <c r="C8275" t="s">
        <v>17914</v>
      </c>
      <c r="G8275" t="s">
        <v>19178</v>
      </c>
      <c r="H8275" t="s">
        <v>19179</v>
      </c>
      <c r="I8275" t="s">
        <v>33</v>
      </c>
      <c r="J8275">
        <v>18325</v>
      </c>
      <c r="K8275">
        <v>122</v>
      </c>
      <c r="L8275" t="s">
        <v>23</v>
      </c>
      <c r="M8275" t="s">
        <v>19178</v>
      </c>
      <c r="N8275" t="s">
        <v>19179</v>
      </c>
      <c r="O8275" t="s">
        <v>33</v>
      </c>
      <c r="P8275">
        <v>18325</v>
      </c>
      <c r="Q8275">
        <v>122</v>
      </c>
      <c r="R8275" t="s">
        <v>23</v>
      </c>
      <c r="S8275" s="1" t="s">
        <v>34218</v>
      </c>
    </row>
    <row r="8276" spans="1:19" x14ac:dyDescent="0.25">
      <c r="A8276">
        <v>101013427</v>
      </c>
      <c r="B8276" t="s">
        <v>19180</v>
      </c>
      <c r="C8276" t="s">
        <v>699</v>
      </c>
      <c r="G8276" t="s">
        <v>19181</v>
      </c>
      <c r="H8276" t="s">
        <v>4105</v>
      </c>
      <c r="I8276" t="s">
        <v>117</v>
      </c>
      <c r="J8276">
        <v>11375</v>
      </c>
      <c r="L8276" t="s">
        <v>23</v>
      </c>
      <c r="M8276" t="s">
        <v>19181</v>
      </c>
      <c r="N8276" t="s">
        <v>4105</v>
      </c>
      <c r="O8276" t="s">
        <v>117</v>
      </c>
      <c r="P8276">
        <v>11375</v>
      </c>
      <c r="R8276" t="s">
        <v>23</v>
      </c>
      <c r="S8276" s="1" t="s">
        <v>34218</v>
      </c>
    </row>
    <row r="8277" spans="1:19" x14ac:dyDescent="0.25">
      <c r="A8277">
        <v>100611979</v>
      </c>
      <c r="B8277" t="s">
        <v>11601</v>
      </c>
      <c r="C8277" t="s">
        <v>19182</v>
      </c>
      <c r="G8277" t="s">
        <v>19183</v>
      </c>
      <c r="H8277" t="s">
        <v>19184</v>
      </c>
      <c r="I8277" t="s">
        <v>353</v>
      </c>
      <c r="J8277">
        <v>3452</v>
      </c>
      <c r="K8277">
        <v>5430</v>
      </c>
      <c r="L8277" t="s">
        <v>23</v>
      </c>
      <c r="M8277" t="s">
        <v>19183</v>
      </c>
      <c r="N8277" t="s">
        <v>19184</v>
      </c>
      <c r="O8277" t="s">
        <v>353</v>
      </c>
      <c r="P8277">
        <v>3452</v>
      </c>
      <c r="Q8277">
        <v>5430</v>
      </c>
      <c r="R8277" t="s">
        <v>23</v>
      </c>
      <c r="S8277" s="1" t="s">
        <v>34218</v>
      </c>
    </row>
    <row r="8278" spans="1:19" x14ac:dyDescent="0.25">
      <c r="A8278">
        <v>101099671</v>
      </c>
      <c r="B8278" t="s">
        <v>1581</v>
      </c>
      <c r="C8278" t="s">
        <v>1778</v>
      </c>
      <c r="G8278" t="s">
        <v>19185</v>
      </c>
      <c r="H8278" t="s">
        <v>19186</v>
      </c>
      <c r="I8278" t="s">
        <v>43</v>
      </c>
      <c r="J8278">
        <v>97045</v>
      </c>
      <c r="K8278">
        <v>1256</v>
      </c>
      <c r="L8278" t="s">
        <v>23</v>
      </c>
      <c r="M8278" t="s">
        <v>19185</v>
      </c>
      <c r="N8278" t="s">
        <v>19186</v>
      </c>
      <c r="O8278" t="s">
        <v>43</v>
      </c>
      <c r="P8278">
        <v>97045</v>
      </c>
      <c r="Q8278">
        <v>1256</v>
      </c>
      <c r="R8278" t="s">
        <v>23</v>
      </c>
      <c r="S8278" s="1" t="s">
        <v>34218</v>
      </c>
    </row>
    <row r="8279" spans="1:19" x14ac:dyDescent="0.25">
      <c r="A8279">
        <v>101481443</v>
      </c>
      <c r="B8279" t="s">
        <v>654</v>
      </c>
      <c r="C8279" t="s">
        <v>16274</v>
      </c>
      <c r="G8279" t="s">
        <v>19187</v>
      </c>
      <c r="H8279" t="s">
        <v>3608</v>
      </c>
      <c r="I8279" t="s">
        <v>140</v>
      </c>
      <c r="J8279">
        <v>49423</v>
      </c>
      <c r="K8279">
        <v>4427</v>
      </c>
      <c r="L8279" t="s">
        <v>23</v>
      </c>
      <c r="M8279" t="s">
        <v>19187</v>
      </c>
      <c r="N8279" t="s">
        <v>3608</v>
      </c>
      <c r="O8279" t="s">
        <v>140</v>
      </c>
      <c r="P8279">
        <v>49423</v>
      </c>
      <c r="Q8279">
        <v>4427</v>
      </c>
      <c r="R8279" t="s">
        <v>23</v>
      </c>
      <c r="S8279" s="1" t="s">
        <v>34218</v>
      </c>
    </row>
    <row r="8280" spans="1:19" x14ac:dyDescent="0.25">
      <c r="A8280">
        <v>101467529</v>
      </c>
      <c r="B8280" t="s">
        <v>19188</v>
      </c>
      <c r="C8280" t="s">
        <v>1463</v>
      </c>
      <c r="G8280" t="s">
        <v>19189</v>
      </c>
      <c r="H8280" t="s">
        <v>12247</v>
      </c>
      <c r="I8280" t="s">
        <v>662</v>
      </c>
      <c r="J8280">
        <v>2816</v>
      </c>
      <c r="L8280" t="s">
        <v>23</v>
      </c>
      <c r="M8280" t="s">
        <v>19189</v>
      </c>
      <c r="N8280" t="s">
        <v>12247</v>
      </c>
      <c r="O8280" t="s">
        <v>662</v>
      </c>
      <c r="P8280">
        <v>2816</v>
      </c>
      <c r="R8280" t="s">
        <v>23</v>
      </c>
      <c r="S8280" s="1" t="s">
        <v>34218</v>
      </c>
    </row>
    <row r="8281" spans="1:19" x14ac:dyDescent="0.25">
      <c r="A8281">
        <v>100804105</v>
      </c>
      <c r="B8281" t="s">
        <v>19190</v>
      </c>
      <c r="C8281" t="s">
        <v>4284</v>
      </c>
      <c r="G8281">
        <v>1</v>
      </c>
      <c r="H8281" t="s">
        <v>19191</v>
      </c>
      <c r="I8281" t="s">
        <v>33</v>
      </c>
      <c r="J8281">
        <v>19082</v>
      </c>
      <c r="L8281" t="s">
        <v>23</v>
      </c>
      <c r="M8281">
        <v>1</v>
      </c>
      <c r="N8281" t="s">
        <v>19191</v>
      </c>
      <c r="O8281" t="s">
        <v>33</v>
      </c>
      <c r="P8281">
        <v>19082</v>
      </c>
      <c r="R8281" t="s">
        <v>23</v>
      </c>
      <c r="S8281" s="1" t="s">
        <v>34218</v>
      </c>
    </row>
    <row r="8282" spans="1:19" x14ac:dyDescent="0.25">
      <c r="A8282">
        <v>101433351</v>
      </c>
      <c r="B8282" t="s">
        <v>19192</v>
      </c>
      <c r="C8282" t="s">
        <v>3545</v>
      </c>
      <c r="G8282" t="s">
        <v>19193</v>
      </c>
      <c r="H8282" t="s">
        <v>19194</v>
      </c>
      <c r="I8282" t="s">
        <v>33</v>
      </c>
      <c r="J8282">
        <v>19403</v>
      </c>
      <c r="K8282">
        <v>1359</v>
      </c>
      <c r="L8282" t="s">
        <v>23</v>
      </c>
      <c r="M8282" t="s">
        <v>19193</v>
      </c>
      <c r="N8282" t="s">
        <v>19194</v>
      </c>
      <c r="O8282" t="s">
        <v>33</v>
      </c>
      <c r="P8282">
        <v>19403</v>
      </c>
      <c r="Q8282">
        <v>1359</v>
      </c>
      <c r="R8282" t="s">
        <v>23</v>
      </c>
      <c r="S8282" s="1" t="s">
        <v>34218</v>
      </c>
    </row>
    <row r="8283" spans="1:19" x14ac:dyDescent="0.25">
      <c r="A8283">
        <v>101470309</v>
      </c>
      <c r="B8283" t="s">
        <v>3843</v>
      </c>
      <c r="C8283" t="s">
        <v>3951</v>
      </c>
      <c r="G8283" t="s">
        <v>19195</v>
      </c>
      <c r="H8283" t="s">
        <v>19196</v>
      </c>
      <c r="I8283" t="s">
        <v>71</v>
      </c>
      <c r="J8283">
        <v>80816</v>
      </c>
      <c r="K8283">
        <v>5805</v>
      </c>
      <c r="L8283" t="s">
        <v>23</v>
      </c>
      <c r="M8283" t="s">
        <v>19195</v>
      </c>
      <c r="N8283" t="s">
        <v>19196</v>
      </c>
      <c r="O8283" t="s">
        <v>71</v>
      </c>
      <c r="P8283">
        <v>80816</v>
      </c>
      <c r="Q8283">
        <v>5805</v>
      </c>
      <c r="R8283" t="s">
        <v>23</v>
      </c>
      <c r="S8283" s="1" t="s">
        <v>34218</v>
      </c>
    </row>
    <row r="8284" spans="1:19" x14ac:dyDescent="0.25">
      <c r="A8284">
        <v>101466833</v>
      </c>
      <c r="B8284" t="s">
        <v>19197</v>
      </c>
      <c r="C8284" t="s">
        <v>1124</v>
      </c>
      <c r="G8284" t="s">
        <v>19198</v>
      </c>
      <c r="H8284" t="s">
        <v>789</v>
      </c>
      <c r="I8284" t="s">
        <v>38</v>
      </c>
      <c r="J8284">
        <v>78626</v>
      </c>
      <c r="K8284">
        <v>6029</v>
      </c>
      <c r="L8284" t="s">
        <v>23</v>
      </c>
      <c r="M8284" t="s">
        <v>19198</v>
      </c>
      <c r="N8284" t="s">
        <v>789</v>
      </c>
      <c r="O8284" t="s">
        <v>38</v>
      </c>
      <c r="P8284">
        <v>78626</v>
      </c>
      <c r="Q8284">
        <v>6029</v>
      </c>
      <c r="R8284" t="s">
        <v>23</v>
      </c>
      <c r="S8284" s="1" t="s">
        <v>34218</v>
      </c>
    </row>
    <row r="8285" spans="1:19" x14ac:dyDescent="0.25">
      <c r="A8285">
        <v>101420786</v>
      </c>
      <c r="B8285" t="s">
        <v>1171</v>
      </c>
      <c r="C8285" t="s">
        <v>5868</v>
      </c>
      <c r="G8285" t="s">
        <v>19199</v>
      </c>
      <c r="H8285" t="s">
        <v>19200</v>
      </c>
      <c r="I8285" t="s">
        <v>135</v>
      </c>
      <c r="J8285">
        <v>61401</v>
      </c>
      <c r="K8285">
        <v>1862</v>
      </c>
      <c r="L8285" t="s">
        <v>23</v>
      </c>
      <c r="M8285" t="s">
        <v>19199</v>
      </c>
      <c r="N8285" t="s">
        <v>19200</v>
      </c>
      <c r="O8285" t="s">
        <v>135</v>
      </c>
      <c r="P8285">
        <v>61401</v>
      </c>
      <c r="Q8285">
        <v>1862</v>
      </c>
      <c r="R8285" t="s">
        <v>23</v>
      </c>
      <c r="S8285" s="1" t="s">
        <v>34218</v>
      </c>
    </row>
    <row r="8286" spans="1:19" x14ac:dyDescent="0.25">
      <c r="A8286">
        <v>101468684</v>
      </c>
      <c r="B8286" t="s">
        <v>4754</v>
      </c>
      <c r="C8286" t="s">
        <v>1327</v>
      </c>
      <c r="G8286" t="s">
        <v>19201</v>
      </c>
      <c r="H8286" t="s">
        <v>19202</v>
      </c>
      <c r="I8286" t="s">
        <v>365</v>
      </c>
      <c r="J8286">
        <v>85122</v>
      </c>
      <c r="K8286">
        <v>5579</v>
      </c>
      <c r="L8286" t="s">
        <v>23</v>
      </c>
      <c r="M8286" t="s">
        <v>19201</v>
      </c>
      <c r="N8286" t="s">
        <v>19202</v>
      </c>
      <c r="O8286" t="s">
        <v>365</v>
      </c>
      <c r="P8286">
        <v>85122</v>
      </c>
      <c r="Q8286">
        <v>5579</v>
      </c>
      <c r="R8286" t="s">
        <v>23</v>
      </c>
      <c r="S8286" s="1" t="s">
        <v>34218</v>
      </c>
    </row>
    <row r="8287" spans="1:19" x14ac:dyDescent="0.25">
      <c r="A8287">
        <v>101404856</v>
      </c>
      <c r="B8287" t="s">
        <v>19203</v>
      </c>
      <c r="C8287" t="s">
        <v>432</v>
      </c>
      <c r="G8287" t="s">
        <v>19204</v>
      </c>
      <c r="H8287" t="s">
        <v>177</v>
      </c>
      <c r="I8287" t="s">
        <v>43</v>
      </c>
      <c r="J8287">
        <v>97520</v>
      </c>
      <c r="L8287" t="s">
        <v>23</v>
      </c>
      <c r="M8287" t="s">
        <v>19204</v>
      </c>
      <c r="N8287" t="s">
        <v>177</v>
      </c>
      <c r="O8287" t="s">
        <v>43</v>
      </c>
      <c r="P8287">
        <v>97520</v>
      </c>
      <c r="R8287" t="s">
        <v>23</v>
      </c>
      <c r="S8287" s="1" t="s">
        <v>34218</v>
      </c>
    </row>
    <row r="8288" spans="1:19" x14ac:dyDescent="0.25">
      <c r="A8288">
        <v>101451279</v>
      </c>
      <c r="B8288" t="s">
        <v>15410</v>
      </c>
      <c r="C8288" t="s">
        <v>613</v>
      </c>
      <c r="G8288" t="s">
        <v>19205</v>
      </c>
      <c r="H8288" t="s">
        <v>299</v>
      </c>
      <c r="I8288" t="s">
        <v>22</v>
      </c>
      <c r="J8288">
        <v>90048</v>
      </c>
      <c r="K8288">
        <v>3407</v>
      </c>
      <c r="L8288" t="s">
        <v>23</v>
      </c>
      <c r="M8288" t="s">
        <v>19205</v>
      </c>
      <c r="N8288" t="s">
        <v>299</v>
      </c>
      <c r="O8288" t="s">
        <v>22</v>
      </c>
      <c r="P8288">
        <v>90048</v>
      </c>
      <c r="Q8288">
        <v>3407</v>
      </c>
      <c r="R8288" t="s">
        <v>23</v>
      </c>
      <c r="S8288" s="1" t="s">
        <v>34218</v>
      </c>
    </row>
    <row r="8289" spans="1:19" x14ac:dyDescent="0.25">
      <c r="A8289">
        <v>101448324</v>
      </c>
      <c r="B8289" t="s">
        <v>2051</v>
      </c>
      <c r="C8289" t="s">
        <v>575</v>
      </c>
      <c r="G8289" t="s">
        <v>19206</v>
      </c>
      <c r="H8289" t="s">
        <v>66</v>
      </c>
      <c r="I8289" t="s">
        <v>22</v>
      </c>
      <c r="J8289">
        <v>94709</v>
      </c>
      <c r="K8289">
        <v>2227</v>
      </c>
      <c r="L8289" t="s">
        <v>23</v>
      </c>
      <c r="M8289" t="s">
        <v>19206</v>
      </c>
      <c r="N8289" t="s">
        <v>66</v>
      </c>
      <c r="O8289" t="s">
        <v>22</v>
      </c>
      <c r="P8289">
        <v>94709</v>
      </c>
      <c r="Q8289">
        <v>2227</v>
      </c>
      <c r="R8289" t="s">
        <v>23</v>
      </c>
      <c r="S8289" s="1" t="s">
        <v>34218</v>
      </c>
    </row>
    <row r="8290" spans="1:19" x14ac:dyDescent="0.25">
      <c r="A8290">
        <v>100883822</v>
      </c>
      <c r="B8290" t="s">
        <v>7791</v>
      </c>
      <c r="C8290" t="s">
        <v>5420</v>
      </c>
      <c r="G8290" t="s">
        <v>19207</v>
      </c>
      <c r="H8290" t="s">
        <v>92</v>
      </c>
      <c r="I8290" t="s">
        <v>84</v>
      </c>
      <c r="J8290">
        <v>98006</v>
      </c>
      <c r="L8290" t="s">
        <v>23</v>
      </c>
      <c r="M8290" t="s">
        <v>19207</v>
      </c>
      <c r="N8290" t="s">
        <v>92</v>
      </c>
      <c r="O8290" t="s">
        <v>84</v>
      </c>
      <c r="P8290">
        <v>98006</v>
      </c>
      <c r="R8290" t="s">
        <v>23</v>
      </c>
      <c r="S8290" s="1" t="s">
        <v>34218</v>
      </c>
    </row>
    <row r="8291" spans="1:19" x14ac:dyDescent="0.25">
      <c r="A8291">
        <v>101338738</v>
      </c>
      <c r="B8291" t="s">
        <v>19208</v>
      </c>
      <c r="C8291" t="s">
        <v>644</v>
      </c>
      <c r="G8291" t="s">
        <v>19209</v>
      </c>
      <c r="H8291" t="s">
        <v>19210</v>
      </c>
      <c r="I8291" t="s">
        <v>236</v>
      </c>
      <c r="J8291">
        <v>1450</v>
      </c>
      <c r="L8291" t="s">
        <v>23</v>
      </c>
      <c r="M8291" t="s">
        <v>19209</v>
      </c>
      <c r="N8291" t="s">
        <v>19210</v>
      </c>
      <c r="O8291" t="s">
        <v>236</v>
      </c>
      <c r="P8291">
        <v>1450</v>
      </c>
      <c r="R8291" t="s">
        <v>23</v>
      </c>
      <c r="S8291" s="1" t="s">
        <v>34218</v>
      </c>
    </row>
    <row r="8292" spans="1:19" x14ac:dyDescent="0.25">
      <c r="A8292">
        <v>101385894</v>
      </c>
      <c r="B8292" t="s">
        <v>720</v>
      </c>
      <c r="C8292" t="s">
        <v>890</v>
      </c>
      <c r="G8292" t="s">
        <v>19211</v>
      </c>
      <c r="H8292" t="s">
        <v>1877</v>
      </c>
      <c r="I8292" t="s">
        <v>178</v>
      </c>
      <c r="J8292">
        <v>44460</v>
      </c>
      <c r="K8292">
        <v>3680</v>
      </c>
      <c r="L8292" t="s">
        <v>23</v>
      </c>
      <c r="M8292" t="s">
        <v>19211</v>
      </c>
      <c r="N8292" t="s">
        <v>1877</v>
      </c>
      <c r="O8292" t="s">
        <v>178</v>
      </c>
      <c r="P8292">
        <v>44460</v>
      </c>
      <c r="Q8292">
        <v>3680</v>
      </c>
      <c r="R8292" t="s">
        <v>23</v>
      </c>
      <c r="S8292" s="1" t="s">
        <v>34218</v>
      </c>
    </row>
    <row r="8293" spans="1:19" x14ac:dyDescent="0.25">
      <c r="A8293">
        <v>101392276</v>
      </c>
      <c r="B8293" t="s">
        <v>1210</v>
      </c>
      <c r="C8293" t="s">
        <v>19212</v>
      </c>
      <c r="G8293" t="s">
        <v>19213</v>
      </c>
      <c r="H8293" t="s">
        <v>227</v>
      </c>
      <c r="I8293" t="s">
        <v>161</v>
      </c>
      <c r="J8293">
        <v>6480</v>
      </c>
      <c r="K8293">
        <v>1013</v>
      </c>
      <c r="L8293" t="s">
        <v>23</v>
      </c>
      <c r="M8293" t="s">
        <v>19213</v>
      </c>
      <c r="N8293" t="s">
        <v>227</v>
      </c>
      <c r="O8293" t="s">
        <v>161</v>
      </c>
      <c r="P8293">
        <v>6480</v>
      </c>
      <c r="Q8293">
        <v>1013</v>
      </c>
      <c r="R8293" t="s">
        <v>23</v>
      </c>
      <c r="S8293" s="1" t="s">
        <v>34218</v>
      </c>
    </row>
    <row r="8294" spans="1:19" x14ac:dyDescent="0.25">
      <c r="A8294">
        <v>101252050</v>
      </c>
      <c r="B8294" t="s">
        <v>19214</v>
      </c>
      <c r="C8294" t="s">
        <v>3878</v>
      </c>
      <c r="G8294" t="s">
        <v>19215</v>
      </c>
      <c r="H8294" t="s">
        <v>13843</v>
      </c>
      <c r="I8294" t="s">
        <v>117</v>
      </c>
      <c r="J8294">
        <v>14047</v>
      </c>
      <c r="K8294">
        <v>9572</v>
      </c>
      <c r="L8294" t="s">
        <v>23</v>
      </c>
      <c r="M8294" t="s">
        <v>19215</v>
      </c>
      <c r="N8294" t="s">
        <v>13843</v>
      </c>
      <c r="O8294" t="s">
        <v>117</v>
      </c>
      <c r="P8294">
        <v>14047</v>
      </c>
      <c r="Q8294">
        <v>9572</v>
      </c>
      <c r="R8294" t="s">
        <v>23</v>
      </c>
      <c r="S8294" s="1" t="s">
        <v>34218</v>
      </c>
    </row>
    <row r="8295" spans="1:19" x14ac:dyDescent="0.25">
      <c r="A8295">
        <v>100909883</v>
      </c>
      <c r="B8295" t="s">
        <v>19216</v>
      </c>
      <c r="C8295" t="s">
        <v>1658</v>
      </c>
      <c r="G8295" t="s">
        <v>19217</v>
      </c>
      <c r="H8295" t="s">
        <v>7015</v>
      </c>
      <c r="I8295" t="s">
        <v>348</v>
      </c>
      <c r="J8295">
        <v>83340</v>
      </c>
      <c r="K8295">
        <v>3201</v>
      </c>
      <c r="L8295" t="s">
        <v>23</v>
      </c>
      <c r="M8295" t="s">
        <v>19217</v>
      </c>
      <c r="N8295" t="s">
        <v>7015</v>
      </c>
      <c r="O8295" t="s">
        <v>348</v>
      </c>
      <c r="P8295">
        <v>83340</v>
      </c>
      <c r="Q8295">
        <v>3201</v>
      </c>
      <c r="R8295" t="s">
        <v>23</v>
      </c>
      <c r="S8295" s="1" t="s">
        <v>34218</v>
      </c>
    </row>
    <row r="8296" spans="1:19" x14ac:dyDescent="0.25">
      <c r="A8296">
        <v>101434867</v>
      </c>
      <c r="B8296" t="s">
        <v>4188</v>
      </c>
      <c r="C8296" t="s">
        <v>19218</v>
      </c>
      <c r="G8296" t="s">
        <v>19219</v>
      </c>
      <c r="H8296" t="s">
        <v>37</v>
      </c>
      <c r="I8296" t="s">
        <v>187</v>
      </c>
      <c r="J8296">
        <v>55912</v>
      </c>
      <c r="K8296">
        <v>6473</v>
      </c>
      <c r="L8296" t="s">
        <v>23</v>
      </c>
      <c r="M8296" t="s">
        <v>19219</v>
      </c>
      <c r="N8296" t="s">
        <v>37</v>
      </c>
      <c r="O8296" t="s">
        <v>187</v>
      </c>
      <c r="P8296">
        <v>55912</v>
      </c>
      <c r="Q8296">
        <v>6473</v>
      </c>
      <c r="R8296" t="s">
        <v>23</v>
      </c>
      <c r="S8296" s="1" t="s">
        <v>34218</v>
      </c>
    </row>
    <row r="8297" spans="1:19" x14ac:dyDescent="0.25">
      <c r="A8297">
        <v>101420061</v>
      </c>
      <c r="B8297" t="s">
        <v>1800</v>
      </c>
      <c r="C8297" t="s">
        <v>19220</v>
      </c>
      <c r="G8297" t="s">
        <v>19221</v>
      </c>
      <c r="H8297" t="s">
        <v>299</v>
      </c>
      <c r="I8297" t="s">
        <v>22</v>
      </c>
      <c r="J8297">
        <v>90043</v>
      </c>
      <c r="K8297">
        <v>3621</v>
      </c>
      <c r="L8297" t="s">
        <v>23</v>
      </c>
      <c r="M8297" t="s">
        <v>19221</v>
      </c>
      <c r="N8297" t="s">
        <v>299</v>
      </c>
      <c r="O8297" t="s">
        <v>22</v>
      </c>
      <c r="P8297">
        <v>90043</v>
      </c>
      <c r="Q8297">
        <v>3621</v>
      </c>
      <c r="R8297" t="s">
        <v>23</v>
      </c>
      <c r="S8297" s="1" t="s">
        <v>34218</v>
      </c>
    </row>
    <row r="8298" spans="1:19" x14ac:dyDescent="0.25">
      <c r="A8298">
        <v>101458140</v>
      </c>
      <c r="B8298" t="s">
        <v>19222</v>
      </c>
      <c r="C8298" t="s">
        <v>1168</v>
      </c>
      <c r="G8298" t="s">
        <v>19223</v>
      </c>
      <c r="H8298" t="s">
        <v>5190</v>
      </c>
      <c r="I8298" t="s">
        <v>255</v>
      </c>
      <c r="J8298">
        <v>22033</v>
      </c>
      <c r="K8298">
        <v>3028</v>
      </c>
      <c r="L8298" t="s">
        <v>23</v>
      </c>
      <c r="M8298" t="s">
        <v>19223</v>
      </c>
      <c r="N8298" t="s">
        <v>5190</v>
      </c>
      <c r="O8298" t="s">
        <v>255</v>
      </c>
      <c r="P8298">
        <v>22033</v>
      </c>
      <c r="Q8298">
        <v>3028</v>
      </c>
      <c r="R8298" t="s">
        <v>23</v>
      </c>
      <c r="S8298" s="1" t="s">
        <v>34218</v>
      </c>
    </row>
    <row r="8299" spans="1:19" x14ac:dyDescent="0.25">
      <c r="A8299">
        <v>100525421</v>
      </c>
      <c r="B8299" t="s">
        <v>893</v>
      </c>
      <c r="C8299" t="s">
        <v>4628</v>
      </c>
      <c r="G8299" t="s">
        <v>19224</v>
      </c>
      <c r="H8299" t="s">
        <v>5732</v>
      </c>
      <c r="I8299" t="s">
        <v>148</v>
      </c>
      <c r="J8299">
        <v>21042</v>
      </c>
      <c r="K8299">
        <v>5650</v>
      </c>
      <c r="L8299" t="s">
        <v>23</v>
      </c>
      <c r="M8299" t="s">
        <v>19224</v>
      </c>
      <c r="N8299" t="s">
        <v>5732</v>
      </c>
      <c r="O8299" t="s">
        <v>148</v>
      </c>
      <c r="P8299">
        <v>21042</v>
      </c>
      <c r="Q8299">
        <v>5650</v>
      </c>
      <c r="R8299" t="s">
        <v>23</v>
      </c>
      <c r="S8299" s="1" t="s">
        <v>34218</v>
      </c>
    </row>
    <row r="8300" spans="1:19" x14ac:dyDescent="0.25">
      <c r="A8300">
        <v>101248392</v>
      </c>
      <c r="B8300" t="s">
        <v>721</v>
      </c>
      <c r="C8300" t="s">
        <v>2518</v>
      </c>
      <c r="G8300" t="s">
        <v>19225</v>
      </c>
      <c r="H8300" t="s">
        <v>1412</v>
      </c>
      <c r="I8300" t="s">
        <v>52</v>
      </c>
      <c r="J8300">
        <v>32806</v>
      </c>
      <c r="K8300">
        <v>1209</v>
      </c>
      <c r="L8300" t="s">
        <v>23</v>
      </c>
      <c r="M8300" t="s">
        <v>19225</v>
      </c>
      <c r="N8300" t="s">
        <v>1412</v>
      </c>
      <c r="O8300" t="s">
        <v>52</v>
      </c>
      <c r="P8300">
        <v>32806</v>
      </c>
      <c r="Q8300">
        <v>1209</v>
      </c>
      <c r="R8300" t="s">
        <v>23</v>
      </c>
      <c r="S8300" s="1" t="s">
        <v>34218</v>
      </c>
    </row>
    <row r="8301" spans="1:19" x14ac:dyDescent="0.25">
      <c r="A8301">
        <v>101345273</v>
      </c>
      <c r="B8301" t="s">
        <v>2891</v>
      </c>
      <c r="C8301" t="s">
        <v>4902</v>
      </c>
      <c r="G8301" t="s">
        <v>19226</v>
      </c>
      <c r="H8301" t="s">
        <v>3972</v>
      </c>
      <c r="I8301" t="s">
        <v>1387</v>
      </c>
      <c r="J8301">
        <v>35235</v>
      </c>
      <c r="L8301" t="s">
        <v>23</v>
      </c>
      <c r="M8301" t="s">
        <v>19226</v>
      </c>
      <c r="N8301" t="s">
        <v>3972</v>
      </c>
      <c r="O8301" t="s">
        <v>1387</v>
      </c>
      <c r="P8301">
        <v>35235</v>
      </c>
      <c r="R8301" t="s">
        <v>23</v>
      </c>
      <c r="S8301" s="1" t="s">
        <v>34218</v>
      </c>
    </row>
    <row r="8302" spans="1:19" x14ac:dyDescent="0.25">
      <c r="A8302">
        <v>101481553</v>
      </c>
      <c r="B8302" t="s">
        <v>19227</v>
      </c>
      <c r="C8302" t="s">
        <v>8676</v>
      </c>
      <c r="G8302" t="s">
        <v>19228</v>
      </c>
      <c r="H8302" t="s">
        <v>19229</v>
      </c>
      <c r="I8302" t="s">
        <v>984</v>
      </c>
      <c r="J8302">
        <v>96719</v>
      </c>
      <c r="K8302">
        <v>263</v>
      </c>
      <c r="L8302" t="s">
        <v>23</v>
      </c>
      <c r="M8302" t="s">
        <v>19228</v>
      </c>
      <c r="N8302" t="s">
        <v>19229</v>
      </c>
      <c r="O8302" t="s">
        <v>984</v>
      </c>
      <c r="P8302">
        <v>96719</v>
      </c>
      <c r="Q8302">
        <v>263</v>
      </c>
      <c r="R8302" t="s">
        <v>23</v>
      </c>
      <c r="S8302" s="1" t="s">
        <v>34218</v>
      </c>
    </row>
    <row r="8303" spans="1:19" x14ac:dyDescent="0.25">
      <c r="A8303">
        <v>101469340</v>
      </c>
      <c r="B8303" t="s">
        <v>19230</v>
      </c>
      <c r="C8303" t="s">
        <v>2599</v>
      </c>
      <c r="G8303" t="s">
        <v>19231</v>
      </c>
      <c r="H8303" t="s">
        <v>688</v>
      </c>
      <c r="I8303" t="s">
        <v>117</v>
      </c>
      <c r="J8303">
        <v>14626</v>
      </c>
      <c r="K8303">
        <v>1345</v>
      </c>
      <c r="L8303" t="s">
        <v>23</v>
      </c>
      <c r="M8303" t="s">
        <v>19231</v>
      </c>
      <c r="N8303" t="s">
        <v>688</v>
      </c>
      <c r="O8303" t="s">
        <v>117</v>
      </c>
      <c r="P8303">
        <v>14626</v>
      </c>
      <c r="Q8303">
        <v>1345</v>
      </c>
      <c r="R8303" t="s">
        <v>23</v>
      </c>
      <c r="S8303" s="1" t="s">
        <v>34218</v>
      </c>
    </row>
    <row r="8304" spans="1:19" x14ac:dyDescent="0.25">
      <c r="A8304">
        <v>101436112</v>
      </c>
      <c r="B8304" t="s">
        <v>2287</v>
      </c>
      <c r="C8304" t="s">
        <v>585</v>
      </c>
      <c r="G8304" t="s">
        <v>19232</v>
      </c>
      <c r="H8304" t="s">
        <v>1229</v>
      </c>
      <c r="I8304" t="s">
        <v>38</v>
      </c>
      <c r="J8304">
        <v>78260</v>
      </c>
      <c r="K8304">
        <v>4500</v>
      </c>
      <c r="L8304" t="s">
        <v>23</v>
      </c>
      <c r="M8304" t="s">
        <v>19232</v>
      </c>
      <c r="N8304" t="s">
        <v>1229</v>
      </c>
      <c r="O8304" t="s">
        <v>38</v>
      </c>
      <c r="P8304">
        <v>78260</v>
      </c>
      <c r="Q8304">
        <v>4500</v>
      </c>
      <c r="R8304" t="s">
        <v>23</v>
      </c>
      <c r="S8304" s="1" t="s">
        <v>34218</v>
      </c>
    </row>
    <row r="8305" spans="1:19" x14ac:dyDescent="0.25">
      <c r="A8305">
        <v>101464982</v>
      </c>
      <c r="B8305" t="s">
        <v>5444</v>
      </c>
      <c r="C8305" t="s">
        <v>1043</v>
      </c>
      <c r="G8305" t="s">
        <v>19233</v>
      </c>
      <c r="H8305" t="s">
        <v>19234</v>
      </c>
      <c r="I8305" t="s">
        <v>22</v>
      </c>
      <c r="J8305">
        <v>95451</v>
      </c>
      <c r="K8305">
        <v>8212</v>
      </c>
      <c r="L8305" t="s">
        <v>23</v>
      </c>
      <c r="M8305" t="s">
        <v>19233</v>
      </c>
      <c r="N8305" t="s">
        <v>19234</v>
      </c>
      <c r="O8305" t="s">
        <v>22</v>
      </c>
      <c r="P8305">
        <v>95451</v>
      </c>
      <c r="Q8305">
        <v>8212</v>
      </c>
      <c r="R8305" t="s">
        <v>23</v>
      </c>
      <c r="S8305" s="1" t="s">
        <v>34218</v>
      </c>
    </row>
    <row r="8306" spans="1:19" x14ac:dyDescent="0.25">
      <c r="A8306">
        <v>101298726</v>
      </c>
      <c r="B8306" t="s">
        <v>19235</v>
      </c>
      <c r="C8306" t="s">
        <v>1350</v>
      </c>
      <c r="F8306" t="str">
        <f>"7638432646"</f>
        <v>7638432646</v>
      </c>
      <c r="G8306" t="s">
        <v>19236</v>
      </c>
      <c r="H8306" t="s">
        <v>19237</v>
      </c>
      <c r="I8306" t="s">
        <v>187</v>
      </c>
      <c r="J8306">
        <v>55303</v>
      </c>
      <c r="L8306" t="s">
        <v>23</v>
      </c>
      <c r="M8306" t="s">
        <v>19236</v>
      </c>
      <c r="N8306" t="s">
        <v>19237</v>
      </c>
      <c r="O8306" t="s">
        <v>187</v>
      </c>
      <c r="P8306">
        <v>55303</v>
      </c>
      <c r="R8306" t="s">
        <v>23</v>
      </c>
      <c r="S8306" s="1" t="s">
        <v>34218</v>
      </c>
    </row>
    <row r="8307" spans="1:19" x14ac:dyDescent="0.25">
      <c r="A8307">
        <v>101259411</v>
      </c>
      <c r="B8307" t="s">
        <v>19238</v>
      </c>
      <c r="C8307" t="s">
        <v>19239</v>
      </c>
      <c r="G8307" t="s">
        <v>19240</v>
      </c>
      <c r="H8307" t="s">
        <v>19241</v>
      </c>
      <c r="I8307" t="s">
        <v>914</v>
      </c>
      <c r="J8307">
        <v>37701</v>
      </c>
      <c r="L8307" t="s">
        <v>23</v>
      </c>
      <c r="M8307" t="s">
        <v>19240</v>
      </c>
      <c r="N8307" t="s">
        <v>19241</v>
      </c>
      <c r="O8307" t="s">
        <v>914</v>
      </c>
      <c r="P8307">
        <v>37701</v>
      </c>
      <c r="R8307" t="s">
        <v>23</v>
      </c>
      <c r="S8307" s="1" t="s">
        <v>34218</v>
      </c>
    </row>
    <row r="8308" spans="1:19" x14ac:dyDescent="0.25">
      <c r="A8308">
        <v>101454567</v>
      </c>
      <c r="B8308" t="s">
        <v>19242</v>
      </c>
      <c r="C8308" t="s">
        <v>7257</v>
      </c>
      <c r="G8308" t="s">
        <v>19243</v>
      </c>
      <c r="H8308" t="s">
        <v>5957</v>
      </c>
      <c r="I8308" t="s">
        <v>178</v>
      </c>
      <c r="J8308">
        <v>43035</v>
      </c>
      <c r="K8308">
        <v>6082</v>
      </c>
      <c r="L8308" t="s">
        <v>23</v>
      </c>
      <c r="M8308" t="s">
        <v>19243</v>
      </c>
      <c r="N8308" t="s">
        <v>5957</v>
      </c>
      <c r="O8308" t="s">
        <v>178</v>
      </c>
      <c r="P8308">
        <v>43035</v>
      </c>
      <c r="Q8308">
        <v>6082</v>
      </c>
      <c r="R8308" t="s">
        <v>23</v>
      </c>
      <c r="S8308" s="1" t="s">
        <v>34218</v>
      </c>
    </row>
    <row r="8309" spans="1:19" x14ac:dyDescent="0.25">
      <c r="A8309">
        <v>100979444</v>
      </c>
      <c r="B8309" t="s">
        <v>19244</v>
      </c>
      <c r="C8309" t="s">
        <v>90</v>
      </c>
      <c r="G8309" t="s">
        <v>19245</v>
      </c>
      <c r="H8309" t="s">
        <v>3766</v>
      </c>
      <c r="I8309" t="s">
        <v>365</v>
      </c>
      <c r="J8309">
        <v>85226</v>
      </c>
      <c r="K8309">
        <v>2231</v>
      </c>
      <c r="L8309" t="s">
        <v>23</v>
      </c>
      <c r="M8309" t="s">
        <v>19245</v>
      </c>
      <c r="N8309" t="s">
        <v>3766</v>
      </c>
      <c r="O8309" t="s">
        <v>365</v>
      </c>
      <c r="P8309">
        <v>85226</v>
      </c>
      <c r="Q8309">
        <v>2231</v>
      </c>
      <c r="R8309" t="s">
        <v>23</v>
      </c>
      <c r="S8309" s="1" t="s">
        <v>34218</v>
      </c>
    </row>
    <row r="8310" spans="1:19" x14ac:dyDescent="0.25">
      <c r="A8310">
        <v>101471329</v>
      </c>
      <c r="B8310" t="s">
        <v>19246</v>
      </c>
      <c r="C8310" t="s">
        <v>4488</v>
      </c>
      <c r="G8310" t="s">
        <v>19247</v>
      </c>
      <c r="H8310" t="s">
        <v>8662</v>
      </c>
      <c r="I8310" t="s">
        <v>38</v>
      </c>
      <c r="J8310">
        <v>75657</v>
      </c>
      <c r="K8310">
        <v>1857</v>
      </c>
      <c r="L8310" t="s">
        <v>23</v>
      </c>
      <c r="M8310" t="s">
        <v>19247</v>
      </c>
      <c r="N8310" t="s">
        <v>8662</v>
      </c>
      <c r="O8310" t="s">
        <v>38</v>
      </c>
      <c r="P8310">
        <v>75657</v>
      </c>
      <c r="Q8310">
        <v>1857</v>
      </c>
      <c r="R8310" t="s">
        <v>23</v>
      </c>
      <c r="S8310" s="1" t="s">
        <v>34218</v>
      </c>
    </row>
    <row r="8311" spans="1:19" x14ac:dyDescent="0.25">
      <c r="A8311">
        <v>101239332</v>
      </c>
      <c r="B8311" t="s">
        <v>19248</v>
      </c>
      <c r="C8311" t="s">
        <v>19249</v>
      </c>
      <c r="G8311" t="s">
        <v>19250</v>
      </c>
      <c r="H8311" t="s">
        <v>1086</v>
      </c>
      <c r="I8311" t="s">
        <v>446</v>
      </c>
      <c r="J8311">
        <v>28204</v>
      </c>
      <c r="K8311">
        <v>8</v>
      </c>
      <c r="L8311" t="s">
        <v>23</v>
      </c>
      <c r="M8311" t="s">
        <v>19250</v>
      </c>
      <c r="N8311" t="s">
        <v>1086</v>
      </c>
      <c r="O8311" t="s">
        <v>446</v>
      </c>
      <c r="P8311">
        <v>28204</v>
      </c>
      <c r="Q8311">
        <v>8</v>
      </c>
      <c r="R8311" t="s">
        <v>23</v>
      </c>
      <c r="S8311" s="1" t="s">
        <v>34218</v>
      </c>
    </row>
    <row r="8312" spans="1:19" x14ac:dyDescent="0.25">
      <c r="A8312">
        <v>101450166</v>
      </c>
      <c r="B8312" t="s">
        <v>19251</v>
      </c>
      <c r="C8312" t="s">
        <v>6891</v>
      </c>
      <c r="G8312" t="s">
        <v>19252</v>
      </c>
      <c r="H8312" t="s">
        <v>2809</v>
      </c>
      <c r="I8312" t="s">
        <v>22</v>
      </c>
      <c r="J8312">
        <v>91377</v>
      </c>
      <c r="K8312">
        <v>4738</v>
      </c>
      <c r="L8312" t="s">
        <v>23</v>
      </c>
      <c r="M8312" t="s">
        <v>19252</v>
      </c>
      <c r="N8312" t="s">
        <v>2809</v>
      </c>
      <c r="O8312" t="s">
        <v>22</v>
      </c>
      <c r="P8312">
        <v>91377</v>
      </c>
      <c r="Q8312">
        <v>4738</v>
      </c>
      <c r="R8312" t="s">
        <v>23</v>
      </c>
      <c r="S8312" s="1" t="s">
        <v>34218</v>
      </c>
    </row>
    <row r="8313" spans="1:19" x14ac:dyDescent="0.25">
      <c r="A8313">
        <v>101228261</v>
      </c>
      <c r="B8313" t="s">
        <v>19253</v>
      </c>
      <c r="C8313" t="s">
        <v>329</v>
      </c>
      <c r="G8313" t="s">
        <v>19254</v>
      </c>
      <c r="H8313" t="s">
        <v>18282</v>
      </c>
      <c r="I8313" t="s">
        <v>135</v>
      </c>
      <c r="J8313">
        <v>61822</v>
      </c>
      <c r="K8313">
        <v>2411</v>
      </c>
      <c r="L8313" t="s">
        <v>23</v>
      </c>
      <c r="M8313" t="s">
        <v>19254</v>
      </c>
      <c r="N8313" t="s">
        <v>18282</v>
      </c>
      <c r="O8313" t="s">
        <v>135</v>
      </c>
      <c r="P8313">
        <v>61822</v>
      </c>
      <c r="Q8313">
        <v>2411</v>
      </c>
      <c r="R8313" t="s">
        <v>23</v>
      </c>
      <c r="S8313" s="1" t="s">
        <v>34218</v>
      </c>
    </row>
    <row r="8314" spans="1:19" x14ac:dyDescent="0.25">
      <c r="A8314">
        <v>100879107</v>
      </c>
      <c r="B8314" t="s">
        <v>19255</v>
      </c>
      <c r="C8314" t="s">
        <v>1588</v>
      </c>
      <c r="G8314" t="s">
        <v>19256</v>
      </c>
      <c r="H8314" t="s">
        <v>4866</v>
      </c>
      <c r="I8314" t="s">
        <v>22</v>
      </c>
      <c r="J8314" t="s">
        <v>19257</v>
      </c>
      <c r="K8314">
        <v>5773</v>
      </c>
      <c r="L8314" t="s">
        <v>23</v>
      </c>
      <c r="M8314" t="s">
        <v>19256</v>
      </c>
      <c r="N8314" t="s">
        <v>4866</v>
      </c>
      <c r="O8314" t="s">
        <v>22</v>
      </c>
      <c r="P8314" t="s">
        <v>19257</v>
      </c>
      <c r="Q8314">
        <v>5773</v>
      </c>
      <c r="R8314" t="s">
        <v>23</v>
      </c>
      <c r="S8314" s="1" t="s">
        <v>34218</v>
      </c>
    </row>
    <row r="8315" spans="1:19" x14ac:dyDescent="0.25">
      <c r="A8315">
        <v>101401716</v>
      </c>
      <c r="B8315" t="s">
        <v>19258</v>
      </c>
      <c r="C8315" t="s">
        <v>15585</v>
      </c>
      <c r="G8315" t="s">
        <v>19259</v>
      </c>
      <c r="H8315" t="s">
        <v>869</v>
      </c>
      <c r="I8315" t="s">
        <v>52</v>
      </c>
      <c r="J8315">
        <v>33143</v>
      </c>
      <c r="K8315">
        <v>6935</v>
      </c>
      <c r="L8315" t="s">
        <v>23</v>
      </c>
      <c r="M8315" t="s">
        <v>19259</v>
      </c>
      <c r="N8315" t="s">
        <v>869</v>
      </c>
      <c r="O8315" t="s">
        <v>52</v>
      </c>
      <c r="P8315">
        <v>33143</v>
      </c>
      <c r="Q8315">
        <v>6935</v>
      </c>
      <c r="R8315" t="s">
        <v>23</v>
      </c>
      <c r="S8315" s="1" t="s">
        <v>34218</v>
      </c>
    </row>
    <row r="8316" spans="1:19" x14ac:dyDescent="0.25">
      <c r="A8316">
        <v>100601035</v>
      </c>
      <c r="B8316" t="s">
        <v>19260</v>
      </c>
      <c r="C8316" t="s">
        <v>1676</v>
      </c>
      <c r="G8316" t="s">
        <v>19261</v>
      </c>
      <c r="H8316" t="s">
        <v>15748</v>
      </c>
      <c r="I8316" t="s">
        <v>914</v>
      </c>
      <c r="J8316">
        <v>37743</v>
      </c>
      <c r="K8316">
        <v>6907</v>
      </c>
      <c r="L8316" t="s">
        <v>23</v>
      </c>
      <c r="M8316" t="s">
        <v>19261</v>
      </c>
      <c r="N8316" t="s">
        <v>15748</v>
      </c>
      <c r="O8316" t="s">
        <v>914</v>
      </c>
      <c r="P8316">
        <v>37743</v>
      </c>
      <c r="Q8316">
        <v>6907</v>
      </c>
      <c r="R8316" t="s">
        <v>23</v>
      </c>
      <c r="S8316" s="1" t="s">
        <v>34218</v>
      </c>
    </row>
    <row r="8317" spans="1:19" x14ac:dyDescent="0.25">
      <c r="A8317">
        <v>100952679</v>
      </c>
      <c r="B8317" t="s">
        <v>15156</v>
      </c>
      <c r="C8317" t="s">
        <v>1602</v>
      </c>
      <c r="G8317" t="s">
        <v>19262</v>
      </c>
      <c r="H8317" t="s">
        <v>682</v>
      </c>
      <c r="I8317" t="s">
        <v>365</v>
      </c>
      <c r="J8317">
        <v>85001</v>
      </c>
      <c r="K8317">
        <v>331</v>
      </c>
      <c r="L8317" t="s">
        <v>23</v>
      </c>
      <c r="M8317" t="s">
        <v>19262</v>
      </c>
      <c r="N8317" t="s">
        <v>682</v>
      </c>
      <c r="O8317" t="s">
        <v>365</v>
      </c>
      <c r="P8317">
        <v>85001</v>
      </c>
      <c r="Q8317">
        <v>331</v>
      </c>
      <c r="R8317" t="s">
        <v>23</v>
      </c>
      <c r="S8317" s="1" t="s">
        <v>34218</v>
      </c>
    </row>
    <row r="8318" spans="1:19" x14ac:dyDescent="0.25">
      <c r="A8318">
        <v>101429330</v>
      </c>
      <c r="B8318" t="s">
        <v>12891</v>
      </c>
      <c r="C8318" t="s">
        <v>959</v>
      </c>
      <c r="G8318" t="s">
        <v>19263</v>
      </c>
      <c r="H8318" t="s">
        <v>2674</v>
      </c>
      <c r="I8318" t="s">
        <v>22</v>
      </c>
      <c r="J8318">
        <v>95945</v>
      </c>
      <c r="K8318">
        <v>5410</v>
      </c>
      <c r="L8318" t="s">
        <v>23</v>
      </c>
      <c r="M8318" t="s">
        <v>19263</v>
      </c>
      <c r="N8318" t="s">
        <v>2674</v>
      </c>
      <c r="O8318" t="s">
        <v>22</v>
      </c>
      <c r="P8318">
        <v>95945</v>
      </c>
      <c r="Q8318">
        <v>5410</v>
      </c>
      <c r="R8318" t="s">
        <v>23</v>
      </c>
      <c r="S8318" s="1" t="s">
        <v>34218</v>
      </c>
    </row>
    <row r="8319" spans="1:19" x14ac:dyDescent="0.25">
      <c r="A8319">
        <v>101480486</v>
      </c>
      <c r="B8319" t="s">
        <v>19264</v>
      </c>
      <c r="C8319" t="s">
        <v>8920</v>
      </c>
      <c r="G8319" t="s">
        <v>19265</v>
      </c>
      <c r="H8319" t="s">
        <v>11984</v>
      </c>
      <c r="I8319" t="s">
        <v>43</v>
      </c>
      <c r="J8319">
        <v>97035</v>
      </c>
      <c r="K8319">
        <v>7935</v>
      </c>
      <c r="L8319" t="s">
        <v>23</v>
      </c>
      <c r="M8319" t="s">
        <v>19265</v>
      </c>
      <c r="N8319" t="s">
        <v>11984</v>
      </c>
      <c r="O8319" t="s">
        <v>43</v>
      </c>
      <c r="P8319">
        <v>97035</v>
      </c>
      <c r="Q8319">
        <v>7935</v>
      </c>
      <c r="R8319" t="s">
        <v>23</v>
      </c>
      <c r="S8319" s="1" t="s">
        <v>34218</v>
      </c>
    </row>
    <row r="8320" spans="1:19" x14ac:dyDescent="0.25">
      <c r="A8320">
        <v>101480488</v>
      </c>
      <c r="B8320" t="s">
        <v>19266</v>
      </c>
      <c r="C8320" t="s">
        <v>2357</v>
      </c>
      <c r="G8320" t="s">
        <v>19267</v>
      </c>
      <c r="H8320" t="s">
        <v>14859</v>
      </c>
      <c r="I8320" t="s">
        <v>100</v>
      </c>
      <c r="J8320">
        <v>54115</v>
      </c>
      <c r="K8320">
        <v>5709</v>
      </c>
      <c r="L8320" t="s">
        <v>23</v>
      </c>
      <c r="M8320" t="s">
        <v>19267</v>
      </c>
      <c r="N8320" t="s">
        <v>14859</v>
      </c>
      <c r="O8320" t="s">
        <v>100</v>
      </c>
      <c r="P8320">
        <v>54115</v>
      </c>
      <c r="Q8320">
        <v>5709</v>
      </c>
      <c r="R8320" t="s">
        <v>23</v>
      </c>
      <c r="S8320" s="1" t="s">
        <v>34218</v>
      </c>
    </row>
    <row r="8321" spans="1:19" x14ac:dyDescent="0.25">
      <c r="A8321">
        <v>101480490</v>
      </c>
      <c r="B8321" t="s">
        <v>2144</v>
      </c>
      <c r="C8321" t="s">
        <v>4719</v>
      </c>
      <c r="G8321" t="s">
        <v>19268</v>
      </c>
      <c r="H8321" t="s">
        <v>19269</v>
      </c>
      <c r="I8321" t="s">
        <v>236</v>
      </c>
      <c r="J8321">
        <v>1225</v>
      </c>
      <c r="K8321">
        <v>9622</v>
      </c>
      <c r="L8321" t="s">
        <v>23</v>
      </c>
      <c r="M8321" t="s">
        <v>19268</v>
      </c>
      <c r="N8321" t="s">
        <v>19269</v>
      </c>
      <c r="O8321" t="s">
        <v>236</v>
      </c>
      <c r="P8321">
        <v>1225</v>
      </c>
      <c r="Q8321">
        <v>9622</v>
      </c>
      <c r="R8321" t="s">
        <v>23</v>
      </c>
      <c r="S8321" s="1" t="s">
        <v>34218</v>
      </c>
    </row>
    <row r="8322" spans="1:19" x14ac:dyDescent="0.25">
      <c r="A8322">
        <v>101480491</v>
      </c>
      <c r="B8322" t="s">
        <v>19270</v>
      </c>
      <c r="C8322" t="s">
        <v>17167</v>
      </c>
      <c r="G8322" t="s">
        <v>19271</v>
      </c>
      <c r="H8322" t="s">
        <v>16818</v>
      </c>
      <c r="I8322" t="s">
        <v>38</v>
      </c>
      <c r="J8322">
        <v>78613</v>
      </c>
      <c r="K8322">
        <v>4299</v>
      </c>
      <c r="L8322" t="s">
        <v>23</v>
      </c>
      <c r="M8322" t="s">
        <v>19271</v>
      </c>
      <c r="N8322" t="s">
        <v>16818</v>
      </c>
      <c r="O8322" t="s">
        <v>38</v>
      </c>
      <c r="P8322">
        <v>78613</v>
      </c>
      <c r="Q8322">
        <v>4299</v>
      </c>
      <c r="R8322" t="s">
        <v>23</v>
      </c>
      <c r="S8322" s="1" t="s">
        <v>34218</v>
      </c>
    </row>
    <row r="8323" spans="1:19" x14ac:dyDescent="0.25">
      <c r="A8323">
        <v>100888329</v>
      </c>
      <c r="B8323" t="s">
        <v>19272</v>
      </c>
      <c r="C8323" t="s">
        <v>19273</v>
      </c>
      <c r="G8323" t="s">
        <v>19274</v>
      </c>
      <c r="H8323" t="s">
        <v>19275</v>
      </c>
      <c r="I8323" t="s">
        <v>236</v>
      </c>
      <c r="J8323">
        <v>1821</v>
      </c>
      <c r="K8323">
        <v>2721</v>
      </c>
      <c r="L8323" t="s">
        <v>23</v>
      </c>
      <c r="M8323" t="s">
        <v>19274</v>
      </c>
      <c r="N8323" t="s">
        <v>19275</v>
      </c>
      <c r="O8323" t="s">
        <v>236</v>
      </c>
      <c r="P8323">
        <v>1821</v>
      </c>
      <c r="Q8323">
        <v>2721</v>
      </c>
      <c r="R8323" t="s">
        <v>23</v>
      </c>
      <c r="S8323" s="1" t="s">
        <v>34218</v>
      </c>
    </row>
    <row r="8324" spans="1:19" x14ac:dyDescent="0.25">
      <c r="A8324">
        <v>101431753</v>
      </c>
      <c r="B8324" t="s">
        <v>19276</v>
      </c>
      <c r="C8324" t="s">
        <v>286</v>
      </c>
      <c r="G8324" t="s">
        <v>19277</v>
      </c>
      <c r="H8324" t="s">
        <v>1787</v>
      </c>
      <c r="I8324" t="s">
        <v>702</v>
      </c>
      <c r="J8324">
        <v>89135</v>
      </c>
      <c r="K8324">
        <v>3423</v>
      </c>
      <c r="L8324" t="s">
        <v>23</v>
      </c>
      <c r="M8324" t="s">
        <v>19277</v>
      </c>
      <c r="N8324" t="s">
        <v>1787</v>
      </c>
      <c r="O8324" t="s">
        <v>702</v>
      </c>
      <c r="P8324">
        <v>89135</v>
      </c>
      <c r="Q8324">
        <v>3423</v>
      </c>
      <c r="R8324" t="s">
        <v>23</v>
      </c>
      <c r="S8324" s="1" t="s">
        <v>34218</v>
      </c>
    </row>
    <row r="8325" spans="1:19" x14ac:dyDescent="0.25">
      <c r="A8325">
        <v>101055798</v>
      </c>
      <c r="B8325" t="s">
        <v>19278</v>
      </c>
      <c r="C8325" t="s">
        <v>19279</v>
      </c>
      <c r="F8325" t="str">
        <f>"5027675898"</f>
        <v>5027675898</v>
      </c>
      <c r="G8325" t="s">
        <v>19280</v>
      </c>
      <c r="H8325" t="s">
        <v>1096</v>
      </c>
      <c r="I8325" t="s">
        <v>1097</v>
      </c>
      <c r="J8325">
        <v>40205</v>
      </c>
      <c r="K8325">
        <v>1254</v>
      </c>
      <c r="L8325" t="s">
        <v>23</v>
      </c>
      <c r="M8325" t="s">
        <v>19280</v>
      </c>
      <c r="N8325" t="s">
        <v>1096</v>
      </c>
      <c r="O8325" t="s">
        <v>1097</v>
      </c>
      <c r="P8325">
        <v>40205</v>
      </c>
      <c r="Q8325">
        <v>1254</v>
      </c>
      <c r="R8325" t="s">
        <v>23</v>
      </c>
      <c r="S8325" s="1" t="s">
        <v>34218</v>
      </c>
    </row>
    <row r="8326" spans="1:19" x14ac:dyDescent="0.25">
      <c r="A8326">
        <v>101403938</v>
      </c>
      <c r="B8326" t="s">
        <v>19281</v>
      </c>
      <c r="C8326" t="s">
        <v>11500</v>
      </c>
      <c r="G8326" t="s">
        <v>19282</v>
      </c>
      <c r="H8326" t="s">
        <v>10113</v>
      </c>
      <c r="I8326" t="s">
        <v>353</v>
      </c>
      <c r="J8326">
        <v>3086</v>
      </c>
      <c r="K8326">
        <v>5318</v>
      </c>
      <c r="L8326" t="s">
        <v>23</v>
      </c>
      <c r="M8326" t="s">
        <v>19282</v>
      </c>
      <c r="N8326" t="s">
        <v>10113</v>
      </c>
      <c r="O8326" t="s">
        <v>353</v>
      </c>
      <c r="P8326">
        <v>3086</v>
      </c>
      <c r="Q8326">
        <v>5318</v>
      </c>
      <c r="R8326" t="s">
        <v>23</v>
      </c>
      <c r="S8326" s="1" t="s">
        <v>34218</v>
      </c>
    </row>
    <row r="8327" spans="1:19" x14ac:dyDescent="0.25">
      <c r="A8327">
        <v>101226885</v>
      </c>
      <c r="B8327" t="s">
        <v>19283</v>
      </c>
      <c r="C8327" t="s">
        <v>874</v>
      </c>
      <c r="F8327" t="str">
        <f>"3472630368"</f>
        <v>3472630368</v>
      </c>
      <c r="G8327" t="s">
        <v>19284</v>
      </c>
      <c r="H8327" t="s">
        <v>299</v>
      </c>
      <c r="I8327" t="s">
        <v>22</v>
      </c>
      <c r="J8327">
        <v>90068</v>
      </c>
      <c r="K8327">
        <v>1558</v>
      </c>
      <c r="L8327" t="s">
        <v>23</v>
      </c>
      <c r="M8327" t="s">
        <v>19284</v>
      </c>
      <c r="N8327" t="s">
        <v>299</v>
      </c>
      <c r="O8327" t="s">
        <v>22</v>
      </c>
      <c r="P8327">
        <v>90068</v>
      </c>
      <c r="Q8327">
        <v>1558</v>
      </c>
      <c r="R8327" t="s">
        <v>23</v>
      </c>
      <c r="S8327" s="1" t="s">
        <v>34218</v>
      </c>
    </row>
    <row r="8328" spans="1:19" x14ac:dyDescent="0.25">
      <c r="A8328">
        <v>101480504</v>
      </c>
      <c r="B8328" t="s">
        <v>19285</v>
      </c>
      <c r="C8328" t="s">
        <v>1043</v>
      </c>
      <c r="G8328" t="s">
        <v>19286</v>
      </c>
      <c r="H8328" t="s">
        <v>19287</v>
      </c>
      <c r="I8328" t="s">
        <v>446</v>
      </c>
      <c r="J8328">
        <v>27030</v>
      </c>
      <c r="K8328">
        <v>2449</v>
      </c>
      <c r="L8328" t="s">
        <v>23</v>
      </c>
      <c r="M8328" t="s">
        <v>19286</v>
      </c>
      <c r="N8328" t="s">
        <v>19287</v>
      </c>
      <c r="O8328" t="s">
        <v>446</v>
      </c>
      <c r="P8328">
        <v>27030</v>
      </c>
      <c r="Q8328">
        <v>2449</v>
      </c>
      <c r="R8328" t="s">
        <v>23</v>
      </c>
      <c r="S8328" s="1" t="s">
        <v>34218</v>
      </c>
    </row>
    <row r="8329" spans="1:19" x14ac:dyDescent="0.25">
      <c r="A8329">
        <v>101292764</v>
      </c>
      <c r="B8329" t="s">
        <v>19288</v>
      </c>
      <c r="C8329" t="s">
        <v>158</v>
      </c>
      <c r="G8329" t="s">
        <v>19289</v>
      </c>
      <c r="H8329" t="s">
        <v>4617</v>
      </c>
      <c r="I8329" t="s">
        <v>117</v>
      </c>
      <c r="J8329">
        <v>10901</v>
      </c>
      <c r="K8329">
        <v>5503</v>
      </c>
      <c r="L8329" t="s">
        <v>23</v>
      </c>
      <c r="M8329" t="s">
        <v>19289</v>
      </c>
      <c r="N8329" t="s">
        <v>4617</v>
      </c>
      <c r="O8329" t="s">
        <v>117</v>
      </c>
      <c r="P8329">
        <v>10901</v>
      </c>
      <c r="Q8329">
        <v>5503</v>
      </c>
      <c r="R8329" t="s">
        <v>23</v>
      </c>
      <c r="S8329" s="1" t="s">
        <v>34218</v>
      </c>
    </row>
    <row r="8330" spans="1:19" x14ac:dyDescent="0.25">
      <c r="A8330">
        <v>100644470</v>
      </c>
      <c r="B8330" t="s">
        <v>19290</v>
      </c>
      <c r="C8330" t="s">
        <v>90</v>
      </c>
      <c r="G8330" t="s">
        <v>19291</v>
      </c>
      <c r="H8330" t="s">
        <v>10520</v>
      </c>
      <c r="I8330" t="s">
        <v>28</v>
      </c>
      <c r="J8330">
        <v>30092</v>
      </c>
      <c r="K8330">
        <v>5696</v>
      </c>
      <c r="L8330" t="s">
        <v>23</v>
      </c>
      <c r="M8330" t="s">
        <v>19291</v>
      </c>
      <c r="N8330" t="s">
        <v>10520</v>
      </c>
      <c r="O8330" t="s">
        <v>28</v>
      </c>
      <c r="P8330">
        <v>30092</v>
      </c>
      <c r="Q8330">
        <v>5696</v>
      </c>
      <c r="R8330" t="s">
        <v>23</v>
      </c>
      <c r="S8330" s="1" t="s">
        <v>34218</v>
      </c>
    </row>
    <row r="8331" spans="1:19" x14ac:dyDescent="0.25">
      <c r="A8331">
        <v>101393788</v>
      </c>
      <c r="B8331" t="s">
        <v>19292</v>
      </c>
      <c r="C8331" t="s">
        <v>19293</v>
      </c>
      <c r="G8331">
        <v>217</v>
      </c>
      <c r="H8331" t="s">
        <v>276</v>
      </c>
      <c r="I8331" t="s">
        <v>22</v>
      </c>
      <c r="J8331">
        <v>95616</v>
      </c>
      <c r="L8331" t="s">
        <v>23</v>
      </c>
      <c r="M8331">
        <v>217</v>
      </c>
      <c r="N8331" t="s">
        <v>276</v>
      </c>
      <c r="O8331" t="s">
        <v>22</v>
      </c>
      <c r="P8331">
        <v>95616</v>
      </c>
      <c r="R8331" t="s">
        <v>23</v>
      </c>
      <c r="S8331" s="1" t="s">
        <v>34218</v>
      </c>
    </row>
    <row r="8332" spans="1:19" x14ac:dyDescent="0.25">
      <c r="A8332">
        <v>100515721</v>
      </c>
      <c r="B8332" t="s">
        <v>19294</v>
      </c>
      <c r="C8332" t="s">
        <v>865</v>
      </c>
      <c r="G8332" t="s">
        <v>19295</v>
      </c>
      <c r="H8332" t="s">
        <v>423</v>
      </c>
      <c r="I8332" t="s">
        <v>71</v>
      </c>
      <c r="J8332">
        <v>80303</v>
      </c>
      <c r="K8332">
        <v>4010</v>
      </c>
      <c r="L8332" t="s">
        <v>23</v>
      </c>
      <c r="M8332" t="s">
        <v>19295</v>
      </c>
      <c r="N8332" t="s">
        <v>423</v>
      </c>
      <c r="O8332" t="s">
        <v>71</v>
      </c>
      <c r="P8332">
        <v>80303</v>
      </c>
      <c r="Q8332">
        <v>4010</v>
      </c>
      <c r="R8332" t="s">
        <v>23</v>
      </c>
      <c r="S8332" s="1" t="s">
        <v>34218</v>
      </c>
    </row>
    <row r="8333" spans="1:19" x14ac:dyDescent="0.25">
      <c r="A8333">
        <v>101267767</v>
      </c>
      <c r="B8333" t="s">
        <v>19296</v>
      </c>
      <c r="C8333" t="s">
        <v>90</v>
      </c>
      <c r="G8333" t="s">
        <v>19297</v>
      </c>
      <c r="H8333" t="s">
        <v>412</v>
      </c>
      <c r="I8333" t="s">
        <v>117</v>
      </c>
      <c r="J8333">
        <v>11217</v>
      </c>
      <c r="K8333">
        <v>2010</v>
      </c>
      <c r="L8333" t="s">
        <v>23</v>
      </c>
      <c r="M8333" t="s">
        <v>19297</v>
      </c>
      <c r="N8333" t="s">
        <v>412</v>
      </c>
      <c r="O8333" t="s">
        <v>117</v>
      </c>
      <c r="P8333">
        <v>11217</v>
      </c>
      <c r="Q8333">
        <v>2010</v>
      </c>
      <c r="R8333" t="s">
        <v>23</v>
      </c>
      <c r="S8333" s="1" t="s">
        <v>34218</v>
      </c>
    </row>
    <row r="8334" spans="1:19" x14ac:dyDescent="0.25">
      <c r="A8334">
        <v>101225601</v>
      </c>
      <c r="B8334" t="s">
        <v>19298</v>
      </c>
      <c r="C8334" t="s">
        <v>19299</v>
      </c>
      <c r="G8334" t="s">
        <v>19300</v>
      </c>
      <c r="H8334" t="s">
        <v>1186</v>
      </c>
      <c r="I8334" t="s">
        <v>117</v>
      </c>
      <c r="J8334">
        <v>11768</v>
      </c>
      <c r="K8334">
        <v>1943</v>
      </c>
      <c r="L8334" t="s">
        <v>23</v>
      </c>
      <c r="M8334" t="s">
        <v>19300</v>
      </c>
      <c r="N8334" t="s">
        <v>1186</v>
      </c>
      <c r="O8334" t="s">
        <v>117</v>
      </c>
      <c r="P8334">
        <v>11768</v>
      </c>
      <c r="Q8334">
        <v>1943</v>
      </c>
      <c r="R8334" t="s">
        <v>23</v>
      </c>
      <c r="S8334" s="1" t="s">
        <v>34218</v>
      </c>
    </row>
    <row r="8335" spans="1:19" x14ac:dyDescent="0.25">
      <c r="A8335">
        <v>101451527</v>
      </c>
      <c r="B8335" t="s">
        <v>19301</v>
      </c>
      <c r="C8335" t="s">
        <v>466</v>
      </c>
      <c r="G8335" t="s">
        <v>19302</v>
      </c>
      <c r="H8335" t="s">
        <v>6406</v>
      </c>
      <c r="I8335" t="s">
        <v>38</v>
      </c>
      <c r="J8335">
        <v>78660</v>
      </c>
      <c r="K8335">
        <v>2123</v>
      </c>
      <c r="L8335" t="s">
        <v>23</v>
      </c>
      <c r="M8335" t="s">
        <v>19302</v>
      </c>
      <c r="N8335" t="s">
        <v>6406</v>
      </c>
      <c r="O8335" t="s">
        <v>38</v>
      </c>
      <c r="P8335">
        <v>78660</v>
      </c>
      <c r="Q8335">
        <v>2123</v>
      </c>
      <c r="R8335" t="s">
        <v>23</v>
      </c>
      <c r="S8335" s="1" t="s">
        <v>34218</v>
      </c>
    </row>
    <row r="8336" spans="1:19" x14ac:dyDescent="0.25">
      <c r="A8336">
        <v>101479912</v>
      </c>
      <c r="B8336" t="s">
        <v>19303</v>
      </c>
      <c r="C8336" t="s">
        <v>25</v>
      </c>
      <c r="G8336" t="s">
        <v>19304</v>
      </c>
      <c r="H8336" t="s">
        <v>7820</v>
      </c>
      <c r="I8336" t="s">
        <v>135</v>
      </c>
      <c r="J8336">
        <v>60134</v>
      </c>
      <c r="L8336" t="s">
        <v>23</v>
      </c>
      <c r="M8336" t="s">
        <v>19304</v>
      </c>
      <c r="N8336" t="s">
        <v>7820</v>
      </c>
      <c r="O8336" t="s">
        <v>135</v>
      </c>
      <c r="P8336">
        <v>60134</v>
      </c>
      <c r="R8336" t="s">
        <v>23</v>
      </c>
      <c r="S8336" s="1" t="s">
        <v>34218</v>
      </c>
    </row>
    <row r="8337" spans="1:19" x14ac:dyDescent="0.25">
      <c r="A8337">
        <v>101093978</v>
      </c>
      <c r="B8337" t="s">
        <v>37</v>
      </c>
      <c r="C8337" t="s">
        <v>19305</v>
      </c>
      <c r="G8337" t="s">
        <v>19306</v>
      </c>
      <c r="H8337" t="s">
        <v>653</v>
      </c>
      <c r="I8337" t="s">
        <v>117</v>
      </c>
      <c r="J8337">
        <v>10016</v>
      </c>
      <c r="K8337">
        <v>3018</v>
      </c>
      <c r="L8337" t="s">
        <v>23</v>
      </c>
      <c r="M8337" t="s">
        <v>19306</v>
      </c>
      <c r="N8337" t="s">
        <v>653</v>
      </c>
      <c r="O8337" t="s">
        <v>117</v>
      </c>
      <c r="P8337">
        <v>10016</v>
      </c>
      <c r="Q8337">
        <v>3018</v>
      </c>
      <c r="R8337" t="s">
        <v>23</v>
      </c>
      <c r="S8337" s="1" t="s">
        <v>34218</v>
      </c>
    </row>
    <row r="8338" spans="1:19" x14ac:dyDescent="0.25">
      <c r="A8338">
        <v>100865361</v>
      </c>
      <c r="B8338" t="s">
        <v>3779</v>
      </c>
      <c r="C8338" t="s">
        <v>803</v>
      </c>
      <c r="G8338" t="s">
        <v>19307</v>
      </c>
      <c r="H8338" t="s">
        <v>2060</v>
      </c>
      <c r="I8338" t="s">
        <v>140</v>
      </c>
      <c r="J8338">
        <v>49770</v>
      </c>
      <c r="K8338">
        <v>2644</v>
      </c>
      <c r="L8338" t="s">
        <v>23</v>
      </c>
      <c r="M8338" t="s">
        <v>19307</v>
      </c>
      <c r="N8338" t="s">
        <v>2060</v>
      </c>
      <c r="O8338" t="s">
        <v>140</v>
      </c>
      <c r="P8338">
        <v>49770</v>
      </c>
      <c r="Q8338">
        <v>2644</v>
      </c>
      <c r="R8338" t="s">
        <v>23</v>
      </c>
      <c r="S8338" s="1" t="s">
        <v>34218</v>
      </c>
    </row>
    <row r="8339" spans="1:19" x14ac:dyDescent="0.25">
      <c r="A8339">
        <v>101480525</v>
      </c>
      <c r="B8339" t="s">
        <v>636</v>
      </c>
      <c r="C8339" t="s">
        <v>4299</v>
      </c>
      <c r="G8339" t="s">
        <v>19308</v>
      </c>
      <c r="H8339" t="s">
        <v>8333</v>
      </c>
      <c r="I8339" t="s">
        <v>33</v>
      </c>
      <c r="J8339">
        <v>18914</v>
      </c>
      <c r="L8339" t="s">
        <v>23</v>
      </c>
      <c r="M8339" t="s">
        <v>19308</v>
      </c>
      <c r="N8339" t="s">
        <v>8333</v>
      </c>
      <c r="O8339" t="s">
        <v>33</v>
      </c>
      <c r="P8339">
        <v>18914</v>
      </c>
      <c r="R8339" t="s">
        <v>23</v>
      </c>
      <c r="S8339" s="1" t="s">
        <v>34218</v>
      </c>
    </row>
    <row r="8340" spans="1:19" x14ac:dyDescent="0.25">
      <c r="A8340">
        <v>101419760</v>
      </c>
      <c r="B8340" t="s">
        <v>19309</v>
      </c>
      <c r="C8340" t="s">
        <v>1638</v>
      </c>
      <c r="G8340" t="s">
        <v>19310</v>
      </c>
      <c r="H8340" t="s">
        <v>11058</v>
      </c>
      <c r="I8340" t="s">
        <v>348</v>
      </c>
      <c r="J8340">
        <v>83616</v>
      </c>
      <c r="K8340">
        <v>6926</v>
      </c>
      <c r="L8340" t="s">
        <v>23</v>
      </c>
      <c r="M8340" t="s">
        <v>19310</v>
      </c>
      <c r="N8340" t="s">
        <v>11058</v>
      </c>
      <c r="O8340" t="s">
        <v>348</v>
      </c>
      <c r="P8340">
        <v>83616</v>
      </c>
      <c r="Q8340">
        <v>6926</v>
      </c>
      <c r="R8340" t="s">
        <v>23</v>
      </c>
      <c r="S8340" s="1" t="s">
        <v>34218</v>
      </c>
    </row>
    <row r="8341" spans="1:19" x14ac:dyDescent="0.25">
      <c r="A8341">
        <v>101231605</v>
      </c>
      <c r="B8341" t="s">
        <v>11020</v>
      </c>
      <c r="C8341" t="s">
        <v>19311</v>
      </c>
      <c r="G8341" t="s">
        <v>19312</v>
      </c>
      <c r="H8341" t="s">
        <v>174</v>
      </c>
      <c r="I8341" t="s">
        <v>22</v>
      </c>
      <c r="J8341">
        <v>93105</v>
      </c>
      <c r="K8341">
        <v>2414</v>
      </c>
      <c r="L8341" t="s">
        <v>23</v>
      </c>
      <c r="M8341" t="s">
        <v>19312</v>
      </c>
      <c r="N8341" t="s">
        <v>174</v>
      </c>
      <c r="O8341" t="s">
        <v>22</v>
      </c>
      <c r="P8341">
        <v>93105</v>
      </c>
      <c r="Q8341">
        <v>2414</v>
      </c>
      <c r="R8341" t="s">
        <v>23</v>
      </c>
      <c r="S8341" s="1" t="s">
        <v>34218</v>
      </c>
    </row>
    <row r="8342" spans="1:19" x14ac:dyDescent="0.25">
      <c r="A8342">
        <v>100839546</v>
      </c>
      <c r="B8342" t="s">
        <v>11184</v>
      </c>
      <c r="C8342" t="s">
        <v>19313</v>
      </c>
      <c r="G8342" t="s">
        <v>19314</v>
      </c>
      <c r="H8342" t="s">
        <v>4066</v>
      </c>
      <c r="I8342" t="s">
        <v>984</v>
      </c>
      <c r="J8342">
        <v>96722</v>
      </c>
      <c r="K8342">
        <v>5328</v>
      </c>
      <c r="L8342" t="s">
        <v>23</v>
      </c>
      <c r="M8342" t="s">
        <v>19314</v>
      </c>
      <c r="N8342" t="s">
        <v>4066</v>
      </c>
      <c r="O8342" t="s">
        <v>984</v>
      </c>
      <c r="P8342">
        <v>96722</v>
      </c>
      <c r="Q8342">
        <v>5328</v>
      </c>
      <c r="R8342" t="s">
        <v>23</v>
      </c>
      <c r="S8342" s="1" t="s">
        <v>34218</v>
      </c>
    </row>
    <row r="8343" spans="1:19" x14ac:dyDescent="0.25">
      <c r="A8343">
        <v>101450542</v>
      </c>
      <c r="B8343" t="s">
        <v>19315</v>
      </c>
      <c r="C8343" t="s">
        <v>25</v>
      </c>
      <c r="G8343" t="s">
        <v>19316</v>
      </c>
      <c r="H8343" t="s">
        <v>7886</v>
      </c>
      <c r="I8343" t="s">
        <v>178</v>
      </c>
      <c r="J8343">
        <v>44333</v>
      </c>
      <c r="K8343">
        <v>2647</v>
      </c>
      <c r="L8343" t="s">
        <v>23</v>
      </c>
      <c r="M8343" t="s">
        <v>19316</v>
      </c>
      <c r="N8343" t="s">
        <v>7886</v>
      </c>
      <c r="O8343" t="s">
        <v>178</v>
      </c>
      <c r="P8343">
        <v>44333</v>
      </c>
      <c r="Q8343">
        <v>2647</v>
      </c>
      <c r="R8343" t="s">
        <v>23</v>
      </c>
      <c r="S8343" s="1" t="s">
        <v>34218</v>
      </c>
    </row>
    <row r="8344" spans="1:19" x14ac:dyDescent="0.25">
      <c r="A8344">
        <v>101469021</v>
      </c>
      <c r="B8344" t="s">
        <v>2287</v>
      </c>
      <c r="C8344" t="s">
        <v>3609</v>
      </c>
      <c r="G8344" t="s">
        <v>19317</v>
      </c>
      <c r="H8344" t="s">
        <v>9439</v>
      </c>
      <c r="I8344" t="s">
        <v>140</v>
      </c>
      <c r="J8344">
        <v>49316</v>
      </c>
      <c r="K8344">
        <v>8389</v>
      </c>
      <c r="L8344" t="s">
        <v>23</v>
      </c>
      <c r="M8344" t="s">
        <v>19317</v>
      </c>
      <c r="N8344" t="s">
        <v>9439</v>
      </c>
      <c r="O8344" t="s">
        <v>140</v>
      </c>
      <c r="P8344">
        <v>49316</v>
      </c>
      <c r="Q8344">
        <v>8389</v>
      </c>
      <c r="R8344" t="s">
        <v>23</v>
      </c>
      <c r="S8344" s="1" t="s">
        <v>34218</v>
      </c>
    </row>
    <row r="8345" spans="1:19" x14ac:dyDescent="0.25">
      <c r="A8345">
        <v>101445237</v>
      </c>
      <c r="B8345" t="s">
        <v>19318</v>
      </c>
      <c r="C8345" t="s">
        <v>17962</v>
      </c>
      <c r="G8345" t="s">
        <v>19319</v>
      </c>
      <c r="H8345" t="s">
        <v>134</v>
      </c>
      <c r="I8345" t="s">
        <v>135</v>
      </c>
      <c r="J8345">
        <v>60655</v>
      </c>
      <c r="L8345" t="s">
        <v>23</v>
      </c>
      <c r="M8345" t="s">
        <v>19319</v>
      </c>
      <c r="N8345" t="s">
        <v>134</v>
      </c>
      <c r="O8345" t="s">
        <v>135</v>
      </c>
      <c r="P8345">
        <v>60655</v>
      </c>
      <c r="R8345" t="s">
        <v>23</v>
      </c>
      <c r="S8345" s="1" t="s">
        <v>34218</v>
      </c>
    </row>
    <row r="8346" spans="1:19" x14ac:dyDescent="0.25">
      <c r="A8346">
        <v>101480546</v>
      </c>
      <c r="B8346" t="s">
        <v>19320</v>
      </c>
      <c r="C8346" t="s">
        <v>1533</v>
      </c>
      <c r="G8346" t="s">
        <v>19321</v>
      </c>
      <c r="H8346" t="s">
        <v>19322</v>
      </c>
      <c r="I8346" t="s">
        <v>187</v>
      </c>
      <c r="J8346">
        <v>55372</v>
      </c>
      <c r="K8346">
        <v>8301</v>
      </c>
      <c r="L8346" t="s">
        <v>23</v>
      </c>
      <c r="M8346" t="s">
        <v>19321</v>
      </c>
      <c r="N8346" t="s">
        <v>19322</v>
      </c>
      <c r="O8346" t="s">
        <v>187</v>
      </c>
      <c r="P8346">
        <v>55372</v>
      </c>
      <c r="Q8346">
        <v>8301</v>
      </c>
      <c r="R8346" t="s">
        <v>23</v>
      </c>
      <c r="S8346" s="1" t="s">
        <v>34218</v>
      </c>
    </row>
    <row r="8347" spans="1:19" x14ac:dyDescent="0.25">
      <c r="A8347">
        <v>100747742</v>
      </c>
      <c r="B8347" t="s">
        <v>19323</v>
      </c>
      <c r="C8347" t="s">
        <v>1036</v>
      </c>
      <c r="G8347" t="s">
        <v>19324</v>
      </c>
      <c r="H8347" t="s">
        <v>653</v>
      </c>
      <c r="I8347" t="s">
        <v>117</v>
      </c>
      <c r="J8347">
        <v>10009</v>
      </c>
      <c r="L8347" t="s">
        <v>23</v>
      </c>
      <c r="M8347" t="s">
        <v>19324</v>
      </c>
      <c r="N8347" t="s">
        <v>653</v>
      </c>
      <c r="O8347" t="s">
        <v>117</v>
      </c>
      <c r="P8347">
        <v>10009</v>
      </c>
      <c r="R8347" t="s">
        <v>23</v>
      </c>
      <c r="S8347" s="1" t="s">
        <v>34218</v>
      </c>
    </row>
    <row r="8348" spans="1:19" x14ac:dyDescent="0.25">
      <c r="A8348">
        <v>101226999</v>
      </c>
      <c r="B8348" t="s">
        <v>19325</v>
      </c>
      <c r="C8348" t="s">
        <v>1616</v>
      </c>
      <c r="G8348" t="s">
        <v>19326</v>
      </c>
      <c r="H8348" t="s">
        <v>88</v>
      </c>
      <c r="I8348" t="s">
        <v>22</v>
      </c>
      <c r="J8348">
        <v>94619</v>
      </c>
      <c r="K8348">
        <v>2760</v>
      </c>
      <c r="L8348" t="s">
        <v>23</v>
      </c>
      <c r="M8348" t="s">
        <v>19326</v>
      </c>
      <c r="N8348" t="s">
        <v>88</v>
      </c>
      <c r="O8348" t="s">
        <v>22</v>
      </c>
      <c r="P8348">
        <v>94619</v>
      </c>
      <c r="Q8348">
        <v>2760</v>
      </c>
      <c r="R8348" t="s">
        <v>23</v>
      </c>
      <c r="S8348" s="1" t="s">
        <v>34218</v>
      </c>
    </row>
    <row r="8349" spans="1:19" x14ac:dyDescent="0.25">
      <c r="A8349">
        <v>101447161</v>
      </c>
      <c r="B8349" t="s">
        <v>19327</v>
      </c>
      <c r="C8349" t="s">
        <v>403</v>
      </c>
      <c r="G8349" t="s">
        <v>19328</v>
      </c>
      <c r="H8349" t="s">
        <v>5801</v>
      </c>
      <c r="I8349" t="s">
        <v>100</v>
      </c>
      <c r="J8349">
        <v>54491</v>
      </c>
      <c r="L8349" t="s">
        <v>23</v>
      </c>
      <c r="M8349" t="s">
        <v>19328</v>
      </c>
      <c r="N8349" t="s">
        <v>5801</v>
      </c>
      <c r="O8349" t="s">
        <v>100</v>
      </c>
      <c r="P8349">
        <v>54491</v>
      </c>
      <c r="R8349" t="s">
        <v>23</v>
      </c>
      <c r="S8349" s="1" t="s">
        <v>34218</v>
      </c>
    </row>
    <row r="8350" spans="1:19" x14ac:dyDescent="0.25">
      <c r="A8350">
        <v>101265575</v>
      </c>
      <c r="B8350" t="s">
        <v>19329</v>
      </c>
      <c r="C8350" t="s">
        <v>167</v>
      </c>
      <c r="G8350" t="s">
        <v>19330</v>
      </c>
      <c r="H8350" t="s">
        <v>3972</v>
      </c>
      <c r="I8350" t="s">
        <v>1387</v>
      </c>
      <c r="J8350">
        <v>35242</v>
      </c>
      <c r="K8350">
        <v>6658</v>
      </c>
      <c r="L8350" t="s">
        <v>23</v>
      </c>
      <c r="M8350" t="s">
        <v>19330</v>
      </c>
      <c r="N8350" t="s">
        <v>3972</v>
      </c>
      <c r="O8350" t="s">
        <v>1387</v>
      </c>
      <c r="P8350">
        <v>35242</v>
      </c>
      <c r="Q8350">
        <v>6658</v>
      </c>
      <c r="R8350" t="s">
        <v>23</v>
      </c>
      <c r="S8350" s="1" t="s">
        <v>34218</v>
      </c>
    </row>
    <row r="8351" spans="1:19" x14ac:dyDescent="0.25">
      <c r="A8351">
        <v>101394740</v>
      </c>
      <c r="B8351" t="s">
        <v>1057</v>
      </c>
      <c r="C8351" t="s">
        <v>865</v>
      </c>
      <c r="G8351" t="s">
        <v>19331</v>
      </c>
      <c r="H8351" t="s">
        <v>134</v>
      </c>
      <c r="I8351" t="s">
        <v>135</v>
      </c>
      <c r="J8351">
        <v>60643</v>
      </c>
      <c r="K8351">
        <v>3903</v>
      </c>
      <c r="L8351" t="s">
        <v>23</v>
      </c>
      <c r="M8351" t="s">
        <v>19331</v>
      </c>
      <c r="N8351" t="s">
        <v>134</v>
      </c>
      <c r="O8351" t="s">
        <v>135</v>
      </c>
      <c r="P8351">
        <v>60643</v>
      </c>
      <c r="Q8351">
        <v>3903</v>
      </c>
      <c r="R8351" t="s">
        <v>23</v>
      </c>
      <c r="S8351" s="1" t="s">
        <v>34218</v>
      </c>
    </row>
    <row r="8352" spans="1:19" x14ac:dyDescent="0.25">
      <c r="A8352">
        <v>101426732</v>
      </c>
      <c r="B8352" t="s">
        <v>8957</v>
      </c>
      <c r="C8352" t="s">
        <v>286</v>
      </c>
      <c r="G8352" t="s">
        <v>19332</v>
      </c>
      <c r="H8352" t="s">
        <v>12065</v>
      </c>
      <c r="I8352" t="s">
        <v>135</v>
      </c>
      <c r="J8352">
        <v>61802</v>
      </c>
      <c r="K8352">
        <v>2042</v>
      </c>
      <c r="L8352" t="s">
        <v>23</v>
      </c>
      <c r="M8352" t="s">
        <v>19332</v>
      </c>
      <c r="N8352" t="s">
        <v>12065</v>
      </c>
      <c r="O8352" t="s">
        <v>135</v>
      </c>
      <c r="P8352">
        <v>61802</v>
      </c>
      <c r="Q8352">
        <v>2042</v>
      </c>
      <c r="R8352" t="s">
        <v>23</v>
      </c>
      <c r="S8352" s="1" t="s">
        <v>34218</v>
      </c>
    </row>
    <row r="8353" spans="1:19" x14ac:dyDescent="0.25">
      <c r="A8353">
        <v>101457794</v>
      </c>
      <c r="B8353" t="s">
        <v>19333</v>
      </c>
      <c r="C8353" t="s">
        <v>123</v>
      </c>
      <c r="G8353" t="s">
        <v>19334</v>
      </c>
      <c r="H8353" t="s">
        <v>746</v>
      </c>
      <c r="I8353" t="s">
        <v>178</v>
      </c>
      <c r="J8353">
        <v>45502</v>
      </c>
      <c r="K8353">
        <v>7120</v>
      </c>
      <c r="L8353" t="s">
        <v>23</v>
      </c>
      <c r="M8353" t="s">
        <v>19334</v>
      </c>
      <c r="N8353" t="s">
        <v>746</v>
      </c>
      <c r="O8353" t="s">
        <v>178</v>
      </c>
      <c r="P8353">
        <v>45502</v>
      </c>
      <c r="Q8353">
        <v>7120</v>
      </c>
      <c r="R8353" t="s">
        <v>23</v>
      </c>
      <c r="S8353" s="1" t="s">
        <v>34218</v>
      </c>
    </row>
    <row r="8354" spans="1:19" x14ac:dyDescent="0.25">
      <c r="A8354">
        <v>101339054</v>
      </c>
      <c r="B8354" t="s">
        <v>19335</v>
      </c>
      <c r="C8354" t="s">
        <v>2463</v>
      </c>
      <c r="G8354" t="s">
        <v>19336</v>
      </c>
      <c r="H8354" t="s">
        <v>12127</v>
      </c>
      <c r="I8354" t="s">
        <v>52</v>
      </c>
      <c r="J8354">
        <v>34683</v>
      </c>
      <c r="K8354">
        <v>7739</v>
      </c>
      <c r="L8354" t="s">
        <v>23</v>
      </c>
      <c r="M8354" t="s">
        <v>19336</v>
      </c>
      <c r="N8354" t="s">
        <v>12127</v>
      </c>
      <c r="O8354" t="s">
        <v>52</v>
      </c>
      <c r="P8354">
        <v>34683</v>
      </c>
      <c r="Q8354">
        <v>7739</v>
      </c>
      <c r="R8354" t="s">
        <v>23</v>
      </c>
      <c r="S8354" s="1" t="s">
        <v>34218</v>
      </c>
    </row>
    <row r="8355" spans="1:19" x14ac:dyDescent="0.25">
      <c r="A8355">
        <v>101240397</v>
      </c>
      <c r="B8355" t="s">
        <v>19337</v>
      </c>
      <c r="C8355" t="s">
        <v>30</v>
      </c>
      <c r="G8355" t="s">
        <v>19338</v>
      </c>
      <c r="H8355" t="s">
        <v>2319</v>
      </c>
      <c r="I8355" t="s">
        <v>117</v>
      </c>
      <c r="J8355">
        <v>10306</v>
      </c>
      <c r="K8355">
        <v>3511</v>
      </c>
      <c r="L8355" t="s">
        <v>23</v>
      </c>
      <c r="M8355" t="s">
        <v>19338</v>
      </c>
      <c r="N8355" t="s">
        <v>2319</v>
      </c>
      <c r="O8355" t="s">
        <v>117</v>
      </c>
      <c r="P8355">
        <v>10306</v>
      </c>
      <c r="Q8355">
        <v>3511</v>
      </c>
      <c r="R8355" t="s">
        <v>23</v>
      </c>
      <c r="S8355" s="1" t="s">
        <v>34218</v>
      </c>
    </row>
    <row r="8356" spans="1:19" x14ac:dyDescent="0.25">
      <c r="A8356">
        <v>100942663</v>
      </c>
      <c r="B8356" t="s">
        <v>19339</v>
      </c>
      <c r="C8356" t="s">
        <v>13948</v>
      </c>
      <c r="G8356" t="s">
        <v>19340</v>
      </c>
      <c r="H8356" t="s">
        <v>1579</v>
      </c>
      <c r="I8356" t="s">
        <v>117</v>
      </c>
      <c r="J8356">
        <v>13026</v>
      </c>
      <c r="L8356" t="s">
        <v>23</v>
      </c>
      <c r="M8356" t="s">
        <v>19340</v>
      </c>
      <c r="N8356" t="s">
        <v>1579</v>
      </c>
      <c r="O8356" t="s">
        <v>117</v>
      </c>
      <c r="P8356">
        <v>13026</v>
      </c>
      <c r="R8356" t="s">
        <v>23</v>
      </c>
      <c r="S8356" s="1" t="s">
        <v>34218</v>
      </c>
    </row>
    <row r="8357" spans="1:19" x14ac:dyDescent="0.25">
      <c r="A8357">
        <v>101435124</v>
      </c>
      <c r="B8357" t="s">
        <v>19341</v>
      </c>
      <c r="C8357" t="s">
        <v>2557</v>
      </c>
      <c r="G8357" t="s">
        <v>19342</v>
      </c>
      <c r="H8357" t="s">
        <v>401</v>
      </c>
      <c r="I8357" t="s">
        <v>117</v>
      </c>
      <c r="J8357">
        <v>12534</v>
      </c>
      <c r="K8357">
        <v>1310</v>
      </c>
      <c r="L8357" t="s">
        <v>23</v>
      </c>
      <c r="M8357" t="s">
        <v>19342</v>
      </c>
      <c r="N8357" t="s">
        <v>401</v>
      </c>
      <c r="O8357" t="s">
        <v>117</v>
      </c>
      <c r="P8357">
        <v>12534</v>
      </c>
      <c r="Q8357">
        <v>1310</v>
      </c>
      <c r="R8357" t="s">
        <v>23</v>
      </c>
      <c r="S8357" s="1" t="s">
        <v>34218</v>
      </c>
    </row>
    <row r="8358" spans="1:19" x14ac:dyDescent="0.25">
      <c r="A8358">
        <v>101241640</v>
      </c>
      <c r="B8358" t="s">
        <v>6555</v>
      </c>
      <c r="C8358" t="s">
        <v>119</v>
      </c>
      <c r="G8358" t="s">
        <v>19343</v>
      </c>
      <c r="H8358" t="s">
        <v>2684</v>
      </c>
      <c r="I8358" t="s">
        <v>22</v>
      </c>
      <c r="J8358">
        <v>94901</v>
      </c>
      <c r="K8358">
        <v>3521</v>
      </c>
      <c r="L8358" t="s">
        <v>23</v>
      </c>
      <c r="M8358" t="s">
        <v>19343</v>
      </c>
      <c r="N8358" t="s">
        <v>2684</v>
      </c>
      <c r="O8358" t="s">
        <v>22</v>
      </c>
      <c r="P8358">
        <v>94901</v>
      </c>
      <c r="Q8358">
        <v>3521</v>
      </c>
      <c r="R8358" t="s">
        <v>23</v>
      </c>
      <c r="S8358" s="1" t="s">
        <v>34218</v>
      </c>
    </row>
    <row r="8359" spans="1:19" x14ac:dyDescent="0.25">
      <c r="A8359">
        <v>101297913</v>
      </c>
      <c r="B8359" t="s">
        <v>19344</v>
      </c>
      <c r="C8359" t="s">
        <v>19345</v>
      </c>
      <c r="G8359" t="s">
        <v>19346</v>
      </c>
      <c r="H8359" t="s">
        <v>9347</v>
      </c>
      <c r="I8359" t="s">
        <v>1482</v>
      </c>
      <c r="J8359">
        <v>29730</v>
      </c>
      <c r="K8359">
        <v>4937</v>
      </c>
      <c r="L8359" t="s">
        <v>23</v>
      </c>
      <c r="M8359" t="s">
        <v>19346</v>
      </c>
      <c r="N8359" t="s">
        <v>9347</v>
      </c>
      <c r="O8359" t="s">
        <v>1482</v>
      </c>
      <c r="P8359">
        <v>29730</v>
      </c>
      <c r="Q8359">
        <v>4937</v>
      </c>
      <c r="R8359" t="s">
        <v>23</v>
      </c>
      <c r="S8359" s="1" t="s">
        <v>34218</v>
      </c>
    </row>
    <row r="8360" spans="1:19" x14ac:dyDescent="0.25">
      <c r="A8360">
        <v>100632357</v>
      </c>
      <c r="B8360" t="s">
        <v>19347</v>
      </c>
      <c r="C8360" t="s">
        <v>8920</v>
      </c>
      <c r="G8360" t="s">
        <v>19348</v>
      </c>
      <c r="H8360" t="s">
        <v>19349</v>
      </c>
      <c r="I8360" t="s">
        <v>28</v>
      </c>
      <c r="J8360">
        <v>31771</v>
      </c>
      <c r="L8360" t="s">
        <v>23</v>
      </c>
      <c r="M8360" t="s">
        <v>19348</v>
      </c>
      <c r="N8360" t="s">
        <v>19349</v>
      </c>
      <c r="O8360" t="s">
        <v>28</v>
      </c>
      <c r="P8360">
        <v>31771</v>
      </c>
      <c r="R8360" t="s">
        <v>23</v>
      </c>
      <c r="S8360" s="1" t="s">
        <v>34218</v>
      </c>
    </row>
    <row r="8361" spans="1:19" x14ac:dyDescent="0.25">
      <c r="A8361">
        <v>100771380</v>
      </c>
      <c r="B8361" t="s">
        <v>3956</v>
      </c>
      <c r="C8361" t="s">
        <v>531</v>
      </c>
      <c r="G8361" t="s">
        <v>19350</v>
      </c>
      <c r="H8361" t="s">
        <v>13186</v>
      </c>
      <c r="I8361" t="s">
        <v>33</v>
      </c>
      <c r="J8361">
        <v>17502</v>
      </c>
      <c r="L8361" t="s">
        <v>23</v>
      </c>
      <c r="M8361" t="s">
        <v>19350</v>
      </c>
      <c r="N8361" t="s">
        <v>13186</v>
      </c>
      <c r="O8361" t="s">
        <v>33</v>
      </c>
      <c r="P8361">
        <v>17502</v>
      </c>
      <c r="R8361" t="s">
        <v>23</v>
      </c>
      <c r="S8361" s="1" t="s">
        <v>34218</v>
      </c>
    </row>
    <row r="8362" spans="1:19" x14ac:dyDescent="0.25">
      <c r="A8362">
        <v>101265602</v>
      </c>
      <c r="B8362" t="s">
        <v>2061</v>
      </c>
      <c r="C8362" t="s">
        <v>19351</v>
      </c>
      <c r="G8362" t="s">
        <v>19352</v>
      </c>
      <c r="H8362" t="s">
        <v>567</v>
      </c>
      <c r="I8362" t="s">
        <v>446</v>
      </c>
      <c r="J8362">
        <v>27612</v>
      </c>
      <c r="K8362">
        <v>4384</v>
      </c>
      <c r="L8362" t="s">
        <v>23</v>
      </c>
      <c r="M8362" t="s">
        <v>19352</v>
      </c>
      <c r="N8362" t="s">
        <v>567</v>
      </c>
      <c r="O8362" t="s">
        <v>446</v>
      </c>
      <c r="P8362">
        <v>27612</v>
      </c>
      <c r="Q8362">
        <v>4384</v>
      </c>
      <c r="R8362" t="s">
        <v>23</v>
      </c>
      <c r="S8362" s="1" t="s">
        <v>34218</v>
      </c>
    </row>
    <row r="8363" spans="1:19" x14ac:dyDescent="0.25">
      <c r="A8363">
        <v>101418694</v>
      </c>
      <c r="B8363" t="s">
        <v>19353</v>
      </c>
      <c r="C8363" t="s">
        <v>19354</v>
      </c>
      <c r="G8363" t="s">
        <v>19355</v>
      </c>
      <c r="H8363" t="s">
        <v>299</v>
      </c>
      <c r="I8363" t="s">
        <v>22</v>
      </c>
      <c r="J8363">
        <v>90035</v>
      </c>
      <c r="K8363">
        <v>2609</v>
      </c>
      <c r="L8363" t="s">
        <v>23</v>
      </c>
      <c r="M8363" t="s">
        <v>19355</v>
      </c>
      <c r="N8363" t="s">
        <v>299</v>
      </c>
      <c r="O8363" t="s">
        <v>22</v>
      </c>
      <c r="P8363">
        <v>90035</v>
      </c>
      <c r="Q8363">
        <v>2609</v>
      </c>
      <c r="R8363" t="s">
        <v>23</v>
      </c>
      <c r="S8363" s="1" t="s">
        <v>34218</v>
      </c>
    </row>
    <row r="8364" spans="1:19" x14ac:dyDescent="0.25">
      <c r="A8364">
        <v>101133144</v>
      </c>
      <c r="B8364" t="s">
        <v>19356</v>
      </c>
      <c r="C8364" t="s">
        <v>7503</v>
      </c>
      <c r="G8364" t="s">
        <v>19357</v>
      </c>
      <c r="H8364" t="s">
        <v>1985</v>
      </c>
      <c r="I8364" t="s">
        <v>71</v>
      </c>
      <c r="J8364">
        <v>80905</v>
      </c>
      <c r="K8364">
        <v>1208</v>
      </c>
      <c r="L8364" t="s">
        <v>23</v>
      </c>
      <c r="M8364" t="s">
        <v>19357</v>
      </c>
      <c r="N8364" t="s">
        <v>1985</v>
      </c>
      <c r="O8364" t="s">
        <v>71</v>
      </c>
      <c r="P8364">
        <v>80905</v>
      </c>
      <c r="Q8364">
        <v>1208</v>
      </c>
      <c r="R8364" t="s">
        <v>23</v>
      </c>
      <c r="S8364" s="1" t="s">
        <v>34218</v>
      </c>
    </row>
    <row r="8365" spans="1:19" x14ac:dyDescent="0.25">
      <c r="A8365">
        <v>101151246</v>
      </c>
      <c r="B8365" t="s">
        <v>6398</v>
      </c>
      <c r="C8365" t="s">
        <v>535</v>
      </c>
      <c r="G8365" t="s">
        <v>19358</v>
      </c>
      <c r="H8365" t="s">
        <v>3373</v>
      </c>
      <c r="I8365" t="s">
        <v>178</v>
      </c>
      <c r="J8365">
        <v>44118</v>
      </c>
      <c r="L8365" t="s">
        <v>23</v>
      </c>
      <c r="M8365" t="s">
        <v>19358</v>
      </c>
      <c r="N8365" t="s">
        <v>3373</v>
      </c>
      <c r="O8365" t="s">
        <v>178</v>
      </c>
      <c r="P8365">
        <v>44118</v>
      </c>
      <c r="R8365" t="s">
        <v>23</v>
      </c>
      <c r="S8365" s="1" t="s">
        <v>34218</v>
      </c>
    </row>
    <row r="8366" spans="1:19" x14ac:dyDescent="0.25">
      <c r="A8366">
        <v>101434624</v>
      </c>
      <c r="B8366" t="s">
        <v>19359</v>
      </c>
      <c r="C8366" t="s">
        <v>19360</v>
      </c>
      <c r="G8366" t="s">
        <v>19361</v>
      </c>
      <c r="H8366" t="s">
        <v>1048</v>
      </c>
      <c r="I8366" t="s">
        <v>446</v>
      </c>
      <c r="J8366">
        <v>28791</v>
      </c>
      <c r="K8366">
        <v>3810</v>
      </c>
      <c r="L8366" t="s">
        <v>23</v>
      </c>
      <c r="M8366" t="s">
        <v>19361</v>
      </c>
      <c r="N8366" t="s">
        <v>1048</v>
      </c>
      <c r="O8366" t="s">
        <v>446</v>
      </c>
      <c r="P8366">
        <v>28791</v>
      </c>
      <c r="Q8366">
        <v>3810</v>
      </c>
      <c r="R8366" t="s">
        <v>23</v>
      </c>
      <c r="S8366" s="1" t="s">
        <v>34218</v>
      </c>
    </row>
    <row r="8367" spans="1:19" x14ac:dyDescent="0.25">
      <c r="A8367">
        <v>101290643</v>
      </c>
      <c r="B8367" t="s">
        <v>1004</v>
      </c>
      <c r="C8367" t="s">
        <v>3017</v>
      </c>
      <c r="G8367" t="s">
        <v>19362</v>
      </c>
      <c r="H8367" t="s">
        <v>19363</v>
      </c>
      <c r="I8367" t="s">
        <v>2310</v>
      </c>
      <c r="J8367">
        <v>19966</v>
      </c>
      <c r="K8367">
        <v>6283</v>
      </c>
      <c r="L8367" t="s">
        <v>23</v>
      </c>
      <c r="M8367" t="s">
        <v>19362</v>
      </c>
      <c r="N8367" t="s">
        <v>19363</v>
      </c>
      <c r="O8367" t="s">
        <v>2310</v>
      </c>
      <c r="P8367">
        <v>19966</v>
      </c>
      <c r="Q8367">
        <v>6283</v>
      </c>
      <c r="R8367" t="s">
        <v>23</v>
      </c>
      <c r="S8367" s="1" t="s">
        <v>34218</v>
      </c>
    </row>
    <row r="8368" spans="1:19" x14ac:dyDescent="0.25">
      <c r="A8368">
        <v>101458107</v>
      </c>
      <c r="B8368" t="s">
        <v>19364</v>
      </c>
      <c r="C8368" t="s">
        <v>40</v>
      </c>
      <c r="G8368" t="s">
        <v>19365</v>
      </c>
      <c r="H8368" t="s">
        <v>4632</v>
      </c>
      <c r="I8368" t="s">
        <v>178</v>
      </c>
      <c r="J8368">
        <v>43220</v>
      </c>
      <c r="K8368">
        <v>3833</v>
      </c>
      <c r="L8368" t="s">
        <v>23</v>
      </c>
      <c r="M8368" t="s">
        <v>19365</v>
      </c>
      <c r="N8368" t="s">
        <v>4632</v>
      </c>
      <c r="O8368" t="s">
        <v>178</v>
      </c>
      <c r="P8368">
        <v>43220</v>
      </c>
      <c r="Q8368">
        <v>3833</v>
      </c>
      <c r="R8368" t="s">
        <v>23</v>
      </c>
      <c r="S8368" s="1" t="s">
        <v>34218</v>
      </c>
    </row>
    <row r="8369" spans="1:19" x14ac:dyDescent="0.25">
      <c r="A8369">
        <v>101025835</v>
      </c>
      <c r="B8369" t="s">
        <v>19366</v>
      </c>
      <c r="C8369" t="s">
        <v>180</v>
      </c>
      <c r="G8369" t="s">
        <v>19367</v>
      </c>
      <c r="H8369" t="s">
        <v>19368</v>
      </c>
      <c r="I8369" t="s">
        <v>327</v>
      </c>
      <c r="J8369">
        <v>26269</v>
      </c>
      <c r="K8369">
        <v>8164</v>
      </c>
      <c r="L8369" t="s">
        <v>23</v>
      </c>
      <c r="M8369" t="s">
        <v>19367</v>
      </c>
      <c r="N8369" t="s">
        <v>19368</v>
      </c>
      <c r="O8369" t="s">
        <v>327</v>
      </c>
      <c r="P8369">
        <v>26269</v>
      </c>
      <c r="Q8369">
        <v>8164</v>
      </c>
      <c r="R8369" t="s">
        <v>23</v>
      </c>
      <c r="S8369" s="1" t="s">
        <v>34218</v>
      </c>
    </row>
    <row r="8370" spans="1:19" x14ac:dyDescent="0.25">
      <c r="A8370">
        <v>101481384</v>
      </c>
      <c r="B8370" t="s">
        <v>19369</v>
      </c>
      <c r="C8370" t="s">
        <v>281</v>
      </c>
      <c r="G8370" t="s">
        <v>19370</v>
      </c>
      <c r="H8370" t="s">
        <v>169</v>
      </c>
      <c r="I8370" t="s">
        <v>170</v>
      </c>
      <c r="J8370">
        <v>20002</v>
      </c>
      <c r="K8370">
        <v>5626</v>
      </c>
      <c r="L8370" t="s">
        <v>23</v>
      </c>
      <c r="M8370" t="s">
        <v>19370</v>
      </c>
      <c r="N8370" t="s">
        <v>169</v>
      </c>
      <c r="O8370" t="s">
        <v>170</v>
      </c>
      <c r="P8370">
        <v>20002</v>
      </c>
      <c r="Q8370">
        <v>5626</v>
      </c>
      <c r="R8370" t="s">
        <v>23</v>
      </c>
      <c r="S8370" s="1" t="s">
        <v>34218</v>
      </c>
    </row>
    <row r="8371" spans="1:19" x14ac:dyDescent="0.25">
      <c r="A8371">
        <v>101471951</v>
      </c>
      <c r="B8371" t="s">
        <v>19371</v>
      </c>
      <c r="C8371" t="s">
        <v>2193</v>
      </c>
      <c r="G8371" t="s">
        <v>19372</v>
      </c>
      <c r="H8371" t="s">
        <v>7027</v>
      </c>
      <c r="I8371" t="s">
        <v>43</v>
      </c>
      <c r="J8371">
        <v>97007</v>
      </c>
      <c r="K8371">
        <v>5623</v>
      </c>
      <c r="L8371" t="s">
        <v>23</v>
      </c>
      <c r="M8371" t="s">
        <v>19372</v>
      </c>
      <c r="N8371" t="s">
        <v>7027</v>
      </c>
      <c r="O8371" t="s">
        <v>43</v>
      </c>
      <c r="P8371">
        <v>97007</v>
      </c>
      <c r="Q8371">
        <v>5623</v>
      </c>
      <c r="R8371" t="s">
        <v>23</v>
      </c>
      <c r="S8371" s="1" t="s">
        <v>34218</v>
      </c>
    </row>
    <row r="8372" spans="1:19" x14ac:dyDescent="0.25">
      <c r="A8372">
        <v>101481155</v>
      </c>
      <c r="B8372" t="s">
        <v>1554</v>
      </c>
      <c r="C8372" t="s">
        <v>19373</v>
      </c>
      <c r="G8372">
        <v>1234</v>
      </c>
      <c r="H8372" t="s">
        <v>7207</v>
      </c>
      <c r="I8372" t="s">
        <v>22</v>
      </c>
      <c r="J8372">
        <v>93463</v>
      </c>
      <c r="L8372" t="s">
        <v>23</v>
      </c>
      <c r="M8372">
        <v>1234</v>
      </c>
      <c r="N8372" t="s">
        <v>7207</v>
      </c>
      <c r="O8372" t="s">
        <v>22</v>
      </c>
      <c r="P8372">
        <v>93463</v>
      </c>
      <c r="R8372" t="s">
        <v>23</v>
      </c>
      <c r="S8372" s="1" t="s">
        <v>34218</v>
      </c>
    </row>
    <row r="8373" spans="1:19" x14ac:dyDescent="0.25">
      <c r="A8373">
        <v>100733047</v>
      </c>
      <c r="B8373" t="s">
        <v>19374</v>
      </c>
      <c r="C8373" t="s">
        <v>19375</v>
      </c>
      <c r="G8373" t="s">
        <v>19376</v>
      </c>
      <c r="H8373" t="s">
        <v>17485</v>
      </c>
      <c r="I8373" t="s">
        <v>22</v>
      </c>
      <c r="J8373">
        <v>96150</v>
      </c>
      <c r="K8373">
        <v>5255</v>
      </c>
      <c r="L8373" t="s">
        <v>23</v>
      </c>
      <c r="M8373" t="s">
        <v>19376</v>
      </c>
      <c r="N8373" t="s">
        <v>17485</v>
      </c>
      <c r="O8373" t="s">
        <v>22</v>
      </c>
      <c r="P8373">
        <v>96150</v>
      </c>
      <c r="Q8373">
        <v>5255</v>
      </c>
      <c r="R8373" t="s">
        <v>23</v>
      </c>
      <c r="S8373" s="1" t="s">
        <v>34218</v>
      </c>
    </row>
    <row r="8374" spans="1:19" x14ac:dyDescent="0.25">
      <c r="A8374">
        <v>101302407</v>
      </c>
      <c r="B8374" t="s">
        <v>1671</v>
      </c>
      <c r="C8374" t="s">
        <v>155</v>
      </c>
      <c r="G8374" t="s">
        <v>19377</v>
      </c>
      <c r="H8374" t="s">
        <v>4370</v>
      </c>
      <c r="I8374" t="s">
        <v>126</v>
      </c>
      <c r="J8374">
        <v>63021</v>
      </c>
      <c r="K8374">
        <v>6064</v>
      </c>
      <c r="L8374" t="s">
        <v>23</v>
      </c>
      <c r="M8374" t="s">
        <v>19377</v>
      </c>
      <c r="N8374" t="s">
        <v>4370</v>
      </c>
      <c r="O8374" t="s">
        <v>126</v>
      </c>
      <c r="P8374">
        <v>63021</v>
      </c>
      <c r="Q8374">
        <v>6064</v>
      </c>
      <c r="R8374" t="s">
        <v>23</v>
      </c>
      <c r="S8374" s="1" t="s">
        <v>34218</v>
      </c>
    </row>
    <row r="8375" spans="1:19" x14ac:dyDescent="0.25">
      <c r="A8375">
        <v>100935508</v>
      </c>
      <c r="B8375" t="s">
        <v>2429</v>
      </c>
      <c r="C8375" t="s">
        <v>49</v>
      </c>
      <c r="G8375" t="s">
        <v>19378</v>
      </c>
      <c r="H8375" t="s">
        <v>19379</v>
      </c>
      <c r="I8375" t="s">
        <v>446</v>
      </c>
      <c r="J8375">
        <v>27260</v>
      </c>
      <c r="K8375">
        <v>4578</v>
      </c>
      <c r="L8375" t="s">
        <v>23</v>
      </c>
      <c r="M8375" t="s">
        <v>19378</v>
      </c>
      <c r="N8375" t="s">
        <v>19379</v>
      </c>
      <c r="O8375" t="s">
        <v>446</v>
      </c>
      <c r="P8375">
        <v>27260</v>
      </c>
      <c r="Q8375">
        <v>4578</v>
      </c>
      <c r="R8375" t="s">
        <v>23</v>
      </c>
      <c r="S8375" s="1" t="s">
        <v>34218</v>
      </c>
    </row>
    <row r="8376" spans="1:19" x14ac:dyDescent="0.25">
      <c r="A8376">
        <v>101414337</v>
      </c>
      <c r="B8376" t="s">
        <v>19380</v>
      </c>
      <c r="C8376" t="s">
        <v>19381</v>
      </c>
      <c r="F8376" t="str">
        <f>"9144780007"</f>
        <v>9144780007</v>
      </c>
      <c r="G8376" t="s">
        <v>19382</v>
      </c>
      <c r="H8376" t="s">
        <v>19383</v>
      </c>
      <c r="I8376" t="s">
        <v>117</v>
      </c>
      <c r="J8376">
        <v>10706</v>
      </c>
      <c r="K8376">
        <v>1583</v>
      </c>
      <c r="L8376" t="s">
        <v>23</v>
      </c>
      <c r="M8376" t="s">
        <v>19382</v>
      </c>
      <c r="N8376" t="s">
        <v>19383</v>
      </c>
      <c r="O8376" t="s">
        <v>117</v>
      </c>
      <c r="P8376">
        <v>10706</v>
      </c>
      <c r="Q8376">
        <v>1583</v>
      </c>
      <c r="R8376" t="s">
        <v>23</v>
      </c>
      <c r="S8376" s="1" t="s">
        <v>34218</v>
      </c>
    </row>
    <row r="8377" spans="1:19" x14ac:dyDescent="0.25">
      <c r="A8377">
        <v>101434711</v>
      </c>
      <c r="B8377" t="s">
        <v>19384</v>
      </c>
      <c r="C8377" t="s">
        <v>2463</v>
      </c>
      <c r="G8377" t="s">
        <v>19385</v>
      </c>
      <c r="H8377" t="s">
        <v>7886</v>
      </c>
      <c r="I8377" t="s">
        <v>178</v>
      </c>
      <c r="J8377">
        <v>44303</v>
      </c>
      <c r="K8377">
        <v>1516</v>
      </c>
      <c r="L8377" t="s">
        <v>23</v>
      </c>
      <c r="M8377" t="s">
        <v>19385</v>
      </c>
      <c r="N8377" t="s">
        <v>7886</v>
      </c>
      <c r="O8377" t="s">
        <v>178</v>
      </c>
      <c r="P8377">
        <v>44303</v>
      </c>
      <c r="Q8377">
        <v>1516</v>
      </c>
      <c r="R8377" t="s">
        <v>23</v>
      </c>
      <c r="S8377" s="1" t="s">
        <v>34218</v>
      </c>
    </row>
    <row r="8378" spans="1:19" x14ac:dyDescent="0.25">
      <c r="A8378">
        <v>101467168</v>
      </c>
      <c r="B8378" t="s">
        <v>18548</v>
      </c>
      <c r="C8378" t="s">
        <v>13849</v>
      </c>
      <c r="G8378" t="s">
        <v>19386</v>
      </c>
      <c r="H8378" t="s">
        <v>3847</v>
      </c>
      <c r="I8378" t="s">
        <v>22</v>
      </c>
      <c r="J8378">
        <v>92648</v>
      </c>
      <c r="K8378">
        <v>8306</v>
      </c>
      <c r="L8378" t="s">
        <v>23</v>
      </c>
      <c r="M8378" t="s">
        <v>19386</v>
      </c>
      <c r="N8378" t="s">
        <v>3847</v>
      </c>
      <c r="O8378" t="s">
        <v>22</v>
      </c>
      <c r="P8378">
        <v>92648</v>
      </c>
      <c r="Q8378">
        <v>8306</v>
      </c>
      <c r="R8378" t="s">
        <v>23</v>
      </c>
      <c r="S8378" s="1" t="s">
        <v>34218</v>
      </c>
    </row>
    <row r="8379" spans="1:19" x14ac:dyDescent="0.25">
      <c r="A8379">
        <v>101230409</v>
      </c>
      <c r="B8379" t="s">
        <v>19387</v>
      </c>
      <c r="C8379" t="s">
        <v>19388</v>
      </c>
      <c r="G8379" t="s">
        <v>19389</v>
      </c>
      <c r="H8379" t="s">
        <v>2391</v>
      </c>
      <c r="I8379" t="s">
        <v>43</v>
      </c>
      <c r="J8379">
        <v>97701</v>
      </c>
      <c r="K8379">
        <v>9790</v>
      </c>
      <c r="L8379" t="s">
        <v>23</v>
      </c>
      <c r="M8379" t="s">
        <v>19389</v>
      </c>
      <c r="N8379" t="s">
        <v>2391</v>
      </c>
      <c r="O8379" t="s">
        <v>43</v>
      </c>
      <c r="P8379">
        <v>97701</v>
      </c>
      <c r="Q8379">
        <v>9790</v>
      </c>
      <c r="R8379" t="s">
        <v>23</v>
      </c>
      <c r="S8379" s="1" t="s">
        <v>34218</v>
      </c>
    </row>
    <row r="8380" spans="1:19" x14ac:dyDescent="0.25">
      <c r="A8380">
        <v>101220738</v>
      </c>
      <c r="B8380" t="s">
        <v>3696</v>
      </c>
      <c r="C8380" t="s">
        <v>172</v>
      </c>
      <c r="G8380" t="s">
        <v>19390</v>
      </c>
      <c r="H8380" t="s">
        <v>19391</v>
      </c>
      <c r="I8380" t="s">
        <v>117</v>
      </c>
      <c r="J8380">
        <v>14052</v>
      </c>
      <c r="K8380">
        <v>9727</v>
      </c>
      <c r="L8380" t="s">
        <v>23</v>
      </c>
      <c r="M8380" t="s">
        <v>19390</v>
      </c>
      <c r="N8380" t="s">
        <v>19391</v>
      </c>
      <c r="O8380" t="s">
        <v>117</v>
      </c>
      <c r="P8380">
        <v>14052</v>
      </c>
      <c r="Q8380">
        <v>9727</v>
      </c>
      <c r="R8380" t="s">
        <v>23</v>
      </c>
      <c r="S8380" s="1" t="s">
        <v>34218</v>
      </c>
    </row>
    <row r="8381" spans="1:19" x14ac:dyDescent="0.25">
      <c r="A8381">
        <v>101223580</v>
      </c>
      <c r="B8381" t="s">
        <v>19392</v>
      </c>
      <c r="C8381" t="s">
        <v>865</v>
      </c>
      <c r="G8381" t="s">
        <v>19393</v>
      </c>
      <c r="H8381" t="s">
        <v>3840</v>
      </c>
      <c r="I8381" t="s">
        <v>57</v>
      </c>
      <c r="J8381">
        <v>46350</v>
      </c>
      <c r="K8381">
        <v>8172</v>
      </c>
      <c r="L8381" t="s">
        <v>23</v>
      </c>
      <c r="M8381" t="s">
        <v>19393</v>
      </c>
      <c r="N8381" t="s">
        <v>3840</v>
      </c>
      <c r="O8381" t="s">
        <v>57</v>
      </c>
      <c r="P8381">
        <v>46350</v>
      </c>
      <c r="Q8381">
        <v>8172</v>
      </c>
      <c r="R8381" t="s">
        <v>23</v>
      </c>
      <c r="S8381" s="1" t="s">
        <v>34218</v>
      </c>
    </row>
    <row r="8382" spans="1:19" x14ac:dyDescent="0.25">
      <c r="A8382">
        <v>101229240</v>
      </c>
      <c r="B8382" t="s">
        <v>19394</v>
      </c>
      <c r="C8382" t="s">
        <v>399</v>
      </c>
      <c r="G8382" t="s">
        <v>19395</v>
      </c>
      <c r="H8382" t="s">
        <v>2456</v>
      </c>
      <c r="I8382" t="s">
        <v>1387</v>
      </c>
      <c r="J8382">
        <v>35967</v>
      </c>
      <c r="K8382">
        <v>7404</v>
      </c>
      <c r="L8382" t="s">
        <v>23</v>
      </c>
      <c r="M8382" t="s">
        <v>19395</v>
      </c>
      <c r="N8382" t="s">
        <v>2456</v>
      </c>
      <c r="O8382" t="s">
        <v>1387</v>
      </c>
      <c r="P8382">
        <v>35967</v>
      </c>
      <c r="Q8382">
        <v>7404</v>
      </c>
      <c r="R8382" t="s">
        <v>23</v>
      </c>
      <c r="S8382" s="1" t="s">
        <v>34218</v>
      </c>
    </row>
    <row r="8383" spans="1:19" x14ac:dyDescent="0.25">
      <c r="A8383">
        <v>101457875</v>
      </c>
      <c r="B8383" t="s">
        <v>8763</v>
      </c>
      <c r="C8383" t="s">
        <v>2365</v>
      </c>
      <c r="G8383" t="s">
        <v>8764</v>
      </c>
      <c r="H8383" t="s">
        <v>4540</v>
      </c>
      <c r="I8383" t="s">
        <v>28</v>
      </c>
      <c r="J8383">
        <v>30041</v>
      </c>
      <c r="K8383">
        <v>5022</v>
      </c>
      <c r="L8383" t="s">
        <v>23</v>
      </c>
      <c r="M8383" t="s">
        <v>8764</v>
      </c>
      <c r="N8383" t="s">
        <v>4540</v>
      </c>
      <c r="O8383" t="s">
        <v>28</v>
      </c>
      <c r="P8383">
        <v>30041</v>
      </c>
      <c r="Q8383">
        <v>5022</v>
      </c>
      <c r="R8383" t="s">
        <v>23</v>
      </c>
      <c r="S8383" s="1" t="s">
        <v>34218</v>
      </c>
    </row>
    <row r="8384" spans="1:19" x14ac:dyDescent="0.25">
      <c r="A8384">
        <v>100877394</v>
      </c>
      <c r="B8384" t="s">
        <v>93</v>
      </c>
      <c r="C8384" t="s">
        <v>137</v>
      </c>
      <c r="G8384" t="s">
        <v>19396</v>
      </c>
      <c r="H8384" t="s">
        <v>595</v>
      </c>
      <c r="I8384" t="s">
        <v>22</v>
      </c>
      <c r="J8384">
        <v>94538</v>
      </c>
      <c r="K8384">
        <v>4813</v>
      </c>
      <c r="L8384" t="s">
        <v>23</v>
      </c>
      <c r="M8384" t="s">
        <v>19396</v>
      </c>
      <c r="N8384" t="s">
        <v>595</v>
      </c>
      <c r="O8384" t="s">
        <v>22</v>
      </c>
      <c r="P8384">
        <v>94538</v>
      </c>
      <c r="Q8384">
        <v>4813</v>
      </c>
      <c r="R8384" t="s">
        <v>23</v>
      </c>
      <c r="S8384" s="1" t="s">
        <v>34218</v>
      </c>
    </row>
    <row r="8385" spans="1:19" x14ac:dyDescent="0.25">
      <c r="A8385">
        <v>101146983</v>
      </c>
      <c r="B8385" t="s">
        <v>19397</v>
      </c>
      <c r="C8385" t="s">
        <v>8461</v>
      </c>
      <c r="G8385" t="s">
        <v>19398</v>
      </c>
      <c r="H8385" t="s">
        <v>19399</v>
      </c>
      <c r="I8385" t="s">
        <v>28</v>
      </c>
      <c r="J8385">
        <v>30058</v>
      </c>
      <c r="L8385" t="s">
        <v>23</v>
      </c>
      <c r="M8385" t="s">
        <v>19398</v>
      </c>
      <c r="N8385" t="s">
        <v>19399</v>
      </c>
      <c r="O8385" t="s">
        <v>28</v>
      </c>
      <c r="P8385">
        <v>30058</v>
      </c>
      <c r="R8385" t="s">
        <v>23</v>
      </c>
      <c r="S8385" s="1" t="s">
        <v>34218</v>
      </c>
    </row>
    <row r="8386" spans="1:19" x14ac:dyDescent="0.25">
      <c r="A8386">
        <v>100807033</v>
      </c>
      <c r="B8386" t="s">
        <v>19400</v>
      </c>
      <c r="C8386" t="s">
        <v>6121</v>
      </c>
      <c r="G8386" t="s">
        <v>19401</v>
      </c>
      <c r="H8386" t="s">
        <v>3859</v>
      </c>
      <c r="I8386" t="s">
        <v>250</v>
      </c>
      <c r="J8386">
        <v>7003</v>
      </c>
      <c r="K8386">
        <v>3956</v>
      </c>
      <c r="L8386" t="s">
        <v>23</v>
      </c>
      <c r="M8386" t="s">
        <v>19401</v>
      </c>
      <c r="N8386" t="s">
        <v>3859</v>
      </c>
      <c r="O8386" t="s">
        <v>250</v>
      </c>
      <c r="P8386">
        <v>7003</v>
      </c>
      <c r="Q8386">
        <v>3956</v>
      </c>
      <c r="R8386" t="s">
        <v>23</v>
      </c>
      <c r="S8386" s="1" t="s">
        <v>34218</v>
      </c>
    </row>
    <row r="8387" spans="1:19" x14ac:dyDescent="0.25">
      <c r="A8387">
        <v>101266939</v>
      </c>
      <c r="B8387" t="s">
        <v>1026</v>
      </c>
      <c r="C8387" t="s">
        <v>6666</v>
      </c>
      <c r="G8387" t="s">
        <v>19402</v>
      </c>
      <c r="H8387" t="s">
        <v>758</v>
      </c>
      <c r="I8387" t="s">
        <v>148</v>
      </c>
      <c r="J8387">
        <v>20901</v>
      </c>
      <c r="K8387">
        <v>5002</v>
      </c>
      <c r="L8387" t="s">
        <v>23</v>
      </c>
      <c r="M8387" t="s">
        <v>19402</v>
      </c>
      <c r="N8387" t="s">
        <v>758</v>
      </c>
      <c r="O8387" t="s">
        <v>148</v>
      </c>
      <c r="P8387">
        <v>20901</v>
      </c>
      <c r="Q8387">
        <v>5002</v>
      </c>
      <c r="R8387" t="s">
        <v>23</v>
      </c>
      <c r="S8387" s="1" t="s">
        <v>34218</v>
      </c>
    </row>
    <row r="8388" spans="1:19" x14ac:dyDescent="0.25">
      <c r="A8388">
        <v>100542644</v>
      </c>
      <c r="B8388" t="s">
        <v>2098</v>
      </c>
      <c r="C8388" t="s">
        <v>19403</v>
      </c>
      <c r="G8388" t="s">
        <v>19404</v>
      </c>
      <c r="H8388" t="s">
        <v>19405</v>
      </c>
      <c r="I8388" t="s">
        <v>33</v>
      </c>
      <c r="J8388">
        <v>19468</v>
      </c>
      <c r="K8388">
        <v>2716</v>
      </c>
      <c r="L8388" t="s">
        <v>23</v>
      </c>
      <c r="M8388" t="s">
        <v>19404</v>
      </c>
      <c r="N8388" t="s">
        <v>19405</v>
      </c>
      <c r="O8388" t="s">
        <v>33</v>
      </c>
      <c r="P8388">
        <v>19468</v>
      </c>
      <c r="Q8388">
        <v>2716</v>
      </c>
      <c r="R8388" t="s">
        <v>23</v>
      </c>
      <c r="S8388" s="1" t="s">
        <v>34218</v>
      </c>
    </row>
    <row r="8389" spans="1:19" x14ac:dyDescent="0.25">
      <c r="A8389">
        <v>101458035</v>
      </c>
      <c r="B8389" t="s">
        <v>3800</v>
      </c>
      <c r="C8389" t="s">
        <v>543</v>
      </c>
      <c r="G8389" t="s">
        <v>3801</v>
      </c>
      <c r="H8389" t="s">
        <v>3802</v>
      </c>
      <c r="I8389" t="s">
        <v>22</v>
      </c>
      <c r="J8389">
        <v>93277</v>
      </c>
      <c r="K8389">
        <v>1586</v>
      </c>
      <c r="L8389" t="s">
        <v>23</v>
      </c>
      <c r="M8389" t="s">
        <v>3801</v>
      </c>
      <c r="N8389" t="s">
        <v>3802</v>
      </c>
      <c r="O8389" t="s">
        <v>22</v>
      </c>
      <c r="P8389">
        <v>93277</v>
      </c>
      <c r="Q8389">
        <v>1586</v>
      </c>
      <c r="R8389" t="s">
        <v>23</v>
      </c>
      <c r="S8389" s="1" t="s">
        <v>34218</v>
      </c>
    </row>
    <row r="8390" spans="1:19" x14ac:dyDescent="0.25">
      <c r="A8390">
        <v>101431816</v>
      </c>
      <c r="B8390" t="s">
        <v>19406</v>
      </c>
      <c r="C8390" t="s">
        <v>1153</v>
      </c>
      <c r="G8390">
        <v>1458</v>
      </c>
      <c r="H8390" t="s">
        <v>130</v>
      </c>
      <c r="I8390" t="s">
        <v>22</v>
      </c>
      <c r="J8390">
        <v>94122</v>
      </c>
      <c r="L8390" t="s">
        <v>23</v>
      </c>
      <c r="M8390">
        <v>1458</v>
      </c>
      <c r="N8390" t="s">
        <v>130</v>
      </c>
      <c r="O8390" t="s">
        <v>22</v>
      </c>
      <c r="P8390">
        <v>94122</v>
      </c>
      <c r="R8390" t="s">
        <v>23</v>
      </c>
      <c r="S8390" s="1" t="s">
        <v>34218</v>
      </c>
    </row>
    <row r="8391" spans="1:19" x14ac:dyDescent="0.25">
      <c r="A8391">
        <v>101349417</v>
      </c>
      <c r="B8391" t="s">
        <v>4496</v>
      </c>
      <c r="C8391" t="s">
        <v>4124</v>
      </c>
      <c r="G8391" t="s">
        <v>4497</v>
      </c>
      <c r="H8391" t="s">
        <v>143</v>
      </c>
      <c r="I8391" t="s">
        <v>52</v>
      </c>
      <c r="J8391">
        <v>32233</v>
      </c>
      <c r="K8391">
        <v>2275</v>
      </c>
      <c r="L8391" t="s">
        <v>23</v>
      </c>
      <c r="M8391" t="s">
        <v>4497</v>
      </c>
      <c r="N8391" t="s">
        <v>143</v>
      </c>
      <c r="O8391" t="s">
        <v>52</v>
      </c>
      <c r="P8391">
        <v>32233</v>
      </c>
      <c r="Q8391">
        <v>2275</v>
      </c>
      <c r="R8391" t="s">
        <v>23</v>
      </c>
      <c r="S8391" s="1" t="s">
        <v>34218</v>
      </c>
    </row>
    <row r="8392" spans="1:19" x14ac:dyDescent="0.25">
      <c r="A8392">
        <v>101238742</v>
      </c>
      <c r="B8392" t="s">
        <v>19407</v>
      </c>
      <c r="C8392" t="s">
        <v>613</v>
      </c>
      <c r="F8392" t="str">
        <f>"3109366120"</f>
        <v>3109366120</v>
      </c>
      <c r="G8392" t="s">
        <v>19408</v>
      </c>
      <c r="H8392" t="s">
        <v>299</v>
      </c>
      <c r="I8392" t="s">
        <v>22</v>
      </c>
      <c r="J8392">
        <v>90034</v>
      </c>
      <c r="K8392">
        <v>3204</v>
      </c>
      <c r="L8392" t="s">
        <v>23</v>
      </c>
      <c r="M8392" t="s">
        <v>19408</v>
      </c>
      <c r="N8392" t="s">
        <v>299</v>
      </c>
      <c r="O8392" t="s">
        <v>22</v>
      </c>
      <c r="P8392">
        <v>90034</v>
      </c>
      <c r="Q8392">
        <v>3204</v>
      </c>
      <c r="R8392" t="s">
        <v>23</v>
      </c>
      <c r="S8392" s="1" t="s">
        <v>34218</v>
      </c>
    </row>
    <row r="8393" spans="1:19" x14ac:dyDescent="0.25">
      <c r="A8393">
        <v>101433130</v>
      </c>
      <c r="B8393" t="s">
        <v>5237</v>
      </c>
      <c r="C8393" t="s">
        <v>1153</v>
      </c>
      <c r="G8393" t="s">
        <v>19409</v>
      </c>
      <c r="H8393" t="s">
        <v>4859</v>
      </c>
      <c r="I8393" t="s">
        <v>148</v>
      </c>
      <c r="J8393">
        <v>20877</v>
      </c>
      <c r="K8393">
        <v>3651</v>
      </c>
      <c r="L8393" t="s">
        <v>23</v>
      </c>
      <c r="M8393" t="s">
        <v>19409</v>
      </c>
      <c r="N8393" t="s">
        <v>4859</v>
      </c>
      <c r="O8393" t="s">
        <v>148</v>
      </c>
      <c r="P8393">
        <v>20877</v>
      </c>
      <c r="Q8393">
        <v>3651</v>
      </c>
      <c r="R8393" t="s">
        <v>23</v>
      </c>
      <c r="S8393" s="1" t="s">
        <v>34218</v>
      </c>
    </row>
    <row r="8394" spans="1:19" x14ac:dyDescent="0.25">
      <c r="A8394">
        <v>100919733</v>
      </c>
      <c r="B8394" t="s">
        <v>4848</v>
      </c>
      <c r="C8394" t="s">
        <v>1658</v>
      </c>
      <c r="G8394" t="s">
        <v>19410</v>
      </c>
      <c r="H8394" t="s">
        <v>121</v>
      </c>
      <c r="I8394" t="s">
        <v>22</v>
      </c>
      <c r="J8394">
        <v>95926</v>
      </c>
      <c r="K8394">
        <v>2984</v>
      </c>
      <c r="L8394" t="s">
        <v>23</v>
      </c>
      <c r="M8394" t="s">
        <v>19410</v>
      </c>
      <c r="N8394" t="s">
        <v>121</v>
      </c>
      <c r="O8394" t="s">
        <v>22</v>
      </c>
      <c r="P8394">
        <v>95926</v>
      </c>
      <c r="Q8394">
        <v>2984</v>
      </c>
      <c r="R8394" t="s">
        <v>23</v>
      </c>
      <c r="S8394" s="1" t="s">
        <v>34218</v>
      </c>
    </row>
    <row r="8395" spans="1:19" x14ac:dyDescent="0.25">
      <c r="A8395">
        <v>100659274</v>
      </c>
      <c r="B8395" t="s">
        <v>19411</v>
      </c>
      <c r="C8395" t="s">
        <v>4245</v>
      </c>
      <c r="G8395" t="s">
        <v>19412</v>
      </c>
      <c r="H8395" t="s">
        <v>1431</v>
      </c>
      <c r="I8395" t="s">
        <v>639</v>
      </c>
      <c r="J8395">
        <v>87501</v>
      </c>
      <c r="K8395">
        <v>1462</v>
      </c>
      <c r="L8395" t="s">
        <v>23</v>
      </c>
      <c r="M8395" t="s">
        <v>19412</v>
      </c>
      <c r="N8395" t="s">
        <v>1431</v>
      </c>
      <c r="O8395" t="s">
        <v>639</v>
      </c>
      <c r="P8395">
        <v>87501</v>
      </c>
      <c r="Q8395">
        <v>1462</v>
      </c>
      <c r="R8395" t="s">
        <v>23</v>
      </c>
      <c r="S8395" s="1" t="s">
        <v>34218</v>
      </c>
    </row>
    <row r="8396" spans="1:19" x14ac:dyDescent="0.25">
      <c r="A8396">
        <v>101178325</v>
      </c>
      <c r="B8396" t="s">
        <v>6084</v>
      </c>
      <c r="C8396" t="s">
        <v>1703</v>
      </c>
      <c r="G8396" t="s">
        <v>19413</v>
      </c>
      <c r="H8396" t="s">
        <v>8427</v>
      </c>
      <c r="I8396" t="s">
        <v>140</v>
      </c>
      <c r="J8396">
        <v>49715</v>
      </c>
      <c r="L8396" t="s">
        <v>23</v>
      </c>
      <c r="M8396" t="s">
        <v>19413</v>
      </c>
      <c r="N8396" t="s">
        <v>8427</v>
      </c>
      <c r="O8396" t="s">
        <v>140</v>
      </c>
      <c r="P8396">
        <v>49715</v>
      </c>
      <c r="R8396" t="s">
        <v>23</v>
      </c>
      <c r="S8396" s="1" t="s">
        <v>34218</v>
      </c>
    </row>
    <row r="8397" spans="1:19" x14ac:dyDescent="0.25">
      <c r="A8397">
        <v>100963231</v>
      </c>
      <c r="B8397" t="s">
        <v>1164</v>
      </c>
      <c r="C8397" t="s">
        <v>3670</v>
      </c>
      <c r="G8397" t="s">
        <v>19414</v>
      </c>
      <c r="H8397" t="s">
        <v>2399</v>
      </c>
      <c r="I8397" t="s">
        <v>71</v>
      </c>
      <c r="J8397">
        <v>80525</v>
      </c>
      <c r="K8397">
        <v>6205</v>
      </c>
      <c r="L8397" t="s">
        <v>23</v>
      </c>
      <c r="M8397" t="s">
        <v>19414</v>
      </c>
      <c r="N8397" t="s">
        <v>2399</v>
      </c>
      <c r="O8397" t="s">
        <v>71</v>
      </c>
      <c r="P8397">
        <v>80525</v>
      </c>
      <c r="Q8397">
        <v>6205</v>
      </c>
      <c r="R8397" t="s">
        <v>23</v>
      </c>
      <c r="S8397" s="1" t="s">
        <v>34218</v>
      </c>
    </row>
    <row r="8398" spans="1:19" x14ac:dyDescent="0.25">
      <c r="A8398">
        <v>101458150</v>
      </c>
      <c r="B8398" t="s">
        <v>19415</v>
      </c>
      <c r="C8398" t="s">
        <v>68</v>
      </c>
      <c r="G8398" t="s">
        <v>19416</v>
      </c>
      <c r="H8398" t="s">
        <v>5947</v>
      </c>
      <c r="I8398" t="s">
        <v>148</v>
      </c>
      <c r="J8398">
        <v>21060</v>
      </c>
      <c r="K8398">
        <v>7557</v>
      </c>
      <c r="L8398" t="s">
        <v>23</v>
      </c>
      <c r="M8398" t="s">
        <v>19416</v>
      </c>
      <c r="N8398" t="s">
        <v>5947</v>
      </c>
      <c r="O8398" t="s">
        <v>148</v>
      </c>
      <c r="P8398">
        <v>21060</v>
      </c>
      <c r="Q8398">
        <v>7557</v>
      </c>
      <c r="R8398" t="s">
        <v>23</v>
      </c>
      <c r="S8398" s="1" t="s">
        <v>34218</v>
      </c>
    </row>
    <row r="8399" spans="1:19" x14ac:dyDescent="0.25">
      <c r="A8399">
        <v>101439302</v>
      </c>
      <c r="B8399" t="s">
        <v>19417</v>
      </c>
      <c r="C8399" t="s">
        <v>19418</v>
      </c>
      <c r="G8399" t="s">
        <v>19419</v>
      </c>
      <c r="H8399" t="s">
        <v>19420</v>
      </c>
      <c r="I8399" t="s">
        <v>38</v>
      </c>
      <c r="J8399">
        <v>76066</v>
      </c>
      <c r="K8399">
        <v>2201</v>
      </c>
      <c r="L8399" t="s">
        <v>23</v>
      </c>
      <c r="M8399" t="s">
        <v>19419</v>
      </c>
      <c r="N8399" t="s">
        <v>19420</v>
      </c>
      <c r="O8399" t="s">
        <v>38</v>
      </c>
      <c r="P8399">
        <v>76066</v>
      </c>
      <c r="Q8399">
        <v>2201</v>
      </c>
      <c r="R8399" t="s">
        <v>23</v>
      </c>
      <c r="S8399" s="1" t="s">
        <v>34218</v>
      </c>
    </row>
    <row r="8400" spans="1:19" x14ac:dyDescent="0.25">
      <c r="A8400">
        <v>101247986</v>
      </c>
      <c r="B8400" t="s">
        <v>1526</v>
      </c>
      <c r="C8400" t="s">
        <v>30</v>
      </c>
      <c r="G8400" t="s">
        <v>19421</v>
      </c>
      <c r="H8400" t="s">
        <v>1052</v>
      </c>
      <c r="I8400" t="s">
        <v>43</v>
      </c>
      <c r="J8400">
        <v>97322</v>
      </c>
      <c r="K8400">
        <v>8898</v>
      </c>
      <c r="L8400" t="s">
        <v>23</v>
      </c>
      <c r="M8400" t="s">
        <v>19421</v>
      </c>
      <c r="N8400" t="s">
        <v>1052</v>
      </c>
      <c r="O8400" t="s">
        <v>43</v>
      </c>
      <c r="P8400">
        <v>97322</v>
      </c>
      <c r="Q8400">
        <v>8898</v>
      </c>
      <c r="R8400" t="s">
        <v>23</v>
      </c>
      <c r="S8400" s="1" t="s">
        <v>34218</v>
      </c>
    </row>
    <row r="8401" spans="1:19" x14ac:dyDescent="0.25">
      <c r="A8401">
        <v>101440871</v>
      </c>
      <c r="B8401" t="s">
        <v>744</v>
      </c>
      <c r="C8401" t="s">
        <v>2653</v>
      </c>
      <c r="G8401" t="s">
        <v>19422</v>
      </c>
      <c r="H8401" t="s">
        <v>77</v>
      </c>
      <c r="I8401" t="s">
        <v>327</v>
      </c>
      <c r="J8401">
        <v>26253</v>
      </c>
      <c r="K8401">
        <v>9703</v>
      </c>
      <c r="L8401" t="s">
        <v>23</v>
      </c>
      <c r="M8401" t="s">
        <v>19422</v>
      </c>
      <c r="N8401" t="s">
        <v>77</v>
      </c>
      <c r="O8401" t="s">
        <v>327</v>
      </c>
      <c r="P8401">
        <v>26253</v>
      </c>
      <c r="Q8401">
        <v>9703</v>
      </c>
      <c r="R8401" t="s">
        <v>23</v>
      </c>
      <c r="S8401" s="1" t="s">
        <v>34218</v>
      </c>
    </row>
    <row r="8402" spans="1:19" x14ac:dyDescent="0.25">
      <c r="A8402">
        <v>101452195</v>
      </c>
      <c r="B8402" t="s">
        <v>9911</v>
      </c>
      <c r="C8402" t="s">
        <v>2892</v>
      </c>
      <c r="G8402" t="s">
        <v>19423</v>
      </c>
      <c r="H8402" t="s">
        <v>1787</v>
      </c>
      <c r="I8402" t="s">
        <v>702</v>
      </c>
      <c r="J8402">
        <v>89123</v>
      </c>
      <c r="K8402">
        <v>3625</v>
      </c>
      <c r="L8402" t="s">
        <v>23</v>
      </c>
      <c r="M8402" t="s">
        <v>19423</v>
      </c>
      <c r="N8402" t="s">
        <v>1787</v>
      </c>
      <c r="O8402" t="s">
        <v>702</v>
      </c>
      <c r="P8402">
        <v>89123</v>
      </c>
      <c r="Q8402">
        <v>3625</v>
      </c>
      <c r="R8402" t="s">
        <v>23</v>
      </c>
      <c r="S8402" s="1" t="s">
        <v>34218</v>
      </c>
    </row>
    <row r="8403" spans="1:19" x14ac:dyDescent="0.25">
      <c r="A8403">
        <v>100590931</v>
      </c>
      <c r="B8403" t="s">
        <v>19424</v>
      </c>
      <c r="C8403" t="s">
        <v>8782</v>
      </c>
      <c r="G8403" t="s">
        <v>19425</v>
      </c>
      <c r="H8403" t="s">
        <v>19426</v>
      </c>
      <c r="I8403" t="s">
        <v>2566</v>
      </c>
      <c r="J8403">
        <v>99576</v>
      </c>
      <c r="L8403" t="s">
        <v>23</v>
      </c>
      <c r="M8403" t="s">
        <v>19425</v>
      </c>
      <c r="N8403" t="s">
        <v>19426</v>
      </c>
      <c r="O8403" t="s">
        <v>2566</v>
      </c>
      <c r="P8403">
        <v>99576</v>
      </c>
      <c r="R8403" t="s">
        <v>23</v>
      </c>
      <c r="S8403" s="1" t="s">
        <v>34218</v>
      </c>
    </row>
    <row r="8404" spans="1:19" x14ac:dyDescent="0.25">
      <c r="A8404">
        <v>100690945</v>
      </c>
      <c r="B8404" t="s">
        <v>19427</v>
      </c>
      <c r="C8404" t="s">
        <v>1588</v>
      </c>
      <c r="G8404" t="s">
        <v>19428</v>
      </c>
      <c r="H8404" t="s">
        <v>3173</v>
      </c>
      <c r="I8404" t="s">
        <v>135</v>
      </c>
      <c r="J8404">
        <v>61111</v>
      </c>
      <c r="K8404">
        <v>4123</v>
      </c>
      <c r="L8404" t="s">
        <v>23</v>
      </c>
      <c r="M8404" t="s">
        <v>19428</v>
      </c>
      <c r="N8404" t="s">
        <v>3173</v>
      </c>
      <c r="O8404" t="s">
        <v>135</v>
      </c>
      <c r="P8404">
        <v>61111</v>
      </c>
      <c r="Q8404">
        <v>4123</v>
      </c>
      <c r="R8404" t="s">
        <v>23</v>
      </c>
      <c r="S8404" s="1" t="s">
        <v>34218</v>
      </c>
    </row>
    <row r="8405" spans="1:19" x14ac:dyDescent="0.25">
      <c r="A8405">
        <v>101223569</v>
      </c>
      <c r="B8405" t="s">
        <v>3228</v>
      </c>
      <c r="C8405" t="s">
        <v>6572</v>
      </c>
      <c r="G8405" t="s">
        <v>19429</v>
      </c>
      <c r="H8405" t="s">
        <v>19430</v>
      </c>
      <c r="I8405" t="s">
        <v>22</v>
      </c>
      <c r="J8405">
        <v>96101</v>
      </c>
      <c r="K8405">
        <v>7680</v>
      </c>
      <c r="L8405" t="s">
        <v>23</v>
      </c>
      <c r="M8405" t="s">
        <v>19429</v>
      </c>
      <c r="N8405" t="s">
        <v>19430</v>
      </c>
      <c r="O8405" t="s">
        <v>22</v>
      </c>
      <c r="P8405">
        <v>96101</v>
      </c>
      <c r="Q8405">
        <v>7680</v>
      </c>
      <c r="R8405" t="s">
        <v>23</v>
      </c>
      <c r="S8405" s="1" t="s">
        <v>34218</v>
      </c>
    </row>
    <row r="8406" spans="1:19" x14ac:dyDescent="0.25">
      <c r="A8406">
        <v>101297155</v>
      </c>
      <c r="B8406" t="s">
        <v>19431</v>
      </c>
      <c r="C8406" t="s">
        <v>19432</v>
      </c>
      <c r="G8406" t="s">
        <v>2581</v>
      </c>
      <c r="H8406" t="s">
        <v>423</v>
      </c>
      <c r="I8406" t="s">
        <v>71</v>
      </c>
      <c r="J8406">
        <v>80304</v>
      </c>
      <c r="L8406" t="s">
        <v>23</v>
      </c>
      <c r="M8406" t="s">
        <v>2581</v>
      </c>
      <c r="N8406" t="s">
        <v>423</v>
      </c>
      <c r="O8406" t="s">
        <v>71</v>
      </c>
      <c r="P8406">
        <v>80304</v>
      </c>
      <c r="R8406" t="s">
        <v>23</v>
      </c>
      <c r="S8406" s="1" t="s">
        <v>34218</v>
      </c>
    </row>
    <row r="8407" spans="1:19" x14ac:dyDescent="0.25">
      <c r="A8407">
        <v>101022135</v>
      </c>
      <c r="B8407" t="s">
        <v>19433</v>
      </c>
      <c r="C8407" t="s">
        <v>1623</v>
      </c>
      <c r="G8407" t="s">
        <v>19434</v>
      </c>
      <c r="H8407" t="s">
        <v>13428</v>
      </c>
      <c r="I8407" t="s">
        <v>135</v>
      </c>
      <c r="J8407">
        <v>62966</v>
      </c>
      <c r="K8407">
        <v>1725</v>
      </c>
      <c r="L8407" t="s">
        <v>23</v>
      </c>
      <c r="M8407" t="s">
        <v>19434</v>
      </c>
      <c r="N8407" t="s">
        <v>13428</v>
      </c>
      <c r="O8407" t="s">
        <v>135</v>
      </c>
      <c r="P8407">
        <v>62966</v>
      </c>
      <c r="Q8407">
        <v>1725</v>
      </c>
      <c r="R8407" t="s">
        <v>23</v>
      </c>
      <c r="S8407" s="1" t="s">
        <v>34218</v>
      </c>
    </row>
    <row r="8408" spans="1:19" x14ac:dyDescent="0.25">
      <c r="A8408">
        <v>101432963</v>
      </c>
      <c r="B8408" t="s">
        <v>734</v>
      </c>
      <c r="C8408" t="s">
        <v>225</v>
      </c>
      <c r="G8408" t="s">
        <v>19435</v>
      </c>
      <c r="H8408" t="s">
        <v>134</v>
      </c>
      <c r="I8408" t="s">
        <v>135</v>
      </c>
      <c r="J8408" t="s">
        <v>19436</v>
      </c>
      <c r="K8408">
        <v>3008</v>
      </c>
      <c r="L8408" t="s">
        <v>23</v>
      </c>
      <c r="M8408" t="s">
        <v>19435</v>
      </c>
      <c r="N8408" t="s">
        <v>134</v>
      </c>
      <c r="O8408" t="s">
        <v>135</v>
      </c>
      <c r="P8408" t="s">
        <v>19436</v>
      </c>
      <c r="Q8408">
        <v>3008</v>
      </c>
      <c r="R8408" t="s">
        <v>23</v>
      </c>
      <c r="S8408" s="1" t="s">
        <v>34218</v>
      </c>
    </row>
    <row r="8409" spans="1:19" x14ac:dyDescent="0.25">
      <c r="A8409">
        <v>101243274</v>
      </c>
      <c r="B8409" t="s">
        <v>19437</v>
      </c>
      <c r="C8409" t="s">
        <v>513</v>
      </c>
      <c r="G8409" t="s">
        <v>19438</v>
      </c>
      <c r="H8409" t="s">
        <v>4826</v>
      </c>
      <c r="I8409" t="s">
        <v>2310</v>
      </c>
      <c r="J8409">
        <v>19971</v>
      </c>
      <c r="L8409" t="s">
        <v>23</v>
      </c>
      <c r="M8409" t="s">
        <v>19438</v>
      </c>
      <c r="N8409" t="s">
        <v>4826</v>
      </c>
      <c r="O8409" t="s">
        <v>2310</v>
      </c>
      <c r="P8409">
        <v>19971</v>
      </c>
      <c r="R8409" t="s">
        <v>23</v>
      </c>
      <c r="S8409" s="1" t="s">
        <v>34218</v>
      </c>
    </row>
    <row r="8410" spans="1:19" x14ac:dyDescent="0.25">
      <c r="A8410">
        <v>101471332</v>
      </c>
      <c r="B8410" t="s">
        <v>19439</v>
      </c>
      <c r="C8410" t="s">
        <v>19440</v>
      </c>
      <c r="G8410" t="s">
        <v>19441</v>
      </c>
      <c r="H8410" t="s">
        <v>1100</v>
      </c>
      <c r="I8410" t="s">
        <v>84</v>
      </c>
      <c r="J8410">
        <v>98321</v>
      </c>
      <c r="L8410" t="s">
        <v>23</v>
      </c>
      <c r="M8410" t="s">
        <v>19441</v>
      </c>
      <c r="N8410" t="s">
        <v>1100</v>
      </c>
      <c r="O8410" t="s">
        <v>84</v>
      </c>
      <c r="P8410">
        <v>98321</v>
      </c>
      <c r="R8410" t="s">
        <v>23</v>
      </c>
      <c r="S8410" s="1" t="s">
        <v>34218</v>
      </c>
    </row>
    <row r="8411" spans="1:19" x14ac:dyDescent="0.25">
      <c r="A8411">
        <v>101431139</v>
      </c>
      <c r="B8411" t="s">
        <v>19442</v>
      </c>
      <c r="C8411" t="s">
        <v>3518</v>
      </c>
      <c r="G8411" t="s">
        <v>19443</v>
      </c>
      <c r="H8411" t="s">
        <v>299</v>
      </c>
      <c r="I8411" t="s">
        <v>22</v>
      </c>
      <c r="J8411">
        <v>90034</v>
      </c>
      <c r="K8411">
        <v>3513</v>
      </c>
      <c r="L8411" t="s">
        <v>23</v>
      </c>
      <c r="M8411" t="s">
        <v>19443</v>
      </c>
      <c r="N8411" t="s">
        <v>299</v>
      </c>
      <c r="O8411" t="s">
        <v>22</v>
      </c>
      <c r="P8411">
        <v>90034</v>
      </c>
      <c r="Q8411">
        <v>3513</v>
      </c>
      <c r="R8411" t="s">
        <v>23</v>
      </c>
      <c r="S8411" s="1" t="s">
        <v>34218</v>
      </c>
    </row>
    <row r="8412" spans="1:19" x14ac:dyDescent="0.25">
      <c r="A8412">
        <v>100936996</v>
      </c>
      <c r="B8412" t="s">
        <v>19444</v>
      </c>
      <c r="C8412" t="s">
        <v>2767</v>
      </c>
      <c r="G8412" t="s">
        <v>19445</v>
      </c>
      <c r="H8412" t="s">
        <v>398</v>
      </c>
      <c r="I8412" t="s">
        <v>203</v>
      </c>
      <c r="J8412" t="s">
        <v>19446</v>
      </c>
      <c r="K8412">
        <v>709</v>
      </c>
      <c r="L8412" t="s">
        <v>23</v>
      </c>
      <c r="M8412" t="s">
        <v>19445</v>
      </c>
      <c r="N8412" t="s">
        <v>398</v>
      </c>
      <c r="O8412" t="s">
        <v>203</v>
      </c>
      <c r="P8412" t="s">
        <v>19446</v>
      </c>
      <c r="Q8412">
        <v>709</v>
      </c>
      <c r="R8412" t="s">
        <v>23</v>
      </c>
      <c r="S8412" s="1" t="s">
        <v>34218</v>
      </c>
    </row>
    <row r="8413" spans="1:19" x14ac:dyDescent="0.25">
      <c r="A8413">
        <v>100674951</v>
      </c>
      <c r="B8413" t="s">
        <v>205</v>
      </c>
      <c r="C8413" t="s">
        <v>1208</v>
      </c>
      <c r="G8413" t="s">
        <v>19447</v>
      </c>
      <c r="H8413" t="s">
        <v>12182</v>
      </c>
      <c r="I8413" t="s">
        <v>250</v>
      </c>
      <c r="J8413" t="s">
        <v>19448</v>
      </c>
      <c r="K8413">
        <v>1969</v>
      </c>
      <c r="L8413" t="s">
        <v>23</v>
      </c>
      <c r="M8413" t="s">
        <v>19447</v>
      </c>
      <c r="N8413" t="s">
        <v>12182</v>
      </c>
      <c r="O8413" t="s">
        <v>250</v>
      </c>
      <c r="P8413" t="s">
        <v>19448</v>
      </c>
      <c r="Q8413">
        <v>1969</v>
      </c>
      <c r="R8413" t="s">
        <v>23</v>
      </c>
      <c r="S8413" s="1" t="s">
        <v>34218</v>
      </c>
    </row>
    <row r="8414" spans="1:19" x14ac:dyDescent="0.25">
      <c r="A8414">
        <v>100970209</v>
      </c>
      <c r="B8414" t="s">
        <v>4734</v>
      </c>
      <c r="C8414" t="s">
        <v>19449</v>
      </c>
      <c r="G8414" t="s">
        <v>14473</v>
      </c>
      <c r="H8414" t="s">
        <v>14474</v>
      </c>
      <c r="I8414" t="s">
        <v>52</v>
      </c>
      <c r="J8414">
        <v>33026</v>
      </c>
      <c r="K8414">
        <v>5928</v>
      </c>
      <c r="L8414" t="s">
        <v>23</v>
      </c>
      <c r="M8414" t="s">
        <v>14473</v>
      </c>
      <c r="N8414" t="s">
        <v>14474</v>
      </c>
      <c r="O8414" t="s">
        <v>52</v>
      </c>
      <c r="P8414">
        <v>33026</v>
      </c>
      <c r="Q8414">
        <v>5928</v>
      </c>
      <c r="R8414" t="s">
        <v>23</v>
      </c>
      <c r="S8414" s="1" t="s">
        <v>34218</v>
      </c>
    </row>
    <row r="8415" spans="1:19" x14ac:dyDescent="0.25">
      <c r="A8415">
        <v>101480483</v>
      </c>
      <c r="B8415" t="s">
        <v>19450</v>
      </c>
      <c r="C8415" t="s">
        <v>1384</v>
      </c>
      <c r="G8415" t="s">
        <v>19451</v>
      </c>
      <c r="H8415" t="s">
        <v>169</v>
      </c>
      <c r="I8415" t="s">
        <v>170</v>
      </c>
      <c r="J8415">
        <v>20015</v>
      </c>
      <c r="K8415">
        <v>1543</v>
      </c>
      <c r="L8415" t="s">
        <v>23</v>
      </c>
      <c r="M8415" t="s">
        <v>19451</v>
      </c>
      <c r="N8415" t="s">
        <v>169</v>
      </c>
      <c r="O8415" t="s">
        <v>170</v>
      </c>
      <c r="P8415">
        <v>20015</v>
      </c>
      <c r="Q8415">
        <v>1543</v>
      </c>
      <c r="R8415" t="s">
        <v>23</v>
      </c>
      <c r="S8415" s="1" t="s">
        <v>34218</v>
      </c>
    </row>
    <row r="8416" spans="1:19" x14ac:dyDescent="0.25">
      <c r="A8416">
        <v>101480484</v>
      </c>
      <c r="B8416" t="s">
        <v>19452</v>
      </c>
      <c r="C8416" t="s">
        <v>3817</v>
      </c>
      <c r="G8416" t="s">
        <v>19453</v>
      </c>
      <c r="H8416" t="s">
        <v>1096</v>
      </c>
      <c r="I8416" t="s">
        <v>1097</v>
      </c>
      <c r="J8416">
        <v>40272</v>
      </c>
      <c r="K8416">
        <v>3502</v>
      </c>
      <c r="L8416" t="s">
        <v>23</v>
      </c>
      <c r="M8416" t="s">
        <v>19453</v>
      </c>
      <c r="N8416" t="s">
        <v>1096</v>
      </c>
      <c r="O8416" t="s">
        <v>1097</v>
      </c>
      <c r="P8416">
        <v>40272</v>
      </c>
      <c r="Q8416">
        <v>3502</v>
      </c>
      <c r="R8416" t="s">
        <v>23</v>
      </c>
      <c r="S8416" s="1" t="s">
        <v>34218</v>
      </c>
    </row>
    <row r="8417" spans="1:19" x14ac:dyDescent="0.25">
      <c r="A8417">
        <v>101439464</v>
      </c>
      <c r="B8417" t="s">
        <v>19454</v>
      </c>
      <c r="C8417" t="s">
        <v>865</v>
      </c>
      <c r="G8417" t="s">
        <v>19455</v>
      </c>
      <c r="H8417" t="s">
        <v>653</v>
      </c>
      <c r="I8417" t="s">
        <v>117</v>
      </c>
      <c r="J8417">
        <v>10009</v>
      </c>
      <c r="K8417">
        <v>1801</v>
      </c>
      <c r="L8417" t="s">
        <v>23</v>
      </c>
      <c r="M8417" t="s">
        <v>19455</v>
      </c>
      <c r="N8417" t="s">
        <v>653</v>
      </c>
      <c r="O8417" t="s">
        <v>117</v>
      </c>
      <c r="P8417">
        <v>10009</v>
      </c>
      <c r="Q8417">
        <v>1801</v>
      </c>
      <c r="R8417" t="s">
        <v>23</v>
      </c>
      <c r="S8417" s="1" t="s">
        <v>34218</v>
      </c>
    </row>
    <row r="8418" spans="1:19" x14ac:dyDescent="0.25">
      <c r="A8418">
        <v>101280709</v>
      </c>
      <c r="B8418" t="s">
        <v>19456</v>
      </c>
      <c r="C8418" t="s">
        <v>1117</v>
      </c>
      <c r="G8418" t="s">
        <v>19457</v>
      </c>
      <c r="H8418" t="s">
        <v>1787</v>
      </c>
      <c r="I8418" t="s">
        <v>702</v>
      </c>
      <c r="J8418">
        <v>89144</v>
      </c>
      <c r="K8418">
        <v>1663</v>
      </c>
      <c r="L8418" t="s">
        <v>23</v>
      </c>
      <c r="M8418" t="s">
        <v>19457</v>
      </c>
      <c r="N8418" t="s">
        <v>1787</v>
      </c>
      <c r="O8418" t="s">
        <v>702</v>
      </c>
      <c r="P8418">
        <v>89144</v>
      </c>
      <c r="Q8418">
        <v>1663</v>
      </c>
      <c r="R8418" t="s">
        <v>23</v>
      </c>
      <c r="S8418" s="1" t="s">
        <v>34218</v>
      </c>
    </row>
    <row r="8419" spans="1:19" x14ac:dyDescent="0.25">
      <c r="A8419">
        <v>101361116</v>
      </c>
      <c r="B8419" t="s">
        <v>19458</v>
      </c>
      <c r="C8419" t="s">
        <v>119</v>
      </c>
      <c r="G8419" t="s">
        <v>19459</v>
      </c>
      <c r="H8419" t="s">
        <v>869</v>
      </c>
      <c r="I8419" t="s">
        <v>52</v>
      </c>
      <c r="J8419">
        <v>33196</v>
      </c>
      <c r="K8419">
        <v>1677</v>
      </c>
      <c r="L8419" t="s">
        <v>23</v>
      </c>
      <c r="M8419" t="s">
        <v>19459</v>
      </c>
      <c r="N8419" t="s">
        <v>869</v>
      </c>
      <c r="O8419" t="s">
        <v>52</v>
      </c>
      <c r="P8419">
        <v>33196</v>
      </c>
      <c r="Q8419">
        <v>1677</v>
      </c>
      <c r="R8419" t="s">
        <v>23</v>
      </c>
      <c r="S8419" s="1" t="s">
        <v>34218</v>
      </c>
    </row>
    <row r="8420" spans="1:19" x14ac:dyDescent="0.25">
      <c r="A8420">
        <v>100518216</v>
      </c>
      <c r="B8420" t="s">
        <v>19460</v>
      </c>
      <c r="C8420" t="s">
        <v>1426</v>
      </c>
      <c r="G8420" t="s">
        <v>19461</v>
      </c>
      <c r="H8420" t="s">
        <v>1246</v>
      </c>
      <c r="I8420" t="s">
        <v>140</v>
      </c>
      <c r="J8420">
        <v>49546</v>
      </c>
      <c r="L8420" t="s">
        <v>23</v>
      </c>
      <c r="M8420" t="s">
        <v>19461</v>
      </c>
      <c r="N8420" t="s">
        <v>1246</v>
      </c>
      <c r="O8420" t="s">
        <v>140</v>
      </c>
      <c r="P8420">
        <v>49546</v>
      </c>
      <c r="R8420" t="s">
        <v>23</v>
      </c>
      <c r="S8420" s="1" t="s">
        <v>34218</v>
      </c>
    </row>
    <row r="8421" spans="1:19" x14ac:dyDescent="0.25">
      <c r="A8421">
        <v>101011012</v>
      </c>
      <c r="B8421" t="s">
        <v>19462</v>
      </c>
      <c r="C8421" t="s">
        <v>313</v>
      </c>
      <c r="G8421" t="s">
        <v>19463</v>
      </c>
      <c r="H8421" t="s">
        <v>299</v>
      </c>
      <c r="I8421" t="s">
        <v>22</v>
      </c>
      <c r="J8421">
        <v>90036</v>
      </c>
      <c r="K8421">
        <v>3397</v>
      </c>
      <c r="L8421" t="s">
        <v>23</v>
      </c>
      <c r="M8421" t="s">
        <v>19463</v>
      </c>
      <c r="N8421" t="s">
        <v>299</v>
      </c>
      <c r="O8421" t="s">
        <v>22</v>
      </c>
      <c r="P8421">
        <v>90036</v>
      </c>
      <c r="Q8421">
        <v>3397</v>
      </c>
      <c r="R8421" t="s">
        <v>23</v>
      </c>
      <c r="S8421" s="1" t="s">
        <v>34218</v>
      </c>
    </row>
    <row r="8422" spans="1:19" x14ac:dyDescent="0.25">
      <c r="A8422">
        <v>101450824</v>
      </c>
      <c r="B8422" t="s">
        <v>19464</v>
      </c>
      <c r="C8422" t="s">
        <v>3951</v>
      </c>
      <c r="G8422" t="s">
        <v>19465</v>
      </c>
      <c r="H8422" t="s">
        <v>1086</v>
      </c>
      <c r="I8422" t="s">
        <v>446</v>
      </c>
      <c r="J8422">
        <v>28205</v>
      </c>
      <c r="K8422">
        <v>4106</v>
      </c>
      <c r="L8422" t="s">
        <v>23</v>
      </c>
      <c r="M8422" t="s">
        <v>19465</v>
      </c>
      <c r="N8422" t="s">
        <v>1086</v>
      </c>
      <c r="O8422" t="s">
        <v>446</v>
      </c>
      <c r="P8422">
        <v>28205</v>
      </c>
      <c r="Q8422">
        <v>4106</v>
      </c>
      <c r="R8422" t="s">
        <v>23</v>
      </c>
      <c r="S8422" s="1" t="s">
        <v>34218</v>
      </c>
    </row>
    <row r="8423" spans="1:19" x14ac:dyDescent="0.25">
      <c r="A8423">
        <v>101480497</v>
      </c>
      <c r="B8423" t="s">
        <v>1349</v>
      </c>
      <c r="C8423" t="s">
        <v>4982</v>
      </c>
      <c r="G8423" t="s">
        <v>19466</v>
      </c>
      <c r="H8423" t="s">
        <v>650</v>
      </c>
      <c r="I8423" t="s">
        <v>22</v>
      </c>
      <c r="J8423">
        <v>95817</v>
      </c>
      <c r="K8423">
        <v>2513</v>
      </c>
      <c r="L8423" t="s">
        <v>23</v>
      </c>
      <c r="M8423" t="s">
        <v>19466</v>
      </c>
      <c r="N8423" t="s">
        <v>650</v>
      </c>
      <c r="O8423" t="s">
        <v>22</v>
      </c>
      <c r="P8423">
        <v>95817</v>
      </c>
      <c r="Q8423">
        <v>2513</v>
      </c>
      <c r="R8423" t="s">
        <v>23</v>
      </c>
      <c r="S8423" s="1" t="s">
        <v>34218</v>
      </c>
    </row>
    <row r="8424" spans="1:19" x14ac:dyDescent="0.25">
      <c r="A8424">
        <v>101324691</v>
      </c>
      <c r="B8424" t="s">
        <v>16458</v>
      </c>
      <c r="C8424" t="s">
        <v>2642</v>
      </c>
      <c r="G8424" t="s">
        <v>19467</v>
      </c>
      <c r="H8424" t="s">
        <v>4235</v>
      </c>
      <c r="I8424" t="s">
        <v>984</v>
      </c>
      <c r="J8424">
        <v>96816</v>
      </c>
      <c r="K8424">
        <v>6706</v>
      </c>
      <c r="L8424" t="s">
        <v>23</v>
      </c>
      <c r="M8424" t="s">
        <v>19467</v>
      </c>
      <c r="N8424" t="s">
        <v>4235</v>
      </c>
      <c r="O8424" t="s">
        <v>984</v>
      </c>
      <c r="P8424">
        <v>96816</v>
      </c>
      <c r="Q8424">
        <v>6706</v>
      </c>
      <c r="R8424" t="s">
        <v>23</v>
      </c>
      <c r="S8424" s="1" t="s">
        <v>34218</v>
      </c>
    </row>
    <row r="8425" spans="1:19" x14ac:dyDescent="0.25">
      <c r="A8425">
        <v>101440070</v>
      </c>
      <c r="B8425" t="s">
        <v>19468</v>
      </c>
      <c r="C8425" t="s">
        <v>4188</v>
      </c>
      <c r="G8425" t="s">
        <v>19469</v>
      </c>
      <c r="H8425" t="s">
        <v>688</v>
      </c>
      <c r="I8425" t="s">
        <v>236</v>
      </c>
      <c r="J8425">
        <v>2770</v>
      </c>
      <c r="K8425">
        <v>2143</v>
      </c>
      <c r="L8425" t="s">
        <v>23</v>
      </c>
      <c r="M8425" t="s">
        <v>19469</v>
      </c>
      <c r="N8425" t="s">
        <v>688</v>
      </c>
      <c r="O8425" t="s">
        <v>236</v>
      </c>
      <c r="P8425">
        <v>2770</v>
      </c>
      <c r="Q8425">
        <v>2143</v>
      </c>
      <c r="R8425" t="s">
        <v>23</v>
      </c>
      <c r="S8425" s="1" t="s">
        <v>34218</v>
      </c>
    </row>
    <row r="8426" spans="1:19" x14ac:dyDescent="0.25">
      <c r="A8426">
        <v>101479762</v>
      </c>
      <c r="B8426" t="s">
        <v>19470</v>
      </c>
      <c r="C8426" t="s">
        <v>102</v>
      </c>
      <c r="G8426" t="s">
        <v>19471</v>
      </c>
      <c r="H8426" t="s">
        <v>19472</v>
      </c>
      <c r="I8426" t="s">
        <v>22</v>
      </c>
      <c r="J8426">
        <v>93428</v>
      </c>
      <c r="K8426">
        <v>2101</v>
      </c>
      <c r="L8426" t="s">
        <v>23</v>
      </c>
      <c r="M8426" t="s">
        <v>19471</v>
      </c>
      <c r="N8426" t="s">
        <v>19472</v>
      </c>
      <c r="O8426" t="s">
        <v>22</v>
      </c>
      <c r="P8426">
        <v>93428</v>
      </c>
      <c r="Q8426">
        <v>2101</v>
      </c>
      <c r="R8426" t="s">
        <v>23</v>
      </c>
      <c r="S8426" s="1" t="s">
        <v>34218</v>
      </c>
    </row>
    <row r="8427" spans="1:19" x14ac:dyDescent="0.25">
      <c r="A8427">
        <v>101047631</v>
      </c>
      <c r="B8427" t="s">
        <v>19473</v>
      </c>
      <c r="C8427" t="s">
        <v>19474</v>
      </c>
      <c r="F8427" t="str">
        <f>"8027600289"</f>
        <v>8027600289</v>
      </c>
      <c r="G8427" t="s">
        <v>19475</v>
      </c>
      <c r="H8427" t="s">
        <v>19476</v>
      </c>
      <c r="I8427" t="s">
        <v>307</v>
      </c>
      <c r="J8427">
        <v>5461</v>
      </c>
      <c r="K8427">
        <v>3030</v>
      </c>
      <c r="L8427" t="s">
        <v>23</v>
      </c>
      <c r="M8427" t="s">
        <v>19475</v>
      </c>
      <c r="N8427" t="s">
        <v>19476</v>
      </c>
      <c r="O8427" t="s">
        <v>307</v>
      </c>
      <c r="P8427">
        <v>5461</v>
      </c>
      <c r="Q8427">
        <v>3030</v>
      </c>
      <c r="R8427" t="s">
        <v>23</v>
      </c>
      <c r="S8427" s="1" t="s">
        <v>34218</v>
      </c>
    </row>
    <row r="8428" spans="1:19" x14ac:dyDescent="0.25">
      <c r="A8428">
        <v>101449306</v>
      </c>
      <c r="B8428" t="s">
        <v>1698</v>
      </c>
      <c r="C8428" t="s">
        <v>49</v>
      </c>
      <c r="G8428" t="s">
        <v>19477</v>
      </c>
      <c r="H8428" t="s">
        <v>8564</v>
      </c>
      <c r="I8428" t="s">
        <v>43</v>
      </c>
      <c r="J8428">
        <v>75018</v>
      </c>
      <c r="L8428" t="s">
        <v>23</v>
      </c>
      <c r="M8428" t="s">
        <v>19477</v>
      </c>
      <c r="N8428" t="s">
        <v>8564</v>
      </c>
      <c r="O8428" t="s">
        <v>43</v>
      </c>
      <c r="P8428">
        <v>75018</v>
      </c>
      <c r="R8428" t="s">
        <v>23</v>
      </c>
      <c r="S8428" s="1" t="s">
        <v>34218</v>
      </c>
    </row>
    <row r="8429" spans="1:19" x14ac:dyDescent="0.25">
      <c r="A8429">
        <v>101418635</v>
      </c>
      <c r="B8429" t="s">
        <v>5478</v>
      </c>
      <c r="C8429" t="s">
        <v>329</v>
      </c>
      <c r="G8429" t="s">
        <v>19478</v>
      </c>
      <c r="H8429" t="s">
        <v>5675</v>
      </c>
      <c r="I8429" t="s">
        <v>33</v>
      </c>
      <c r="J8429">
        <v>16803</v>
      </c>
      <c r="K8429">
        <v>1339</v>
      </c>
      <c r="L8429" t="s">
        <v>23</v>
      </c>
      <c r="M8429" t="s">
        <v>19478</v>
      </c>
      <c r="N8429" t="s">
        <v>5675</v>
      </c>
      <c r="O8429" t="s">
        <v>33</v>
      </c>
      <c r="P8429">
        <v>16803</v>
      </c>
      <c r="Q8429">
        <v>1339</v>
      </c>
      <c r="R8429" t="s">
        <v>23</v>
      </c>
      <c r="S8429" s="1" t="s">
        <v>34218</v>
      </c>
    </row>
    <row r="8430" spans="1:19" x14ac:dyDescent="0.25">
      <c r="A8430">
        <v>100771539</v>
      </c>
      <c r="B8430" t="s">
        <v>2517</v>
      </c>
      <c r="C8430" t="s">
        <v>1036</v>
      </c>
      <c r="G8430" t="s">
        <v>19479</v>
      </c>
      <c r="H8430" t="s">
        <v>638</v>
      </c>
      <c r="I8430" t="s">
        <v>639</v>
      </c>
      <c r="J8430">
        <v>87111</v>
      </c>
      <c r="K8430">
        <v>4012</v>
      </c>
      <c r="L8430" t="s">
        <v>23</v>
      </c>
      <c r="M8430" t="s">
        <v>19479</v>
      </c>
      <c r="N8430" t="s">
        <v>638</v>
      </c>
      <c r="O8430" t="s">
        <v>639</v>
      </c>
      <c r="P8430">
        <v>87111</v>
      </c>
      <c r="Q8430">
        <v>4012</v>
      </c>
      <c r="R8430" t="s">
        <v>23</v>
      </c>
      <c r="S8430" s="1" t="s">
        <v>34218</v>
      </c>
    </row>
    <row r="8431" spans="1:19" x14ac:dyDescent="0.25">
      <c r="A8431">
        <v>101451963</v>
      </c>
      <c r="B8431" t="s">
        <v>19480</v>
      </c>
      <c r="C8431" t="s">
        <v>2790</v>
      </c>
      <c r="G8431" t="s">
        <v>19481</v>
      </c>
      <c r="H8431" t="s">
        <v>134</v>
      </c>
      <c r="I8431" t="s">
        <v>135</v>
      </c>
      <c r="J8431">
        <v>60613</v>
      </c>
      <c r="K8431">
        <v>1912</v>
      </c>
      <c r="L8431" t="s">
        <v>23</v>
      </c>
      <c r="M8431" t="s">
        <v>19481</v>
      </c>
      <c r="N8431" t="s">
        <v>134</v>
      </c>
      <c r="O8431" t="s">
        <v>135</v>
      </c>
      <c r="P8431">
        <v>60613</v>
      </c>
      <c r="Q8431">
        <v>1912</v>
      </c>
      <c r="R8431" t="s">
        <v>23</v>
      </c>
      <c r="S8431" s="1" t="s">
        <v>34218</v>
      </c>
    </row>
    <row r="8432" spans="1:19" x14ac:dyDescent="0.25">
      <c r="A8432">
        <v>101434838</v>
      </c>
      <c r="B8432" t="s">
        <v>19482</v>
      </c>
      <c r="C8432" t="s">
        <v>2159</v>
      </c>
      <c r="G8432" t="s">
        <v>19483</v>
      </c>
      <c r="H8432" t="s">
        <v>6224</v>
      </c>
      <c r="I8432" t="s">
        <v>914</v>
      </c>
      <c r="J8432">
        <v>37923</v>
      </c>
      <c r="K8432">
        <v>5829</v>
      </c>
      <c r="L8432" t="s">
        <v>23</v>
      </c>
      <c r="M8432" t="s">
        <v>19483</v>
      </c>
      <c r="N8432" t="s">
        <v>6224</v>
      </c>
      <c r="O8432" t="s">
        <v>914</v>
      </c>
      <c r="P8432">
        <v>37923</v>
      </c>
      <c r="Q8432">
        <v>5829</v>
      </c>
      <c r="R8432" t="s">
        <v>23</v>
      </c>
      <c r="S8432" s="1" t="s">
        <v>34218</v>
      </c>
    </row>
    <row r="8433" spans="1:19" x14ac:dyDescent="0.25">
      <c r="A8433">
        <v>101338007</v>
      </c>
      <c r="B8433" t="s">
        <v>654</v>
      </c>
      <c r="C8433" t="s">
        <v>883</v>
      </c>
      <c r="G8433" t="s">
        <v>19484</v>
      </c>
      <c r="H8433" t="s">
        <v>2250</v>
      </c>
      <c r="I8433" t="s">
        <v>148</v>
      </c>
      <c r="J8433">
        <v>21409</v>
      </c>
      <c r="K8433">
        <v>5827</v>
      </c>
      <c r="L8433" t="s">
        <v>23</v>
      </c>
      <c r="M8433" t="s">
        <v>19484</v>
      </c>
      <c r="N8433" t="s">
        <v>2250</v>
      </c>
      <c r="O8433" t="s">
        <v>148</v>
      </c>
      <c r="P8433">
        <v>21409</v>
      </c>
      <c r="Q8433">
        <v>5827</v>
      </c>
      <c r="R8433" t="s">
        <v>23</v>
      </c>
      <c r="S8433" s="1" t="s">
        <v>34218</v>
      </c>
    </row>
    <row r="8434" spans="1:19" x14ac:dyDescent="0.25">
      <c r="A8434">
        <v>101480480</v>
      </c>
      <c r="B8434" t="s">
        <v>247</v>
      </c>
      <c r="C8434" t="s">
        <v>3705</v>
      </c>
      <c r="G8434" t="s">
        <v>19485</v>
      </c>
      <c r="H8434" t="s">
        <v>19486</v>
      </c>
      <c r="I8434" t="s">
        <v>236</v>
      </c>
      <c r="J8434">
        <v>1034</v>
      </c>
      <c r="K8434">
        <v>9701</v>
      </c>
      <c r="L8434" t="s">
        <v>23</v>
      </c>
      <c r="M8434" t="s">
        <v>19485</v>
      </c>
      <c r="N8434" t="s">
        <v>19486</v>
      </c>
      <c r="O8434" t="s">
        <v>236</v>
      </c>
      <c r="P8434">
        <v>1034</v>
      </c>
      <c r="Q8434">
        <v>9701</v>
      </c>
      <c r="R8434" t="s">
        <v>23</v>
      </c>
      <c r="S8434" s="1" t="s">
        <v>34218</v>
      </c>
    </row>
    <row r="8435" spans="1:19" x14ac:dyDescent="0.25">
      <c r="A8435">
        <v>101473918</v>
      </c>
      <c r="B8435" t="s">
        <v>19487</v>
      </c>
      <c r="C8435" t="s">
        <v>4956</v>
      </c>
      <c r="G8435" t="s">
        <v>9593</v>
      </c>
      <c r="H8435" t="s">
        <v>9594</v>
      </c>
      <c r="I8435" t="s">
        <v>241</v>
      </c>
      <c r="J8435">
        <v>66002</v>
      </c>
      <c r="K8435">
        <v>2724</v>
      </c>
      <c r="L8435" t="s">
        <v>23</v>
      </c>
      <c r="M8435" t="s">
        <v>9593</v>
      </c>
      <c r="N8435" t="s">
        <v>9594</v>
      </c>
      <c r="O8435" t="s">
        <v>241</v>
      </c>
      <c r="P8435">
        <v>66002</v>
      </c>
      <c r="Q8435">
        <v>2724</v>
      </c>
      <c r="R8435" t="s">
        <v>23</v>
      </c>
      <c r="S8435" s="1" t="s">
        <v>34218</v>
      </c>
    </row>
    <row r="8436" spans="1:19" x14ac:dyDescent="0.25">
      <c r="A8436">
        <v>100967998</v>
      </c>
      <c r="B8436" t="s">
        <v>12135</v>
      </c>
      <c r="C8436" t="s">
        <v>167</v>
      </c>
      <c r="G8436" t="s">
        <v>19488</v>
      </c>
      <c r="H8436" t="s">
        <v>1439</v>
      </c>
      <c r="I8436" t="s">
        <v>365</v>
      </c>
      <c r="J8436">
        <v>85716</v>
      </c>
      <c r="K8436">
        <v>4225</v>
      </c>
      <c r="L8436" t="s">
        <v>23</v>
      </c>
      <c r="M8436" t="s">
        <v>19488</v>
      </c>
      <c r="N8436" t="s">
        <v>1439</v>
      </c>
      <c r="O8436" t="s">
        <v>365</v>
      </c>
      <c r="P8436">
        <v>85716</v>
      </c>
      <c r="Q8436">
        <v>4225</v>
      </c>
      <c r="R8436" t="s">
        <v>23</v>
      </c>
      <c r="S8436" s="1" t="s">
        <v>34218</v>
      </c>
    </row>
    <row r="8437" spans="1:19" x14ac:dyDescent="0.25">
      <c r="A8437">
        <v>101465954</v>
      </c>
      <c r="B8437" t="s">
        <v>19489</v>
      </c>
      <c r="C8437" t="s">
        <v>2281</v>
      </c>
      <c r="G8437" t="s">
        <v>1910</v>
      </c>
      <c r="H8437" t="s">
        <v>6620</v>
      </c>
      <c r="I8437" t="s">
        <v>984</v>
      </c>
      <c r="J8437">
        <v>96754</v>
      </c>
      <c r="K8437">
        <v>385</v>
      </c>
      <c r="L8437" t="s">
        <v>23</v>
      </c>
      <c r="M8437" t="s">
        <v>1910</v>
      </c>
      <c r="N8437" t="s">
        <v>6620</v>
      </c>
      <c r="O8437" t="s">
        <v>984</v>
      </c>
      <c r="P8437">
        <v>96754</v>
      </c>
      <c r="Q8437">
        <v>385</v>
      </c>
      <c r="R8437" t="s">
        <v>23</v>
      </c>
      <c r="S8437" s="1" t="s">
        <v>34218</v>
      </c>
    </row>
    <row r="8438" spans="1:19" x14ac:dyDescent="0.25">
      <c r="A8438">
        <v>101168258</v>
      </c>
      <c r="B8438" t="s">
        <v>916</v>
      </c>
      <c r="C8438" t="s">
        <v>2557</v>
      </c>
      <c r="G8438" t="s">
        <v>19490</v>
      </c>
      <c r="H8438" t="s">
        <v>15092</v>
      </c>
      <c r="I8438" t="s">
        <v>135</v>
      </c>
      <c r="J8438">
        <v>61265</v>
      </c>
      <c r="K8438">
        <v>2347</v>
      </c>
      <c r="L8438" t="s">
        <v>23</v>
      </c>
      <c r="M8438" t="s">
        <v>19490</v>
      </c>
      <c r="N8438" t="s">
        <v>15092</v>
      </c>
      <c r="O8438" t="s">
        <v>135</v>
      </c>
      <c r="P8438">
        <v>61265</v>
      </c>
      <c r="Q8438">
        <v>2347</v>
      </c>
      <c r="R8438" t="s">
        <v>23</v>
      </c>
      <c r="S8438" s="1" t="s">
        <v>34218</v>
      </c>
    </row>
    <row r="8439" spans="1:19" x14ac:dyDescent="0.25">
      <c r="A8439">
        <v>100643757</v>
      </c>
      <c r="B8439" t="s">
        <v>916</v>
      </c>
      <c r="C8439" t="s">
        <v>59</v>
      </c>
      <c r="G8439" t="s">
        <v>19491</v>
      </c>
      <c r="H8439" t="s">
        <v>4514</v>
      </c>
      <c r="I8439" t="s">
        <v>2537</v>
      </c>
      <c r="J8439">
        <v>72701</v>
      </c>
      <c r="K8439">
        <v>4223</v>
      </c>
      <c r="L8439" t="s">
        <v>23</v>
      </c>
      <c r="M8439" t="s">
        <v>19491</v>
      </c>
      <c r="N8439" t="s">
        <v>4514</v>
      </c>
      <c r="O8439" t="s">
        <v>2537</v>
      </c>
      <c r="P8439">
        <v>72701</v>
      </c>
      <c r="Q8439">
        <v>4223</v>
      </c>
      <c r="R8439" t="s">
        <v>23</v>
      </c>
      <c r="S8439" s="1" t="s">
        <v>34218</v>
      </c>
    </row>
    <row r="8440" spans="1:19" x14ac:dyDescent="0.25">
      <c r="A8440">
        <v>100701921</v>
      </c>
      <c r="B8440" t="s">
        <v>19492</v>
      </c>
      <c r="C8440" t="s">
        <v>522</v>
      </c>
      <c r="G8440" t="s">
        <v>19493</v>
      </c>
      <c r="H8440" t="s">
        <v>19494</v>
      </c>
      <c r="I8440" t="s">
        <v>57</v>
      </c>
      <c r="J8440">
        <v>46383</v>
      </c>
      <c r="K8440">
        <v>4251</v>
      </c>
      <c r="L8440" t="s">
        <v>23</v>
      </c>
      <c r="M8440" t="s">
        <v>19493</v>
      </c>
      <c r="N8440" t="s">
        <v>19494</v>
      </c>
      <c r="O8440" t="s">
        <v>57</v>
      </c>
      <c r="P8440">
        <v>46383</v>
      </c>
      <c r="Q8440">
        <v>4251</v>
      </c>
      <c r="R8440" t="s">
        <v>23</v>
      </c>
      <c r="S8440" s="1" t="s">
        <v>34218</v>
      </c>
    </row>
    <row r="8441" spans="1:19" x14ac:dyDescent="0.25">
      <c r="A8441">
        <v>101467208</v>
      </c>
      <c r="B8441" t="s">
        <v>19495</v>
      </c>
      <c r="C8441" t="s">
        <v>403</v>
      </c>
      <c r="G8441" t="s">
        <v>19496</v>
      </c>
      <c r="H8441" t="s">
        <v>2684</v>
      </c>
      <c r="I8441" t="s">
        <v>22</v>
      </c>
      <c r="J8441">
        <v>94903</v>
      </c>
      <c r="K8441">
        <v>3242</v>
      </c>
      <c r="L8441" t="s">
        <v>23</v>
      </c>
      <c r="M8441" t="s">
        <v>19496</v>
      </c>
      <c r="N8441" t="s">
        <v>2684</v>
      </c>
      <c r="O8441" t="s">
        <v>22</v>
      </c>
      <c r="P8441">
        <v>94903</v>
      </c>
      <c r="Q8441">
        <v>3242</v>
      </c>
      <c r="R8441" t="s">
        <v>23</v>
      </c>
      <c r="S8441" s="1" t="s">
        <v>34218</v>
      </c>
    </row>
    <row r="8442" spans="1:19" x14ac:dyDescent="0.25">
      <c r="A8442">
        <v>101468218</v>
      </c>
      <c r="B8442" t="s">
        <v>5137</v>
      </c>
      <c r="C8442" t="s">
        <v>959</v>
      </c>
      <c r="G8442" t="s">
        <v>19497</v>
      </c>
      <c r="H8442" t="s">
        <v>19498</v>
      </c>
      <c r="I8442" t="s">
        <v>117</v>
      </c>
      <c r="J8442">
        <v>10017</v>
      </c>
      <c r="L8442" t="s">
        <v>23</v>
      </c>
      <c r="M8442" t="s">
        <v>19497</v>
      </c>
      <c r="N8442" t="s">
        <v>19498</v>
      </c>
      <c r="O8442" t="s">
        <v>117</v>
      </c>
      <c r="P8442">
        <v>10017</v>
      </c>
      <c r="R8442" t="s">
        <v>23</v>
      </c>
      <c r="S8442" s="1" t="s">
        <v>34218</v>
      </c>
    </row>
    <row r="8443" spans="1:19" x14ac:dyDescent="0.25">
      <c r="A8443">
        <v>101480503</v>
      </c>
      <c r="B8443" t="s">
        <v>19499</v>
      </c>
      <c r="C8443" t="s">
        <v>3357</v>
      </c>
      <c r="G8443" t="s">
        <v>19500</v>
      </c>
      <c r="H8443" t="s">
        <v>3157</v>
      </c>
      <c r="I8443" t="s">
        <v>148</v>
      </c>
      <c r="J8443">
        <v>21114</v>
      </c>
      <c r="K8443">
        <v>1210</v>
      </c>
      <c r="L8443" t="s">
        <v>23</v>
      </c>
      <c r="M8443" t="s">
        <v>19500</v>
      </c>
      <c r="N8443" t="s">
        <v>3157</v>
      </c>
      <c r="O8443" t="s">
        <v>148</v>
      </c>
      <c r="P8443">
        <v>21114</v>
      </c>
      <c r="Q8443">
        <v>1210</v>
      </c>
      <c r="R8443" t="s">
        <v>23</v>
      </c>
      <c r="S8443" s="1" t="s">
        <v>34218</v>
      </c>
    </row>
    <row r="8444" spans="1:19" x14ac:dyDescent="0.25">
      <c r="A8444">
        <v>101297312</v>
      </c>
      <c r="B8444" t="s">
        <v>19501</v>
      </c>
      <c r="C8444" t="s">
        <v>1050</v>
      </c>
      <c r="G8444" t="s">
        <v>19502</v>
      </c>
      <c r="H8444" t="s">
        <v>130</v>
      </c>
      <c r="I8444" t="s">
        <v>22</v>
      </c>
      <c r="J8444">
        <v>94122</v>
      </c>
      <c r="K8444">
        <v>2206</v>
      </c>
      <c r="L8444" t="s">
        <v>23</v>
      </c>
      <c r="M8444" t="s">
        <v>19502</v>
      </c>
      <c r="N8444" t="s">
        <v>130</v>
      </c>
      <c r="O8444" t="s">
        <v>22</v>
      </c>
      <c r="P8444">
        <v>94122</v>
      </c>
      <c r="Q8444">
        <v>2206</v>
      </c>
      <c r="R8444" t="s">
        <v>23</v>
      </c>
      <c r="S8444" s="1" t="s">
        <v>34218</v>
      </c>
    </row>
    <row r="8445" spans="1:19" x14ac:dyDescent="0.25">
      <c r="A8445">
        <v>100561635</v>
      </c>
      <c r="B8445" t="s">
        <v>2689</v>
      </c>
      <c r="C8445" t="s">
        <v>19503</v>
      </c>
      <c r="G8445" t="s">
        <v>19504</v>
      </c>
      <c r="H8445" t="s">
        <v>1086</v>
      </c>
      <c r="I8445" t="s">
        <v>446</v>
      </c>
      <c r="J8445">
        <v>28209</v>
      </c>
      <c r="K8445">
        <v>2181</v>
      </c>
      <c r="L8445" t="s">
        <v>23</v>
      </c>
      <c r="M8445" t="s">
        <v>19504</v>
      </c>
      <c r="N8445" t="s">
        <v>1086</v>
      </c>
      <c r="O8445" t="s">
        <v>446</v>
      </c>
      <c r="P8445">
        <v>28209</v>
      </c>
      <c r="Q8445">
        <v>2181</v>
      </c>
      <c r="R8445" t="s">
        <v>23</v>
      </c>
      <c r="S8445" s="1" t="s">
        <v>34218</v>
      </c>
    </row>
    <row r="8446" spans="1:19" x14ac:dyDescent="0.25">
      <c r="A8446">
        <v>101480509</v>
      </c>
      <c r="B8446" t="s">
        <v>19505</v>
      </c>
      <c r="C8446" t="s">
        <v>30</v>
      </c>
      <c r="G8446" t="s">
        <v>19506</v>
      </c>
      <c r="H8446" t="s">
        <v>1283</v>
      </c>
      <c r="I8446" t="s">
        <v>57</v>
      </c>
      <c r="J8446">
        <v>46033</v>
      </c>
      <c r="K8446">
        <v>9791</v>
      </c>
      <c r="L8446" t="s">
        <v>23</v>
      </c>
      <c r="M8446" t="s">
        <v>19506</v>
      </c>
      <c r="N8446" t="s">
        <v>1283</v>
      </c>
      <c r="O8446" t="s">
        <v>57</v>
      </c>
      <c r="P8446">
        <v>46033</v>
      </c>
      <c r="Q8446">
        <v>9791</v>
      </c>
      <c r="R8446" t="s">
        <v>23</v>
      </c>
      <c r="S8446" s="1" t="s">
        <v>34218</v>
      </c>
    </row>
    <row r="8447" spans="1:19" x14ac:dyDescent="0.25">
      <c r="A8447">
        <v>101333774</v>
      </c>
      <c r="B8447" t="s">
        <v>188</v>
      </c>
      <c r="C8447" t="s">
        <v>1327</v>
      </c>
      <c r="G8447" t="s">
        <v>19507</v>
      </c>
      <c r="H8447" t="s">
        <v>9122</v>
      </c>
      <c r="I8447" t="s">
        <v>702</v>
      </c>
      <c r="J8447">
        <v>89701</v>
      </c>
      <c r="K8447">
        <v>5644</v>
      </c>
      <c r="L8447" t="s">
        <v>23</v>
      </c>
      <c r="M8447" t="s">
        <v>19507</v>
      </c>
      <c r="N8447" t="s">
        <v>9122</v>
      </c>
      <c r="O8447" t="s">
        <v>702</v>
      </c>
      <c r="P8447">
        <v>89701</v>
      </c>
      <c r="Q8447">
        <v>5644</v>
      </c>
      <c r="R8447" t="s">
        <v>23</v>
      </c>
      <c r="S8447" s="1" t="s">
        <v>34218</v>
      </c>
    </row>
    <row r="8448" spans="1:19" x14ac:dyDescent="0.25">
      <c r="A8448">
        <v>101480511</v>
      </c>
      <c r="B8448" t="s">
        <v>19508</v>
      </c>
      <c r="C8448" t="s">
        <v>19509</v>
      </c>
      <c r="G8448" t="s">
        <v>19510</v>
      </c>
      <c r="H8448" t="s">
        <v>2910</v>
      </c>
      <c r="I8448" t="s">
        <v>52</v>
      </c>
      <c r="J8448">
        <v>34237</v>
      </c>
      <c r="K8448">
        <v>8330</v>
      </c>
      <c r="L8448" t="s">
        <v>23</v>
      </c>
      <c r="M8448" t="s">
        <v>19510</v>
      </c>
      <c r="N8448" t="s">
        <v>2910</v>
      </c>
      <c r="O8448" t="s">
        <v>52</v>
      </c>
      <c r="P8448">
        <v>34237</v>
      </c>
      <c r="Q8448">
        <v>8330</v>
      </c>
      <c r="R8448" t="s">
        <v>23</v>
      </c>
      <c r="S8448" s="1" t="s">
        <v>34218</v>
      </c>
    </row>
    <row r="8449" spans="1:19" x14ac:dyDescent="0.25">
      <c r="A8449">
        <v>101480513</v>
      </c>
      <c r="B8449" t="s">
        <v>19511</v>
      </c>
      <c r="C8449" t="s">
        <v>410</v>
      </c>
      <c r="G8449" t="s">
        <v>19512</v>
      </c>
      <c r="H8449" t="s">
        <v>19513</v>
      </c>
      <c r="I8449" t="s">
        <v>33</v>
      </c>
      <c r="J8449">
        <v>17003</v>
      </c>
      <c r="K8449">
        <v>1318</v>
      </c>
      <c r="L8449" t="s">
        <v>23</v>
      </c>
      <c r="M8449" t="s">
        <v>19512</v>
      </c>
      <c r="N8449" t="s">
        <v>19513</v>
      </c>
      <c r="O8449" t="s">
        <v>33</v>
      </c>
      <c r="P8449">
        <v>17003</v>
      </c>
      <c r="Q8449">
        <v>1318</v>
      </c>
      <c r="R8449" t="s">
        <v>23</v>
      </c>
      <c r="S8449" s="1" t="s">
        <v>34218</v>
      </c>
    </row>
    <row r="8450" spans="1:19" x14ac:dyDescent="0.25">
      <c r="A8450">
        <v>101480517</v>
      </c>
      <c r="B8450" t="s">
        <v>8905</v>
      </c>
      <c r="C8450" t="s">
        <v>1268</v>
      </c>
      <c r="G8450" t="s">
        <v>19514</v>
      </c>
      <c r="H8450" t="s">
        <v>19515</v>
      </c>
      <c r="I8450" t="s">
        <v>100</v>
      </c>
      <c r="J8450">
        <v>54653</v>
      </c>
      <c r="L8450" t="s">
        <v>23</v>
      </c>
      <c r="M8450" t="s">
        <v>19514</v>
      </c>
      <c r="N8450" t="s">
        <v>19515</v>
      </c>
      <c r="O8450" t="s">
        <v>100</v>
      </c>
      <c r="P8450">
        <v>54653</v>
      </c>
      <c r="R8450" t="s">
        <v>23</v>
      </c>
      <c r="S8450" s="1" t="s">
        <v>34218</v>
      </c>
    </row>
    <row r="8451" spans="1:19" x14ac:dyDescent="0.25">
      <c r="A8451">
        <v>101270020</v>
      </c>
      <c r="B8451" t="s">
        <v>14316</v>
      </c>
      <c r="C8451" t="s">
        <v>403</v>
      </c>
      <c r="G8451" t="s">
        <v>19516</v>
      </c>
      <c r="H8451" t="s">
        <v>3473</v>
      </c>
      <c r="I8451" t="s">
        <v>353</v>
      </c>
      <c r="J8451">
        <v>3102</v>
      </c>
      <c r="K8451">
        <v>4754</v>
      </c>
      <c r="L8451" t="s">
        <v>23</v>
      </c>
      <c r="M8451" t="s">
        <v>19516</v>
      </c>
      <c r="N8451" t="s">
        <v>3473</v>
      </c>
      <c r="O8451" t="s">
        <v>353</v>
      </c>
      <c r="P8451">
        <v>3102</v>
      </c>
      <c r="Q8451">
        <v>4754</v>
      </c>
      <c r="R8451" t="s">
        <v>23</v>
      </c>
      <c r="S8451" s="1" t="s">
        <v>34218</v>
      </c>
    </row>
    <row r="8452" spans="1:19" x14ac:dyDescent="0.25">
      <c r="A8452">
        <v>101480522</v>
      </c>
      <c r="B8452" t="s">
        <v>3545</v>
      </c>
      <c r="C8452" t="s">
        <v>7626</v>
      </c>
      <c r="G8452" t="s">
        <v>19517</v>
      </c>
      <c r="H8452" t="s">
        <v>19518</v>
      </c>
      <c r="I8452" t="s">
        <v>984</v>
      </c>
      <c r="J8452">
        <v>96721</v>
      </c>
      <c r="K8452">
        <v>5658</v>
      </c>
      <c r="L8452" t="s">
        <v>23</v>
      </c>
      <c r="M8452" t="s">
        <v>19517</v>
      </c>
      <c r="N8452" t="s">
        <v>19518</v>
      </c>
      <c r="O8452" t="s">
        <v>984</v>
      </c>
      <c r="P8452">
        <v>96721</v>
      </c>
      <c r="Q8452">
        <v>5658</v>
      </c>
      <c r="R8452" t="s">
        <v>23</v>
      </c>
      <c r="S8452" s="1" t="s">
        <v>34218</v>
      </c>
    </row>
    <row r="8453" spans="1:19" x14ac:dyDescent="0.25">
      <c r="A8453">
        <v>101030246</v>
      </c>
      <c r="B8453" t="s">
        <v>19519</v>
      </c>
      <c r="C8453" t="s">
        <v>19520</v>
      </c>
      <c r="G8453" t="s">
        <v>19521</v>
      </c>
      <c r="H8453" t="s">
        <v>174</v>
      </c>
      <c r="I8453" t="s">
        <v>22</v>
      </c>
      <c r="J8453">
        <v>93101</v>
      </c>
      <c r="L8453" t="s">
        <v>23</v>
      </c>
      <c r="M8453" t="s">
        <v>19521</v>
      </c>
      <c r="N8453" t="s">
        <v>174</v>
      </c>
      <c r="O8453" t="s">
        <v>22</v>
      </c>
      <c r="P8453">
        <v>93101</v>
      </c>
      <c r="R8453" t="s">
        <v>23</v>
      </c>
      <c r="S8453" s="1" t="s">
        <v>34218</v>
      </c>
    </row>
    <row r="8454" spans="1:19" x14ac:dyDescent="0.25">
      <c r="A8454">
        <v>101471364</v>
      </c>
      <c r="B8454" t="s">
        <v>11492</v>
      </c>
      <c r="C8454" t="s">
        <v>2357</v>
      </c>
      <c r="G8454" t="s">
        <v>19522</v>
      </c>
      <c r="H8454" t="s">
        <v>18895</v>
      </c>
      <c r="I8454" t="s">
        <v>52</v>
      </c>
      <c r="J8454">
        <v>32071</v>
      </c>
      <c r="K8454">
        <v>247</v>
      </c>
      <c r="L8454" t="s">
        <v>23</v>
      </c>
      <c r="M8454" t="s">
        <v>19522</v>
      </c>
      <c r="N8454" t="s">
        <v>18895</v>
      </c>
      <c r="O8454" t="s">
        <v>52</v>
      </c>
      <c r="P8454">
        <v>32071</v>
      </c>
      <c r="Q8454">
        <v>247</v>
      </c>
      <c r="R8454" t="s">
        <v>23</v>
      </c>
      <c r="S8454" s="1" t="s">
        <v>34218</v>
      </c>
    </row>
    <row r="8455" spans="1:19" x14ac:dyDescent="0.25">
      <c r="A8455">
        <v>101429757</v>
      </c>
      <c r="B8455" t="s">
        <v>19523</v>
      </c>
      <c r="C8455" t="s">
        <v>5196</v>
      </c>
      <c r="G8455" t="s">
        <v>19524</v>
      </c>
      <c r="H8455" t="s">
        <v>4420</v>
      </c>
      <c r="I8455" t="s">
        <v>52</v>
      </c>
      <c r="J8455">
        <v>34788</v>
      </c>
      <c r="K8455">
        <v>2809</v>
      </c>
      <c r="L8455" t="s">
        <v>23</v>
      </c>
      <c r="M8455" t="s">
        <v>19524</v>
      </c>
      <c r="N8455" t="s">
        <v>4420</v>
      </c>
      <c r="O8455" t="s">
        <v>52</v>
      </c>
      <c r="P8455">
        <v>34788</v>
      </c>
      <c r="Q8455">
        <v>2809</v>
      </c>
      <c r="R8455" t="s">
        <v>23</v>
      </c>
      <c r="S8455" s="1" t="s">
        <v>34218</v>
      </c>
    </row>
    <row r="8456" spans="1:19" x14ac:dyDescent="0.25">
      <c r="A8456">
        <v>101480530</v>
      </c>
      <c r="B8456" t="s">
        <v>2328</v>
      </c>
      <c r="C8456" t="s">
        <v>522</v>
      </c>
      <c r="G8456" t="s">
        <v>19525</v>
      </c>
      <c r="H8456" t="s">
        <v>165</v>
      </c>
      <c r="I8456" t="s">
        <v>148</v>
      </c>
      <c r="J8456">
        <v>20816</v>
      </c>
      <c r="K8456">
        <v>2825</v>
      </c>
      <c r="L8456" t="s">
        <v>23</v>
      </c>
      <c r="M8456" t="s">
        <v>19525</v>
      </c>
      <c r="N8456" t="s">
        <v>165</v>
      </c>
      <c r="O8456" t="s">
        <v>148</v>
      </c>
      <c r="P8456">
        <v>20816</v>
      </c>
      <c r="Q8456">
        <v>2825</v>
      </c>
      <c r="R8456" t="s">
        <v>23</v>
      </c>
      <c r="S8456" s="1" t="s">
        <v>34218</v>
      </c>
    </row>
    <row r="8457" spans="1:19" x14ac:dyDescent="0.25">
      <c r="A8457">
        <v>101480532</v>
      </c>
      <c r="B8457" t="s">
        <v>16890</v>
      </c>
      <c r="C8457" t="s">
        <v>19526</v>
      </c>
      <c r="G8457" t="s">
        <v>19527</v>
      </c>
      <c r="H8457" t="s">
        <v>2319</v>
      </c>
      <c r="I8457" t="s">
        <v>117</v>
      </c>
      <c r="J8457">
        <v>10314</v>
      </c>
      <c r="K8457">
        <v>2623</v>
      </c>
      <c r="L8457" t="s">
        <v>23</v>
      </c>
      <c r="M8457" t="s">
        <v>19527</v>
      </c>
      <c r="N8457" t="s">
        <v>2319</v>
      </c>
      <c r="O8457" t="s">
        <v>117</v>
      </c>
      <c r="P8457">
        <v>10314</v>
      </c>
      <c r="Q8457">
        <v>2623</v>
      </c>
      <c r="R8457" t="s">
        <v>23</v>
      </c>
      <c r="S8457" s="1" t="s">
        <v>34218</v>
      </c>
    </row>
    <row r="8458" spans="1:19" x14ac:dyDescent="0.25">
      <c r="A8458">
        <v>100572112</v>
      </c>
      <c r="B8458" t="s">
        <v>18976</v>
      </c>
      <c r="C8458" t="s">
        <v>350</v>
      </c>
      <c r="G8458" t="s">
        <v>19528</v>
      </c>
      <c r="H8458" t="s">
        <v>10464</v>
      </c>
      <c r="I8458" t="s">
        <v>348</v>
      </c>
      <c r="J8458">
        <v>83814</v>
      </c>
      <c r="K8458">
        <v>4901</v>
      </c>
      <c r="L8458" t="s">
        <v>23</v>
      </c>
      <c r="M8458" t="s">
        <v>19528</v>
      </c>
      <c r="N8458" t="s">
        <v>10464</v>
      </c>
      <c r="O8458" t="s">
        <v>348</v>
      </c>
      <c r="P8458">
        <v>83814</v>
      </c>
      <c r="Q8458">
        <v>4901</v>
      </c>
      <c r="R8458" t="s">
        <v>23</v>
      </c>
      <c r="S8458" s="1" t="s">
        <v>34218</v>
      </c>
    </row>
    <row r="8459" spans="1:19" x14ac:dyDescent="0.25">
      <c r="A8459">
        <v>101480539</v>
      </c>
      <c r="B8459" t="s">
        <v>4727</v>
      </c>
      <c r="C8459" t="s">
        <v>123</v>
      </c>
      <c r="G8459" t="s">
        <v>19529</v>
      </c>
      <c r="H8459" t="s">
        <v>13750</v>
      </c>
      <c r="I8459" t="s">
        <v>153</v>
      </c>
      <c r="J8459">
        <v>70433</v>
      </c>
      <c r="K8459">
        <v>4749</v>
      </c>
      <c r="L8459" t="s">
        <v>23</v>
      </c>
      <c r="M8459" t="s">
        <v>19529</v>
      </c>
      <c r="N8459" t="s">
        <v>13750</v>
      </c>
      <c r="O8459" t="s">
        <v>153</v>
      </c>
      <c r="P8459">
        <v>70433</v>
      </c>
      <c r="Q8459">
        <v>4749</v>
      </c>
      <c r="R8459" t="s">
        <v>23</v>
      </c>
      <c r="S8459" s="1" t="s">
        <v>34218</v>
      </c>
    </row>
    <row r="8460" spans="1:19" x14ac:dyDescent="0.25">
      <c r="A8460">
        <v>101338858</v>
      </c>
      <c r="B8460" t="s">
        <v>3666</v>
      </c>
      <c r="C8460" t="s">
        <v>3164</v>
      </c>
      <c r="G8460" t="s">
        <v>19530</v>
      </c>
      <c r="H8460" t="s">
        <v>360</v>
      </c>
      <c r="I8460" t="s">
        <v>22</v>
      </c>
      <c r="J8460">
        <v>94087</v>
      </c>
      <c r="L8460" t="s">
        <v>23</v>
      </c>
      <c r="M8460" t="s">
        <v>19530</v>
      </c>
      <c r="N8460" t="s">
        <v>360</v>
      </c>
      <c r="O8460" t="s">
        <v>22</v>
      </c>
      <c r="P8460">
        <v>94087</v>
      </c>
      <c r="R8460" t="s">
        <v>23</v>
      </c>
      <c r="S8460" s="1" t="s">
        <v>34218</v>
      </c>
    </row>
    <row r="8461" spans="1:19" x14ac:dyDescent="0.25">
      <c r="A8461">
        <v>101258437</v>
      </c>
      <c r="B8461" t="s">
        <v>19531</v>
      </c>
      <c r="C8461" t="s">
        <v>25</v>
      </c>
      <c r="G8461" t="s">
        <v>19532</v>
      </c>
      <c r="H8461" t="s">
        <v>130</v>
      </c>
      <c r="I8461" t="s">
        <v>22</v>
      </c>
      <c r="J8461">
        <v>94122</v>
      </c>
      <c r="K8461">
        <v>2932</v>
      </c>
      <c r="L8461" t="s">
        <v>23</v>
      </c>
      <c r="M8461" t="s">
        <v>19532</v>
      </c>
      <c r="N8461" t="s">
        <v>130</v>
      </c>
      <c r="O8461" t="s">
        <v>22</v>
      </c>
      <c r="P8461">
        <v>94122</v>
      </c>
      <c r="Q8461">
        <v>2932</v>
      </c>
      <c r="R8461" t="s">
        <v>23</v>
      </c>
      <c r="S8461" s="1" t="s">
        <v>34218</v>
      </c>
    </row>
    <row r="8462" spans="1:19" x14ac:dyDescent="0.25">
      <c r="A8462">
        <v>101258332</v>
      </c>
      <c r="B8462" t="s">
        <v>19533</v>
      </c>
      <c r="C8462" t="s">
        <v>4969</v>
      </c>
      <c r="G8462" t="s">
        <v>19534</v>
      </c>
      <c r="H8462" t="s">
        <v>3703</v>
      </c>
      <c r="I8462" t="s">
        <v>22</v>
      </c>
      <c r="J8462">
        <v>94070</v>
      </c>
      <c r="K8462">
        <v>2812</v>
      </c>
      <c r="L8462" t="s">
        <v>23</v>
      </c>
      <c r="M8462" t="s">
        <v>19534</v>
      </c>
      <c r="N8462" t="s">
        <v>3703</v>
      </c>
      <c r="O8462" t="s">
        <v>22</v>
      </c>
      <c r="P8462">
        <v>94070</v>
      </c>
      <c r="Q8462">
        <v>2812</v>
      </c>
      <c r="R8462" t="s">
        <v>23</v>
      </c>
      <c r="S8462" s="1" t="s">
        <v>34218</v>
      </c>
    </row>
    <row r="8463" spans="1:19" x14ac:dyDescent="0.25">
      <c r="A8463">
        <v>101256371</v>
      </c>
      <c r="B8463" t="s">
        <v>19535</v>
      </c>
      <c r="C8463" t="s">
        <v>575</v>
      </c>
      <c r="G8463" t="s">
        <v>19536</v>
      </c>
      <c r="H8463" t="s">
        <v>2948</v>
      </c>
      <c r="I8463" t="s">
        <v>22</v>
      </c>
      <c r="J8463">
        <v>91910</v>
      </c>
      <c r="K8463">
        <v>6305</v>
      </c>
      <c r="L8463" t="s">
        <v>23</v>
      </c>
      <c r="M8463" t="s">
        <v>19536</v>
      </c>
      <c r="N8463" t="s">
        <v>2948</v>
      </c>
      <c r="O8463" t="s">
        <v>22</v>
      </c>
      <c r="P8463">
        <v>91910</v>
      </c>
      <c r="Q8463">
        <v>6305</v>
      </c>
      <c r="R8463" t="s">
        <v>23</v>
      </c>
      <c r="S8463" s="1" t="s">
        <v>34218</v>
      </c>
    </row>
    <row r="8464" spans="1:19" x14ac:dyDescent="0.25">
      <c r="A8464">
        <v>101465331</v>
      </c>
      <c r="B8464" t="s">
        <v>19537</v>
      </c>
      <c r="C8464" t="s">
        <v>274</v>
      </c>
      <c r="G8464" t="s">
        <v>19538</v>
      </c>
      <c r="H8464" t="s">
        <v>19539</v>
      </c>
      <c r="I8464" t="s">
        <v>250</v>
      </c>
      <c r="J8464">
        <v>7405</v>
      </c>
      <c r="K8464">
        <v>3108</v>
      </c>
      <c r="L8464" t="s">
        <v>23</v>
      </c>
      <c r="M8464" t="s">
        <v>19538</v>
      </c>
      <c r="N8464" t="s">
        <v>19539</v>
      </c>
      <c r="O8464" t="s">
        <v>250</v>
      </c>
      <c r="P8464">
        <v>7405</v>
      </c>
      <c r="Q8464">
        <v>3108</v>
      </c>
      <c r="R8464" t="s">
        <v>23</v>
      </c>
      <c r="S8464" s="1" t="s">
        <v>34218</v>
      </c>
    </row>
    <row r="8465" spans="1:19" x14ac:dyDescent="0.25">
      <c r="A8465">
        <v>101422747</v>
      </c>
      <c r="B8465" t="s">
        <v>2509</v>
      </c>
      <c r="C8465" t="s">
        <v>2892</v>
      </c>
      <c r="G8465" t="s">
        <v>19540</v>
      </c>
      <c r="H8465" t="s">
        <v>19541</v>
      </c>
      <c r="I8465" t="s">
        <v>250</v>
      </c>
      <c r="J8465">
        <v>8530</v>
      </c>
      <c r="K8465">
        <v>2616</v>
      </c>
      <c r="L8465" t="s">
        <v>23</v>
      </c>
      <c r="M8465" t="s">
        <v>19540</v>
      </c>
      <c r="N8465" t="s">
        <v>19541</v>
      </c>
      <c r="O8465" t="s">
        <v>250</v>
      </c>
      <c r="P8465">
        <v>8530</v>
      </c>
      <c r="Q8465">
        <v>2616</v>
      </c>
      <c r="R8465" t="s">
        <v>23</v>
      </c>
      <c r="S8465" s="1" t="s">
        <v>34218</v>
      </c>
    </row>
    <row r="8466" spans="1:19" x14ac:dyDescent="0.25">
      <c r="A8466">
        <v>101007742</v>
      </c>
      <c r="B8466" t="s">
        <v>2526</v>
      </c>
      <c r="C8466" t="s">
        <v>1157</v>
      </c>
      <c r="G8466" t="s">
        <v>19542</v>
      </c>
      <c r="H8466" t="s">
        <v>254</v>
      </c>
      <c r="I8466" t="s">
        <v>255</v>
      </c>
      <c r="J8466">
        <v>22902</v>
      </c>
      <c r="K8466">
        <v>5800</v>
      </c>
      <c r="L8466" t="s">
        <v>23</v>
      </c>
      <c r="M8466" t="s">
        <v>19542</v>
      </c>
      <c r="N8466" t="s">
        <v>254</v>
      </c>
      <c r="O8466" t="s">
        <v>255</v>
      </c>
      <c r="P8466">
        <v>22902</v>
      </c>
      <c r="Q8466">
        <v>5800</v>
      </c>
      <c r="R8466" t="s">
        <v>23</v>
      </c>
      <c r="S8466" s="1" t="s">
        <v>34218</v>
      </c>
    </row>
    <row r="8467" spans="1:19" x14ac:dyDescent="0.25">
      <c r="A8467">
        <v>100624466</v>
      </c>
      <c r="B8467" t="s">
        <v>3881</v>
      </c>
      <c r="C8467" t="s">
        <v>1658</v>
      </c>
      <c r="F8467" t="str">
        <f>"6109136837"</f>
        <v>6109136837</v>
      </c>
      <c r="G8467" t="s">
        <v>19543</v>
      </c>
      <c r="H8467" t="s">
        <v>2913</v>
      </c>
      <c r="I8467" t="s">
        <v>33</v>
      </c>
      <c r="J8467">
        <v>19543</v>
      </c>
      <c r="L8467" t="s">
        <v>23</v>
      </c>
      <c r="M8467" t="s">
        <v>19543</v>
      </c>
      <c r="N8467" t="s">
        <v>2913</v>
      </c>
      <c r="O8467" t="s">
        <v>33</v>
      </c>
      <c r="P8467">
        <v>19543</v>
      </c>
      <c r="R8467" t="s">
        <v>23</v>
      </c>
      <c r="S8467" s="1" t="s">
        <v>34218</v>
      </c>
    </row>
    <row r="8468" spans="1:19" x14ac:dyDescent="0.25">
      <c r="A8468">
        <v>101316402</v>
      </c>
      <c r="B8468" t="s">
        <v>10654</v>
      </c>
      <c r="C8468" t="s">
        <v>543</v>
      </c>
      <c r="G8468" t="s">
        <v>19544</v>
      </c>
      <c r="H8468" t="s">
        <v>4420</v>
      </c>
      <c r="I8468" t="s">
        <v>255</v>
      </c>
      <c r="J8468" t="s">
        <v>19545</v>
      </c>
      <c r="K8468">
        <v>6935</v>
      </c>
      <c r="L8468" t="s">
        <v>23</v>
      </c>
      <c r="M8468" t="s">
        <v>19544</v>
      </c>
      <c r="N8468" t="s">
        <v>4420</v>
      </c>
      <c r="O8468" t="s">
        <v>255</v>
      </c>
      <c r="P8468" t="s">
        <v>19545</v>
      </c>
      <c r="Q8468">
        <v>6935</v>
      </c>
      <c r="R8468" t="s">
        <v>23</v>
      </c>
      <c r="S8468" s="1" t="s">
        <v>34218</v>
      </c>
    </row>
    <row r="8469" spans="1:19" x14ac:dyDescent="0.25">
      <c r="A8469">
        <v>100611948</v>
      </c>
      <c r="B8469" t="s">
        <v>3109</v>
      </c>
      <c r="C8469" t="s">
        <v>5564</v>
      </c>
      <c r="G8469" t="s">
        <v>19546</v>
      </c>
      <c r="H8469" t="s">
        <v>4069</v>
      </c>
      <c r="I8469" t="s">
        <v>71</v>
      </c>
      <c r="J8469">
        <v>80128</v>
      </c>
      <c r="K8469">
        <v>4183</v>
      </c>
      <c r="L8469" t="s">
        <v>23</v>
      </c>
      <c r="M8469" t="s">
        <v>19546</v>
      </c>
      <c r="N8469" t="s">
        <v>4069</v>
      </c>
      <c r="O8469" t="s">
        <v>71</v>
      </c>
      <c r="P8469">
        <v>80128</v>
      </c>
      <c r="Q8469">
        <v>4183</v>
      </c>
      <c r="R8469" t="s">
        <v>23</v>
      </c>
      <c r="S8469" s="1" t="s">
        <v>34218</v>
      </c>
    </row>
    <row r="8470" spans="1:19" x14ac:dyDescent="0.25">
      <c r="A8470">
        <v>101480482</v>
      </c>
      <c r="B8470" t="s">
        <v>19547</v>
      </c>
      <c r="C8470" t="s">
        <v>1598</v>
      </c>
      <c r="G8470" t="s">
        <v>19548</v>
      </c>
      <c r="H8470" t="s">
        <v>19549</v>
      </c>
      <c r="I8470" t="s">
        <v>33</v>
      </c>
      <c r="J8470">
        <v>17844</v>
      </c>
      <c r="K8470">
        <v>7100</v>
      </c>
      <c r="L8470" t="s">
        <v>23</v>
      </c>
      <c r="M8470" t="s">
        <v>19548</v>
      </c>
      <c r="N8470" t="s">
        <v>19549</v>
      </c>
      <c r="O8470" t="s">
        <v>33</v>
      </c>
      <c r="P8470">
        <v>17844</v>
      </c>
      <c r="Q8470">
        <v>7100</v>
      </c>
      <c r="R8470" t="s">
        <v>23</v>
      </c>
      <c r="S8470" s="1" t="s">
        <v>34218</v>
      </c>
    </row>
    <row r="8471" spans="1:19" x14ac:dyDescent="0.25">
      <c r="A8471">
        <v>101405450</v>
      </c>
      <c r="B8471" t="s">
        <v>3159</v>
      </c>
      <c r="C8471" t="s">
        <v>19550</v>
      </c>
      <c r="F8471" t="str">
        <f>"5709054672"</f>
        <v>5709054672</v>
      </c>
      <c r="G8471" t="s">
        <v>19551</v>
      </c>
      <c r="H8471" t="s">
        <v>19552</v>
      </c>
      <c r="I8471" t="s">
        <v>33</v>
      </c>
      <c r="J8471">
        <v>18661</v>
      </c>
      <c r="K8471">
        <v>3828</v>
      </c>
      <c r="L8471" t="s">
        <v>23</v>
      </c>
      <c r="M8471" t="s">
        <v>19551</v>
      </c>
      <c r="N8471" t="s">
        <v>19552</v>
      </c>
      <c r="O8471" t="s">
        <v>33</v>
      </c>
      <c r="P8471">
        <v>18661</v>
      </c>
      <c r="Q8471">
        <v>3828</v>
      </c>
      <c r="R8471" t="s">
        <v>23</v>
      </c>
      <c r="S8471" s="1" t="s">
        <v>34218</v>
      </c>
    </row>
    <row r="8472" spans="1:19" x14ac:dyDescent="0.25">
      <c r="A8472">
        <v>101478522</v>
      </c>
      <c r="B8472" t="s">
        <v>19553</v>
      </c>
      <c r="C8472" t="s">
        <v>9601</v>
      </c>
      <c r="G8472" t="s">
        <v>19554</v>
      </c>
      <c r="H8472" t="s">
        <v>6629</v>
      </c>
      <c r="I8472" t="s">
        <v>38</v>
      </c>
      <c r="J8472">
        <v>77381</v>
      </c>
      <c r="K8472">
        <v>1194</v>
      </c>
      <c r="L8472" t="s">
        <v>23</v>
      </c>
      <c r="M8472" t="s">
        <v>19554</v>
      </c>
      <c r="N8472" t="s">
        <v>6629</v>
      </c>
      <c r="O8472" t="s">
        <v>38</v>
      </c>
      <c r="P8472">
        <v>77381</v>
      </c>
      <c r="Q8472">
        <v>1194</v>
      </c>
      <c r="R8472" t="s">
        <v>23</v>
      </c>
      <c r="S8472" s="1" t="s">
        <v>34218</v>
      </c>
    </row>
    <row r="8473" spans="1:19" x14ac:dyDescent="0.25">
      <c r="A8473">
        <v>101252469</v>
      </c>
      <c r="B8473" t="s">
        <v>8180</v>
      </c>
      <c r="C8473" t="s">
        <v>3590</v>
      </c>
      <c r="G8473" t="s">
        <v>19555</v>
      </c>
      <c r="H8473" t="s">
        <v>227</v>
      </c>
      <c r="I8473" t="s">
        <v>43</v>
      </c>
      <c r="J8473">
        <v>97239</v>
      </c>
      <c r="K8473">
        <v>4107</v>
      </c>
      <c r="L8473" t="s">
        <v>23</v>
      </c>
      <c r="M8473" t="s">
        <v>19555</v>
      </c>
      <c r="N8473" t="s">
        <v>227</v>
      </c>
      <c r="O8473" t="s">
        <v>43</v>
      </c>
      <c r="P8473">
        <v>97239</v>
      </c>
      <c r="Q8473">
        <v>4107</v>
      </c>
      <c r="R8473" t="s">
        <v>23</v>
      </c>
      <c r="S8473" s="1" t="s">
        <v>34218</v>
      </c>
    </row>
    <row r="8474" spans="1:19" x14ac:dyDescent="0.25">
      <c r="A8474">
        <v>101325892</v>
      </c>
      <c r="B8474" t="s">
        <v>11083</v>
      </c>
      <c r="C8474" t="s">
        <v>180</v>
      </c>
      <c r="F8474" t="str">
        <f>"5105227956"</f>
        <v>5105227956</v>
      </c>
      <c r="G8474" t="s">
        <v>19556</v>
      </c>
      <c r="H8474" t="s">
        <v>11875</v>
      </c>
      <c r="I8474" t="s">
        <v>22</v>
      </c>
      <c r="J8474">
        <v>95610</v>
      </c>
      <c r="K8474">
        <v>7285</v>
      </c>
      <c r="L8474" t="s">
        <v>23</v>
      </c>
      <c r="M8474" t="s">
        <v>19556</v>
      </c>
      <c r="N8474" t="s">
        <v>11875</v>
      </c>
      <c r="O8474" t="s">
        <v>22</v>
      </c>
      <c r="P8474">
        <v>95610</v>
      </c>
      <c r="Q8474">
        <v>7285</v>
      </c>
      <c r="R8474" t="s">
        <v>23</v>
      </c>
      <c r="S8474" s="1" t="s">
        <v>34218</v>
      </c>
    </row>
    <row r="8475" spans="1:19" x14ac:dyDescent="0.25">
      <c r="A8475">
        <v>101401566</v>
      </c>
      <c r="B8475" t="s">
        <v>8656</v>
      </c>
      <c r="C8475" t="s">
        <v>19557</v>
      </c>
      <c r="G8475" t="s">
        <v>8658</v>
      </c>
      <c r="H8475" t="s">
        <v>8659</v>
      </c>
      <c r="I8475" t="s">
        <v>28</v>
      </c>
      <c r="J8475">
        <v>30546</v>
      </c>
      <c r="K8475">
        <v>2956</v>
      </c>
      <c r="L8475" t="s">
        <v>23</v>
      </c>
      <c r="M8475" t="s">
        <v>8658</v>
      </c>
      <c r="N8475" t="s">
        <v>8659</v>
      </c>
      <c r="O8475" t="s">
        <v>28</v>
      </c>
      <c r="P8475">
        <v>30546</v>
      </c>
      <c r="Q8475">
        <v>2956</v>
      </c>
      <c r="R8475" t="s">
        <v>23</v>
      </c>
      <c r="S8475" s="1" t="s">
        <v>34218</v>
      </c>
    </row>
    <row r="8476" spans="1:19" x14ac:dyDescent="0.25">
      <c r="A8476">
        <v>101480496</v>
      </c>
      <c r="B8476" t="s">
        <v>19558</v>
      </c>
      <c r="C8476" t="s">
        <v>367</v>
      </c>
      <c r="G8476" t="s">
        <v>19559</v>
      </c>
      <c r="H8476" t="s">
        <v>3129</v>
      </c>
      <c r="I8476" t="s">
        <v>84</v>
      </c>
      <c r="J8476">
        <v>99207</v>
      </c>
      <c r="K8476">
        <v>8206</v>
      </c>
      <c r="L8476" t="s">
        <v>23</v>
      </c>
      <c r="M8476" t="s">
        <v>19559</v>
      </c>
      <c r="N8476" t="s">
        <v>3129</v>
      </c>
      <c r="O8476" t="s">
        <v>84</v>
      </c>
      <c r="P8476">
        <v>99207</v>
      </c>
      <c r="Q8476">
        <v>8206</v>
      </c>
      <c r="R8476" t="s">
        <v>23</v>
      </c>
      <c r="S8476" s="1" t="s">
        <v>34218</v>
      </c>
    </row>
    <row r="8477" spans="1:19" x14ac:dyDescent="0.25">
      <c r="A8477">
        <v>101479736</v>
      </c>
      <c r="B8477" t="s">
        <v>10205</v>
      </c>
      <c r="C8477" t="s">
        <v>16085</v>
      </c>
      <c r="G8477" t="s">
        <v>19560</v>
      </c>
      <c r="H8477" t="s">
        <v>174</v>
      </c>
      <c r="I8477" t="s">
        <v>22</v>
      </c>
      <c r="J8477">
        <v>93105</v>
      </c>
      <c r="K8477">
        <v>2001</v>
      </c>
      <c r="L8477" t="s">
        <v>23</v>
      </c>
      <c r="M8477" t="s">
        <v>19560</v>
      </c>
      <c r="N8477" t="s">
        <v>174</v>
      </c>
      <c r="O8477" t="s">
        <v>22</v>
      </c>
      <c r="P8477">
        <v>93105</v>
      </c>
      <c r="Q8477">
        <v>2001</v>
      </c>
      <c r="R8477" t="s">
        <v>23</v>
      </c>
      <c r="S8477" s="1" t="s">
        <v>34218</v>
      </c>
    </row>
    <row r="8478" spans="1:19" x14ac:dyDescent="0.25">
      <c r="A8478">
        <v>101425682</v>
      </c>
      <c r="B8478" t="s">
        <v>19561</v>
      </c>
      <c r="C8478" t="s">
        <v>535</v>
      </c>
      <c r="G8478" t="s">
        <v>19562</v>
      </c>
      <c r="H8478" t="s">
        <v>4687</v>
      </c>
      <c r="I8478" t="s">
        <v>250</v>
      </c>
      <c r="J8478">
        <v>7067</v>
      </c>
      <c r="K8478">
        <v>2217</v>
      </c>
      <c r="L8478" t="s">
        <v>23</v>
      </c>
      <c r="M8478" t="s">
        <v>19562</v>
      </c>
      <c r="N8478" t="s">
        <v>4687</v>
      </c>
      <c r="O8478" t="s">
        <v>250</v>
      </c>
      <c r="P8478">
        <v>7067</v>
      </c>
      <c r="Q8478">
        <v>2217</v>
      </c>
      <c r="R8478" t="s">
        <v>23</v>
      </c>
      <c r="S8478" s="1" t="s">
        <v>34218</v>
      </c>
    </row>
    <row r="8479" spans="1:19" x14ac:dyDescent="0.25">
      <c r="A8479">
        <v>101480498</v>
      </c>
      <c r="B8479" t="s">
        <v>1164</v>
      </c>
      <c r="C8479" t="s">
        <v>5347</v>
      </c>
      <c r="G8479" t="s">
        <v>19563</v>
      </c>
      <c r="H8479" t="s">
        <v>19564</v>
      </c>
      <c r="I8479" t="s">
        <v>662</v>
      </c>
      <c r="J8479">
        <v>2891</v>
      </c>
      <c r="K8479">
        <v>3634</v>
      </c>
      <c r="L8479" t="s">
        <v>23</v>
      </c>
      <c r="M8479" t="s">
        <v>19563</v>
      </c>
      <c r="N8479" t="s">
        <v>19564</v>
      </c>
      <c r="O8479" t="s">
        <v>662</v>
      </c>
      <c r="P8479">
        <v>2891</v>
      </c>
      <c r="Q8479">
        <v>3634</v>
      </c>
      <c r="R8479" t="s">
        <v>23</v>
      </c>
      <c r="S8479" s="1" t="s">
        <v>34218</v>
      </c>
    </row>
    <row r="8480" spans="1:19" x14ac:dyDescent="0.25">
      <c r="A8480">
        <v>100598783</v>
      </c>
      <c r="B8480" t="s">
        <v>19565</v>
      </c>
      <c r="C8480" t="s">
        <v>535</v>
      </c>
      <c r="G8480" t="s">
        <v>19566</v>
      </c>
      <c r="H8480" t="s">
        <v>19567</v>
      </c>
      <c r="I8480" t="s">
        <v>100</v>
      </c>
      <c r="J8480">
        <v>53017</v>
      </c>
      <c r="L8480" t="s">
        <v>23</v>
      </c>
      <c r="M8480" t="s">
        <v>19566</v>
      </c>
      <c r="N8480" t="s">
        <v>19567</v>
      </c>
      <c r="O8480" t="s">
        <v>100</v>
      </c>
      <c r="P8480">
        <v>53017</v>
      </c>
      <c r="R8480" t="s">
        <v>23</v>
      </c>
      <c r="S8480" s="1" t="s">
        <v>34218</v>
      </c>
    </row>
    <row r="8481" spans="1:19" x14ac:dyDescent="0.25">
      <c r="A8481">
        <v>100566275</v>
      </c>
      <c r="B8481" t="s">
        <v>19568</v>
      </c>
      <c r="C8481" t="s">
        <v>209</v>
      </c>
      <c r="G8481" t="s">
        <v>19569</v>
      </c>
      <c r="H8481" t="s">
        <v>13152</v>
      </c>
      <c r="I8481" t="s">
        <v>135</v>
      </c>
      <c r="J8481">
        <v>61761</v>
      </c>
      <c r="K8481">
        <v>2813</v>
      </c>
      <c r="L8481" t="s">
        <v>23</v>
      </c>
      <c r="M8481" t="s">
        <v>19569</v>
      </c>
      <c r="N8481" t="s">
        <v>13152</v>
      </c>
      <c r="O8481" t="s">
        <v>135</v>
      </c>
      <c r="P8481">
        <v>61761</v>
      </c>
      <c r="Q8481">
        <v>2813</v>
      </c>
      <c r="R8481" t="s">
        <v>23</v>
      </c>
      <c r="S8481" s="1" t="s">
        <v>34218</v>
      </c>
    </row>
    <row r="8482" spans="1:19" x14ac:dyDescent="0.25">
      <c r="A8482">
        <v>101465585</v>
      </c>
      <c r="B8482" t="s">
        <v>3447</v>
      </c>
      <c r="C8482" t="s">
        <v>2938</v>
      </c>
      <c r="G8482" t="s">
        <v>19570</v>
      </c>
      <c r="H8482" t="s">
        <v>4693</v>
      </c>
      <c r="I8482" t="s">
        <v>52</v>
      </c>
      <c r="J8482">
        <v>33484</v>
      </c>
      <c r="K8482">
        <v>9115</v>
      </c>
      <c r="L8482" t="s">
        <v>23</v>
      </c>
      <c r="M8482" t="s">
        <v>19570</v>
      </c>
      <c r="N8482" t="s">
        <v>4693</v>
      </c>
      <c r="O8482" t="s">
        <v>52</v>
      </c>
      <c r="P8482">
        <v>33484</v>
      </c>
      <c r="Q8482">
        <v>9115</v>
      </c>
      <c r="R8482" t="s">
        <v>23</v>
      </c>
      <c r="S8482" s="1" t="s">
        <v>34218</v>
      </c>
    </row>
    <row r="8483" spans="1:19" x14ac:dyDescent="0.25">
      <c r="A8483">
        <v>101255139</v>
      </c>
      <c r="B8483" t="s">
        <v>1970</v>
      </c>
      <c r="C8483" t="s">
        <v>1374</v>
      </c>
      <c r="G8483" t="s">
        <v>19571</v>
      </c>
      <c r="H8483" t="s">
        <v>14286</v>
      </c>
      <c r="I8483" t="s">
        <v>135</v>
      </c>
      <c r="J8483">
        <v>61107</v>
      </c>
      <c r="K8483">
        <v>1641</v>
      </c>
      <c r="L8483" t="s">
        <v>23</v>
      </c>
      <c r="M8483" t="s">
        <v>19571</v>
      </c>
      <c r="N8483" t="s">
        <v>14286</v>
      </c>
      <c r="O8483" t="s">
        <v>135</v>
      </c>
      <c r="P8483">
        <v>61107</v>
      </c>
      <c r="Q8483">
        <v>1641</v>
      </c>
      <c r="R8483" t="s">
        <v>23</v>
      </c>
      <c r="S8483" s="1" t="s">
        <v>34218</v>
      </c>
    </row>
    <row r="8484" spans="1:19" x14ac:dyDescent="0.25">
      <c r="A8484">
        <v>100930607</v>
      </c>
      <c r="B8484" t="s">
        <v>19572</v>
      </c>
      <c r="C8484" t="s">
        <v>1153</v>
      </c>
      <c r="G8484" t="s">
        <v>19573</v>
      </c>
      <c r="H8484" t="s">
        <v>1439</v>
      </c>
      <c r="I8484" t="s">
        <v>365</v>
      </c>
      <c r="J8484">
        <v>85711</v>
      </c>
      <c r="K8484">
        <v>4244</v>
      </c>
      <c r="L8484" t="s">
        <v>23</v>
      </c>
      <c r="M8484" t="s">
        <v>19573</v>
      </c>
      <c r="N8484" t="s">
        <v>1439</v>
      </c>
      <c r="O8484" t="s">
        <v>365</v>
      </c>
      <c r="P8484">
        <v>85711</v>
      </c>
      <c r="Q8484">
        <v>4244</v>
      </c>
      <c r="R8484" t="s">
        <v>23</v>
      </c>
      <c r="S8484" s="1" t="s">
        <v>34218</v>
      </c>
    </row>
    <row r="8485" spans="1:19" x14ac:dyDescent="0.25">
      <c r="A8485">
        <v>101208605</v>
      </c>
      <c r="B8485" t="s">
        <v>402</v>
      </c>
      <c r="C8485" t="s">
        <v>9096</v>
      </c>
      <c r="H8485" t="s">
        <v>198</v>
      </c>
      <c r="I8485" t="s">
        <v>22</v>
      </c>
      <c r="J8485">
        <v>2105</v>
      </c>
      <c r="L8485" t="s">
        <v>23</v>
      </c>
      <c r="N8485" t="s">
        <v>198</v>
      </c>
      <c r="O8485" t="s">
        <v>22</v>
      </c>
      <c r="P8485">
        <v>2105</v>
      </c>
      <c r="R8485" t="s">
        <v>23</v>
      </c>
      <c r="S8485" s="1" t="s">
        <v>34218</v>
      </c>
    </row>
    <row r="8486" spans="1:19" x14ac:dyDescent="0.25">
      <c r="A8486">
        <v>101475005</v>
      </c>
      <c r="B8486" t="s">
        <v>19574</v>
      </c>
      <c r="C8486" t="s">
        <v>1859</v>
      </c>
      <c r="G8486" t="s">
        <v>19575</v>
      </c>
      <c r="H8486" t="s">
        <v>13596</v>
      </c>
      <c r="I8486" t="s">
        <v>28</v>
      </c>
      <c r="J8486">
        <v>30144</v>
      </c>
      <c r="K8486">
        <v>1406</v>
      </c>
      <c r="L8486" t="s">
        <v>23</v>
      </c>
      <c r="M8486" t="s">
        <v>19575</v>
      </c>
      <c r="N8486" t="s">
        <v>13596</v>
      </c>
      <c r="O8486" t="s">
        <v>28</v>
      </c>
      <c r="P8486">
        <v>30144</v>
      </c>
      <c r="Q8486">
        <v>1406</v>
      </c>
      <c r="R8486" t="s">
        <v>23</v>
      </c>
      <c r="S8486" s="1" t="s">
        <v>34218</v>
      </c>
    </row>
    <row r="8487" spans="1:19" x14ac:dyDescent="0.25">
      <c r="A8487">
        <v>101475169</v>
      </c>
      <c r="B8487" t="s">
        <v>402</v>
      </c>
      <c r="C8487" t="s">
        <v>838</v>
      </c>
      <c r="G8487" t="s">
        <v>19576</v>
      </c>
      <c r="H8487" t="s">
        <v>9212</v>
      </c>
      <c r="I8487" t="s">
        <v>446</v>
      </c>
      <c r="J8487">
        <v>28105</v>
      </c>
      <c r="K8487">
        <v>5917</v>
      </c>
      <c r="L8487" t="s">
        <v>23</v>
      </c>
      <c r="M8487" t="s">
        <v>19576</v>
      </c>
      <c r="N8487" t="s">
        <v>9212</v>
      </c>
      <c r="O8487" t="s">
        <v>446</v>
      </c>
      <c r="P8487">
        <v>28105</v>
      </c>
      <c r="Q8487">
        <v>5917</v>
      </c>
      <c r="R8487" t="s">
        <v>23</v>
      </c>
      <c r="S8487" s="1" t="s">
        <v>34218</v>
      </c>
    </row>
    <row r="8488" spans="1:19" x14ac:dyDescent="0.25">
      <c r="A8488">
        <v>101475196</v>
      </c>
      <c r="B8488" t="s">
        <v>2328</v>
      </c>
      <c r="C8488" t="s">
        <v>14463</v>
      </c>
      <c r="G8488" t="s">
        <v>19577</v>
      </c>
      <c r="H8488" t="s">
        <v>4514</v>
      </c>
      <c r="I8488" t="s">
        <v>446</v>
      </c>
      <c r="J8488">
        <v>28314</v>
      </c>
      <c r="K8488">
        <v>926</v>
      </c>
      <c r="L8488" t="s">
        <v>23</v>
      </c>
      <c r="M8488" t="s">
        <v>19577</v>
      </c>
      <c r="N8488" t="s">
        <v>4514</v>
      </c>
      <c r="O8488" t="s">
        <v>446</v>
      </c>
      <c r="P8488">
        <v>28314</v>
      </c>
      <c r="Q8488">
        <v>926</v>
      </c>
      <c r="R8488" t="s">
        <v>23</v>
      </c>
      <c r="S8488" s="1" t="s">
        <v>34218</v>
      </c>
    </row>
    <row r="8489" spans="1:19" x14ac:dyDescent="0.25">
      <c r="A8489">
        <v>101475203</v>
      </c>
      <c r="B8489" t="s">
        <v>19578</v>
      </c>
      <c r="C8489" t="s">
        <v>274</v>
      </c>
      <c r="G8489" t="s">
        <v>19579</v>
      </c>
      <c r="H8489" t="s">
        <v>2309</v>
      </c>
      <c r="I8489" t="s">
        <v>446</v>
      </c>
      <c r="J8489">
        <v>28405</v>
      </c>
      <c r="K8489">
        <v>2917</v>
      </c>
      <c r="L8489" t="s">
        <v>23</v>
      </c>
      <c r="M8489" t="s">
        <v>19579</v>
      </c>
      <c r="N8489" t="s">
        <v>2309</v>
      </c>
      <c r="O8489" t="s">
        <v>446</v>
      </c>
      <c r="P8489">
        <v>28405</v>
      </c>
      <c r="Q8489">
        <v>2917</v>
      </c>
      <c r="R8489" t="s">
        <v>23</v>
      </c>
      <c r="S8489" s="1" t="s">
        <v>34218</v>
      </c>
    </row>
    <row r="8490" spans="1:19" x14ac:dyDescent="0.25">
      <c r="A8490">
        <v>101475296</v>
      </c>
      <c r="B8490" t="s">
        <v>19580</v>
      </c>
      <c r="C8490" t="s">
        <v>4427</v>
      </c>
      <c r="G8490" t="s">
        <v>19581</v>
      </c>
      <c r="H8490" t="s">
        <v>336</v>
      </c>
      <c r="I8490" t="s">
        <v>255</v>
      </c>
      <c r="J8490">
        <v>22003</v>
      </c>
      <c r="K8490">
        <v>1226</v>
      </c>
      <c r="L8490" t="s">
        <v>23</v>
      </c>
      <c r="M8490" t="s">
        <v>19581</v>
      </c>
      <c r="N8490" t="s">
        <v>336</v>
      </c>
      <c r="O8490" t="s">
        <v>255</v>
      </c>
      <c r="P8490">
        <v>22003</v>
      </c>
      <c r="Q8490">
        <v>1226</v>
      </c>
      <c r="R8490" t="s">
        <v>23</v>
      </c>
      <c r="S8490" s="1" t="s">
        <v>34218</v>
      </c>
    </row>
    <row r="8491" spans="1:19" x14ac:dyDescent="0.25">
      <c r="A8491">
        <v>101475362</v>
      </c>
      <c r="B8491" t="s">
        <v>8851</v>
      </c>
      <c r="C8491" t="s">
        <v>286</v>
      </c>
      <c r="G8491" t="s">
        <v>19582</v>
      </c>
      <c r="H8491" t="s">
        <v>3466</v>
      </c>
      <c r="I8491" t="s">
        <v>255</v>
      </c>
      <c r="J8491">
        <v>23223</v>
      </c>
      <c r="K8491">
        <v>7147</v>
      </c>
      <c r="L8491" t="s">
        <v>23</v>
      </c>
      <c r="M8491" t="s">
        <v>19582</v>
      </c>
      <c r="N8491" t="s">
        <v>3466</v>
      </c>
      <c r="O8491" t="s">
        <v>255</v>
      </c>
      <c r="P8491">
        <v>23223</v>
      </c>
      <c r="Q8491">
        <v>7147</v>
      </c>
      <c r="R8491" t="s">
        <v>23</v>
      </c>
      <c r="S8491" s="1" t="s">
        <v>34218</v>
      </c>
    </row>
    <row r="8492" spans="1:19" x14ac:dyDescent="0.25">
      <c r="A8492">
        <v>101475394</v>
      </c>
      <c r="B8492" t="s">
        <v>19583</v>
      </c>
      <c r="C8492" t="s">
        <v>19584</v>
      </c>
      <c r="G8492" t="s">
        <v>19585</v>
      </c>
      <c r="H8492" t="s">
        <v>19586</v>
      </c>
      <c r="I8492" t="s">
        <v>255</v>
      </c>
      <c r="J8492">
        <v>24473</v>
      </c>
      <c r="K8492">
        <v>2404</v>
      </c>
      <c r="L8492" t="s">
        <v>23</v>
      </c>
      <c r="M8492" t="s">
        <v>19585</v>
      </c>
      <c r="N8492" t="s">
        <v>19586</v>
      </c>
      <c r="O8492" t="s">
        <v>255</v>
      </c>
      <c r="P8492">
        <v>24473</v>
      </c>
      <c r="Q8492">
        <v>2404</v>
      </c>
      <c r="R8492" t="s">
        <v>23</v>
      </c>
      <c r="S8492" s="1" t="s">
        <v>34218</v>
      </c>
    </row>
    <row r="8493" spans="1:19" x14ac:dyDescent="0.25">
      <c r="A8493">
        <v>101473826</v>
      </c>
      <c r="B8493" t="s">
        <v>744</v>
      </c>
      <c r="C8493" t="s">
        <v>110</v>
      </c>
      <c r="G8493" t="s">
        <v>19587</v>
      </c>
      <c r="H8493" t="s">
        <v>15314</v>
      </c>
      <c r="I8493" t="s">
        <v>135</v>
      </c>
      <c r="J8493">
        <v>60030</v>
      </c>
      <c r="K8493">
        <v>1985</v>
      </c>
      <c r="L8493" t="s">
        <v>23</v>
      </c>
      <c r="M8493" t="s">
        <v>19587</v>
      </c>
      <c r="N8493" t="s">
        <v>15314</v>
      </c>
      <c r="O8493" t="s">
        <v>135</v>
      </c>
      <c r="P8493">
        <v>60030</v>
      </c>
      <c r="Q8493">
        <v>1985</v>
      </c>
      <c r="R8493" t="s">
        <v>23</v>
      </c>
      <c r="S8493" s="1" t="s">
        <v>34218</v>
      </c>
    </row>
    <row r="8494" spans="1:19" x14ac:dyDescent="0.25">
      <c r="A8494">
        <v>101475894</v>
      </c>
      <c r="B8494" t="s">
        <v>19588</v>
      </c>
      <c r="C8494" t="s">
        <v>1050</v>
      </c>
      <c r="G8494" t="s">
        <v>19589</v>
      </c>
      <c r="H8494" t="s">
        <v>1166</v>
      </c>
      <c r="I8494" t="s">
        <v>178</v>
      </c>
      <c r="J8494">
        <v>43551</v>
      </c>
      <c r="K8494">
        <v>3165</v>
      </c>
      <c r="L8494" t="s">
        <v>23</v>
      </c>
      <c r="M8494" t="s">
        <v>19589</v>
      </c>
      <c r="N8494" t="s">
        <v>1166</v>
      </c>
      <c r="O8494" t="s">
        <v>178</v>
      </c>
      <c r="P8494">
        <v>43551</v>
      </c>
      <c r="Q8494">
        <v>3165</v>
      </c>
      <c r="R8494" t="s">
        <v>23</v>
      </c>
      <c r="S8494" s="1" t="s">
        <v>34218</v>
      </c>
    </row>
    <row r="8495" spans="1:19" x14ac:dyDescent="0.25">
      <c r="A8495">
        <v>101476250</v>
      </c>
      <c r="B8495" t="s">
        <v>19590</v>
      </c>
      <c r="C8495" t="s">
        <v>5435</v>
      </c>
      <c r="G8495" t="s">
        <v>19591</v>
      </c>
      <c r="H8495" t="s">
        <v>9225</v>
      </c>
      <c r="I8495" t="s">
        <v>914</v>
      </c>
      <c r="J8495">
        <v>37771</v>
      </c>
      <c r="K8495">
        <v>7630</v>
      </c>
      <c r="L8495" t="s">
        <v>23</v>
      </c>
      <c r="M8495" t="s">
        <v>19591</v>
      </c>
      <c r="N8495" t="s">
        <v>9225</v>
      </c>
      <c r="O8495" t="s">
        <v>914</v>
      </c>
      <c r="P8495">
        <v>37771</v>
      </c>
      <c r="Q8495">
        <v>7630</v>
      </c>
      <c r="R8495" t="s">
        <v>23</v>
      </c>
      <c r="S8495" s="1" t="s">
        <v>34218</v>
      </c>
    </row>
    <row r="8496" spans="1:19" x14ac:dyDescent="0.25">
      <c r="A8496">
        <v>101450908</v>
      </c>
      <c r="B8496" t="s">
        <v>19592</v>
      </c>
      <c r="C8496" t="s">
        <v>959</v>
      </c>
      <c r="G8496" t="s">
        <v>19593</v>
      </c>
      <c r="H8496" t="s">
        <v>19594</v>
      </c>
      <c r="I8496" t="s">
        <v>52</v>
      </c>
      <c r="J8496">
        <v>33708</v>
      </c>
      <c r="K8496">
        <v>1316</v>
      </c>
      <c r="L8496" t="s">
        <v>23</v>
      </c>
      <c r="M8496" t="s">
        <v>19593</v>
      </c>
      <c r="N8496" t="s">
        <v>19594</v>
      </c>
      <c r="O8496" t="s">
        <v>52</v>
      </c>
      <c r="P8496">
        <v>33708</v>
      </c>
      <c r="Q8496">
        <v>1316</v>
      </c>
      <c r="R8496" t="s">
        <v>23</v>
      </c>
      <c r="S8496" s="1" t="s">
        <v>34218</v>
      </c>
    </row>
    <row r="8497" spans="1:19" x14ac:dyDescent="0.25">
      <c r="A8497">
        <v>100999970</v>
      </c>
      <c r="B8497" t="s">
        <v>2588</v>
      </c>
      <c r="C8497" t="s">
        <v>1376</v>
      </c>
      <c r="G8497" t="s">
        <v>19595</v>
      </c>
      <c r="H8497" t="s">
        <v>19596</v>
      </c>
      <c r="I8497" t="s">
        <v>43</v>
      </c>
      <c r="J8497">
        <v>0</v>
      </c>
      <c r="L8497" t="s">
        <v>23</v>
      </c>
      <c r="M8497" t="s">
        <v>19595</v>
      </c>
      <c r="N8497" t="s">
        <v>19596</v>
      </c>
      <c r="O8497" t="s">
        <v>43</v>
      </c>
      <c r="P8497">
        <v>0</v>
      </c>
      <c r="R8497" t="s">
        <v>23</v>
      </c>
      <c r="S8497" s="1" t="s">
        <v>34218</v>
      </c>
    </row>
    <row r="8498" spans="1:19" x14ac:dyDescent="0.25">
      <c r="A8498">
        <v>101438320</v>
      </c>
      <c r="B8498" t="s">
        <v>19597</v>
      </c>
      <c r="C8498" t="s">
        <v>4159</v>
      </c>
      <c r="G8498" t="s">
        <v>19598</v>
      </c>
      <c r="H8498" t="s">
        <v>3363</v>
      </c>
      <c r="I8498" t="s">
        <v>33</v>
      </c>
      <c r="J8498">
        <v>15232</v>
      </c>
      <c r="K8498">
        <v>2729</v>
      </c>
      <c r="L8498" t="s">
        <v>23</v>
      </c>
      <c r="M8498" t="s">
        <v>19598</v>
      </c>
      <c r="N8498" t="s">
        <v>3363</v>
      </c>
      <c r="O8498" t="s">
        <v>33</v>
      </c>
      <c r="P8498">
        <v>15232</v>
      </c>
      <c r="Q8498">
        <v>2729</v>
      </c>
      <c r="R8498" t="s">
        <v>23</v>
      </c>
      <c r="S8498" s="1" t="s">
        <v>34218</v>
      </c>
    </row>
    <row r="8499" spans="1:19" x14ac:dyDescent="0.25">
      <c r="A8499">
        <v>101376917</v>
      </c>
      <c r="B8499" t="s">
        <v>19599</v>
      </c>
      <c r="C8499" t="s">
        <v>286</v>
      </c>
      <c r="G8499" t="s">
        <v>19600</v>
      </c>
      <c r="H8499" t="s">
        <v>15539</v>
      </c>
      <c r="I8499" t="s">
        <v>22</v>
      </c>
      <c r="J8499">
        <v>91709</v>
      </c>
      <c r="K8499">
        <v>2448</v>
      </c>
      <c r="L8499" t="s">
        <v>23</v>
      </c>
      <c r="M8499" t="s">
        <v>19600</v>
      </c>
      <c r="N8499" t="s">
        <v>15539</v>
      </c>
      <c r="O8499" t="s">
        <v>22</v>
      </c>
      <c r="P8499">
        <v>91709</v>
      </c>
      <c r="Q8499">
        <v>2448</v>
      </c>
      <c r="R8499" t="s">
        <v>23</v>
      </c>
      <c r="S8499" s="1" t="s">
        <v>34218</v>
      </c>
    </row>
    <row r="8500" spans="1:19" x14ac:dyDescent="0.25">
      <c r="A8500">
        <v>101418791</v>
      </c>
      <c r="B8500" t="s">
        <v>19601</v>
      </c>
      <c r="C8500" t="s">
        <v>6641</v>
      </c>
      <c r="G8500" t="s">
        <v>19602</v>
      </c>
      <c r="H8500" t="s">
        <v>653</v>
      </c>
      <c r="I8500" t="s">
        <v>117</v>
      </c>
      <c r="J8500">
        <v>10016</v>
      </c>
      <c r="K8500">
        <v>3018</v>
      </c>
      <c r="L8500" t="s">
        <v>23</v>
      </c>
      <c r="M8500" t="s">
        <v>19602</v>
      </c>
      <c r="N8500" t="s">
        <v>653</v>
      </c>
      <c r="O8500" t="s">
        <v>117</v>
      </c>
      <c r="P8500">
        <v>10016</v>
      </c>
      <c r="Q8500">
        <v>3018</v>
      </c>
      <c r="R8500" t="s">
        <v>23</v>
      </c>
      <c r="S8500" s="1" t="s">
        <v>34218</v>
      </c>
    </row>
    <row r="8501" spans="1:19" x14ac:dyDescent="0.25">
      <c r="A8501">
        <v>100536149</v>
      </c>
      <c r="B8501" t="s">
        <v>19603</v>
      </c>
      <c r="C8501" t="s">
        <v>890</v>
      </c>
      <c r="G8501" t="s">
        <v>19604</v>
      </c>
      <c r="H8501" t="s">
        <v>19605</v>
      </c>
      <c r="I8501" t="s">
        <v>446</v>
      </c>
      <c r="J8501">
        <v>28740</v>
      </c>
      <c r="L8501" t="s">
        <v>23</v>
      </c>
      <c r="M8501" t="s">
        <v>19604</v>
      </c>
      <c r="N8501" t="s">
        <v>19605</v>
      </c>
      <c r="O8501" t="s">
        <v>446</v>
      </c>
      <c r="P8501">
        <v>28740</v>
      </c>
      <c r="R8501" t="s">
        <v>23</v>
      </c>
      <c r="S8501" s="1" t="s">
        <v>34218</v>
      </c>
    </row>
    <row r="8502" spans="1:19" x14ac:dyDescent="0.25">
      <c r="A8502">
        <v>101475334</v>
      </c>
      <c r="B8502" t="s">
        <v>19606</v>
      </c>
      <c r="C8502" t="s">
        <v>1141</v>
      </c>
      <c r="G8502" t="s">
        <v>19607</v>
      </c>
      <c r="H8502" t="s">
        <v>13635</v>
      </c>
      <c r="I8502" t="s">
        <v>255</v>
      </c>
      <c r="J8502">
        <v>22551</v>
      </c>
      <c r="K8502">
        <v>2789</v>
      </c>
      <c r="L8502" t="s">
        <v>23</v>
      </c>
      <c r="M8502" t="s">
        <v>19607</v>
      </c>
      <c r="N8502" t="s">
        <v>13635</v>
      </c>
      <c r="O8502" t="s">
        <v>255</v>
      </c>
      <c r="P8502">
        <v>22551</v>
      </c>
      <c r="Q8502">
        <v>2789</v>
      </c>
      <c r="R8502" t="s">
        <v>23</v>
      </c>
      <c r="S8502" s="1" t="s">
        <v>34218</v>
      </c>
    </row>
    <row r="8503" spans="1:19" x14ac:dyDescent="0.25">
      <c r="A8503">
        <v>101475449</v>
      </c>
      <c r="B8503" t="s">
        <v>19608</v>
      </c>
      <c r="C8503" t="s">
        <v>19609</v>
      </c>
      <c r="G8503" t="s">
        <v>19610</v>
      </c>
      <c r="H8503" t="s">
        <v>7647</v>
      </c>
      <c r="I8503" t="s">
        <v>33</v>
      </c>
      <c r="J8503">
        <v>19440</v>
      </c>
      <c r="K8503">
        <v>4111</v>
      </c>
      <c r="L8503" t="s">
        <v>23</v>
      </c>
      <c r="M8503" t="s">
        <v>19610</v>
      </c>
      <c r="N8503" t="s">
        <v>7647</v>
      </c>
      <c r="O8503" t="s">
        <v>33</v>
      </c>
      <c r="P8503">
        <v>19440</v>
      </c>
      <c r="Q8503">
        <v>4111</v>
      </c>
      <c r="R8503" t="s">
        <v>23</v>
      </c>
      <c r="S8503" s="1" t="s">
        <v>34218</v>
      </c>
    </row>
    <row r="8504" spans="1:19" x14ac:dyDescent="0.25">
      <c r="A8504">
        <v>101475652</v>
      </c>
      <c r="B8504" t="s">
        <v>497</v>
      </c>
      <c r="C8504" t="s">
        <v>7693</v>
      </c>
      <c r="G8504" t="s">
        <v>19611</v>
      </c>
      <c r="H8504" t="s">
        <v>15826</v>
      </c>
      <c r="I8504" t="s">
        <v>57</v>
      </c>
      <c r="J8504">
        <v>46307</v>
      </c>
      <c r="K8504">
        <v>8971</v>
      </c>
      <c r="L8504" t="s">
        <v>23</v>
      </c>
      <c r="M8504" t="s">
        <v>19611</v>
      </c>
      <c r="N8504" t="s">
        <v>15826</v>
      </c>
      <c r="O8504" t="s">
        <v>57</v>
      </c>
      <c r="P8504">
        <v>46307</v>
      </c>
      <c r="Q8504">
        <v>8971</v>
      </c>
      <c r="R8504" t="s">
        <v>23</v>
      </c>
      <c r="S8504" s="1" t="s">
        <v>34218</v>
      </c>
    </row>
    <row r="8505" spans="1:19" x14ac:dyDescent="0.25">
      <c r="A8505">
        <v>101475666</v>
      </c>
      <c r="B8505" t="s">
        <v>300</v>
      </c>
      <c r="C8505" t="s">
        <v>110</v>
      </c>
      <c r="G8505" t="s">
        <v>19612</v>
      </c>
      <c r="H8505" t="s">
        <v>9979</v>
      </c>
      <c r="I8505" t="s">
        <v>57</v>
      </c>
      <c r="J8505">
        <v>46410</v>
      </c>
      <c r="K8505">
        <v>2955</v>
      </c>
      <c r="L8505" t="s">
        <v>23</v>
      </c>
      <c r="M8505" t="s">
        <v>19612</v>
      </c>
      <c r="N8505" t="s">
        <v>9979</v>
      </c>
      <c r="O8505" t="s">
        <v>57</v>
      </c>
      <c r="P8505">
        <v>46410</v>
      </c>
      <c r="Q8505">
        <v>2955</v>
      </c>
      <c r="R8505" t="s">
        <v>23</v>
      </c>
      <c r="S8505" s="1" t="s">
        <v>34218</v>
      </c>
    </row>
    <row r="8506" spans="1:19" x14ac:dyDescent="0.25">
      <c r="A8506">
        <v>101475704</v>
      </c>
      <c r="B8506" t="s">
        <v>19613</v>
      </c>
      <c r="C8506" t="s">
        <v>382</v>
      </c>
      <c r="G8506" t="s">
        <v>19614</v>
      </c>
      <c r="H8506" t="s">
        <v>8166</v>
      </c>
      <c r="I8506" t="s">
        <v>33</v>
      </c>
      <c r="J8506">
        <v>17022</v>
      </c>
      <c r="K8506">
        <v>1441</v>
      </c>
      <c r="L8506" t="s">
        <v>23</v>
      </c>
      <c r="M8506" t="s">
        <v>19614</v>
      </c>
      <c r="N8506" t="s">
        <v>8166</v>
      </c>
      <c r="O8506" t="s">
        <v>33</v>
      </c>
      <c r="P8506">
        <v>17022</v>
      </c>
      <c r="Q8506">
        <v>1441</v>
      </c>
      <c r="R8506" t="s">
        <v>23</v>
      </c>
      <c r="S8506" s="1" t="s">
        <v>34218</v>
      </c>
    </row>
    <row r="8507" spans="1:19" x14ac:dyDescent="0.25">
      <c r="A8507">
        <v>101475987</v>
      </c>
      <c r="B8507" t="s">
        <v>4694</v>
      </c>
      <c r="C8507" t="s">
        <v>718</v>
      </c>
      <c r="G8507" t="s">
        <v>19615</v>
      </c>
      <c r="H8507" t="s">
        <v>3862</v>
      </c>
      <c r="I8507" t="s">
        <v>178</v>
      </c>
      <c r="J8507">
        <v>45069</v>
      </c>
      <c r="K8507">
        <v>2223</v>
      </c>
      <c r="L8507" t="s">
        <v>23</v>
      </c>
      <c r="M8507" t="s">
        <v>19615</v>
      </c>
      <c r="N8507" t="s">
        <v>3862</v>
      </c>
      <c r="O8507" t="s">
        <v>178</v>
      </c>
      <c r="P8507">
        <v>45069</v>
      </c>
      <c r="Q8507">
        <v>2223</v>
      </c>
      <c r="R8507" t="s">
        <v>23</v>
      </c>
      <c r="S8507" s="1" t="s">
        <v>34218</v>
      </c>
    </row>
    <row r="8508" spans="1:19" x14ac:dyDescent="0.25">
      <c r="A8508">
        <v>101476036</v>
      </c>
      <c r="B8508" t="s">
        <v>12700</v>
      </c>
      <c r="C8508" t="s">
        <v>874</v>
      </c>
      <c r="G8508" t="s">
        <v>19616</v>
      </c>
      <c r="H8508" t="s">
        <v>5367</v>
      </c>
      <c r="I8508" t="s">
        <v>117</v>
      </c>
      <c r="J8508">
        <v>13156</v>
      </c>
      <c r="K8508">
        <v>309</v>
      </c>
      <c r="L8508" t="s">
        <v>23</v>
      </c>
      <c r="M8508" t="s">
        <v>19616</v>
      </c>
      <c r="N8508" t="s">
        <v>5367</v>
      </c>
      <c r="O8508" t="s">
        <v>117</v>
      </c>
      <c r="P8508">
        <v>13156</v>
      </c>
      <c r="Q8508">
        <v>309</v>
      </c>
      <c r="R8508" t="s">
        <v>23</v>
      </c>
      <c r="S8508" s="1" t="s">
        <v>34218</v>
      </c>
    </row>
    <row r="8509" spans="1:19" x14ac:dyDescent="0.25">
      <c r="A8509">
        <v>101476372</v>
      </c>
      <c r="B8509" t="s">
        <v>19617</v>
      </c>
      <c r="C8509" t="s">
        <v>12846</v>
      </c>
      <c r="G8509" t="s">
        <v>19618</v>
      </c>
      <c r="H8509" t="s">
        <v>412</v>
      </c>
      <c r="I8509" t="s">
        <v>117</v>
      </c>
      <c r="J8509">
        <v>11229</v>
      </c>
      <c r="K8509">
        <v>5652</v>
      </c>
      <c r="L8509" t="s">
        <v>23</v>
      </c>
      <c r="M8509" t="s">
        <v>19618</v>
      </c>
      <c r="N8509" t="s">
        <v>412</v>
      </c>
      <c r="O8509" t="s">
        <v>117</v>
      </c>
      <c r="P8509">
        <v>11229</v>
      </c>
      <c r="Q8509">
        <v>5652</v>
      </c>
      <c r="R8509" t="s">
        <v>23</v>
      </c>
      <c r="S8509" s="1" t="s">
        <v>34218</v>
      </c>
    </row>
    <row r="8510" spans="1:19" x14ac:dyDescent="0.25">
      <c r="A8510">
        <v>101476473</v>
      </c>
      <c r="B8510" t="s">
        <v>1800</v>
      </c>
      <c r="C8510" t="s">
        <v>19619</v>
      </c>
      <c r="G8510" t="s">
        <v>19620</v>
      </c>
      <c r="H8510" t="s">
        <v>19621</v>
      </c>
      <c r="I8510" t="s">
        <v>117</v>
      </c>
      <c r="J8510">
        <v>12520</v>
      </c>
      <c r="K8510">
        <v>1603</v>
      </c>
      <c r="L8510" t="s">
        <v>23</v>
      </c>
      <c r="M8510" t="s">
        <v>19620</v>
      </c>
      <c r="N8510" t="s">
        <v>19621</v>
      </c>
      <c r="O8510" t="s">
        <v>117</v>
      </c>
      <c r="P8510">
        <v>12520</v>
      </c>
      <c r="Q8510">
        <v>1603</v>
      </c>
      <c r="R8510" t="s">
        <v>23</v>
      </c>
      <c r="S8510" s="1" t="s">
        <v>34218</v>
      </c>
    </row>
    <row r="8511" spans="1:19" x14ac:dyDescent="0.25">
      <c r="A8511">
        <v>101476506</v>
      </c>
      <c r="B8511" t="s">
        <v>276</v>
      </c>
      <c r="C8511" t="s">
        <v>513</v>
      </c>
      <c r="G8511" t="s">
        <v>19622</v>
      </c>
      <c r="H8511" t="s">
        <v>2279</v>
      </c>
      <c r="I8511" t="s">
        <v>52</v>
      </c>
      <c r="J8511">
        <v>33613</v>
      </c>
      <c r="K8511">
        <v>4453</v>
      </c>
      <c r="L8511" t="s">
        <v>23</v>
      </c>
      <c r="M8511" t="s">
        <v>19622</v>
      </c>
      <c r="N8511" t="s">
        <v>2279</v>
      </c>
      <c r="O8511" t="s">
        <v>52</v>
      </c>
      <c r="P8511">
        <v>33613</v>
      </c>
      <c r="Q8511">
        <v>4453</v>
      </c>
      <c r="R8511" t="s">
        <v>23</v>
      </c>
      <c r="S8511" s="1" t="s">
        <v>34218</v>
      </c>
    </row>
    <row r="8512" spans="1:19" x14ac:dyDescent="0.25">
      <c r="A8512">
        <v>101476688</v>
      </c>
      <c r="B8512" t="s">
        <v>1370</v>
      </c>
      <c r="C8512" t="s">
        <v>894</v>
      </c>
      <c r="G8512" t="s">
        <v>19623</v>
      </c>
      <c r="H8512" t="s">
        <v>3109</v>
      </c>
      <c r="I8512" t="s">
        <v>62</v>
      </c>
      <c r="J8512">
        <v>73160</v>
      </c>
      <c r="K8512">
        <v>8566</v>
      </c>
      <c r="L8512" t="s">
        <v>23</v>
      </c>
      <c r="M8512" t="s">
        <v>19623</v>
      </c>
      <c r="N8512" t="s">
        <v>3109</v>
      </c>
      <c r="O8512" t="s">
        <v>62</v>
      </c>
      <c r="P8512">
        <v>73160</v>
      </c>
      <c r="Q8512">
        <v>8566</v>
      </c>
      <c r="R8512" t="s">
        <v>23</v>
      </c>
      <c r="S8512" s="1" t="s">
        <v>34218</v>
      </c>
    </row>
    <row r="8513" spans="1:19" x14ac:dyDescent="0.25">
      <c r="A8513">
        <v>101476774</v>
      </c>
      <c r="B8513" t="s">
        <v>8247</v>
      </c>
      <c r="C8513" t="s">
        <v>1179</v>
      </c>
      <c r="G8513" t="s">
        <v>19624</v>
      </c>
      <c r="H8513" t="s">
        <v>956</v>
      </c>
      <c r="I8513" t="s">
        <v>38</v>
      </c>
      <c r="J8513">
        <v>76058</v>
      </c>
      <c r="K8513">
        <v>3269</v>
      </c>
      <c r="L8513" t="s">
        <v>23</v>
      </c>
      <c r="M8513" t="s">
        <v>19624</v>
      </c>
      <c r="N8513" t="s">
        <v>956</v>
      </c>
      <c r="O8513" t="s">
        <v>38</v>
      </c>
      <c r="P8513">
        <v>76058</v>
      </c>
      <c r="Q8513">
        <v>3269</v>
      </c>
      <c r="R8513" t="s">
        <v>23</v>
      </c>
      <c r="S8513" s="1" t="s">
        <v>34218</v>
      </c>
    </row>
    <row r="8514" spans="1:19" x14ac:dyDescent="0.25">
      <c r="A8514">
        <v>101476792</v>
      </c>
      <c r="B8514" t="s">
        <v>925</v>
      </c>
      <c r="C8514" t="s">
        <v>2112</v>
      </c>
      <c r="G8514" t="s">
        <v>19625</v>
      </c>
      <c r="H8514" t="s">
        <v>19626</v>
      </c>
      <c r="I8514" t="s">
        <v>38</v>
      </c>
      <c r="J8514">
        <v>76262</v>
      </c>
      <c r="K8514">
        <v>4207</v>
      </c>
      <c r="L8514" t="s">
        <v>23</v>
      </c>
      <c r="M8514" t="s">
        <v>19625</v>
      </c>
      <c r="N8514" t="s">
        <v>19626</v>
      </c>
      <c r="O8514" t="s">
        <v>38</v>
      </c>
      <c r="P8514">
        <v>76262</v>
      </c>
      <c r="Q8514">
        <v>4207</v>
      </c>
      <c r="R8514" t="s">
        <v>23</v>
      </c>
      <c r="S8514" s="1" t="s">
        <v>34218</v>
      </c>
    </row>
    <row r="8515" spans="1:19" x14ac:dyDescent="0.25">
      <c r="A8515">
        <v>101476806</v>
      </c>
      <c r="B8515" t="s">
        <v>2921</v>
      </c>
      <c r="C8515" t="s">
        <v>19</v>
      </c>
      <c r="G8515" t="s">
        <v>19627</v>
      </c>
      <c r="H8515" t="s">
        <v>1402</v>
      </c>
      <c r="I8515" t="s">
        <v>38</v>
      </c>
      <c r="J8515">
        <v>77006</v>
      </c>
      <c r="K8515">
        <v>5018</v>
      </c>
      <c r="L8515" t="s">
        <v>23</v>
      </c>
      <c r="M8515" t="s">
        <v>19627</v>
      </c>
      <c r="N8515" t="s">
        <v>1402</v>
      </c>
      <c r="O8515" t="s">
        <v>38</v>
      </c>
      <c r="P8515">
        <v>77006</v>
      </c>
      <c r="Q8515">
        <v>5018</v>
      </c>
      <c r="R8515" t="s">
        <v>23</v>
      </c>
      <c r="S8515" s="1" t="s">
        <v>34218</v>
      </c>
    </row>
    <row r="8516" spans="1:19" x14ac:dyDescent="0.25">
      <c r="A8516">
        <v>101476925</v>
      </c>
      <c r="B8516" t="s">
        <v>19628</v>
      </c>
      <c r="C8516" t="s">
        <v>1153</v>
      </c>
      <c r="G8516" t="s">
        <v>19629</v>
      </c>
      <c r="H8516" t="s">
        <v>5644</v>
      </c>
      <c r="I8516" t="s">
        <v>370</v>
      </c>
      <c r="J8516">
        <v>68106</v>
      </c>
      <c r="K8516">
        <v>3466</v>
      </c>
      <c r="L8516" t="s">
        <v>23</v>
      </c>
      <c r="M8516" t="s">
        <v>19629</v>
      </c>
      <c r="N8516" t="s">
        <v>5644</v>
      </c>
      <c r="O8516" t="s">
        <v>370</v>
      </c>
      <c r="P8516">
        <v>68106</v>
      </c>
      <c r="Q8516">
        <v>3466</v>
      </c>
      <c r="R8516" t="s">
        <v>23</v>
      </c>
      <c r="S8516" s="1" t="s">
        <v>34218</v>
      </c>
    </row>
    <row r="8517" spans="1:19" x14ac:dyDescent="0.25">
      <c r="A8517">
        <v>101476942</v>
      </c>
      <c r="B8517" t="s">
        <v>19630</v>
      </c>
      <c r="C8517" t="s">
        <v>19631</v>
      </c>
      <c r="G8517" t="s">
        <v>19632</v>
      </c>
      <c r="H8517" t="s">
        <v>19633</v>
      </c>
      <c r="I8517" t="s">
        <v>153</v>
      </c>
      <c r="J8517">
        <v>70047</v>
      </c>
      <c r="K8517">
        <v>5345</v>
      </c>
      <c r="L8517" t="s">
        <v>23</v>
      </c>
      <c r="M8517" t="s">
        <v>19632</v>
      </c>
      <c r="N8517" t="s">
        <v>19633</v>
      </c>
      <c r="O8517" t="s">
        <v>153</v>
      </c>
      <c r="P8517">
        <v>70047</v>
      </c>
      <c r="Q8517">
        <v>5345</v>
      </c>
      <c r="R8517" t="s">
        <v>23</v>
      </c>
      <c r="S8517" s="1" t="s">
        <v>34218</v>
      </c>
    </row>
    <row r="8518" spans="1:19" x14ac:dyDescent="0.25">
      <c r="A8518">
        <v>101477008</v>
      </c>
      <c r="B8518" t="s">
        <v>19634</v>
      </c>
      <c r="C8518" t="s">
        <v>3843</v>
      </c>
      <c r="G8518" t="s">
        <v>19635</v>
      </c>
      <c r="H8518" t="s">
        <v>311</v>
      </c>
      <c r="I8518" t="s">
        <v>22</v>
      </c>
      <c r="J8518">
        <v>90802</v>
      </c>
      <c r="K8518">
        <v>3823</v>
      </c>
      <c r="L8518" t="s">
        <v>23</v>
      </c>
      <c r="M8518" t="s">
        <v>19635</v>
      </c>
      <c r="N8518" t="s">
        <v>311</v>
      </c>
      <c r="O8518" t="s">
        <v>22</v>
      </c>
      <c r="P8518">
        <v>90802</v>
      </c>
      <c r="Q8518">
        <v>3823</v>
      </c>
      <c r="R8518" t="s">
        <v>23</v>
      </c>
      <c r="S8518" s="1" t="s">
        <v>34218</v>
      </c>
    </row>
    <row r="8519" spans="1:19" x14ac:dyDescent="0.25">
      <c r="A8519">
        <v>101477025</v>
      </c>
      <c r="B8519" t="s">
        <v>19636</v>
      </c>
      <c r="C8519" t="s">
        <v>45</v>
      </c>
      <c r="G8519" t="s">
        <v>19637</v>
      </c>
      <c r="H8519" t="s">
        <v>147</v>
      </c>
      <c r="I8519" t="s">
        <v>22</v>
      </c>
      <c r="J8519">
        <v>91101</v>
      </c>
      <c r="K8519">
        <v>3233</v>
      </c>
      <c r="L8519" t="s">
        <v>23</v>
      </c>
      <c r="M8519" t="s">
        <v>19637</v>
      </c>
      <c r="N8519" t="s">
        <v>147</v>
      </c>
      <c r="O8519" t="s">
        <v>22</v>
      </c>
      <c r="P8519">
        <v>91101</v>
      </c>
      <c r="Q8519">
        <v>3233</v>
      </c>
      <c r="R8519" t="s">
        <v>23</v>
      </c>
      <c r="S8519" s="1" t="s">
        <v>34218</v>
      </c>
    </row>
    <row r="8520" spans="1:19" x14ac:dyDescent="0.25">
      <c r="A8520">
        <v>101477111</v>
      </c>
      <c r="B8520" t="s">
        <v>19072</v>
      </c>
      <c r="C8520" t="s">
        <v>19638</v>
      </c>
      <c r="G8520" t="s">
        <v>19639</v>
      </c>
      <c r="H8520" t="s">
        <v>134</v>
      </c>
      <c r="I8520" t="s">
        <v>135</v>
      </c>
      <c r="J8520">
        <v>60659</v>
      </c>
      <c r="K8520">
        <v>3105</v>
      </c>
      <c r="L8520" t="s">
        <v>23</v>
      </c>
      <c r="M8520" t="s">
        <v>19639</v>
      </c>
      <c r="N8520" t="s">
        <v>134</v>
      </c>
      <c r="O8520" t="s">
        <v>135</v>
      </c>
      <c r="P8520">
        <v>60659</v>
      </c>
      <c r="Q8520">
        <v>3105</v>
      </c>
      <c r="R8520" t="s">
        <v>23</v>
      </c>
      <c r="S8520" s="1" t="s">
        <v>34218</v>
      </c>
    </row>
    <row r="8521" spans="1:19" x14ac:dyDescent="0.25">
      <c r="A8521">
        <v>101477212</v>
      </c>
      <c r="B8521" t="s">
        <v>19640</v>
      </c>
      <c r="C8521" t="s">
        <v>575</v>
      </c>
      <c r="G8521" t="s">
        <v>19641</v>
      </c>
      <c r="H8521" t="s">
        <v>2178</v>
      </c>
      <c r="I8521" t="s">
        <v>187</v>
      </c>
      <c r="J8521">
        <v>55802</v>
      </c>
      <c r="K8521">
        <v>2197</v>
      </c>
      <c r="L8521" t="s">
        <v>23</v>
      </c>
      <c r="M8521" t="s">
        <v>19641</v>
      </c>
      <c r="N8521" t="s">
        <v>2178</v>
      </c>
      <c r="O8521" t="s">
        <v>187</v>
      </c>
      <c r="P8521">
        <v>55802</v>
      </c>
      <c r="Q8521">
        <v>2197</v>
      </c>
      <c r="R8521" t="s">
        <v>23</v>
      </c>
      <c r="S8521" s="1" t="s">
        <v>34218</v>
      </c>
    </row>
    <row r="8522" spans="1:19" x14ac:dyDescent="0.25">
      <c r="A8522">
        <v>101475605</v>
      </c>
      <c r="B8522" t="s">
        <v>19642</v>
      </c>
      <c r="C8522" t="s">
        <v>5283</v>
      </c>
      <c r="G8522" t="s">
        <v>19643</v>
      </c>
      <c r="H8522" t="s">
        <v>2250</v>
      </c>
      <c r="I8522" t="s">
        <v>148</v>
      </c>
      <c r="J8522">
        <v>21401</v>
      </c>
      <c r="L8522" t="s">
        <v>23</v>
      </c>
      <c r="M8522" t="s">
        <v>19643</v>
      </c>
      <c r="N8522" t="s">
        <v>2250</v>
      </c>
      <c r="O8522" t="s">
        <v>148</v>
      </c>
      <c r="P8522">
        <v>21401</v>
      </c>
      <c r="R8522" t="s">
        <v>23</v>
      </c>
      <c r="S8522" s="1" t="s">
        <v>34218</v>
      </c>
    </row>
    <row r="8523" spans="1:19" x14ac:dyDescent="0.25">
      <c r="A8523">
        <v>101475731</v>
      </c>
      <c r="B8523" t="s">
        <v>19644</v>
      </c>
      <c r="C8523" t="s">
        <v>641</v>
      </c>
      <c r="G8523" t="s">
        <v>19645</v>
      </c>
      <c r="H8523" t="s">
        <v>6151</v>
      </c>
      <c r="I8523" t="s">
        <v>33</v>
      </c>
      <c r="J8523">
        <v>17601</v>
      </c>
      <c r="K8523">
        <v>5164</v>
      </c>
      <c r="L8523" t="s">
        <v>23</v>
      </c>
      <c r="M8523" t="s">
        <v>19645</v>
      </c>
      <c r="N8523" t="s">
        <v>6151</v>
      </c>
      <c r="O8523" t="s">
        <v>33</v>
      </c>
      <c r="P8523">
        <v>17601</v>
      </c>
      <c r="Q8523">
        <v>5164</v>
      </c>
      <c r="R8523" t="s">
        <v>23</v>
      </c>
      <c r="S8523" s="1" t="s">
        <v>34218</v>
      </c>
    </row>
    <row r="8524" spans="1:19" x14ac:dyDescent="0.25">
      <c r="A8524">
        <v>101475740</v>
      </c>
      <c r="B8524" t="s">
        <v>19646</v>
      </c>
      <c r="C8524" t="s">
        <v>30</v>
      </c>
      <c r="G8524" t="s">
        <v>19647</v>
      </c>
      <c r="H8524" t="s">
        <v>1315</v>
      </c>
      <c r="I8524" t="s">
        <v>33</v>
      </c>
      <c r="J8524">
        <v>18020</v>
      </c>
      <c r="K8524">
        <v>4272</v>
      </c>
      <c r="L8524" t="s">
        <v>23</v>
      </c>
      <c r="M8524" t="s">
        <v>19647</v>
      </c>
      <c r="N8524" t="s">
        <v>1315</v>
      </c>
      <c r="O8524" t="s">
        <v>33</v>
      </c>
      <c r="P8524">
        <v>18020</v>
      </c>
      <c r="Q8524">
        <v>4272</v>
      </c>
      <c r="R8524" t="s">
        <v>23</v>
      </c>
      <c r="S8524" s="1" t="s">
        <v>34218</v>
      </c>
    </row>
    <row r="8525" spans="1:19" x14ac:dyDescent="0.25">
      <c r="A8525">
        <v>101475909</v>
      </c>
      <c r="B8525" t="s">
        <v>19648</v>
      </c>
      <c r="C8525" t="s">
        <v>1331</v>
      </c>
      <c r="G8525" t="s">
        <v>19649</v>
      </c>
      <c r="H8525" t="s">
        <v>11402</v>
      </c>
      <c r="I8525" t="s">
        <v>178</v>
      </c>
      <c r="J8525">
        <v>44023</v>
      </c>
      <c r="K8525">
        <v>1629</v>
      </c>
      <c r="L8525" t="s">
        <v>23</v>
      </c>
      <c r="M8525" t="s">
        <v>19649</v>
      </c>
      <c r="N8525" t="s">
        <v>11402</v>
      </c>
      <c r="O8525" t="s">
        <v>178</v>
      </c>
      <c r="P8525">
        <v>44023</v>
      </c>
      <c r="Q8525">
        <v>1629</v>
      </c>
      <c r="R8525" t="s">
        <v>23</v>
      </c>
      <c r="S8525" s="1" t="s">
        <v>34218</v>
      </c>
    </row>
    <row r="8526" spans="1:19" x14ac:dyDescent="0.25">
      <c r="A8526">
        <v>101476073</v>
      </c>
      <c r="B8526" t="s">
        <v>19650</v>
      </c>
      <c r="C8526" t="s">
        <v>1327</v>
      </c>
      <c r="G8526" t="s">
        <v>19651</v>
      </c>
      <c r="H8526" t="s">
        <v>202</v>
      </c>
      <c r="I8526" t="s">
        <v>117</v>
      </c>
      <c r="J8526">
        <v>14214</v>
      </c>
      <c r="K8526">
        <v>1710</v>
      </c>
      <c r="L8526" t="s">
        <v>23</v>
      </c>
      <c r="M8526" t="s">
        <v>19651</v>
      </c>
      <c r="N8526" t="s">
        <v>202</v>
      </c>
      <c r="O8526" t="s">
        <v>117</v>
      </c>
      <c r="P8526">
        <v>14214</v>
      </c>
      <c r="Q8526">
        <v>1710</v>
      </c>
      <c r="R8526" t="s">
        <v>23</v>
      </c>
      <c r="S8526" s="1" t="s">
        <v>34218</v>
      </c>
    </row>
    <row r="8527" spans="1:19" x14ac:dyDescent="0.25">
      <c r="A8527">
        <v>101476268</v>
      </c>
      <c r="B8527" t="s">
        <v>19652</v>
      </c>
      <c r="C8527" t="s">
        <v>3110</v>
      </c>
      <c r="G8527" t="s">
        <v>19653</v>
      </c>
      <c r="H8527" t="s">
        <v>5998</v>
      </c>
      <c r="I8527" t="s">
        <v>914</v>
      </c>
      <c r="J8527">
        <v>38114</v>
      </c>
      <c r="K8527">
        <v>3212</v>
      </c>
      <c r="L8527" t="s">
        <v>23</v>
      </c>
      <c r="M8527" t="s">
        <v>19653</v>
      </c>
      <c r="N8527" t="s">
        <v>5998</v>
      </c>
      <c r="O8527" t="s">
        <v>914</v>
      </c>
      <c r="P8527">
        <v>38114</v>
      </c>
      <c r="Q8527">
        <v>3212</v>
      </c>
      <c r="R8527" t="s">
        <v>23</v>
      </c>
      <c r="S8527" s="1" t="s">
        <v>34218</v>
      </c>
    </row>
    <row r="8528" spans="1:19" x14ac:dyDescent="0.25">
      <c r="A8528">
        <v>101476302</v>
      </c>
      <c r="B8528" t="s">
        <v>19654</v>
      </c>
      <c r="C8528" t="s">
        <v>440</v>
      </c>
      <c r="G8528" t="s">
        <v>19655</v>
      </c>
      <c r="H8528" t="s">
        <v>1096</v>
      </c>
      <c r="I8528" t="s">
        <v>1097</v>
      </c>
      <c r="J8528">
        <v>40272</v>
      </c>
      <c r="K8528">
        <v>5804</v>
      </c>
      <c r="L8528" t="s">
        <v>23</v>
      </c>
      <c r="M8528" t="s">
        <v>19655</v>
      </c>
      <c r="N8528" t="s">
        <v>1096</v>
      </c>
      <c r="O8528" t="s">
        <v>1097</v>
      </c>
      <c r="P8528">
        <v>40272</v>
      </c>
      <c r="Q8528">
        <v>5804</v>
      </c>
      <c r="R8528" t="s">
        <v>23</v>
      </c>
      <c r="S8528" s="1" t="s">
        <v>34218</v>
      </c>
    </row>
    <row r="8529" spans="1:19" x14ac:dyDescent="0.25">
      <c r="A8529">
        <v>101476535</v>
      </c>
      <c r="B8529" t="s">
        <v>1449</v>
      </c>
      <c r="C8529" t="s">
        <v>19656</v>
      </c>
      <c r="G8529" t="s">
        <v>19657</v>
      </c>
      <c r="H8529" t="s">
        <v>2407</v>
      </c>
      <c r="I8529" t="s">
        <v>52</v>
      </c>
      <c r="J8529">
        <v>33760</v>
      </c>
      <c r="K8529">
        <v>1421</v>
      </c>
      <c r="L8529" t="s">
        <v>23</v>
      </c>
      <c r="M8529" t="s">
        <v>19657</v>
      </c>
      <c r="N8529" t="s">
        <v>2407</v>
      </c>
      <c r="O8529" t="s">
        <v>52</v>
      </c>
      <c r="P8529">
        <v>33760</v>
      </c>
      <c r="Q8529">
        <v>1421</v>
      </c>
      <c r="R8529" t="s">
        <v>23</v>
      </c>
      <c r="S8529" s="1" t="s">
        <v>34218</v>
      </c>
    </row>
    <row r="8530" spans="1:19" x14ac:dyDescent="0.25">
      <c r="A8530">
        <v>101476537</v>
      </c>
      <c r="B8530" t="s">
        <v>19658</v>
      </c>
      <c r="C8530" t="s">
        <v>498</v>
      </c>
      <c r="G8530" t="s">
        <v>19659</v>
      </c>
      <c r="H8530" t="s">
        <v>2407</v>
      </c>
      <c r="I8530" t="s">
        <v>52</v>
      </c>
      <c r="J8530">
        <v>33764</v>
      </c>
      <c r="K8530">
        <v>1167</v>
      </c>
      <c r="L8530" t="s">
        <v>23</v>
      </c>
      <c r="M8530" t="s">
        <v>19659</v>
      </c>
      <c r="N8530" t="s">
        <v>2407</v>
      </c>
      <c r="O8530" t="s">
        <v>52</v>
      </c>
      <c r="P8530">
        <v>33764</v>
      </c>
      <c r="Q8530">
        <v>1167</v>
      </c>
      <c r="R8530" t="s">
        <v>23</v>
      </c>
      <c r="S8530" s="1" t="s">
        <v>34218</v>
      </c>
    </row>
    <row r="8531" spans="1:19" x14ac:dyDescent="0.25">
      <c r="A8531">
        <v>101476601</v>
      </c>
      <c r="B8531" t="s">
        <v>19660</v>
      </c>
      <c r="C8531" t="s">
        <v>19661</v>
      </c>
      <c r="G8531" t="s">
        <v>19662</v>
      </c>
      <c r="H8531" t="s">
        <v>608</v>
      </c>
      <c r="I8531" t="s">
        <v>52</v>
      </c>
      <c r="J8531">
        <v>34266</v>
      </c>
      <c r="K8531">
        <v>5368</v>
      </c>
      <c r="L8531" t="s">
        <v>23</v>
      </c>
      <c r="M8531" t="s">
        <v>19662</v>
      </c>
      <c r="N8531" t="s">
        <v>608</v>
      </c>
      <c r="O8531" t="s">
        <v>52</v>
      </c>
      <c r="P8531">
        <v>34266</v>
      </c>
      <c r="Q8531">
        <v>5368</v>
      </c>
      <c r="R8531" t="s">
        <v>23</v>
      </c>
      <c r="S8531" s="1" t="s">
        <v>34218</v>
      </c>
    </row>
    <row r="8532" spans="1:19" x14ac:dyDescent="0.25">
      <c r="A8532">
        <v>101476637</v>
      </c>
      <c r="B8532" t="s">
        <v>247</v>
      </c>
      <c r="C8532" t="s">
        <v>2557</v>
      </c>
      <c r="G8532" t="s">
        <v>19663</v>
      </c>
      <c r="H8532" t="s">
        <v>17553</v>
      </c>
      <c r="I8532" t="s">
        <v>52</v>
      </c>
      <c r="J8532">
        <v>34695</v>
      </c>
      <c r="K8532">
        <v>4912</v>
      </c>
      <c r="L8532" t="s">
        <v>23</v>
      </c>
      <c r="M8532" t="s">
        <v>19663</v>
      </c>
      <c r="N8532" t="s">
        <v>17553</v>
      </c>
      <c r="O8532" t="s">
        <v>52</v>
      </c>
      <c r="P8532">
        <v>34695</v>
      </c>
      <c r="Q8532">
        <v>4912</v>
      </c>
      <c r="R8532" t="s">
        <v>23</v>
      </c>
      <c r="S8532" s="1" t="s">
        <v>34218</v>
      </c>
    </row>
    <row r="8533" spans="1:19" x14ac:dyDescent="0.25">
      <c r="A8533">
        <v>101476735</v>
      </c>
      <c r="B8533" t="s">
        <v>19664</v>
      </c>
      <c r="C8533" t="s">
        <v>1036</v>
      </c>
      <c r="G8533" t="s">
        <v>19665</v>
      </c>
      <c r="H8533" t="s">
        <v>19666</v>
      </c>
      <c r="I8533" t="s">
        <v>38</v>
      </c>
      <c r="J8533">
        <v>75110</v>
      </c>
      <c r="K8533">
        <v>8504</v>
      </c>
      <c r="L8533" t="s">
        <v>23</v>
      </c>
      <c r="M8533" t="s">
        <v>19665</v>
      </c>
      <c r="N8533" t="s">
        <v>19666</v>
      </c>
      <c r="O8533" t="s">
        <v>38</v>
      </c>
      <c r="P8533">
        <v>75110</v>
      </c>
      <c r="Q8533">
        <v>8504</v>
      </c>
      <c r="R8533" t="s">
        <v>23</v>
      </c>
      <c r="S8533" s="1" t="s">
        <v>34218</v>
      </c>
    </row>
    <row r="8534" spans="1:19" x14ac:dyDescent="0.25">
      <c r="A8534">
        <v>101476904</v>
      </c>
      <c r="B8534" t="s">
        <v>10543</v>
      </c>
      <c r="C8534" t="s">
        <v>1331</v>
      </c>
      <c r="G8534" t="s">
        <v>19667</v>
      </c>
      <c r="H8534" t="s">
        <v>340</v>
      </c>
      <c r="I8534" t="s">
        <v>241</v>
      </c>
      <c r="J8534">
        <v>67203</v>
      </c>
      <c r="K8534">
        <v>2263</v>
      </c>
      <c r="L8534" t="s">
        <v>23</v>
      </c>
      <c r="M8534" t="s">
        <v>19667</v>
      </c>
      <c r="N8534" t="s">
        <v>340</v>
      </c>
      <c r="O8534" t="s">
        <v>241</v>
      </c>
      <c r="P8534">
        <v>67203</v>
      </c>
      <c r="Q8534">
        <v>2263</v>
      </c>
      <c r="R8534" t="s">
        <v>23</v>
      </c>
      <c r="S8534" s="1" t="s">
        <v>34218</v>
      </c>
    </row>
    <row r="8535" spans="1:19" x14ac:dyDescent="0.25">
      <c r="A8535">
        <v>101477082</v>
      </c>
      <c r="B8535" t="s">
        <v>3893</v>
      </c>
      <c r="C8535" t="s">
        <v>571</v>
      </c>
      <c r="G8535" t="s">
        <v>19668</v>
      </c>
      <c r="H8535" t="s">
        <v>134</v>
      </c>
      <c r="I8535" t="s">
        <v>135</v>
      </c>
      <c r="J8535">
        <v>60625</v>
      </c>
      <c r="K8535">
        <v>1006</v>
      </c>
      <c r="L8535" t="s">
        <v>23</v>
      </c>
      <c r="M8535" t="s">
        <v>19668</v>
      </c>
      <c r="N8535" t="s">
        <v>134</v>
      </c>
      <c r="O8535" t="s">
        <v>135</v>
      </c>
      <c r="P8535">
        <v>60625</v>
      </c>
      <c r="Q8535">
        <v>1006</v>
      </c>
      <c r="R8535" t="s">
        <v>23</v>
      </c>
      <c r="S8535" s="1" t="s">
        <v>34218</v>
      </c>
    </row>
    <row r="8536" spans="1:19" x14ac:dyDescent="0.25">
      <c r="A8536">
        <v>101477105</v>
      </c>
      <c r="B8536" t="s">
        <v>19669</v>
      </c>
      <c r="C8536" t="s">
        <v>19670</v>
      </c>
      <c r="G8536" t="s">
        <v>19671</v>
      </c>
      <c r="H8536" t="s">
        <v>134</v>
      </c>
      <c r="I8536" t="s">
        <v>135</v>
      </c>
      <c r="J8536">
        <v>60649</v>
      </c>
      <c r="K8536">
        <v>2798</v>
      </c>
      <c r="L8536" t="s">
        <v>23</v>
      </c>
      <c r="M8536" t="s">
        <v>19671</v>
      </c>
      <c r="N8536" t="s">
        <v>134</v>
      </c>
      <c r="O8536" t="s">
        <v>135</v>
      </c>
      <c r="P8536">
        <v>60649</v>
      </c>
      <c r="Q8536">
        <v>2798</v>
      </c>
      <c r="R8536" t="s">
        <v>23</v>
      </c>
      <c r="S8536" s="1" t="s">
        <v>34218</v>
      </c>
    </row>
    <row r="8537" spans="1:19" x14ac:dyDescent="0.25">
      <c r="A8537">
        <v>101477171</v>
      </c>
      <c r="B8537" t="s">
        <v>19672</v>
      </c>
      <c r="C8537" t="s">
        <v>137</v>
      </c>
      <c r="G8537" t="s">
        <v>19673</v>
      </c>
      <c r="H8537" t="s">
        <v>1929</v>
      </c>
      <c r="I8537" t="s">
        <v>126</v>
      </c>
      <c r="J8537">
        <v>63077</v>
      </c>
      <c r="K8537">
        <v>1246</v>
      </c>
      <c r="L8537" t="s">
        <v>23</v>
      </c>
      <c r="M8537" t="s">
        <v>19673</v>
      </c>
      <c r="N8537" t="s">
        <v>1929</v>
      </c>
      <c r="O8537" t="s">
        <v>126</v>
      </c>
      <c r="P8537">
        <v>63077</v>
      </c>
      <c r="Q8537">
        <v>1246</v>
      </c>
      <c r="R8537" t="s">
        <v>23</v>
      </c>
      <c r="S8537" s="1" t="s">
        <v>34218</v>
      </c>
    </row>
    <row r="8538" spans="1:19" x14ac:dyDescent="0.25">
      <c r="A8538">
        <v>101477341</v>
      </c>
      <c r="B8538" t="s">
        <v>19674</v>
      </c>
      <c r="C8538" t="s">
        <v>102</v>
      </c>
      <c r="G8538" t="s">
        <v>19675</v>
      </c>
      <c r="H8538" t="s">
        <v>2809</v>
      </c>
      <c r="I8538" t="s">
        <v>135</v>
      </c>
      <c r="J8538">
        <v>60304</v>
      </c>
      <c r="K8538">
        <v>1211</v>
      </c>
      <c r="L8538" t="s">
        <v>23</v>
      </c>
      <c r="M8538" t="s">
        <v>19675</v>
      </c>
      <c r="N8538" t="s">
        <v>2809</v>
      </c>
      <c r="O8538" t="s">
        <v>135</v>
      </c>
      <c r="P8538">
        <v>60304</v>
      </c>
      <c r="Q8538">
        <v>1211</v>
      </c>
      <c r="R8538" t="s">
        <v>23</v>
      </c>
      <c r="S8538" s="1" t="s">
        <v>34218</v>
      </c>
    </row>
    <row r="8539" spans="1:19" x14ac:dyDescent="0.25">
      <c r="A8539">
        <v>101477350</v>
      </c>
      <c r="B8539" t="s">
        <v>19676</v>
      </c>
      <c r="C8539" t="s">
        <v>1306</v>
      </c>
      <c r="G8539" t="s">
        <v>19677</v>
      </c>
      <c r="H8539" t="s">
        <v>9705</v>
      </c>
      <c r="I8539" t="s">
        <v>135</v>
      </c>
      <c r="J8539">
        <v>60448</v>
      </c>
      <c r="K8539">
        <v>8130</v>
      </c>
      <c r="L8539" t="s">
        <v>23</v>
      </c>
      <c r="M8539" t="s">
        <v>19677</v>
      </c>
      <c r="N8539" t="s">
        <v>9705</v>
      </c>
      <c r="O8539" t="s">
        <v>135</v>
      </c>
      <c r="P8539">
        <v>60448</v>
      </c>
      <c r="Q8539">
        <v>8130</v>
      </c>
      <c r="R8539" t="s">
        <v>23</v>
      </c>
      <c r="S8539" s="1" t="s">
        <v>34218</v>
      </c>
    </row>
    <row r="8540" spans="1:19" x14ac:dyDescent="0.25">
      <c r="A8540">
        <v>101477414</v>
      </c>
      <c r="B8540" t="s">
        <v>19678</v>
      </c>
      <c r="C8540" t="s">
        <v>5274</v>
      </c>
      <c r="G8540" t="s">
        <v>19679</v>
      </c>
      <c r="H8540" t="s">
        <v>1787</v>
      </c>
      <c r="I8540" t="s">
        <v>702</v>
      </c>
      <c r="J8540">
        <v>89121</v>
      </c>
      <c r="K8540">
        <v>5629</v>
      </c>
      <c r="L8540" t="s">
        <v>23</v>
      </c>
      <c r="M8540" t="s">
        <v>19679</v>
      </c>
      <c r="N8540" t="s">
        <v>1787</v>
      </c>
      <c r="O8540" t="s">
        <v>702</v>
      </c>
      <c r="P8540">
        <v>89121</v>
      </c>
      <c r="Q8540">
        <v>5629</v>
      </c>
      <c r="R8540" t="s">
        <v>23</v>
      </c>
      <c r="S8540" s="1" t="s">
        <v>34218</v>
      </c>
    </row>
    <row r="8541" spans="1:19" x14ac:dyDescent="0.25">
      <c r="A8541">
        <v>101477441</v>
      </c>
      <c r="B8541" t="s">
        <v>19680</v>
      </c>
      <c r="C8541" t="s">
        <v>4488</v>
      </c>
      <c r="G8541" t="s">
        <v>19681</v>
      </c>
      <c r="H8541" t="s">
        <v>1857</v>
      </c>
      <c r="I8541" t="s">
        <v>702</v>
      </c>
      <c r="J8541">
        <v>89503</v>
      </c>
      <c r="K8541">
        <v>3337</v>
      </c>
      <c r="L8541" t="s">
        <v>23</v>
      </c>
      <c r="M8541" t="s">
        <v>19681</v>
      </c>
      <c r="N8541" t="s">
        <v>1857</v>
      </c>
      <c r="O8541" t="s">
        <v>702</v>
      </c>
      <c r="P8541">
        <v>89503</v>
      </c>
      <c r="Q8541">
        <v>3337</v>
      </c>
      <c r="R8541" t="s">
        <v>23</v>
      </c>
      <c r="S8541" s="1" t="s">
        <v>34218</v>
      </c>
    </row>
    <row r="8542" spans="1:19" x14ac:dyDescent="0.25">
      <c r="A8542">
        <v>101477482</v>
      </c>
      <c r="B8542" t="s">
        <v>19682</v>
      </c>
      <c r="C8542" t="s">
        <v>535</v>
      </c>
      <c r="G8542" t="s">
        <v>19683</v>
      </c>
      <c r="H8542" t="s">
        <v>3523</v>
      </c>
      <c r="I8542" t="s">
        <v>22</v>
      </c>
      <c r="J8542">
        <v>90043</v>
      </c>
      <c r="K8542">
        <v>2012</v>
      </c>
      <c r="L8542" t="s">
        <v>23</v>
      </c>
      <c r="M8542" t="s">
        <v>19683</v>
      </c>
      <c r="N8542" t="s">
        <v>3523</v>
      </c>
      <c r="O8542" t="s">
        <v>22</v>
      </c>
      <c r="P8542">
        <v>90043</v>
      </c>
      <c r="Q8542">
        <v>2012</v>
      </c>
      <c r="R8542" t="s">
        <v>23</v>
      </c>
      <c r="S8542" s="1" t="s">
        <v>34218</v>
      </c>
    </row>
    <row r="8543" spans="1:19" x14ac:dyDescent="0.25">
      <c r="A8543">
        <v>101477541</v>
      </c>
      <c r="B8543" t="s">
        <v>19684</v>
      </c>
      <c r="C8543" t="s">
        <v>585</v>
      </c>
      <c r="G8543" t="s">
        <v>19685</v>
      </c>
      <c r="H8543" t="s">
        <v>19686</v>
      </c>
      <c r="I8543" t="s">
        <v>100</v>
      </c>
      <c r="J8543">
        <v>53916</v>
      </c>
      <c r="K8543">
        <v>2756</v>
      </c>
      <c r="L8543" t="s">
        <v>23</v>
      </c>
      <c r="M8543" t="s">
        <v>19685</v>
      </c>
      <c r="N8543" t="s">
        <v>19686</v>
      </c>
      <c r="O8543" t="s">
        <v>100</v>
      </c>
      <c r="P8543">
        <v>53916</v>
      </c>
      <c r="Q8543">
        <v>2756</v>
      </c>
      <c r="R8543" t="s">
        <v>23</v>
      </c>
      <c r="S8543" s="1" t="s">
        <v>34218</v>
      </c>
    </row>
    <row r="8544" spans="1:19" x14ac:dyDescent="0.25">
      <c r="A8544">
        <v>101477648</v>
      </c>
      <c r="B8544" t="s">
        <v>19687</v>
      </c>
      <c r="C8544" t="s">
        <v>18565</v>
      </c>
      <c r="G8544" t="s">
        <v>19688</v>
      </c>
      <c r="H8544" t="s">
        <v>186</v>
      </c>
      <c r="I8544" t="s">
        <v>187</v>
      </c>
      <c r="J8544">
        <v>55343</v>
      </c>
      <c r="K8544">
        <v>4308</v>
      </c>
      <c r="L8544" t="s">
        <v>23</v>
      </c>
      <c r="M8544" t="s">
        <v>19688</v>
      </c>
      <c r="N8544" t="s">
        <v>186</v>
      </c>
      <c r="O8544" t="s">
        <v>187</v>
      </c>
      <c r="P8544">
        <v>55343</v>
      </c>
      <c r="Q8544">
        <v>4308</v>
      </c>
      <c r="R8544" t="s">
        <v>23</v>
      </c>
      <c r="S8544" s="1" t="s">
        <v>34218</v>
      </c>
    </row>
    <row r="8545" spans="1:19" x14ac:dyDescent="0.25">
      <c r="A8545">
        <v>101477882</v>
      </c>
      <c r="B8545" t="s">
        <v>19689</v>
      </c>
      <c r="C8545" t="s">
        <v>1036</v>
      </c>
      <c r="G8545" t="s">
        <v>19690</v>
      </c>
      <c r="H8545" t="s">
        <v>19691</v>
      </c>
      <c r="I8545" t="s">
        <v>140</v>
      </c>
      <c r="J8545">
        <v>49720</v>
      </c>
      <c r="K8545">
        <v>9411</v>
      </c>
      <c r="L8545" t="s">
        <v>23</v>
      </c>
      <c r="M8545" t="s">
        <v>19690</v>
      </c>
      <c r="N8545" t="s">
        <v>19691</v>
      </c>
      <c r="O8545" t="s">
        <v>140</v>
      </c>
      <c r="P8545">
        <v>49720</v>
      </c>
      <c r="Q8545">
        <v>9411</v>
      </c>
      <c r="R8545" t="s">
        <v>23</v>
      </c>
      <c r="S8545" s="1" t="s">
        <v>34218</v>
      </c>
    </row>
    <row r="8546" spans="1:19" x14ac:dyDescent="0.25">
      <c r="A8546">
        <v>101477949</v>
      </c>
      <c r="B8546" t="s">
        <v>1164</v>
      </c>
      <c r="C8546" t="s">
        <v>1327</v>
      </c>
      <c r="G8546" t="s">
        <v>19692</v>
      </c>
      <c r="H8546" t="s">
        <v>2341</v>
      </c>
      <c r="I8546" t="s">
        <v>100</v>
      </c>
      <c r="J8546">
        <v>53083</v>
      </c>
      <c r="K8546">
        <v>2173</v>
      </c>
      <c r="L8546" t="s">
        <v>23</v>
      </c>
      <c r="M8546" t="s">
        <v>19692</v>
      </c>
      <c r="N8546" t="s">
        <v>2341</v>
      </c>
      <c r="O8546" t="s">
        <v>100</v>
      </c>
      <c r="P8546">
        <v>53083</v>
      </c>
      <c r="Q8546">
        <v>2173</v>
      </c>
      <c r="R8546" t="s">
        <v>23</v>
      </c>
      <c r="S8546" s="1" t="s">
        <v>34218</v>
      </c>
    </row>
    <row r="8547" spans="1:19" x14ac:dyDescent="0.25">
      <c r="A8547">
        <v>101478051</v>
      </c>
      <c r="B8547" t="s">
        <v>19693</v>
      </c>
      <c r="C8547" t="s">
        <v>2127</v>
      </c>
      <c r="G8547" t="s">
        <v>18527</v>
      </c>
      <c r="H8547" t="s">
        <v>1962</v>
      </c>
      <c r="I8547" t="s">
        <v>348</v>
      </c>
      <c r="J8547">
        <v>83455</v>
      </c>
      <c r="K8547">
        <v>934</v>
      </c>
      <c r="L8547" t="s">
        <v>23</v>
      </c>
      <c r="M8547" t="s">
        <v>18527</v>
      </c>
      <c r="N8547" t="s">
        <v>1962</v>
      </c>
      <c r="O8547" t="s">
        <v>348</v>
      </c>
      <c r="P8547">
        <v>83455</v>
      </c>
      <c r="Q8547">
        <v>934</v>
      </c>
      <c r="R8547" t="s">
        <v>23</v>
      </c>
      <c r="S8547" s="1" t="s">
        <v>34218</v>
      </c>
    </row>
    <row r="8548" spans="1:19" x14ac:dyDescent="0.25">
      <c r="A8548">
        <v>101478110</v>
      </c>
      <c r="B8548" t="s">
        <v>1595</v>
      </c>
      <c r="C8548" t="s">
        <v>2180</v>
      </c>
      <c r="G8548" t="s">
        <v>19694</v>
      </c>
      <c r="H8548" t="s">
        <v>17400</v>
      </c>
      <c r="I8548" t="s">
        <v>332</v>
      </c>
      <c r="J8548">
        <v>84604</v>
      </c>
      <c r="K8548">
        <v>5444</v>
      </c>
      <c r="L8548" t="s">
        <v>23</v>
      </c>
      <c r="M8548" t="s">
        <v>19694</v>
      </c>
      <c r="N8548" t="s">
        <v>17400</v>
      </c>
      <c r="O8548" t="s">
        <v>332</v>
      </c>
      <c r="P8548">
        <v>84604</v>
      </c>
      <c r="Q8548">
        <v>5444</v>
      </c>
      <c r="R8548" t="s">
        <v>23</v>
      </c>
      <c r="S8548" s="1" t="s">
        <v>34218</v>
      </c>
    </row>
    <row r="8549" spans="1:19" x14ac:dyDescent="0.25">
      <c r="A8549">
        <v>101478142</v>
      </c>
      <c r="B8549" t="s">
        <v>19695</v>
      </c>
      <c r="C8549" t="s">
        <v>123</v>
      </c>
      <c r="G8549" t="s">
        <v>19696</v>
      </c>
      <c r="H8549" t="s">
        <v>19697</v>
      </c>
      <c r="I8549" t="s">
        <v>365</v>
      </c>
      <c r="J8549">
        <v>85119</v>
      </c>
      <c r="K8549">
        <v>8426</v>
      </c>
      <c r="L8549" t="s">
        <v>23</v>
      </c>
      <c r="M8549" t="s">
        <v>19696</v>
      </c>
      <c r="N8549" t="s">
        <v>19697</v>
      </c>
      <c r="O8549" t="s">
        <v>365</v>
      </c>
      <c r="P8549">
        <v>85119</v>
      </c>
      <c r="Q8549">
        <v>8426</v>
      </c>
      <c r="R8549" t="s">
        <v>23</v>
      </c>
      <c r="S8549" s="1" t="s">
        <v>34218</v>
      </c>
    </row>
    <row r="8550" spans="1:19" x14ac:dyDescent="0.25">
      <c r="A8550">
        <v>101478144</v>
      </c>
      <c r="B8550" t="s">
        <v>19698</v>
      </c>
      <c r="C8550" t="s">
        <v>18574</v>
      </c>
      <c r="G8550" t="s">
        <v>19699</v>
      </c>
      <c r="H8550" t="s">
        <v>19700</v>
      </c>
      <c r="I8550" t="s">
        <v>365</v>
      </c>
      <c r="J8550">
        <v>85142</v>
      </c>
      <c r="K8550">
        <v>6908</v>
      </c>
      <c r="L8550" t="s">
        <v>23</v>
      </c>
      <c r="M8550" t="s">
        <v>19699</v>
      </c>
      <c r="N8550" t="s">
        <v>19700</v>
      </c>
      <c r="O8550" t="s">
        <v>365</v>
      </c>
      <c r="P8550">
        <v>85142</v>
      </c>
      <c r="Q8550">
        <v>6908</v>
      </c>
      <c r="R8550" t="s">
        <v>23</v>
      </c>
      <c r="S8550" s="1" t="s">
        <v>34218</v>
      </c>
    </row>
    <row r="8551" spans="1:19" x14ac:dyDescent="0.25">
      <c r="A8551">
        <v>101477226</v>
      </c>
      <c r="B8551" t="s">
        <v>2238</v>
      </c>
      <c r="C8551" t="s">
        <v>522</v>
      </c>
      <c r="G8551" t="s">
        <v>19701</v>
      </c>
      <c r="H8551" t="s">
        <v>10866</v>
      </c>
      <c r="I8551" t="s">
        <v>187</v>
      </c>
      <c r="J8551">
        <v>56001</v>
      </c>
      <c r="K8551">
        <v>4279</v>
      </c>
      <c r="L8551" t="s">
        <v>23</v>
      </c>
      <c r="M8551" t="s">
        <v>19701</v>
      </c>
      <c r="N8551" t="s">
        <v>10866</v>
      </c>
      <c r="O8551" t="s">
        <v>187</v>
      </c>
      <c r="P8551">
        <v>56001</v>
      </c>
      <c r="Q8551">
        <v>4279</v>
      </c>
      <c r="R8551" t="s">
        <v>23</v>
      </c>
      <c r="S8551" s="1" t="s">
        <v>34218</v>
      </c>
    </row>
    <row r="8552" spans="1:19" x14ac:dyDescent="0.25">
      <c r="A8552">
        <v>101477262</v>
      </c>
      <c r="B8552" t="s">
        <v>19702</v>
      </c>
      <c r="C8552" t="s">
        <v>911</v>
      </c>
      <c r="G8552" t="s">
        <v>19703</v>
      </c>
      <c r="H8552" t="s">
        <v>2141</v>
      </c>
      <c r="I8552" t="s">
        <v>1000</v>
      </c>
      <c r="J8552">
        <v>59715</v>
      </c>
      <c r="K8552">
        <v>5392</v>
      </c>
      <c r="L8552" t="s">
        <v>23</v>
      </c>
      <c r="M8552" t="s">
        <v>19703</v>
      </c>
      <c r="N8552" t="s">
        <v>2141</v>
      </c>
      <c r="O8552" t="s">
        <v>1000</v>
      </c>
      <c r="P8552">
        <v>59715</v>
      </c>
      <c r="Q8552">
        <v>5392</v>
      </c>
      <c r="R8552" t="s">
        <v>23</v>
      </c>
      <c r="S8552" s="1" t="s">
        <v>34218</v>
      </c>
    </row>
    <row r="8553" spans="1:19" x14ac:dyDescent="0.25">
      <c r="A8553">
        <v>101477493</v>
      </c>
      <c r="B8553" t="s">
        <v>4779</v>
      </c>
      <c r="C8553" t="s">
        <v>2518</v>
      </c>
      <c r="G8553" t="s">
        <v>19704</v>
      </c>
      <c r="H8553" t="s">
        <v>299</v>
      </c>
      <c r="I8553" t="s">
        <v>22</v>
      </c>
      <c r="J8553">
        <v>90065</v>
      </c>
      <c r="K8553">
        <v>4132</v>
      </c>
      <c r="L8553" t="s">
        <v>23</v>
      </c>
      <c r="M8553" t="s">
        <v>19704</v>
      </c>
      <c r="N8553" t="s">
        <v>299</v>
      </c>
      <c r="O8553" t="s">
        <v>22</v>
      </c>
      <c r="P8553">
        <v>90065</v>
      </c>
      <c r="Q8553">
        <v>4132</v>
      </c>
      <c r="R8553" t="s">
        <v>23</v>
      </c>
      <c r="S8553" s="1" t="s">
        <v>34218</v>
      </c>
    </row>
    <row r="8554" spans="1:19" x14ac:dyDescent="0.25">
      <c r="A8554">
        <v>101477612</v>
      </c>
      <c r="B8554" t="s">
        <v>19705</v>
      </c>
      <c r="C8554" t="s">
        <v>1616</v>
      </c>
      <c r="G8554" t="s">
        <v>19706</v>
      </c>
      <c r="H8554" t="s">
        <v>19707</v>
      </c>
      <c r="I8554" t="s">
        <v>187</v>
      </c>
      <c r="J8554">
        <v>55068</v>
      </c>
      <c r="K8554">
        <v>3583</v>
      </c>
      <c r="L8554" t="s">
        <v>23</v>
      </c>
      <c r="M8554" t="s">
        <v>19706</v>
      </c>
      <c r="N8554" t="s">
        <v>19707</v>
      </c>
      <c r="O8554" t="s">
        <v>187</v>
      </c>
      <c r="P8554">
        <v>55068</v>
      </c>
      <c r="Q8554">
        <v>3583</v>
      </c>
      <c r="R8554" t="s">
        <v>23</v>
      </c>
      <c r="S8554" s="1" t="s">
        <v>34218</v>
      </c>
    </row>
    <row r="8555" spans="1:19" x14ac:dyDescent="0.25">
      <c r="A8555">
        <v>101477643</v>
      </c>
      <c r="B8555" t="s">
        <v>19708</v>
      </c>
      <c r="C8555" t="s">
        <v>155</v>
      </c>
      <c r="G8555" t="s">
        <v>19709</v>
      </c>
      <c r="H8555" t="s">
        <v>19710</v>
      </c>
      <c r="I8555" t="s">
        <v>187</v>
      </c>
      <c r="J8555">
        <v>55318</v>
      </c>
      <c r="K8555">
        <v>1756</v>
      </c>
      <c r="L8555" t="s">
        <v>23</v>
      </c>
      <c r="M8555" t="s">
        <v>19709</v>
      </c>
      <c r="N8555" t="s">
        <v>19710</v>
      </c>
      <c r="O8555" t="s">
        <v>187</v>
      </c>
      <c r="P8555">
        <v>55318</v>
      </c>
      <c r="Q8555">
        <v>1756</v>
      </c>
      <c r="R8555" t="s">
        <v>23</v>
      </c>
      <c r="S8555" s="1" t="s">
        <v>34218</v>
      </c>
    </row>
    <row r="8556" spans="1:19" x14ac:dyDescent="0.25">
      <c r="A8556">
        <v>101477644</v>
      </c>
      <c r="B8556" t="s">
        <v>1646</v>
      </c>
      <c r="C8556" t="s">
        <v>483</v>
      </c>
      <c r="G8556" t="s">
        <v>19711</v>
      </c>
      <c r="H8556" t="s">
        <v>19712</v>
      </c>
      <c r="I8556" t="s">
        <v>187</v>
      </c>
      <c r="J8556">
        <v>55330</v>
      </c>
      <c r="K8556">
        <v>2038</v>
      </c>
      <c r="L8556" t="s">
        <v>23</v>
      </c>
      <c r="M8556" t="s">
        <v>19711</v>
      </c>
      <c r="N8556" t="s">
        <v>19712</v>
      </c>
      <c r="O8556" t="s">
        <v>187</v>
      </c>
      <c r="P8556">
        <v>55330</v>
      </c>
      <c r="Q8556">
        <v>2038</v>
      </c>
      <c r="R8556" t="s">
        <v>23</v>
      </c>
      <c r="S8556" s="1" t="s">
        <v>34218</v>
      </c>
    </row>
    <row r="8557" spans="1:19" x14ac:dyDescent="0.25">
      <c r="A8557">
        <v>101477661</v>
      </c>
      <c r="B8557" t="s">
        <v>19713</v>
      </c>
      <c r="C8557" t="s">
        <v>14620</v>
      </c>
      <c r="G8557" t="s">
        <v>19714</v>
      </c>
      <c r="H8557" t="s">
        <v>569</v>
      </c>
      <c r="I8557" t="s">
        <v>187</v>
      </c>
      <c r="J8557">
        <v>55406</v>
      </c>
      <c r="K8557">
        <v>4054</v>
      </c>
      <c r="L8557" t="s">
        <v>23</v>
      </c>
      <c r="M8557" t="s">
        <v>19714</v>
      </c>
      <c r="N8557" t="s">
        <v>569</v>
      </c>
      <c r="O8557" t="s">
        <v>187</v>
      </c>
      <c r="P8557">
        <v>55406</v>
      </c>
      <c r="Q8557">
        <v>4054</v>
      </c>
      <c r="R8557" t="s">
        <v>23</v>
      </c>
      <c r="S8557" s="1" t="s">
        <v>34218</v>
      </c>
    </row>
    <row r="8558" spans="1:19" x14ac:dyDescent="0.25">
      <c r="A8558">
        <v>101477812</v>
      </c>
      <c r="B8558" t="s">
        <v>19715</v>
      </c>
      <c r="C8558" t="s">
        <v>19716</v>
      </c>
      <c r="G8558" t="s">
        <v>19717</v>
      </c>
      <c r="H8558" t="s">
        <v>638</v>
      </c>
      <c r="I8558" t="s">
        <v>639</v>
      </c>
      <c r="J8558">
        <v>87109</v>
      </c>
      <c r="K8558">
        <v>1924</v>
      </c>
      <c r="L8558" t="s">
        <v>23</v>
      </c>
      <c r="M8558" t="s">
        <v>19717</v>
      </c>
      <c r="N8558" t="s">
        <v>638</v>
      </c>
      <c r="O8558" t="s">
        <v>639</v>
      </c>
      <c r="P8558">
        <v>87109</v>
      </c>
      <c r="Q8558">
        <v>1924</v>
      </c>
      <c r="R8558" t="s">
        <v>23</v>
      </c>
      <c r="S8558" s="1" t="s">
        <v>34218</v>
      </c>
    </row>
    <row r="8559" spans="1:19" x14ac:dyDescent="0.25">
      <c r="A8559">
        <v>101477829</v>
      </c>
      <c r="B8559" t="s">
        <v>2937</v>
      </c>
      <c r="C8559" t="s">
        <v>329</v>
      </c>
      <c r="G8559" t="s">
        <v>19718</v>
      </c>
      <c r="H8559" t="s">
        <v>638</v>
      </c>
      <c r="I8559" t="s">
        <v>639</v>
      </c>
      <c r="J8559">
        <v>87191</v>
      </c>
      <c r="K8559">
        <v>4463</v>
      </c>
      <c r="L8559" t="s">
        <v>23</v>
      </c>
      <c r="M8559" t="s">
        <v>19718</v>
      </c>
      <c r="N8559" t="s">
        <v>638</v>
      </c>
      <c r="O8559" t="s">
        <v>639</v>
      </c>
      <c r="P8559">
        <v>87191</v>
      </c>
      <c r="Q8559">
        <v>4463</v>
      </c>
      <c r="R8559" t="s">
        <v>23</v>
      </c>
      <c r="S8559" s="1" t="s">
        <v>34218</v>
      </c>
    </row>
    <row r="8560" spans="1:19" x14ac:dyDescent="0.25">
      <c r="A8560">
        <v>101477830</v>
      </c>
      <c r="B8560" t="s">
        <v>19719</v>
      </c>
      <c r="C8560" t="s">
        <v>19720</v>
      </c>
      <c r="G8560" t="s">
        <v>19721</v>
      </c>
      <c r="H8560" t="s">
        <v>5872</v>
      </c>
      <c r="I8560" t="s">
        <v>639</v>
      </c>
      <c r="J8560">
        <v>87301</v>
      </c>
      <c r="L8560" t="s">
        <v>23</v>
      </c>
      <c r="M8560" t="s">
        <v>19721</v>
      </c>
      <c r="N8560" t="s">
        <v>5872</v>
      </c>
      <c r="O8560" t="s">
        <v>639</v>
      </c>
      <c r="P8560">
        <v>87301</v>
      </c>
      <c r="R8560" t="s">
        <v>23</v>
      </c>
      <c r="S8560" s="1" t="s">
        <v>34218</v>
      </c>
    </row>
    <row r="8561" spans="1:19" x14ac:dyDescent="0.25">
      <c r="A8561">
        <v>101477912</v>
      </c>
      <c r="B8561" t="s">
        <v>2021</v>
      </c>
      <c r="C8561" t="s">
        <v>19722</v>
      </c>
      <c r="G8561" t="s">
        <v>19723</v>
      </c>
      <c r="H8561" t="s">
        <v>2202</v>
      </c>
      <c r="I8561" t="s">
        <v>565</v>
      </c>
      <c r="J8561">
        <v>51104</v>
      </c>
      <c r="K8561">
        <v>1569</v>
      </c>
      <c r="L8561" t="s">
        <v>23</v>
      </c>
      <c r="M8561" t="s">
        <v>19723</v>
      </c>
      <c r="N8561" t="s">
        <v>2202</v>
      </c>
      <c r="O8561" t="s">
        <v>565</v>
      </c>
      <c r="P8561">
        <v>51104</v>
      </c>
      <c r="Q8561">
        <v>1569</v>
      </c>
      <c r="R8561" t="s">
        <v>23</v>
      </c>
      <c r="S8561" s="1" t="s">
        <v>34218</v>
      </c>
    </row>
    <row r="8562" spans="1:19" x14ac:dyDescent="0.25">
      <c r="A8562">
        <v>101477995</v>
      </c>
      <c r="B8562" t="s">
        <v>16485</v>
      </c>
      <c r="C8562" t="s">
        <v>19724</v>
      </c>
      <c r="G8562" t="s">
        <v>19725</v>
      </c>
      <c r="H8562" t="s">
        <v>15104</v>
      </c>
      <c r="I8562" t="s">
        <v>100</v>
      </c>
      <c r="J8562">
        <v>53405</v>
      </c>
      <c r="K8562">
        <v>1310</v>
      </c>
      <c r="L8562" t="s">
        <v>23</v>
      </c>
      <c r="M8562" t="s">
        <v>19725</v>
      </c>
      <c r="N8562" t="s">
        <v>15104</v>
      </c>
      <c r="O8562" t="s">
        <v>100</v>
      </c>
      <c r="P8562">
        <v>53405</v>
      </c>
      <c r="Q8562">
        <v>1310</v>
      </c>
      <c r="R8562" t="s">
        <v>23</v>
      </c>
      <c r="S8562" s="1" t="s">
        <v>34218</v>
      </c>
    </row>
    <row r="8563" spans="1:19" x14ac:dyDescent="0.25">
      <c r="A8563">
        <v>101478030</v>
      </c>
      <c r="B8563" t="s">
        <v>247</v>
      </c>
      <c r="C8563" t="s">
        <v>19726</v>
      </c>
      <c r="G8563" t="s">
        <v>19727</v>
      </c>
      <c r="H8563" t="s">
        <v>4764</v>
      </c>
      <c r="I8563" t="s">
        <v>71</v>
      </c>
      <c r="J8563">
        <v>81506</v>
      </c>
      <c r="K8563">
        <v>4045</v>
      </c>
      <c r="L8563" t="s">
        <v>23</v>
      </c>
      <c r="M8563" t="s">
        <v>19727</v>
      </c>
      <c r="N8563" t="s">
        <v>4764</v>
      </c>
      <c r="O8563" t="s">
        <v>71</v>
      </c>
      <c r="P8563">
        <v>81506</v>
      </c>
      <c r="Q8563">
        <v>4045</v>
      </c>
      <c r="R8563" t="s">
        <v>23</v>
      </c>
      <c r="S8563" s="1" t="s">
        <v>34218</v>
      </c>
    </row>
    <row r="8564" spans="1:19" x14ac:dyDescent="0.25">
      <c r="A8564">
        <v>101478131</v>
      </c>
      <c r="B8564" t="s">
        <v>6400</v>
      </c>
      <c r="C8564" t="s">
        <v>378</v>
      </c>
      <c r="G8564" t="s">
        <v>19728</v>
      </c>
      <c r="H8564" t="s">
        <v>682</v>
      </c>
      <c r="I8564" t="s">
        <v>365</v>
      </c>
      <c r="J8564">
        <v>85022</v>
      </c>
      <c r="K8564">
        <v>2195</v>
      </c>
      <c r="L8564" t="s">
        <v>23</v>
      </c>
      <c r="M8564" t="s">
        <v>19728</v>
      </c>
      <c r="N8564" t="s">
        <v>682</v>
      </c>
      <c r="O8564" t="s">
        <v>365</v>
      </c>
      <c r="P8564">
        <v>85022</v>
      </c>
      <c r="Q8564">
        <v>2195</v>
      </c>
      <c r="R8564" t="s">
        <v>23</v>
      </c>
      <c r="S8564" s="1" t="s">
        <v>34218</v>
      </c>
    </row>
    <row r="8565" spans="1:19" x14ac:dyDescent="0.25">
      <c r="A8565">
        <v>101478249</v>
      </c>
      <c r="B8565" t="s">
        <v>34</v>
      </c>
      <c r="C8565" t="s">
        <v>19729</v>
      </c>
      <c r="G8565" t="s">
        <v>19730</v>
      </c>
      <c r="H8565" t="s">
        <v>5413</v>
      </c>
      <c r="I8565" t="s">
        <v>140</v>
      </c>
      <c r="J8565">
        <v>48336</v>
      </c>
      <c r="L8565" t="s">
        <v>23</v>
      </c>
      <c r="M8565" t="s">
        <v>19730</v>
      </c>
      <c r="N8565" t="s">
        <v>5413</v>
      </c>
      <c r="O8565" t="s">
        <v>140</v>
      </c>
      <c r="P8565">
        <v>48336</v>
      </c>
      <c r="R8565" t="s">
        <v>23</v>
      </c>
      <c r="S8565" s="1" t="s">
        <v>34218</v>
      </c>
    </row>
    <row r="8566" spans="1:19" x14ac:dyDescent="0.25">
      <c r="A8566">
        <v>101478262</v>
      </c>
      <c r="B8566" t="s">
        <v>19731</v>
      </c>
      <c r="C8566" t="s">
        <v>132</v>
      </c>
      <c r="G8566" t="s">
        <v>19732</v>
      </c>
      <c r="H8566" t="s">
        <v>6192</v>
      </c>
      <c r="I8566" t="s">
        <v>140</v>
      </c>
      <c r="J8566">
        <v>48433</v>
      </c>
      <c r="K8566">
        <v>1039</v>
      </c>
      <c r="L8566" t="s">
        <v>23</v>
      </c>
      <c r="M8566" t="s">
        <v>19732</v>
      </c>
      <c r="N8566" t="s">
        <v>6192</v>
      </c>
      <c r="O8566" t="s">
        <v>140</v>
      </c>
      <c r="P8566">
        <v>48433</v>
      </c>
      <c r="Q8566">
        <v>1039</v>
      </c>
      <c r="R8566" t="s">
        <v>23</v>
      </c>
      <c r="S8566" s="1" t="s">
        <v>34218</v>
      </c>
    </row>
    <row r="8567" spans="1:19" x14ac:dyDescent="0.25">
      <c r="A8567">
        <v>101478348</v>
      </c>
      <c r="B8567" t="s">
        <v>19733</v>
      </c>
      <c r="C8567" t="s">
        <v>810</v>
      </c>
      <c r="G8567" t="s">
        <v>19734</v>
      </c>
      <c r="H8567" t="s">
        <v>2289</v>
      </c>
      <c r="I8567" t="s">
        <v>71</v>
      </c>
      <c r="J8567">
        <v>80021</v>
      </c>
      <c r="K8567">
        <v>3651</v>
      </c>
      <c r="L8567" t="s">
        <v>23</v>
      </c>
      <c r="M8567" t="s">
        <v>19734</v>
      </c>
      <c r="N8567" t="s">
        <v>2289</v>
      </c>
      <c r="O8567" t="s">
        <v>71</v>
      </c>
      <c r="P8567">
        <v>80021</v>
      </c>
      <c r="Q8567">
        <v>3651</v>
      </c>
      <c r="R8567" t="s">
        <v>23</v>
      </c>
      <c r="S8567" s="1" t="s">
        <v>34218</v>
      </c>
    </row>
    <row r="8568" spans="1:19" x14ac:dyDescent="0.25">
      <c r="A8568">
        <v>101478349</v>
      </c>
      <c r="B8568" t="s">
        <v>2829</v>
      </c>
      <c r="C8568" t="s">
        <v>8130</v>
      </c>
      <c r="G8568" t="s">
        <v>19735</v>
      </c>
      <c r="H8568" t="s">
        <v>2289</v>
      </c>
      <c r="I8568" t="s">
        <v>71</v>
      </c>
      <c r="J8568">
        <v>80021</v>
      </c>
      <c r="K8568">
        <v>4453</v>
      </c>
      <c r="L8568" t="s">
        <v>23</v>
      </c>
      <c r="M8568" t="s">
        <v>19735</v>
      </c>
      <c r="N8568" t="s">
        <v>2289</v>
      </c>
      <c r="O8568" t="s">
        <v>71</v>
      </c>
      <c r="P8568">
        <v>80021</v>
      </c>
      <c r="Q8568">
        <v>4453</v>
      </c>
      <c r="R8568" t="s">
        <v>23</v>
      </c>
      <c r="S8568" s="1" t="s">
        <v>34218</v>
      </c>
    </row>
    <row r="8569" spans="1:19" x14ac:dyDescent="0.25">
      <c r="A8569">
        <v>101478416</v>
      </c>
      <c r="B8569" t="s">
        <v>9679</v>
      </c>
      <c r="C8569" t="s">
        <v>123</v>
      </c>
      <c r="G8569" t="s">
        <v>19736</v>
      </c>
      <c r="H8569" t="s">
        <v>393</v>
      </c>
      <c r="I8569" t="s">
        <v>71</v>
      </c>
      <c r="J8569">
        <v>80247</v>
      </c>
      <c r="K8569">
        <v>1265</v>
      </c>
      <c r="L8569" t="s">
        <v>23</v>
      </c>
      <c r="M8569" t="s">
        <v>19736</v>
      </c>
      <c r="N8569" t="s">
        <v>393</v>
      </c>
      <c r="O8569" t="s">
        <v>71</v>
      </c>
      <c r="P8569">
        <v>80247</v>
      </c>
      <c r="Q8569">
        <v>1265</v>
      </c>
      <c r="R8569" t="s">
        <v>23</v>
      </c>
      <c r="S8569" s="1" t="s">
        <v>34218</v>
      </c>
    </row>
    <row r="8570" spans="1:19" x14ac:dyDescent="0.25">
      <c r="A8570">
        <v>101481227</v>
      </c>
      <c r="B8570" t="s">
        <v>19737</v>
      </c>
      <c r="C8570" t="s">
        <v>699</v>
      </c>
      <c r="G8570" t="s">
        <v>19738</v>
      </c>
      <c r="H8570" t="s">
        <v>1835</v>
      </c>
      <c r="I8570" t="s">
        <v>33</v>
      </c>
      <c r="J8570">
        <v>19087</v>
      </c>
      <c r="K8570">
        <v>3404</v>
      </c>
      <c r="L8570" t="s">
        <v>23</v>
      </c>
      <c r="M8570" t="s">
        <v>19738</v>
      </c>
      <c r="N8570" t="s">
        <v>1835</v>
      </c>
      <c r="O8570" t="s">
        <v>33</v>
      </c>
      <c r="P8570">
        <v>19087</v>
      </c>
      <c r="Q8570">
        <v>3404</v>
      </c>
      <c r="R8570" t="s">
        <v>23</v>
      </c>
      <c r="S8570" s="1" t="s">
        <v>34218</v>
      </c>
    </row>
    <row r="8571" spans="1:19" x14ac:dyDescent="0.25">
      <c r="A8571">
        <v>101481251</v>
      </c>
      <c r="B8571" t="s">
        <v>19739</v>
      </c>
      <c r="C8571" t="s">
        <v>19740</v>
      </c>
      <c r="G8571" t="s">
        <v>19741</v>
      </c>
      <c r="H8571" t="s">
        <v>1985</v>
      </c>
      <c r="I8571" t="s">
        <v>71</v>
      </c>
      <c r="J8571">
        <v>80918</v>
      </c>
      <c r="K8571">
        <v>4424</v>
      </c>
      <c r="L8571" t="s">
        <v>23</v>
      </c>
      <c r="M8571" t="s">
        <v>19741</v>
      </c>
      <c r="N8571" t="s">
        <v>1985</v>
      </c>
      <c r="O8571" t="s">
        <v>71</v>
      </c>
      <c r="P8571">
        <v>80918</v>
      </c>
      <c r="Q8571">
        <v>4424</v>
      </c>
      <c r="R8571" t="s">
        <v>23</v>
      </c>
      <c r="S8571" s="1" t="s">
        <v>34218</v>
      </c>
    </row>
    <row r="8572" spans="1:19" x14ac:dyDescent="0.25">
      <c r="A8572">
        <v>100820543</v>
      </c>
      <c r="B8572" t="s">
        <v>19742</v>
      </c>
      <c r="C8572" t="s">
        <v>2347</v>
      </c>
      <c r="G8572" t="s">
        <v>19743</v>
      </c>
      <c r="H8572" t="s">
        <v>15748</v>
      </c>
      <c r="I8572" t="s">
        <v>914</v>
      </c>
      <c r="J8572">
        <v>37743</v>
      </c>
      <c r="K8572">
        <v>5714</v>
      </c>
      <c r="L8572" t="s">
        <v>23</v>
      </c>
      <c r="M8572" t="s">
        <v>19743</v>
      </c>
      <c r="N8572" t="s">
        <v>15748</v>
      </c>
      <c r="O8572" t="s">
        <v>914</v>
      </c>
      <c r="P8572">
        <v>37743</v>
      </c>
      <c r="Q8572">
        <v>5714</v>
      </c>
      <c r="R8572" t="s">
        <v>23</v>
      </c>
      <c r="S8572" s="1" t="s">
        <v>34218</v>
      </c>
    </row>
    <row r="8573" spans="1:19" x14ac:dyDescent="0.25">
      <c r="A8573">
        <v>100575878</v>
      </c>
      <c r="B8573" t="s">
        <v>19744</v>
      </c>
      <c r="C8573" t="s">
        <v>19745</v>
      </c>
      <c r="G8573" t="s">
        <v>19746</v>
      </c>
      <c r="H8573" t="s">
        <v>19747</v>
      </c>
      <c r="I8573" t="s">
        <v>1387</v>
      </c>
      <c r="J8573">
        <v>36555</v>
      </c>
      <c r="L8573" t="s">
        <v>23</v>
      </c>
      <c r="M8573" t="s">
        <v>19746</v>
      </c>
      <c r="N8573" t="s">
        <v>19747</v>
      </c>
      <c r="O8573" t="s">
        <v>1387</v>
      </c>
      <c r="P8573">
        <v>36555</v>
      </c>
      <c r="R8573" t="s">
        <v>23</v>
      </c>
      <c r="S8573" s="1" t="s">
        <v>34218</v>
      </c>
    </row>
    <row r="8574" spans="1:19" x14ac:dyDescent="0.25">
      <c r="A8574">
        <v>101478463</v>
      </c>
      <c r="B8574" t="s">
        <v>19748</v>
      </c>
      <c r="C8574" t="s">
        <v>890</v>
      </c>
      <c r="G8574" t="s">
        <v>19749</v>
      </c>
      <c r="H8574" t="s">
        <v>3236</v>
      </c>
      <c r="I8574" t="s">
        <v>71</v>
      </c>
      <c r="J8574">
        <v>80601</v>
      </c>
      <c r="K8574">
        <v>3222</v>
      </c>
      <c r="L8574" t="s">
        <v>23</v>
      </c>
      <c r="M8574" t="s">
        <v>19749</v>
      </c>
      <c r="N8574" t="s">
        <v>3236</v>
      </c>
      <c r="O8574" t="s">
        <v>71</v>
      </c>
      <c r="P8574">
        <v>80601</v>
      </c>
      <c r="Q8574">
        <v>3222</v>
      </c>
      <c r="R8574" t="s">
        <v>23</v>
      </c>
      <c r="S8574" s="1" t="s">
        <v>34218</v>
      </c>
    </row>
    <row r="8575" spans="1:19" x14ac:dyDescent="0.25">
      <c r="A8575">
        <v>101478613</v>
      </c>
      <c r="B8575" t="s">
        <v>276</v>
      </c>
      <c r="C8575" t="s">
        <v>1153</v>
      </c>
      <c r="G8575" t="s">
        <v>19750</v>
      </c>
      <c r="H8575" t="s">
        <v>37</v>
      </c>
      <c r="I8575" t="s">
        <v>38</v>
      </c>
      <c r="J8575">
        <v>78727</v>
      </c>
      <c r="K8575">
        <v>2623</v>
      </c>
      <c r="L8575" t="s">
        <v>23</v>
      </c>
      <c r="M8575" t="s">
        <v>19750</v>
      </c>
      <c r="N8575" t="s">
        <v>37</v>
      </c>
      <c r="O8575" t="s">
        <v>38</v>
      </c>
      <c r="P8575">
        <v>78727</v>
      </c>
      <c r="Q8575">
        <v>2623</v>
      </c>
      <c r="R8575" t="s">
        <v>23</v>
      </c>
      <c r="S8575" s="1" t="s">
        <v>34218</v>
      </c>
    </row>
    <row r="8576" spans="1:19" x14ac:dyDescent="0.25">
      <c r="A8576">
        <v>101478648</v>
      </c>
      <c r="B8576" t="s">
        <v>19751</v>
      </c>
      <c r="C8576" t="s">
        <v>907</v>
      </c>
      <c r="G8576" t="s">
        <v>19752</v>
      </c>
      <c r="H8576" t="s">
        <v>2954</v>
      </c>
      <c r="I8576" t="s">
        <v>43</v>
      </c>
      <c r="J8576">
        <v>97303</v>
      </c>
      <c r="K8576">
        <v>3534</v>
      </c>
      <c r="L8576" t="s">
        <v>23</v>
      </c>
      <c r="M8576" t="s">
        <v>19752</v>
      </c>
      <c r="N8576" t="s">
        <v>2954</v>
      </c>
      <c r="O8576" t="s">
        <v>43</v>
      </c>
      <c r="P8576">
        <v>97303</v>
      </c>
      <c r="Q8576">
        <v>3534</v>
      </c>
      <c r="R8576" t="s">
        <v>23</v>
      </c>
      <c r="S8576" s="1" t="s">
        <v>34218</v>
      </c>
    </row>
    <row r="8577" spans="1:19" x14ac:dyDescent="0.25">
      <c r="A8577">
        <v>101478798</v>
      </c>
      <c r="B8577" t="s">
        <v>1912</v>
      </c>
      <c r="C8577" t="s">
        <v>535</v>
      </c>
      <c r="G8577" t="s">
        <v>19753</v>
      </c>
      <c r="H8577" t="s">
        <v>1531</v>
      </c>
      <c r="I8577" t="s">
        <v>84</v>
      </c>
      <c r="J8577">
        <v>98115</v>
      </c>
      <c r="K8577">
        <v>5714</v>
      </c>
      <c r="L8577" t="s">
        <v>23</v>
      </c>
      <c r="M8577" t="s">
        <v>19753</v>
      </c>
      <c r="N8577" t="s">
        <v>1531</v>
      </c>
      <c r="O8577" t="s">
        <v>84</v>
      </c>
      <c r="P8577">
        <v>98115</v>
      </c>
      <c r="Q8577">
        <v>5714</v>
      </c>
      <c r="R8577" t="s">
        <v>23</v>
      </c>
      <c r="S8577" s="1" t="s">
        <v>34218</v>
      </c>
    </row>
    <row r="8578" spans="1:19" x14ac:dyDescent="0.25">
      <c r="A8578">
        <v>101479031</v>
      </c>
      <c r="B8578" t="s">
        <v>8928</v>
      </c>
      <c r="C8578" t="s">
        <v>12851</v>
      </c>
      <c r="G8578" t="s">
        <v>19754</v>
      </c>
      <c r="H8578" t="s">
        <v>276</v>
      </c>
      <c r="I8578" t="s">
        <v>22</v>
      </c>
      <c r="J8578">
        <v>95616</v>
      </c>
      <c r="K8578">
        <v>3767</v>
      </c>
      <c r="L8578" t="s">
        <v>23</v>
      </c>
      <c r="M8578" t="s">
        <v>19754</v>
      </c>
      <c r="N8578" t="s">
        <v>276</v>
      </c>
      <c r="O8578" t="s">
        <v>22</v>
      </c>
      <c r="P8578">
        <v>95616</v>
      </c>
      <c r="Q8578">
        <v>3767</v>
      </c>
      <c r="R8578" t="s">
        <v>23</v>
      </c>
      <c r="S8578" s="1" t="s">
        <v>34218</v>
      </c>
    </row>
    <row r="8579" spans="1:19" x14ac:dyDescent="0.25">
      <c r="A8579">
        <v>101263591</v>
      </c>
      <c r="B8579" t="s">
        <v>19755</v>
      </c>
      <c r="C8579" t="s">
        <v>1444</v>
      </c>
      <c r="G8579" t="s">
        <v>19756</v>
      </c>
      <c r="H8579" t="s">
        <v>569</v>
      </c>
      <c r="I8579" t="s">
        <v>187</v>
      </c>
      <c r="J8579">
        <v>55405</v>
      </c>
      <c r="K8579">
        <v>3340</v>
      </c>
      <c r="L8579" t="s">
        <v>23</v>
      </c>
      <c r="M8579" t="s">
        <v>19756</v>
      </c>
      <c r="N8579" t="s">
        <v>569</v>
      </c>
      <c r="O8579" t="s">
        <v>187</v>
      </c>
      <c r="P8579">
        <v>55405</v>
      </c>
      <c r="Q8579">
        <v>3340</v>
      </c>
      <c r="R8579" t="s">
        <v>23</v>
      </c>
      <c r="S8579" s="1" t="s">
        <v>34218</v>
      </c>
    </row>
    <row r="8580" spans="1:19" x14ac:dyDescent="0.25">
      <c r="A8580">
        <v>101264680</v>
      </c>
      <c r="B8580" t="s">
        <v>11597</v>
      </c>
      <c r="C8580" t="s">
        <v>1050</v>
      </c>
      <c r="G8580" t="s">
        <v>19757</v>
      </c>
      <c r="H8580" t="s">
        <v>6512</v>
      </c>
      <c r="I8580" t="s">
        <v>255</v>
      </c>
      <c r="J8580">
        <v>24019</v>
      </c>
      <c r="K8580">
        <v>4412</v>
      </c>
      <c r="L8580" t="s">
        <v>23</v>
      </c>
      <c r="M8580" t="s">
        <v>19757</v>
      </c>
      <c r="N8580" t="s">
        <v>6512</v>
      </c>
      <c r="O8580" t="s">
        <v>255</v>
      </c>
      <c r="P8580">
        <v>24019</v>
      </c>
      <c r="Q8580">
        <v>4412</v>
      </c>
      <c r="R8580" t="s">
        <v>23</v>
      </c>
      <c r="S8580" s="1" t="s">
        <v>34218</v>
      </c>
    </row>
    <row r="8581" spans="1:19" x14ac:dyDescent="0.25">
      <c r="A8581">
        <v>101251324</v>
      </c>
      <c r="B8581" t="s">
        <v>19758</v>
      </c>
      <c r="C8581" t="s">
        <v>690</v>
      </c>
      <c r="G8581" t="s">
        <v>19759</v>
      </c>
      <c r="H8581" t="s">
        <v>8481</v>
      </c>
      <c r="I8581" t="s">
        <v>22</v>
      </c>
      <c r="J8581">
        <v>91602</v>
      </c>
      <c r="K8581">
        <v>2216</v>
      </c>
      <c r="L8581" t="s">
        <v>23</v>
      </c>
      <c r="M8581" t="s">
        <v>19759</v>
      </c>
      <c r="N8581" t="s">
        <v>8481</v>
      </c>
      <c r="O8581" t="s">
        <v>22</v>
      </c>
      <c r="P8581">
        <v>91602</v>
      </c>
      <c r="Q8581">
        <v>2216</v>
      </c>
      <c r="R8581" t="s">
        <v>23</v>
      </c>
      <c r="S8581" s="1" t="s">
        <v>34218</v>
      </c>
    </row>
    <row r="8582" spans="1:19" x14ac:dyDescent="0.25">
      <c r="A8582">
        <v>101266478</v>
      </c>
      <c r="B8582" t="s">
        <v>19760</v>
      </c>
      <c r="C8582" t="s">
        <v>2127</v>
      </c>
      <c r="G8582" t="s">
        <v>19761</v>
      </c>
      <c r="H8582" t="s">
        <v>134</v>
      </c>
      <c r="I8582" t="s">
        <v>135</v>
      </c>
      <c r="J8582">
        <v>60628</v>
      </c>
      <c r="K8582">
        <v>5121</v>
      </c>
      <c r="L8582" t="s">
        <v>23</v>
      </c>
      <c r="M8582" t="s">
        <v>19761</v>
      </c>
      <c r="N8582" t="s">
        <v>134</v>
      </c>
      <c r="O8582" t="s">
        <v>135</v>
      </c>
      <c r="P8582">
        <v>60628</v>
      </c>
      <c r="Q8582">
        <v>5121</v>
      </c>
      <c r="R8582" t="s">
        <v>23</v>
      </c>
      <c r="S8582" s="1" t="s">
        <v>34218</v>
      </c>
    </row>
    <row r="8583" spans="1:19" x14ac:dyDescent="0.25">
      <c r="A8583">
        <v>101273170</v>
      </c>
      <c r="B8583" t="s">
        <v>19762</v>
      </c>
      <c r="C8583" t="s">
        <v>40</v>
      </c>
      <c r="F8583" t="str">
        <f>"9702235217"</f>
        <v>9702235217</v>
      </c>
      <c r="G8583" t="s">
        <v>19763</v>
      </c>
      <c r="H8583" t="s">
        <v>2399</v>
      </c>
      <c r="I8583" t="s">
        <v>71</v>
      </c>
      <c r="J8583">
        <v>80525</v>
      </c>
      <c r="K8583">
        <v>6248</v>
      </c>
      <c r="L8583" t="s">
        <v>23</v>
      </c>
      <c r="M8583" t="s">
        <v>19763</v>
      </c>
      <c r="N8583" t="s">
        <v>2399</v>
      </c>
      <c r="O8583" t="s">
        <v>71</v>
      </c>
      <c r="P8583">
        <v>80525</v>
      </c>
      <c r="Q8583">
        <v>6248</v>
      </c>
      <c r="R8583" t="s">
        <v>23</v>
      </c>
      <c r="S8583" s="1" t="s">
        <v>34218</v>
      </c>
    </row>
    <row r="8584" spans="1:19" x14ac:dyDescent="0.25">
      <c r="A8584">
        <v>101266622</v>
      </c>
      <c r="B8584" t="s">
        <v>19764</v>
      </c>
      <c r="C8584" t="s">
        <v>1153</v>
      </c>
      <c r="G8584" t="s">
        <v>19765</v>
      </c>
      <c r="H8584" t="s">
        <v>19766</v>
      </c>
      <c r="I8584" t="s">
        <v>250</v>
      </c>
      <c r="J8584">
        <v>7834</v>
      </c>
      <c r="K8584">
        <v>9505</v>
      </c>
      <c r="L8584" t="s">
        <v>23</v>
      </c>
      <c r="M8584" t="s">
        <v>19765</v>
      </c>
      <c r="N8584" t="s">
        <v>19766</v>
      </c>
      <c r="O8584" t="s">
        <v>250</v>
      </c>
      <c r="P8584">
        <v>7834</v>
      </c>
      <c r="Q8584">
        <v>9505</v>
      </c>
      <c r="R8584" t="s">
        <v>23</v>
      </c>
      <c r="S8584" s="1" t="s">
        <v>34218</v>
      </c>
    </row>
    <row r="8585" spans="1:19" x14ac:dyDescent="0.25">
      <c r="A8585">
        <v>101476944</v>
      </c>
      <c r="B8585" t="s">
        <v>19767</v>
      </c>
      <c r="C8585" t="s">
        <v>1239</v>
      </c>
      <c r="G8585" t="s">
        <v>19768</v>
      </c>
      <c r="H8585" t="s">
        <v>2521</v>
      </c>
      <c r="I8585" t="s">
        <v>153</v>
      </c>
      <c r="J8585">
        <v>70062</v>
      </c>
      <c r="K8585">
        <v>5926</v>
      </c>
      <c r="L8585" t="s">
        <v>23</v>
      </c>
      <c r="M8585" t="s">
        <v>19768</v>
      </c>
      <c r="N8585" t="s">
        <v>2521</v>
      </c>
      <c r="O8585" t="s">
        <v>153</v>
      </c>
      <c r="P8585">
        <v>70062</v>
      </c>
      <c r="Q8585">
        <v>5926</v>
      </c>
      <c r="R8585" t="s">
        <v>23</v>
      </c>
      <c r="S8585" s="1" t="s">
        <v>34218</v>
      </c>
    </row>
    <row r="8586" spans="1:19" x14ac:dyDescent="0.25">
      <c r="A8586">
        <v>101476988</v>
      </c>
      <c r="B8586" t="s">
        <v>19769</v>
      </c>
      <c r="C8586" t="s">
        <v>30</v>
      </c>
      <c r="G8586" t="s">
        <v>19770</v>
      </c>
      <c r="H8586" t="s">
        <v>5269</v>
      </c>
      <c r="I8586" t="s">
        <v>22</v>
      </c>
      <c r="J8586">
        <v>90503</v>
      </c>
      <c r="K8586">
        <v>7222</v>
      </c>
      <c r="L8586" t="s">
        <v>23</v>
      </c>
      <c r="M8586" t="s">
        <v>19770</v>
      </c>
      <c r="N8586" t="s">
        <v>5269</v>
      </c>
      <c r="O8586" t="s">
        <v>22</v>
      </c>
      <c r="P8586">
        <v>90503</v>
      </c>
      <c r="Q8586">
        <v>7222</v>
      </c>
      <c r="R8586" t="s">
        <v>23</v>
      </c>
      <c r="S8586" s="1" t="s">
        <v>34218</v>
      </c>
    </row>
    <row r="8587" spans="1:19" x14ac:dyDescent="0.25">
      <c r="A8587">
        <v>101477006</v>
      </c>
      <c r="B8587" t="s">
        <v>497</v>
      </c>
      <c r="C8587" t="s">
        <v>30</v>
      </c>
      <c r="G8587" t="s">
        <v>19771</v>
      </c>
      <c r="H8587" t="s">
        <v>7427</v>
      </c>
      <c r="I8587" t="s">
        <v>22</v>
      </c>
      <c r="J8587">
        <v>90740</v>
      </c>
      <c r="K8587">
        <v>4279</v>
      </c>
      <c r="L8587" t="s">
        <v>23</v>
      </c>
      <c r="M8587" t="s">
        <v>19771</v>
      </c>
      <c r="N8587" t="s">
        <v>7427</v>
      </c>
      <c r="O8587" t="s">
        <v>22</v>
      </c>
      <c r="P8587">
        <v>90740</v>
      </c>
      <c r="Q8587">
        <v>4279</v>
      </c>
      <c r="R8587" t="s">
        <v>23</v>
      </c>
      <c r="S8587" s="1" t="s">
        <v>34218</v>
      </c>
    </row>
    <row r="8588" spans="1:19" x14ac:dyDescent="0.25">
      <c r="A8588">
        <v>101477088</v>
      </c>
      <c r="B8588" t="s">
        <v>19772</v>
      </c>
      <c r="C8588" t="s">
        <v>627</v>
      </c>
      <c r="G8588" t="s">
        <v>19773</v>
      </c>
      <c r="H8588" t="s">
        <v>134</v>
      </c>
      <c r="I8588" t="s">
        <v>135</v>
      </c>
      <c r="J8588">
        <v>60634</v>
      </c>
      <c r="K8588">
        <v>2652</v>
      </c>
      <c r="L8588" t="s">
        <v>23</v>
      </c>
      <c r="M8588" t="s">
        <v>19773</v>
      </c>
      <c r="N8588" t="s">
        <v>134</v>
      </c>
      <c r="O8588" t="s">
        <v>135</v>
      </c>
      <c r="P8588">
        <v>60634</v>
      </c>
      <c r="Q8588">
        <v>2652</v>
      </c>
      <c r="R8588" t="s">
        <v>23</v>
      </c>
      <c r="S8588" s="1" t="s">
        <v>34218</v>
      </c>
    </row>
    <row r="8589" spans="1:19" x14ac:dyDescent="0.25">
      <c r="A8589">
        <v>101477256</v>
      </c>
      <c r="B8589" t="s">
        <v>15216</v>
      </c>
      <c r="C8589" t="s">
        <v>30</v>
      </c>
      <c r="G8589" t="s">
        <v>19774</v>
      </c>
      <c r="H8589" t="s">
        <v>9625</v>
      </c>
      <c r="I8589" t="s">
        <v>1000</v>
      </c>
      <c r="J8589">
        <v>59105</v>
      </c>
      <c r="K8589">
        <v>2485</v>
      </c>
      <c r="L8589" t="s">
        <v>23</v>
      </c>
      <c r="M8589" t="s">
        <v>19774</v>
      </c>
      <c r="N8589" t="s">
        <v>9625</v>
      </c>
      <c r="O8589" t="s">
        <v>1000</v>
      </c>
      <c r="P8589">
        <v>59105</v>
      </c>
      <c r="Q8589">
        <v>2485</v>
      </c>
      <c r="R8589" t="s">
        <v>23</v>
      </c>
      <c r="S8589" s="1" t="s">
        <v>34218</v>
      </c>
    </row>
    <row r="8590" spans="1:19" x14ac:dyDescent="0.25">
      <c r="A8590">
        <v>101477388</v>
      </c>
      <c r="B8590" t="s">
        <v>19775</v>
      </c>
      <c r="C8590" t="s">
        <v>641</v>
      </c>
      <c r="G8590" t="s">
        <v>19776</v>
      </c>
      <c r="H8590" t="s">
        <v>4382</v>
      </c>
      <c r="I8590" t="s">
        <v>639</v>
      </c>
      <c r="J8590">
        <v>88011</v>
      </c>
      <c r="K8590">
        <v>1820</v>
      </c>
      <c r="L8590" t="s">
        <v>23</v>
      </c>
      <c r="M8590" t="s">
        <v>19776</v>
      </c>
      <c r="N8590" t="s">
        <v>4382</v>
      </c>
      <c r="O8590" t="s">
        <v>639</v>
      </c>
      <c r="P8590">
        <v>88011</v>
      </c>
      <c r="Q8590">
        <v>1820</v>
      </c>
      <c r="R8590" t="s">
        <v>23</v>
      </c>
      <c r="S8590" s="1" t="s">
        <v>34218</v>
      </c>
    </row>
    <row r="8591" spans="1:19" x14ac:dyDescent="0.25">
      <c r="A8591">
        <v>101477406</v>
      </c>
      <c r="B8591" t="s">
        <v>19777</v>
      </c>
      <c r="C8591" t="s">
        <v>6375</v>
      </c>
      <c r="G8591" t="s">
        <v>19778</v>
      </c>
      <c r="H8591" t="s">
        <v>701</v>
      </c>
      <c r="I8591" t="s">
        <v>702</v>
      </c>
      <c r="J8591">
        <v>89084</v>
      </c>
      <c r="K8591">
        <v>1228</v>
      </c>
      <c r="L8591" t="s">
        <v>23</v>
      </c>
      <c r="M8591" t="s">
        <v>19778</v>
      </c>
      <c r="N8591" t="s">
        <v>701</v>
      </c>
      <c r="O8591" t="s">
        <v>702</v>
      </c>
      <c r="P8591">
        <v>89084</v>
      </c>
      <c r="Q8591">
        <v>1228</v>
      </c>
      <c r="R8591" t="s">
        <v>23</v>
      </c>
      <c r="S8591" s="1" t="s">
        <v>34218</v>
      </c>
    </row>
    <row r="8592" spans="1:19" x14ac:dyDescent="0.25">
      <c r="A8592">
        <v>101477492</v>
      </c>
      <c r="B8592" t="s">
        <v>19779</v>
      </c>
      <c r="C8592" t="s">
        <v>1598</v>
      </c>
      <c r="G8592" t="s">
        <v>19780</v>
      </c>
      <c r="H8592" t="s">
        <v>299</v>
      </c>
      <c r="I8592" t="s">
        <v>22</v>
      </c>
      <c r="J8592">
        <v>90064</v>
      </c>
      <c r="K8592">
        <v>4639</v>
      </c>
      <c r="L8592" t="s">
        <v>23</v>
      </c>
      <c r="M8592" t="s">
        <v>19780</v>
      </c>
      <c r="N8592" t="s">
        <v>299</v>
      </c>
      <c r="O8592" t="s">
        <v>22</v>
      </c>
      <c r="P8592">
        <v>90064</v>
      </c>
      <c r="Q8592">
        <v>4639</v>
      </c>
      <c r="R8592" t="s">
        <v>23</v>
      </c>
      <c r="S8592" s="1" t="s">
        <v>34218</v>
      </c>
    </row>
    <row r="8593" spans="1:19" x14ac:dyDescent="0.25">
      <c r="A8593">
        <v>101477524</v>
      </c>
      <c r="B8593" t="s">
        <v>654</v>
      </c>
      <c r="C8593" t="s">
        <v>1992</v>
      </c>
      <c r="G8593" t="s">
        <v>19781</v>
      </c>
      <c r="H8593" t="s">
        <v>19782</v>
      </c>
      <c r="I8593" t="s">
        <v>22</v>
      </c>
      <c r="J8593">
        <v>90265</v>
      </c>
      <c r="K8593">
        <v>2749</v>
      </c>
      <c r="L8593" t="s">
        <v>23</v>
      </c>
      <c r="M8593" t="s">
        <v>19781</v>
      </c>
      <c r="N8593" t="s">
        <v>19782</v>
      </c>
      <c r="O8593" t="s">
        <v>22</v>
      </c>
      <c r="P8593">
        <v>90265</v>
      </c>
      <c r="Q8593">
        <v>2749</v>
      </c>
      <c r="R8593" t="s">
        <v>23</v>
      </c>
      <c r="S8593" s="1" t="s">
        <v>34218</v>
      </c>
    </row>
    <row r="8594" spans="1:19" x14ac:dyDescent="0.25">
      <c r="A8594">
        <v>101477556</v>
      </c>
      <c r="B8594" t="s">
        <v>19783</v>
      </c>
      <c r="C8594" t="s">
        <v>1398</v>
      </c>
      <c r="G8594" t="s">
        <v>19784</v>
      </c>
      <c r="H8594" t="s">
        <v>1553</v>
      </c>
      <c r="I8594" t="s">
        <v>100</v>
      </c>
      <c r="J8594">
        <v>54406</v>
      </c>
      <c r="K8594">
        <v>9267</v>
      </c>
      <c r="L8594" t="s">
        <v>23</v>
      </c>
      <c r="M8594" t="s">
        <v>19784</v>
      </c>
      <c r="N8594" t="s">
        <v>1553</v>
      </c>
      <c r="O8594" t="s">
        <v>100</v>
      </c>
      <c r="P8594">
        <v>54406</v>
      </c>
      <c r="Q8594">
        <v>9267</v>
      </c>
      <c r="R8594" t="s">
        <v>23</v>
      </c>
      <c r="S8594" s="1" t="s">
        <v>34218</v>
      </c>
    </row>
    <row r="8595" spans="1:19" x14ac:dyDescent="0.25">
      <c r="A8595">
        <v>101477574</v>
      </c>
      <c r="B8595" t="s">
        <v>1164</v>
      </c>
      <c r="C8595" t="s">
        <v>2037</v>
      </c>
      <c r="G8595" t="s">
        <v>19785</v>
      </c>
      <c r="H8595" t="s">
        <v>11169</v>
      </c>
      <c r="I8595" t="s">
        <v>100</v>
      </c>
      <c r="J8595">
        <v>54703</v>
      </c>
      <c r="K8595">
        <v>3198</v>
      </c>
      <c r="L8595" t="s">
        <v>23</v>
      </c>
      <c r="M8595" t="s">
        <v>19785</v>
      </c>
      <c r="N8595" t="s">
        <v>11169</v>
      </c>
      <c r="O8595" t="s">
        <v>100</v>
      </c>
      <c r="P8595">
        <v>54703</v>
      </c>
      <c r="Q8595">
        <v>3198</v>
      </c>
      <c r="R8595" t="s">
        <v>23</v>
      </c>
      <c r="S8595" s="1" t="s">
        <v>34218</v>
      </c>
    </row>
    <row r="8596" spans="1:19" x14ac:dyDescent="0.25">
      <c r="A8596">
        <v>101477581</v>
      </c>
      <c r="B8596" t="s">
        <v>19786</v>
      </c>
      <c r="C8596" t="s">
        <v>19787</v>
      </c>
      <c r="G8596" t="s">
        <v>19788</v>
      </c>
      <c r="H8596" t="s">
        <v>19789</v>
      </c>
      <c r="I8596" t="s">
        <v>100</v>
      </c>
      <c r="J8596">
        <v>54751</v>
      </c>
      <c r="K8596">
        <v>3756</v>
      </c>
      <c r="L8596" t="s">
        <v>23</v>
      </c>
      <c r="M8596" t="s">
        <v>19788</v>
      </c>
      <c r="N8596" t="s">
        <v>19789</v>
      </c>
      <c r="O8596" t="s">
        <v>100</v>
      </c>
      <c r="P8596">
        <v>54751</v>
      </c>
      <c r="Q8596">
        <v>3756</v>
      </c>
      <c r="R8596" t="s">
        <v>23</v>
      </c>
      <c r="S8596" s="1" t="s">
        <v>34218</v>
      </c>
    </row>
    <row r="8597" spans="1:19" x14ac:dyDescent="0.25">
      <c r="A8597">
        <v>101477599</v>
      </c>
      <c r="B8597" t="s">
        <v>19790</v>
      </c>
      <c r="C8597" t="s">
        <v>286</v>
      </c>
      <c r="G8597" t="s">
        <v>19791</v>
      </c>
      <c r="H8597" t="s">
        <v>19792</v>
      </c>
      <c r="I8597" t="s">
        <v>100</v>
      </c>
      <c r="J8597">
        <v>54961</v>
      </c>
      <c r="K8597">
        <v>9615</v>
      </c>
      <c r="L8597" t="s">
        <v>23</v>
      </c>
      <c r="M8597" t="s">
        <v>19791</v>
      </c>
      <c r="N8597" t="s">
        <v>19792</v>
      </c>
      <c r="O8597" t="s">
        <v>100</v>
      </c>
      <c r="P8597">
        <v>54961</v>
      </c>
      <c r="Q8597">
        <v>9615</v>
      </c>
      <c r="R8597" t="s">
        <v>23</v>
      </c>
      <c r="S8597" s="1" t="s">
        <v>34218</v>
      </c>
    </row>
    <row r="8598" spans="1:19" x14ac:dyDescent="0.25">
      <c r="A8598">
        <v>101477674</v>
      </c>
      <c r="B8598" t="s">
        <v>19793</v>
      </c>
      <c r="C8598" t="s">
        <v>172</v>
      </c>
      <c r="G8598" t="s">
        <v>19794</v>
      </c>
      <c r="H8598" t="s">
        <v>14007</v>
      </c>
      <c r="I8598" t="s">
        <v>187</v>
      </c>
      <c r="J8598">
        <v>55426</v>
      </c>
      <c r="K8598">
        <v>2636</v>
      </c>
      <c r="L8598" t="s">
        <v>23</v>
      </c>
      <c r="M8598" t="s">
        <v>19794</v>
      </c>
      <c r="N8598" t="s">
        <v>14007</v>
      </c>
      <c r="O8598" t="s">
        <v>187</v>
      </c>
      <c r="P8598">
        <v>55426</v>
      </c>
      <c r="Q8598">
        <v>2636</v>
      </c>
      <c r="R8598" t="s">
        <v>23</v>
      </c>
      <c r="S8598" s="1" t="s">
        <v>34218</v>
      </c>
    </row>
    <row r="8599" spans="1:19" x14ac:dyDescent="0.25">
      <c r="A8599">
        <v>101477749</v>
      </c>
      <c r="B8599" t="s">
        <v>9741</v>
      </c>
      <c r="C8599" t="s">
        <v>4512</v>
      </c>
      <c r="G8599" t="s">
        <v>19795</v>
      </c>
      <c r="H8599" t="s">
        <v>1439</v>
      </c>
      <c r="I8599" t="s">
        <v>365</v>
      </c>
      <c r="J8599">
        <v>85718</v>
      </c>
      <c r="K8599">
        <v>2324</v>
      </c>
      <c r="L8599" t="s">
        <v>23</v>
      </c>
      <c r="M8599" t="s">
        <v>19795</v>
      </c>
      <c r="N8599" t="s">
        <v>1439</v>
      </c>
      <c r="O8599" t="s">
        <v>365</v>
      </c>
      <c r="P8599">
        <v>85718</v>
      </c>
      <c r="Q8599">
        <v>2324</v>
      </c>
      <c r="R8599" t="s">
        <v>23</v>
      </c>
      <c r="S8599" s="1" t="s">
        <v>34218</v>
      </c>
    </row>
    <row r="8600" spans="1:19" x14ac:dyDescent="0.25">
      <c r="A8600">
        <v>101477756</v>
      </c>
      <c r="B8600" t="s">
        <v>3554</v>
      </c>
      <c r="C8600" t="s">
        <v>1658</v>
      </c>
      <c r="G8600" t="s">
        <v>19796</v>
      </c>
      <c r="H8600" t="s">
        <v>1439</v>
      </c>
      <c r="I8600" t="s">
        <v>365</v>
      </c>
      <c r="J8600">
        <v>85742</v>
      </c>
      <c r="K8600">
        <v>1213</v>
      </c>
      <c r="L8600" t="s">
        <v>23</v>
      </c>
      <c r="M8600" t="s">
        <v>19796</v>
      </c>
      <c r="N8600" t="s">
        <v>1439</v>
      </c>
      <c r="O8600" t="s">
        <v>365</v>
      </c>
      <c r="P8600">
        <v>85742</v>
      </c>
      <c r="Q8600">
        <v>1213</v>
      </c>
      <c r="R8600" t="s">
        <v>23</v>
      </c>
      <c r="S8600" s="1" t="s">
        <v>34218</v>
      </c>
    </row>
    <row r="8601" spans="1:19" x14ac:dyDescent="0.25">
      <c r="A8601">
        <v>101477817</v>
      </c>
      <c r="B8601" t="s">
        <v>14953</v>
      </c>
      <c r="C8601" t="s">
        <v>286</v>
      </c>
      <c r="G8601" t="s">
        <v>19797</v>
      </c>
      <c r="H8601" t="s">
        <v>638</v>
      </c>
      <c r="I8601" t="s">
        <v>639</v>
      </c>
      <c r="J8601">
        <v>87112</v>
      </c>
      <c r="K8601">
        <v>4738</v>
      </c>
      <c r="L8601" t="s">
        <v>23</v>
      </c>
      <c r="M8601" t="s">
        <v>19797</v>
      </c>
      <c r="N8601" t="s">
        <v>638</v>
      </c>
      <c r="O8601" t="s">
        <v>639</v>
      </c>
      <c r="P8601">
        <v>87112</v>
      </c>
      <c r="Q8601">
        <v>4738</v>
      </c>
      <c r="R8601" t="s">
        <v>23</v>
      </c>
      <c r="S8601" s="1" t="s">
        <v>34218</v>
      </c>
    </row>
    <row r="8602" spans="1:19" x14ac:dyDescent="0.25">
      <c r="A8602">
        <v>101477892</v>
      </c>
      <c r="B8602" t="s">
        <v>18766</v>
      </c>
      <c r="C8602" t="s">
        <v>274</v>
      </c>
      <c r="G8602" t="s">
        <v>19798</v>
      </c>
      <c r="H8602" t="s">
        <v>19799</v>
      </c>
      <c r="I8602" t="s">
        <v>565</v>
      </c>
      <c r="J8602">
        <v>50229</v>
      </c>
      <c r="K8602">
        <v>9182</v>
      </c>
      <c r="L8602" t="s">
        <v>23</v>
      </c>
      <c r="M8602" t="s">
        <v>19798</v>
      </c>
      <c r="N8602" t="s">
        <v>19799</v>
      </c>
      <c r="O8602" t="s">
        <v>565</v>
      </c>
      <c r="P8602">
        <v>50229</v>
      </c>
      <c r="Q8602">
        <v>9182</v>
      </c>
      <c r="R8602" t="s">
        <v>23</v>
      </c>
      <c r="S8602" s="1" t="s">
        <v>34218</v>
      </c>
    </row>
    <row r="8603" spans="1:19" x14ac:dyDescent="0.25">
      <c r="A8603">
        <v>101477906</v>
      </c>
      <c r="B8603" t="s">
        <v>19800</v>
      </c>
      <c r="C8603" t="s">
        <v>1463</v>
      </c>
      <c r="G8603" t="s">
        <v>19801</v>
      </c>
      <c r="H8603" t="s">
        <v>19802</v>
      </c>
      <c r="I8603" t="s">
        <v>565</v>
      </c>
      <c r="J8603">
        <v>50501</v>
      </c>
      <c r="K8603">
        <v>8731</v>
      </c>
      <c r="L8603" t="s">
        <v>23</v>
      </c>
      <c r="M8603" t="s">
        <v>19801</v>
      </c>
      <c r="N8603" t="s">
        <v>19802</v>
      </c>
      <c r="O8603" t="s">
        <v>565</v>
      </c>
      <c r="P8603">
        <v>50501</v>
      </c>
      <c r="Q8603">
        <v>8731</v>
      </c>
      <c r="R8603" t="s">
        <v>23</v>
      </c>
      <c r="S8603" s="1" t="s">
        <v>34218</v>
      </c>
    </row>
    <row r="8604" spans="1:19" x14ac:dyDescent="0.25">
      <c r="A8604">
        <v>101477993</v>
      </c>
      <c r="B8604" t="s">
        <v>3966</v>
      </c>
      <c r="C8604" t="s">
        <v>158</v>
      </c>
      <c r="G8604" t="s">
        <v>19803</v>
      </c>
      <c r="H8604" t="s">
        <v>8709</v>
      </c>
      <c r="I8604" t="s">
        <v>100</v>
      </c>
      <c r="J8604">
        <v>53402</v>
      </c>
      <c r="K8604">
        <v>1537</v>
      </c>
      <c r="L8604" t="s">
        <v>23</v>
      </c>
      <c r="M8604" t="s">
        <v>19803</v>
      </c>
      <c r="N8604" t="s">
        <v>8709</v>
      </c>
      <c r="O8604" t="s">
        <v>100</v>
      </c>
      <c r="P8604">
        <v>53402</v>
      </c>
      <c r="Q8604">
        <v>1537</v>
      </c>
      <c r="R8604" t="s">
        <v>23</v>
      </c>
      <c r="S8604" s="1" t="s">
        <v>34218</v>
      </c>
    </row>
    <row r="8605" spans="1:19" x14ac:dyDescent="0.25">
      <c r="A8605">
        <v>101478025</v>
      </c>
      <c r="B8605" t="s">
        <v>19804</v>
      </c>
      <c r="C8605" t="s">
        <v>4131</v>
      </c>
      <c r="G8605" t="s">
        <v>19805</v>
      </c>
      <c r="H8605" t="s">
        <v>6633</v>
      </c>
      <c r="I8605" t="s">
        <v>71</v>
      </c>
      <c r="J8605">
        <v>81326</v>
      </c>
      <c r="K8605">
        <v>9403</v>
      </c>
      <c r="L8605" t="s">
        <v>23</v>
      </c>
      <c r="M8605" t="s">
        <v>19805</v>
      </c>
      <c r="N8605" t="s">
        <v>6633</v>
      </c>
      <c r="O8605" t="s">
        <v>71</v>
      </c>
      <c r="P8605">
        <v>81326</v>
      </c>
      <c r="Q8605">
        <v>9403</v>
      </c>
      <c r="R8605" t="s">
        <v>23</v>
      </c>
      <c r="S8605" s="1" t="s">
        <v>34218</v>
      </c>
    </row>
    <row r="8606" spans="1:19" x14ac:dyDescent="0.25">
      <c r="A8606">
        <v>101478043</v>
      </c>
      <c r="B8606" t="s">
        <v>4089</v>
      </c>
      <c r="C8606" t="s">
        <v>1906</v>
      </c>
      <c r="G8606" t="s">
        <v>19806</v>
      </c>
      <c r="H8606" t="s">
        <v>1598</v>
      </c>
      <c r="I8606" t="s">
        <v>203</v>
      </c>
      <c r="J8606">
        <v>82633</v>
      </c>
      <c r="K8606">
        <v>2299</v>
      </c>
      <c r="L8606" t="s">
        <v>23</v>
      </c>
      <c r="M8606" t="s">
        <v>19806</v>
      </c>
      <c r="N8606" t="s">
        <v>1598</v>
      </c>
      <c r="O8606" t="s">
        <v>203</v>
      </c>
      <c r="P8606">
        <v>82633</v>
      </c>
      <c r="Q8606">
        <v>2299</v>
      </c>
      <c r="R8606" t="s">
        <v>23</v>
      </c>
      <c r="S8606" s="1" t="s">
        <v>34218</v>
      </c>
    </row>
    <row r="8607" spans="1:19" x14ac:dyDescent="0.25">
      <c r="A8607">
        <v>101478183</v>
      </c>
      <c r="B8607" t="s">
        <v>16589</v>
      </c>
      <c r="C8607" t="s">
        <v>846</v>
      </c>
      <c r="G8607" t="s">
        <v>19807</v>
      </c>
      <c r="H8607" t="s">
        <v>19808</v>
      </c>
      <c r="I8607" t="s">
        <v>57</v>
      </c>
      <c r="J8607">
        <v>47960</v>
      </c>
      <c r="K8607">
        <v>514</v>
      </c>
      <c r="L8607" t="s">
        <v>23</v>
      </c>
      <c r="M8607" t="s">
        <v>19807</v>
      </c>
      <c r="N8607" t="s">
        <v>19808</v>
      </c>
      <c r="O8607" t="s">
        <v>57</v>
      </c>
      <c r="P8607">
        <v>47960</v>
      </c>
      <c r="Q8607">
        <v>514</v>
      </c>
      <c r="R8607" t="s">
        <v>23</v>
      </c>
      <c r="S8607" s="1" t="s">
        <v>34218</v>
      </c>
    </row>
    <row r="8608" spans="1:19" x14ac:dyDescent="0.25">
      <c r="A8608">
        <v>101478278</v>
      </c>
      <c r="B8608" t="s">
        <v>19809</v>
      </c>
      <c r="C8608" t="s">
        <v>483</v>
      </c>
      <c r="G8608" t="s">
        <v>19810</v>
      </c>
      <c r="H8608" t="s">
        <v>19811</v>
      </c>
      <c r="I8608" t="s">
        <v>140</v>
      </c>
      <c r="J8608">
        <v>48654</v>
      </c>
      <c r="K8608">
        <v>9723</v>
      </c>
      <c r="L8608" t="s">
        <v>23</v>
      </c>
      <c r="M8608" t="s">
        <v>19810</v>
      </c>
      <c r="N8608" t="s">
        <v>19811</v>
      </c>
      <c r="O8608" t="s">
        <v>140</v>
      </c>
      <c r="P8608">
        <v>48654</v>
      </c>
      <c r="Q8608">
        <v>9723</v>
      </c>
      <c r="R8608" t="s">
        <v>23</v>
      </c>
      <c r="S8608" s="1" t="s">
        <v>34218</v>
      </c>
    </row>
    <row r="8609" spans="1:19" x14ac:dyDescent="0.25">
      <c r="A8609">
        <v>101478312</v>
      </c>
      <c r="B8609" t="s">
        <v>6289</v>
      </c>
      <c r="C8609" t="s">
        <v>1350</v>
      </c>
      <c r="G8609" t="s">
        <v>19812</v>
      </c>
      <c r="H8609" t="s">
        <v>19813</v>
      </c>
      <c r="I8609" t="s">
        <v>140</v>
      </c>
      <c r="J8609">
        <v>49233</v>
      </c>
      <c r="K8609">
        <v>9616</v>
      </c>
      <c r="L8609" t="s">
        <v>23</v>
      </c>
      <c r="M8609" t="s">
        <v>19812</v>
      </c>
      <c r="N8609" t="s">
        <v>19813</v>
      </c>
      <c r="O8609" t="s">
        <v>140</v>
      </c>
      <c r="P8609">
        <v>49233</v>
      </c>
      <c r="Q8609">
        <v>9616</v>
      </c>
      <c r="R8609" t="s">
        <v>23</v>
      </c>
      <c r="S8609" s="1" t="s">
        <v>34218</v>
      </c>
    </row>
    <row r="8610" spans="1:19" x14ac:dyDescent="0.25">
      <c r="A8610">
        <v>101478344</v>
      </c>
      <c r="B8610" t="s">
        <v>19814</v>
      </c>
      <c r="C8610" t="s">
        <v>699</v>
      </c>
      <c r="G8610" t="s">
        <v>19815</v>
      </c>
      <c r="H8610" t="s">
        <v>2449</v>
      </c>
      <c r="I8610" t="s">
        <v>71</v>
      </c>
      <c r="J8610">
        <v>80015</v>
      </c>
      <c r="K8610">
        <v>3741</v>
      </c>
      <c r="L8610" t="s">
        <v>23</v>
      </c>
      <c r="M8610" t="s">
        <v>19815</v>
      </c>
      <c r="N8610" t="s">
        <v>2449</v>
      </c>
      <c r="O8610" t="s">
        <v>71</v>
      </c>
      <c r="P8610">
        <v>80015</v>
      </c>
      <c r="Q8610">
        <v>3741</v>
      </c>
      <c r="R8610" t="s">
        <v>23</v>
      </c>
      <c r="S8610" s="1" t="s">
        <v>34218</v>
      </c>
    </row>
    <row r="8611" spans="1:19" x14ac:dyDescent="0.25">
      <c r="A8611">
        <v>101478351</v>
      </c>
      <c r="B8611" t="s">
        <v>4734</v>
      </c>
      <c r="C8611" t="s">
        <v>1135</v>
      </c>
      <c r="G8611" t="s">
        <v>19816</v>
      </c>
      <c r="H8611" t="s">
        <v>4199</v>
      </c>
      <c r="I8611" t="s">
        <v>71</v>
      </c>
      <c r="J8611">
        <v>80026</v>
      </c>
      <c r="K8611">
        <v>3120</v>
      </c>
      <c r="L8611" t="s">
        <v>23</v>
      </c>
      <c r="M8611" t="s">
        <v>19816</v>
      </c>
      <c r="N8611" t="s">
        <v>4199</v>
      </c>
      <c r="O8611" t="s">
        <v>71</v>
      </c>
      <c r="P8611">
        <v>80026</v>
      </c>
      <c r="Q8611">
        <v>3120</v>
      </c>
      <c r="R8611" t="s">
        <v>23</v>
      </c>
      <c r="S8611" s="1" t="s">
        <v>34218</v>
      </c>
    </row>
    <row r="8612" spans="1:19" x14ac:dyDescent="0.25">
      <c r="A8612">
        <v>101478353</v>
      </c>
      <c r="B8612" t="s">
        <v>19817</v>
      </c>
      <c r="C8612" t="s">
        <v>90</v>
      </c>
      <c r="G8612" t="s">
        <v>19818</v>
      </c>
      <c r="H8612" t="s">
        <v>4199</v>
      </c>
      <c r="I8612" t="s">
        <v>71</v>
      </c>
      <c r="J8612">
        <v>80026</v>
      </c>
      <c r="K8612">
        <v>2021</v>
      </c>
      <c r="L8612" t="s">
        <v>23</v>
      </c>
      <c r="M8612" t="s">
        <v>19818</v>
      </c>
      <c r="N8612" t="s">
        <v>4199</v>
      </c>
      <c r="O8612" t="s">
        <v>71</v>
      </c>
      <c r="P8612">
        <v>80026</v>
      </c>
      <c r="Q8612">
        <v>2021</v>
      </c>
      <c r="R8612" t="s">
        <v>23</v>
      </c>
      <c r="S8612" s="1" t="s">
        <v>34218</v>
      </c>
    </row>
    <row r="8613" spans="1:19" x14ac:dyDescent="0.25">
      <c r="A8613">
        <v>101478412</v>
      </c>
      <c r="B8613" t="s">
        <v>4678</v>
      </c>
      <c r="C8613" t="s">
        <v>12821</v>
      </c>
      <c r="G8613" t="s">
        <v>19819</v>
      </c>
      <c r="H8613" t="s">
        <v>393</v>
      </c>
      <c r="I8613" t="s">
        <v>71</v>
      </c>
      <c r="J8613">
        <v>80237</v>
      </c>
      <c r="K8613">
        <v>1648</v>
      </c>
      <c r="L8613" t="s">
        <v>23</v>
      </c>
      <c r="M8613" t="s">
        <v>19819</v>
      </c>
      <c r="N8613" t="s">
        <v>393</v>
      </c>
      <c r="O8613" t="s">
        <v>71</v>
      </c>
      <c r="P8613">
        <v>80237</v>
      </c>
      <c r="Q8613">
        <v>1648</v>
      </c>
      <c r="R8613" t="s">
        <v>23</v>
      </c>
      <c r="S8613" s="1" t="s">
        <v>34218</v>
      </c>
    </row>
    <row r="8614" spans="1:19" x14ac:dyDescent="0.25">
      <c r="A8614">
        <v>101481216</v>
      </c>
      <c r="B8614" t="s">
        <v>553</v>
      </c>
      <c r="C8614" t="s">
        <v>399</v>
      </c>
      <c r="G8614" t="s">
        <v>19820</v>
      </c>
      <c r="H8614" t="s">
        <v>6050</v>
      </c>
      <c r="I8614" t="s">
        <v>22</v>
      </c>
      <c r="J8614">
        <v>91745</v>
      </c>
      <c r="K8614">
        <v>2710</v>
      </c>
      <c r="L8614" t="s">
        <v>23</v>
      </c>
      <c r="M8614" t="s">
        <v>19820</v>
      </c>
      <c r="N8614" t="s">
        <v>6050</v>
      </c>
      <c r="O8614" t="s">
        <v>22</v>
      </c>
      <c r="P8614">
        <v>91745</v>
      </c>
      <c r="Q8614">
        <v>2710</v>
      </c>
      <c r="R8614" t="s">
        <v>23</v>
      </c>
      <c r="S8614" s="1" t="s">
        <v>34218</v>
      </c>
    </row>
    <row r="8615" spans="1:19" x14ac:dyDescent="0.25">
      <c r="A8615">
        <v>101238191</v>
      </c>
      <c r="B8615" t="s">
        <v>19821</v>
      </c>
      <c r="C8615" t="s">
        <v>1374</v>
      </c>
      <c r="G8615" t="s">
        <v>19822</v>
      </c>
      <c r="H8615" t="s">
        <v>4693</v>
      </c>
      <c r="I8615" t="s">
        <v>52</v>
      </c>
      <c r="J8615">
        <v>33483</v>
      </c>
      <c r="K8615">
        <v>6425</v>
      </c>
      <c r="L8615" t="s">
        <v>23</v>
      </c>
      <c r="M8615" t="s">
        <v>19822</v>
      </c>
      <c r="N8615" t="s">
        <v>4693</v>
      </c>
      <c r="O8615" t="s">
        <v>52</v>
      </c>
      <c r="P8615">
        <v>33483</v>
      </c>
      <c r="Q8615">
        <v>6425</v>
      </c>
      <c r="R8615" t="s">
        <v>23</v>
      </c>
      <c r="S8615" s="1" t="s">
        <v>34218</v>
      </c>
    </row>
    <row r="8616" spans="1:19" x14ac:dyDescent="0.25">
      <c r="A8616">
        <v>101473917</v>
      </c>
      <c r="B8616" t="s">
        <v>19823</v>
      </c>
      <c r="C8616" t="s">
        <v>19824</v>
      </c>
      <c r="G8616" t="s">
        <v>19825</v>
      </c>
      <c r="H8616" t="s">
        <v>19826</v>
      </c>
      <c r="I8616" t="s">
        <v>43</v>
      </c>
      <c r="J8616">
        <v>7683</v>
      </c>
      <c r="L8616" t="s">
        <v>23</v>
      </c>
      <c r="M8616" t="s">
        <v>19825</v>
      </c>
      <c r="N8616" t="s">
        <v>19826</v>
      </c>
      <c r="O8616" t="s">
        <v>43</v>
      </c>
      <c r="P8616">
        <v>7683</v>
      </c>
      <c r="R8616" t="s">
        <v>23</v>
      </c>
      <c r="S8616" s="1" t="s">
        <v>34218</v>
      </c>
    </row>
    <row r="8617" spans="1:19" x14ac:dyDescent="0.25">
      <c r="A8617">
        <v>101284258</v>
      </c>
      <c r="B8617" t="s">
        <v>19827</v>
      </c>
      <c r="C8617" t="s">
        <v>309</v>
      </c>
      <c r="G8617" t="s">
        <v>19828</v>
      </c>
      <c r="H8617" t="s">
        <v>12907</v>
      </c>
      <c r="I8617" t="s">
        <v>161</v>
      </c>
      <c r="J8617">
        <v>6611</v>
      </c>
      <c r="K8617">
        <v>2098</v>
      </c>
      <c r="L8617" t="s">
        <v>23</v>
      </c>
      <c r="M8617" t="s">
        <v>19828</v>
      </c>
      <c r="N8617" t="s">
        <v>12907</v>
      </c>
      <c r="O8617" t="s">
        <v>161</v>
      </c>
      <c r="P8617">
        <v>6611</v>
      </c>
      <c r="Q8617">
        <v>2098</v>
      </c>
      <c r="R8617" t="s">
        <v>23</v>
      </c>
      <c r="S8617" s="1" t="s">
        <v>34218</v>
      </c>
    </row>
    <row r="8618" spans="1:19" x14ac:dyDescent="0.25">
      <c r="A8618">
        <v>101034112</v>
      </c>
      <c r="B8618" t="s">
        <v>465</v>
      </c>
      <c r="C8618" t="s">
        <v>2776</v>
      </c>
      <c r="G8618" t="s">
        <v>19829</v>
      </c>
      <c r="H8618" t="s">
        <v>5179</v>
      </c>
      <c r="I8618" t="s">
        <v>236</v>
      </c>
      <c r="J8618">
        <v>2144</v>
      </c>
      <c r="K8618">
        <v>1957</v>
      </c>
      <c r="L8618" t="s">
        <v>23</v>
      </c>
      <c r="M8618" t="s">
        <v>19829</v>
      </c>
      <c r="N8618" t="s">
        <v>5179</v>
      </c>
      <c r="O8618" t="s">
        <v>236</v>
      </c>
      <c r="P8618">
        <v>2144</v>
      </c>
      <c r="Q8618">
        <v>1957</v>
      </c>
      <c r="R8618" t="s">
        <v>23</v>
      </c>
      <c r="S8618" s="1" t="s">
        <v>34218</v>
      </c>
    </row>
    <row r="8619" spans="1:19" x14ac:dyDescent="0.25">
      <c r="A8619">
        <v>101034197</v>
      </c>
      <c r="B8619" t="s">
        <v>77</v>
      </c>
      <c r="C8619" t="s">
        <v>1327</v>
      </c>
      <c r="G8619" t="s">
        <v>19830</v>
      </c>
      <c r="H8619" t="s">
        <v>6273</v>
      </c>
      <c r="I8619" t="s">
        <v>38</v>
      </c>
      <c r="J8619">
        <v>77630</v>
      </c>
      <c r="K8619">
        <v>7014</v>
      </c>
      <c r="L8619" t="s">
        <v>23</v>
      </c>
      <c r="M8619" t="s">
        <v>19830</v>
      </c>
      <c r="N8619" t="s">
        <v>6273</v>
      </c>
      <c r="O8619" t="s">
        <v>38</v>
      </c>
      <c r="P8619">
        <v>77630</v>
      </c>
      <c r="Q8619">
        <v>7014</v>
      </c>
      <c r="R8619" t="s">
        <v>23</v>
      </c>
      <c r="S8619" s="1" t="s">
        <v>34218</v>
      </c>
    </row>
    <row r="8620" spans="1:19" x14ac:dyDescent="0.25">
      <c r="A8620">
        <v>101044222</v>
      </c>
      <c r="B8620" t="s">
        <v>19831</v>
      </c>
      <c r="C8620" t="s">
        <v>19832</v>
      </c>
      <c r="F8620" t="str">
        <f>"3109636536"</f>
        <v>3109636536</v>
      </c>
      <c r="G8620" t="s">
        <v>19833</v>
      </c>
      <c r="H8620" t="s">
        <v>19782</v>
      </c>
      <c r="I8620" t="s">
        <v>22</v>
      </c>
      <c r="J8620">
        <v>90265</v>
      </c>
      <c r="K8620">
        <v>923</v>
      </c>
      <c r="L8620" t="s">
        <v>23</v>
      </c>
      <c r="M8620" t="s">
        <v>19833</v>
      </c>
      <c r="N8620" t="s">
        <v>19782</v>
      </c>
      <c r="O8620" t="s">
        <v>22</v>
      </c>
      <c r="P8620">
        <v>90265</v>
      </c>
      <c r="Q8620">
        <v>923</v>
      </c>
      <c r="R8620" t="s">
        <v>23</v>
      </c>
      <c r="S8620" s="1" t="s">
        <v>34218</v>
      </c>
    </row>
    <row r="8621" spans="1:19" x14ac:dyDescent="0.25">
      <c r="A8621">
        <v>101045121</v>
      </c>
      <c r="B8621" t="s">
        <v>16750</v>
      </c>
      <c r="C8621" t="s">
        <v>19834</v>
      </c>
      <c r="G8621" t="s">
        <v>19835</v>
      </c>
      <c r="H8621" t="s">
        <v>9651</v>
      </c>
      <c r="I8621" t="s">
        <v>52</v>
      </c>
      <c r="J8621">
        <v>33139</v>
      </c>
      <c r="K8621">
        <v>1130</v>
      </c>
      <c r="L8621" t="s">
        <v>23</v>
      </c>
      <c r="M8621" t="s">
        <v>19835</v>
      </c>
      <c r="N8621" t="s">
        <v>9651</v>
      </c>
      <c r="O8621" t="s">
        <v>52</v>
      </c>
      <c r="P8621">
        <v>33139</v>
      </c>
      <c r="Q8621">
        <v>1130</v>
      </c>
      <c r="R8621" t="s">
        <v>23</v>
      </c>
      <c r="S8621" s="1" t="s">
        <v>34218</v>
      </c>
    </row>
    <row r="8622" spans="1:19" x14ac:dyDescent="0.25">
      <c r="A8622">
        <v>101226948</v>
      </c>
      <c r="B8622" t="s">
        <v>19836</v>
      </c>
      <c r="C8622" t="s">
        <v>7281</v>
      </c>
      <c r="G8622" t="s">
        <v>19837</v>
      </c>
      <c r="H8622" t="s">
        <v>130</v>
      </c>
      <c r="I8622" t="s">
        <v>22</v>
      </c>
      <c r="J8622">
        <v>94121</v>
      </c>
      <c r="K8622">
        <v>3128</v>
      </c>
      <c r="L8622" t="s">
        <v>23</v>
      </c>
      <c r="M8622" t="s">
        <v>19837</v>
      </c>
      <c r="N8622" t="s">
        <v>130</v>
      </c>
      <c r="O8622" t="s">
        <v>22</v>
      </c>
      <c r="P8622">
        <v>94121</v>
      </c>
      <c r="Q8622">
        <v>3128</v>
      </c>
      <c r="R8622" t="s">
        <v>23</v>
      </c>
      <c r="S8622" s="1" t="s">
        <v>34218</v>
      </c>
    </row>
    <row r="8623" spans="1:19" x14ac:dyDescent="0.25">
      <c r="A8623">
        <v>101230860</v>
      </c>
      <c r="B8623" t="s">
        <v>465</v>
      </c>
      <c r="C8623" t="s">
        <v>699</v>
      </c>
      <c r="G8623" t="s">
        <v>19838</v>
      </c>
      <c r="H8623" t="s">
        <v>577</v>
      </c>
      <c r="I8623" t="s">
        <v>84</v>
      </c>
      <c r="J8623">
        <v>98642</v>
      </c>
      <c r="K8623">
        <v>8517</v>
      </c>
      <c r="L8623" t="s">
        <v>23</v>
      </c>
      <c r="M8623" t="s">
        <v>19838</v>
      </c>
      <c r="N8623" t="s">
        <v>577</v>
      </c>
      <c r="O8623" t="s">
        <v>84</v>
      </c>
      <c r="P8623">
        <v>98642</v>
      </c>
      <c r="Q8623">
        <v>8517</v>
      </c>
      <c r="R8623" t="s">
        <v>23</v>
      </c>
      <c r="S8623" s="1" t="s">
        <v>34218</v>
      </c>
    </row>
    <row r="8624" spans="1:19" x14ac:dyDescent="0.25">
      <c r="A8624">
        <v>101237332</v>
      </c>
      <c r="B8624" t="s">
        <v>139</v>
      </c>
      <c r="C8624" t="s">
        <v>19839</v>
      </c>
      <c r="G8624" t="s">
        <v>19840</v>
      </c>
      <c r="H8624" t="s">
        <v>1208</v>
      </c>
      <c r="I8624" t="s">
        <v>71</v>
      </c>
      <c r="J8624">
        <v>80107</v>
      </c>
      <c r="K8624">
        <v>7407</v>
      </c>
      <c r="L8624" t="s">
        <v>23</v>
      </c>
      <c r="M8624" t="s">
        <v>19840</v>
      </c>
      <c r="N8624" t="s">
        <v>1208</v>
      </c>
      <c r="O8624" t="s">
        <v>71</v>
      </c>
      <c r="P8624">
        <v>80107</v>
      </c>
      <c r="Q8624">
        <v>7407</v>
      </c>
      <c r="R8624" t="s">
        <v>23</v>
      </c>
      <c r="S8624" s="1" t="s">
        <v>34218</v>
      </c>
    </row>
    <row r="8625" spans="1:19" x14ac:dyDescent="0.25">
      <c r="A8625">
        <v>101229885</v>
      </c>
      <c r="B8625" t="s">
        <v>19841</v>
      </c>
      <c r="C8625" t="s">
        <v>19842</v>
      </c>
      <c r="G8625" t="s">
        <v>19843</v>
      </c>
      <c r="H8625" t="s">
        <v>19844</v>
      </c>
      <c r="I8625" t="s">
        <v>2537</v>
      </c>
      <c r="J8625">
        <v>72113</v>
      </c>
      <c r="K8625">
        <v>5943</v>
      </c>
      <c r="L8625" t="s">
        <v>23</v>
      </c>
      <c r="M8625" t="s">
        <v>19843</v>
      </c>
      <c r="N8625" t="s">
        <v>19844</v>
      </c>
      <c r="O8625" t="s">
        <v>2537</v>
      </c>
      <c r="P8625">
        <v>72113</v>
      </c>
      <c r="Q8625">
        <v>5943</v>
      </c>
      <c r="R8625" t="s">
        <v>23</v>
      </c>
      <c r="S8625" s="1" t="s">
        <v>34218</v>
      </c>
    </row>
    <row r="8626" spans="1:19" x14ac:dyDescent="0.25">
      <c r="A8626">
        <v>101239017</v>
      </c>
      <c r="B8626" t="s">
        <v>19845</v>
      </c>
      <c r="C8626" t="s">
        <v>2892</v>
      </c>
      <c r="G8626" t="s">
        <v>19846</v>
      </c>
      <c r="H8626" t="s">
        <v>4819</v>
      </c>
      <c r="I8626" t="s">
        <v>565</v>
      </c>
      <c r="J8626">
        <v>50702</v>
      </c>
      <c r="K8626">
        <v>4047</v>
      </c>
      <c r="L8626" t="s">
        <v>23</v>
      </c>
      <c r="M8626" t="s">
        <v>19846</v>
      </c>
      <c r="N8626" t="s">
        <v>4819</v>
      </c>
      <c r="O8626" t="s">
        <v>565</v>
      </c>
      <c r="P8626">
        <v>50702</v>
      </c>
      <c r="Q8626">
        <v>4047</v>
      </c>
      <c r="R8626" t="s">
        <v>23</v>
      </c>
      <c r="S8626" s="1" t="s">
        <v>34218</v>
      </c>
    </row>
    <row r="8627" spans="1:19" x14ac:dyDescent="0.25">
      <c r="A8627">
        <v>101241213</v>
      </c>
      <c r="B8627" t="s">
        <v>19847</v>
      </c>
      <c r="C8627" t="s">
        <v>19848</v>
      </c>
      <c r="G8627" t="s">
        <v>19849</v>
      </c>
      <c r="H8627" t="s">
        <v>9840</v>
      </c>
      <c r="I8627" t="s">
        <v>117</v>
      </c>
      <c r="J8627">
        <v>11102</v>
      </c>
      <c r="K8627">
        <v>1386</v>
      </c>
      <c r="L8627" t="s">
        <v>23</v>
      </c>
      <c r="M8627" t="s">
        <v>19849</v>
      </c>
      <c r="N8627" t="s">
        <v>9840</v>
      </c>
      <c r="O8627" t="s">
        <v>117</v>
      </c>
      <c r="P8627">
        <v>11102</v>
      </c>
      <c r="Q8627">
        <v>1386</v>
      </c>
      <c r="R8627" t="s">
        <v>23</v>
      </c>
      <c r="S8627" s="1" t="s">
        <v>34218</v>
      </c>
    </row>
    <row r="8628" spans="1:19" x14ac:dyDescent="0.25">
      <c r="A8628">
        <v>101247579</v>
      </c>
      <c r="B8628" t="s">
        <v>19850</v>
      </c>
      <c r="C8628" t="s">
        <v>282</v>
      </c>
      <c r="G8628" t="s">
        <v>19851</v>
      </c>
      <c r="H8628" t="s">
        <v>2205</v>
      </c>
      <c r="I8628" t="s">
        <v>236</v>
      </c>
      <c r="J8628">
        <v>2631</v>
      </c>
      <c r="K8628">
        <v>2682</v>
      </c>
      <c r="L8628" t="s">
        <v>23</v>
      </c>
      <c r="M8628" t="s">
        <v>19851</v>
      </c>
      <c r="N8628" t="s">
        <v>2205</v>
      </c>
      <c r="O8628" t="s">
        <v>236</v>
      </c>
      <c r="P8628">
        <v>2631</v>
      </c>
      <c r="Q8628">
        <v>2682</v>
      </c>
      <c r="R8628" t="s">
        <v>23</v>
      </c>
      <c r="S8628" s="1" t="s">
        <v>34218</v>
      </c>
    </row>
    <row r="8629" spans="1:19" x14ac:dyDescent="0.25">
      <c r="A8629">
        <v>101248041</v>
      </c>
      <c r="B8629" t="s">
        <v>19852</v>
      </c>
      <c r="C8629" t="s">
        <v>4380</v>
      </c>
      <c r="G8629" t="s">
        <v>19853</v>
      </c>
      <c r="H8629" t="s">
        <v>19854</v>
      </c>
      <c r="I8629" t="s">
        <v>62</v>
      </c>
      <c r="J8629">
        <v>74021</v>
      </c>
      <c r="K8629">
        <v>6427</v>
      </c>
      <c r="L8629" t="s">
        <v>23</v>
      </c>
      <c r="M8629" t="s">
        <v>19853</v>
      </c>
      <c r="N8629" t="s">
        <v>19854</v>
      </c>
      <c r="O8629" t="s">
        <v>62</v>
      </c>
      <c r="P8629">
        <v>74021</v>
      </c>
      <c r="Q8629">
        <v>6427</v>
      </c>
      <c r="R8629" t="s">
        <v>23</v>
      </c>
      <c r="S8629" s="1" t="s">
        <v>34218</v>
      </c>
    </row>
    <row r="8630" spans="1:19" x14ac:dyDescent="0.25">
      <c r="A8630">
        <v>101252113</v>
      </c>
      <c r="B8630" t="s">
        <v>19855</v>
      </c>
      <c r="C8630" t="s">
        <v>1036</v>
      </c>
      <c r="G8630" t="s">
        <v>19856</v>
      </c>
      <c r="H8630" t="s">
        <v>4096</v>
      </c>
      <c r="I8630" t="s">
        <v>33</v>
      </c>
      <c r="J8630">
        <v>17543</v>
      </c>
      <c r="K8630">
        <v>7522</v>
      </c>
      <c r="L8630" t="s">
        <v>23</v>
      </c>
      <c r="M8630" t="s">
        <v>19856</v>
      </c>
      <c r="N8630" t="s">
        <v>4096</v>
      </c>
      <c r="O8630" t="s">
        <v>33</v>
      </c>
      <c r="P8630">
        <v>17543</v>
      </c>
      <c r="Q8630">
        <v>7522</v>
      </c>
      <c r="R8630" t="s">
        <v>23</v>
      </c>
      <c r="S8630" s="1" t="s">
        <v>34218</v>
      </c>
    </row>
    <row r="8631" spans="1:19" x14ac:dyDescent="0.25">
      <c r="A8631">
        <v>101242335</v>
      </c>
      <c r="B8631" t="s">
        <v>5379</v>
      </c>
      <c r="C8631" t="s">
        <v>30</v>
      </c>
      <c r="G8631" t="s">
        <v>18472</v>
      </c>
      <c r="H8631" t="s">
        <v>9803</v>
      </c>
      <c r="I8631" t="s">
        <v>52</v>
      </c>
      <c r="J8631">
        <v>32658</v>
      </c>
      <c r="K8631">
        <v>415</v>
      </c>
      <c r="L8631" t="s">
        <v>23</v>
      </c>
      <c r="M8631" t="s">
        <v>18472</v>
      </c>
      <c r="N8631" t="s">
        <v>9803</v>
      </c>
      <c r="O8631" t="s">
        <v>52</v>
      </c>
      <c r="P8631">
        <v>32658</v>
      </c>
      <c r="Q8631">
        <v>415</v>
      </c>
      <c r="R8631" t="s">
        <v>23</v>
      </c>
      <c r="S8631" s="1" t="s">
        <v>34218</v>
      </c>
    </row>
    <row r="8632" spans="1:19" x14ac:dyDescent="0.25">
      <c r="A8632">
        <v>101259816</v>
      </c>
      <c r="B8632" t="s">
        <v>1726</v>
      </c>
      <c r="C8632" t="s">
        <v>1778</v>
      </c>
      <c r="G8632" t="s">
        <v>19857</v>
      </c>
      <c r="H8632" t="s">
        <v>685</v>
      </c>
      <c r="I8632" t="s">
        <v>57</v>
      </c>
      <c r="J8632">
        <v>47403</v>
      </c>
      <c r="K8632">
        <v>2871</v>
      </c>
      <c r="L8632" t="s">
        <v>23</v>
      </c>
      <c r="M8632" t="s">
        <v>19857</v>
      </c>
      <c r="N8632" t="s">
        <v>685</v>
      </c>
      <c r="O8632" t="s">
        <v>57</v>
      </c>
      <c r="P8632">
        <v>47403</v>
      </c>
      <c r="Q8632">
        <v>2871</v>
      </c>
      <c r="R8632" t="s">
        <v>23</v>
      </c>
      <c r="S8632" s="1" t="s">
        <v>34218</v>
      </c>
    </row>
    <row r="8633" spans="1:19" x14ac:dyDescent="0.25">
      <c r="A8633">
        <v>101258530</v>
      </c>
      <c r="B8633" t="s">
        <v>19858</v>
      </c>
      <c r="C8633" t="s">
        <v>19859</v>
      </c>
      <c r="G8633" t="s">
        <v>19860</v>
      </c>
      <c r="H8633" t="s">
        <v>2086</v>
      </c>
      <c r="I8633" t="s">
        <v>178</v>
      </c>
      <c r="J8633">
        <v>45244</v>
      </c>
      <c r="K8633">
        <v>4222</v>
      </c>
      <c r="L8633" t="s">
        <v>23</v>
      </c>
      <c r="M8633" t="s">
        <v>19860</v>
      </c>
      <c r="N8633" t="s">
        <v>2086</v>
      </c>
      <c r="O8633" t="s">
        <v>178</v>
      </c>
      <c r="P8633">
        <v>45244</v>
      </c>
      <c r="Q8633">
        <v>4222</v>
      </c>
      <c r="R8633" t="s">
        <v>23</v>
      </c>
      <c r="S8633" s="1" t="s">
        <v>34218</v>
      </c>
    </row>
    <row r="8634" spans="1:19" x14ac:dyDescent="0.25">
      <c r="A8634">
        <v>101260410</v>
      </c>
      <c r="B8634" t="s">
        <v>8262</v>
      </c>
      <c r="C8634" t="s">
        <v>19381</v>
      </c>
      <c r="G8634" t="s">
        <v>19861</v>
      </c>
      <c r="H8634" t="s">
        <v>19862</v>
      </c>
      <c r="I8634" t="s">
        <v>7839</v>
      </c>
      <c r="J8634">
        <v>58643</v>
      </c>
      <c r="K8634">
        <v>62</v>
      </c>
      <c r="L8634" t="s">
        <v>23</v>
      </c>
      <c r="M8634" t="s">
        <v>19861</v>
      </c>
      <c r="N8634" t="s">
        <v>19862</v>
      </c>
      <c r="O8634" t="s">
        <v>7839</v>
      </c>
      <c r="P8634">
        <v>58643</v>
      </c>
      <c r="Q8634">
        <v>62</v>
      </c>
      <c r="R8634" t="s">
        <v>23</v>
      </c>
      <c r="S8634" s="1" t="s">
        <v>34218</v>
      </c>
    </row>
    <row r="8635" spans="1:19" x14ac:dyDescent="0.25">
      <c r="A8635">
        <v>101260903</v>
      </c>
      <c r="B8635" t="s">
        <v>8367</v>
      </c>
      <c r="C8635" t="s">
        <v>5599</v>
      </c>
      <c r="G8635" t="s">
        <v>19863</v>
      </c>
      <c r="H8635" t="s">
        <v>1531</v>
      </c>
      <c r="I8635" t="s">
        <v>84</v>
      </c>
      <c r="J8635">
        <v>98194</v>
      </c>
      <c r="K8635">
        <v>5</v>
      </c>
      <c r="L8635" t="s">
        <v>23</v>
      </c>
      <c r="M8635" t="s">
        <v>19863</v>
      </c>
      <c r="N8635" t="s">
        <v>1531</v>
      </c>
      <c r="O8635" t="s">
        <v>84</v>
      </c>
      <c r="P8635">
        <v>98194</v>
      </c>
      <c r="Q8635">
        <v>5</v>
      </c>
      <c r="R8635" t="s">
        <v>23</v>
      </c>
      <c r="S8635" s="1" t="s">
        <v>34218</v>
      </c>
    </row>
    <row r="8636" spans="1:19" x14ac:dyDescent="0.25">
      <c r="A8636">
        <v>101479049</v>
      </c>
      <c r="B8636" t="s">
        <v>19864</v>
      </c>
      <c r="C8636" t="s">
        <v>313</v>
      </c>
      <c r="G8636" t="s">
        <v>19865</v>
      </c>
      <c r="H8636" t="s">
        <v>369</v>
      </c>
      <c r="I8636" t="s">
        <v>22</v>
      </c>
      <c r="J8636">
        <v>95648</v>
      </c>
      <c r="K8636">
        <v>2462</v>
      </c>
      <c r="L8636" t="s">
        <v>23</v>
      </c>
      <c r="M8636" t="s">
        <v>19865</v>
      </c>
      <c r="N8636" t="s">
        <v>369</v>
      </c>
      <c r="O8636" t="s">
        <v>22</v>
      </c>
      <c r="P8636">
        <v>95648</v>
      </c>
      <c r="Q8636">
        <v>2462</v>
      </c>
      <c r="R8636" t="s">
        <v>23</v>
      </c>
      <c r="S8636" s="1" t="s">
        <v>34218</v>
      </c>
    </row>
    <row r="8637" spans="1:19" x14ac:dyDescent="0.25">
      <c r="A8637">
        <v>101038231</v>
      </c>
      <c r="B8637" t="s">
        <v>19866</v>
      </c>
      <c r="C8637" t="s">
        <v>1581</v>
      </c>
      <c r="G8637" t="s">
        <v>19867</v>
      </c>
      <c r="H8637" t="s">
        <v>19868</v>
      </c>
      <c r="I8637" t="s">
        <v>148</v>
      </c>
      <c r="J8637">
        <v>21048</v>
      </c>
      <c r="K8637">
        <v>2249</v>
      </c>
      <c r="L8637" t="s">
        <v>23</v>
      </c>
      <c r="M8637" t="s">
        <v>19867</v>
      </c>
      <c r="N8637" t="s">
        <v>19868</v>
      </c>
      <c r="O8637" t="s">
        <v>148</v>
      </c>
      <c r="P8637">
        <v>21048</v>
      </c>
      <c r="Q8637">
        <v>2249</v>
      </c>
      <c r="R8637" t="s">
        <v>23</v>
      </c>
      <c r="S8637" s="1" t="s">
        <v>34218</v>
      </c>
    </row>
    <row r="8638" spans="1:19" x14ac:dyDescent="0.25">
      <c r="A8638">
        <v>101036935</v>
      </c>
      <c r="B8638" t="s">
        <v>19869</v>
      </c>
      <c r="C8638" t="s">
        <v>1036</v>
      </c>
      <c r="G8638" t="s">
        <v>19870</v>
      </c>
      <c r="H8638" t="s">
        <v>7214</v>
      </c>
      <c r="I8638" t="s">
        <v>2566</v>
      </c>
      <c r="J8638">
        <v>99701</v>
      </c>
      <c r="K8638">
        <v>3647</v>
      </c>
      <c r="L8638" t="s">
        <v>23</v>
      </c>
      <c r="M8638" t="s">
        <v>19870</v>
      </c>
      <c r="N8638" t="s">
        <v>7214</v>
      </c>
      <c r="O8638" t="s">
        <v>2566</v>
      </c>
      <c r="P8638">
        <v>99701</v>
      </c>
      <c r="Q8638">
        <v>3647</v>
      </c>
      <c r="R8638" t="s">
        <v>23</v>
      </c>
      <c r="S8638" s="1" t="s">
        <v>34218</v>
      </c>
    </row>
    <row r="8639" spans="1:19" x14ac:dyDescent="0.25">
      <c r="A8639">
        <v>101044243</v>
      </c>
      <c r="B8639" t="s">
        <v>19871</v>
      </c>
      <c r="C8639" t="s">
        <v>30</v>
      </c>
      <c r="G8639" t="s">
        <v>19872</v>
      </c>
      <c r="H8639" t="s">
        <v>4989</v>
      </c>
      <c r="I8639" t="s">
        <v>84</v>
      </c>
      <c r="J8639">
        <v>98282</v>
      </c>
      <c r="K8639">
        <v>7237</v>
      </c>
      <c r="L8639" t="s">
        <v>23</v>
      </c>
      <c r="M8639" t="s">
        <v>19872</v>
      </c>
      <c r="N8639" t="s">
        <v>4989</v>
      </c>
      <c r="O8639" t="s">
        <v>84</v>
      </c>
      <c r="P8639">
        <v>98282</v>
      </c>
      <c r="Q8639">
        <v>7237</v>
      </c>
      <c r="R8639" t="s">
        <v>23</v>
      </c>
      <c r="S8639" s="1" t="s">
        <v>34218</v>
      </c>
    </row>
    <row r="8640" spans="1:19" x14ac:dyDescent="0.25">
      <c r="A8640">
        <v>101042464</v>
      </c>
      <c r="B8640" t="s">
        <v>880</v>
      </c>
      <c r="C8640" t="s">
        <v>1120</v>
      </c>
      <c r="G8640" t="s">
        <v>19873</v>
      </c>
      <c r="H8640" t="s">
        <v>650</v>
      </c>
      <c r="I8640" t="s">
        <v>22</v>
      </c>
      <c r="J8640">
        <v>95831</v>
      </c>
      <c r="K8640">
        <v>2738</v>
      </c>
      <c r="L8640" t="s">
        <v>23</v>
      </c>
      <c r="M8640" t="s">
        <v>19873</v>
      </c>
      <c r="N8640" t="s">
        <v>650</v>
      </c>
      <c r="O8640" t="s">
        <v>22</v>
      </c>
      <c r="P8640">
        <v>95831</v>
      </c>
      <c r="Q8640">
        <v>2738</v>
      </c>
      <c r="R8640" t="s">
        <v>23</v>
      </c>
      <c r="S8640" s="1" t="s">
        <v>34218</v>
      </c>
    </row>
    <row r="8641" spans="1:19" x14ac:dyDescent="0.25">
      <c r="A8641">
        <v>101042344</v>
      </c>
      <c r="B8641" t="s">
        <v>19874</v>
      </c>
      <c r="C8641" t="s">
        <v>838</v>
      </c>
      <c r="G8641" t="s">
        <v>19875</v>
      </c>
      <c r="H8641" t="s">
        <v>529</v>
      </c>
      <c r="I8641" t="s">
        <v>178</v>
      </c>
      <c r="J8641">
        <v>45140</v>
      </c>
      <c r="K8641">
        <v>8885</v>
      </c>
      <c r="L8641" t="s">
        <v>23</v>
      </c>
      <c r="M8641" t="s">
        <v>19875</v>
      </c>
      <c r="N8641" t="s">
        <v>529</v>
      </c>
      <c r="O8641" t="s">
        <v>178</v>
      </c>
      <c r="P8641">
        <v>45140</v>
      </c>
      <c r="Q8641">
        <v>8885</v>
      </c>
      <c r="R8641" t="s">
        <v>23</v>
      </c>
      <c r="S8641" s="1" t="s">
        <v>34218</v>
      </c>
    </row>
    <row r="8642" spans="1:19" x14ac:dyDescent="0.25">
      <c r="A8642">
        <v>101044277</v>
      </c>
      <c r="B8642" t="s">
        <v>19876</v>
      </c>
      <c r="C8642" t="s">
        <v>13614</v>
      </c>
      <c r="G8642" t="s">
        <v>19877</v>
      </c>
      <c r="H8642" t="s">
        <v>1283</v>
      </c>
      <c r="I8642" t="s">
        <v>22</v>
      </c>
      <c r="J8642">
        <v>93923</v>
      </c>
      <c r="K8642">
        <v>8919</v>
      </c>
      <c r="L8642" t="s">
        <v>23</v>
      </c>
      <c r="M8642" t="s">
        <v>19877</v>
      </c>
      <c r="N8642" t="s">
        <v>1283</v>
      </c>
      <c r="O8642" t="s">
        <v>22</v>
      </c>
      <c r="P8642">
        <v>93923</v>
      </c>
      <c r="Q8642">
        <v>8919</v>
      </c>
      <c r="R8642" t="s">
        <v>23</v>
      </c>
      <c r="S8642" s="1" t="s">
        <v>34218</v>
      </c>
    </row>
    <row r="8643" spans="1:19" x14ac:dyDescent="0.25">
      <c r="A8643">
        <v>101045134</v>
      </c>
      <c r="B8643" t="s">
        <v>19878</v>
      </c>
      <c r="C8643" t="s">
        <v>19879</v>
      </c>
      <c r="G8643" t="s">
        <v>19880</v>
      </c>
      <c r="H8643" t="s">
        <v>13062</v>
      </c>
      <c r="I8643" t="s">
        <v>52</v>
      </c>
      <c r="J8643">
        <v>32935</v>
      </c>
      <c r="K8643">
        <v>3238</v>
      </c>
      <c r="L8643" t="s">
        <v>23</v>
      </c>
      <c r="M8643" t="s">
        <v>19880</v>
      </c>
      <c r="N8643" t="s">
        <v>13062</v>
      </c>
      <c r="O8643" t="s">
        <v>52</v>
      </c>
      <c r="P8643">
        <v>32935</v>
      </c>
      <c r="Q8643">
        <v>3238</v>
      </c>
      <c r="R8643" t="s">
        <v>23</v>
      </c>
      <c r="S8643" s="1" t="s">
        <v>34218</v>
      </c>
    </row>
    <row r="8644" spans="1:19" x14ac:dyDescent="0.25">
      <c r="A8644">
        <v>101226926</v>
      </c>
      <c r="B8644" t="s">
        <v>3590</v>
      </c>
      <c r="C8644" t="s">
        <v>2420</v>
      </c>
      <c r="G8644">
        <v>845</v>
      </c>
      <c r="H8644" t="s">
        <v>4622</v>
      </c>
      <c r="I8644" t="s">
        <v>148</v>
      </c>
      <c r="J8644">
        <v>21875</v>
      </c>
      <c r="L8644" t="s">
        <v>23</v>
      </c>
      <c r="M8644">
        <v>845</v>
      </c>
      <c r="N8644" t="s">
        <v>4622</v>
      </c>
      <c r="O8644" t="s">
        <v>148</v>
      </c>
      <c r="P8644">
        <v>21875</v>
      </c>
      <c r="R8644" t="s">
        <v>23</v>
      </c>
      <c r="S8644" s="1" t="s">
        <v>34218</v>
      </c>
    </row>
    <row r="8645" spans="1:19" x14ac:dyDescent="0.25">
      <c r="A8645">
        <v>101231038</v>
      </c>
      <c r="B8645" t="s">
        <v>19881</v>
      </c>
      <c r="C8645" t="s">
        <v>40</v>
      </c>
      <c r="G8645" t="s">
        <v>19882</v>
      </c>
      <c r="H8645" t="s">
        <v>1877</v>
      </c>
      <c r="I8645" t="s">
        <v>126</v>
      </c>
      <c r="J8645">
        <v>65560</v>
      </c>
      <c r="K8645">
        <v>5413</v>
      </c>
      <c r="L8645" t="s">
        <v>23</v>
      </c>
      <c r="M8645" t="s">
        <v>19882</v>
      </c>
      <c r="N8645" t="s">
        <v>1877</v>
      </c>
      <c r="O8645" t="s">
        <v>126</v>
      </c>
      <c r="P8645">
        <v>65560</v>
      </c>
      <c r="Q8645">
        <v>5413</v>
      </c>
      <c r="R8645" t="s">
        <v>23</v>
      </c>
      <c r="S8645" s="1" t="s">
        <v>34218</v>
      </c>
    </row>
    <row r="8646" spans="1:19" x14ac:dyDescent="0.25">
      <c r="A8646">
        <v>101235710</v>
      </c>
      <c r="B8646" t="s">
        <v>19883</v>
      </c>
      <c r="C8646" t="s">
        <v>1616</v>
      </c>
      <c r="G8646" t="s">
        <v>19884</v>
      </c>
      <c r="H8646" t="s">
        <v>1315</v>
      </c>
      <c r="I8646" t="s">
        <v>161</v>
      </c>
      <c r="J8646">
        <v>6751</v>
      </c>
      <c r="K8646">
        <v>1700</v>
      </c>
      <c r="L8646" t="s">
        <v>23</v>
      </c>
      <c r="M8646" t="s">
        <v>19884</v>
      </c>
      <c r="N8646" t="s">
        <v>1315</v>
      </c>
      <c r="O8646" t="s">
        <v>161</v>
      </c>
      <c r="P8646">
        <v>6751</v>
      </c>
      <c r="Q8646">
        <v>1700</v>
      </c>
      <c r="R8646" t="s">
        <v>23</v>
      </c>
      <c r="S8646" s="1" t="s">
        <v>34218</v>
      </c>
    </row>
    <row r="8647" spans="1:19" x14ac:dyDescent="0.25">
      <c r="A8647">
        <v>101238968</v>
      </c>
      <c r="B8647" t="s">
        <v>2238</v>
      </c>
      <c r="C8647" t="s">
        <v>2512</v>
      </c>
      <c r="F8647" t="str">
        <f>"8474248232"</f>
        <v>8474248232</v>
      </c>
      <c r="G8647" t="s">
        <v>19885</v>
      </c>
      <c r="H8647" t="s">
        <v>1754</v>
      </c>
      <c r="I8647" t="s">
        <v>135</v>
      </c>
      <c r="J8647">
        <v>60202</v>
      </c>
      <c r="K8647">
        <v>3249</v>
      </c>
      <c r="L8647" t="s">
        <v>23</v>
      </c>
      <c r="M8647" t="s">
        <v>19885</v>
      </c>
      <c r="N8647" t="s">
        <v>1754</v>
      </c>
      <c r="O8647" t="s">
        <v>135</v>
      </c>
      <c r="P8647">
        <v>60202</v>
      </c>
      <c r="Q8647">
        <v>3249</v>
      </c>
      <c r="R8647" t="s">
        <v>23</v>
      </c>
      <c r="S8647" s="1" t="s">
        <v>34218</v>
      </c>
    </row>
    <row r="8648" spans="1:19" x14ac:dyDescent="0.25">
      <c r="A8648">
        <v>101245835</v>
      </c>
      <c r="B8648" t="s">
        <v>19886</v>
      </c>
      <c r="C8648" t="s">
        <v>19887</v>
      </c>
      <c r="G8648" t="s">
        <v>19888</v>
      </c>
      <c r="H8648" t="s">
        <v>10227</v>
      </c>
      <c r="I8648" t="s">
        <v>140</v>
      </c>
      <c r="J8648">
        <v>49441</v>
      </c>
      <c r="K8648">
        <v>1322</v>
      </c>
      <c r="L8648" t="s">
        <v>23</v>
      </c>
      <c r="M8648" t="s">
        <v>19888</v>
      </c>
      <c r="N8648" t="s">
        <v>10227</v>
      </c>
      <c r="O8648" t="s">
        <v>140</v>
      </c>
      <c r="P8648">
        <v>49441</v>
      </c>
      <c r="Q8648">
        <v>1322</v>
      </c>
      <c r="R8648" t="s">
        <v>23</v>
      </c>
      <c r="S8648" s="1" t="s">
        <v>34218</v>
      </c>
    </row>
    <row r="8649" spans="1:19" x14ac:dyDescent="0.25">
      <c r="A8649">
        <v>101245872</v>
      </c>
      <c r="B8649" t="s">
        <v>19889</v>
      </c>
      <c r="C8649" t="s">
        <v>3951</v>
      </c>
      <c r="G8649" t="s">
        <v>19890</v>
      </c>
      <c r="H8649" t="s">
        <v>1246</v>
      </c>
      <c r="I8649" t="s">
        <v>140</v>
      </c>
      <c r="J8649">
        <v>49508</v>
      </c>
      <c r="K8649">
        <v>5319</v>
      </c>
      <c r="L8649" t="s">
        <v>23</v>
      </c>
      <c r="M8649" t="s">
        <v>19890</v>
      </c>
      <c r="N8649" t="s">
        <v>1246</v>
      </c>
      <c r="O8649" t="s">
        <v>140</v>
      </c>
      <c r="P8649">
        <v>49508</v>
      </c>
      <c r="Q8649">
        <v>5319</v>
      </c>
      <c r="R8649" t="s">
        <v>23</v>
      </c>
      <c r="S8649" s="1" t="s">
        <v>34218</v>
      </c>
    </row>
    <row r="8650" spans="1:19" x14ac:dyDescent="0.25">
      <c r="A8650">
        <v>101234408</v>
      </c>
      <c r="B8650" t="s">
        <v>19891</v>
      </c>
      <c r="C8650" t="s">
        <v>579</v>
      </c>
      <c r="G8650" t="s">
        <v>19892</v>
      </c>
      <c r="H8650" t="s">
        <v>11234</v>
      </c>
      <c r="I8650" t="s">
        <v>241</v>
      </c>
      <c r="J8650">
        <v>66067</v>
      </c>
      <c r="K8650">
        <v>9026</v>
      </c>
      <c r="L8650" t="s">
        <v>23</v>
      </c>
      <c r="M8650" t="s">
        <v>19892</v>
      </c>
      <c r="N8650" t="s">
        <v>11234</v>
      </c>
      <c r="O8650" t="s">
        <v>241</v>
      </c>
      <c r="P8650">
        <v>66067</v>
      </c>
      <c r="Q8650">
        <v>9026</v>
      </c>
      <c r="R8650" t="s">
        <v>23</v>
      </c>
      <c r="S8650" s="1" t="s">
        <v>34218</v>
      </c>
    </row>
    <row r="8651" spans="1:19" x14ac:dyDescent="0.25">
      <c r="A8651">
        <v>101251944</v>
      </c>
      <c r="B8651" t="s">
        <v>19893</v>
      </c>
      <c r="C8651" t="s">
        <v>3460</v>
      </c>
      <c r="G8651" t="s">
        <v>19894</v>
      </c>
      <c r="H8651" t="s">
        <v>19895</v>
      </c>
      <c r="I8651" t="s">
        <v>22</v>
      </c>
      <c r="J8651">
        <v>94956</v>
      </c>
      <c r="K8651">
        <v>398</v>
      </c>
      <c r="L8651" t="s">
        <v>23</v>
      </c>
      <c r="M8651" t="s">
        <v>19894</v>
      </c>
      <c r="N8651" t="s">
        <v>19895</v>
      </c>
      <c r="O8651" t="s">
        <v>22</v>
      </c>
      <c r="P8651">
        <v>94956</v>
      </c>
      <c r="Q8651">
        <v>398</v>
      </c>
      <c r="R8651" t="s">
        <v>23</v>
      </c>
      <c r="S8651" s="1" t="s">
        <v>34218</v>
      </c>
    </row>
    <row r="8652" spans="1:19" x14ac:dyDescent="0.25">
      <c r="A8652">
        <v>101244929</v>
      </c>
      <c r="B8652" t="s">
        <v>5379</v>
      </c>
      <c r="C8652" t="s">
        <v>19896</v>
      </c>
      <c r="G8652" t="s">
        <v>19897</v>
      </c>
      <c r="H8652" t="s">
        <v>726</v>
      </c>
      <c r="I8652" t="s">
        <v>22</v>
      </c>
      <c r="J8652">
        <v>90403</v>
      </c>
      <c r="K8652">
        <v>2340</v>
      </c>
      <c r="L8652" t="s">
        <v>23</v>
      </c>
      <c r="M8652" t="s">
        <v>19897</v>
      </c>
      <c r="N8652" t="s">
        <v>726</v>
      </c>
      <c r="O8652" t="s">
        <v>22</v>
      </c>
      <c r="P8652">
        <v>90403</v>
      </c>
      <c r="Q8652">
        <v>2340</v>
      </c>
      <c r="R8652" t="s">
        <v>23</v>
      </c>
      <c r="S8652" s="1" t="s">
        <v>34218</v>
      </c>
    </row>
    <row r="8653" spans="1:19" x14ac:dyDescent="0.25">
      <c r="A8653">
        <v>101255059</v>
      </c>
      <c r="B8653" t="s">
        <v>19898</v>
      </c>
      <c r="C8653" t="s">
        <v>4318</v>
      </c>
      <c r="G8653" t="s">
        <v>19899</v>
      </c>
      <c r="H8653" t="s">
        <v>1405</v>
      </c>
      <c r="I8653" t="s">
        <v>187</v>
      </c>
      <c r="J8653">
        <v>55108</v>
      </c>
      <c r="K8653">
        <v>1340</v>
      </c>
      <c r="L8653" t="s">
        <v>23</v>
      </c>
      <c r="M8653" t="s">
        <v>19899</v>
      </c>
      <c r="N8653" t="s">
        <v>1405</v>
      </c>
      <c r="O8653" t="s">
        <v>187</v>
      </c>
      <c r="P8653">
        <v>55108</v>
      </c>
      <c r="Q8653">
        <v>1340</v>
      </c>
      <c r="R8653" t="s">
        <v>23</v>
      </c>
      <c r="S8653" s="1" t="s">
        <v>34218</v>
      </c>
    </row>
    <row r="8654" spans="1:19" x14ac:dyDescent="0.25">
      <c r="A8654">
        <v>101258250</v>
      </c>
      <c r="B8654" t="s">
        <v>19900</v>
      </c>
      <c r="C8654" t="s">
        <v>1107</v>
      </c>
      <c r="G8654" t="s">
        <v>19901</v>
      </c>
      <c r="H8654" t="s">
        <v>17160</v>
      </c>
      <c r="I8654" t="s">
        <v>22</v>
      </c>
      <c r="J8654">
        <v>96067</v>
      </c>
      <c r="K8654">
        <v>2621</v>
      </c>
      <c r="L8654" t="s">
        <v>23</v>
      </c>
      <c r="M8654" t="s">
        <v>19901</v>
      </c>
      <c r="N8654" t="s">
        <v>17160</v>
      </c>
      <c r="O8654" t="s">
        <v>22</v>
      </c>
      <c r="P8654">
        <v>96067</v>
      </c>
      <c r="Q8654">
        <v>2621</v>
      </c>
      <c r="R8654" t="s">
        <v>23</v>
      </c>
      <c r="S8654" s="1" t="s">
        <v>34218</v>
      </c>
    </row>
    <row r="8655" spans="1:19" x14ac:dyDescent="0.25">
      <c r="A8655">
        <v>101254660</v>
      </c>
      <c r="B8655" t="s">
        <v>19902</v>
      </c>
      <c r="C8655" t="s">
        <v>535</v>
      </c>
      <c r="G8655" t="s">
        <v>19903</v>
      </c>
      <c r="H8655" t="s">
        <v>3270</v>
      </c>
      <c r="I8655" t="s">
        <v>348</v>
      </c>
      <c r="J8655">
        <v>83703</v>
      </c>
      <c r="K8655">
        <v>6221</v>
      </c>
      <c r="L8655" t="s">
        <v>23</v>
      </c>
      <c r="M8655" t="s">
        <v>19903</v>
      </c>
      <c r="N8655" t="s">
        <v>3270</v>
      </c>
      <c r="O8655" t="s">
        <v>348</v>
      </c>
      <c r="P8655">
        <v>83703</v>
      </c>
      <c r="Q8655">
        <v>6221</v>
      </c>
      <c r="R8655" t="s">
        <v>23</v>
      </c>
      <c r="S8655" s="1" t="s">
        <v>34218</v>
      </c>
    </row>
    <row r="8656" spans="1:19" x14ac:dyDescent="0.25">
      <c r="A8656">
        <v>101260797</v>
      </c>
      <c r="B8656" t="s">
        <v>11488</v>
      </c>
      <c r="C8656" t="s">
        <v>11558</v>
      </c>
      <c r="G8656" t="s">
        <v>19904</v>
      </c>
      <c r="H8656" t="s">
        <v>19905</v>
      </c>
      <c r="I8656" t="s">
        <v>33</v>
      </c>
      <c r="J8656">
        <v>19341</v>
      </c>
      <c r="K8656">
        <v>2056</v>
      </c>
      <c r="L8656" t="s">
        <v>23</v>
      </c>
      <c r="M8656" t="s">
        <v>19904</v>
      </c>
      <c r="N8656" t="s">
        <v>19905</v>
      </c>
      <c r="O8656" t="s">
        <v>33</v>
      </c>
      <c r="P8656">
        <v>19341</v>
      </c>
      <c r="Q8656">
        <v>2056</v>
      </c>
      <c r="R8656" t="s">
        <v>23</v>
      </c>
      <c r="S8656" s="1" t="s">
        <v>34218</v>
      </c>
    </row>
    <row r="8657" spans="1:19" x14ac:dyDescent="0.25">
      <c r="A8657">
        <v>101266222</v>
      </c>
      <c r="B8657" t="s">
        <v>141</v>
      </c>
      <c r="C8657" t="s">
        <v>8017</v>
      </c>
      <c r="G8657" t="s">
        <v>19906</v>
      </c>
      <c r="H8657" t="s">
        <v>19907</v>
      </c>
      <c r="I8657" t="s">
        <v>117</v>
      </c>
      <c r="J8657">
        <v>11104</v>
      </c>
      <c r="K8657">
        <v>4224</v>
      </c>
      <c r="L8657" t="s">
        <v>23</v>
      </c>
      <c r="M8657" t="s">
        <v>19906</v>
      </c>
      <c r="N8657" t="s">
        <v>19907</v>
      </c>
      <c r="O8657" t="s">
        <v>117</v>
      </c>
      <c r="P8657">
        <v>11104</v>
      </c>
      <c r="Q8657">
        <v>4224</v>
      </c>
      <c r="R8657" t="s">
        <v>23</v>
      </c>
      <c r="S8657" s="1" t="s">
        <v>34218</v>
      </c>
    </row>
    <row r="8658" spans="1:19" x14ac:dyDescent="0.25">
      <c r="A8658">
        <v>101263914</v>
      </c>
      <c r="B8658" t="s">
        <v>18488</v>
      </c>
      <c r="C8658" t="s">
        <v>19908</v>
      </c>
      <c r="G8658" t="s">
        <v>19909</v>
      </c>
      <c r="H8658" t="s">
        <v>19910</v>
      </c>
      <c r="I8658" t="s">
        <v>1482</v>
      </c>
      <c r="J8658">
        <v>29301</v>
      </c>
      <c r="K8658">
        <v>5358</v>
      </c>
      <c r="L8658" t="s">
        <v>23</v>
      </c>
      <c r="M8658" t="s">
        <v>19909</v>
      </c>
      <c r="N8658" t="s">
        <v>19910</v>
      </c>
      <c r="O8658" t="s">
        <v>1482</v>
      </c>
      <c r="P8658">
        <v>29301</v>
      </c>
      <c r="Q8658">
        <v>5358</v>
      </c>
      <c r="R8658" t="s">
        <v>23</v>
      </c>
      <c r="S8658" s="1" t="s">
        <v>34218</v>
      </c>
    </row>
    <row r="8659" spans="1:19" x14ac:dyDescent="0.25">
      <c r="A8659">
        <v>101271962</v>
      </c>
      <c r="B8659" t="s">
        <v>3985</v>
      </c>
      <c r="C8659" t="s">
        <v>1153</v>
      </c>
      <c r="G8659" t="s">
        <v>19911</v>
      </c>
      <c r="H8659" t="s">
        <v>7357</v>
      </c>
      <c r="I8659" t="s">
        <v>161</v>
      </c>
      <c r="J8659">
        <v>6062</v>
      </c>
      <c r="K8659">
        <v>2344</v>
      </c>
      <c r="L8659" t="s">
        <v>23</v>
      </c>
      <c r="M8659" t="s">
        <v>19911</v>
      </c>
      <c r="N8659" t="s">
        <v>7357</v>
      </c>
      <c r="O8659" t="s">
        <v>161</v>
      </c>
      <c r="P8659">
        <v>6062</v>
      </c>
      <c r="Q8659">
        <v>2344</v>
      </c>
      <c r="R8659" t="s">
        <v>23</v>
      </c>
      <c r="S8659" s="1" t="s">
        <v>34218</v>
      </c>
    </row>
    <row r="8660" spans="1:19" x14ac:dyDescent="0.25">
      <c r="A8660">
        <v>101271637</v>
      </c>
      <c r="B8660" t="s">
        <v>19912</v>
      </c>
      <c r="C8660" t="s">
        <v>1327</v>
      </c>
      <c r="G8660" t="s">
        <v>19913</v>
      </c>
      <c r="H8660" t="s">
        <v>694</v>
      </c>
      <c r="I8660" t="s">
        <v>135</v>
      </c>
      <c r="J8660">
        <v>60565</v>
      </c>
      <c r="K8660">
        <v>2555</v>
      </c>
      <c r="L8660" t="s">
        <v>23</v>
      </c>
      <c r="M8660" t="s">
        <v>19913</v>
      </c>
      <c r="N8660" t="s">
        <v>694</v>
      </c>
      <c r="O8660" t="s">
        <v>135</v>
      </c>
      <c r="P8660">
        <v>60565</v>
      </c>
      <c r="Q8660">
        <v>2555</v>
      </c>
      <c r="R8660" t="s">
        <v>23</v>
      </c>
      <c r="S8660" s="1" t="s">
        <v>34218</v>
      </c>
    </row>
    <row r="8661" spans="1:19" x14ac:dyDescent="0.25">
      <c r="A8661">
        <v>101480533</v>
      </c>
      <c r="B8661" t="s">
        <v>19914</v>
      </c>
      <c r="C8661" t="s">
        <v>19915</v>
      </c>
      <c r="G8661" t="s">
        <v>19916</v>
      </c>
      <c r="H8661" t="s">
        <v>147</v>
      </c>
      <c r="I8661" t="s">
        <v>22</v>
      </c>
      <c r="J8661">
        <v>91105</v>
      </c>
      <c r="K8661">
        <v>1922</v>
      </c>
      <c r="L8661" t="s">
        <v>23</v>
      </c>
      <c r="M8661" t="s">
        <v>19916</v>
      </c>
      <c r="N8661" t="s">
        <v>147</v>
      </c>
      <c r="O8661" t="s">
        <v>22</v>
      </c>
      <c r="P8661">
        <v>91105</v>
      </c>
      <c r="Q8661">
        <v>1922</v>
      </c>
      <c r="R8661" t="s">
        <v>23</v>
      </c>
      <c r="S8661" s="1" t="s">
        <v>34218</v>
      </c>
    </row>
    <row r="8662" spans="1:19" x14ac:dyDescent="0.25">
      <c r="A8662">
        <v>101478497</v>
      </c>
      <c r="B8662" t="s">
        <v>19917</v>
      </c>
      <c r="C8662" t="s">
        <v>12603</v>
      </c>
      <c r="G8662" t="s">
        <v>19918</v>
      </c>
      <c r="H8662" t="s">
        <v>1402</v>
      </c>
      <c r="I8662" t="s">
        <v>38</v>
      </c>
      <c r="J8662">
        <v>77061</v>
      </c>
      <c r="K8662">
        <v>2635</v>
      </c>
      <c r="L8662" t="s">
        <v>23</v>
      </c>
      <c r="M8662" t="s">
        <v>19918</v>
      </c>
      <c r="N8662" t="s">
        <v>1402</v>
      </c>
      <c r="O8662" t="s">
        <v>38</v>
      </c>
      <c r="P8662">
        <v>77061</v>
      </c>
      <c r="Q8662">
        <v>2635</v>
      </c>
      <c r="R8662" t="s">
        <v>23</v>
      </c>
      <c r="S8662" s="1" t="s">
        <v>34218</v>
      </c>
    </row>
    <row r="8663" spans="1:19" x14ac:dyDescent="0.25">
      <c r="A8663">
        <v>101480537</v>
      </c>
      <c r="B8663" t="s">
        <v>18642</v>
      </c>
      <c r="C8663" t="s">
        <v>3017</v>
      </c>
      <c r="G8663" t="s">
        <v>19919</v>
      </c>
      <c r="H8663" t="s">
        <v>17783</v>
      </c>
      <c r="I8663" t="s">
        <v>148</v>
      </c>
      <c r="J8663">
        <v>20912</v>
      </c>
      <c r="K8663">
        <v>6356</v>
      </c>
      <c r="L8663" t="s">
        <v>23</v>
      </c>
      <c r="M8663" t="s">
        <v>19919</v>
      </c>
      <c r="N8663" t="s">
        <v>17783</v>
      </c>
      <c r="O8663" t="s">
        <v>148</v>
      </c>
      <c r="P8663">
        <v>20912</v>
      </c>
      <c r="Q8663">
        <v>6356</v>
      </c>
      <c r="R8663" t="s">
        <v>23</v>
      </c>
      <c r="S8663" s="1" t="s">
        <v>34218</v>
      </c>
    </row>
    <row r="8664" spans="1:19" x14ac:dyDescent="0.25">
      <c r="A8664">
        <v>100640336</v>
      </c>
      <c r="B8664" t="s">
        <v>19920</v>
      </c>
      <c r="C8664" t="s">
        <v>123</v>
      </c>
      <c r="G8664" t="s">
        <v>19921</v>
      </c>
      <c r="H8664" t="s">
        <v>139</v>
      </c>
      <c r="I8664" t="s">
        <v>28</v>
      </c>
      <c r="J8664">
        <v>30114</v>
      </c>
      <c r="K8664">
        <v>1913</v>
      </c>
      <c r="L8664" t="s">
        <v>23</v>
      </c>
      <c r="M8664" t="s">
        <v>19921</v>
      </c>
      <c r="N8664" t="s">
        <v>139</v>
      </c>
      <c r="O8664" t="s">
        <v>28</v>
      </c>
      <c r="P8664">
        <v>30114</v>
      </c>
      <c r="Q8664">
        <v>1913</v>
      </c>
      <c r="R8664" t="s">
        <v>23</v>
      </c>
      <c r="S8664" s="1" t="s">
        <v>34218</v>
      </c>
    </row>
    <row r="8665" spans="1:19" x14ac:dyDescent="0.25">
      <c r="A8665">
        <v>101469230</v>
      </c>
      <c r="B8665" t="s">
        <v>9807</v>
      </c>
      <c r="C8665" t="s">
        <v>1859</v>
      </c>
      <c r="G8665" t="s">
        <v>19922</v>
      </c>
      <c r="H8665" t="s">
        <v>3169</v>
      </c>
      <c r="I8665" t="s">
        <v>84</v>
      </c>
      <c r="J8665">
        <v>98407</v>
      </c>
      <c r="K8665">
        <v>3930</v>
      </c>
      <c r="L8665" t="s">
        <v>23</v>
      </c>
      <c r="M8665" t="s">
        <v>19922</v>
      </c>
      <c r="N8665" t="s">
        <v>3169</v>
      </c>
      <c r="O8665" t="s">
        <v>84</v>
      </c>
      <c r="P8665">
        <v>98407</v>
      </c>
      <c r="Q8665">
        <v>3930</v>
      </c>
      <c r="R8665" t="s">
        <v>23</v>
      </c>
      <c r="S8665" s="1" t="s">
        <v>34218</v>
      </c>
    </row>
    <row r="8666" spans="1:19" x14ac:dyDescent="0.25">
      <c r="A8666">
        <v>101049816</v>
      </c>
      <c r="B8666" t="s">
        <v>19923</v>
      </c>
      <c r="C8666" t="s">
        <v>11289</v>
      </c>
      <c r="G8666" t="s">
        <v>19924</v>
      </c>
      <c r="H8666" t="s">
        <v>761</v>
      </c>
      <c r="I8666" t="s">
        <v>236</v>
      </c>
      <c r="J8666">
        <v>1742</v>
      </c>
      <c r="K8666">
        <v>2725</v>
      </c>
      <c r="L8666" t="s">
        <v>23</v>
      </c>
      <c r="M8666" t="s">
        <v>19924</v>
      </c>
      <c r="N8666" t="s">
        <v>761</v>
      </c>
      <c r="O8666" t="s">
        <v>236</v>
      </c>
      <c r="P8666">
        <v>1742</v>
      </c>
      <c r="Q8666">
        <v>2725</v>
      </c>
      <c r="R8666" t="s">
        <v>23</v>
      </c>
      <c r="S8666" s="1" t="s">
        <v>34218</v>
      </c>
    </row>
    <row r="8667" spans="1:19" x14ac:dyDescent="0.25">
      <c r="A8667">
        <v>101274774</v>
      </c>
      <c r="B8667" t="s">
        <v>2891</v>
      </c>
      <c r="C8667" t="s">
        <v>2127</v>
      </c>
      <c r="G8667" t="s">
        <v>19925</v>
      </c>
      <c r="H8667" t="s">
        <v>3766</v>
      </c>
      <c r="I8667" t="s">
        <v>365</v>
      </c>
      <c r="J8667">
        <v>85249</v>
      </c>
      <c r="K8667">
        <v>9194</v>
      </c>
      <c r="L8667" t="s">
        <v>23</v>
      </c>
      <c r="M8667" t="s">
        <v>19925</v>
      </c>
      <c r="N8667" t="s">
        <v>3766</v>
      </c>
      <c r="O8667" t="s">
        <v>365</v>
      </c>
      <c r="P8667">
        <v>85249</v>
      </c>
      <c r="Q8667">
        <v>9194</v>
      </c>
      <c r="R8667" t="s">
        <v>23</v>
      </c>
      <c r="S8667" s="1" t="s">
        <v>34218</v>
      </c>
    </row>
    <row r="8668" spans="1:19" x14ac:dyDescent="0.25">
      <c r="A8668">
        <v>101319242</v>
      </c>
      <c r="B8668" t="s">
        <v>19926</v>
      </c>
      <c r="C8668" t="s">
        <v>2248</v>
      </c>
      <c r="G8668" t="s">
        <v>19927</v>
      </c>
      <c r="H8668" t="s">
        <v>3766</v>
      </c>
      <c r="I8668" t="s">
        <v>365</v>
      </c>
      <c r="J8668">
        <v>85224</v>
      </c>
      <c r="L8668" t="s">
        <v>23</v>
      </c>
      <c r="M8668" t="s">
        <v>19927</v>
      </c>
      <c r="N8668" t="s">
        <v>3766</v>
      </c>
      <c r="O8668" t="s">
        <v>365</v>
      </c>
      <c r="P8668">
        <v>85224</v>
      </c>
      <c r="R8668" t="s">
        <v>23</v>
      </c>
      <c r="S8668" s="1" t="s">
        <v>34218</v>
      </c>
    </row>
    <row r="8669" spans="1:19" x14ac:dyDescent="0.25">
      <c r="A8669">
        <v>101429525</v>
      </c>
      <c r="B8669" t="s">
        <v>8714</v>
      </c>
      <c r="C8669" t="s">
        <v>3017</v>
      </c>
      <c r="G8669" t="s">
        <v>19928</v>
      </c>
      <c r="H8669" t="s">
        <v>1477</v>
      </c>
      <c r="I8669" t="s">
        <v>84</v>
      </c>
      <c r="J8669">
        <v>98059</v>
      </c>
      <c r="K8669">
        <v>5523</v>
      </c>
      <c r="L8669" t="s">
        <v>23</v>
      </c>
      <c r="M8669" t="s">
        <v>19928</v>
      </c>
      <c r="N8669" t="s">
        <v>1477</v>
      </c>
      <c r="O8669" t="s">
        <v>84</v>
      </c>
      <c r="P8669">
        <v>98059</v>
      </c>
      <c r="Q8669">
        <v>5523</v>
      </c>
      <c r="R8669" t="s">
        <v>23</v>
      </c>
      <c r="S8669" s="1" t="s">
        <v>34218</v>
      </c>
    </row>
    <row r="8670" spans="1:19" x14ac:dyDescent="0.25">
      <c r="A8670">
        <v>100926525</v>
      </c>
      <c r="B8670" t="s">
        <v>5713</v>
      </c>
      <c r="C8670" t="s">
        <v>200</v>
      </c>
      <c r="G8670" t="s">
        <v>19929</v>
      </c>
      <c r="H8670" t="s">
        <v>2335</v>
      </c>
      <c r="I8670" t="s">
        <v>22</v>
      </c>
      <c r="J8670">
        <v>92604</v>
      </c>
      <c r="K8670">
        <v>2947</v>
      </c>
      <c r="L8670" t="s">
        <v>23</v>
      </c>
      <c r="M8670" t="s">
        <v>19929</v>
      </c>
      <c r="N8670" t="s">
        <v>2335</v>
      </c>
      <c r="O8670" t="s">
        <v>22</v>
      </c>
      <c r="P8670">
        <v>92604</v>
      </c>
      <c r="Q8670">
        <v>2947</v>
      </c>
      <c r="R8670" t="s">
        <v>23</v>
      </c>
      <c r="S8670" s="1" t="s">
        <v>34218</v>
      </c>
    </row>
    <row r="8671" spans="1:19" x14ac:dyDescent="0.25">
      <c r="A8671">
        <v>100758381</v>
      </c>
      <c r="B8671" t="s">
        <v>180</v>
      </c>
      <c r="C8671" t="s">
        <v>137</v>
      </c>
      <c r="G8671" t="s">
        <v>19930</v>
      </c>
      <c r="H8671" t="s">
        <v>638</v>
      </c>
      <c r="I8671" t="s">
        <v>639</v>
      </c>
      <c r="J8671">
        <v>87110</v>
      </c>
      <c r="K8671">
        <v>8501</v>
      </c>
      <c r="L8671" t="s">
        <v>23</v>
      </c>
      <c r="M8671" t="s">
        <v>19930</v>
      </c>
      <c r="N8671" t="s">
        <v>638</v>
      </c>
      <c r="O8671" t="s">
        <v>639</v>
      </c>
      <c r="P8671">
        <v>87110</v>
      </c>
      <c r="Q8671">
        <v>8501</v>
      </c>
      <c r="R8671" t="s">
        <v>23</v>
      </c>
      <c r="S8671" s="1" t="s">
        <v>34218</v>
      </c>
    </row>
    <row r="8672" spans="1:19" x14ac:dyDescent="0.25">
      <c r="A8672">
        <v>100985660</v>
      </c>
      <c r="B8672" t="s">
        <v>2559</v>
      </c>
      <c r="C8672" t="s">
        <v>193</v>
      </c>
      <c r="G8672" t="s">
        <v>19931</v>
      </c>
      <c r="H8672" t="s">
        <v>19932</v>
      </c>
      <c r="I8672" t="s">
        <v>370</v>
      </c>
      <c r="J8672">
        <v>68788</v>
      </c>
      <c r="K8672">
        <v>2423</v>
      </c>
      <c r="L8672" t="s">
        <v>23</v>
      </c>
      <c r="M8672" t="s">
        <v>19931</v>
      </c>
      <c r="N8672" t="s">
        <v>19932</v>
      </c>
      <c r="O8672" t="s">
        <v>370</v>
      </c>
      <c r="P8672">
        <v>68788</v>
      </c>
      <c r="Q8672">
        <v>2423</v>
      </c>
      <c r="R8672" t="s">
        <v>23</v>
      </c>
      <c r="S8672" s="1" t="s">
        <v>34218</v>
      </c>
    </row>
    <row r="8673" spans="1:19" x14ac:dyDescent="0.25">
      <c r="A8673">
        <v>100977754</v>
      </c>
      <c r="B8673" t="s">
        <v>19933</v>
      </c>
      <c r="C8673" t="s">
        <v>3566</v>
      </c>
      <c r="G8673" t="s">
        <v>19934</v>
      </c>
      <c r="H8673" t="s">
        <v>650</v>
      </c>
      <c r="I8673" t="s">
        <v>22</v>
      </c>
      <c r="J8673">
        <v>95833</v>
      </c>
      <c r="L8673" t="s">
        <v>23</v>
      </c>
      <c r="M8673" t="s">
        <v>19934</v>
      </c>
      <c r="N8673" t="s">
        <v>650</v>
      </c>
      <c r="O8673" t="s">
        <v>22</v>
      </c>
      <c r="P8673">
        <v>95833</v>
      </c>
      <c r="R8673" t="s">
        <v>23</v>
      </c>
      <c r="S8673" s="1" t="s">
        <v>34218</v>
      </c>
    </row>
    <row r="8674" spans="1:19" x14ac:dyDescent="0.25">
      <c r="A8674">
        <v>101480563</v>
      </c>
      <c r="B8674" t="s">
        <v>19935</v>
      </c>
      <c r="C8674" t="s">
        <v>644</v>
      </c>
      <c r="G8674" t="s">
        <v>19936</v>
      </c>
      <c r="H8674" t="s">
        <v>19937</v>
      </c>
      <c r="I8674" t="s">
        <v>178</v>
      </c>
      <c r="J8674">
        <v>44030</v>
      </c>
      <c r="K8674">
        <v>2150</v>
      </c>
      <c r="L8674" t="s">
        <v>23</v>
      </c>
      <c r="M8674" t="s">
        <v>19936</v>
      </c>
      <c r="N8674" t="s">
        <v>19937</v>
      </c>
      <c r="O8674" t="s">
        <v>178</v>
      </c>
      <c r="P8674">
        <v>44030</v>
      </c>
      <c r="Q8674">
        <v>2150</v>
      </c>
      <c r="R8674" t="s">
        <v>23</v>
      </c>
      <c r="S8674" s="1" t="s">
        <v>34218</v>
      </c>
    </row>
    <row r="8675" spans="1:19" x14ac:dyDescent="0.25">
      <c r="A8675">
        <v>100673003</v>
      </c>
      <c r="B8675" t="s">
        <v>361</v>
      </c>
      <c r="C8675" t="s">
        <v>19938</v>
      </c>
      <c r="G8675" t="s">
        <v>19939</v>
      </c>
      <c r="H8675" t="s">
        <v>13620</v>
      </c>
      <c r="I8675" t="s">
        <v>236</v>
      </c>
      <c r="J8675">
        <v>1351</v>
      </c>
      <c r="K8675">
        <v>70</v>
      </c>
      <c r="L8675" t="s">
        <v>23</v>
      </c>
      <c r="M8675" t="s">
        <v>19939</v>
      </c>
      <c r="N8675" t="s">
        <v>13620</v>
      </c>
      <c r="O8675" t="s">
        <v>236</v>
      </c>
      <c r="P8675">
        <v>1351</v>
      </c>
      <c r="Q8675">
        <v>70</v>
      </c>
      <c r="R8675" t="s">
        <v>23</v>
      </c>
      <c r="S8675" s="1" t="s">
        <v>34218</v>
      </c>
    </row>
    <row r="8676" spans="1:19" x14ac:dyDescent="0.25">
      <c r="A8676">
        <v>100522040</v>
      </c>
      <c r="B8676" t="s">
        <v>19940</v>
      </c>
      <c r="C8676" t="s">
        <v>1161</v>
      </c>
      <c r="G8676" t="s">
        <v>19941</v>
      </c>
      <c r="H8676" t="s">
        <v>12474</v>
      </c>
      <c r="I8676" t="s">
        <v>135</v>
      </c>
      <c r="J8676">
        <v>60411</v>
      </c>
      <c r="K8676">
        <v>2006</v>
      </c>
      <c r="L8676" t="s">
        <v>23</v>
      </c>
      <c r="M8676" t="s">
        <v>19941</v>
      </c>
      <c r="N8676" t="s">
        <v>12474</v>
      </c>
      <c r="O8676" t="s">
        <v>135</v>
      </c>
      <c r="P8676">
        <v>60411</v>
      </c>
      <c r="Q8676">
        <v>2006</v>
      </c>
      <c r="R8676" t="s">
        <v>23</v>
      </c>
      <c r="S8676" s="1" t="s">
        <v>34218</v>
      </c>
    </row>
    <row r="8677" spans="1:19" x14ac:dyDescent="0.25">
      <c r="A8677">
        <v>100834141</v>
      </c>
      <c r="B8677" t="s">
        <v>19942</v>
      </c>
      <c r="C8677" t="s">
        <v>180</v>
      </c>
      <c r="G8677" t="s">
        <v>19943</v>
      </c>
      <c r="H8677" t="s">
        <v>631</v>
      </c>
      <c r="I8677" t="s">
        <v>22</v>
      </c>
      <c r="J8677">
        <v>94949</v>
      </c>
      <c r="K8677">
        <v>5046</v>
      </c>
      <c r="L8677" t="s">
        <v>23</v>
      </c>
      <c r="M8677" t="s">
        <v>19943</v>
      </c>
      <c r="N8677" t="s">
        <v>631</v>
      </c>
      <c r="O8677" t="s">
        <v>22</v>
      </c>
      <c r="P8677">
        <v>94949</v>
      </c>
      <c r="Q8677">
        <v>5046</v>
      </c>
      <c r="R8677" t="s">
        <v>23</v>
      </c>
      <c r="S8677" s="1" t="s">
        <v>34218</v>
      </c>
    </row>
    <row r="8678" spans="1:19" x14ac:dyDescent="0.25">
      <c r="A8678">
        <v>100985473</v>
      </c>
      <c r="B8678" t="s">
        <v>5610</v>
      </c>
      <c r="C8678" t="s">
        <v>2892</v>
      </c>
      <c r="G8678" t="s">
        <v>19944</v>
      </c>
      <c r="H8678" t="s">
        <v>4817</v>
      </c>
      <c r="I8678" t="s">
        <v>250</v>
      </c>
      <c r="J8678">
        <v>7042</v>
      </c>
      <c r="K8678">
        <v>3054</v>
      </c>
      <c r="L8678" t="s">
        <v>23</v>
      </c>
      <c r="M8678" t="s">
        <v>19944</v>
      </c>
      <c r="N8678" t="s">
        <v>4817</v>
      </c>
      <c r="O8678" t="s">
        <v>250</v>
      </c>
      <c r="P8678">
        <v>7042</v>
      </c>
      <c r="Q8678">
        <v>3054</v>
      </c>
      <c r="R8678" t="s">
        <v>23</v>
      </c>
      <c r="S8678" s="1" t="s">
        <v>34218</v>
      </c>
    </row>
    <row r="8679" spans="1:19" x14ac:dyDescent="0.25">
      <c r="A8679">
        <v>101480568</v>
      </c>
      <c r="B8679" t="s">
        <v>19945</v>
      </c>
      <c r="C8679" t="s">
        <v>8472</v>
      </c>
      <c r="G8679" t="s">
        <v>19946</v>
      </c>
      <c r="H8679" t="s">
        <v>19947</v>
      </c>
      <c r="I8679" t="s">
        <v>140</v>
      </c>
      <c r="J8679">
        <v>48326</v>
      </c>
      <c r="K8679">
        <v>1854</v>
      </c>
      <c r="L8679" t="s">
        <v>23</v>
      </c>
      <c r="M8679" t="s">
        <v>19946</v>
      </c>
      <c r="N8679" t="s">
        <v>19947</v>
      </c>
      <c r="O8679" t="s">
        <v>140</v>
      </c>
      <c r="P8679">
        <v>48326</v>
      </c>
      <c r="Q8679">
        <v>1854</v>
      </c>
      <c r="R8679" t="s">
        <v>23</v>
      </c>
      <c r="S8679" s="1" t="s">
        <v>34218</v>
      </c>
    </row>
    <row r="8680" spans="1:19" x14ac:dyDescent="0.25">
      <c r="A8680">
        <v>100761915</v>
      </c>
      <c r="B8680" t="s">
        <v>19948</v>
      </c>
      <c r="C8680" t="s">
        <v>45</v>
      </c>
      <c r="G8680" t="s">
        <v>19949</v>
      </c>
      <c r="H8680" t="s">
        <v>19950</v>
      </c>
      <c r="I8680" t="s">
        <v>33</v>
      </c>
      <c r="J8680" t="s">
        <v>19951</v>
      </c>
      <c r="K8680">
        <v>9449</v>
      </c>
      <c r="L8680" t="s">
        <v>23</v>
      </c>
      <c r="M8680" t="s">
        <v>19949</v>
      </c>
      <c r="N8680" t="s">
        <v>19950</v>
      </c>
      <c r="O8680" t="s">
        <v>33</v>
      </c>
      <c r="P8680" t="s">
        <v>19951</v>
      </c>
      <c r="Q8680">
        <v>9449</v>
      </c>
      <c r="R8680" t="s">
        <v>23</v>
      </c>
      <c r="S8680" s="1" t="s">
        <v>34218</v>
      </c>
    </row>
    <row r="8681" spans="1:19" x14ac:dyDescent="0.25">
      <c r="A8681">
        <v>101426980</v>
      </c>
      <c r="B8681" t="s">
        <v>8489</v>
      </c>
      <c r="C8681" t="s">
        <v>810</v>
      </c>
      <c r="G8681" t="s">
        <v>19952</v>
      </c>
      <c r="H8681" t="s">
        <v>653</v>
      </c>
      <c r="I8681" t="s">
        <v>117</v>
      </c>
      <c r="J8681">
        <v>10032</v>
      </c>
      <c r="K8681">
        <v>1813</v>
      </c>
      <c r="L8681" t="s">
        <v>23</v>
      </c>
      <c r="M8681" t="s">
        <v>19952</v>
      </c>
      <c r="N8681" t="s">
        <v>653</v>
      </c>
      <c r="O8681" t="s">
        <v>117</v>
      </c>
      <c r="P8681">
        <v>10032</v>
      </c>
      <c r="Q8681">
        <v>1813</v>
      </c>
      <c r="R8681" t="s">
        <v>23</v>
      </c>
      <c r="S8681" s="1" t="s">
        <v>34218</v>
      </c>
    </row>
    <row r="8682" spans="1:19" x14ac:dyDescent="0.25">
      <c r="A8682">
        <v>101037073</v>
      </c>
      <c r="B8682" t="s">
        <v>1710</v>
      </c>
      <c r="C8682" t="s">
        <v>19953</v>
      </c>
      <c r="G8682" t="s">
        <v>19954</v>
      </c>
      <c r="H8682" t="s">
        <v>688</v>
      </c>
      <c r="I8682" t="s">
        <v>187</v>
      </c>
      <c r="J8682">
        <v>55904</v>
      </c>
      <c r="K8682">
        <v>8304</v>
      </c>
      <c r="L8682" t="s">
        <v>23</v>
      </c>
      <c r="M8682" t="s">
        <v>19954</v>
      </c>
      <c r="N8682" t="s">
        <v>688</v>
      </c>
      <c r="O8682" t="s">
        <v>187</v>
      </c>
      <c r="P8682">
        <v>55904</v>
      </c>
      <c r="Q8682">
        <v>8304</v>
      </c>
      <c r="R8682" t="s">
        <v>23</v>
      </c>
      <c r="S8682" s="1" t="s">
        <v>34218</v>
      </c>
    </row>
    <row r="8683" spans="1:19" x14ac:dyDescent="0.25">
      <c r="A8683">
        <v>101257461</v>
      </c>
      <c r="B8683" t="s">
        <v>19955</v>
      </c>
      <c r="C8683" t="s">
        <v>110</v>
      </c>
      <c r="G8683" t="s">
        <v>19956</v>
      </c>
      <c r="H8683" t="s">
        <v>19186</v>
      </c>
      <c r="I8683" t="s">
        <v>43</v>
      </c>
      <c r="J8683">
        <v>97045</v>
      </c>
      <c r="K8683">
        <v>8745</v>
      </c>
      <c r="L8683" t="s">
        <v>23</v>
      </c>
      <c r="M8683" t="s">
        <v>19956</v>
      </c>
      <c r="N8683" t="s">
        <v>19186</v>
      </c>
      <c r="O8683" t="s">
        <v>43</v>
      </c>
      <c r="P8683">
        <v>97045</v>
      </c>
      <c r="Q8683">
        <v>8745</v>
      </c>
      <c r="R8683" t="s">
        <v>23</v>
      </c>
      <c r="S8683" s="1" t="s">
        <v>34218</v>
      </c>
    </row>
    <row r="8684" spans="1:19" x14ac:dyDescent="0.25">
      <c r="A8684">
        <v>101475685</v>
      </c>
      <c r="B8684" t="s">
        <v>19957</v>
      </c>
      <c r="C8684" t="s">
        <v>6279</v>
      </c>
      <c r="G8684" t="s">
        <v>19958</v>
      </c>
      <c r="H8684" t="s">
        <v>4632</v>
      </c>
      <c r="I8684" t="s">
        <v>57</v>
      </c>
      <c r="J8684">
        <v>47201</v>
      </c>
      <c r="K8684">
        <v>7166</v>
      </c>
      <c r="L8684" t="s">
        <v>23</v>
      </c>
      <c r="M8684" t="s">
        <v>19958</v>
      </c>
      <c r="N8684" t="s">
        <v>4632</v>
      </c>
      <c r="O8684" t="s">
        <v>57</v>
      </c>
      <c r="P8684">
        <v>47201</v>
      </c>
      <c r="Q8684">
        <v>7166</v>
      </c>
      <c r="R8684" t="s">
        <v>23</v>
      </c>
      <c r="S8684" s="1" t="s">
        <v>34218</v>
      </c>
    </row>
    <row r="8685" spans="1:19" x14ac:dyDescent="0.25">
      <c r="A8685">
        <v>101326106</v>
      </c>
      <c r="B8685" t="s">
        <v>19959</v>
      </c>
      <c r="C8685" t="s">
        <v>535</v>
      </c>
      <c r="G8685" t="s">
        <v>19960</v>
      </c>
      <c r="H8685" t="s">
        <v>152</v>
      </c>
      <c r="I8685" t="s">
        <v>153</v>
      </c>
      <c r="J8685">
        <v>70001</v>
      </c>
      <c r="K8685">
        <v>3154</v>
      </c>
      <c r="L8685" t="s">
        <v>23</v>
      </c>
      <c r="M8685" t="s">
        <v>19960</v>
      </c>
      <c r="N8685" t="s">
        <v>152</v>
      </c>
      <c r="O8685" t="s">
        <v>153</v>
      </c>
      <c r="P8685">
        <v>70001</v>
      </c>
      <c r="Q8685">
        <v>3154</v>
      </c>
      <c r="R8685" t="s">
        <v>23</v>
      </c>
      <c r="S8685" s="1" t="s">
        <v>34218</v>
      </c>
    </row>
    <row r="8686" spans="1:19" x14ac:dyDescent="0.25">
      <c r="A8686">
        <v>101479040</v>
      </c>
      <c r="B8686" t="s">
        <v>19961</v>
      </c>
      <c r="C8686" t="s">
        <v>286</v>
      </c>
      <c r="G8686" t="s">
        <v>19962</v>
      </c>
      <c r="H8686" t="s">
        <v>292</v>
      </c>
      <c r="I8686" t="s">
        <v>22</v>
      </c>
      <c r="J8686">
        <v>95630</v>
      </c>
      <c r="K8686">
        <v>2675</v>
      </c>
      <c r="L8686" t="s">
        <v>23</v>
      </c>
      <c r="M8686" t="s">
        <v>19962</v>
      </c>
      <c r="N8686" t="s">
        <v>292</v>
      </c>
      <c r="O8686" t="s">
        <v>22</v>
      </c>
      <c r="P8686">
        <v>95630</v>
      </c>
      <c r="Q8686">
        <v>2675</v>
      </c>
      <c r="R8686" t="s">
        <v>23</v>
      </c>
      <c r="S8686" s="1" t="s">
        <v>34218</v>
      </c>
    </row>
    <row r="8687" spans="1:19" x14ac:dyDescent="0.25">
      <c r="A8687">
        <v>101427860</v>
      </c>
      <c r="B8687" t="s">
        <v>5555</v>
      </c>
      <c r="C8687" t="s">
        <v>1658</v>
      </c>
      <c r="G8687" t="s">
        <v>19963</v>
      </c>
      <c r="H8687" t="s">
        <v>12643</v>
      </c>
      <c r="I8687" t="s">
        <v>33</v>
      </c>
      <c r="J8687">
        <v>18411</v>
      </c>
      <c r="K8687">
        <v>9546</v>
      </c>
      <c r="L8687" t="s">
        <v>23</v>
      </c>
      <c r="M8687" t="s">
        <v>19963</v>
      </c>
      <c r="N8687" t="s">
        <v>12643</v>
      </c>
      <c r="O8687" t="s">
        <v>33</v>
      </c>
      <c r="P8687">
        <v>18411</v>
      </c>
      <c r="Q8687">
        <v>9546</v>
      </c>
      <c r="R8687" t="s">
        <v>23</v>
      </c>
      <c r="S8687" s="1" t="s">
        <v>34218</v>
      </c>
    </row>
    <row r="8688" spans="1:19" x14ac:dyDescent="0.25">
      <c r="A8688">
        <v>100583447</v>
      </c>
      <c r="B8688" t="s">
        <v>19964</v>
      </c>
      <c r="C8688" t="s">
        <v>1086</v>
      </c>
      <c r="G8688" t="s">
        <v>19965</v>
      </c>
      <c r="H8688" t="s">
        <v>19966</v>
      </c>
      <c r="I8688" t="s">
        <v>307</v>
      </c>
      <c r="J8688">
        <v>5486</v>
      </c>
      <c r="K8688">
        <v>4900</v>
      </c>
      <c r="L8688" t="s">
        <v>23</v>
      </c>
      <c r="M8688" t="s">
        <v>19965</v>
      </c>
      <c r="N8688" t="s">
        <v>19966</v>
      </c>
      <c r="O8688" t="s">
        <v>307</v>
      </c>
      <c r="P8688">
        <v>5486</v>
      </c>
      <c r="Q8688">
        <v>4900</v>
      </c>
      <c r="R8688" t="s">
        <v>23</v>
      </c>
      <c r="S8688" s="1" t="s">
        <v>34218</v>
      </c>
    </row>
    <row r="8689" spans="1:19" x14ac:dyDescent="0.25">
      <c r="A8689">
        <v>101456660</v>
      </c>
      <c r="B8689" t="s">
        <v>465</v>
      </c>
      <c r="C8689" t="s">
        <v>19609</v>
      </c>
      <c r="G8689" t="s">
        <v>19967</v>
      </c>
      <c r="H8689" t="s">
        <v>3797</v>
      </c>
      <c r="I8689" t="s">
        <v>84</v>
      </c>
      <c r="J8689">
        <v>98245</v>
      </c>
      <c r="K8689">
        <v>8407</v>
      </c>
      <c r="L8689" t="s">
        <v>23</v>
      </c>
      <c r="M8689" t="s">
        <v>19967</v>
      </c>
      <c r="N8689" t="s">
        <v>3797</v>
      </c>
      <c r="O8689" t="s">
        <v>84</v>
      </c>
      <c r="P8689">
        <v>98245</v>
      </c>
      <c r="Q8689">
        <v>8407</v>
      </c>
      <c r="R8689" t="s">
        <v>23</v>
      </c>
      <c r="S8689" s="1" t="s">
        <v>34218</v>
      </c>
    </row>
    <row r="8690" spans="1:19" x14ac:dyDescent="0.25">
      <c r="A8690">
        <v>101261150</v>
      </c>
      <c r="B8690" t="s">
        <v>19968</v>
      </c>
      <c r="C8690" t="s">
        <v>1506</v>
      </c>
      <c r="G8690" t="s">
        <v>19969</v>
      </c>
      <c r="H8690" t="s">
        <v>5700</v>
      </c>
      <c r="I8690" t="s">
        <v>135</v>
      </c>
      <c r="J8690">
        <v>60098</v>
      </c>
      <c r="K8690">
        <v>1681</v>
      </c>
      <c r="L8690" t="s">
        <v>23</v>
      </c>
      <c r="M8690" t="s">
        <v>19969</v>
      </c>
      <c r="N8690" t="s">
        <v>5700</v>
      </c>
      <c r="O8690" t="s">
        <v>135</v>
      </c>
      <c r="P8690">
        <v>60098</v>
      </c>
      <c r="Q8690">
        <v>1681</v>
      </c>
      <c r="R8690" t="s">
        <v>23</v>
      </c>
      <c r="S8690" s="1" t="s">
        <v>34218</v>
      </c>
    </row>
    <row r="8691" spans="1:19" x14ac:dyDescent="0.25">
      <c r="A8691">
        <v>101310227</v>
      </c>
      <c r="B8691" t="s">
        <v>19970</v>
      </c>
      <c r="C8691" t="s">
        <v>19971</v>
      </c>
      <c r="G8691" t="s">
        <v>19972</v>
      </c>
      <c r="H8691" t="s">
        <v>19973</v>
      </c>
      <c r="I8691" t="s">
        <v>52</v>
      </c>
      <c r="J8691">
        <v>33946</v>
      </c>
      <c r="K8691">
        <v>2311</v>
      </c>
      <c r="L8691" t="s">
        <v>23</v>
      </c>
      <c r="M8691" t="s">
        <v>19972</v>
      </c>
      <c r="N8691" t="s">
        <v>19973</v>
      </c>
      <c r="O8691" t="s">
        <v>52</v>
      </c>
      <c r="P8691">
        <v>33946</v>
      </c>
      <c r="Q8691">
        <v>2311</v>
      </c>
      <c r="R8691" t="s">
        <v>23</v>
      </c>
      <c r="S8691" s="1" t="s">
        <v>34218</v>
      </c>
    </row>
    <row r="8692" spans="1:19" x14ac:dyDescent="0.25">
      <c r="A8692">
        <v>100666577</v>
      </c>
      <c r="B8692" t="s">
        <v>1234</v>
      </c>
      <c r="C8692" t="s">
        <v>428</v>
      </c>
      <c r="G8692">
        <v>1047</v>
      </c>
      <c r="H8692" t="s">
        <v>948</v>
      </c>
      <c r="I8692" t="s">
        <v>33</v>
      </c>
      <c r="J8692">
        <v>19047</v>
      </c>
      <c r="L8692" t="s">
        <v>23</v>
      </c>
      <c r="M8692">
        <v>1047</v>
      </c>
      <c r="N8692" t="s">
        <v>948</v>
      </c>
      <c r="O8692" t="s">
        <v>33</v>
      </c>
      <c r="P8692">
        <v>19047</v>
      </c>
      <c r="R8692" t="s">
        <v>23</v>
      </c>
      <c r="S8692" s="1" t="s">
        <v>34218</v>
      </c>
    </row>
    <row r="8693" spans="1:19" x14ac:dyDescent="0.25">
      <c r="A8693">
        <v>101480584</v>
      </c>
      <c r="B8693" t="s">
        <v>19974</v>
      </c>
      <c r="C8693" t="s">
        <v>1647</v>
      </c>
      <c r="G8693" t="s">
        <v>19975</v>
      </c>
      <c r="H8693" t="s">
        <v>653</v>
      </c>
      <c r="I8693" t="s">
        <v>117</v>
      </c>
      <c r="J8693">
        <v>10019</v>
      </c>
      <c r="K8693">
        <v>4269</v>
      </c>
      <c r="L8693" t="s">
        <v>23</v>
      </c>
      <c r="M8693" t="s">
        <v>19975</v>
      </c>
      <c r="N8693" t="s">
        <v>653</v>
      </c>
      <c r="O8693" t="s">
        <v>117</v>
      </c>
      <c r="P8693">
        <v>10019</v>
      </c>
      <c r="Q8693">
        <v>4269</v>
      </c>
      <c r="R8693" t="s">
        <v>23</v>
      </c>
      <c r="S8693" s="1" t="s">
        <v>34218</v>
      </c>
    </row>
    <row r="8694" spans="1:19" x14ac:dyDescent="0.25">
      <c r="A8694">
        <v>101256013</v>
      </c>
      <c r="B8694" t="s">
        <v>966</v>
      </c>
      <c r="C8694" t="s">
        <v>286</v>
      </c>
      <c r="F8694" t="str">
        <f>"5208867938"</f>
        <v>5208867938</v>
      </c>
      <c r="G8694" t="s">
        <v>19976</v>
      </c>
      <c r="H8694" t="s">
        <v>1439</v>
      </c>
      <c r="I8694" t="s">
        <v>365</v>
      </c>
      <c r="J8694">
        <v>85715</v>
      </c>
      <c r="K8694">
        <v>5016</v>
      </c>
      <c r="L8694" t="s">
        <v>23</v>
      </c>
      <c r="M8694" t="s">
        <v>19976</v>
      </c>
      <c r="N8694" t="s">
        <v>1439</v>
      </c>
      <c r="O8694" t="s">
        <v>365</v>
      </c>
      <c r="P8694">
        <v>85715</v>
      </c>
      <c r="Q8694">
        <v>5016</v>
      </c>
      <c r="R8694" t="s">
        <v>23</v>
      </c>
      <c r="S8694" s="1" t="s">
        <v>34218</v>
      </c>
    </row>
    <row r="8695" spans="1:19" x14ac:dyDescent="0.25">
      <c r="A8695">
        <v>101266384</v>
      </c>
      <c r="B8695" t="s">
        <v>19977</v>
      </c>
      <c r="C8695" t="s">
        <v>575</v>
      </c>
      <c r="G8695" t="s">
        <v>19978</v>
      </c>
      <c r="H8695" t="s">
        <v>5117</v>
      </c>
      <c r="I8695" t="s">
        <v>236</v>
      </c>
      <c r="J8695">
        <v>2481</v>
      </c>
      <c r="K8695">
        <v>5424</v>
      </c>
      <c r="L8695" t="s">
        <v>23</v>
      </c>
      <c r="M8695" t="s">
        <v>19978</v>
      </c>
      <c r="N8695" t="s">
        <v>5117</v>
      </c>
      <c r="O8695" t="s">
        <v>236</v>
      </c>
      <c r="P8695">
        <v>2481</v>
      </c>
      <c r="Q8695">
        <v>5424</v>
      </c>
      <c r="R8695" t="s">
        <v>23</v>
      </c>
      <c r="S8695" s="1" t="s">
        <v>34218</v>
      </c>
    </row>
    <row r="8696" spans="1:19" x14ac:dyDescent="0.25">
      <c r="A8696">
        <v>101271623</v>
      </c>
      <c r="B8696" t="s">
        <v>19979</v>
      </c>
      <c r="C8696" t="s">
        <v>19980</v>
      </c>
      <c r="G8696" t="s">
        <v>19981</v>
      </c>
      <c r="H8696" t="s">
        <v>6294</v>
      </c>
      <c r="I8696" t="s">
        <v>2537</v>
      </c>
      <c r="J8696">
        <v>72712</v>
      </c>
      <c r="K8696">
        <v>3468</v>
      </c>
      <c r="L8696" t="s">
        <v>23</v>
      </c>
      <c r="M8696" t="s">
        <v>19981</v>
      </c>
      <c r="N8696" t="s">
        <v>6294</v>
      </c>
      <c r="O8696" t="s">
        <v>2537</v>
      </c>
      <c r="P8696">
        <v>72712</v>
      </c>
      <c r="Q8696">
        <v>3468</v>
      </c>
      <c r="R8696" t="s">
        <v>23</v>
      </c>
      <c r="S8696" s="1" t="s">
        <v>34218</v>
      </c>
    </row>
    <row r="8697" spans="1:19" x14ac:dyDescent="0.25">
      <c r="A8697">
        <v>101480505</v>
      </c>
      <c r="B8697" t="s">
        <v>19982</v>
      </c>
      <c r="C8697" t="s">
        <v>286</v>
      </c>
      <c r="G8697" t="s">
        <v>19983</v>
      </c>
      <c r="H8697" t="s">
        <v>685</v>
      </c>
      <c r="I8697" t="s">
        <v>57</v>
      </c>
      <c r="J8697">
        <v>47401</v>
      </c>
      <c r="K8697">
        <v>6129</v>
      </c>
      <c r="L8697" t="s">
        <v>23</v>
      </c>
      <c r="M8697" t="s">
        <v>19983</v>
      </c>
      <c r="N8697" t="s">
        <v>685</v>
      </c>
      <c r="O8697" t="s">
        <v>57</v>
      </c>
      <c r="P8697">
        <v>47401</v>
      </c>
      <c r="Q8697">
        <v>6129</v>
      </c>
      <c r="R8697" t="s">
        <v>23</v>
      </c>
      <c r="S8697" s="1" t="s">
        <v>34218</v>
      </c>
    </row>
    <row r="8698" spans="1:19" x14ac:dyDescent="0.25">
      <c r="A8698">
        <v>101477702</v>
      </c>
      <c r="B8698" t="s">
        <v>19984</v>
      </c>
      <c r="C8698" t="s">
        <v>7445</v>
      </c>
      <c r="G8698" t="s">
        <v>19985</v>
      </c>
      <c r="H8698" t="s">
        <v>682</v>
      </c>
      <c r="I8698" t="s">
        <v>365</v>
      </c>
      <c r="J8698">
        <v>85019</v>
      </c>
      <c r="K8698">
        <v>4513</v>
      </c>
      <c r="L8698" t="s">
        <v>23</v>
      </c>
      <c r="M8698" t="s">
        <v>19985</v>
      </c>
      <c r="N8698" t="s">
        <v>682</v>
      </c>
      <c r="O8698" t="s">
        <v>365</v>
      </c>
      <c r="P8698">
        <v>85019</v>
      </c>
      <c r="Q8698">
        <v>4513</v>
      </c>
      <c r="R8698" t="s">
        <v>23</v>
      </c>
      <c r="S8698" s="1" t="s">
        <v>34218</v>
      </c>
    </row>
    <row r="8699" spans="1:19" x14ac:dyDescent="0.25">
      <c r="A8699">
        <v>101448698</v>
      </c>
      <c r="B8699" t="s">
        <v>10627</v>
      </c>
      <c r="C8699" t="s">
        <v>19986</v>
      </c>
      <c r="G8699" t="s">
        <v>19987</v>
      </c>
      <c r="H8699" t="s">
        <v>2231</v>
      </c>
      <c r="I8699" t="s">
        <v>22</v>
      </c>
      <c r="J8699">
        <v>91208</v>
      </c>
      <c r="K8699">
        <v>2409</v>
      </c>
      <c r="L8699" t="s">
        <v>23</v>
      </c>
      <c r="M8699" t="s">
        <v>19987</v>
      </c>
      <c r="N8699" t="s">
        <v>2231</v>
      </c>
      <c r="O8699" t="s">
        <v>22</v>
      </c>
      <c r="P8699">
        <v>91208</v>
      </c>
      <c r="Q8699">
        <v>2409</v>
      </c>
      <c r="R8699" t="s">
        <v>23</v>
      </c>
      <c r="S8699" s="1" t="s">
        <v>34218</v>
      </c>
    </row>
    <row r="8700" spans="1:19" x14ac:dyDescent="0.25">
      <c r="A8700">
        <v>101468203</v>
      </c>
      <c r="B8700" t="s">
        <v>19988</v>
      </c>
      <c r="C8700" t="s">
        <v>1327</v>
      </c>
      <c r="G8700" t="s">
        <v>19989</v>
      </c>
      <c r="H8700" t="s">
        <v>976</v>
      </c>
      <c r="I8700" t="s">
        <v>140</v>
      </c>
      <c r="J8700">
        <v>48104</v>
      </c>
      <c r="K8700">
        <v>4405</v>
      </c>
      <c r="L8700" t="s">
        <v>23</v>
      </c>
      <c r="M8700" t="s">
        <v>19989</v>
      </c>
      <c r="N8700" t="s">
        <v>976</v>
      </c>
      <c r="O8700" t="s">
        <v>140</v>
      </c>
      <c r="P8700">
        <v>48104</v>
      </c>
      <c r="Q8700">
        <v>4405</v>
      </c>
      <c r="R8700" t="s">
        <v>23</v>
      </c>
      <c r="S8700" s="1" t="s">
        <v>34218</v>
      </c>
    </row>
    <row r="8701" spans="1:19" x14ac:dyDescent="0.25">
      <c r="A8701">
        <v>101480514</v>
      </c>
      <c r="B8701" t="s">
        <v>2287</v>
      </c>
      <c r="C8701" t="s">
        <v>14772</v>
      </c>
      <c r="G8701">
        <v>2</v>
      </c>
      <c r="H8701" t="s">
        <v>134</v>
      </c>
      <c r="I8701" t="s">
        <v>135</v>
      </c>
      <c r="J8701">
        <v>60614</v>
      </c>
      <c r="L8701" t="s">
        <v>23</v>
      </c>
      <c r="M8701">
        <v>2</v>
      </c>
      <c r="N8701" t="s">
        <v>134</v>
      </c>
      <c r="O8701" t="s">
        <v>135</v>
      </c>
      <c r="P8701">
        <v>60614</v>
      </c>
      <c r="R8701" t="s">
        <v>23</v>
      </c>
      <c r="S8701" s="1" t="s">
        <v>34218</v>
      </c>
    </row>
    <row r="8702" spans="1:19" x14ac:dyDescent="0.25">
      <c r="A8702">
        <v>101412526</v>
      </c>
      <c r="B8702" t="s">
        <v>8802</v>
      </c>
      <c r="C8702" t="s">
        <v>1212</v>
      </c>
      <c r="G8702" t="s">
        <v>19990</v>
      </c>
      <c r="H8702" t="s">
        <v>10680</v>
      </c>
      <c r="I8702" t="s">
        <v>236</v>
      </c>
      <c r="J8702">
        <v>1930</v>
      </c>
      <c r="K8702">
        <v>4120</v>
      </c>
      <c r="L8702" t="s">
        <v>23</v>
      </c>
      <c r="M8702" t="s">
        <v>19990</v>
      </c>
      <c r="N8702" t="s">
        <v>10680</v>
      </c>
      <c r="O8702" t="s">
        <v>236</v>
      </c>
      <c r="P8702">
        <v>1930</v>
      </c>
      <c r="Q8702">
        <v>4120</v>
      </c>
      <c r="R8702" t="s">
        <v>23</v>
      </c>
      <c r="S8702" s="1" t="s">
        <v>34218</v>
      </c>
    </row>
    <row r="8703" spans="1:19" x14ac:dyDescent="0.25">
      <c r="A8703">
        <v>101480519</v>
      </c>
      <c r="B8703" t="s">
        <v>19991</v>
      </c>
      <c r="C8703" t="s">
        <v>19992</v>
      </c>
      <c r="G8703" t="s">
        <v>19993</v>
      </c>
      <c r="H8703" t="s">
        <v>11402</v>
      </c>
      <c r="I8703" t="s">
        <v>178</v>
      </c>
      <c r="J8703">
        <v>44023</v>
      </c>
      <c r="K8703">
        <v>9174</v>
      </c>
      <c r="L8703" t="s">
        <v>23</v>
      </c>
      <c r="M8703" t="s">
        <v>19993</v>
      </c>
      <c r="N8703" t="s">
        <v>11402</v>
      </c>
      <c r="O8703" t="s">
        <v>178</v>
      </c>
      <c r="P8703">
        <v>44023</v>
      </c>
      <c r="Q8703">
        <v>9174</v>
      </c>
      <c r="R8703" t="s">
        <v>23</v>
      </c>
      <c r="S8703" s="1" t="s">
        <v>34218</v>
      </c>
    </row>
    <row r="8704" spans="1:19" x14ac:dyDescent="0.25">
      <c r="A8704">
        <v>101256276</v>
      </c>
      <c r="B8704" t="s">
        <v>19994</v>
      </c>
      <c r="C8704" t="s">
        <v>132</v>
      </c>
      <c r="G8704" t="s">
        <v>19995</v>
      </c>
      <c r="H8704" t="s">
        <v>19996</v>
      </c>
      <c r="I8704" t="s">
        <v>22</v>
      </c>
      <c r="J8704">
        <v>96052</v>
      </c>
      <c r="L8704" t="s">
        <v>23</v>
      </c>
      <c r="M8704" t="s">
        <v>19995</v>
      </c>
      <c r="N8704" t="s">
        <v>19996</v>
      </c>
      <c r="O8704" t="s">
        <v>22</v>
      </c>
      <c r="P8704">
        <v>96052</v>
      </c>
      <c r="R8704" t="s">
        <v>23</v>
      </c>
      <c r="S8704" s="1" t="s">
        <v>34218</v>
      </c>
    </row>
    <row r="8705" spans="1:19" x14ac:dyDescent="0.25">
      <c r="A8705">
        <v>101480521</v>
      </c>
      <c r="B8705" t="s">
        <v>19997</v>
      </c>
      <c r="C8705" t="s">
        <v>19998</v>
      </c>
      <c r="G8705" t="s">
        <v>19999</v>
      </c>
      <c r="H8705" t="s">
        <v>20000</v>
      </c>
      <c r="I8705" t="s">
        <v>255</v>
      </c>
      <c r="J8705">
        <v>22657</v>
      </c>
      <c r="K8705">
        <v>5312</v>
      </c>
      <c r="L8705" t="s">
        <v>23</v>
      </c>
      <c r="M8705" t="s">
        <v>19999</v>
      </c>
      <c r="N8705" t="s">
        <v>20000</v>
      </c>
      <c r="O8705" t="s">
        <v>255</v>
      </c>
      <c r="P8705">
        <v>22657</v>
      </c>
      <c r="Q8705">
        <v>5312</v>
      </c>
      <c r="R8705" t="s">
        <v>23</v>
      </c>
      <c r="S8705" s="1" t="s">
        <v>34218</v>
      </c>
    </row>
    <row r="8706" spans="1:19" x14ac:dyDescent="0.25">
      <c r="A8706">
        <v>101421058</v>
      </c>
      <c r="B8706" t="s">
        <v>1508</v>
      </c>
      <c r="C8706" t="s">
        <v>3854</v>
      </c>
      <c r="G8706" t="s">
        <v>20001</v>
      </c>
      <c r="H8706" t="s">
        <v>19782</v>
      </c>
      <c r="I8706" t="s">
        <v>22</v>
      </c>
      <c r="J8706">
        <v>90265</v>
      </c>
      <c r="K8706">
        <v>2748</v>
      </c>
      <c r="L8706" t="s">
        <v>23</v>
      </c>
      <c r="M8706" t="s">
        <v>20001</v>
      </c>
      <c r="N8706" t="s">
        <v>19782</v>
      </c>
      <c r="O8706" t="s">
        <v>22</v>
      </c>
      <c r="P8706">
        <v>90265</v>
      </c>
      <c r="Q8706">
        <v>2748</v>
      </c>
      <c r="R8706" t="s">
        <v>23</v>
      </c>
      <c r="S8706" s="1" t="s">
        <v>34218</v>
      </c>
    </row>
    <row r="8707" spans="1:19" x14ac:dyDescent="0.25">
      <c r="A8707">
        <v>101471623</v>
      </c>
      <c r="B8707" t="s">
        <v>7239</v>
      </c>
      <c r="C8707" t="s">
        <v>3545</v>
      </c>
      <c r="G8707" t="s">
        <v>20002</v>
      </c>
      <c r="H8707" t="s">
        <v>445</v>
      </c>
      <c r="I8707" t="s">
        <v>446</v>
      </c>
      <c r="J8707">
        <v>28805</v>
      </c>
      <c r="L8707" t="s">
        <v>23</v>
      </c>
      <c r="M8707" t="s">
        <v>20002</v>
      </c>
      <c r="N8707" t="s">
        <v>445</v>
      </c>
      <c r="O8707" t="s">
        <v>446</v>
      </c>
      <c r="P8707">
        <v>28805</v>
      </c>
      <c r="R8707" t="s">
        <v>23</v>
      </c>
      <c r="S8707" s="1" t="s">
        <v>34218</v>
      </c>
    </row>
    <row r="8708" spans="1:19" x14ac:dyDescent="0.25">
      <c r="A8708">
        <v>101450427</v>
      </c>
      <c r="B8708" t="s">
        <v>6658</v>
      </c>
      <c r="C8708" t="s">
        <v>4502</v>
      </c>
      <c r="G8708" t="s">
        <v>20003</v>
      </c>
      <c r="H8708" t="s">
        <v>174</v>
      </c>
      <c r="I8708" t="s">
        <v>22</v>
      </c>
      <c r="J8708">
        <v>93111</v>
      </c>
      <c r="K8708">
        <v>1223</v>
      </c>
      <c r="L8708" t="s">
        <v>23</v>
      </c>
      <c r="M8708" t="s">
        <v>20003</v>
      </c>
      <c r="N8708" t="s">
        <v>174</v>
      </c>
      <c r="O8708" t="s">
        <v>22</v>
      </c>
      <c r="P8708">
        <v>93111</v>
      </c>
      <c r="Q8708">
        <v>1223</v>
      </c>
      <c r="R8708" t="s">
        <v>23</v>
      </c>
      <c r="S8708" s="1" t="s">
        <v>34218</v>
      </c>
    </row>
    <row r="8709" spans="1:19" x14ac:dyDescent="0.25">
      <c r="A8709">
        <v>101229918</v>
      </c>
      <c r="B8709" t="s">
        <v>1919</v>
      </c>
      <c r="C8709" t="s">
        <v>1327</v>
      </c>
      <c r="G8709" t="s">
        <v>20004</v>
      </c>
      <c r="H8709" t="s">
        <v>12494</v>
      </c>
      <c r="I8709" t="s">
        <v>117</v>
      </c>
      <c r="J8709">
        <v>14895</v>
      </c>
      <c r="K8709">
        <v>9629</v>
      </c>
      <c r="L8709" t="s">
        <v>23</v>
      </c>
      <c r="M8709" t="s">
        <v>20004</v>
      </c>
      <c r="N8709" t="s">
        <v>12494</v>
      </c>
      <c r="O8709" t="s">
        <v>117</v>
      </c>
      <c r="P8709">
        <v>14895</v>
      </c>
      <c r="Q8709">
        <v>9629</v>
      </c>
      <c r="R8709" t="s">
        <v>23</v>
      </c>
      <c r="S8709" s="1" t="s">
        <v>34218</v>
      </c>
    </row>
    <row r="8710" spans="1:19" x14ac:dyDescent="0.25">
      <c r="A8710">
        <v>100577317</v>
      </c>
      <c r="B8710" t="s">
        <v>4727</v>
      </c>
      <c r="C8710" t="s">
        <v>6325</v>
      </c>
      <c r="G8710" t="s">
        <v>19529</v>
      </c>
      <c r="H8710" t="s">
        <v>13750</v>
      </c>
      <c r="I8710" t="s">
        <v>153</v>
      </c>
      <c r="J8710">
        <v>70433</v>
      </c>
      <c r="K8710">
        <v>4749</v>
      </c>
      <c r="L8710" t="s">
        <v>23</v>
      </c>
      <c r="M8710" t="s">
        <v>19529</v>
      </c>
      <c r="N8710" t="s">
        <v>13750</v>
      </c>
      <c r="O8710" t="s">
        <v>153</v>
      </c>
      <c r="P8710">
        <v>70433</v>
      </c>
      <c r="Q8710">
        <v>4749</v>
      </c>
      <c r="R8710" t="s">
        <v>23</v>
      </c>
      <c r="S8710" s="1" t="s">
        <v>34218</v>
      </c>
    </row>
    <row r="8711" spans="1:19" x14ac:dyDescent="0.25">
      <c r="A8711">
        <v>101302367</v>
      </c>
      <c r="B8711" t="s">
        <v>858</v>
      </c>
      <c r="C8711" t="s">
        <v>5981</v>
      </c>
      <c r="G8711" t="s">
        <v>20005</v>
      </c>
      <c r="H8711" t="s">
        <v>2436</v>
      </c>
      <c r="I8711" t="s">
        <v>332</v>
      </c>
      <c r="J8711">
        <v>84067</v>
      </c>
      <c r="K8711">
        <v>2110</v>
      </c>
      <c r="L8711" t="s">
        <v>23</v>
      </c>
      <c r="M8711" t="s">
        <v>20005</v>
      </c>
      <c r="N8711" t="s">
        <v>2436</v>
      </c>
      <c r="O8711" t="s">
        <v>332</v>
      </c>
      <c r="P8711">
        <v>84067</v>
      </c>
      <c r="Q8711">
        <v>2110</v>
      </c>
      <c r="R8711" t="s">
        <v>23</v>
      </c>
      <c r="S8711" s="1" t="s">
        <v>34218</v>
      </c>
    </row>
    <row r="8712" spans="1:19" x14ac:dyDescent="0.25">
      <c r="A8712">
        <v>101480536</v>
      </c>
      <c r="B8712" t="s">
        <v>4962</v>
      </c>
      <c r="C8712" t="s">
        <v>20006</v>
      </c>
      <c r="G8712" t="s">
        <v>20007</v>
      </c>
      <c r="H8712" t="s">
        <v>20008</v>
      </c>
      <c r="I8712" t="s">
        <v>33</v>
      </c>
      <c r="J8712">
        <v>18405</v>
      </c>
      <c r="K8712">
        <v>4006</v>
      </c>
      <c r="L8712" t="s">
        <v>23</v>
      </c>
      <c r="M8712" t="s">
        <v>20007</v>
      </c>
      <c r="N8712" t="s">
        <v>20008</v>
      </c>
      <c r="O8712" t="s">
        <v>33</v>
      </c>
      <c r="P8712">
        <v>18405</v>
      </c>
      <c r="Q8712">
        <v>4006</v>
      </c>
      <c r="R8712" t="s">
        <v>23</v>
      </c>
      <c r="S8712" s="1" t="s">
        <v>34218</v>
      </c>
    </row>
    <row r="8713" spans="1:19" x14ac:dyDescent="0.25">
      <c r="A8713">
        <v>101427136</v>
      </c>
      <c r="B8713" t="s">
        <v>20009</v>
      </c>
      <c r="C8713" t="s">
        <v>4245</v>
      </c>
      <c r="G8713" t="s">
        <v>20010</v>
      </c>
      <c r="H8713" t="s">
        <v>2279</v>
      </c>
      <c r="I8713" t="s">
        <v>52</v>
      </c>
      <c r="J8713">
        <v>33616</v>
      </c>
      <c r="K8713">
        <v>1020</v>
      </c>
      <c r="L8713" t="s">
        <v>23</v>
      </c>
      <c r="M8713" t="s">
        <v>20010</v>
      </c>
      <c r="N8713" t="s">
        <v>2279</v>
      </c>
      <c r="O8713" t="s">
        <v>52</v>
      </c>
      <c r="P8713">
        <v>33616</v>
      </c>
      <c r="Q8713">
        <v>1020</v>
      </c>
      <c r="R8713" t="s">
        <v>23</v>
      </c>
      <c r="S8713" s="1" t="s">
        <v>34218</v>
      </c>
    </row>
    <row r="8714" spans="1:19" x14ac:dyDescent="0.25">
      <c r="A8714">
        <v>101465621</v>
      </c>
      <c r="B8714" t="s">
        <v>20011</v>
      </c>
      <c r="C8714" t="s">
        <v>403</v>
      </c>
      <c r="G8714" t="s">
        <v>20012</v>
      </c>
      <c r="H8714" t="s">
        <v>9401</v>
      </c>
      <c r="I8714" t="s">
        <v>135</v>
      </c>
      <c r="J8714">
        <v>60421</v>
      </c>
      <c r="K8714">
        <v>9494</v>
      </c>
      <c r="L8714" t="s">
        <v>23</v>
      </c>
      <c r="M8714" t="s">
        <v>20012</v>
      </c>
      <c r="N8714" t="s">
        <v>9401</v>
      </c>
      <c r="O8714" t="s">
        <v>135</v>
      </c>
      <c r="P8714">
        <v>60421</v>
      </c>
      <c r="Q8714">
        <v>9494</v>
      </c>
      <c r="R8714" t="s">
        <v>23</v>
      </c>
      <c r="S8714" s="1" t="s">
        <v>34218</v>
      </c>
    </row>
    <row r="8715" spans="1:19" x14ac:dyDescent="0.25">
      <c r="A8715">
        <v>100882029</v>
      </c>
      <c r="B8715" t="s">
        <v>1335</v>
      </c>
      <c r="C8715" t="s">
        <v>1078</v>
      </c>
      <c r="G8715" t="s">
        <v>20013</v>
      </c>
      <c r="H8715" t="s">
        <v>10773</v>
      </c>
      <c r="I8715" t="s">
        <v>662</v>
      </c>
      <c r="J8715">
        <v>2914</v>
      </c>
      <c r="K8715">
        <v>1970</v>
      </c>
      <c r="L8715" t="s">
        <v>23</v>
      </c>
      <c r="M8715" t="s">
        <v>20013</v>
      </c>
      <c r="N8715" t="s">
        <v>10773</v>
      </c>
      <c r="O8715" t="s">
        <v>662</v>
      </c>
      <c r="P8715">
        <v>2914</v>
      </c>
      <c r="Q8715">
        <v>1970</v>
      </c>
      <c r="R8715" t="s">
        <v>23</v>
      </c>
      <c r="S8715" s="1" t="s">
        <v>34218</v>
      </c>
    </row>
    <row r="8716" spans="1:19" x14ac:dyDescent="0.25">
      <c r="A8716">
        <v>101416215</v>
      </c>
      <c r="B8716" t="s">
        <v>6021</v>
      </c>
      <c r="C8716" t="s">
        <v>3670</v>
      </c>
      <c r="G8716" t="s">
        <v>20014</v>
      </c>
      <c r="H8716" t="s">
        <v>20015</v>
      </c>
      <c r="I8716" t="s">
        <v>52</v>
      </c>
      <c r="J8716">
        <v>32548</v>
      </c>
      <c r="K8716">
        <v>4812</v>
      </c>
      <c r="L8716" t="s">
        <v>23</v>
      </c>
      <c r="M8716" t="s">
        <v>20014</v>
      </c>
      <c r="N8716" t="s">
        <v>20015</v>
      </c>
      <c r="O8716" t="s">
        <v>52</v>
      </c>
      <c r="P8716">
        <v>32548</v>
      </c>
      <c r="Q8716">
        <v>4812</v>
      </c>
      <c r="R8716" t="s">
        <v>23</v>
      </c>
      <c r="S8716" s="1" t="s">
        <v>34218</v>
      </c>
    </row>
    <row r="8717" spans="1:19" x14ac:dyDescent="0.25">
      <c r="A8717">
        <v>101156854</v>
      </c>
      <c r="B8717" t="s">
        <v>20016</v>
      </c>
      <c r="C8717" t="s">
        <v>585</v>
      </c>
      <c r="G8717" t="s">
        <v>20017</v>
      </c>
      <c r="H8717" t="s">
        <v>83</v>
      </c>
      <c r="I8717" t="s">
        <v>84</v>
      </c>
      <c r="J8717">
        <v>98221</v>
      </c>
      <c r="K8717">
        <v>6484</v>
      </c>
      <c r="L8717" t="s">
        <v>23</v>
      </c>
      <c r="M8717" t="s">
        <v>20017</v>
      </c>
      <c r="N8717" t="s">
        <v>83</v>
      </c>
      <c r="O8717" t="s">
        <v>84</v>
      </c>
      <c r="P8717">
        <v>98221</v>
      </c>
      <c r="Q8717">
        <v>6484</v>
      </c>
      <c r="R8717" t="s">
        <v>23</v>
      </c>
      <c r="S8717" s="1" t="s">
        <v>34218</v>
      </c>
    </row>
    <row r="8718" spans="1:19" x14ac:dyDescent="0.25">
      <c r="A8718">
        <v>101338797</v>
      </c>
      <c r="B8718" t="s">
        <v>20018</v>
      </c>
      <c r="C8718" t="s">
        <v>233</v>
      </c>
      <c r="G8718" t="s">
        <v>20019</v>
      </c>
      <c r="H8718" t="s">
        <v>227</v>
      </c>
      <c r="I8718" t="s">
        <v>43</v>
      </c>
      <c r="J8718">
        <v>97220</v>
      </c>
      <c r="K8718">
        <v>3977</v>
      </c>
      <c r="L8718" t="s">
        <v>23</v>
      </c>
      <c r="M8718" t="s">
        <v>20019</v>
      </c>
      <c r="N8718" t="s">
        <v>227</v>
      </c>
      <c r="O8718" t="s">
        <v>43</v>
      </c>
      <c r="P8718">
        <v>97220</v>
      </c>
      <c r="Q8718">
        <v>3977</v>
      </c>
      <c r="R8718" t="s">
        <v>23</v>
      </c>
      <c r="S8718" s="1" t="s">
        <v>34218</v>
      </c>
    </row>
    <row r="8719" spans="1:19" x14ac:dyDescent="0.25">
      <c r="A8719">
        <v>101480554</v>
      </c>
      <c r="B8719" t="s">
        <v>19574</v>
      </c>
      <c r="C8719" t="s">
        <v>1859</v>
      </c>
      <c r="G8719" t="s">
        <v>19575</v>
      </c>
      <c r="H8719" t="s">
        <v>13596</v>
      </c>
      <c r="I8719" t="s">
        <v>28</v>
      </c>
      <c r="J8719">
        <v>30144</v>
      </c>
      <c r="K8719">
        <v>1406</v>
      </c>
      <c r="L8719" t="s">
        <v>23</v>
      </c>
      <c r="M8719" t="s">
        <v>19575</v>
      </c>
      <c r="N8719" t="s">
        <v>13596</v>
      </c>
      <c r="O8719" t="s">
        <v>28</v>
      </c>
      <c r="P8719">
        <v>30144</v>
      </c>
      <c r="Q8719">
        <v>1406</v>
      </c>
      <c r="R8719" t="s">
        <v>23</v>
      </c>
      <c r="S8719" s="1" t="s">
        <v>34218</v>
      </c>
    </row>
    <row r="8720" spans="1:19" x14ac:dyDescent="0.25">
      <c r="A8720">
        <v>100795141</v>
      </c>
      <c r="B8720" t="s">
        <v>1164</v>
      </c>
      <c r="C8720" t="s">
        <v>390</v>
      </c>
      <c r="G8720" t="s">
        <v>20020</v>
      </c>
      <c r="H8720" t="s">
        <v>199</v>
      </c>
      <c r="I8720" t="s">
        <v>38</v>
      </c>
      <c r="J8720">
        <v>76574</v>
      </c>
      <c r="K8720">
        <v>2125</v>
      </c>
      <c r="L8720" t="s">
        <v>23</v>
      </c>
      <c r="M8720" t="s">
        <v>20020</v>
      </c>
      <c r="N8720" t="s">
        <v>199</v>
      </c>
      <c r="O8720" t="s">
        <v>38</v>
      </c>
      <c r="P8720">
        <v>76574</v>
      </c>
      <c r="Q8720">
        <v>2125</v>
      </c>
      <c r="R8720" t="s">
        <v>23</v>
      </c>
      <c r="S8720" s="1" t="s">
        <v>34218</v>
      </c>
    </row>
    <row r="8721" spans="1:19" x14ac:dyDescent="0.25">
      <c r="A8721">
        <v>101480556</v>
      </c>
      <c r="B8721" t="s">
        <v>20021</v>
      </c>
      <c r="C8721" t="s">
        <v>707</v>
      </c>
      <c r="G8721" t="s">
        <v>20022</v>
      </c>
      <c r="H8721" t="s">
        <v>19008</v>
      </c>
      <c r="I8721" t="s">
        <v>33</v>
      </c>
      <c r="J8721">
        <v>17522</v>
      </c>
      <c r="K8721">
        <v>7004</v>
      </c>
      <c r="L8721" t="s">
        <v>23</v>
      </c>
      <c r="M8721" t="s">
        <v>20022</v>
      </c>
      <c r="N8721" t="s">
        <v>19008</v>
      </c>
      <c r="O8721" t="s">
        <v>33</v>
      </c>
      <c r="P8721">
        <v>17522</v>
      </c>
      <c r="Q8721">
        <v>7004</v>
      </c>
      <c r="R8721" t="s">
        <v>23</v>
      </c>
      <c r="S8721" s="1" t="s">
        <v>34218</v>
      </c>
    </row>
    <row r="8722" spans="1:19" x14ac:dyDescent="0.25">
      <c r="A8722">
        <v>100813366</v>
      </c>
      <c r="B8722" t="s">
        <v>20023</v>
      </c>
      <c r="C8722" t="s">
        <v>54</v>
      </c>
      <c r="G8722" t="s">
        <v>20024</v>
      </c>
      <c r="H8722" t="s">
        <v>16777</v>
      </c>
      <c r="I8722" t="s">
        <v>52</v>
      </c>
      <c r="J8722">
        <v>34773</v>
      </c>
      <c r="K8722">
        <v>6077</v>
      </c>
      <c r="L8722" t="s">
        <v>23</v>
      </c>
      <c r="M8722" t="s">
        <v>20024</v>
      </c>
      <c r="N8722" t="s">
        <v>16777</v>
      </c>
      <c r="O8722" t="s">
        <v>52</v>
      </c>
      <c r="P8722">
        <v>34773</v>
      </c>
      <c r="Q8722">
        <v>6077</v>
      </c>
      <c r="R8722" t="s">
        <v>23</v>
      </c>
      <c r="S8722" s="1" t="s">
        <v>34218</v>
      </c>
    </row>
    <row r="8723" spans="1:19" x14ac:dyDescent="0.25">
      <c r="A8723">
        <v>100907400</v>
      </c>
      <c r="B8723" t="s">
        <v>706</v>
      </c>
      <c r="C8723" t="s">
        <v>8782</v>
      </c>
      <c r="G8723" t="s">
        <v>20025</v>
      </c>
      <c r="H8723" t="s">
        <v>8826</v>
      </c>
      <c r="I8723" t="s">
        <v>22</v>
      </c>
      <c r="J8723">
        <v>92019</v>
      </c>
      <c r="K8723">
        <v>3579</v>
      </c>
      <c r="L8723" t="s">
        <v>23</v>
      </c>
      <c r="M8723" t="s">
        <v>20025</v>
      </c>
      <c r="N8723" t="s">
        <v>8826</v>
      </c>
      <c r="O8723" t="s">
        <v>22</v>
      </c>
      <c r="P8723">
        <v>92019</v>
      </c>
      <c r="Q8723">
        <v>3579</v>
      </c>
      <c r="R8723" t="s">
        <v>23</v>
      </c>
      <c r="S8723" s="1" t="s">
        <v>34218</v>
      </c>
    </row>
    <row r="8724" spans="1:19" x14ac:dyDescent="0.25">
      <c r="A8724">
        <v>100578781</v>
      </c>
      <c r="B8724" t="s">
        <v>10838</v>
      </c>
      <c r="C8724" t="s">
        <v>1873</v>
      </c>
      <c r="G8724" t="s">
        <v>20026</v>
      </c>
      <c r="H8724" t="s">
        <v>4917</v>
      </c>
      <c r="I8724" t="s">
        <v>241</v>
      </c>
      <c r="J8724">
        <v>66616</v>
      </c>
      <c r="L8724" t="s">
        <v>23</v>
      </c>
      <c r="M8724" t="s">
        <v>20026</v>
      </c>
      <c r="N8724" t="s">
        <v>4917</v>
      </c>
      <c r="O8724" t="s">
        <v>241</v>
      </c>
      <c r="P8724">
        <v>66616</v>
      </c>
      <c r="R8724" t="s">
        <v>23</v>
      </c>
      <c r="S8724" s="1" t="s">
        <v>34218</v>
      </c>
    </row>
    <row r="8725" spans="1:19" x14ac:dyDescent="0.25">
      <c r="A8725">
        <v>101411655</v>
      </c>
      <c r="B8725" t="s">
        <v>20027</v>
      </c>
      <c r="C8725" t="s">
        <v>286</v>
      </c>
      <c r="G8725" t="s">
        <v>20028</v>
      </c>
      <c r="H8725" t="s">
        <v>1019</v>
      </c>
      <c r="I8725" t="s">
        <v>84</v>
      </c>
      <c r="J8725">
        <v>98034</v>
      </c>
      <c r="K8725">
        <v>1907</v>
      </c>
      <c r="L8725" t="s">
        <v>23</v>
      </c>
      <c r="M8725" t="s">
        <v>20028</v>
      </c>
      <c r="N8725" t="s">
        <v>1019</v>
      </c>
      <c r="O8725" t="s">
        <v>84</v>
      </c>
      <c r="P8725">
        <v>98034</v>
      </c>
      <c r="Q8725">
        <v>1907</v>
      </c>
      <c r="R8725" t="s">
        <v>23</v>
      </c>
      <c r="S8725" s="1" t="s">
        <v>34218</v>
      </c>
    </row>
    <row r="8726" spans="1:19" x14ac:dyDescent="0.25">
      <c r="A8726">
        <v>100770956</v>
      </c>
      <c r="B8726" t="s">
        <v>20029</v>
      </c>
      <c r="C8726" t="s">
        <v>472</v>
      </c>
      <c r="G8726" t="s">
        <v>20030</v>
      </c>
      <c r="H8726" t="s">
        <v>20031</v>
      </c>
      <c r="I8726" t="s">
        <v>38</v>
      </c>
      <c r="J8726">
        <v>78960</v>
      </c>
      <c r="L8726" t="s">
        <v>23</v>
      </c>
      <c r="M8726" t="s">
        <v>20030</v>
      </c>
      <c r="N8726" t="s">
        <v>20031</v>
      </c>
      <c r="O8726" t="s">
        <v>38</v>
      </c>
      <c r="P8726">
        <v>78960</v>
      </c>
      <c r="R8726" t="s">
        <v>23</v>
      </c>
      <c r="S8726" s="1" t="s">
        <v>34218</v>
      </c>
    </row>
    <row r="8727" spans="1:19" x14ac:dyDescent="0.25">
      <c r="A8727">
        <v>100823772</v>
      </c>
      <c r="B8727" t="s">
        <v>689</v>
      </c>
      <c r="C8727" t="s">
        <v>2417</v>
      </c>
      <c r="G8727" t="s">
        <v>20032</v>
      </c>
      <c r="H8727" t="s">
        <v>7751</v>
      </c>
      <c r="I8727" t="s">
        <v>914</v>
      </c>
      <c r="J8727">
        <v>37127</v>
      </c>
      <c r="K8727">
        <v>7811</v>
      </c>
      <c r="L8727" t="s">
        <v>23</v>
      </c>
      <c r="M8727" t="s">
        <v>20032</v>
      </c>
      <c r="N8727" t="s">
        <v>7751</v>
      </c>
      <c r="O8727" t="s">
        <v>914</v>
      </c>
      <c r="P8727">
        <v>37127</v>
      </c>
      <c r="Q8727">
        <v>7811</v>
      </c>
      <c r="R8727" t="s">
        <v>23</v>
      </c>
      <c r="S8727" s="1" t="s">
        <v>34218</v>
      </c>
    </row>
    <row r="8728" spans="1:19" x14ac:dyDescent="0.25">
      <c r="A8728">
        <v>101467196</v>
      </c>
      <c r="B8728" t="s">
        <v>12827</v>
      </c>
      <c r="C8728" t="s">
        <v>290</v>
      </c>
      <c r="G8728" t="s">
        <v>20033</v>
      </c>
      <c r="H8728" t="s">
        <v>20034</v>
      </c>
      <c r="I8728" t="s">
        <v>332</v>
      </c>
      <c r="J8728">
        <v>84098</v>
      </c>
      <c r="K8728">
        <v>4707</v>
      </c>
      <c r="L8728" t="s">
        <v>23</v>
      </c>
      <c r="M8728" t="s">
        <v>20033</v>
      </c>
      <c r="N8728" t="s">
        <v>20034</v>
      </c>
      <c r="O8728" t="s">
        <v>332</v>
      </c>
      <c r="P8728">
        <v>84098</v>
      </c>
      <c r="Q8728">
        <v>4707</v>
      </c>
      <c r="R8728" t="s">
        <v>23</v>
      </c>
      <c r="S8728" s="1" t="s">
        <v>34218</v>
      </c>
    </row>
    <row r="8729" spans="1:19" x14ac:dyDescent="0.25">
      <c r="A8729">
        <v>101386423</v>
      </c>
      <c r="B8729" t="s">
        <v>20035</v>
      </c>
      <c r="C8729" t="s">
        <v>4488</v>
      </c>
      <c r="G8729" t="s">
        <v>20036</v>
      </c>
      <c r="H8729" t="s">
        <v>20037</v>
      </c>
      <c r="I8729" t="s">
        <v>22</v>
      </c>
      <c r="J8729">
        <v>93221</v>
      </c>
      <c r="K8729">
        <v>1449</v>
      </c>
      <c r="L8729" t="s">
        <v>23</v>
      </c>
      <c r="M8729" t="s">
        <v>20036</v>
      </c>
      <c r="N8729" t="s">
        <v>20037</v>
      </c>
      <c r="O8729" t="s">
        <v>22</v>
      </c>
      <c r="P8729">
        <v>93221</v>
      </c>
      <c r="Q8729">
        <v>1449</v>
      </c>
      <c r="R8729" t="s">
        <v>23</v>
      </c>
      <c r="S8729" s="1" t="s">
        <v>34218</v>
      </c>
    </row>
    <row r="8730" spans="1:19" x14ac:dyDescent="0.25">
      <c r="A8730">
        <v>101471990</v>
      </c>
      <c r="B8730" t="s">
        <v>20038</v>
      </c>
      <c r="C8730" t="s">
        <v>390</v>
      </c>
      <c r="G8730" t="s">
        <v>20039</v>
      </c>
      <c r="H8730" t="s">
        <v>1452</v>
      </c>
      <c r="I8730" t="s">
        <v>43</v>
      </c>
      <c r="J8730">
        <v>97405</v>
      </c>
      <c r="K8730">
        <v>1644</v>
      </c>
      <c r="L8730" t="s">
        <v>23</v>
      </c>
      <c r="M8730" t="s">
        <v>20039</v>
      </c>
      <c r="N8730" t="s">
        <v>1452</v>
      </c>
      <c r="O8730" t="s">
        <v>43</v>
      </c>
      <c r="P8730">
        <v>97405</v>
      </c>
      <c r="Q8730">
        <v>1644</v>
      </c>
      <c r="R8730" t="s">
        <v>23</v>
      </c>
      <c r="S8730" s="1" t="s">
        <v>34218</v>
      </c>
    </row>
    <row r="8731" spans="1:19" x14ac:dyDescent="0.25">
      <c r="A8731">
        <v>100867859</v>
      </c>
      <c r="B8731" t="s">
        <v>10503</v>
      </c>
      <c r="C8731" t="s">
        <v>20040</v>
      </c>
      <c r="G8731" t="s">
        <v>20041</v>
      </c>
      <c r="H8731" t="s">
        <v>3525</v>
      </c>
      <c r="I8731" t="s">
        <v>22</v>
      </c>
      <c r="J8731">
        <v>96001</v>
      </c>
      <c r="L8731" t="s">
        <v>23</v>
      </c>
      <c r="M8731" t="s">
        <v>20041</v>
      </c>
      <c r="N8731" t="s">
        <v>3525</v>
      </c>
      <c r="O8731" t="s">
        <v>22</v>
      </c>
      <c r="P8731">
        <v>96001</v>
      </c>
      <c r="R8731" t="s">
        <v>23</v>
      </c>
      <c r="S8731" s="1" t="s">
        <v>34218</v>
      </c>
    </row>
    <row r="8732" spans="1:19" x14ac:dyDescent="0.25">
      <c r="A8732">
        <v>101422250</v>
      </c>
      <c r="B8732" t="s">
        <v>497</v>
      </c>
      <c r="C8732" t="s">
        <v>382</v>
      </c>
      <c r="G8732" t="s">
        <v>20042</v>
      </c>
      <c r="H8732" t="s">
        <v>393</v>
      </c>
      <c r="I8732" t="s">
        <v>71</v>
      </c>
      <c r="J8732">
        <v>80212</v>
      </c>
      <c r="K8732">
        <v>1302</v>
      </c>
      <c r="L8732" t="s">
        <v>23</v>
      </c>
      <c r="M8732" t="s">
        <v>20042</v>
      </c>
      <c r="N8732" t="s">
        <v>393</v>
      </c>
      <c r="O8732" t="s">
        <v>71</v>
      </c>
      <c r="P8732">
        <v>80212</v>
      </c>
      <c r="Q8732">
        <v>1302</v>
      </c>
      <c r="R8732" t="s">
        <v>23</v>
      </c>
      <c r="S8732" s="1" t="s">
        <v>34218</v>
      </c>
    </row>
    <row r="8733" spans="1:19" x14ac:dyDescent="0.25">
      <c r="A8733">
        <v>100992688</v>
      </c>
      <c r="B8733" t="s">
        <v>20043</v>
      </c>
      <c r="C8733" t="s">
        <v>3622</v>
      </c>
      <c r="G8733" t="s">
        <v>20044</v>
      </c>
      <c r="H8733" t="s">
        <v>227</v>
      </c>
      <c r="I8733" t="s">
        <v>43</v>
      </c>
      <c r="J8733">
        <v>97212</v>
      </c>
      <c r="K8733">
        <v>3118</v>
      </c>
      <c r="L8733" t="s">
        <v>23</v>
      </c>
      <c r="M8733" t="s">
        <v>20044</v>
      </c>
      <c r="N8733" t="s">
        <v>227</v>
      </c>
      <c r="O8733" t="s">
        <v>43</v>
      </c>
      <c r="P8733">
        <v>97212</v>
      </c>
      <c r="Q8733">
        <v>3118</v>
      </c>
      <c r="R8733" t="s">
        <v>23</v>
      </c>
      <c r="S8733" s="1" t="s">
        <v>34218</v>
      </c>
    </row>
    <row r="8734" spans="1:19" x14ac:dyDescent="0.25">
      <c r="A8734">
        <v>101407493</v>
      </c>
      <c r="B8734" t="s">
        <v>3633</v>
      </c>
      <c r="C8734" t="s">
        <v>432</v>
      </c>
      <c r="G8734" t="s">
        <v>20045</v>
      </c>
      <c r="H8734" t="s">
        <v>445</v>
      </c>
      <c r="I8734" t="s">
        <v>446</v>
      </c>
      <c r="J8734">
        <v>28801</v>
      </c>
      <c r="K8734">
        <v>1349</v>
      </c>
      <c r="L8734" t="s">
        <v>23</v>
      </c>
      <c r="M8734" t="s">
        <v>20045</v>
      </c>
      <c r="N8734" t="s">
        <v>445</v>
      </c>
      <c r="O8734" t="s">
        <v>446</v>
      </c>
      <c r="P8734">
        <v>28801</v>
      </c>
      <c r="Q8734">
        <v>1349</v>
      </c>
      <c r="R8734" t="s">
        <v>23</v>
      </c>
      <c r="S8734" s="1" t="s">
        <v>34218</v>
      </c>
    </row>
    <row r="8735" spans="1:19" x14ac:dyDescent="0.25">
      <c r="A8735">
        <v>101072441</v>
      </c>
      <c r="B8735" t="s">
        <v>20046</v>
      </c>
      <c r="C8735" t="s">
        <v>180</v>
      </c>
      <c r="G8735" t="s">
        <v>20047</v>
      </c>
      <c r="H8735" t="s">
        <v>3363</v>
      </c>
      <c r="I8735" t="s">
        <v>33</v>
      </c>
      <c r="J8735">
        <v>15208</v>
      </c>
      <c r="K8735">
        <v>2736</v>
      </c>
      <c r="L8735" t="s">
        <v>23</v>
      </c>
      <c r="M8735" t="s">
        <v>20047</v>
      </c>
      <c r="N8735" t="s">
        <v>3363</v>
      </c>
      <c r="O8735" t="s">
        <v>33</v>
      </c>
      <c r="P8735">
        <v>15208</v>
      </c>
      <c r="Q8735">
        <v>2736</v>
      </c>
      <c r="R8735" t="s">
        <v>23</v>
      </c>
      <c r="S8735" s="1" t="s">
        <v>34218</v>
      </c>
    </row>
    <row r="8736" spans="1:19" x14ac:dyDescent="0.25">
      <c r="A8736">
        <v>101236758</v>
      </c>
      <c r="B8736" t="s">
        <v>402</v>
      </c>
      <c r="C8736" t="s">
        <v>1153</v>
      </c>
      <c r="G8736" t="s">
        <v>20048</v>
      </c>
      <c r="H8736" t="s">
        <v>20049</v>
      </c>
      <c r="I8736" t="s">
        <v>43</v>
      </c>
      <c r="J8736">
        <v>97051</v>
      </c>
      <c r="K8736">
        <v>1447</v>
      </c>
      <c r="L8736" t="s">
        <v>23</v>
      </c>
      <c r="M8736" t="s">
        <v>20048</v>
      </c>
      <c r="N8736" t="s">
        <v>20049</v>
      </c>
      <c r="O8736" t="s">
        <v>43</v>
      </c>
      <c r="P8736">
        <v>97051</v>
      </c>
      <c r="Q8736">
        <v>1447</v>
      </c>
      <c r="R8736" t="s">
        <v>23</v>
      </c>
      <c r="S8736" s="1" t="s">
        <v>34218</v>
      </c>
    </row>
    <row r="8737" spans="1:19" x14ac:dyDescent="0.25">
      <c r="A8737">
        <v>100993515</v>
      </c>
      <c r="B8737" t="s">
        <v>10951</v>
      </c>
      <c r="C8737" t="s">
        <v>2235</v>
      </c>
      <c r="G8737" t="s">
        <v>20050</v>
      </c>
      <c r="H8737" t="s">
        <v>4420</v>
      </c>
      <c r="I8737" t="s">
        <v>255</v>
      </c>
      <c r="J8737">
        <v>20178</v>
      </c>
      <c r="K8737">
        <v>1</v>
      </c>
      <c r="L8737" t="s">
        <v>23</v>
      </c>
      <c r="M8737" t="s">
        <v>20050</v>
      </c>
      <c r="N8737" t="s">
        <v>4420</v>
      </c>
      <c r="O8737" t="s">
        <v>255</v>
      </c>
      <c r="P8737">
        <v>20178</v>
      </c>
      <c r="Q8737">
        <v>1</v>
      </c>
      <c r="R8737" t="s">
        <v>23</v>
      </c>
      <c r="S8737" s="1" t="s">
        <v>34218</v>
      </c>
    </row>
    <row r="8738" spans="1:19" x14ac:dyDescent="0.25">
      <c r="A8738">
        <v>100845604</v>
      </c>
      <c r="B8738" t="s">
        <v>6897</v>
      </c>
      <c r="C8738" t="s">
        <v>30</v>
      </c>
      <c r="G8738" t="s">
        <v>20051</v>
      </c>
      <c r="H8738" t="s">
        <v>2069</v>
      </c>
      <c r="I8738" t="s">
        <v>22</v>
      </c>
      <c r="J8738">
        <v>95472</v>
      </c>
      <c r="K8738">
        <v>2513</v>
      </c>
      <c r="L8738" t="s">
        <v>23</v>
      </c>
      <c r="M8738" t="s">
        <v>20051</v>
      </c>
      <c r="N8738" t="s">
        <v>2069</v>
      </c>
      <c r="O8738" t="s">
        <v>22</v>
      </c>
      <c r="P8738">
        <v>95472</v>
      </c>
      <c r="Q8738">
        <v>2513</v>
      </c>
      <c r="R8738" t="s">
        <v>23</v>
      </c>
      <c r="S8738" s="1" t="s">
        <v>34218</v>
      </c>
    </row>
    <row r="8739" spans="1:19" x14ac:dyDescent="0.25">
      <c r="A8739">
        <v>100962400</v>
      </c>
      <c r="B8739" t="s">
        <v>12458</v>
      </c>
      <c r="C8739" t="s">
        <v>810</v>
      </c>
      <c r="G8739" t="s">
        <v>20052</v>
      </c>
      <c r="H8739" t="s">
        <v>7642</v>
      </c>
      <c r="I8739" t="s">
        <v>255</v>
      </c>
      <c r="J8739">
        <v>23185</v>
      </c>
      <c r="K8739">
        <v>8101</v>
      </c>
      <c r="L8739" t="s">
        <v>23</v>
      </c>
      <c r="M8739" t="s">
        <v>20052</v>
      </c>
      <c r="N8739" t="s">
        <v>7642</v>
      </c>
      <c r="O8739" t="s">
        <v>255</v>
      </c>
      <c r="P8739">
        <v>23185</v>
      </c>
      <c r="Q8739">
        <v>8101</v>
      </c>
      <c r="R8739" t="s">
        <v>23</v>
      </c>
      <c r="S8739" s="1" t="s">
        <v>34218</v>
      </c>
    </row>
    <row r="8740" spans="1:19" x14ac:dyDescent="0.25">
      <c r="A8740">
        <v>101470374</v>
      </c>
      <c r="B8740" t="s">
        <v>20053</v>
      </c>
      <c r="C8740" t="s">
        <v>2762</v>
      </c>
      <c r="G8740" t="s">
        <v>20054</v>
      </c>
      <c r="H8740" t="s">
        <v>15236</v>
      </c>
      <c r="I8740" t="s">
        <v>117</v>
      </c>
      <c r="J8740">
        <v>11365</v>
      </c>
      <c r="L8740" t="s">
        <v>23</v>
      </c>
      <c r="M8740" t="s">
        <v>20054</v>
      </c>
      <c r="N8740" t="s">
        <v>15236</v>
      </c>
      <c r="O8740" t="s">
        <v>117</v>
      </c>
      <c r="P8740">
        <v>11365</v>
      </c>
      <c r="R8740" t="s">
        <v>23</v>
      </c>
      <c r="S8740" s="1" t="s">
        <v>34218</v>
      </c>
    </row>
    <row r="8741" spans="1:19" x14ac:dyDescent="0.25">
      <c r="A8741">
        <v>101455888</v>
      </c>
      <c r="B8741" t="s">
        <v>7888</v>
      </c>
      <c r="C8741" t="s">
        <v>2497</v>
      </c>
      <c r="G8741" t="s">
        <v>20055</v>
      </c>
      <c r="H8741" t="s">
        <v>20056</v>
      </c>
      <c r="I8741" t="s">
        <v>639</v>
      </c>
      <c r="J8741">
        <v>87556</v>
      </c>
      <c r="L8741" t="s">
        <v>23</v>
      </c>
      <c r="M8741" t="s">
        <v>20055</v>
      </c>
      <c r="N8741" t="s">
        <v>20056</v>
      </c>
      <c r="O8741" t="s">
        <v>639</v>
      </c>
      <c r="P8741">
        <v>87556</v>
      </c>
      <c r="R8741" t="s">
        <v>23</v>
      </c>
      <c r="S8741" s="1" t="s">
        <v>34218</v>
      </c>
    </row>
    <row r="8742" spans="1:19" x14ac:dyDescent="0.25">
      <c r="A8742">
        <v>101441016</v>
      </c>
      <c r="B8742" t="s">
        <v>20057</v>
      </c>
      <c r="C8742" t="s">
        <v>20058</v>
      </c>
      <c r="G8742" t="s">
        <v>20059</v>
      </c>
      <c r="H8742" t="s">
        <v>10374</v>
      </c>
      <c r="I8742" t="s">
        <v>236</v>
      </c>
      <c r="J8742">
        <v>2360</v>
      </c>
      <c r="K8742">
        <v>7500</v>
      </c>
      <c r="L8742" t="s">
        <v>23</v>
      </c>
      <c r="M8742" t="s">
        <v>20059</v>
      </c>
      <c r="N8742" t="s">
        <v>10374</v>
      </c>
      <c r="O8742" t="s">
        <v>236</v>
      </c>
      <c r="P8742">
        <v>2360</v>
      </c>
      <c r="Q8742">
        <v>7500</v>
      </c>
      <c r="R8742" t="s">
        <v>23</v>
      </c>
      <c r="S8742" s="1" t="s">
        <v>34218</v>
      </c>
    </row>
    <row r="8743" spans="1:19" x14ac:dyDescent="0.25">
      <c r="A8743">
        <v>101474408</v>
      </c>
      <c r="B8743" t="s">
        <v>20060</v>
      </c>
      <c r="C8743" t="s">
        <v>167</v>
      </c>
      <c r="G8743" t="s">
        <v>20061</v>
      </c>
      <c r="H8743" t="s">
        <v>16436</v>
      </c>
      <c r="I8743" t="s">
        <v>52</v>
      </c>
      <c r="J8743">
        <v>32404</v>
      </c>
      <c r="K8743">
        <v>4401</v>
      </c>
      <c r="L8743" t="s">
        <v>23</v>
      </c>
      <c r="M8743" t="s">
        <v>20061</v>
      </c>
      <c r="N8743" t="s">
        <v>16436</v>
      </c>
      <c r="O8743" t="s">
        <v>52</v>
      </c>
      <c r="P8743">
        <v>32404</v>
      </c>
      <c r="Q8743">
        <v>4401</v>
      </c>
      <c r="R8743" t="s">
        <v>23</v>
      </c>
      <c r="S8743" s="1" t="s">
        <v>34218</v>
      </c>
    </row>
    <row r="8744" spans="1:19" x14ac:dyDescent="0.25">
      <c r="A8744">
        <v>101288407</v>
      </c>
      <c r="B8744" t="s">
        <v>744</v>
      </c>
      <c r="C8744" t="s">
        <v>382</v>
      </c>
      <c r="G8744" t="s">
        <v>20062</v>
      </c>
      <c r="H8744" t="s">
        <v>70</v>
      </c>
      <c r="I8744" t="s">
        <v>71</v>
      </c>
      <c r="J8744">
        <v>80003</v>
      </c>
      <c r="K8744">
        <v>5348</v>
      </c>
      <c r="L8744" t="s">
        <v>23</v>
      </c>
      <c r="M8744" t="s">
        <v>20062</v>
      </c>
      <c r="N8744" t="s">
        <v>70</v>
      </c>
      <c r="O8744" t="s">
        <v>71</v>
      </c>
      <c r="P8744">
        <v>80003</v>
      </c>
      <c r="Q8744">
        <v>5348</v>
      </c>
      <c r="R8744" t="s">
        <v>23</v>
      </c>
      <c r="S8744" s="1" t="s">
        <v>34218</v>
      </c>
    </row>
    <row r="8745" spans="1:19" x14ac:dyDescent="0.25">
      <c r="A8745">
        <v>101418628</v>
      </c>
      <c r="B8745" t="s">
        <v>20063</v>
      </c>
      <c r="C8745" t="s">
        <v>7237</v>
      </c>
      <c r="G8745" t="s">
        <v>20064</v>
      </c>
      <c r="H8745" t="s">
        <v>1766</v>
      </c>
      <c r="I8745" t="s">
        <v>22</v>
      </c>
      <c r="J8745">
        <v>94590</v>
      </c>
      <c r="K8745">
        <v>7907</v>
      </c>
      <c r="L8745" t="s">
        <v>23</v>
      </c>
      <c r="M8745" t="s">
        <v>20064</v>
      </c>
      <c r="N8745" t="s">
        <v>1766</v>
      </c>
      <c r="O8745" t="s">
        <v>22</v>
      </c>
      <c r="P8745">
        <v>94590</v>
      </c>
      <c r="Q8745">
        <v>7907</v>
      </c>
      <c r="R8745" t="s">
        <v>23</v>
      </c>
      <c r="S8745" s="1" t="s">
        <v>34218</v>
      </c>
    </row>
    <row r="8746" spans="1:19" x14ac:dyDescent="0.25">
      <c r="A8746">
        <v>101468370</v>
      </c>
      <c r="B8746" t="s">
        <v>3303</v>
      </c>
      <c r="C8746" t="s">
        <v>1487</v>
      </c>
      <c r="G8746" t="s">
        <v>20065</v>
      </c>
      <c r="H8746" t="s">
        <v>15748</v>
      </c>
      <c r="I8746" t="s">
        <v>914</v>
      </c>
      <c r="J8746">
        <v>37743</v>
      </c>
      <c r="K8746">
        <v>6645</v>
      </c>
      <c r="L8746" t="s">
        <v>23</v>
      </c>
      <c r="M8746" t="s">
        <v>20065</v>
      </c>
      <c r="N8746" t="s">
        <v>15748</v>
      </c>
      <c r="O8746" t="s">
        <v>914</v>
      </c>
      <c r="P8746">
        <v>37743</v>
      </c>
      <c r="Q8746">
        <v>6645</v>
      </c>
      <c r="R8746" t="s">
        <v>23</v>
      </c>
      <c r="S8746" s="1" t="s">
        <v>34218</v>
      </c>
    </row>
    <row r="8747" spans="1:19" x14ac:dyDescent="0.25">
      <c r="A8747">
        <v>101467632</v>
      </c>
      <c r="B8747" t="s">
        <v>20066</v>
      </c>
      <c r="C8747" t="s">
        <v>585</v>
      </c>
      <c r="G8747" t="s">
        <v>20067</v>
      </c>
      <c r="H8747" t="s">
        <v>3222</v>
      </c>
      <c r="I8747" t="s">
        <v>22</v>
      </c>
      <c r="J8747">
        <v>95765</v>
      </c>
      <c r="K8747">
        <v>6253</v>
      </c>
      <c r="L8747" t="s">
        <v>23</v>
      </c>
      <c r="M8747" t="s">
        <v>20067</v>
      </c>
      <c r="N8747" t="s">
        <v>3222</v>
      </c>
      <c r="O8747" t="s">
        <v>22</v>
      </c>
      <c r="P8747">
        <v>95765</v>
      </c>
      <c r="Q8747">
        <v>6253</v>
      </c>
      <c r="R8747" t="s">
        <v>23</v>
      </c>
      <c r="S8747" s="1" t="s">
        <v>34218</v>
      </c>
    </row>
    <row r="8748" spans="1:19" x14ac:dyDescent="0.25">
      <c r="A8748">
        <v>101468852</v>
      </c>
      <c r="B8748" t="s">
        <v>13373</v>
      </c>
      <c r="C8748" t="s">
        <v>403</v>
      </c>
      <c r="G8748" t="s">
        <v>20068</v>
      </c>
      <c r="H8748" t="s">
        <v>20069</v>
      </c>
      <c r="I8748" t="s">
        <v>33</v>
      </c>
      <c r="J8748">
        <v>15238</v>
      </c>
      <c r="K8748">
        <v>2724</v>
      </c>
      <c r="L8748" t="s">
        <v>23</v>
      </c>
      <c r="M8748" t="s">
        <v>20068</v>
      </c>
      <c r="N8748" t="s">
        <v>20069</v>
      </c>
      <c r="O8748" t="s">
        <v>33</v>
      </c>
      <c r="P8748">
        <v>15238</v>
      </c>
      <c r="Q8748">
        <v>2724</v>
      </c>
      <c r="R8748" t="s">
        <v>23</v>
      </c>
      <c r="S8748" s="1" t="s">
        <v>34218</v>
      </c>
    </row>
    <row r="8749" spans="1:19" x14ac:dyDescent="0.25">
      <c r="A8749">
        <v>101350440</v>
      </c>
      <c r="B8749" t="s">
        <v>1291</v>
      </c>
      <c r="C8749" t="s">
        <v>14110</v>
      </c>
      <c r="G8749" t="s">
        <v>20070</v>
      </c>
      <c r="H8749" t="s">
        <v>1979</v>
      </c>
      <c r="I8749" t="s">
        <v>52</v>
      </c>
      <c r="J8749">
        <v>34452</v>
      </c>
      <c r="K8749">
        <v>7150</v>
      </c>
      <c r="L8749" t="s">
        <v>23</v>
      </c>
      <c r="M8749" t="s">
        <v>20070</v>
      </c>
      <c r="N8749" t="s">
        <v>1979</v>
      </c>
      <c r="O8749" t="s">
        <v>52</v>
      </c>
      <c r="P8749">
        <v>34452</v>
      </c>
      <c r="Q8749">
        <v>7150</v>
      </c>
      <c r="R8749" t="s">
        <v>23</v>
      </c>
      <c r="S8749" s="1" t="s">
        <v>34218</v>
      </c>
    </row>
    <row r="8750" spans="1:19" x14ac:dyDescent="0.25">
      <c r="A8750">
        <v>101280711</v>
      </c>
      <c r="B8750" t="s">
        <v>20071</v>
      </c>
      <c r="C8750" t="s">
        <v>2518</v>
      </c>
      <c r="G8750" t="s">
        <v>20072</v>
      </c>
      <c r="H8750" t="s">
        <v>202</v>
      </c>
      <c r="I8750" t="s">
        <v>117</v>
      </c>
      <c r="J8750">
        <v>14209</v>
      </c>
      <c r="K8750">
        <v>1615</v>
      </c>
      <c r="L8750" t="s">
        <v>23</v>
      </c>
      <c r="M8750" t="s">
        <v>20072</v>
      </c>
      <c r="N8750" t="s">
        <v>202</v>
      </c>
      <c r="O8750" t="s">
        <v>117</v>
      </c>
      <c r="P8750">
        <v>14209</v>
      </c>
      <c r="Q8750">
        <v>1615</v>
      </c>
      <c r="R8750" t="s">
        <v>23</v>
      </c>
      <c r="S8750" s="1" t="s">
        <v>34218</v>
      </c>
    </row>
    <row r="8751" spans="1:19" x14ac:dyDescent="0.25">
      <c r="A8751">
        <v>101468867</v>
      </c>
      <c r="B8751" t="s">
        <v>3590</v>
      </c>
      <c r="C8751" t="s">
        <v>7257</v>
      </c>
      <c r="G8751" t="s">
        <v>20073</v>
      </c>
      <c r="H8751" t="s">
        <v>2069</v>
      </c>
      <c r="I8751" t="s">
        <v>22</v>
      </c>
      <c r="J8751">
        <v>95472</v>
      </c>
      <c r="K8751">
        <v>5224</v>
      </c>
      <c r="L8751" t="s">
        <v>23</v>
      </c>
      <c r="M8751" t="s">
        <v>20073</v>
      </c>
      <c r="N8751" t="s">
        <v>2069</v>
      </c>
      <c r="O8751" t="s">
        <v>22</v>
      </c>
      <c r="P8751">
        <v>95472</v>
      </c>
      <c r="Q8751">
        <v>5224</v>
      </c>
      <c r="R8751" t="s">
        <v>23</v>
      </c>
      <c r="S8751" s="1" t="s">
        <v>34218</v>
      </c>
    </row>
    <row r="8752" spans="1:19" x14ac:dyDescent="0.25">
      <c r="A8752">
        <v>101464984</v>
      </c>
      <c r="B8752" t="s">
        <v>20074</v>
      </c>
      <c r="C8752" t="s">
        <v>403</v>
      </c>
      <c r="G8752" t="s">
        <v>20075</v>
      </c>
      <c r="H8752" t="s">
        <v>18377</v>
      </c>
      <c r="I8752" t="s">
        <v>2537</v>
      </c>
      <c r="J8752">
        <v>72450</v>
      </c>
      <c r="K8752">
        <v>1957</v>
      </c>
      <c r="L8752" t="s">
        <v>23</v>
      </c>
      <c r="M8752" t="s">
        <v>20075</v>
      </c>
      <c r="N8752" t="s">
        <v>18377</v>
      </c>
      <c r="O8752" t="s">
        <v>2537</v>
      </c>
      <c r="P8752">
        <v>72450</v>
      </c>
      <c r="Q8752">
        <v>1957</v>
      </c>
      <c r="R8752" t="s">
        <v>23</v>
      </c>
      <c r="S8752" s="1" t="s">
        <v>34218</v>
      </c>
    </row>
    <row r="8753" spans="1:19" x14ac:dyDescent="0.25">
      <c r="A8753">
        <v>101468915</v>
      </c>
      <c r="B8753" t="s">
        <v>2804</v>
      </c>
      <c r="C8753" t="s">
        <v>803</v>
      </c>
      <c r="G8753" t="s">
        <v>20076</v>
      </c>
      <c r="H8753" t="s">
        <v>1553</v>
      </c>
      <c r="I8753" t="s">
        <v>236</v>
      </c>
      <c r="J8753">
        <v>1002</v>
      </c>
      <c r="K8753">
        <v>2825</v>
      </c>
      <c r="L8753" t="s">
        <v>23</v>
      </c>
      <c r="M8753" t="s">
        <v>20076</v>
      </c>
      <c r="N8753" t="s">
        <v>1553</v>
      </c>
      <c r="O8753" t="s">
        <v>236</v>
      </c>
      <c r="P8753">
        <v>1002</v>
      </c>
      <c r="Q8753">
        <v>2825</v>
      </c>
      <c r="R8753" t="s">
        <v>23</v>
      </c>
      <c r="S8753" s="1" t="s">
        <v>34218</v>
      </c>
    </row>
    <row r="8754" spans="1:19" x14ac:dyDescent="0.25">
      <c r="A8754">
        <v>101313381</v>
      </c>
      <c r="B8754" t="s">
        <v>20077</v>
      </c>
      <c r="C8754" t="s">
        <v>1176</v>
      </c>
      <c r="G8754" t="s">
        <v>20078</v>
      </c>
      <c r="H8754" t="s">
        <v>3798</v>
      </c>
      <c r="I8754" t="s">
        <v>71</v>
      </c>
      <c r="J8754">
        <v>80602</v>
      </c>
      <c r="K8754">
        <v>7728</v>
      </c>
      <c r="L8754" t="s">
        <v>23</v>
      </c>
      <c r="M8754" t="s">
        <v>20078</v>
      </c>
      <c r="N8754" t="s">
        <v>3798</v>
      </c>
      <c r="O8754" t="s">
        <v>71</v>
      </c>
      <c r="P8754">
        <v>80602</v>
      </c>
      <c r="Q8754">
        <v>7728</v>
      </c>
      <c r="R8754" t="s">
        <v>23</v>
      </c>
      <c r="S8754" s="1" t="s">
        <v>34218</v>
      </c>
    </row>
    <row r="8755" spans="1:19" x14ac:dyDescent="0.25">
      <c r="A8755">
        <v>101250427</v>
      </c>
      <c r="B8755" t="s">
        <v>20079</v>
      </c>
      <c r="C8755" t="s">
        <v>20080</v>
      </c>
      <c r="G8755" t="s">
        <v>20081</v>
      </c>
      <c r="H8755" t="s">
        <v>393</v>
      </c>
      <c r="I8755" t="s">
        <v>71</v>
      </c>
      <c r="J8755">
        <v>80220</v>
      </c>
      <c r="K8755">
        <v>2429</v>
      </c>
      <c r="L8755" t="s">
        <v>23</v>
      </c>
      <c r="M8755" t="s">
        <v>20081</v>
      </c>
      <c r="N8755" t="s">
        <v>393</v>
      </c>
      <c r="O8755" t="s">
        <v>71</v>
      </c>
      <c r="P8755">
        <v>80220</v>
      </c>
      <c r="Q8755">
        <v>2429</v>
      </c>
      <c r="R8755" t="s">
        <v>23</v>
      </c>
      <c r="S8755" s="1" t="s">
        <v>34218</v>
      </c>
    </row>
    <row r="8756" spans="1:19" x14ac:dyDescent="0.25">
      <c r="A8756">
        <v>101431626</v>
      </c>
      <c r="B8756" t="s">
        <v>1554</v>
      </c>
      <c r="C8756" t="s">
        <v>123</v>
      </c>
      <c r="G8756" t="s">
        <v>20082</v>
      </c>
      <c r="H8756" t="s">
        <v>1318</v>
      </c>
      <c r="I8756" t="s">
        <v>22</v>
      </c>
      <c r="J8756">
        <v>94598</v>
      </c>
      <c r="K8756">
        <v>4438</v>
      </c>
      <c r="L8756" t="s">
        <v>23</v>
      </c>
      <c r="M8756" t="s">
        <v>20082</v>
      </c>
      <c r="N8756" t="s">
        <v>1318</v>
      </c>
      <c r="O8756" t="s">
        <v>22</v>
      </c>
      <c r="P8756">
        <v>94598</v>
      </c>
      <c r="Q8756">
        <v>4438</v>
      </c>
      <c r="R8756" t="s">
        <v>23</v>
      </c>
      <c r="S8756" s="1" t="s">
        <v>34218</v>
      </c>
    </row>
    <row r="8757" spans="1:19" x14ac:dyDescent="0.25">
      <c r="A8757">
        <v>101317886</v>
      </c>
      <c r="B8757" t="s">
        <v>20083</v>
      </c>
      <c r="C8757" t="s">
        <v>641</v>
      </c>
      <c r="G8757" t="s">
        <v>20084</v>
      </c>
      <c r="H8757" t="s">
        <v>2913</v>
      </c>
      <c r="I8757" t="s">
        <v>327</v>
      </c>
      <c r="J8757">
        <v>26508</v>
      </c>
      <c r="K8757">
        <v>2306</v>
      </c>
      <c r="L8757" t="s">
        <v>23</v>
      </c>
      <c r="M8757" t="s">
        <v>20084</v>
      </c>
      <c r="N8757" t="s">
        <v>2913</v>
      </c>
      <c r="O8757" t="s">
        <v>327</v>
      </c>
      <c r="P8757">
        <v>26508</v>
      </c>
      <c r="Q8757">
        <v>2306</v>
      </c>
      <c r="R8757" t="s">
        <v>23</v>
      </c>
      <c r="S8757" s="1" t="s">
        <v>34218</v>
      </c>
    </row>
    <row r="8758" spans="1:19" x14ac:dyDescent="0.25">
      <c r="A8758">
        <v>101468946</v>
      </c>
      <c r="B8758" t="s">
        <v>3956</v>
      </c>
      <c r="C8758" t="s">
        <v>3566</v>
      </c>
      <c r="G8758" t="s">
        <v>18651</v>
      </c>
      <c r="H8758" t="s">
        <v>1135</v>
      </c>
      <c r="I8758" t="s">
        <v>178</v>
      </c>
      <c r="J8758">
        <v>43003</v>
      </c>
      <c r="K8758">
        <v>9769</v>
      </c>
      <c r="L8758" t="s">
        <v>23</v>
      </c>
      <c r="M8758" t="s">
        <v>18651</v>
      </c>
      <c r="N8758" t="s">
        <v>1135</v>
      </c>
      <c r="O8758" t="s">
        <v>178</v>
      </c>
      <c r="P8758">
        <v>43003</v>
      </c>
      <c r="Q8758">
        <v>9769</v>
      </c>
      <c r="R8758" t="s">
        <v>23</v>
      </c>
      <c r="S8758" s="1" t="s">
        <v>34218</v>
      </c>
    </row>
    <row r="8759" spans="1:19" x14ac:dyDescent="0.25">
      <c r="A8759">
        <v>101024762</v>
      </c>
      <c r="B8759" t="s">
        <v>20085</v>
      </c>
      <c r="C8759" t="s">
        <v>1327</v>
      </c>
      <c r="G8759" t="s">
        <v>20086</v>
      </c>
      <c r="H8759" t="s">
        <v>2536</v>
      </c>
      <c r="I8759" t="s">
        <v>2537</v>
      </c>
      <c r="J8759">
        <v>71913</v>
      </c>
      <c r="K8759">
        <v>8820</v>
      </c>
      <c r="L8759" t="s">
        <v>23</v>
      </c>
      <c r="M8759" t="s">
        <v>20086</v>
      </c>
      <c r="N8759" t="s">
        <v>2536</v>
      </c>
      <c r="O8759" t="s">
        <v>2537</v>
      </c>
      <c r="P8759">
        <v>71913</v>
      </c>
      <c r="Q8759">
        <v>8820</v>
      </c>
      <c r="R8759" t="s">
        <v>23</v>
      </c>
      <c r="S8759" s="1" t="s">
        <v>34218</v>
      </c>
    </row>
    <row r="8760" spans="1:19" x14ac:dyDescent="0.25">
      <c r="A8760">
        <v>101053121</v>
      </c>
      <c r="B8760" t="s">
        <v>1941</v>
      </c>
      <c r="C8760" t="s">
        <v>2047</v>
      </c>
      <c r="G8760" t="s">
        <v>20087</v>
      </c>
      <c r="H8760" t="s">
        <v>454</v>
      </c>
      <c r="I8760" t="s">
        <v>22</v>
      </c>
      <c r="J8760">
        <v>93063</v>
      </c>
      <c r="L8760" t="s">
        <v>23</v>
      </c>
      <c r="M8760" t="s">
        <v>20087</v>
      </c>
      <c r="N8760" t="s">
        <v>454</v>
      </c>
      <c r="O8760" t="s">
        <v>22</v>
      </c>
      <c r="P8760">
        <v>93063</v>
      </c>
      <c r="R8760" t="s">
        <v>23</v>
      </c>
      <c r="S8760" s="1" t="s">
        <v>34218</v>
      </c>
    </row>
    <row r="8761" spans="1:19" x14ac:dyDescent="0.25">
      <c r="A8761">
        <v>101058012</v>
      </c>
      <c r="B8761" t="s">
        <v>20088</v>
      </c>
      <c r="C8761" t="s">
        <v>575</v>
      </c>
      <c r="G8761" t="s">
        <v>20089</v>
      </c>
      <c r="H8761" t="s">
        <v>20090</v>
      </c>
      <c r="I8761" t="s">
        <v>236</v>
      </c>
      <c r="J8761">
        <v>1475</v>
      </c>
      <c r="K8761">
        <v>2040</v>
      </c>
      <c r="L8761" t="s">
        <v>23</v>
      </c>
      <c r="M8761" t="s">
        <v>20089</v>
      </c>
      <c r="N8761" t="s">
        <v>20090</v>
      </c>
      <c r="O8761" t="s">
        <v>236</v>
      </c>
      <c r="P8761">
        <v>1475</v>
      </c>
      <c r="Q8761">
        <v>2040</v>
      </c>
      <c r="R8761" t="s">
        <v>23</v>
      </c>
      <c r="S8761" s="1" t="s">
        <v>34218</v>
      </c>
    </row>
    <row r="8762" spans="1:19" x14ac:dyDescent="0.25">
      <c r="A8762">
        <v>101467467</v>
      </c>
      <c r="B8762" t="s">
        <v>20091</v>
      </c>
      <c r="C8762" t="s">
        <v>1309</v>
      </c>
      <c r="G8762" t="s">
        <v>20092</v>
      </c>
      <c r="H8762" t="s">
        <v>12311</v>
      </c>
      <c r="I8762" t="s">
        <v>236</v>
      </c>
      <c r="J8762">
        <v>2653</v>
      </c>
      <c r="L8762" t="s">
        <v>23</v>
      </c>
      <c r="M8762" t="s">
        <v>20092</v>
      </c>
      <c r="N8762" t="s">
        <v>12311</v>
      </c>
      <c r="O8762" t="s">
        <v>236</v>
      </c>
      <c r="P8762">
        <v>2653</v>
      </c>
      <c r="R8762" t="s">
        <v>23</v>
      </c>
      <c r="S8762" s="1" t="s">
        <v>34218</v>
      </c>
    </row>
    <row r="8763" spans="1:19" x14ac:dyDescent="0.25">
      <c r="A8763">
        <v>101467974</v>
      </c>
      <c r="B8763" t="s">
        <v>15351</v>
      </c>
      <c r="C8763" t="s">
        <v>329</v>
      </c>
      <c r="G8763" t="s">
        <v>20093</v>
      </c>
      <c r="H8763" t="s">
        <v>8743</v>
      </c>
      <c r="I8763" t="s">
        <v>22</v>
      </c>
      <c r="J8763">
        <v>91765</v>
      </c>
      <c r="K8763">
        <v>1558</v>
      </c>
      <c r="L8763" t="s">
        <v>23</v>
      </c>
      <c r="M8763" t="s">
        <v>20093</v>
      </c>
      <c r="N8763" t="s">
        <v>8743</v>
      </c>
      <c r="O8763" t="s">
        <v>22</v>
      </c>
      <c r="P8763">
        <v>91765</v>
      </c>
      <c r="Q8763">
        <v>1558</v>
      </c>
      <c r="R8763" t="s">
        <v>23</v>
      </c>
      <c r="S8763" s="1" t="s">
        <v>34218</v>
      </c>
    </row>
    <row r="8764" spans="1:19" x14ac:dyDescent="0.25">
      <c r="A8764">
        <v>101465579</v>
      </c>
      <c r="B8764" t="s">
        <v>20094</v>
      </c>
      <c r="C8764" t="s">
        <v>155</v>
      </c>
      <c r="G8764" t="s">
        <v>20095</v>
      </c>
      <c r="H8764" t="s">
        <v>20096</v>
      </c>
      <c r="I8764" t="s">
        <v>140</v>
      </c>
      <c r="J8764">
        <v>48186</v>
      </c>
      <c r="K8764">
        <v>9021</v>
      </c>
      <c r="L8764" t="s">
        <v>23</v>
      </c>
      <c r="M8764" t="s">
        <v>20095</v>
      </c>
      <c r="N8764" t="s">
        <v>20096</v>
      </c>
      <c r="O8764" t="s">
        <v>140</v>
      </c>
      <c r="P8764">
        <v>48186</v>
      </c>
      <c r="Q8764">
        <v>9021</v>
      </c>
      <c r="R8764" t="s">
        <v>23</v>
      </c>
      <c r="S8764" s="1" t="s">
        <v>34218</v>
      </c>
    </row>
    <row r="8765" spans="1:19" x14ac:dyDescent="0.25">
      <c r="A8765">
        <v>101436094</v>
      </c>
      <c r="B8765" t="s">
        <v>2032</v>
      </c>
      <c r="C8765" t="s">
        <v>180</v>
      </c>
      <c r="G8765" t="s">
        <v>20097</v>
      </c>
      <c r="H8765" t="s">
        <v>3363</v>
      </c>
      <c r="I8765" t="s">
        <v>33</v>
      </c>
      <c r="J8765">
        <v>15217</v>
      </c>
      <c r="K8765">
        <v>1530</v>
      </c>
      <c r="L8765" t="s">
        <v>23</v>
      </c>
      <c r="M8765" t="s">
        <v>20097</v>
      </c>
      <c r="N8765" t="s">
        <v>3363</v>
      </c>
      <c r="O8765" t="s">
        <v>33</v>
      </c>
      <c r="P8765">
        <v>15217</v>
      </c>
      <c r="Q8765">
        <v>1530</v>
      </c>
      <c r="R8765" t="s">
        <v>23</v>
      </c>
      <c r="S8765" s="1" t="s">
        <v>34218</v>
      </c>
    </row>
    <row r="8766" spans="1:19" x14ac:dyDescent="0.25">
      <c r="A8766">
        <v>101275873</v>
      </c>
      <c r="B8766" t="s">
        <v>20098</v>
      </c>
      <c r="C8766" t="s">
        <v>2515</v>
      </c>
      <c r="G8766" t="s">
        <v>20099</v>
      </c>
      <c r="H8766" t="s">
        <v>1636</v>
      </c>
      <c r="I8766" t="s">
        <v>22</v>
      </c>
      <c r="J8766">
        <v>93907</v>
      </c>
      <c r="K8766">
        <v>1015</v>
      </c>
      <c r="L8766" t="s">
        <v>23</v>
      </c>
      <c r="M8766" t="s">
        <v>20099</v>
      </c>
      <c r="N8766" t="s">
        <v>1636</v>
      </c>
      <c r="O8766" t="s">
        <v>22</v>
      </c>
      <c r="P8766">
        <v>93907</v>
      </c>
      <c r="Q8766">
        <v>1015</v>
      </c>
      <c r="R8766" t="s">
        <v>23</v>
      </c>
      <c r="S8766" s="1" t="s">
        <v>34218</v>
      </c>
    </row>
    <row r="8767" spans="1:19" x14ac:dyDescent="0.25">
      <c r="A8767">
        <v>101447433</v>
      </c>
      <c r="B8767" t="s">
        <v>20100</v>
      </c>
      <c r="C8767" t="s">
        <v>20101</v>
      </c>
      <c r="G8767" t="s">
        <v>20102</v>
      </c>
      <c r="H8767" t="s">
        <v>10680</v>
      </c>
      <c r="I8767" t="s">
        <v>236</v>
      </c>
      <c r="J8767">
        <v>1930</v>
      </c>
      <c r="K8767">
        <v>2957</v>
      </c>
      <c r="L8767" t="s">
        <v>23</v>
      </c>
      <c r="M8767" t="s">
        <v>20102</v>
      </c>
      <c r="N8767" t="s">
        <v>10680</v>
      </c>
      <c r="O8767" t="s">
        <v>236</v>
      </c>
      <c r="P8767">
        <v>1930</v>
      </c>
      <c r="Q8767">
        <v>2957</v>
      </c>
      <c r="R8767" t="s">
        <v>23</v>
      </c>
      <c r="S8767" s="1" t="s">
        <v>34218</v>
      </c>
    </row>
    <row r="8768" spans="1:19" x14ac:dyDescent="0.25">
      <c r="A8768">
        <v>101466198</v>
      </c>
      <c r="B8768" t="s">
        <v>7130</v>
      </c>
      <c r="C8768" t="s">
        <v>1208</v>
      </c>
      <c r="G8768" t="s">
        <v>20103</v>
      </c>
      <c r="H8768" t="s">
        <v>20104</v>
      </c>
      <c r="I8768" t="s">
        <v>161</v>
      </c>
      <c r="J8768">
        <v>6092</v>
      </c>
      <c r="K8768">
        <v>2717</v>
      </c>
      <c r="L8768" t="s">
        <v>23</v>
      </c>
      <c r="M8768" t="s">
        <v>20103</v>
      </c>
      <c r="N8768" t="s">
        <v>20104</v>
      </c>
      <c r="O8768" t="s">
        <v>161</v>
      </c>
      <c r="P8768">
        <v>6092</v>
      </c>
      <c r="Q8768">
        <v>2717</v>
      </c>
      <c r="R8768" t="s">
        <v>23</v>
      </c>
      <c r="S8768" s="1" t="s">
        <v>34218</v>
      </c>
    </row>
    <row r="8769" spans="1:19" x14ac:dyDescent="0.25">
      <c r="A8769">
        <v>101469619</v>
      </c>
      <c r="B8769" t="s">
        <v>20105</v>
      </c>
      <c r="C8769" t="s">
        <v>20106</v>
      </c>
      <c r="G8769" t="s">
        <v>20107</v>
      </c>
      <c r="H8769" t="s">
        <v>412</v>
      </c>
      <c r="I8769" t="s">
        <v>117</v>
      </c>
      <c r="J8769">
        <v>11223</v>
      </c>
      <c r="K8769">
        <v>2905</v>
      </c>
      <c r="L8769" t="s">
        <v>23</v>
      </c>
      <c r="M8769" t="s">
        <v>20107</v>
      </c>
      <c r="N8769" t="s">
        <v>412</v>
      </c>
      <c r="O8769" t="s">
        <v>117</v>
      </c>
      <c r="P8769">
        <v>11223</v>
      </c>
      <c r="Q8769">
        <v>2905</v>
      </c>
      <c r="R8769" t="s">
        <v>23</v>
      </c>
      <c r="S8769" s="1" t="s">
        <v>34218</v>
      </c>
    </row>
    <row r="8770" spans="1:19" x14ac:dyDescent="0.25">
      <c r="A8770">
        <v>101466545</v>
      </c>
      <c r="B8770" t="s">
        <v>5118</v>
      </c>
      <c r="C8770" t="s">
        <v>1616</v>
      </c>
      <c r="G8770" t="s">
        <v>20108</v>
      </c>
      <c r="H8770" t="s">
        <v>5969</v>
      </c>
      <c r="I8770" t="s">
        <v>365</v>
      </c>
      <c r="J8770">
        <v>85331</v>
      </c>
      <c r="K8770">
        <v>4150</v>
      </c>
      <c r="L8770" t="s">
        <v>23</v>
      </c>
      <c r="M8770" t="s">
        <v>20108</v>
      </c>
      <c r="N8770" t="s">
        <v>5969</v>
      </c>
      <c r="O8770" t="s">
        <v>365</v>
      </c>
      <c r="P8770">
        <v>85331</v>
      </c>
      <c r="Q8770">
        <v>4150</v>
      </c>
      <c r="R8770" t="s">
        <v>23</v>
      </c>
      <c r="S8770" s="1" t="s">
        <v>34218</v>
      </c>
    </row>
    <row r="8771" spans="1:19" x14ac:dyDescent="0.25">
      <c r="A8771">
        <v>101276615</v>
      </c>
      <c r="B8771" t="s">
        <v>8247</v>
      </c>
      <c r="C8771" t="s">
        <v>2010</v>
      </c>
      <c r="G8771" t="s">
        <v>20109</v>
      </c>
      <c r="H8771" t="s">
        <v>20110</v>
      </c>
      <c r="I8771" t="s">
        <v>117</v>
      </c>
      <c r="J8771">
        <v>10964</v>
      </c>
      <c r="K8771">
        <v>1005</v>
      </c>
      <c r="L8771" t="s">
        <v>23</v>
      </c>
      <c r="M8771" t="s">
        <v>20109</v>
      </c>
      <c r="N8771" t="s">
        <v>20110</v>
      </c>
      <c r="O8771" t="s">
        <v>117</v>
      </c>
      <c r="P8771">
        <v>10964</v>
      </c>
      <c r="Q8771">
        <v>1005</v>
      </c>
      <c r="R8771" t="s">
        <v>23</v>
      </c>
      <c r="S8771" s="1" t="s">
        <v>34218</v>
      </c>
    </row>
    <row r="8772" spans="1:19" x14ac:dyDescent="0.25">
      <c r="A8772">
        <v>101427066</v>
      </c>
      <c r="B8772" t="s">
        <v>14030</v>
      </c>
      <c r="C8772" t="s">
        <v>2193</v>
      </c>
      <c r="G8772" t="s">
        <v>20111</v>
      </c>
      <c r="H8772" t="s">
        <v>3794</v>
      </c>
      <c r="I8772" t="s">
        <v>191</v>
      </c>
      <c r="J8772">
        <v>4223</v>
      </c>
      <c r="L8772" t="s">
        <v>23</v>
      </c>
      <c r="M8772" t="s">
        <v>20111</v>
      </c>
      <c r="N8772" t="s">
        <v>3794</v>
      </c>
      <c r="O8772" t="s">
        <v>191</v>
      </c>
      <c r="P8772">
        <v>4223</v>
      </c>
      <c r="R8772" t="s">
        <v>23</v>
      </c>
      <c r="S8772" s="1" t="s">
        <v>34218</v>
      </c>
    </row>
    <row r="8773" spans="1:19" x14ac:dyDescent="0.25">
      <c r="A8773">
        <v>101240406</v>
      </c>
      <c r="B8773" t="s">
        <v>9333</v>
      </c>
      <c r="C8773" t="s">
        <v>45</v>
      </c>
      <c r="G8773" t="s">
        <v>20112</v>
      </c>
      <c r="H8773" t="s">
        <v>1964</v>
      </c>
      <c r="I8773" t="s">
        <v>22</v>
      </c>
      <c r="J8773">
        <v>91343</v>
      </c>
      <c r="K8773">
        <v>1407</v>
      </c>
      <c r="L8773" t="s">
        <v>23</v>
      </c>
      <c r="M8773" t="s">
        <v>20112</v>
      </c>
      <c r="N8773" t="s">
        <v>1964</v>
      </c>
      <c r="O8773" t="s">
        <v>22</v>
      </c>
      <c r="P8773">
        <v>91343</v>
      </c>
      <c r="Q8773">
        <v>1407</v>
      </c>
      <c r="R8773" t="s">
        <v>23</v>
      </c>
      <c r="S8773" s="1" t="s">
        <v>34218</v>
      </c>
    </row>
    <row r="8774" spans="1:19" x14ac:dyDescent="0.25">
      <c r="A8774">
        <v>100890424</v>
      </c>
      <c r="B8774" t="s">
        <v>1800</v>
      </c>
      <c r="C8774" t="s">
        <v>313</v>
      </c>
      <c r="G8774" t="s">
        <v>20113</v>
      </c>
      <c r="H8774" t="s">
        <v>12935</v>
      </c>
      <c r="I8774" t="s">
        <v>140</v>
      </c>
      <c r="J8774">
        <v>48169</v>
      </c>
      <c r="K8774">
        <v>9333</v>
      </c>
      <c r="L8774" t="s">
        <v>23</v>
      </c>
      <c r="M8774" t="s">
        <v>20113</v>
      </c>
      <c r="N8774" t="s">
        <v>12935</v>
      </c>
      <c r="O8774" t="s">
        <v>140</v>
      </c>
      <c r="P8774">
        <v>48169</v>
      </c>
      <c r="Q8774">
        <v>9333</v>
      </c>
      <c r="R8774" t="s">
        <v>23</v>
      </c>
      <c r="S8774" s="1" t="s">
        <v>34218</v>
      </c>
    </row>
    <row r="8775" spans="1:19" x14ac:dyDescent="0.25">
      <c r="A8775">
        <v>100636801</v>
      </c>
      <c r="B8775" t="s">
        <v>1144</v>
      </c>
      <c r="C8775" t="s">
        <v>30</v>
      </c>
      <c r="G8775" t="s">
        <v>20114</v>
      </c>
      <c r="H8775" t="s">
        <v>5179</v>
      </c>
      <c r="I8775" t="s">
        <v>236</v>
      </c>
      <c r="J8775">
        <v>2144</v>
      </c>
      <c r="K8775">
        <v>1259</v>
      </c>
      <c r="L8775" t="s">
        <v>23</v>
      </c>
      <c r="M8775" t="s">
        <v>20114</v>
      </c>
      <c r="N8775" t="s">
        <v>5179</v>
      </c>
      <c r="O8775" t="s">
        <v>236</v>
      </c>
      <c r="P8775">
        <v>2144</v>
      </c>
      <c r="Q8775">
        <v>1259</v>
      </c>
      <c r="R8775" t="s">
        <v>23</v>
      </c>
      <c r="S8775" s="1" t="s">
        <v>34218</v>
      </c>
    </row>
    <row r="8776" spans="1:19" x14ac:dyDescent="0.25">
      <c r="A8776">
        <v>101265609</v>
      </c>
      <c r="B8776" t="s">
        <v>20115</v>
      </c>
      <c r="C8776" t="s">
        <v>5787</v>
      </c>
      <c r="G8776" t="s">
        <v>20116</v>
      </c>
      <c r="H8776" t="s">
        <v>412</v>
      </c>
      <c r="I8776" t="s">
        <v>117</v>
      </c>
      <c r="J8776">
        <v>11217</v>
      </c>
      <c r="K8776">
        <v>3747</v>
      </c>
      <c r="L8776" t="s">
        <v>23</v>
      </c>
      <c r="M8776" t="s">
        <v>20116</v>
      </c>
      <c r="N8776" t="s">
        <v>412</v>
      </c>
      <c r="O8776" t="s">
        <v>117</v>
      </c>
      <c r="P8776">
        <v>11217</v>
      </c>
      <c r="Q8776">
        <v>3747</v>
      </c>
      <c r="R8776" t="s">
        <v>23</v>
      </c>
      <c r="S8776" s="1" t="s">
        <v>34218</v>
      </c>
    </row>
    <row r="8777" spans="1:19" x14ac:dyDescent="0.25">
      <c r="A8777">
        <v>101431625</v>
      </c>
      <c r="B8777" t="s">
        <v>20117</v>
      </c>
      <c r="C8777" t="s">
        <v>535</v>
      </c>
      <c r="G8777" t="s">
        <v>20118</v>
      </c>
      <c r="H8777" t="s">
        <v>602</v>
      </c>
      <c r="I8777" t="s">
        <v>71</v>
      </c>
      <c r="J8777">
        <v>80021</v>
      </c>
      <c r="K8777">
        <v>6010</v>
      </c>
      <c r="L8777" t="s">
        <v>23</v>
      </c>
      <c r="M8777" t="s">
        <v>20118</v>
      </c>
      <c r="N8777" t="s">
        <v>602</v>
      </c>
      <c r="O8777" t="s">
        <v>71</v>
      </c>
      <c r="P8777">
        <v>80021</v>
      </c>
      <c r="Q8777">
        <v>6010</v>
      </c>
      <c r="R8777" t="s">
        <v>23</v>
      </c>
      <c r="S8777" s="1" t="s">
        <v>34218</v>
      </c>
    </row>
    <row r="8778" spans="1:19" x14ac:dyDescent="0.25">
      <c r="A8778">
        <v>100613355</v>
      </c>
      <c r="B8778" t="s">
        <v>4018</v>
      </c>
      <c r="C8778" t="s">
        <v>911</v>
      </c>
      <c r="G8778" t="s">
        <v>20119</v>
      </c>
      <c r="H8778" t="s">
        <v>6273</v>
      </c>
      <c r="I8778" t="s">
        <v>22</v>
      </c>
      <c r="J8778">
        <v>92869</v>
      </c>
      <c r="K8778">
        <v>1216</v>
      </c>
      <c r="L8778" t="s">
        <v>23</v>
      </c>
      <c r="M8778" t="s">
        <v>20119</v>
      </c>
      <c r="N8778" t="s">
        <v>6273</v>
      </c>
      <c r="O8778" t="s">
        <v>22</v>
      </c>
      <c r="P8778">
        <v>92869</v>
      </c>
      <c r="Q8778">
        <v>1216</v>
      </c>
      <c r="R8778" t="s">
        <v>23</v>
      </c>
      <c r="S8778" s="1" t="s">
        <v>34218</v>
      </c>
    </row>
    <row r="8779" spans="1:19" x14ac:dyDescent="0.25">
      <c r="A8779">
        <v>100759602</v>
      </c>
      <c r="B8779" t="s">
        <v>20120</v>
      </c>
      <c r="C8779" t="s">
        <v>613</v>
      </c>
      <c r="H8779" t="s">
        <v>11875</v>
      </c>
      <c r="I8779" t="s">
        <v>22</v>
      </c>
      <c r="J8779">
        <v>95610</v>
      </c>
      <c r="L8779" t="s">
        <v>23</v>
      </c>
      <c r="N8779" t="s">
        <v>11875</v>
      </c>
      <c r="O8779" t="s">
        <v>22</v>
      </c>
      <c r="P8779">
        <v>95610</v>
      </c>
      <c r="R8779" t="s">
        <v>23</v>
      </c>
      <c r="S8779" s="1" t="s">
        <v>34218</v>
      </c>
    </row>
    <row r="8780" spans="1:19" x14ac:dyDescent="0.25">
      <c r="A8780">
        <v>101393797</v>
      </c>
      <c r="B8780" t="s">
        <v>20121</v>
      </c>
      <c r="C8780" t="s">
        <v>770</v>
      </c>
      <c r="G8780" t="s">
        <v>20122</v>
      </c>
      <c r="H8780" t="s">
        <v>2422</v>
      </c>
      <c r="I8780" t="s">
        <v>255</v>
      </c>
      <c r="J8780">
        <v>24402</v>
      </c>
      <c r="K8780">
        <v>2306</v>
      </c>
      <c r="L8780" t="s">
        <v>23</v>
      </c>
      <c r="M8780" t="s">
        <v>20122</v>
      </c>
      <c r="N8780" t="s">
        <v>2422</v>
      </c>
      <c r="O8780" t="s">
        <v>255</v>
      </c>
      <c r="P8780">
        <v>24402</v>
      </c>
      <c r="Q8780">
        <v>2306</v>
      </c>
      <c r="R8780" t="s">
        <v>23</v>
      </c>
      <c r="S8780" s="1" t="s">
        <v>34218</v>
      </c>
    </row>
    <row r="8781" spans="1:19" x14ac:dyDescent="0.25">
      <c r="A8781">
        <v>101320263</v>
      </c>
      <c r="B8781" t="s">
        <v>20123</v>
      </c>
      <c r="C8781" t="s">
        <v>2108</v>
      </c>
      <c r="G8781" t="s">
        <v>20124</v>
      </c>
      <c r="H8781" t="s">
        <v>1531</v>
      </c>
      <c r="I8781" t="s">
        <v>84</v>
      </c>
      <c r="J8781">
        <v>98102</v>
      </c>
      <c r="K8781">
        <v>3592</v>
      </c>
      <c r="L8781" t="s">
        <v>23</v>
      </c>
      <c r="M8781" t="s">
        <v>20124</v>
      </c>
      <c r="N8781" t="s">
        <v>1531</v>
      </c>
      <c r="O8781" t="s">
        <v>84</v>
      </c>
      <c r="P8781">
        <v>98102</v>
      </c>
      <c r="Q8781">
        <v>3592</v>
      </c>
      <c r="R8781" t="s">
        <v>23</v>
      </c>
      <c r="S8781" s="1" t="s">
        <v>34218</v>
      </c>
    </row>
    <row r="8782" spans="1:19" x14ac:dyDescent="0.25">
      <c r="A8782">
        <v>101246494</v>
      </c>
      <c r="B8782" t="s">
        <v>20125</v>
      </c>
      <c r="C8782" t="s">
        <v>2329</v>
      </c>
      <c r="G8782" t="s">
        <v>20126</v>
      </c>
      <c r="H8782" t="s">
        <v>1531</v>
      </c>
      <c r="I8782" t="s">
        <v>84</v>
      </c>
      <c r="J8782">
        <v>98115</v>
      </c>
      <c r="K8782">
        <v>2917</v>
      </c>
      <c r="L8782" t="s">
        <v>23</v>
      </c>
      <c r="M8782" t="s">
        <v>20126</v>
      </c>
      <c r="N8782" t="s">
        <v>1531</v>
      </c>
      <c r="O8782" t="s">
        <v>84</v>
      </c>
      <c r="P8782">
        <v>98115</v>
      </c>
      <c r="Q8782">
        <v>2917</v>
      </c>
      <c r="R8782" t="s">
        <v>23</v>
      </c>
      <c r="S8782" s="1" t="s">
        <v>34218</v>
      </c>
    </row>
    <row r="8783" spans="1:19" x14ac:dyDescent="0.25">
      <c r="A8783">
        <v>101339977</v>
      </c>
      <c r="B8783" t="s">
        <v>20127</v>
      </c>
      <c r="C8783" t="s">
        <v>907</v>
      </c>
      <c r="G8783" t="s">
        <v>20128</v>
      </c>
      <c r="H8783" t="s">
        <v>1344</v>
      </c>
      <c r="I8783" t="s">
        <v>984</v>
      </c>
      <c r="J8783">
        <v>96778</v>
      </c>
      <c r="K8783">
        <v>8556</v>
      </c>
      <c r="L8783" t="s">
        <v>23</v>
      </c>
      <c r="M8783" t="s">
        <v>20128</v>
      </c>
      <c r="N8783" t="s">
        <v>1344</v>
      </c>
      <c r="O8783" t="s">
        <v>984</v>
      </c>
      <c r="P8783">
        <v>96778</v>
      </c>
      <c r="Q8783">
        <v>8556</v>
      </c>
      <c r="R8783" t="s">
        <v>23</v>
      </c>
      <c r="S8783" s="1" t="s">
        <v>34218</v>
      </c>
    </row>
    <row r="8784" spans="1:19" x14ac:dyDescent="0.25">
      <c r="A8784">
        <v>101284199</v>
      </c>
      <c r="B8784" t="s">
        <v>6683</v>
      </c>
      <c r="C8784" t="s">
        <v>119</v>
      </c>
      <c r="G8784" t="s">
        <v>20129</v>
      </c>
      <c r="H8784" t="s">
        <v>9529</v>
      </c>
      <c r="I8784" t="s">
        <v>38</v>
      </c>
      <c r="J8784">
        <v>76082</v>
      </c>
      <c r="K8784">
        <v>6708</v>
      </c>
      <c r="L8784" t="s">
        <v>23</v>
      </c>
      <c r="M8784" t="s">
        <v>20129</v>
      </c>
      <c r="N8784" t="s">
        <v>9529</v>
      </c>
      <c r="O8784" t="s">
        <v>38</v>
      </c>
      <c r="P8784">
        <v>76082</v>
      </c>
      <c r="Q8784">
        <v>6708</v>
      </c>
      <c r="R8784" t="s">
        <v>23</v>
      </c>
      <c r="S8784" s="1" t="s">
        <v>34218</v>
      </c>
    </row>
    <row r="8785" spans="1:19" x14ac:dyDescent="0.25">
      <c r="A8785">
        <v>101293378</v>
      </c>
      <c r="B8785" t="s">
        <v>465</v>
      </c>
      <c r="C8785" t="s">
        <v>313</v>
      </c>
      <c r="G8785" t="s">
        <v>20130</v>
      </c>
      <c r="H8785" t="s">
        <v>4220</v>
      </c>
      <c r="I8785" t="s">
        <v>662</v>
      </c>
      <c r="J8785">
        <v>2835</v>
      </c>
      <c r="K8785">
        <v>1750</v>
      </c>
      <c r="L8785" t="s">
        <v>23</v>
      </c>
      <c r="M8785" t="s">
        <v>20130</v>
      </c>
      <c r="N8785" t="s">
        <v>4220</v>
      </c>
      <c r="O8785" t="s">
        <v>662</v>
      </c>
      <c r="P8785">
        <v>2835</v>
      </c>
      <c r="Q8785">
        <v>1750</v>
      </c>
      <c r="R8785" t="s">
        <v>23</v>
      </c>
      <c r="S8785" s="1" t="s">
        <v>34218</v>
      </c>
    </row>
    <row r="8786" spans="1:19" x14ac:dyDescent="0.25">
      <c r="A8786">
        <v>100795910</v>
      </c>
      <c r="B8786" t="s">
        <v>9783</v>
      </c>
      <c r="C8786" t="s">
        <v>5868</v>
      </c>
      <c r="G8786" t="s">
        <v>20131</v>
      </c>
      <c r="H8786" t="s">
        <v>401</v>
      </c>
      <c r="I8786" t="s">
        <v>236</v>
      </c>
      <c r="J8786">
        <v>1749</v>
      </c>
      <c r="L8786" t="s">
        <v>23</v>
      </c>
      <c r="M8786" t="s">
        <v>20131</v>
      </c>
      <c r="N8786" t="s">
        <v>401</v>
      </c>
      <c r="O8786" t="s">
        <v>236</v>
      </c>
      <c r="P8786">
        <v>1749</v>
      </c>
      <c r="R8786" t="s">
        <v>23</v>
      </c>
      <c r="S8786" s="1" t="s">
        <v>34218</v>
      </c>
    </row>
    <row r="8787" spans="1:19" x14ac:dyDescent="0.25">
      <c r="A8787">
        <v>101299960</v>
      </c>
      <c r="B8787" t="s">
        <v>6257</v>
      </c>
      <c r="C8787" t="s">
        <v>763</v>
      </c>
      <c r="G8787" t="s">
        <v>20132</v>
      </c>
      <c r="H8787" t="s">
        <v>2309</v>
      </c>
      <c r="I8787" t="s">
        <v>446</v>
      </c>
      <c r="J8787">
        <v>28401</v>
      </c>
      <c r="L8787" t="s">
        <v>23</v>
      </c>
      <c r="M8787" t="s">
        <v>20132</v>
      </c>
      <c r="N8787" t="s">
        <v>2309</v>
      </c>
      <c r="O8787" t="s">
        <v>446</v>
      </c>
      <c r="P8787">
        <v>28401</v>
      </c>
      <c r="R8787" t="s">
        <v>23</v>
      </c>
      <c r="S8787" s="1" t="s">
        <v>34218</v>
      </c>
    </row>
    <row r="8788" spans="1:19" x14ac:dyDescent="0.25">
      <c r="A8788">
        <v>100831501</v>
      </c>
      <c r="B8788" t="s">
        <v>20133</v>
      </c>
      <c r="C8788" t="s">
        <v>102</v>
      </c>
      <c r="F8788" t="str">
        <f>"6168919813"</f>
        <v>6168919813</v>
      </c>
      <c r="G8788" t="s">
        <v>20134</v>
      </c>
      <c r="H8788" t="s">
        <v>9439</v>
      </c>
      <c r="I8788" t="s">
        <v>140</v>
      </c>
      <c r="J8788">
        <v>49316</v>
      </c>
      <c r="K8788">
        <v>54</v>
      </c>
      <c r="L8788" t="s">
        <v>23</v>
      </c>
      <c r="M8788" t="s">
        <v>20134</v>
      </c>
      <c r="N8788" t="s">
        <v>9439</v>
      </c>
      <c r="O8788" t="s">
        <v>140</v>
      </c>
      <c r="P8788">
        <v>49316</v>
      </c>
      <c r="Q8788">
        <v>54</v>
      </c>
      <c r="R8788" t="s">
        <v>23</v>
      </c>
      <c r="S8788" s="1" t="s">
        <v>34218</v>
      </c>
    </row>
    <row r="8789" spans="1:19" x14ac:dyDescent="0.25">
      <c r="A8789">
        <v>100837392</v>
      </c>
      <c r="B8789" t="s">
        <v>20135</v>
      </c>
      <c r="C8789" t="s">
        <v>627</v>
      </c>
      <c r="G8789" t="s">
        <v>20136</v>
      </c>
      <c r="H8789" t="s">
        <v>3142</v>
      </c>
      <c r="I8789" t="s">
        <v>236</v>
      </c>
      <c r="J8789">
        <v>2472</v>
      </c>
      <c r="K8789">
        <v>2512</v>
      </c>
      <c r="L8789" t="s">
        <v>23</v>
      </c>
      <c r="M8789" t="s">
        <v>20136</v>
      </c>
      <c r="N8789" t="s">
        <v>3142</v>
      </c>
      <c r="O8789" t="s">
        <v>236</v>
      </c>
      <c r="P8789">
        <v>2472</v>
      </c>
      <c r="Q8789">
        <v>2512</v>
      </c>
      <c r="R8789" t="s">
        <v>23</v>
      </c>
      <c r="S8789" s="1" t="s">
        <v>34218</v>
      </c>
    </row>
    <row r="8790" spans="1:19" x14ac:dyDescent="0.25">
      <c r="A8790">
        <v>100837645</v>
      </c>
      <c r="B8790" t="s">
        <v>4298</v>
      </c>
      <c r="C8790" t="s">
        <v>20137</v>
      </c>
      <c r="F8790" t="str">
        <f>"5122605056"</f>
        <v>5122605056</v>
      </c>
      <c r="G8790" t="s">
        <v>20138</v>
      </c>
      <c r="H8790" t="s">
        <v>20139</v>
      </c>
      <c r="I8790" t="s">
        <v>38</v>
      </c>
      <c r="J8790">
        <v>78641</v>
      </c>
      <c r="K8790">
        <v>8015</v>
      </c>
      <c r="L8790" t="s">
        <v>23</v>
      </c>
      <c r="M8790" t="s">
        <v>20138</v>
      </c>
      <c r="N8790" t="s">
        <v>20139</v>
      </c>
      <c r="O8790" t="s">
        <v>38</v>
      </c>
      <c r="P8790">
        <v>78641</v>
      </c>
      <c r="Q8790">
        <v>8015</v>
      </c>
      <c r="R8790" t="s">
        <v>23</v>
      </c>
      <c r="S8790" s="1" t="s">
        <v>34218</v>
      </c>
    </row>
    <row r="8791" spans="1:19" x14ac:dyDescent="0.25">
      <c r="A8791">
        <v>100835052</v>
      </c>
      <c r="B8791" t="s">
        <v>20140</v>
      </c>
      <c r="C8791" t="s">
        <v>1933</v>
      </c>
      <c r="G8791" t="s">
        <v>20141</v>
      </c>
      <c r="H8791" t="s">
        <v>20142</v>
      </c>
      <c r="I8791" t="s">
        <v>1482</v>
      </c>
      <c r="J8791">
        <v>29488</v>
      </c>
      <c r="K8791">
        <v>3142</v>
      </c>
      <c r="L8791" t="s">
        <v>23</v>
      </c>
      <c r="M8791" t="s">
        <v>20141</v>
      </c>
      <c r="N8791" t="s">
        <v>20142</v>
      </c>
      <c r="O8791" t="s">
        <v>1482</v>
      </c>
      <c r="P8791">
        <v>29488</v>
      </c>
      <c r="Q8791">
        <v>3142</v>
      </c>
      <c r="R8791" t="s">
        <v>23</v>
      </c>
      <c r="S8791" s="1" t="s">
        <v>34218</v>
      </c>
    </row>
    <row r="8792" spans="1:19" x14ac:dyDescent="0.25">
      <c r="A8792">
        <v>100994378</v>
      </c>
      <c r="B8792" t="s">
        <v>8237</v>
      </c>
      <c r="C8792" t="s">
        <v>20143</v>
      </c>
      <c r="G8792" t="s">
        <v>20144</v>
      </c>
      <c r="H8792" t="s">
        <v>3142</v>
      </c>
      <c r="I8792" t="s">
        <v>161</v>
      </c>
      <c r="J8792">
        <v>6795</v>
      </c>
      <c r="K8792">
        <v>2413</v>
      </c>
      <c r="L8792" t="s">
        <v>23</v>
      </c>
      <c r="M8792" t="s">
        <v>20144</v>
      </c>
      <c r="N8792" t="s">
        <v>3142</v>
      </c>
      <c r="O8792" t="s">
        <v>161</v>
      </c>
      <c r="P8792">
        <v>6795</v>
      </c>
      <c r="Q8792">
        <v>2413</v>
      </c>
      <c r="R8792" t="s">
        <v>23</v>
      </c>
      <c r="S8792" s="1" t="s">
        <v>34218</v>
      </c>
    </row>
    <row r="8793" spans="1:19" x14ac:dyDescent="0.25">
      <c r="A8793">
        <v>100993656</v>
      </c>
      <c r="B8793" t="s">
        <v>205</v>
      </c>
      <c r="C8793" t="s">
        <v>5477</v>
      </c>
      <c r="G8793" t="s">
        <v>20145</v>
      </c>
      <c r="H8793" t="s">
        <v>573</v>
      </c>
      <c r="I8793" t="s">
        <v>33</v>
      </c>
      <c r="J8793">
        <v>19128</v>
      </c>
      <c r="K8793">
        <v>2705</v>
      </c>
      <c r="L8793" t="s">
        <v>23</v>
      </c>
      <c r="M8793" t="s">
        <v>20145</v>
      </c>
      <c r="N8793" t="s">
        <v>573</v>
      </c>
      <c r="O8793" t="s">
        <v>33</v>
      </c>
      <c r="P8793">
        <v>19128</v>
      </c>
      <c r="Q8793">
        <v>2705</v>
      </c>
      <c r="R8793" t="s">
        <v>23</v>
      </c>
      <c r="S8793" s="1" t="s">
        <v>34218</v>
      </c>
    </row>
    <row r="8794" spans="1:19" x14ac:dyDescent="0.25">
      <c r="A8794">
        <v>100994393</v>
      </c>
      <c r="B8794" t="s">
        <v>20146</v>
      </c>
      <c r="C8794" t="s">
        <v>329</v>
      </c>
      <c r="G8794" t="s">
        <v>20147</v>
      </c>
      <c r="H8794" t="s">
        <v>1845</v>
      </c>
      <c r="I8794" t="s">
        <v>161</v>
      </c>
      <c r="J8794">
        <v>6488</v>
      </c>
      <c r="K8794">
        <v>1222</v>
      </c>
      <c r="L8794" t="s">
        <v>23</v>
      </c>
      <c r="M8794" t="s">
        <v>20147</v>
      </c>
      <c r="N8794" t="s">
        <v>1845</v>
      </c>
      <c r="O8794" t="s">
        <v>161</v>
      </c>
      <c r="P8794">
        <v>6488</v>
      </c>
      <c r="Q8794">
        <v>1222</v>
      </c>
      <c r="R8794" t="s">
        <v>23</v>
      </c>
      <c r="S8794" s="1" t="s">
        <v>34218</v>
      </c>
    </row>
    <row r="8795" spans="1:19" x14ac:dyDescent="0.25">
      <c r="A8795">
        <v>100995440</v>
      </c>
      <c r="B8795" t="s">
        <v>20148</v>
      </c>
      <c r="C8795" t="s">
        <v>1452</v>
      </c>
      <c r="F8795" t="str">
        <f>"6174794552"</f>
        <v>6174794552</v>
      </c>
      <c r="G8795" t="s">
        <v>20149</v>
      </c>
      <c r="H8795" t="s">
        <v>892</v>
      </c>
      <c r="I8795" t="s">
        <v>236</v>
      </c>
      <c r="J8795">
        <v>2169</v>
      </c>
      <c r="K8795">
        <v>5638</v>
      </c>
      <c r="L8795" t="s">
        <v>23</v>
      </c>
      <c r="M8795" t="s">
        <v>20149</v>
      </c>
      <c r="N8795" t="s">
        <v>892</v>
      </c>
      <c r="O8795" t="s">
        <v>236</v>
      </c>
      <c r="P8795">
        <v>2169</v>
      </c>
      <c r="Q8795">
        <v>5638</v>
      </c>
      <c r="R8795" t="s">
        <v>23</v>
      </c>
      <c r="S8795" s="1" t="s">
        <v>34218</v>
      </c>
    </row>
    <row r="8796" spans="1:19" x14ac:dyDescent="0.25">
      <c r="A8796">
        <v>100995676</v>
      </c>
      <c r="B8796" t="s">
        <v>328</v>
      </c>
      <c r="C8796" t="s">
        <v>286</v>
      </c>
      <c r="G8796" t="s">
        <v>20150</v>
      </c>
      <c r="H8796" t="s">
        <v>6273</v>
      </c>
      <c r="I8796" t="s">
        <v>161</v>
      </c>
      <c r="J8796">
        <v>6477</v>
      </c>
      <c r="K8796">
        <v>2030</v>
      </c>
      <c r="L8796" t="s">
        <v>23</v>
      </c>
      <c r="M8796" t="s">
        <v>20150</v>
      </c>
      <c r="N8796" t="s">
        <v>6273</v>
      </c>
      <c r="O8796" t="s">
        <v>161</v>
      </c>
      <c r="P8796">
        <v>6477</v>
      </c>
      <c r="Q8796">
        <v>2030</v>
      </c>
      <c r="R8796" t="s">
        <v>23</v>
      </c>
      <c r="S8796" s="1" t="s">
        <v>34218</v>
      </c>
    </row>
    <row r="8797" spans="1:19" x14ac:dyDescent="0.25">
      <c r="A8797">
        <v>100997372</v>
      </c>
      <c r="B8797" t="s">
        <v>10326</v>
      </c>
      <c r="C8797" t="s">
        <v>5868</v>
      </c>
      <c r="G8797" t="s">
        <v>20151</v>
      </c>
      <c r="H8797" t="s">
        <v>20152</v>
      </c>
      <c r="I8797" t="s">
        <v>140</v>
      </c>
      <c r="J8797">
        <v>48021</v>
      </c>
      <c r="K8797">
        <v>2237</v>
      </c>
      <c r="L8797" t="s">
        <v>23</v>
      </c>
      <c r="M8797" t="s">
        <v>20151</v>
      </c>
      <c r="N8797" t="s">
        <v>20152</v>
      </c>
      <c r="O8797" t="s">
        <v>140</v>
      </c>
      <c r="P8797">
        <v>48021</v>
      </c>
      <c r="Q8797">
        <v>2237</v>
      </c>
      <c r="R8797" t="s">
        <v>23</v>
      </c>
      <c r="S8797" s="1" t="s">
        <v>34218</v>
      </c>
    </row>
    <row r="8798" spans="1:19" x14ac:dyDescent="0.25">
      <c r="A8798">
        <v>100990854</v>
      </c>
      <c r="B8798" t="s">
        <v>20153</v>
      </c>
      <c r="C8798" t="s">
        <v>1632</v>
      </c>
      <c r="G8798" t="s">
        <v>20154</v>
      </c>
      <c r="H8798" t="s">
        <v>20155</v>
      </c>
      <c r="I8798" t="s">
        <v>71</v>
      </c>
      <c r="J8798">
        <v>81224</v>
      </c>
      <c r="L8798" t="s">
        <v>23</v>
      </c>
      <c r="M8798" t="s">
        <v>20154</v>
      </c>
      <c r="N8798" t="s">
        <v>20155</v>
      </c>
      <c r="O8798" t="s">
        <v>71</v>
      </c>
      <c r="P8798">
        <v>81224</v>
      </c>
      <c r="R8798" t="s">
        <v>23</v>
      </c>
      <c r="S8798" s="1" t="s">
        <v>34218</v>
      </c>
    </row>
    <row r="8799" spans="1:19" x14ac:dyDescent="0.25">
      <c r="A8799">
        <v>101001993</v>
      </c>
      <c r="B8799" t="s">
        <v>744</v>
      </c>
      <c r="C8799" t="s">
        <v>20156</v>
      </c>
      <c r="G8799" t="s">
        <v>20157</v>
      </c>
      <c r="H8799" t="s">
        <v>11716</v>
      </c>
      <c r="I8799" t="s">
        <v>250</v>
      </c>
      <c r="J8799">
        <v>8332</v>
      </c>
      <c r="K8799">
        <v>7936</v>
      </c>
      <c r="L8799" t="s">
        <v>23</v>
      </c>
      <c r="M8799" t="s">
        <v>20157</v>
      </c>
      <c r="N8799" t="s">
        <v>11716</v>
      </c>
      <c r="O8799" t="s">
        <v>250</v>
      </c>
      <c r="P8799">
        <v>8332</v>
      </c>
      <c r="Q8799">
        <v>7936</v>
      </c>
      <c r="R8799" t="s">
        <v>23</v>
      </c>
      <c r="S8799" s="1" t="s">
        <v>34218</v>
      </c>
    </row>
    <row r="8800" spans="1:19" x14ac:dyDescent="0.25">
      <c r="A8800">
        <v>101001534</v>
      </c>
      <c r="B8800" t="s">
        <v>20158</v>
      </c>
      <c r="C8800" t="s">
        <v>14132</v>
      </c>
      <c r="G8800" t="s">
        <v>20159</v>
      </c>
      <c r="H8800" t="s">
        <v>20160</v>
      </c>
      <c r="I8800" t="s">
        <v>250</v>
      </c>
      <c r="J8800">
        <v>8070</v>
      </c>
      <c r="L8800" t="s">
        <v>23</v>
      </c>
      <c r="M8800" t="s">
        <v>20159</v>
      </c>
      <c r="N8800" t="s">
        <v>20160</v>
      </c>
      <c r="O8800" t="s">
        <v>250</v>
      </c>
      <c r="P8800">
        <v>8070</v>
      </c>
      <c r="R8800" t="s">
        <v>23</v>
      </c>
      <c r="S8800" s="1" t="s">
        <v>34218</v>
      </c>
    </row>
    <row r="8801" spans="1:19" x14ac:dyDescent="0.25">
      <c r="A8801">
        <v>101006934</v>
      </c>
      <c r="B8801" t="s">
        <v>20161</v>
      </c>
      <c r="C8801" t="s">
        <v>1873</v>
      </c>
      <c r="G8801" t="s">
        <v>20162</v>
      </c>
      <c r="H8801" t="s">
        <v>650</v>
      </c>
      <c r="I8801" t="s">
        <v>22</v>
      </c>
      <c r="J8801">
        <v>95821</v>
      </c>
      <c r="K8801">
        <v>5642</v>
      </c>
      <c r="L8801" t="s">
        <v>23</v>
      </c>
      <c r="M8801" t="s">
        <v>20162</v>
      </c>
      <c r="N8801" t="s">
        <v>650</v>
      </c>
      <c r="O8801" t="s">
        <v>22</v>
      </c>
      <c r="P8801">
        <v>95821</v>
      </c>
      <c r="Q8801">
        <v>5642</v>
      </c>
      <c r="R8801" t="s">
        <v>23</v>
      </c>
      <c r="S8801" s="1" t="s">
        <v>34218</v>
      </c>
    </row>
    <row r="8802" spans="1:19" x14ac:dyDescent="0.25">
      <c r="A8802">
        <v>101014218</v>
      </c>
      <c r="B8802" t="s">
        <v>10903</v>
      </c>
      <c r="C8802" t="s">
        <v>1218</v>
      </c>
      <c r="G8802" t="s">
        <v>20163</v>
      </c>
      <c r="H8802" t="s">
        <v>1452</v>
      </c>
      <c r="I8802" t="s">
        <v>43</v>
      </c>
      <c r="J8802">
        <v>97405</v>
      </c>
      <c r="K8802">
        <v>9416</v>
      </c>
      <c r="L8802" t="s">
        <v>23</v>
      </c>
      <c r="M8802" t="s">
        <v>20163</v>
      </c>
      <c r="N8802" t="s">
        <v>1452</v>
      </c>
      <c r="O8802" t="s">
        <v>43</v>
      </c>
      <c r="P8802">
        <v>97405</v>
      </c>
      <c r="Q8802">
        <v>9416</v>
      </c>
      <c r="R8802" t="s">
        <v>23</v>
      </c>
      <c r="S8802" s="1" t="s">
        <v>34218</v>
      </c>
    </row>
    <row r="8803" spans="1:19" x14ac:dyDescent="0.25">
      <c r="A8803">
        <v>101014679</v>
      </c>
      <c r="B8803" t="s">
        <v>20164</v>
      </c>
      <c r="C8803" t="s">
        <v>123</v>
      </c>
      <c r="G8803" t="s">
        <v>20165</v>
      </c>
      <c r="H8803" t="s">
        <v>1412</v>
      </c>
      <c r="I8803" t="s">
        <v>52</v>
      </c>
      <c r="J8803">
        <v>32828</v>
      </c>
      <c r="K8803">
        <v>8417</v>
      </c>
      <c r="L8803" t="s">
        <v>23</v>
      </c>
      <c r="M8803" t="s">
        <v>20165</v>
      </c>
      <c r="N8803" t="s">
        <v>1412</v>
      </c>
      <c r="O8803" t="s">
        <v>52</v>
      </c>
      <c r="P8803">
        <v>32828</v>
      </c>
      <c r="Q8803">
        <v>8417</v>
      </c>
      <c r="R8803" t="s">
        <v>23</v>
      </c>
      <c r="S8803" s="1" t="s">
        <v>34218</v>
      </c>
    </row>
    <row r="8804" spans="1:19" x14ac:dyDescent="0.25">
      <c r="A8804">
        <v>101200257</v>
      </c>
      <c r="B8804" t="s">
        <v>20166</v>
      </c>
      <c r="C8804" t="s">
        <v>216</v>
      </c>
      <c r="G8804" t="s">
        <v>20167</v>
      </c>
      <c r="H8804" t="s">
        <v>20168</v>
      </c>
      <c r="I8804" t="s">
        <v>22</v>
      </c>
      <c r="J8804">
        <v>91351</v>
      </c>
      <c r="K8804">
        <v>1119</v>
      </c>
      <c r="L8804" t="s">
        <v>23</v>
      </c>
      <c r="M8804" t="s">
        <v>20167</v>
      </c>
      <c r="N8804" t="s">
        <v>20168</v>
      </c>
      <c r="O8804" t="s">
        <v>22</v>
      </c>
      <c r="P8804">
        <v>91351</v>
      </c>
      <c r="Q8804">
        <v>1119</v>
      </c>
      <c r="R8804" t="s">
        <v>23</v>
      </c>
      <c r="S8804" s="1" t="s">
        <v>34218</v>
      </c>
    </row>
    <row r="8805" spans="1:19" x14ac:dyDescent="0.25">
      <c r="A8805">
        <v>101193012</v>
      </c>
      <c r="B8805" t="s">
        <v>20169</v>
      </c>
      <c r="C8805" t="s">
        <v>4218</v>
      </c>
      <c r="G8805" t="s">
        <v>20170</v>
      </c>
      <c r="H8805" t="s">
        <v>20171</v>
      </c>
      <c r="I8805" t="s">
        <v>446</v>
      </c>
      <c r="J8805">
        <v>27974</v>
      </c>
      <c r="K8805">
        <v>7203</v>
      </c>
      <c r="L8805" t="s">
        <v>23</v>
      </c>
      <c r="M8805" t="s">
        <v>20170</v>
      </c>
      <c r="N8805" t="s">
        <v>20171</v>
      </c>
      <c r="O8805" t="s">
        <v>446</v>
      </c>
      <c r="P8805">
        <v>27974</v>
      </c>
      <c r="Q8805">
        <v>7203</v>
      </c>
      <c r="R8805" t="s">
        <v>23</v>
      </c>
      <c r="S8805" s="1" t="s">
        <v>34218</v>
      </c>
    </row>
    <row r="8806" spans="1:19" x14ac:dyDescent="0.25">
      <c r="A8806">
        <v>101208486</v>
      </c>
      <c r="B8806" t="s">
        <v>12046</v>
      </c>
      <c r="C8806" t="s">
        <v>132</v>
      </c>
      <c r="G8806" t="s">
        <v>20172</v>
      </c>
      <c r="H8806" t="s">
        <v>2514</v>
      </c>
      <c r="I8806" t="s">
        <v>236</v>
      </c>
      <c r="J8806">
        <v>2132</v>
      </c>
      <c r="K8806">
        <v>2015</v>
      </c>
      <c r="L8806" t="s">
        <v>23</v>
      </c>
      <c r="M8806" t="s">
        <v>20172</v>
      </c>
      <c r="N8806" t="s">
        <v>2514</v>
      </c>
      <c r="O8806" t="s">
        <v>236</v>
      </c>
      <c r="P8806">
        <v>2132</v>
      </c>
      <c r="Q8806">
        <v>2015</v>
      </c>
      <c r="R8806" t="s">
        <v>23</v>
      </c>
      <c r="S8806" s="1" t="s">
        <v>34218</v>
      </c>
    </row>
    <row r="8807" spans="1:19" x14ac:dyDescent="0.25">
      <c r="A8807">
        <v>101206135</v>
      </c>
      <c r="B8807" t="s">
        <v>3583</v>
      </c>
      <c r="C8807" t="s">
        <v>20173</v>
      </c>
      <c r="G8807" t="s">
        <v>20174</v>
      </c>
      <c r="H8807" t="s">
        <v>5037</v>
      </c>
      <c r="I8807" t="s">
        <v>236</v>
      </c>
      <c r="J8807">
        <v>2478</v>
      </c>
      <c r="K8807">
        <v>3630</v>
      </c>
      <c r="L8807" t="s">
        <v>23</v>
      </c>
      <c r="M8807" t="s">
        <v>20174</v>
      </c>
      <c r="N8807" t="s">
        <v>5037</v>
      </c>
      <c r="O8807" t="s">
        <v>236</v>
      </c>
      <c r="P8807">
        <v>2478</v>
      </c>
      <c r="Q8807">
        <v>3630</v>
      </c>
      <c r="R8807" t="s">
        <v>23</v>
      </c>
      <c r="S8807" s="1" t="s">
        <v>34218</v>
      </c>
    </row>
    <row r="8808" spans="1:19" x14ac:dyDescent="0.25">
      <c r="A8808">
        <v>101206110</v>
      </c>
      <c r="B8808" t="s">
        <v>20175</v>
      </c>
      <c r="C8808" t="s">
        <v>2047</v>
      </c>
      <c r="G8808" t="s">
        <v>20176</v>
      </c>
      <c r="H8808" t="s">
        <v>20177</v>
      </c>
      <c r="I8808" t="s">
        <v>117</v>
      </c>
      <c r="J8808">
        <v>11961</v>
      </c>
      <c r="K8808">
        <v>2009</v>
      </c>
      <c r="L8808" t="s">
        <v>23</v>
      </c>
      <c r="M8808" t="s">
        <v>20176</v>
      </c>
      <c r="N8808" t="s">
        <v>20177</v>
      </c>
      <c r="O8808" t="s">
        <v>117</v>
      </c>
      <c r="P8808">
        <v>11961</v>
      </c>
      <c r="Q8808">
        <v>2009</v>
      </c>
      <c r="R8808" t="s">
        <v>23</v>
      </c>
      <c r="S8808" s="1" t="s">
        <v>34218</v>
      </c>
    </row>
    <row r="8809" spans="1:19" x14ac:dyDescent="0.25">
      <c r="A8809">
        <v>101211244</v>
      </c>
      <c r="B8809" t="s">
        <v>2689</v>
      </c>
      <c r="C8809" t="s">
        <v>20178</v>
      </c>
      <c r="G8809" t="s">
        <v>20179</v>
      </c>
      <c r="H8809" t="s">
        <v>1647</v>
      </c>
      <c r="I8809" t="s">
        <v>187</v>
      </c>
      <c r="J8809">
        <v>55386</v>
      </c>
      <c r="K8809">
        <v>4518</v>
      </c>
      <c r="L8809" t="s">
        <v>23</v>
      </c>
      <c r="M8809" t="s">
        <v>20179</v>
      </c>
      <c r="N8809" t="s">
        <v>1647</v>
      </c>
      <c r="O8809" t="s">
        <v>187</v>
      </c>
      <c r="P8809">
        <v>55386</v>
      </c>
      <c r="Q8809">
        <v>4518</v>
      </c>
      <c r="R8809" t="s">
        <v>23</v>
      </c>
      <c r="S8809" s="1" t="s">
        <v>34218</v>
      </c>
    </row>
    <row r="8810" spans="1:19" x14ac:dyDescent="0.25">
      <c r="A8810">
        <v>101217492</v>
      </c>
      <c r="B8810" t="s">
        <v>20180</v>
      </c>
      <c r="C8810" t="s">
        <v>81</v>
      </c>
      <c r="G8810" t="s">
        <v>20181</v>
      </c>
      <c r="H8810" t="s">
        <v>20182</v>
      </c>
      <c r="I8810" t="s">
        <v>100</v>
      </c>
      <c r="J8810">
        <v>53555</v>
      </c>
      <c r="K8810">
        <v>1216</v>
      </c>
      <c r="L8810" t="s">
        <v>23</v>
      </c>
      <c r="M8810" t="s">
        <v>20181</v>
      </c>
      <c r="N8810" t="s">
        <v>20182</v>
      </c>
      <c r="O8810" t="s">
        <v>100</v>
      </c>
      <c r="P8810">
        <v>53555</v>
      </c>
      <c r="Q8810">
        <v>1216</v>
      </c>
      <c r="R8810" t="s">
        <v>23</v>
      </c>
      <c r="S8810" s="1" t="s">
        <v>34218</v>
      </c>
    </row>
    <row r="8811" spans="1:19" x14ac:dyDescent="0.25">
      <c r="A8811">
        <v>101211916</v>
      </c>
      <c r="B8811" t="s">
        <v>76</v>
      </c>
      <c r="C8811" t="s">
        <v>155</v>
      </c>
      <c r="G8811" t="s">
        <v>20183</v>
      </c>
      <c r="H8811" t="s">
        <v>2391</v>
      </c>
      <c r="I8811" t="s">
        <v>43</v>
      </c>
      <c r="J8811">
        <v>97707</v>
      </c>
      <c r="K8811">
        <v>2728</v>
      </c>
      <c r="L8811" t="s">
        <v>23</v>
      </c>
      <c r="M8811" t="s">
        <v>20183</v>
      </c>
      <c r="N8811" t="s">
        <v>2391</v>
      </c>
      <c r="O8811" t="s">
        <v>43</v>
      </c>
      <c r="P8811">
        <v>97707</v>
      </c>
      <c r="Q8811">
        <v>2728</v>
      </c>
      <c r="R8811" t="s">
        <v>23</v>
      </c>
      <c r="S8811" s="1" t="s">
        <v>34218</v>
      </c>
    </row>
    <row r="8812" spans="1:19" x14ac:dyDescent="0.25">
      <c r="A8812">
        <v>101217620</v>
      </c>
      <c r="B8812" t="s">
        <v>20184</v>
      </c>
      <c r="C8812" t="s">
        <v>20185</v>
      </c>
      <c r="G8812" t="s">
        <v>20186</v>
      </c>
      <c r="H8812" t="s">
        <v>14725</v>
      </c>
      <c r="I8812" t="s">
        <v>191</v>
      </c>
      <c r="J8812">
        <v>4843</v>
      </c>
      <c r="K8812">
        <v>4106</v>
      </c>
      <c r="L8812" t="s">
        <v>23</v>
      </c>
      <c r="M8812" t="s">
        <v>20186</v>
      </c>
      <c r="N8812" t="s">
        <v>14725</v>
      </c>
      <c r="O8812" t="s">
        <v>191</v>
      </c>
      <c r="P8812">
        <v>4843</v>
      </c>
      <c r="Q8812">
        <v>4106</v>
      </c>
      <c r="R8812" t="s">
        <v>23</v>
      </c>
      <c r="S8812" s="1" t="s">
        <v>34218</v>
      </c>
    </row>
    <row r="8813" spans="1:19" x14ac:dyDescent="0.25">
      <c r="A8813">
        <v>101216004</v>
      </c>
      <c r="B8813" t="s">
        <v>377</v>
      </c>
      <c r="C8813" t="s">
        <v>483</v>
      </c>
      <c r="G8813" t="s">
        <v>20187</v>
      </c>
      <c r="H8813" t="s">
        <v>20188</v>
      </c>
      <c r="I8813" t="s">
        <v>22</v>
      </c>
      <c r="J8813">
        <v>93420</v>
      </c>
      <c r="K8813">
        <v>5506</v>
      </c>
      <c r="L8813" t="s">
        <v>23</v>
      </c>
      <c r="M8813" t="s">
        <v>20187</v>
      </c>
      <c r="N8813" t="s">
        <v>20188</v>
      </c>
      <c r="O8813" t="s">
        <v>22</v>
      </c>
      <c r="P8813">
        <v>93420</v>
      </c>
      <c r="Q8813">
        <v>5506</v>
      </c>
      <c r="R8813" t="s">
        <v>23</v>
      </c>
      <c r="S8813" s="1" t="s">
        <v>34218</v>
      </c>
    </row>
    <row r="8814" spans="1:19" x14ac:dyDescent="0.25">
      <c r="A8814">
        <v>101222423</v>
      </c>
      <c r="B8814" t="s">
        <v>20189</v>
      </c>
      <c r="C8814" t="s">
        <v>2653</v>
      </c>
      <c r="G8814" t="s">
        <v>20190</v>
      </c>
      <c r="H8814" t="s">
        <v>20191</v>
      </c>
      <c r="I8814" t="s">
        <v>52</v>
      </c>
      <c r="J8814">
        <v>34221</v>
      </c>
      <c r="K8814">
        <v>3483</v>
      </c>
      <c r="L8814" t="s">
        <v>23</v>
      </c>
      <c r="M8814" t="s">
        <v>20190</v>
      </c>
      <c r="N8814" t="s">
        <v>20191</v>
      </c>
      <c r="O8814" t="s">
        <v>52</v>
      </c>
      <c r="P8814">
        <v>34221</v>
      </c>
      <c r="Q8814">
        <v>3483</v>
      </c>
      <c r="R8814" t="s">
        <v>23</v>
      </c>
      <c r="S8814" s="1" t="s">
        <v>34218</v>
      </c>
    </row>
    <row r="8815" spans="1:19" x14ac:dyDescent="0.25">
      <c r="A8815">
        <v>101222264</v>
      </c>
      <c r="B8815" t="s">
        <v>13865</v>
      </c>
      <c r="C8815" t="s">
        <v>1873</v>
      </c>
      <c r="G8815" t="s">
        <v>20192</v>
      </c>
      <c r="H8815" t="s">
        <v>20193</v>
      </c>
      <c r="I8815" t="s">
        <v>178</v>
      </c>
      <c r="J8815">
        <v>44233</v>
      </c>
      <c r="K8815">
        <v>9586</v>
      </c>
      <c r="L8815" t="s">
        <v>23</v>
      </c>
      <c r="M8815" t="s">
        <v>20192</v>
      </c>
      <c r="N8815" t="s">
        <v>20193</v>
      </c>
      <c r="O8815" t="s">
        <v>178</v>
      </c>
      <c r="P8815">
        <v>44233</v>
      </c>
      <c r="Q8815">
        <v>9586</v>
      </c>
      <c r="R8815" t="s">
        <v>23</v>
      </c>
      <c r="S8815" s="1" t="s">
        <v>34218</v>
      </c>
    </row>
    <row r="8816" spans="1:19" x14ac:dyDescent="0.25">
      <c r="A8816">
        <v>101220028</v>
      </c>
      <c r="B8816" t="s">
        <v>20194</v>
      </c>
      <c r="C8816" t="s">
        <v>403</v>
      </c>
      <c r="G8816" t="s">
        <v>20195</v>
      </c>
      <c r="H8816" t="s">
        <v>20096</v>
      </c>
      <c r="I8816" t="s">
        <v>140</v>
      </c>
      <c r="J8816">
        <v>48185</v>
      </c>
      <c r="K8816">
        <v>2634</v>
      </c>
      <c r="L8816" t="s">
        <v>23</v>
      </c>
      <c r="M8816" t="s">
        <v>20195</v>
      </c>
      <c r="N8816" t="s">
        <v>20096</v>
      </c>
      <c r="O8816" t="s">
        <v>140</v>
      </c>
      <c r="P8816">
        <v>48185</v>
      </c>
      <c r="Q8816">
        <v>2634</v>
      </c>
      <c r="R8816" t="s">
        <v>23</v>
      </c>
      <c r="S8816" s="1" t="s">
        <v>34218</v>
      </c>
    </row>
    <row r="8817" spans="1:19" x14ac:dyDescent="0.25">
      <c r="A8817">
        <v>101223165</v>
      </c>
      <c r="B8817" t="s">
        <v>2616</v>
      </c>
      <c r="C8817" t="s">
        <v>155</v>
      </c>
      <c r="G8817" t="s">
        <v>20196</v>
      </c>
      <c r="H8817" t="s">
        <v>573</v>
      </c>
      <c r="I8817" t="s">
        <v>33</v>
      </c>
      <c r="J8817">
        <v>19103</v>
      </c>
      <c r="K8817">
        <v>6476</v>
      </c>
      <c r="L8817" t="s">
        <v>23</v>
      </c>
      <c r="M8817" t="s">
        <v>20196</v>
      </c>
      <c r="N8817" t="s">
        <v>573</v>
      </c>
      <c r="O8817" t="s">
        <v>33</v>
      </c>
      <c r="P8817">
        <v>19103</v>
      </c>
      <c r="Q8817">
        <v>6476</v>
      </c>
      <c r="R8817" t="s">
        <v>23</v>
      </c>
      <c r="S8817" s="1" t="s">
        <v>34218</v>
      </c>
    </row>
    <row r="8818" spans="1:19" x14ac:dyDescent="0.25">
      <c r="A8818">
        <v>101224814</v>
      </c>
      <c r="B8818" t="s">
        <v>20197</v>
      </c>
      <c r="C8818" t="s">
        <v>17838</v>
      </c>
      <c r="F8818" t="str">
        <f>"4045788234"</f>
        <v>4045788234</v>
      </c>
      <c r="G8818" t="s">
        <v>20198</v>
      </c>
      <c r="H8818" t="s">
        <v>20199</v>
      </c>
      <c r="I8818" t="s">
        <v>28</v>
      </c>
      <c r="J8818">
        <v>30083</v>
      </c>
      <c r="K8818">
        <v>4050</v>
      </c>
      <c r="L8818" t="s">
        <v>23</v>
      </c>
      <c r="M8818" t="s">
        <v>20198</v>
      </c>
      <c r="N8818" t="s">
        <v>20199</v>
      </c>
      <c r="O8818" t="s">
        <v>28</v>
      </c>
      <c r="P8818">
        <v>30083</v>
      </c>
      <c r="Q8818">
        <v>4050</v>
      </c>
      <c r="R8818" t="s">
        <v>23</v>
      </c>
      <c r="S8818" s="1" t="s">
        <v>34218</v>
      </c>
    </row>
    <row r="8819" spans="1:19" x14ac:dyDescent="0.25">
      <c r="A8819">
        <v>101230154</v>
      </c>
      <c r="B8819" t="s">
        <v>20200</v>
      </c>
      <c r="C8819" t="s">
        <v>2420</v>
      </c>
      <c r="G8819" t="s">
        <v>20201</v>
      </c>
      <c r="H8819" t="s">
        <v>8225</v>
      </c>
      <c r="I8819" t="s">
        <v>1097</v>
      </c>
      <c r="J8819">
        <v>40601</v>
      </c>
      <c r="K8819">
        <v>9663</v>
      </c>
      <c r="L8819" t="s">
        <v>23</v>
      </c>
      <c r="M8819" t="s">
        <v>20201</v>
      </c>
      <c r="N8819" t="s">
        <v>8225</v>
      </c>
      <c r="O8819" t="s">
        <v>1097</v>
      </c>
      <c r="P8819">
        <v>40601</v>
      </c>
      <c r="Q8819">
        <v>9663</v>
      </c>
      <c r="R8819" t="s">
        <v>23</v>
      </c>
      <c r="S8819" s="1" t="s">
        <v>34218</v>
      </c>
    </row>
    <row r="8820" spans="1:19" x14ac:dyDescent="0.25">
      <c r="A8820">
        <v>101225173</v>
      </c>
      <c r="B8820" t="s">
        <v>20202</v>
      </c>
      <c r="C8820" t="s">
        <v>4273</v>
      </c>
      <c r="G8820" t="s">
        <v>20203</v>
      </c>
      <c r="H8820" t="s">
        <v>143</v>
      </c>
      <c r="I8820" t="s">
        <v>52</v>
      </c>
      <c r="J8820">
        <v>32205</v>
      </c>
      <c r="K8820">
        <v>9103</v>
      </c>
      <c r="L8820" t="s">
        <v>23</v>
      </c>
      <c r="M8820" t="s">
        <v>20203</v>
      </c>
      <c r="N8820" t="s">
        <v>143</v>
      </c>
      <c r="O8820" t="s">
        <v>52</v>
      </c>
      <c r="P8820">
        <v>32205</v>
      </c>
      <c r="Q8820">
        <v>9103</v>
      </c>
      <c r="R8820" t="s">
        <v>23</v>
      </c>
      <c r="S8820" s="1" t="s">
        <v>34218</v>
      </c>
    </row>
    <row r="8821" spans="1:19" x14ac:dyDescent="0.25">
      <c r="A8821">
        <v>101226641</v>
      </c>
      <c r="B8821" t="s">
        <v>20204</v>
      </c>
      <c r="C8821" t="s">
        <v>119</v>
      </c>
      <c r="G8821" t="s">
        <v>20205</v>
      </c>
      <c r="H8821" t="s">
        <v>20206</v>
      </c>
      <c r="I8821" t="s">
        <v>117</v>
      </c>
      <c r="J8821">
        <v>12302</v>
      </c>
      <c r="K8821">
        <v>9741</v>
      </c>
      <c r="L8821" t="s">
        <v>23</v>
      </c>
      <c r="M8821" t="s">
        <v>20205</v>
      </c>
      <c r="N8821" t="s">
        <v>20206</v>
      </c>
      <c r="O8821" t="s">
        <v>117</v>
      </c>
      <c r="P8821">
        <v>12302</v>
      </c>
      <c r="Q8821">
        <v>9741</v>
      </c>
      <c r="R8821" t="s">
        <v>23</v>
      </c>
      <c r="S8821" s="1" t="s">
        <v>34218</v>
      </c>
    </row>
    <row r="8822" spans="1:19" x14ac:dyDescent="0.25">
      <c r="A8822">
        <v>100528716</v>
      </c>
      <c r="B8822" t="s">
        <v>402</v>
      </c>
      <c r="C8822" t="s">
        <v>846</v>
      </c>
      <c r="F8822" t="str">
        <f>"3124896291"</f>
        <v>3124896291</v>
      </c>
      <c r="G8822" t="s">
        <v>20207</v>
      </c>
      <c r="H8822" t="s">
        <v>134</v>
      </c>
      <c r="I8822" t="s">
        <v>135</v>
      </c>
      <c r="J8822">
        <v>60603</v>
      </c>
      <c r="K8822">
        <v>6158</v>
      </c>
      <c r="L8822" t="s">
        <v>23</v>
      </c>
      <c r="M8822" t="s">
        <v>20207</v>
      </c>
      <c r="N8822" t="s">
        <v>134</v>
      </c>
      <c r="O8822" t="s">
        <v>135</v>
      </c>
      <c r="P8822">
        <v>60603</v>
      </c>
      <c r="Q8822">
        <v>6158</v>
      </c>
      <c r="R8822" t="s">
        <v>23</v>
      </c>
      <c r="S8822" s="1" t="s">
        <v>34218</v>
      </c>
    </row>
    <row r="8823" spans="1:19" x14ac:dyDescent="0.25">
      <c r="A8823">
        <v>101447172</v>
      </c>
      <c r="B8823" t="s">
        <v>20208</v>
      </c>
      <c r="C8823" t="s">
        <v>30</v>
      </c>
      <c r="G8823" t="s">
        <v>20209</v>
      </c>
      <c r="H8823" t="s">
        <v>12284</v>
      </c>
      <c r="I8823" t="s">
        <v>52</v>
      </c>
      <c r="J8823">
        <v>32757</v>
      </c>
      <c r="K8823">
        <v>7317</v>
      </c>
      <c r="L8823" t="s">
        <v>23</v>
      </c>
      <c r="M8823" t="s">
        <v>20209</v>
      </c>
      <c r="N8823" t="s">
        <v>12284</v>
      </c>
      <c r="O8823" t="s">
        <v>52</v>
      </c>
      <c r="P8823">
        <v>32757</v>
      </c>
      <c r="Q8823">
        <v>7317</v>
      </c>
      <c r="R8823" t="s">
        <v>23</v>
      </c>
      <c r="S8823" s="1" t="s">
        <v>34218</v>
      </c>
    </row>
    <row r="8824" spans="1:19" x14ac:dyDescent="0.25">
      <c r="A8824">
        <v>100603473</v>
      </c>
      <c r="B8824" t="s">
        <v>1164</v>
      </c>
      <c r="C8824" t="s">
        <v>403</v>
      </c>
      <c r="G8824" t="s">
        <v>20210</v>
      </c>
      <c r="H8824" t="s">
        <v>20211</v>
      </c>
      <c r="I8824" t="s">
        <v>84</v>
      </c>
      <c r="J8824">
        <v>98383</v>
      </c>
      <c r="K8824">
        <v>8678</v>
      </c>
      <c r="L8824" t="s">
        <v>23</v>
      </c>
      <c r="M8824" t="s">
        <v>20210</v>
      </c>
      <c r="N8824" t="s">
        <v>20211</v>
      </c>
      <c r="O8824" t="s">
        <v>84</v>
      </c>
      <c r="P8824">
        <v>98383</v>
      </c>
      <c r="Q8824">
        <v>8678</v>
      </c>
      <c r="R8824" t="s">
        <v>23</v>
      </c>
      <c r="S8824" s="1" t="s">
        <v>34218</v>
      </c>
    </row>
    <row r="8825" spans="1:19" x14ac:dyDescent="0.25">
      <c r="A8825">
        <v>101428247</v>
      </c>
      <c r="B8825" t="s">
        <v>20212</v>
      </c>
      <c r="C8825" t="s">
        <v>309</v>
      </c>
      <c r="G8825" t="s">
        <v>20213</v>
      </c>
      <c r="H8825" t="s">
        <v>3510</v>
      </c>
      <c r="I8825" t="s">
        <v>38</v>
      </c>
      <c r="J8825">
        <v>75043</v>
      </c>
      <c r="L8825" t="s">
        <v>23</v>
      </c>
      <c r="M8825" t="s">
        <v>20213</v>
      </c>
      <c r="N8825" t="s">
        <v>3510</v>
      </c>
      <c r="O8825" t="s">
        <v>38</v>
      </c>
      <c r="P8825">
        <v>75043</v>
      </c>
      <c r="R8825" t="s">
        <v>23</v>
      </c>
      <c r="S8825" s="1" t="s">
        <v>34218</v>
      </c>
    </row>
    <row r="8826" spans="1:19" x14ac:dyDescent="0.25">
      <c r="A8826">
        <v>101418582</v>
      </c>
      <c r="B8826" t="s">
        <v>20214</v>
      </c>
      <c r="C8826" t="s">
        <v>54</v>
      </c>
      <c r="G8826" t="s">
        <v>20215</v>
      </c>
      <c r="H8826" t="s">
        <v>3373</v>
      </c>
      <c r="I8826" t="s">
        <v>178</v>
      </c>
      <c r="J8826">
        <v>44118</v>
      </c>
      <c r="K8826">
        <v>4229</v>
      </c>
      <c r="L8826" t="s">
        <v>23</v>
      </c>
      <c r="M8826" t="s">
        <v>20215</v>
      </c>
      <c r="N8826" t="s">
        <v>3373</v>
      </c>
      <c r="O8826" t="s">
        <v>178</v>
      </c>
      <c r="P8826">
        <v>44118</v>
      </c>
      <c r="Q8826">
        <v>4229</v>
      </c>
      <c r="R8826" t="s">
        <v>23</v>
      </c>
      <c r="S8826" s="1" t="s">
        <v>34218</v>
      </c>
    </row>
    <row r="8827" spans="1:19" x14ac:dyDescent="0.25">
      <c r="A8827">
        <v>101427110</v>
      </c>
      <c r="B8827" t="s">
        <v>20216</v>
      </c>
      <c r="C8827" t="s">
        <v>123</v>
      </c>
      <c r="G8827" t="s">
        <v>20217</v>
      </c>
      <c r="H8827" t="s">
        <v>1531</v>
      </c>
      <c r="I8827" t="s">
        <v>84</v>
      </c>
      <c r="J8827">
        <v>98108</v>
      </c>
      <c r="L8827" t="s">
        <v>23</v>
      </c>
      <c r="M8827" t="s">
        <v>20217</v>
      </c>
      <c r="N8827" t="s">
        <v>1531</v>
      </c>
      <c r="O8827" t="s">
        <v>84</v>
      </c>
      <c r="P8827">
        <v>98108</v>
      </c>
      <c r="R8827" t="s">
        <v>23</v>
      </c>
      <c r="S8827" s="1" t="s">
        <v>34218</v>
      </c>
    </row>
    <row r="8828" spans="1:19" x14ac:dyDescent="0.25">
      <c r="A8828">
        <v>101435306</v>
      </c>
      <c r="B8828" t="s">
        <v>20218</v>
      </c>
      <c r="C8828" t="s">
        <v>1714</v>
      </c>
      <c r="G8828" t="s">
        <v>20219</v>
      </c>
      <c r="H8828" t="s">
        <v>9412</v>
      </c>
      <c r="I8828" t="s">
        <v>117</v>
      </c>
      <c r="J8828">
        <v>14094</v>
      </c>
      <c r="K8828">
        <v>5934</v>
      </c>
      <c r="L8828" t="s">
        <v>23</v>
      </c>
      <c r="M8828" t="s">
        <v>20219</v>
      </c>
      <c r="N8828" t="s">
        <v>9412</v>
      </c>
      <c r="O8828" t="s">
        <v>117</v>
      </c>
      <c r="P8828">
        <v>14094</v>
      </c>
      <c r="Q8828">
        <v>5934</v>
      </c>
      <c r="R8828" t="s">
        <v>23</v>
      </c>
      <c r="S8828" s="1" t="s">
        <v>34218</v>
      </c>
    </row>
    <row r="8829" spans="1:19" x14ac:dyDescent="0.25">
      <c r="A8829">
        <v>101342098</v>
      </c>
      <c r="B8829" t="s">
        <v>20220</v>
      </c>
      <c r="C8829" t="s">
        <v>1824</v>
      </c>
      <c r="G8829" t="s">
        <v>20221</v>
      </c>
      <c r="H8829" t="s">
        <v>1531</v>
      </c>
      <c r="I8829" t="s">
        <v>84</v>
      </c>
      <c r="J8829">
        <v>98117</v>
      </c>
      <c r="K8829">
        <v>5521</v>
      </c>
      <c r="L8829" t="s">
        <v>23</v>
      </c>
      <c r="M8829" t="s">
        <v>20221</v>
      </c>
      <c r="N8829" t="s">
        <v>1531</v>
      </c>
      <c r="O8829" t="s">
        <v>84</v>
      </c>
      <c r="P8829">
        <v>98117</v>
      </c>
      <c r="Q8829">
        <v>5521</v>
      </c>
      <c r="R8829" t="s">
        <v>23</v>
      </c>
      <c r="S8829" s="1" t="s">
        <v>34218</v>
      </c>
    </row>
    <row r="8830" spans="1:19" x14ac:dyDescent="0.25">
      <c r="A8830">
        <v>101455029</v>
      </c>
      <c r="B8830" t="s">
        <v>20222</v>
      </c>
      <c r="C8830" t="s">
        <v>123</v>
      </c>
      <c r="G8830" t="s">
        <v>20223</v>
      </c>
      <c r="H8830" t="s">
        <v>15242</v>
      </c>
      <c r="I8830" t="s">
        <v>236</v>
      </c>
      <c r="J8830">
        <v>1566</v>
      </c>
      <c r="K8830">
        <v>2304</v>
      </c>
      <c r="L8830" t="s">
        <v>23</v>
      </c>
      <c r="M8830" t="s">
        <v>20223</v>
      </c>
      <c r="N8830" t="s">
        <v>15242</v>
      </c>
      <c r="O8830" t="s">
        <v>236</v>
      </c>
      <c r="P8830">
        <v>1566</v>
      </c>
      <c r="Q8830">
        <v>2304</v>
      </c>
      <c r="R8830" t="s">
        <v>23</v>
      </c>
      <c r="S8830" s="1" t="s">
        <v>34218</v>
      </c>
    </row>
    <row r="8831" spans="1:19" x14ac:dyDescent="0.25">
      <c r="A8831">
        <v>101457383</v>
      </c>
      <c r="B8831" t="s">
        <v>980</v>
      </c>
      <c r="C8831" t="s">
        <v>20224</v>
      </c>
      <c r="G8831" t="s">
        <v>20225</v>
      </c>
      <c r="H8831" t="s">
        <v>3680</v>
      </c>
      <c r="I8831" t="s">
        <v>565</v>
      </c>
      <c r="J8831">
        <v>52556</v>
      </c>
      <c r="K8831">
        <v>2020</v>
      </c>
      <c r="L8831" t="s">
        <v>23</v>
      </c>
      <c r="M8831" t="s">
        <v>20225</v>
      </c>
      <c r="N8831" t="s">
        <v>3680</v>
      </c>
      <c r="O8831" t="s">
        <v>565</v>
      </c>
      <c r="P8831">
        <v>52556</v>
      </c>
      <c r="Q8831">
        <v>2020</v>
      </c>
      <c r="R8831" t="s">
        <v>23</v>
      </c>
      <c r="S8831" s="1" t="s">
        <v>34218</v>
      </c>
    </row>
    <row r="8832" spans="1:19" x14ac:dyDescent="0.25">
      <c r="A8832">
        <v>100876721</v>
      </c>
      <c r="B8832" t="s">
        <v>20226</v>
      </c>
      <c r="C8832" t="s">
        <v>20227</v>
      </c>
      <c r="G8832" t="s">
        <v>20228</v>
      </c>
      <c r="H8832" t="s">
        <v>5538</v>
      </c>
      <c r="I8832" t="s">
        <v>191</v>
      </c>
      <c r="J8832">
        <v>4915</v>
      </c>
      <c r="K8832">
        <v>7433</v>
      </c>
      <c r="L8832" t="s">
        <v>23</v>
      </c>
      <c r="M8832" t="s">
        <v>20228</v>
      </c>
      <c r="N8832" t="s">
        <v>5538</v>
      </c>
      <c r="O8832" t="s">
        <v>191</v>
      </c>
      <c r="P8832">
        <v>4915</v>
      </c>
      <c r="Q8832">
        <v>7433</v>
      </c>
      <c r="R8832" t="s">
        <v>23</v>
      </c>
      <c r="S8832" s="1" t="s">
        <v>34218</v>
      </c>
    </row>
    <row r="8833" spans="1:19" x14ac:dyDescent="0.25">
      <c r="A8833">
        <v>100799062</v>
      </c>
      <c r="B8833" t="s">
        <v>20229</v>
      </c>
      <c r="C8833" t="s">
        <v>20230</v>
      </c>
      <c r="G8833" t="s">
        <v>20231</v>
      </c>
      <c r="H8833" t="s">
        <v>10941</v>
      </c>
      <c r="I8833" t="s">
        <v>84</v>
      </c>
      <c r="J8833">
        <v>98075</v>
      </c>
      <c r="K8833">
        <v>9606</v>
      </c>
      <c r="L8833" t="s">
        <v>23</v>
      </c>
      <c r="M8833" t="s">
        <v>20231</v>
      </c>
      <c r="N8833" t="s">
        <v>10941</v>
      </c>
      <c r="O8833" t="s">
        <v>84</v>
      </c>
      <c r="P8833">
        <v>98075</v>
      </c>
      <c r="Q8833">
        <v>9606</v>
      </c>
      <c r="R8833" t="s">
        <v>23</v>
      </c>
      <c r="S8833" s="1" t="s">
        <v>34218</v>
      </c>
    </row>
    <row r="8834" spans="1:19" x14ac:dyDescent="0.25">
      <c r="A8834">
        <v>101256755</v>
      </c>
      <c r="B8834" t="s">
        <v>20232</v>
      </c>
      <c r="C8834" t="s">
        <v>865</v>
      </c>
      <c r="G8834" t="s">
        <v>20233</v>
      </c>
      <c r="H8834" t="s">
        <v>20234</v>
      </c>
      <c r="I8834" t="s">
        <v>135</v>
      </c>
      <c r="J8834">
        <v>60041</v>
      </c>
      <c r="K8834">
        <v>9431</v>
      </c>
      <c r="L8834" t="s">
        <v>23</v>
      </c>
      <c r="M8834" t="s">
        <v>20233</v>
      </c>
      <c r="N8834" t="s">
        <v>20234</v>
      </c>
      <c r="O8834" t="s">
        <v>135</v>
      </c>
      <c r="P8834">
        <v>60041</v>
      </c>
      <c r="Q8834">
        <v>9431</v>
      </c>
      <c r="R8834" t="s">
        <v>23</v>
      </c>
      <c r="S8834" s="1" t="s">
        <v>34218</v>
      </c>
    </row>
    <row r="8835" spans="1:19" x14ac:dyDescent="0.25">
      <c r="A8835">
        <v>101448349</v>
      </c>
      <c r="B8835" t="s">
        <v>3705</v>
      </c>
      <c r="C8835" t="s">
        <v>7555</v>
      </c>
      <c r="G8835" t="s">
        <v>20235</v>
      </c>
      <c r="H8835" t="s">
        <v>311</v>
      </c>
      <c r="I8835" t="s">
        <v>22</v>
      </c>
      <c r="J8835">
        <v>90804</v>
      </c>
      <c r="K8835">
        <v>2747</v>
      </c>
      <c r="L8835" t="s">
        <v>23</v>
      </c>
      <c r="M8835" t="s">
        <v>20235</v>
      </c>
      <c r="N8835" t="s">
        <v>311</v>
      </c>
      <c r="O8835" t="s">
        <v>22</v>
      </c>
      <c r="P8835">
        <v>90804</v>
      </c>
      <c r="Q8835">
        <v>2747</v>
      </c>
      <c r="R8835" t="s">
        <v>23</v>
      </c>
      <c r="S8835" s="1" t="s">
        <v>34218</v>
      </c>
    </row>
    <row r="8836" spans="1:19" x14ac:dyDescent="0.25">
      <c r="A8836">
        <v>101448637</v>
      </c>
      <c r="B8836" t="s">
        <v>11540</v>
      </c>
      <c r="C8836" t="s">
        <v>4956</v>
      </c>
      <c r="G8836" t="s">
        <v>20236</v>
      </c>
      <c r="H8836" t="s">
        <v>9771</v>
      </c>
      <c r="I8836" t="s">
        <v>117</v>
      </c>
      <c r="J8836">
        <v>14150</v>
      </c>
      <c r="K8836">
        <v>3418</v>
      </c>
      <c r="L8836" t="s">
        <v>23</v>
      </c>
      <c r="M8836" t="s">
        <v>20236</v>
      </c>
      <c r="N8836" t="s">
        <v>9771</v>
      </c>
      <c r="O8836" t="s">
        <v>117</v>
      </c>
      <c r="P8836">
        <v>14150</v>
      </c>
      <c r="Q8836">
        <v>3418</v>
      </c>
      <c r="R8836" t="s">
        <v>23</v>
      </c>
      <c r="S8836" s="1" t="s">
        <v>34218</v>
      </c>
    </row>
    <row r="8837" spans="1:19" x14ac:dyDescent="0.25">
      <c r="A8837">
        <v>101431379</v>
      </c>
      <c r="B8837" t="s">
        <v>1167</v>
      </c>
      <c r="C8837" t="s">
        <v>475</v>
      </c>
      <c r="G8837" t="s">
        <v>20237</v>
      </c>
      <c r="H8837" t="s">
        <v>20238</v>
      </c>
      <c r="I8837" t="s">
        <v>52</v>
      </c>
      <c r="J8837">
        <v>33785</v>
      </c>
      <c r="L8837" t="s">
        <v>23</v>
      </c>
      <c r="M8837" t="s">
        <v>20237</v>
      </c>
      <c r="N8837" t="s">
        <v>20238</v>
      </c>
      <c r="O8837" t="s">
        <v>52</v>
      </c>
      <c r="P8837">
        <v>33785</v>
      </c>
      <c r="R8837" t="s">
        <v>23</v>
      </c>
      <c r="S8837" s="1" t="s">
        <v>34218</v>
      </c>
    </row>
    <row r="8838" spans="1:19" x14ac:dyDescent="0.25">
      <c r="A8838">
        <v>101457454</v>
      </c>
      <c r="B8838" t="s">
        <v>20239</v>
      </c>
      <c r="C8838" t="s">
        <v>1671</v>
      </c>
      <c r="G8838" t="s">
        <v>20240</v>
      </c>
      <c r="H8838" t="s">
        <v>2684</v>
      </c>
      <c r="I8838" t="s">
        <v>22</v>
      </c>
      <c r="J8838">
        <v>94901</v>
      </c>
      <c r="K8838">
        <v>4476</v>
      </c>
      <c r="L8838" t="s">
        <v>23</v>
      </c>
      <c r="M8838" t="s">
        <v>20240</v>
      </c>
      <c r="N8838" t="s">
        <v>2684</v>
      </c>
      <c r="O8838" t="s">
        <v>22</v>
      </c>
      <c r="P8838">
        <v>94901</v>
      </c>
      <c r="Q8838">
        <v>4476</v>
      </c>
      <c r="R8838" t="s">
        <v>23</v>
      </c>
      <c r="S8838" s="1" t="s">
        <v>34218</v>
      </c>
    </row>
    <row r="8839" spans="1:19" x14ac:dyDescent="0.25">
      <c r="A8839">
        <v>101001250</v>
      </c>
      <c r="B8839" t="s">
        <v>20241</v>
      </c>
      <c r="C8839" t="s">
        <v>432</v>
      </c>
      <c r="G8839" t="s">
        <v>20242</v>
      </c>
      <c r="H8839" t="s">
        <v>6492</v>
      </c>
      <c r="I8839" t="s">
        <v>161</v>
      </c>
      <c r="J8839">
        <v>6902</v>
      </c>
      <c r="K8839">
        <v>3006</v>
      </c>
      <c r="L8839" t="s">
        <v>23</v>
      </c>
      <c r="M8839" t="s">
        <v>20242</v>
      </c>
      <c r="N8839" t="s">
        <v>6492</v>
      </c>
      <c r="O8839" t="s">
        <v>161</v>
      </c>
      <c r="P8839">
        <v>6902</v>
      </c>
      <c r="Q8839">
        <v>3006</v>
      </c>
      <c r="R8839" t="s">
        <v>23</v>
      </c>
      <c r="S8839" s="1" t="s">
        <v>34218</v>
      </c>
    </row>
    <row r="8840" spans="1:19" x14ac:dyDescent="0.25">
      <c r="A8840">
        <v>101423903</v>
      </c>
      <c r="B8840" t="s">
        <v>20243</v>
      </c>
      <c r="C8840" t="s">
        <v>20244</v>
      </c>
      <c r="G8840" t="s">
        <v>20245</v>
      </c>
      <c r="H8840" t="s">
        <v>21</v>
      </c>
      <c r="I8840" t="s">
        <v>22</v>
      </c>
      <c r="J8840">
        <v>95405</v>
      </c>
      <c r="K8840">
        <v>7048</v>
      </c>
      <c r="L8840" t="s">
        <v>23</v>
      </c>
      <c r="M8840" t="s">
        <v>20245</v>
      </c>
      <c r="N8840" t="s">
        <v>21</v>
      </c>
      <c r="O8840" t="s">
        <v>22</v>
      </c>
      <c r="P8840">
        <v>95405</v>
      </c>
      <c r="Q8840">
        <v>7048</v>
      </c>
      <c r="R8840" t="s">
        <v>23</v>
      </c>
      <c r="S8840" s="1" t="s">
        <v>34218</v>
      </c>
    </row>
    <row r="8841" spans="1:19" x14ac:dyDescent="0.25">
      <c r="A8841">
        <v>100703901</v>
      </c>
      <c r="B8841" t="s">
        <v>3011</v>
      </c>
      <c r="C8841" t="s">
        <v>399</v>
      </c>
      <c r="G8841" t="s">
        <v>20246</v>
      </c>
      <c r="H8841" t="s">
        <v>1962</v>
      </c>
      <c r="I8841" t="s">
        <v>348</v>
      </c>
      <c r="J8841">
        <v>83455</v>
      </c>
      <c r="K8841">
        <v>5404</v>
      </c>
      <c r="L8841" t="s">
        <v>23</v>
      </c>
      <c r="M8841" t="s">
        <v>20246</v>
      </c>
      <c r="N8841" t="s">
        <v>1962</v>
      </c>
      <c r="O8841" t="s">
        <v>348</v>
      </c>
      <c r="P8841">
        <v>83455</v>
      </c>
      <c r="Q8841">
        <v>5404</v>
      </c>
      <c r="R8841" t="s">
        <v>23</v>
      </c>
      <c r="S8841" s="1" t="s">
        <v>34218</v>
      </c>
    </row>
    <row r="8842" spans="1:19" x14ac:dyDescent="0.25">
      <c r="A8842">
        <v>101428258</v>
      </c>
      <c r="B8842" t="s">
        <v>3838</v>
      </c>
      <c r="C8842" t="s">
        <v>102</v>
      </c>
      <c r="G8842" t="s">
        <v>20247</v>
      </c>
      <c r="H8842" t="s">
        <v>1877</v>
      </c>
      <c r="I8842" t="s">
        <v>43</v>
      </c>
      <c r="J8842">
        <v>97301</v>
      </c>
      <c r="K8842">
        <v>1104</v>
      </c>
      <c r="L8842" t="s">
        <v>23</v>
      </c>
      <c r="M8842" t="s">
        <v>20247</v>
      </c>
      <c r="N8842" t="s">
        <v>1877</v>
      </c>
      <c r="O8842" t="s">
        <v>43</v>
      </c>
      <c r="P8842">
        <v>97301</v>
      </c>
      <c r="Q8842">
        <v>1104</v>
      </c>
      <c r="R8842" t="s">
        <v>23</v>
      </c>
      <c r="S8842" s="1" t="s">
        <v>34218</v>
      </c>
    </row>
    <row r="8843" spans="1:19" x14ac:dyDescent="0.25">
      <c r="A8843">
        <v>101457553</v>
      </c>
      <c r="B8843" t="s">
        <v>20248</v>
      </c>
      <c r="C8843" t="s">
        <v>1327</v>
      </c>
      <c r="G8843" t="s">
        <v>20249</v>
      </c>
      <c r="H8843" t="s">
        <v>3608</v>
      </c>
      <c r="I8843" t="s">
        <v>236</v>
      </c>
      <c r="J8843">
        <v>1521</v>
      </c>
      <c r="K8843">
        <v>3021</v>
      </c>
      <c r="L8843" t="s">
        <v>23</v>
      </c>
      <c r="M8843" t="s">
        <v>20249</v>
      </c>
      <c r="N8843" t="s">
        <v>3608</v>
      </c>
      <c r="O8843" t="s">
        <v>236</v>
      </c>
      <c r="P8843">
        <v>1521</v>
      </c>
      <c r="Q8843">
        <v>3021</v>
      </c>
      <c r="R8843" t="s">
        <v>23</v>
      </c>
      <c r="S8843" s="1" t="s">
        <v>34218</v>
      </c>
    </row>
    <row r="8844" spans="1:19" x14ac:dyDescent="0.25">
      <c r="A8844">
        <v>100614372</v>
      </c>
      <c r="B8844" t="s">
        <v>18713</v>
      </c>
      <c r="C8844" t="s">
        <v>20250</v>
      </c>
      <c r="G8844" t="s">
        <v>20251</v>
      </c>
      <c r="H8844" t="s">
        <v>15174</v>
      </c>
      <c r="I8844" t="s">
        <v>117</v>
      </c>
      <c r="J8844">
        <v>10803</v>
      </c>
      <c r="K8844">
        <v>1545</v>
      </c>
      <c r="L8844" t="s">
        <v>23</v>
      </c>
      <c r="M8844" t="s">
        <v>20251</v>
      </c>
      <c r="N8844" t="s">
        <v>15174</v>
      </c>
      <c r="O8844" t="s">
        <v>117</v>
      </c>
      <c r="P8844">
        <v>10803</v>
      </c>
      <c r="Q8844">
        <v>1545</v>
      </c>
      <c r="R8844" t="s">
        <v>23</v>
      </c>
      <c r="S8844" s="1" t="s">
        <v>34218</v>
      </c>
    </row>
    <row r="8845" spans="1:19" x14ac:dyDescent="0.25">
      <c r="A8845">
        <v>101348794</v>
      </c>
      <c r="B8845" t="s">
        <v>20252</v>
      </c>
      <c r="C8845" t="s">
        <v>846</v>
      </c>
      <c r="G8845" t="s">
        <v>20253</v>
      </c>
      <c r="H8845" t="s">
        <v>1439</v>
      </c>
      <c r="I8845" t="s">
        <v>365</v>
      </c>
      <c r="J8845">
        <v>85712</v>
      </c>
      <c r="K8845">
        <v>6622</v>
      </c>
      <c r="L8845" t="s">
        <v>23</v>
      </c>
      <c r="M8845" t="s">
        <v>20253</v>
      </c>
      <c r="N8845" t="s">
        <v>1439</v>
      </c>
      <c r="O8845" t="s">
        <v>365</v>
      </c>
      <c r="P8845">
        <v>85712</v>
      </c>
      <c r="Q8845">
        <v>6622</v>
      </c>
      <c r="R8845" t="s">
        <v>23</v>
      </c>
      <c r="S8845" s="1" t="s">
        <v>34218</v>
      </c>
    </row>
    <row r="8846" spans="1:19" x14ac:dyDescent="0.25">
      <c r="A8846">
        <v>101340867</v>
      </c>
      <c r="B8846" t="s">
        <v>20254</v>
      </c>
      <c r="C8846" t="s">
        <v>432</v>
      </c>
      <c r="G8846" t="s">
        <v>20255</v>
      </c>
      <c r="H8846" t="s">
        <v>556</v>
      </c>
      <c r="I8846" t="s">
        <v>22</v>
      </c>
      <c r="J8846">
        <v>95018</v>
      </c>
      <c r="K8846">
        <v>9440</v>
      </c>
      <c r="L8846" t="s">
        <v>23</v>
      </c>
      <c r="M8846" t="s">
        <v>20255</v>
      </c>
      <c r="N8846" t="s">
        <v>556</v>
      </c>
      <c r="O8846" t="s">
        <v>22</v>
      </c>
      <c r="P8846">
        <v>95018</v>
      </c>
      <c r="Q8846">
        <v>9440</v>
      </c>
      <c r="R8846" t="s">
        <v>23</v>
      </c>
      <c r="S8846" s="1" t="s">
        <v>34218</v>
      </c>
    </row>
    <row r="8847" spans="1:19" x14ac:dyDescent="0.25">
      <c r="A8847">
        <v>101445636</v>
      </c>
      <c r="B8847" t="s">
        <v>20256</v>
      </c>
      <c r="C8847" t="s">
        <v>763</v>
      </c>
      <c r="G8847" t="s">
        <v>20257</v>
      </c>
      <c r="H8847" t="s">
        <v>20258</v>
      </c>
      <c r="I8847" t="s">
        <v>135</v>
      </c>
      <c r="J8847">
        <v>60430</v>
      </c>
      <c r="K8847">
        <v>1019</v>
      </c>
      <c r="L8847" t="s">
        <v>23</v>
      </c>
      <c r="M8847" t="s">
        <v>20257</v>
      </c>
      <c r="N8847" t="s">
        <v>20258</v>
      </c>
      <c r="O8847" t="s">
        <v>135</v>
      </c>
      <c r="P8847">
        <v>60430</v>
      </c>
      <c r="Q8847">
        <v>1019</v>
      </c>
      <c r="R8847" t="s">
        <v>23</v>
      </c>
      <c r="S8847" s="1" t="s">
        <v>34218</v>
      </c>
    </row>
    <row r="8848" spans="1:19" x14ac:dyDescent="0.25">
      <c r="A8848">
        <v>101225596</v>
      </c>
      <c r="B8848" t="s">
        <v>3163</v>
      </c>
      <c r="C8848" t="s">
        <v>735</v>
      </c>
      <c r="G8848" t="s">
        <v>20259</v>
      </c>
      <c r="H8848" t="s">
        <v>15158</v>
      </c>
      <c r="I8848" t="s">
        <v>28</v>
      </c>
      <c r="J8848">
        <v>30601</v>
      </c>
      <c r="K8848">
        <v>3008</v>
      </c>
      <c r="L8848" t="s">
        <v>23</v>
      </c>
      <c r="M8848" t="s">
        <v>20259</v>
      </c>
      <c r="N8848" t="s">
        <v>15158</v>
      </c>
      <c r="O8848" t="s">
        <v>28</v>
      </c>
      <c r="P8848">
        <v>30601</v>
      </c>
      <c r="Q8848">
        <v>3008</v>
      </c>
      <c r="R8848" t="s">
        <v>23</v>
      </c>
      <c r="S8848" s="1" t="s">
        <v>34218</v>
      </c>
    </row>
    <row r="8849" spans="1:19" x14ac:dyDescent="0.25">
      <c r="A8849">
        <v>101445913</v>
      </c>
      <c r="B8849" t="s">
        <v>20260</v>
      </c>
      <c r="C8849" t="s">
        <v>1298</v>
      </c>
      <c r="G8849" t="s">
        <v>20261</v>
      </c>
      <c r="H8849" t="s">
        <v>299</v>
      </c>
      <c r="I8849" t="s">
        <v>22</v>
      </c>
      <c r="J8849">
        <v>90024</v>
      </c>
      <c r="K8849">
        <v>2642</v>
      </c>
      <c r="L8849" t="s">
        <v>23</v>
      </c>
      <c r="M8849" t="s">
        <v>20261</v>
      </c>
      <c r="N8849" t="s">
        <v>299</v>
      </c>
      <c r="O8849" t="s">
        <v>22</v>
      </c>
      <c r="P8849">
        <v>90024</v>
      </c>
      <c r="Q8849">
        <v>2642</v>
      </c>
      <c r="R8849" t="s">
        <v>23</v>
      </c>
      <c r="S8849" s="1" t="s">
        <v>34218</v>
      </c>
    </row>
    <row r="8850" spans="1:19" x14ac:dyDescent="0.25">
      <c r="A8850">
        <v>101457710</v>
      </c>
      <c r="B8850" t="s">
        <v>4048</v>
      </c>
      <c r="C8850" t="s">
        <v>3951</v>
      </c>
      <c r="G8850" t="s">
        <v>20262</v>
      </c>
      <c r="H8850" t="s">
        <v>227</v>
      </c>
      <c r="I8850" t="s">
        <v>43</v>
      </c>
      <c r="J8850">
        <v>97213</v>
      </c>
      <c r="K8850">
        <v>2415</v>
      </c>
      <c r="L8850" t="s">
        <v>23</v>
      </c>
      <c r="M8850" t="s">
        <v>20262</v>
      </c>
      <c r="N8850" t="s">
        <v>227</v>
      </c>
      <c r="O8850" t="s">
        <v>43</v>
      </c>
      <c r="P8850">
        <v>97213</v>
      </c>
      <c r="Q8850">
        <v>2415</v>
      </c>
      <c r="R8850" t="s">
        <v>23</v>
      </c>
      <c r="S8850" s="1" t="s">
        <v>34218</v>
      </c>
    </row>
    <row r="8851" spans="1:19" x14ac:dyDescent="0.25">
      <c r="A8851">
        <v>100727186</v>
      </c>
      <c r="B8851" t="s">
        <v>20263</v>
      </c>
      <c r="C8851" t="s">
        <v>180</v>
      </c>
      <c r="G8851" t="s">
        <v>20264</v>
      </c>
      <c r="H8851" t="s">
        <v>5983</v>
      </c>
      <c r="I8851" t="s">
        <v>250</v>
      </c>
      <c r="J8851">
        <v>7087</v>
      </c>
      <c r="L8851" t="s">
        <v>23</v>
      </c>
      <c r="M8851" t="s">
        <v>20264</v>
      </c>
      <c r="N8851" t="s">
        <v>5983</v>
      </c>
      <c r="O8851" t="s">
        <v>250</v>
      </c>
      <c r="P8851">
        <v>7087</v>
      </c>
      <c r="R8851" t="s">
        <v>23</v>
      </c>
      <c r="S8851" s="1" t="s">
        <v>34218</v>
      </c>
    </row>
    <row r="8852" spans="1:19" x14ac:dyDescent="0.25">
      <c r="A8852">
        <v>101423707</v>
      </c>
      <c r="B8852" t="s">
        <v>141</v>
      </c>
      <c r="C8852" t="s">
        <v>16035</v>
      </c>
      <c r="G8852" t="s">
        <v>20265</v>
      </c>
      <c r="H8852" t="s">
        <v>3856</v>
      </c>
      <c r="I8852" t="s">
        <v>22</v>
      </c>
      <c r="J8852">
        <v>93955</v>
      </c>
      <c r="K8852">
        <v>5943</v>
      </c>
      <c r="L8852" t="s">
        <v>23</v>
      </c>
      <c r="M8852" t="s">
        <v>20265</v>
      </c>
      <c r="N8852" t="s">
        <v>3856</v>
      </c>
      <c r="O8852" t="s">
        <v>22</v>
      </c>
      <c r="P8852">
        <v>93955</v>
      </c>
      <c r="Q8852">
        <v>5943</v>
      </c>
      <c r="R8852" t="s">
        <v>23</v>
      </c>
      <c r="S8852" s="1" t="s">
        <v>34218</v>
      </c>
    </row>
    <row r="8853" spans="1:19" x14ac:dyDescent="0.25">
      <c r="A8853">
        <v>101457763</v>
      </c>
      <c r="B8853" t="s">
        <v>20266</v>
      </c>
      <c r="C8853" t="s">
        <v>7721</v>
      </c>
      <c r="G8853" t="s">
        <v>20267</v>
      </c>
      <c r="H8853" t="s">
        <v>20182</v>
      </c>
      <c r="I8853" t="s">
        <v>100</v>
      </c>
      <c r="J8853">
        <v>53555</v>
      </c>
      <c r="K8853">
        <v>1309</v>
      </c>
      <c r="L8853" t="s">
        <v>23</v>
      </c>
      <c r="M8853" t="s">
        <v>20267</v>
      </c>
      <c r="N8853" t="s">
        <v>20182</v>
      </c>
      <c r="O8853" t="s">
        <v>100</v>
      </c>
      <c r="P8853">
        <v>53555</v>
      </c>
      <c r="Q8853">
        <v>1309</v>
      </c>
      <c r="R8853" t="s">
        <v>23</v>
      </c>
      <c r="S8853" s="1" t="s">
        <v>34218</v>
      </c>
    </row>
    <row r="8854" spans="1:19" x14ac:dyDescent="0.25">
      <c r="A8854">
        <v>101441634</v>
      </c>
      <c r="B8854" t="s">
        <v>7728</v>
      </c>
      <c r="C8854" t="s">
        <v>699</v>
      </c>
      <c r="G8854" t="s">
        <v>20268</v>
      </c>
      <c r="H8854" t="s">
        <v>299</v>
      </c>
      <c r="I8854" t="s">
        <v>22</v>
      </c>
      <c r="J8854">
        <v>90004</v>
      </c>
      <c r="K8854">
        <v>4501</v>
      </c>
      <c r="L8854" t="s">
        <v>23</v>
      </c>
      <c r="M8854" t="s">
        <v>20268</v>
      </c>
      <c r="N8854" t="s">
        <v>299</v>
      </c>
      <c r="O8854" t="s">
        <v>22</v>
      </c>
      <c r="P8854">
        <v>90004</v>
      </c>
      <c r="Q8854">
        <v>4501</v>
      </c>
      <c r="R8854" t="s">
        <v>23</v>
      </c>
      <c r="S8854" s="1" t="s">
        <v>34218</v>
      </c>
    </row>
    <row r="8855" spans="1:19" x14ac:dyDescent="0.25">
      <c r="A8855">
        <v>101457852</v>
      </c>
      <c r="B8855" t="s">
        <v>20269</v>
      </c>
      <c r="C8855" t="s">
        <v>410</v>
      </c>
      <c r="G8855" t="s">
        <v>20270</v>
      </c>
      <c r="H8855" t="s">
        <v>10578</v>
      </c>
      <c r="I8855" t="s">
        <v>52</v>
      </c>
      <c r="J8855">
        <v>33442</v>
      </c>
      <c r="K8855">
        <v>3233</v>
      </c>
      <c r="L8855" t="s">
        <v>23</v>
      </c>
      <c r="M8855" t="s">
        <v>20270</v>
      </c>
      <c r="N8855" t="s">
        <v>10578</v>
      </c>
      <c r="O8855" t="s">
        <v>52</v>
      </c>
      <c r="P8855">
        <v>33442</v>
      </c>
      <c r="Q8855">
        <v>3233</v>
      </c>
      <c r="R8855" t="s">
        <v>23</v>
      </c>
      <c r="S8855" s="1" t="s">
        <v>34218</v>
      </c>
    </row>
    <row r="8856" spans="1:19" x14ac:dyDescent="0.25">
      <c r="A8856">
        <v>101273293</v>
      </c>
      <c r="B8856" t="s">
        <v>20271</v>
      </c>
      <c r="C8856" t="s">
        <v>90</v>
      </c>
      <c r="G8856" t="s">
        <v>20272</v>
      </c>
      <c r="H8856" t="s">
        <v>20273</v>
      </c>
      <c r="I8856" t="s">
        <v>84</v>
      </c>
      <c r="J8856">
        <v>98528</v>
      </c>
      <c r="K8856">
        <v>9546</v>
      </c>
      <c r="L8856" t="s">
        <v>23</v>
      </c>
      <c r="M8856" t="s">
        <v>20272</v>
      </c>
      <c r="N8856" t="s">
        <v>20273</v>
      </c>
      <c r="O8856" t="s">
        <v>84</v>
      </c>
      <c r="P8856">
        <v>98528</v>
      </c>
      <c r="Q8856">
        <v>9546</v>
      </c>
      <c r="R8856" t="s">
        <v>23</v>
      </c>
      <c r="S8856" s="1" t="s">
        <v>34218</v>
      </c>
    </row>
    <row r="8857" spans="1:19" x14ac:dyDescent="0.25">
      <c r="A8857">
        <v>101391292</v>
      </c>
      <c r="B8857" t="s">
        <v>20274</v>
      </c>
      <c r="C8857" t="s">
        <v>1731</v>
      </c>
      <c r="G8857" t="s">
        <v>20275</v>
      </c>
      <c r="H8857" t="s">
        <v>2031</v>
      </c>
      <c r="I8857" t="s">
        <v>22</v>
      </c>
      <c r="J8857">
        <v>94061</v>
      </c>
      <c r="K8857">
        <v>3333</v>
      </c>
      <c r="L8857" t="s">
        <v>23</v>
      </c>
      <c r="M8857" t="s">
        <v>20275</v>
      </c>
      <c r="N8857" t="s">
        <v>2031</v>
      </c>
      <c r="O8857" t="s">
        <v>22</v>
      </c>
      <c r="P8857">
        <v>94061</v>
      </c>
      <c r="Q8857">
        <v>3333</v>
      </c>
      <c r="R8857" t="s">
        <v>23</v>
      </c>
      <c r="S8857" s="1" t="s">
        <v>34218</v>
      </c>
    </row>
    <row r="8858" spans="1:19" x14ac:dyDescent="0.25">
      <c r="A8858">
        <v>101410450</v>
      </c>
      <c r="B8858" t="s">
        <v>20276</v>
      </c>
      <c r="C8858" t="s">
        <v>20277</v>
      </c>
      <c r="G8858" t="s">
        <v>20278</v>
      </c>
      <c r="H8858" t="s">
        <v>8826</v>
      </c>
      <c r="I8858" t="s">
        <v>22</v>
      </c>
      <c r="J8858">
        <v>92020</v>
      </c>
      <c r="K8858">
        <v>3838</v>
      </c>
      <c r="L8858" t="s">
        <v>23</v>
      </c>
      <c r="M8858" t="s">
        <v>20278</v>
      </c>
      <c r="N8858" t="s">
        <v>8826</v>
      </c>
      <c r="O8858" t="s">
        <v>22</v>
      </c>
      <c r="P8858">
        <v>92020</v>
      </c>
      <c r="Q8858">
        <v>3838</v>
      </c>
      <c r="R8858" t="s">
        <v>23</v>
      </c>
      <c r="S8858" s="1" t="s">
        <v>34218</v>
      </c>
    </row>
    <row r="8859" spans="1:19" x14ac:dyDescent="0.25">
      <c r="A8859">
        <v>101442769</v>
      </c>
      <c r="B8859" t="s">
        <v>29</v>
      </c>
      <c r="C8859" t="s">
        <v>8852</v>
      </c>
      <c r="G8859" t="s">
        <v>20279</v>
      </c>
      <c r="H8859" t="s">
        <v>1412</v>
      </c>
      <c r="I8859" t="s">
        <v>52</v>
      </c>
      <c r="J8859">
        <v>32817</v>
      </c>
      <c r="K8859">
        <v>4252</v>
      </c>
      <c r="L8859" t="s">
        <v>23</v>
      </c>
      <c r="M8859" t="s">
        <v>20279</v>
      </c>
      <c r="N8859" t="s">
        <v>1412</v>
      </c>
      <c r="O8859" t="s">
        <v>52</v>
      </c>
      <c r="P8859">
        <v>32817</v>
      </c>
      <c r="Q8859">
        <v>4252</v>
      </c>
      <c r="R8859" t="s">
        <v>23</v>
      </c>
      <c r="S8859" s="1" t="s">
        <v>34218</v>
      </c>
    </row>
    <row r="8860" spans="1:19" x14ac:dyDescent="0.25">
      <c r="A8860">
        <v>100547310</v>
      </c>
      <c r="B8860" t="s">
        <v>20280</v>
      </c>
      <c r="C8860" t="s">
        <v>20281</v>
      </c>
      <c r="G8860" t="s">
        <v>20282</v>
      </c>
      <c r="H8860" t="s">
        <v>1452</v>
      </c>
      <c r="I8860" t="s">
        <v>43</v>
      </c>
      <c r="J8860">
        <v>97402</v>
      </c>
      <c r="K8860">
        <v>4261</v>
      </c>
      <c r="L8860" t="s">
        <v>23</v>
      </c>
      <c r="M8860" t="s">
        <v>20282</v>
      </c>
      <c r="N8860" t="s">
        <v>1452</v>
      </c>
      <c r="O8860" t="s">
        <v>43</v>
      </c>
      <c r="P8860">
        <v>97402</v>
      </c>
      <c r="Q8860">
        <v>4261</v>
      </c>
      <c r="R8860" t="s">
        <v>23</v>
      </c>
      <c r="S8860" s="1" t="s">
        <v>34218</v>
      </c>
    </row>
    <row r="8861" spans="1:19" x14ac:dyDescent="0.25">
      <c r="A8861">
        <v>101436525</v>
      </c>
      <c r="B8861" t="s">
        <v>20283</v>
      </c>
      <c r="C8861" t="s">
        <v>2287</v>
      </c>
      <c r="G8861" t="s">
        <v>20284</v>
      </c>
      <c r="H8861" t="s">
        <v>20285</v>
      </c>
      <c r="I8861" t="s">
        <v>1387</v>
      </c>
      <c r="J8861">
        <v>35661</v>
      </c>
      <c r="K8861">
        <v>1249</v>
      </c>
      <c r="L8861" t="s">
        <v>23</v>
      </c>
      <c r="M8861" t="s">
        <v>20284</v>
      </c>
      <c r="N8861" t="s">
        <v>20285</v>
      </c>
      <c r="O8861" t="s">
        <v>1387</v>
      </c>
      <c r="P8861">
        <v>35661</v>
      </c>
      <c r="Q8861">
        <v>1249</v>
      </c>
      <c r="R8861" t="s">
        <v>23</v>
      </c>
      <c r="S8861" s="1" t="s">
        <v>34218</v>
      </c>
    </row>
    <row r="8862" spans="1:19" x14ac:dyDescent="0.25">
      <c r="A8862">
        <v>101107912</v>
      </c>
      <c r="B8862" t="s">
        <v>20286</v>
      </c>
      <c r="C8862" t="s">
        <v>664</v>
      </c>
      <c r="F8862" t="str">
        <f>"6128458539"</f>
        <v>6128458539</v>
      </c>
      <c r="G8862" t="s">
        <v>20287</v>
      </c>
      <c r="H8862" t="s">
        <v>2279</v>
      </c>
      <c r="I8862" t="s">
        <v>52</v>
      </c>
      <c r="J8862">
        <v>33647</v>
      </c>
      <c r="K8862">
        <v>3165</v>
      </c>
      <c r="L8862" t="s">
        <v>23</v>
      </c>
      <c r="M8862" t="s">
        <v>20287</v>
      </c>
      <c r="N8862" t="s">
        <v>2279</v>
      </c>
      <c r="O8862" t="s">
        <v>52</v>
      </c>
      <c r="P8862">
        <v>33647</v>
      </c>
      <c r="Q8862">
        <v>3165</v>
      </c>
      <c r="R8862" t="s">
        <v>23</v>
      </c>
      <c r="S8862" s="1" t="s">
        <v>34218</v>
      </c>
    </row>
    <row r="8863" spans="1:19" x14ac:dyDescent="0.25">
      <c r="A8863">
        <v>101417144</v>
      </c>
      <c r="B8863" t="s">
        <v>1370</v>
      </c>
      <c r="C8863" t="s">
        <v>11308</v>
      </c>
      <c r="G8863" t="s">
        <v>18936</v>
      </c>
      <c r="H8863" t="s">
        <v>653</v>
      </c>
      <c r="I8863" t="s">
        <v>117</v>
      </c>
      <c r="J8863">
        <v>10011</v>
      </c>
      <c r="L8863" t="s">
        <v>23</v>
      </c>
      <c r="M8863" t="s">
        <v>18936</v>
      </c>
      <c r="N8863" t="s">
        <v>653</v>
      </c>
      <c r="O8863" t="s">
        <v>117</v>
      </c>
      <c r="P8863">
        <v>10011</v>
      </c>
      <c r="R8863" t="s">
        <v>23</v>
      </c>
      <c r="S8863" s="1" t="s">
        <v>34218</v>
      </c>
    </row>
    <row r="8864" spans="1:19" x14ac:dyDescent="0.25">
      <c r="A8864">
        <v>100815036</v>
      </c>
      <c r="B8864" t="s">
        <v>93</v>
      </c>
      <c r="C8864" t="s">
        <v>247</v>
      </c>
      <c r="G8864" t="s">
        <v>20288</v>
      </c>
      <c r="H8864" t="s">
        <v>2309</v>
      </c>
      <c r="I8864" t="s">
        <v>307</v>
      </c>
      <c r="J8864">
        <v>5363</v>
      </c>
      <c r="K8864">
        <v>696</v>
      </c>
      <c r="L8864" t="s">
        <v>23</v>
      </c>
      <c r="M8864" t="s">
        <v>20288</v>
      </c>
      <c r="N8864" t="s">
        <v>2309</v>
      </c>
      <c r="O8864" t="s">
        <v>307</v>
      </c>
      <c r="P8864">
        <v>5363</v>
      </c>
      <c r="Q8864">
        <v>696</v>
      </c>
      <c r="R8864" t="s">
        <v>23</v>
      </c>
      <c r="S8864" s="1" t="s">
        <v>34218</v>
      </c>
    </row>
    <row r="8865" spans="1:19" x14ac:dyDescent="0.25">
      <c r="A8865">
        <v>101419101</v>
      </c>
      <c r="B8865" t="s">
        <v>20289</v>
      </c>
      <c r="C8865" t="s">
        <v>20290</v>
      </c>
      <c r="G8865" t="s">
        <v>20291</v>
      </c>
      <c r="H8865" t="s">
        <v>352</v>
      </c>
      <c r="I8865" t="s">
        <v>148</v>
      </c>
      <c r="J8865">
        <v>20706</v>
      </c>
      <c r="L8865" t="s">
        <v>23</v>
      </c>
      <c r="M8865" t="s">
        <v>20291</v>
      </c>
      <c r="N8865" t="s">
        <v>352</v>
      </c>
      <c r="O8865" t="s">
        <v>148</v>
      </c>
      <c r="P8865">
        <v>20706</v>
      </c>
      <c r="R8865" t="s">
        <v>23</v>
      </c>
      <c r="S8865" s="1" t="s">
        <v>34218</v>
      </c>
    </row>
    <row r="8866" spans="1:19" x14ac:dyDescent="0.25">
      <c r="A8866">
        <v>100706217</v>
      </c>
      <c r="B8866" t="s">
        <v>20292</v>
      </c>
      <c r="C8866" t="s">
        <v>1212</v>
      </c>
      <c r="G8866" t="s">
        <v>20293</v>
      </c>
      <c r="H8866" t="s">
        <v>20294</v>
      </c>
      <c r="I8866" t="s">
        <v>2566</v>
      </c>
      <c r="J8866">
        <v>99633</v>
      </c>
      <c r="L8866" t="s">
        <v>23</v>
      </c>
      <c r="M8866" t="s">
        <v>20293</v>
      </c>
      <c r="N8866" t="s">
        <v>20294</v>
      </c>
      <c r="O8866" t="s">
        <v>2566</v>
      </c>
      <c r="P8866">
        <v>99633</v>
      </c>
      <c r="R8866" t="s">
        <v>23</v>
      </c>
      <c r="S8866" s="1" t="s">
        <v>34218</v>
      </c>
    </row>
    <row r="8867" spans="1:19" x14ac:dyDescent="0.25">
      <c r="A8867">
        <v>101297472</v>
      </c>
      <c r="B8867" t="s">
        <v>1872</v>
      </c>
      <c r="C8867" t="s">
        <v>838</v>
      </c>
      <c r="G8867" t="s">
        <v>20295</v>
      </c>
      <c r="H8867" t="s">
        <v>9843</v>
      </c>
      <c r="I8867" t="s">
        <v>236</v>
      </c>
      <c r="J8867">
        <v>1960</v>
      </c>
      <c r="K8867">
        <v>3261</v>
      </c>
      <c r="L8867" t="s">
        <v>23</v>
      </c>
      <c r="M8867" t="s">
        <v>20295</v>
      </c>
      <c r="N8867" t="s">
        <v>9843</v>
      </c>
      <c r="O8867" t="s">
        <v>236</v>
      </c>
      <c r="P8867">
        <v>1960</v>
      </c>
      <c r="Q8867">
        <v>3261</v>
      </c>
      <c r="R8867" t="s">
        <v>23</v>
      </c>
      <c r="S8867" s="1" t="s">
        <v>34218</v>
      </c>
    </row>
    <row r="8868" spans="1:19" x14ac:dyDescent="0.25">
      <c r="A8868">
        <v>101394938</v>
      </c>
      <c r="B8868" t="s">
        <v>20296</v>
      </c>
      <c r="C8868" t="s">
        <v>2453</v>
      </c>
      <c r="H8868" t="s">
        <v>2375</v>
      </c>
      <c r="I8868" t="s">
        <v>100</v>
      </c>
      <c r="J8868">
        <v>53711</v>
      </c>
      <c r="L8868" t="s">
        <v>23</v>
      </c>
      <c r="N8868" t="s">
        <v>2375</v>
      </c>
      <c r="O8868" t="s">
        <v>100</v>
      </c>
      <c r="P8868">
        <v>53711</v>
      </c>
      <c r="R8868" t="s">
        <v>23</v>
      </c>
      <c r="S8868" s="1" t="s">
        <v>34218</v>
      </c>
    </row>
    <row r="8869" spans="1:19" x14ac:dyDescent="0.25">
      <c r="A8869">
        <v>101289696</v>
      </c>
      <c r="B8869" t="s">
        <v>20297</v>
      </c>
      <c r="C8869" t="s">
        <v>1295</v>
      </c>
      <c r="H8869" t="s">
        <v>20298</v>
      </c>
      <c r="I8869" t="s">
        <v>20299</v>
      </c>
      <c r="J8869">
        <v>52072</v>
      </c>
      <c r="L8869" t="s">
        <v>2310</v>
      </c>
      <c r="N8869" t="s">
        <v>20298</v>
      </c>
      <c r="O8869" t="s">
        <v>20299</v>
      </c>
      <c r="P8869">
        <v>52072</v>
      </c>
      <c r="R8869" t="s">
        <v>2310</v>
      </c>
      <c r="S8869" s="1" t="s">
        <v>34218</v>
      </c>
    </row>
    <row r="8870" spans="1:19" x14ac:dyDescent="0.25">
      <c r="A8870">
        <v>101480796</v>
      </c>
      <c r="B8870" t="s">
        <v>20300</v>
      </c>
      <c r="C8870" t="s">
        <v>20301</v>
      </c>
      <c r="G8870" t="s">
        <v>20302</v>
      </c>
      <c r="H8870" t="s">
        <v>10562</v>
      </c>
      <c r="I8870" t="s">
        <v>255</v>
      </c>
      <c r="J8870">
        <v>20170</v>
      </c>
      <c r="L8870" t="s">
        <v>23</v>
      </c>
      <c r="M8870" t="s">
        <v>20302</v>
      </c>
      <c r="N8870" t="s">
        <v>10562</v>
      </c>
      <c r="O8870" t="s">
        <v>255</v>
      </c>
      <c r="P8870">
        <v>20170</v>
      </c>
      <c r="R8870" t="s">
        <v>23</v>
      </c>
      <c r="S8870" s="1" t="s">
        <v>34218</v>
      </c>
    </row>
    <row r="8871" spans="1:19" x14ac:dyDescent="0.25">
      <c r="A8871">
        <v>101475044</v>
      </c>
      <c r="B8871" t="s">
        <v>20303</v>
      </c>
      <c r="C8871" t="s">
        <v>2232</v>
      </c>
      <c r="G8871" t="s">
        <v>20304</v>
      </c>
      <c r="H8871" t="s">
        <v>27</v>
      </c>
      <c r="I8871" t="s">
        <v>28</v>
      </c>
      <c r="J8871">
        <v>30360</v>
      </c>
      <c r="K8871">
        <v>1409</v>
      </c>
      <c r="L8871" t="s">
        <v>23</v>
      </c>
      <c r="M8871" t="s">
        <v>20304</v>
      </c>
      <c r="N8871" t="s">
        <v>27</v>
      </c>
      <c r="O8871" t="s">
        <v>28</v>
      </c>
      <c r="P8871">
        <v>30360</v>
      </c>
      <c r="Q8871">
        <v>1409</v>
      </c>
      <c r="R8871" t="s">
        <v>23</v>
      </c>
      <c r="S8871" s="1" t="s">
        <v>34218</v>
      </c>
    </row>
    <row r="8872" spans="1:19" x14ac:dyDescent="0.25">
      <c r="A8872">
        <v>101475055</v>
      </c>
      <c r="B8872" t="s">
        <v>1187</v>
      </c>
      <c r="C8872" t="s">
        <v>440</v>
      </c>
      <c r="G8872" t="s">
        <v>20305</v>
      </c>
      <c r="H8872" t="s">
        <v>6435</v>
      </c>
      <c r="I8872" t="s">
        <v>28</v>
      </c>
      <c r="J8872">
        <v>30747</v>
      </c>
      <c r="L8872" t="s">
        <v>23</v>
      </c>
      <c r="M8872" t="s">
        <v>20305</v>
      </c>
      <c r="N8872" t="s">
        <v>6435</v>
      </c>
      <c r="O8872" t="s">
        <v>28</v>
      </c>
      <c r="P8872">
        <v>30747</v>
      </c>
      <c r="R8872" t="s">
        <v>23</v>
      </c>
      <c r="S8872" s="1" t="s">
        <v>34218</v>
      </c>
    </row>
    <row r="8873" spans="1:19" x14ac:dyDescent="0.25">
      <c r="A8873">
        <v>101475344</v>
      </c>
      <c r="B8873" t="s">
        <v>20306</v>
      </c>
      <c r="C8873" t="s">
        <v>1835</v>
      </c>
      <c r="G8873" t="s">
        <v>20307</v>
      </c>
      <c r="H8873" t="s">
        <v>20308</v>
      </c>
      <c r="I8873" t="s">
        <v>255</v>
      </c>
      <c r="J8873">
        <v>22832</v>
      </c>
      <c r="K8873">
        <v>2033</v>
      </c>
      <c r="L8873" t="s">
        <v>23</v>
      </c>
      <c r="M8873" t="s">
        <v>20307</v>
      </c>
      <c r="N8873" t="s">
        <v>20308</v>
      </c>
      <c r="O8873" t="s">
        <v>255</v>
      </c>
      <c r="P8873">
        <v>22832</v>
      </c>
      <c r="Q8873">
        <v>2033</v>
      </c>
      <c r="R8873" t="s">
        <v>23</v>
      </c>
      <c r="S8873" s="1" t="s">
        <v>34218</v>
      </c>
    </row>
    <row r="8874" spans="1:19" x14ac:dyDescent="0.25">
      <c r="A8874">
        <v>101475412</v>
      </c>
      <c r="B8874" t="s">
        <v>15328</v>
      </c>
      <c r="C8874" t="s">
        <v>575</v>
      </c>
      <c r="G8874" t="s">
        <v>20309</v>
      </c>
      <c r="H8874" t="s">
        <v>20310</v>
      </c>
      <c r="I8874" t="s">
        <v>327</v>
      </c>
      <c r="J8874">
        <v>26525</v>
      </c>
      <c r="K8874">
        <v>6223</v>
      </c>
      <c r="L8874" t="s">
        <v>23</v>
      </c>
      <c r="M8874" t="s">
        <v>20309</v>
      </c>
      <c r="N8874" t="s">
        <v>20310</v>
      </c>
      <c r="O8874" t="s">
        <v>327</v>
      </c>
      <c r="P8874">
        <v>26525</v>
      </c>
      <c r="Q8874">
        <v>6223</v>
      </c>
      <c r="R8874" t="s">
        <v>23</v>
      </c>
      <c r="S8874" s="1" t="s">
        <v>34218</v>
      </c>
    </row>
    <row r="8875" spans="1:19" x14ac:dyDescent="0.25">
      <c r="A8875">
        <v>101475421</v>
      </c>
      <c r="B8875" t="s">
        <v>20311</v>
      </c>
      <c r="C8875" t="s">
        <v>20312</v>
      </c>
      <c r="G8875" t="s">
        <v>20313</v>
      </c>
      <c r="H8875" t="s">
        <v>5579</v>
      </c>
      <c r="I8875" t="s">
        <v>446</v>
      </c>
      <c r="J8875">
        <v>27106</v>
      </c>
      <c r="K8875">
        <v>3844</v>
      </c>
      <c r="L8875" t="s">
        <v>23</v>
      </c>
      <c r="M8875" t="s">
        <v>20313</v>
      </c>
      <c r="N8875" t="s">
        <v>5579</v>
      </c>
      <c r="O8875" t="s">
        <v>446</v>
      </c>
      <c r="P8875">
        <v>27106</v>
      </c>
      <c r="Q8875">
        <v>3844</v>
      </c>
      <c r="R8875" t="s">
        <v>23</v>
      </c>
      <c r="S8875" s="1" t="s">
        <v>34218</v>
      </c>
    </row>
    <row r="8876" spans="1:19" x14ac:dyDescent="0.25">
      <c r="A8876">
        <v>101475446</v>
      </c>
      <c r="B8876" t="s">
        <v>20314</v>
      </c>
      <c r="C8876" t="s">
        <v>7792</v>
      </c>
      <c r="G8876" t="s">
        <v>20315</v>
      </c>
      <c r="H8876" t="s">
        <v>2792</v>
      </c>
      <c r="I8876" t="s">
        <v>446</v>
      </c>
      <c r="J8876">
        <v>27519</v>
      </c>
      <c r="K8876">
        <v>7590</v>
      </c>
      <c r="L8876" t="s">
        <v>23</v>
      </c>
      <c r="M8876" t="s">
        <v>20315</v>
      </c>
      <c r="N8876" t="s">
        <v>2792</v>
      </c>
      <c r="O8876" t="s">
        <v>446</v>
      </c>
      <c r="P8876">
        <v>27519</v>
      </c>
      <c r="Q8876">
        <v>7590</v>
      </c>
      <c r="R8876" t="s">
        <v>23</v>
      </c>
      <c r="S8876" s="1" t="s">
        <v>34218</v>
      </c>
    </row>
    <row r="8877" spans="1:19" x14ac:dyDescent="0.25">
      <c r="A8877">
        <v>101475455</v>
      </c>
      <c r="B8877" t="s">
        <v>4449</v>
      </c>
      <c r="C8877" t="s">
        <v>1818</v>
      </c>
      <c r="G8877" t="s">
        <v>20316</v>
      </c>
      <c r="H8877" t="s">
        <v>3906</v>
      </c>
      <c r="I8877" t="s">
        <v>33</v>
      </c>
      <c r="J8877">
        <v>19530</v>
      </c>
      <c r="K8877">
        <v>9174</v>
      </c>
      <c r="L8877" t="s">
        <v>23</v>
      </c>
      <c r="M8877" t="s">
        <v>20316</v>
      </c>
      <c r="N8877" t="s">
        <v>3906</v>
      </c>
      <c r="O8877" t="s">
        <v>33</v>
      </c>
      <c r="P8877">
        <v>19530</v>
      </c>
      <c r="Q8877">
        <v>9174</v>
      </c>
      <c r="R8877" t="s">
        <v>23</v>
      </c>
      <c r="S8877" s="1" t="s">
        <v>34218</v>
      </c>
    </row>
    <row r="8878" spans="1:19" x14ac:dyDescent="0.25">
      <c r="A8878">
        <v>101475480</v>
      </c>
      <c r="B8878" t="s">
        <v>289</v>
      </c>
      <c r="C8878" t="s">
        <v>916</v>
      </c>
      <c r="G8878" t="s">
        <v>20317</v>
      </c>
      <c r="H8878" t="s">
        <v>19363</v>
      </c>
      <c r="I8878" t="s">
        <v>2310</v>
      </c>
      <c r="J8878">
        <v>19966</v>
      </c>
      <c r="K8878">
        <v>7269</v>
      </c>
      <c r="L8878" t="s">
        <v>23</v>
      </c>
      <c r="M8878" t="s">
        <v>20317</v>
      </c>
      <c r="N8878" t="s">
        <v>19363</v>
      </c>
      <c r="O8878" t="s">
        <v>2310</v>
      </c>
      <c r="P8878">
        <v>19966</v>
      </c>
      <c r="Q8878">
        <v>7269</v>
      </c>
      <c r="R8878" t="s">
        <v>23</v>
      </c>
      <c r="S8878" s="1" t="s">
        <v>34218</v>
      </c>
    </row>
    <row r="8879" spans="1:19" x14ac:dyDescent="0.25">
      <c r="A8879">
        <v>101475612</v>
      </c>
      <c r="B8879" t="s">
        <v>928</v>
      </c>
      <c r="C8879" t="s">
        <v>266</v>
      </c>
      <c r="G8879" t="s">
        <v>20318</v>
      </c>
      <c r="H8879" t="s">
        <v>4577</v>
      </c>
      <c r="I8879" t="s">
        <v>178</v>
      </c>
      <c r="J8879">
        <v>45344</v>
      </c>
      <c r="K8879">
        <v>1119</v>
      </c>
      <c r="L8879" t="s">
        <v>23</v>
      </c>
      <c r="M8879" t="s">
        <v>20318</v>
      </c>
      <c r="N8879" t="s">
        <v>4577</v>
      </c>
      <c r="O8879" t="s">
        <v>178</v>
      </c>
      <c r="P8879">
        <v>45344</v>
      </c>
      <c r="Q8879">
        <v>1119</v>
      </c>
      <c r="R8879" t="s">
        <v>23</v>
      </c>
      <c r="S8879" s="1" t="s">
        <v>34218</v>
      </c>
    </row>
    <row r="8880" spans="1:19" x14ac:dyDescent="0.25">
      <c r="A8880">
        <v>101475621</v>
      </c>
      <c r="B8880" t="s">
        <v>276</v>
      </c>
      <c r="C8880" t="s">
        <v>1208</v>
      </c>
      <c r="G8880" t="s">
        <v>20319</v>
      </c>
      <c r="H8880" t="s">
        <v>3183</v>
      </c>
      <c r="I8880" t="s">
        <v>178</v>
      </c>
      <c r="J8880">
        <v>45429</v>
      </c>
      <c r="K8880">
        <v>5509</v>
      </c>
      <c r="L8880" t="s">
        <v>23</v>
      </c>
      <c r="M8880" t="s">
        <v>20319</v>
      </c>
      <c r="N8880" t="s">
        <v>3183</v>
      </c>
      <c r="O8880" t="s">
        <v>178</v>
      </c>
      <c r="P8880">
        <v>45429</v>
      </c>
      <c r="Q8880">
        <v>5509</v>
      </c>
      <c r="R8880" t="s">
        <v>23</v>
      </c>
      <c r="S8880" s="1" t="s">
        <v>34218</v>
      </c>
    </row>
    <row r="8881" spans="1:19" x14ac:dyDescent="0.25">
      <c r="A8881">
        <v>101475648</v>
      </c>
      <c r="B8881" t="s">
        <v>10741</v>
      </c>
      <c r="C8881" t="s">
        <v>1598</v>
      </c>
      <c r="G8881" t="s">
        <v>20320</v>
      </c>
      <c r="H8881" t="s">
        <v>7649</v>
      </c>
      <c r="I8881" t="s">
        <v>57</v>
      </c>
      <c r="J8881">
        <v>46241</v>
      </c>
      <c r="K8881">
        <v>2135</v>
      </c>
      <c r="L8881" t="s">
        <v>23</v>
      </c>
      <c r="M8881" t="s">
        <v>20320</v>
      </c>
      <c r="N8881" t="s">
        <v>7649</v>
      </c>
      <c r="O8881" t="s">
        <v>57</v>
      </c>
      <c r="P8881">
        <v>46241</v>
      </c>
      <c r="Q8881">
        <v>2135</v>
      </c>
      <c r="R8881" t="s">
        <v>23</v>
      </c>
      <c r="S8881" s="1" t="s">
        <v>34218</v>
      </c>
    </row>
    <row r="8882" spans="1:19" x14ac:dyDescent="0.25">
      <c r="A8882">
        <v>101475681</v>
      </c>
      <c r="B8882" t="s">
        <v>1415</v>
      </c>
      <c r="C8882" t="s">
        <v>522</v>
      </c>
      <c r="G8882" t="s">
        <v>20321</v>
      </c>
      <c r="H8882" t="s">
        <v>13555</v>
      </c>
      <c r="I8882" t="s">
        <v>57</v>
      </c>
      <c r="J8882">
        <v>47130</v>
      </c>
      <c r="K8882">
        <v>5887</v>
      </c>
      <c r="L8882" t="s">
        <v>23</v>
      </c>
      <c r="M8882" t="s">
        <v>20321</v>
      </c>
      <c r="N8882" t="s">
        <v>13555</v>
      </c>
      <c r="O8882" t="s">
        <v>57</v>
      </c>
      <c r="P8882">
        <v>47130</v>
      </c>
      <c r="Q8882">
        <v>5887</v>
      </c>
      <c r="R8882" t="s">
        <v>23</v>
      </c>
      <c r="S8882" s="1" t="s">
        <v>34218</v>
      </c>
    </row>
    <row r="8883" spans="1:19" x14ac:dyDescent="0.25">
      <c r="A8883">
        <v>101475858</v>
      </c>
      <c r="B8883" t="s">
        <v>20322</v>
      </c>
      <c r="C8883" t="s">
        <v>1671</v>
      </c>
      <c r="G8883" t="s">
        <v>20323</v>
      </c>
      <c r="H8883" t="s">
        <v>17949</v>
      </c>
      <c r="I8883" t="s">
        <v>178</v>
      </c>
      <c r="J8883">
        <v>43015</v>
      </c>
      <c r="K8883">
        <v>3248</v>
      </c>
      <c r="L8883" t="s">
        <v>23</v>
      </c>
      <c r="M8883" t="s">
        <v>20323</v>
      </c>
      <c r="N8883" t="s">
        <v>17949</v>
      </c>
      <c r="O8883" t="s">
        <v>178</v>
      </c>
      <c r="P8883">
        <v>43015</v>
      </c>
      <c r="Q8883">
        <v>3248</v>
      </c>
      <c r="R8883" t="s">
        <v>23</v>
      </c>
      <c r="S8883" s="1" t="s">
        <v>34218</v>
      </c>
    </row>
    <row r="8884" spans="1:19" x14ac:dyDescent="0.25">
      <c r="A8884">
        <v>101475888</v>
      </c>
      <c r="B8884" t="s">
        <v>20324</v>
      </c>
      <c r="C8884" t="s">
        <v>20325</v>
      </c>
      <c r="G8884" t="s">
        <v>20326</v>
      </c>
      <c r="H8884" t="s">
        <v>844</v>
      </c>
      <c r="I8884" t="s">
        <v>178</v>
      </c>
      <c r="J8884">
        <v>43402</v>
      </c>
      <c r="K8884">
        <v>3933</v>
      </c>
      <c r="L8884" t="s">
        <v>23</v>
      </c>
      <c r="M8884" t="s">
        <v>20326</v>
      </c>
      <c r="N8884" t="s">
        <v>844</v>
      </c>
      <c r="O8884" t="s">
        <v>178</v>
      </c>
      <c r="P8884">
        <v>43402</v>
      </c>
      <c r="Q8884">
        <v>3933</v>
      </c>
      <c r="R8884" t="s">
        <v>23</v>
      </c>
      <c r="S8884" s="1" t="s">
        <v>34218</v>
      </c>
    </row>
    <row r="8885" spans="1:19" x14ac:dyDescent="0.25">
      <c r="A8885">
        <v>101476316</v>
      </c>
      <c r="B8885" t="s">
        <v>20327</v>
      </c>
      <c r="C8885" t="s">
        <v>432</v>
      </c>
      <c r="G8885" t="s">
        <v>20328</v>
      </c>
      <c r="H8885" t="s">
        <v>20329</v>
      </c>
      <c r="I8885" t="s">
        <v>1097</v>
      </c>
      <c r="J8885">
        <v>41041</v>
      </c>
      <c r="K8885">
        <v>8089</v>
      </c>
      <c r="L8885" t="s">
        <v>23</v>
      </c>
      <c r="M8885" t="s">
        <v>20328</v>
      </c>
      <c r="N8885" t="s">
        <v>20329</v>
      </c>
      <c r="O8885" t="s">
        <v>1097</v>
      </c>
      <c r="P8885">
        <v>41041</v>
      </c>
      <c r="Q8885">
        <v>8089</v>
      </c>
      <c r="R8885" t="s">
        <v>23</v>
      </c>
      <c r="S8885" s="1" t="s">
        <v>34218</v>
      </c>
    </row>
    <row r="8886" spans="1:19" x14ac:dyDescent="0.25">
      <c r="A8886">
        <v>101476359</v>
      </c>
      <c r="B8886" t="s">
        <v>20330</v>
      </c>
      <c r="C8886" t="s">
        <v>3511</v>
      </c>
      <c r="G8886" t="s">
        <v>20331</v>
      </c>
      <c r="H8886" t="s">
        <v>412</v>
      </c>
      <c r="I8886" t="s">
        <v>117</v>
      </c>
      <c r="J8886">
        <v>11217</v>
      </c>
      <c r="K8886">
        <v>1644</v>
      </c>
      <c r="L8886" t="s">
        <v>23</v>
      </c>
      <c r="M8886" t="s">
        <v>20331</v>
      </c>
      <c r="N8886" t="s">
        <v>412</v>
      </c>
      <c r="O8886" t="s">
        <v>117</v>
      </c>
      <c r="P8886">
        <v>11217</v>
      </c>
      <c r="Q8886">
        <v>1644</v>
      </c>
      <c r="R8886" t="s">
        <v>23</v>
      </c>
      <c r="S8886" s="1" t="s">
        <v>34218</v>
      </c>
    </row>
    <row r="8887" spans="1:19" x14ac:dyDescent="0.25">
      <c r="A8887">
        <v>101476361</v>
      </c>
      <c r="B8887" t="s">
        <v>20332</v>
      </c>
      <c r="C8887" t="s">
        <v>403</v>
      </c>
      <c r="G8887" t="s">
        <v>20333</v>
      </c>
      <c r="H8887" t="s">
        <v>412</v>
      </c>
      <c r="I8887" t="s">
        <v>117</v>
      </c>
      <c r="J8887">
        <v>11218</v>
      </c>
      <c r="K8887">
        <v>7200</v>
      </c>
      <c r="L8887" t="s">
        <v>23</v>
      </c>
      <c r="M8887" t="s">
        <v>20333</v>
      </c>
      <c r="N8887" t="s">
        <v>412</v>
      </c>
      <c r="O8887" t="s">
        <v>117</v>
      </c>
      <c r="P8887">
        <v>11218</v>
      </c>
      <c r="Q8887">
        <v>7200</v>
      </c>
      <c r="R8887" t="s">
        <v>23</v>
      </c>
      <c r="S8887" s="1" t="s">
        <v>34218</v>
      </c>
    </row>
    <row r="8888" spans="1:19" x14ac:dyDescent="0.25">
      <c r="A8888">
        <v>101476394</v>
      </c>
      <c r="B8888" t="s">
        <v>15714</v>
      </c>
      <c r="C8888" t="s">
        <v>479</v>
      </c>
      <c r="G8888" t="s">
        <v>20334</v>
      </c>
      <c r="H8888" t="s">
        <v>4105</v>
      </c>
      <c r="I8888" t="s">
        <v>117</v>
      </c>
      <c r="J8888">
        <v>11375</v>
      </c>
      <c r="K8888">
        <v>4141</v>
      </c>
      <c r="L8888" t="s">
        <v>23</v>
      </c>
      <c r="M8888" t="s">
        <v>20334</v>
      </c>
      <c r="N8888" t="s">
        <v>4105</v>
      </c>
      <c r="O8888" t="s">
        <v>117</v>
      </c>
      <c r="P8888">
        <v>11375</v>
      </c>
      <c r="Q8888">
        <v>4141</v>
      </c>
      <c r="R8888" t="s">
        <v>23</v>
      </c>
      <c r="S8888" s="1" t="s">
        <v>34218</v>
      </c>
    </row>
    <row r="8889" spans="1:19" x14ac:dyDescent="0.25">
      <c r="A8889">
        <v>101476419</v>
      </c>
      <c r="B8889" t="s">
        <v>20335</v>
      </c>
      <c r="C8889" t="s">
        <v>2127</v>
      </c>
      <c r="G8889" t="s">
        <v>20336</v>
      </c>
      <c r="H8889" t="s">
        <v>20337</v>
      </c>
      <c r="I8889" t="s">
        <v>117</v>
      </c>
      <c r="J8889">
        <v>11729</v>
      </c>
      <c r="K8889">
        <v>5308</v>
      </c>
      <c r="L8889" t="s">
        <v>23</v>
      </c>
      <c r="M8889" t="s">
        <v>20336</v>
      </c>
      <c r="N8889" t="s">
        <v>20337</v>
      </c>
      <c r="O8889" t="s">
        <v>117</v>
      </c>
      <c r="P8889">
        <v>11729</v>
      </c>
      <c r="Q8889">
        <v>5308</v>
      </c>
      <c r="R8889" t="s">
        <v>23</v>
      </c>
      <c r="S8889" s="1" t="s">
        <v>34218</v>
      </c>
    </row>
    <row r="8890" spans="1:19" x14ac:dyDescent="0.25">
      <c r="A8890">
        <v>101476460</v>
      </c>
      <c r="B8890" t="s">
        <v>306</v>
      </c>
      <c r="C8890" t="s">
        <v>4427</v>
      </c>
      <c r="G8890" t="s">
        <v>20338</v>
      </c>
      <c r="H8890" t="s">
        <v>1052</v>
      </c>
      <c r="I8890" t="s">
        <v>117</v>
      </c>
      <c r="J8890">
        <v>12210</v>
      </c>
      <c r="K8890">
        <v>1026</v>
      </c>
      <c r="L8890" t="s">
        <v>23</v>
      </c>
      <c r="M8890" t="s">
        <v>20338</v>
      </c>
      <c r="N8890" t="s">
        <v>1052</v>
      </c>
      <c r="O8890" t="s">
        <v>117</v>
      </c>
      <c r="P8890">
        <v>12210</v>
      </c>
      <c r="Q8890">
        <v>1026</v>
      </c>
      <c r="R8890" t="s">
        <v>23</v>
      </c>
      <c r="S8890" s="1" t="s">
        <v>34218</v>
      </c>
    </row>
    <row r="8891" spans="1:19" x14ac:dyDescent="0.25">
      <c r="A8891">
        <v>101476619</v>
      </c>
      <c r="B8891" t="s">
        <v>558</v>
      </c>
      <c r="C8891" t="s">
        <v>2193</v>
      </c>
      <c r="G8891" t="s">
        <v>20339</v>
      </c>
      <c r="H8891" t="s">
        <v>1250</v>
      </c>
      <c r="I8891" t="s">
        <v>52</v>
      </c>
      <c r="J8891">
        <v>34481</v>
      </c>
      <c r="K8891">
        <v>1323</v>
      </c>
      <c r="L8891" t="s">
        <v>23</v>
      </c>
      <c r="M8891" t="s">
        <v>20339</v>
      </c>
      <c r="N8891" t="s">
        <v>1250</v>
      </c>
      <c r="O8891" t="s">
        <v>52</v>
      </c>
      <c r="P8891">
        <v>34481</v>
      </c>
      <c r="Q8891">
        <v>1323</v>
      </c>
      <c r="R8891" t="s">
        <v>23</v>
      </c>
      <c r="S8891" s="1" t="s">
        <v>34218</v>
      </c>
    </row>
    <row r="8892" spans="1:19" x14ac:dyDescent="0.25">
      <c r="A8892">
        <v>101476626</v>
      </c>
      <c r="B8892" t="s">
        <v>5220</v>
      </c>
      <c r="C8892" t="s">
        <v>1906</v>
      </c>
      <c r="G8892" t="s">
        <v>20340</v>
      </c>
      <c r="H8892" t="s">
        <v>20341</v>
      </c>
      <c r="I8892" t="s">
        <v>52</v>
      </c>
      <c r="J8892">
        <v>34607</v>
      </c>
      <c r="K8892">
        <v>3507</v>
      </c>
      <c r="L8892" t="s">
        <v>23</v>
      </c>
      <c r="M8892" t="s">
        <v>20340</v>
      </c>
      <c r="N8892" t="s">
        <v>20341</v>
      </c>
      <c r="O8892" t="s">
        <v>52</v>
      </c>
      <c r="P8892">
        <v>34607</v>
      </c>
      <c r="Q8892">
        <v>3507</v>
      </c>
      <c r="R8892" t="s">
        <v>23</v>
      </c>
      <c r="S8892" s="1" t="s">
        <v>34218</v>
      </c>
    </row>
    <row r="8893" spans="1:19" x14ac:dyDescent="0.25">
      <c r="A8893">
        <v>101476753</v>
      </c>
      <c r="B8893" t="s">
        <v>5364</v>
      </c>
      <c r="C8893" t="s">
        <v>20342</v>
      </c>
      <c r="G8893" t="s">
        <v>20343</v>
      </c>
      <c r="H8893" t="s">
        <v>20344</v>
      </c>
      <c r="I8893" t="s">
        <v>38</v>
      </c>
      <c r="J8893">
        <v>75244</v>
      </c>
      <c r="K8893">
        <v>4748</v>
      </c>
      <c r="L8893" t="s">
        <v>23</v>
      </c>
      <c r="M8893" t="s">
        <v>20343</v>
      </c>
      <c r="N8893" t="s">
        <v>20344</v>
      </c>
      <c r="O8893" t="s">
        <v>38</v>
      </c>
      <c r="P8893">
        <v>75244</v>
      </c>
      <c r="Q8893">
        <v>4748</v>
      </c>
      <c r="R8893" t="s">
        <v>23</v>
      </c>
      <c r="S8893" s="1" t="s">
        <v>34218</v>
      </c>
    </row>
    <row r="8894" spans="1:19" x14ac:dyDescent="0.25">
      <c r="A8894">
        <v>101476819</v>
      </c>
      <c r="B8894" t="s">
        <v>20345</v>
      </c>
      <c r="C8894" t="s">
        <v>1120</v>
      </c>
      <c r="G8894" t="s">
        <v>20346</v>
      </c>
      <c r="H8894" t="s">
        <v>20347</v>
      </c>
      <c r="I8894" t="s">
        <v>126</v>
      </c>
      <c r="J8894">
        <v>63456</v>
      </c>
      <c r="K8894">
        <v>2914</v>
      </c>
      <c r="L8894" t="s">
        <v>23</v>
      </c>
      <c r="M8894" t="s">
        <v>20346</v>
      </c>
      <c r="N8894" t="s">
        <v>20347</v>
      </c>
      <c r="O8894" t="s">
        <v>126</v>
      </c>
      <c r="P8894">
        <v>63456</v>
      </c>
      <c r="Q8894">
        <v>2914</v>
      </c>
      <c r="R8894" t="s">
        <v>23</v>
      </c>
      <c r="S8894" s="1" t="s">
        <v>34218</v>
      </c>
    </row>
    <row r="8895" spans="1:19" x14ac:dyDescent="0.25">
      <c r="A8895">
        <v>101476851</v>
      </c>
      <c r="B8895" t="s">
        <v>20348</v>
      </c>
      <c r="C8895" t="s">
        <v>90</v>
      </c>
      <c r="G8895" t="s">
        <v>20349</v>
      </c>
      <c r="H8895" t="s">
        <v>13675</v>
      </c>
      <c r="I8895" t="s">
        <v>126</v>
      </c>
      <c r="J8895">
        <v>64836</v>
      </c>
      <c r="K8895">
        <v>1021</v>
      </c>
      <c r="L8895" t="s">
        <v>23</v>
      </c>
      <c r="M8895" t="s">
        <v>20349</v>
      </c>
      <c r="N8895" t="s">
        <v>13675</v>
      </c>
      <c r="O8895" t="s">
        <v>126</v>
      </c>
      <c r="P8895">
        <v>64836</v>
      </c>
      <c r="Q8895">
        <v>1021</v>
      </c>
      <c r="R8895" t="s">
        <v>23</v>
      </c>
      <c r="S8895" s="1" t="s">
        <v>34218</v>
      </c>
    </row>
    <row r="8896" spans="1:19" x14ac:dyDescent="0.25">
      <c r="A8896">
        <v>101476863</v>
      </c>
      <c r="B8896" t="s">
        <v>20350</v>
      </c>
      <c r="C8896" t="s">
        <v>90</v>
      </c>
      <c r="G8896" t="s">
        <v>20351</v>
      </c>
      <c r="H8896" t="s">
        <v>20352</v>
      </c>
      <c r="I8896" t="s">
        <v>126</v>
      </c>
      <c r="J8896">
        <v>65401</v>
      </c>
      <c r="K8896">
        <v>3708</v>
      </c>
      <c r="L8896" t="s">
        <v>23</v>
      </c>
      <c r="M8896" t="s">
        <v>20351</v>
      </c>
      <c r="N8896" t="s">
        <v>20352</v>
      </c>
      <c r="O8896" t="s">
        <v>126</v>
      </c>
      <c r="P8896">
        <v>65401</v>
      </c>
      <c r="Q8896">
        <v>3708</v>
      </c>
      <c r="R8896" t="s">
        <v>23</v>
      </c>
      <c r="S8896" s="1" t="s">
        <v>34218</v>
      </c>
    </row>
    <row r="8897" spans="1:19" x14ac:dyDescent="0.25">
      <c r="A8897">
        <v>101476895</v>
      </c>
      <c r="B8897" t="s">
        <v>20353</v>
      </c>
      <c r="C8897" t="s">
        <v>1323</v>
      </c>
      <c r="G8897" t="s">
        <v>20354</v>
      </c>
      <c r="H8897" t="s">
        <v>4917</v>
      </c>
      <c r="I8897" t="s">
        <v>241</v>
      </c>
      <c r="J8897">
        <v>66608</v>
      </c>
      <c r="K8897">
        <v>1627</v>
      </c>
      <c r="L8897" t="s">
        <v>23</v>
      </c>
      <c r="M8897" t="s">
        <v>20354</v>
      </c>
      <c r="N8897" t="s">
        <v>4917</v>
      </c>
      <c r="O8897" t="s">
        <v>241</v>
      </c>
      <c r="P8897">
        <v>66608</v>
      </c>
      <c r="Q8897">
        <v>1627</v>
      </c>
      <c r="R8897" t="s">
        <v>23</v>
      </c>
      <c r="S8897" s="1" t="s">
        <v>34218</v>
      </c>
    </row>
    <row r="8898" spans="1:19" x14ac:dyDescent="0.25">
      <c r="A8898">
        <v>101476929</v>
      </c>
      <c r="B8898" t="s">
        <v>4376</v>
      </c>
      <c r="C8898" t="s">
        <v>20355</v>
      </c>
      <c r="G8898" t="s">
        <v>20356</v>
      </c>
      <c r="H8898" t="s">
        <v>1041</v>
      </c>
      <c r="I8898" t="s">
        <v>370</v>
      </c>
      <c r="J8898">
        <v>68339</v>
      </c>
      <c r="K8898">
        <v>9776</v>
      </c>
      <c r="L8898" t="s">
        <v>23</v>
      </c>
      <c r="M8898" t="s">
        <v>20356</v>
      </c>
      <c r="N8898" t="s">
        <v>1041</v>
      </c>
      <c r="O8898" t="s">
        <v>370</v>
      </c>
      <c r="P8898">
        <v>68339</v>
      </c>
      <c r="Q8898">
        <v>9776</v>
      </c>
      <c r="R8898" t="s">
        <v>23</v>
      </c>
      <c r="S8898" s="1" t="s">
        <v>34218</v>
      </c>
    </row>
    <row r="8899" spans="1:19" x14ac:dyDescent="0.25">
      <c r="A8899">
        <v>101477032</v>
      </c>
      <c r="B8899" t="s">
        <v>10320</v>
      </c>
      <c r="C8899" t="s">
        <v>229</v>
      </c>
      <c r="G8899" t="s">
        <v>20357</v>
      </c>
      <c r="H8899" t="s">
        <v>2231</v>
      </c>
      <c r="I8899" t="s">
        <v>22</v>
      </c>
      <c r="J8899">
        <v>91205</v>
      </c>
      <c r="K8899">
        <v>2377</v>
      </c>
      <c r="L8899" t="s">
        <v>23</v>
      </c>
      <c r="M8899" t="s">
        <v>20357</v>
      </c>
      <c r="N8899" t="s">
        <v>2231</v>
      </c>
      <c r="O8899" t="s">
        <v>22</v>
      </c>
      <c r="P8899">
        <v>91205</v>
      </c>
      <c r="Q8899">
        <v>2377</v>
      </c>
      <c r="R8899" t="s">
        <v>23</v>
      </c>
      <c r="S8899" s="1" t="s">
        <v>34218</v>
      </c>
    </row>
    <row r="8900" spans="1:19" x14ac:dyDescent="0.25">
      <c r="A8900">
        <v>101477121</v>
      </c>
      <c r="B8900" t="s">
        <v>2080</v>
      </c>
      <c r="C8900" t="s">
        <v>20358</v>
      </c>
      <c r="G8900" t="s">
        <v>20359</v>
      </c>
      <c r="H8900" t="s">
        <v>3173</v>
      </c>
      <c r="I8900" t="s">
        <v>135</v>
      </c>
      <c r="J8900">
        <v>61111</v>
      </c>
      <c r="K8900">
        <v>7158</v>
      </c>
      <c r="L8900" t="s">
        <v>23</v>
      </c>
      <c r="M8900" t="s">
        <v>20359</v>
      </c>
      <c r="N8900" t="s">
        <v>3173</v>
      </c>
      <c r="O8900" t="s">
        <v>135</v>
      </c>
      <c r="P8900">
        <v>61111</v>
      </c>
      <c r="Q8900">
        <v>7158</v>
      </c>
      <c r="R8900" t="s">
        <v>23</v>
      </c>
      <c r="S8900" s="1" t="s">
        <v>34218</v>
      </c>
    </row>
    <row r="8901" spans="1:19" x14ac:dyDescent="0.25">
      <c r="A8901">
        <v>101477166</v>
      </c>
      <c r="B8901" t="s">
        <v>20360</v>
      </c>
      <c r="C8901" t="s">
        <v>20361</v>
      </c>
      <c r="G8901" t="s">
        <v>20362</v>
      </c>
      <c r="H8901" t="s">
        <v>5916</v>
      </c>
      <c r="I8901" t="s">
        <v>126</v>
      </c>
      <c r="J8901">
        <v>63017</v>
      </c>
      <c r="K8901">
        <v>2217</v>
      </c>
      <c r="L8901" t="s">
        <v>23</v>
      </c>
      <c r="M8901" t="s">
        <v>20362</v>
      </c>
      <c r="N8901" t="s">
        <v>5916</v>
      </c>
      <c r="O8901" t="s">
        <v>126</v>
      </c>
      <c r="P8901">
        <v>63017</v>
      </c>
      <c r="Q8901">
        <v>2217</v>
      </c>
      <c r="R8901" t="s">
        <v>23</v>
      </c>
      <c r="S8901" s="1" t="s">
        <v>34218</v>
      </c>
    </row>
    <row r="8902" spans="1:19" x14ac:dyDescent="0.25">
      <c r="A8902">
        <v>101477221</v>
      </c>
      <c r="B8902" t="s">
        <v>6897</v>
      </c>
      <c r="C8902" t="s">
        <v>13115</v>
      </c>
      <c r="G8902" t="s">
        <v>20363</v>
      </c>
      <c r="H8902" t="s">
        <v>9439</v>
      </c>
      <c r="I8902" t="s">
        <v>187</v>
      </c>
      <c r="J8902">
        <v>55921</v>
      </c>
      <c r="K8902">
        <v>9644</v>
      </c>
      <c r="L8902" t="s">
        <v>23</v>
      </c>
      <c r="M8902" t="s">
        <v>20363</v>
      </c>
      <c r="N8902" t="s">
        <v>9439</v>
      </c>
      <c r="O8902" t="s">
        <v>187</v>
      </c>
      <c r="P8902">
        <v>55921</v>
      </c>
      <c r="Q8902">
        <v>9644</v>
      </c>
      <c r="R8902" t="s">
        <v>23</v>
      </c>
      <c r="S8902" s="1" t="s">
        <v>34218</v>
      </c>
    </row>
    <row r="8903" spans="1:19" x14ac:dyDescent="0.25">
      <c r="A8903">
        <v>101477264</v>
      </c>
      <c r="B8903" t="s">
        <v>686</v>
      </c>
      <c r="C8903" t="s">
        <v>4966</v>
      </c>
      <c r="G8903" t="s">
        <v>20364</v>
      </c>
      <c r="H8903" t="s">
        <v>2141</v>
      </c>
      <c r="I8903" t="s">
        <v>1000</v>
      </c>
      <c r="J8903">
        <v>59718</v>
      </c>
      <c r="K8903">
        <v>7832</v>
      </c>
      <c r="L8903" t="s">
        <v>23</v>
      </c>
      <c r="M8903" t="s">
        <v>20364</v>
      </c>
      <c r="N8903" t="s">
        <v>2141</v>
      </c>
      <c r="O8903" t="s">
        <v>1000</v>
      </c>
      <c r="P8903">
        <v>59718</v>
      </c>
      <c r="Q8903">
        <v>7832</v>
      </c>
      <c r="R8903" t="s">
        <v>23</v>
      </c>
      <c r="S8903" s="1" t="s">
        <v>34218</v>
      </c>
    </row>
    <row r="8904" spans="1:19" x14ac:dyDescent="0.25">
      <c r="A8904">
        <v>101477398</v>
      </c>
      <c r="B8904" t="s">
        <v>6104</v>
      </c>
      <c r="C8904" t="s">
        <v>9405</v>
      </c>
      <c r="G8904" t="s">
        <v>20365</v>
      </c>
      <c r="H8904" t="s">
        <v>1625</v>
      </c>
      <c r="I8904" t="s">
        <v>702</v>
      </c>
      <c r="J8904">
        <v>89014</v>
      </c>
      <c r="K8904">
        <v>2595</v>
      </c>
      <c r="L8904" t="s">
        <v>23</v>
      </c>
      <c r="M8904" t="s">
        <v>20365</v>
      </c>
      <c r="N8904" t="s">
        <v>1625</v>
      </c>
      <c r="O8904" t="s">
        <v>702</v>
      </c>
      <c r="P8904">
        <v>89014</v>
      </c>
      <c r="Q8904">
        <v>2595</v>
      </c>
      <c r="R8904" t="s">
        <v>23</v>
      </c>
      <c r="S8904" s="1" t="s">
        <v>34218</v>
      </c>
    </row>
    <row r="8905" spans="1:19" x14ac:dyDescent="0.25">
      <c r="A8905">
        <v>101477789</v>
      </c>
      <c r="B8905" t="s">
        <v>8946</v>
      </c>
      <c r="C8905" t="s">
        <v>158</v>
      </c>
      <c r="G8905" t="s">
        <v>20366</v>
      </c>
      <c r="H8905" t="s">
        <v>20367</v>
      </c>
      <c r="I8905" t="s">
        <v>639</v>
      </c>
      <c r="J8905">
        <v>87010</v>
      </c>
      <c r="K8905">
        <v>8018</v>
      </c>
      <c r="L8905" t="s">
        <v>23</v>
      </c>
      <c r="M8905" t="s">
        <v>20366</v>
      </c>
      <c r="N8905" t="s">
        <v>20367</v>
      </c>
      <c r="O8905" t="s">
        <v>639</v>
      </c>
      <c r="P8905">
        <v>87010</v>
      </c>
      <c r="Q8905">
        <v>8018</v>
      </c>
      <c r="R8905" t="s">
        <v>23</v>
      </c>
      <c r="S8905" s="1" t="s">
        <v>34218</v>
      </c>
    </row>
    <row r="8906" spans="1:19" x14ac:dyDescent="0.25">
      <c r="A8906">
        <v>101477958</v>
      </c>
      <c r="B8906" t="s">
        <v>20368</v>
      </c>
      <c r="C8906" t="s">
        <v>313</v>
      </c>
      <c r="G8906" t="s">
        <v>20369</v>
      </c>
      <c r="H8906" t="s">
        <v>20370</v>
      </c>
      <c r="I8906" t="s">
        <v>100</v>
      </c>
      <c r="J8906">
        <v>53118</v>
      </c>
      <c r="K8906">
        <v>9710</v>
      </c>
      <c r="L8906" t="s">
        <v>23</v>
      </c>
      <c r="M8906" t="s">
        <v>20369</v>
      </c>
      <c r="N8906" t="s">
        <v>20370</v>
      </c>
      <c r="O8906" t="s">
        <v>100</v>
      </c>
      <c r="P8906">
        <v>53118</v>
      </c>
      <c r="Q8906">
        <v>9710</v>
      </c>
      <c r="R8906" t="s">
        <v>23</v>
      </c>
      <c r="S8906" s="1" t="s">
        <v>34218</v>
      </c>
    </row>
    <row r="8907" spans="1:19" x14ac:dyDescent="0.25">
      <c r="A8907">
        <v>101477999</v>
      </c>
      <c r="B8907" t="s">
        <v>20371</v>
      </c>
      <c r="C8907" t="s">
        <v>554</v>
      </c>
      <c r="G8907" t="s">
        <v>20372</v>
      </c>
      <c r="H8907" t="s">
        <v>99</v>
      </c>
      <c r="I8907" t="s">
        <v>100</v>
      </c>
      <c r="J8907">
        <v>53548</v>
      </c>
      <c r="K8907">
        <v>1530</v>
      </c>
      <c r="L8907" t="s">
        <v>23</v>
      </c>
      <c r="M8907" t="s">
        <v>20372</v>
      </c>
      <c r="N8907" t="s">
        <v>99</v>
      </c>
      <c r="O8907" t="s">
        <v>100</v>
      </c>
      <c r="P8907">
        <v>53548</v>
      </c>
      <c r="Q8907">
        <v>1530</v>
      </c>
      <c r="R8907" t="s">
        <v>23</v>
      </c>
      <c r="S8907" s="1" t="s">
        <v>34218</v>
      </c>
    </row>
    <row r="8908" spans="1:19" x14ac:dyDescent="0.25">
      <c r="A8908">
        <v>101478058</v>
      </c>
      <c r="B8908" t="s">
        <v>20373</v>
      </c>
      <c r="C8908" t="s">
        <v>10802</v>
      </c>
      <c r="G8908" t="s">
        <v>20374</v>
      </c>
      <c r="H8908" t="s">
        <v>3270</v>
      </c>
      <c r="I8908" t="s">
        <v>348</v>
      </c>
      <c r="J8908">
        <v>83702</v>
      </c>
      <c r="K8908">
        <v>3204</v>
      </c>
      <c r="L8908" t="s">
        <v>23</v>
      </c>
      <c r="M8908" t="s">
        <v>20374</v>
      </c>
      <c r="N8908" t="s">
        <v>3270</v>
      </c>
      <c r="O8908" t="s">
        <v>348</v>
      </c>
      <c r="P8908">
        <v>83702</v>
      </c>
      <c r="Q8908">
        <v>3204</v>
      </c>
      <c r="R8908" t="s">
        <v>23</v>
      </c>
      <c r="S8908" s="1" t="s">
        <v>34218</v>
      </c>
    </row>
    <row r="8909" spans="1:19" x14ac:dyDescent="0.25">
      <c r="A8909">
        <v>101478160</v>
      </c>
      <c r="B8909" t="s">
        <v>3263</v>
      </c>
      <c r="C8909" t="s">
        <v>1306</v>
      </c>
      <c r="G8909" t="s">
        <v>20375</v>
      </c>
      <c r="H8909" t="s">
        <v>1415</v>
      </c>
      <c r="I8909" t="s">
        <v>365</v>
      </c>
      <c r="J8909">
        <v>85233</v>
      </c>
      <c r="K8909">
        <v>3954</v>
      </c>
      <c r="L8909" t="s">
        <v>23</v>
      </c>
      <c r="M8909" t="s">
        <v>20375</v>
      </c>
      <c r="N8909" t="s">
        <v>1415</v>
      </c>
      <c r="O8909" t="s">
        <v>365</v>
      </c>
      <c r="P8909">
        <v>85233</v>
      </c>
      <c r="Q8909">
        <v>3954</v>
      </c>
      <c r="R8909" t="s">
        <v>23</v>
      </c>
      <c r="S8909" s="1" t="s">
        <v>34218</v>
      </c>
    </row>
    <row r="8910" spans="1:19" x14ac:dyDescent="0.25">
      <c r="A8910">
        <v>101478169</v>
      </c>
      <c r="B8910" t="s">
        <v>1134</v>
      </c>
      <c r="C8910" t="s">
        <v>20376</v>
      </c>
      <c r="G8910" t="s">
        <v>20377</v>
      </c>
      <c r="H8910" t="s">
        <v>685</v>
      </c>
      <c r="I8910" t="s">
        <v>57</v>
      </c>
      <c r="J8910">
        <v>47408</v>
      </c>
      <c r="K8910">
        <v>3119</v>
      </c>
      <c r="L8910" t="s">
        <v>23</v>
      </c>
      <c r="M8910" t="s">
        <v>20377</v>
      </c>
      <c r="N8910" t="s">
        <v>685</v>
      </c>
      <c r="O8910" t="s">
        <v>57</v>
      </c>
      <c r="P8910">
        <v>47408</v>
      </c>
      <c r="Q8910">
        <v>3119</v>
      </c>
      <c r="R8910" t="s">
        <v>23</v>
      </c>
      <c r="S8910" s="1" t="s">
        <v>34218</v>
      </c>
    </row>
    <row r="8911" spans="1:19" x14ac:dyDescent="0.25">
      <c r="A8911">
        <v>101478192</v>
      </c>
      <c r="B8911" t="s">
        <v>7555</v>
      </c>
      <c r="C8911" t="s">
        <v>4644</v>
      </c>
      <c r="G8911" t="s">
        <v>20378</v>
      </c>
      <c r="H8911" t="s">
        <v>4632</v>
      </c>
      <c r="I8911" t="s">
        <v>140</v>
      </c>
      <c r="J8911">
        <v>48063</v>
      </c>
      <c r="K8911">
        <v>3001</v>
      </c>
      <c r="L8911" t="s">
        <v>23</v>
      </c>
      <c r="M8911" t="s">
        <v>20378</v>
      </c>
      <c r="N8911" t="s">
        <v>4632</v>
      </c>
      <c r="O8911" t="s">
        <v>140</v>
      </c>
      <c r="P8911">
        <v>48063</v>
      </c>
      <c r="Q8911">
        <v>3001</v>
      </c>
      <c r="R8911" t="s">
        <v>23</v>
      </c>
      <c r="S8911" s="1" t="s">
        <v>34218</v>
      </c>
    </row>
    <row r="8912" spans="1:19" x14ac:dyDescent="0.25">
      <c r="A8912">
        <v>101478303</v>
      </c>
      <c r="B8912" t="s">
        <v>20379</v>
      </c>
      <c r="C8912" t="s">
        <v>2857</v>
      </c>
      <c r="G8912" t="s">
        <v>20380</v>
      </c>
      <c r="H8912" t="s">
        <v>18093</v>
      </c>
      <c r="I8912" t="s">
        <v>140</v>
      </c>
      <c r="J8912">
        <v>49017</v>
      </c>
      <c r="K8912">
        <v>9751</v>
      </c>
      <c r="L8912" t="s">
        <v>23</v>
      </c>
      <c r="M8912" t="s">
        <v>20380</v>
      </c>
      <c r="N8912" t="s">
        <v>18093</v>
      </c>
      <c r="O8912" t="s">
        <v>140</v>
      </c>
      <c r="P8912">
        <v>49017</v>
      </c>
      <c r="Q8912">
        <v>9751</v>
      </c>
      <c r="R8912" t="s">
        <v>23</v>
      </c>
      <c r="S8912" s="1" t="s">
        <v>34218</v>
      </c>
    </row>
    <row r="8913" spans="1:19" x14ac:dyDescent="0.25">
      <c r="A8913">
        <v>101425900</v>
      </c>
      <c r="B8913" t="s">
        <v>19617</v>
      </c>
      <c r="C8913" t="s">
        <v>137</v>
      </c>
      <c r="G8913" t="s">
        <v>20381</v>
      </c>
      <c r="H8913" t="s">
        <v>1456</v>
      </c>
      <c r="I8913" t="s">
        <v>84</v>
      </c>
      <c r="J8913">
        <v>98011</v>
      </c>
      <c r="K8913">
        <v>1950</v>
      </c>
      <c r="L8913" t="s">
        <v>23</v>
      </c>
      <c r="M8913" t="s">
        <v>20381</v>
      </c>
      <c r="N8913" t="s">
        <v>1456</v>
      </c>
      <c r="O8913" t="s">
        <v>84</v>
      </c>
      <c r="P8913">
        <v>98011</v>
      </c>
      <c r="Q8913">
        <v>1950</v>
      </c>
      <c r="R8913" t="s">
        <v>23</v>
      </c>
      <c r="S8913" s="1" t="s">
        <v>34218</v>
      </c>
    </row>
    <row r="8914" spans="1:19" x14ac:dyDescent="0.25">
      <c r="A8914">
        <v>101310697</v>
      </c>
      <c r="B8914" t="s">
        <v>20382</v>
      </c>
      <c r="C8914" t="s">
        <v>1859</v>
      </c>
      <c r="G8914" t="s">
        <v>20383</v>
      </c>
      <c r="H8914" t="s">
        <v>5070</v>
      </c>
      <c r="I8914" t="s">
        <v>84</v>
      </c>
      <c r="J8914">
        <v>98661</v>
      </c>
      <c r="K8914">
        <v>6202</v>
      </c>
      <c r="L8914" t="s">
        <v>23</v>
      </c>
      <c r="M8914" t="s">
        <v>20383</v>
      </c>
      <c r="N8914" t="s">
        <v>5070</v>
      </c>
      <c r="O8914" t="s">
        <v>84</v>
      </c>
      <c r="P8914">
        <v>98661</v>
      </c>
      <c r="Q8914">
        <v>6202</v>
      </c>
      <c r="R8914" t="s">
        <v>23</v>
      </c>
      <c r="S8914" s="1" t="s">
        <v>34218</v>
      </c>
    </row>
    <row r="8915" spans="1:19" x14ac:dyDescent="0.25">
      <c r="A8915">
        <v>101450488</v>
      </c>
      <c r="B8915" t="s">
        <v>744</v>
      </c>
      <c r="C8915" t="s">
        <v>281</v>
      </c>
      <c r="G8915" t="s">
        <v>20384</v>
      </c>
      <c r="H8915" t="s">
        <v>13224</v>
      </c>
      <c r="I8915" t="s">
        <v>71</v>
      </c>
      <c r="J8915">
        <v>81637</v>
      </c>
      <c r="L8915" t="s">
        <v>23</v>
      </c>
      <c r="M8915" t="s">
        <v>20384</v>
      </c>
      <c r="N8915" t="s">
        <v>13224</v>
      </c>
      <c r="O8915" t="s">
        <v>71</v>
      </c>
      <c r="P8915">
        <v>81637</v>
      </c>
      <c r="R8915" t="s">
        <v>23</v>
      </c>
      <c r="S8915" s="1" t="s">
        <v>34218</v>
      </c>
    </row>
    <row r="8916" spans="1:19" x14ac:dyDescent="0.25">
      <c r="A8916">
        <v>101338803</v>
      </c>
      <c r="B8916" t="s">
        <v>20385</v>
      </c>
      <c r="C8916" t="s">
        <v>1161</v>
      </c>
      <c r="G8916" t="s">
        <v>20386</v>
      </c>
      <c r="H8916" t="s">
        <v>20387</v>
      </c>
      <c r="I8916" t="s">
        <v>22</v>
      </c>
      <c r="J8916">
        <v>92345</v>
      </c>
      <c r="L8916" t="s">
        <v>23</v>
      </c>
      <c r="M8916" t="s">
        <v>20386</v>
      </c>
      <c r="N8916" t="s">
        <v>20387</v>
      </c>
      <c r="O8916" t="s">
        <v>22</v>
      </c>
      <c r="P8916">
        <v>92345</v>
      </c>
      <c r="R8916" t="s">
        <v>23</v>
      </c>
      <c r="S8916" s="1" t="s">
        <v>34218</v>
      </c>
    </row>
    <row r="8917" spans="1:19" x14ac:dyDescent="0.25">
      <c r="A8917">
        <v>100647506</v>
      </c>
      <c r="B8917" t="s">
        <v>20388</v>
      </c>
      <c r="C8917" t="s">
        <v>4124</v>
      </c>
      <c r="G8917" t="s">
        <v>20389</v>
      </c>
      <c r="H8917" t="s">
        <v>20390</v>
      </c>
      <c r="I8917" t="s">
        <v>1000</v>
      </c>
      <c r="J8917">
        <v>59422</v>
      </c>
      <c r="L8917" t="s">
        <v>23</v>
      </c>
      <c r="M8917" t="s">
        <v>20389</v>
      </c>
      <c r="N8917" t="s">
        <v>20390</v>
      </c>
      <c r="O8917" t="s">
        <v>1000</v>
      </c>
      <c r="P8917">
        <v>59422</v>
      </c>
      <c r="R8917" t="s">
        <v>23</v>
      </c>
      <c r="S8917" s="1" t="s">
        <v>34218</v>
      </c>
    </row>
    <row r="8918" spans="1:19" x14ac:dyDescent="0.25">
      <c r="A8918">
        <v>101422060</v>
      </c>
      <c r="B8918" t="s">
        <v>20391</v>
      </c>
      <c r="C8918" t="s">
        <v>20392</v>
      </c>
      <c r="G8918" t="s">
        <v>20393</v>
      </c>
      <c r="H8918" t="s">
        <v>2091</v>
      </c>
      <c r="I8918" t="s">
        <v>117</v>
      </c>
      <c r="J8918">
        <v>13224</v>
      </c>
      <c r="K8918">
        <v>1537</v>
      </c>
      <c r="L8918" t="s">
        <v>23</v>
      </c>
      <c r="M8918" t="s">
        <v>20393</v>
      </c>
      <c r="N8918" t="s">
        <v>2091</v>
      </c>
      <c r="O8918" t="s">
        <v>117</v>
      </c>
      <c r="P8918">
        <v>13224</v>
      </c>
      <c r="Q8918">
        <v>1537</v>
      </c>
      <c r="R8918" t="s">
        <v>23</v>
      </c>
      <c r="S8918" s="1" t="s">
        <v>34218</v>
      </c>
    </row>
    <row r="8919" spans="1:19" x14ac:dyDescent="0.25">
      <c r="A8919">
        <v>101453950</v>
      </c>
      <c r="B8919" t="s">
        <v>7693</v>
      </c>
      <c r="C8919" t="s">
        <v>18390</v>
      </c>
      <c r="G8919" t="s">
        <v>20394</v>
      </c>
      <c r="H8919" t="s">
        <v>1531</v>
      </c>
      <c r="I8919" t="s">
        <v>84</v>
      </c>
      <c r="J8919">
        <v>98144</v>
      </c>
      <c r="K8919">
        <v>2393</v>
      </c>
      <c r="L8919" t="s">
        <v>23</v>
      </c>
      <c r="M8919" t="s">
        <v>20394</v>
      </c>
      <c r="N8919" t="s">
        <v>1531</v>
      </c>
      <c r="O8919" t="s">
        <v>84</v>
      </c>
      <c r="P8919">
        <v>98144</v>
      </c>
      <c r="Q8919">
        <v>2393</v>
      </c>
      <c r="R8919" t="s">
        <v>23</v>
      </c>
      <c r="S8919" s="1" t="s">
        <v>34218</v>
      </c>
    </row>
    <row r="8920" spans="1:19" x14ac:dyDescent="0.25">
      <c r="A8920">
        <v>101355558</v>
      </c>
      <c r="B8920" t="s">
        <v>20395</v>
      </c>
      <c r="C8920" t="s">
        <v>20396</v>
      </c>
      <c r="G8920" t="s">
        <v>20397</v>
      </c>
      <c r="H8920" t="s">
        <v>20398</v>
      </c>
      <c r="I8920" t="s">
        <v>52</v>
      </c>
      <c r="J8920">
        <v>32778</v>
      </c>
      <c r="L8920" t="s">
        <v>23</v>
      </c>
      <c r="M8920" t="s">
        <v>20397</v>
      </c>
      <c r="N8920" t="s">
        <v>20398</v>
      </c>
      <c r="O8920" t="s">
        <v>52</v>
      </c>
      <c r="P8920">
        <v>32778</v>
      </c>
      <c r="R8920" t="s">
        <v>23</v>
      </c>
      <c r="S8920" s="1" t="s">
        <v>34218</v>
      </c>
    </row>
    <row r="8921" spans="1:19" x14ac:dyDescent="0.25">
      <c r="A8921">
        <v>101465956</v>
      </c>
      <c r="B8921" t="s">
        <v>2503</v>
      </c>
      <c r="C8921" t="s">
        <v>15672</v>
      </c>
      <c r="G8921" t="s">
        <v>20399</v>
      </c>
      <c r="H8921" t="s">
        <v>20400</v>
      </c>
      <c r="I8921" t="s">
        <v>43</v>
      </c>
      <c r="J8921">
        <v>99999</v>
      </c>
      <c r="L8921" t="s">
        <v>23</v>
      </c>
      <c r="M8921" t="s">
        <v>20399</v>
      </c>
      <c r="N8921" t="s">
        <v>20400</v>
      </c>
      <c r="O8921" t="s">
        <v>43</v>
      </c>
      <c r="P8921">
        <v>99999</v>
      </c>
      <c r="R8921" t="s">
        <v>23</v>
      </c>
      <c r="S8921" s="1" t="s">
        <v>34218</v>
      </c>
    </row>
    <row r="8922" spans="1:19" x14ac:dyDescent="0.25">
      <c r="A8922">
        <v>101464950</v>
      </c>
      <c r="B8922" t="s">
        <v>4137</v>
      </c>
      <c r="C8922" t="s">
        <v>350</v>
      </c>
      <c r="G8922" t="s">
        <v>20401</v>
      </c>
      <c r="H8922" t="s">
        <v>10710</v>
      </c>
      <c r="I8922" t="s">
        <v>43</v>
      </c>
      <c r="J8922">
        <v>97523</v>
      </c>
      <c r="K8922">
        <v>9716</v>
      </c>
      <c r="L8922" t="s">
        <v>23</v>
      </c>
      <c r="M8922" t="s">
        <v>20401</v>
      </c>
      <c r="N8922" t="s">
        <v>10710</v>
      </c>
      <c r="O8922" t="s">
        <v>43</v>
      </c>
      <c r="P8922">
        <v>97523</v>
      </c>
      <c r="Q8922">
        <v>9716</v>
      </c>
      <c r="R8922" t="s">
        <v>23</v>
      </c>
      <c r="S8922" s="1" t="s">
        <v>34218</v>
      </c>
    </row>
    <row r="8923" spans="1:19" x14ac:dyDescent="0.25">
      <c r="A8923">
        <v>101301694</v>
      </c>
      <c r="B8923" t="s">
        <v>654</v>
      </c>
      <c r="C8923" t="s">
        <v>20402</v>
      </c>
      <c r="G8923" t="s">
        <v>20403</v>
      </c>
      <c r="H8923" t="s">
        <v>12888</v>
      </c>
      <c r="I8923" t="s">
        <v>57</v>
      </c>
      <c r="J8923">
        <v>46151</v>
      </c>
      <c r="L8923" t="s">
        <v>23</v>
      </c>
      <c r="M8923" t="s">
        <v>20403</v>
      </c>
      <c r="N8923" t="s">
        <v>12888</v>
      </c>
      <c r="O8923" t="s">
        <v>57</v>
      </c>
      <c r="P8923">
        <v>46151</v>
      </c>
      <c r="R8923" t="s">
        <v>23</v>
      </c>
      <c r="S8923" s="1" t="s">
        <v>34218</v>
      </c>
    </row>
    <row r="8924" spans="1:19" x14ac:dyDescent="0.25">
      <c r="A8924">
        <v>101439515</v>
      </c>
      <c r="B8924" t="s">
        <v>20404</v>
      </c>
      <c r="C8924" t="s">
        <v>9687</v>
      </c>
      <c r="G8924" t="s">
        <v>20405</v>
      </c>
      <c r="H8924" t="s">
        <v>741</v>
      </c>
      <c r="I8924" t="s">
        <v>22</v>
      </c>
      <c r="J8924">
        <v>91364</v>
      </c>
      <c r="L8924" t="s">
        <v>23</v>
      </c>
      <c r="M8924" t="s">
        <v>20405</v>
      </c>
      <c r="N8924" t="s">
        <v>741</v>
      </c>
      <c r="O8924" t="s">
        <v>22</v>
      </c>
      <c r="P8924">
        <v>91364</v>
      </c>
      <c r="R8924" t="s">
        <v>23</v>
      </c>
      <c r="S8924" s="1" t="s">
        <v>34218</v>
      </c>
    </row>
    <row r="8925" spans="1:19" x14ac:dyDescent="0.25">
      <c r="A8925">
        <v>101421004</v>
      </c>
      <c r="B8925" t="s">
        <v>20406</v>
      </c>
      <c r="C8925" t="s">
        <v>1058</v>
      </c>
      <c r="G8925" t="s">
        <v>20407</v>
      </c>
      <c r="H8925" t="s">
        <v>707</v>
      </c>
      <c r="I8925" t="s">
        <v>332</v>
      </c>
      <c r="J8925">
        <v>84094</v>
      </c>
      <c r="L8925" t="s">
        <v>23</v>
      </c>
      <c r="M8925" t="s">
        <v>20407</v>
      </c>
      <c r="N8925" t="s">
        <v>707</v>
      </c>
      <c r="O8925" t="s">
        <v>332</v>
      </c>
      <c r="P8925">
        <v>84094</v>
      </c>
      <c r="R8925" t="s">
        <v>23</v>
      </c>
      <c r="S8925" s="1" t="s">
        <v>34218</v>
      </c>
    </row>
    <row r="8926" spans="1:19" x14ac:dyDescent="0.25">
      <c r="A8926">
        <v>101471965</v>
      </c>
      <c r="B8926" t="s">
        <v>9911</v>
      </c>
      <c r="C8926" t="s">
        <v>15768</v>
      </c>
      <c r="G8926" t="s">
        <v>20408</v>
      </c>
      <c r="H8926" t="s">
        <v>18540</v>
      </c>
      <c r="I8926" t="s">
        <v>255</v>
      </c>
      <c r="J8926">
        <v>22920</v>
      </c>
      <c r="K8926">
        <v>1917</v>
      </c>
      <c r="L8926" t="s">
        <v>23</v>
      </c>
      <c r="M8926" t="s">
        <v>20408</v>
      </c>
      <c r="N8926" t="s">
        <v>18540</v>
      </c>
      <c r="O8926" t="s">
        <v>255</v>
      </c>
      <c r="P8926">
        <v>22920</v>
      </c>
      <c r="Q8926">
        <v>1917</v>
      </c>
      <c r="R8926" t="s">
        <v>23</v>
      </c>
      <c r="S8926" s="1" t="s">
        <v>34218</v>
      </c>
    </row>
    <row r="8927" spans="1:19" x14ac:dyDescent="0.25">
      <c r="A8927">
        <v>101436517</v>
      </c>
      <c r="B8927" t="s">
        <v>20409</v>
      </c>
      <c r="C8927" t="s">
        <v>286</v>
      </c>
      <c r="G8927" t="s">
        <v>20410</v>
      </c>
      <c r="H8927" t="s">
        <v>216</v>
      </c>
      <c r="I8927" t="s">
        <v>353</v>
      </c>
      <c r="J8927" t="s">
        <v>20411</v>
      </c>
      <c r="K8927">
        <v>6433</v>
      </c>
      <c r="L8927" t="s">
        <v>23</v>
      </c>
      <c r="M8927" t="s">
        <v>20410</v>
      </c>
      <c r="N8927" t="s">
        <v>216</v>
      </c>
      <c r="O8927" t="s">
        <v>353</v>
      </c>
      <c r="P8927" t="s">
        <v>20411</v>
      </c>
      <c r="Q8927">
        <v>6433</v>
      </c>
      <c r="R8927" t="s">
        <v>23</v>
      </c>
      <c r="S8927" s="1" t="s">
        <v>34218</v>
      </c>
    </row>
    <row r="8928" spans="1:19" x14ac:dyDescent="0.25">
      <c r="A8928">
        <v>101431163</v>
      </c>
      <c r="B8928" t="s">
        <v>3303</v>
      </c>
      <c r="C8928" t="s">
        <v>20412</v>
      </c>
      <c r="G8928" t="s">
        <v>20413</v>
      </c>
      <c r="H8928" t="s">
        <v>1293</v>
      </c>
      <c r="I8928" t="s">
        <v>22</v>
      </c>
      <c r="J8928" t="s">
        <v>20414</v>
      </c>
      <c r="K8928">
        <v>5631</v>
      </c>
      <c r="L8928" t="s">
        <v>23</v>
      </c>
      <c r="M8928" t="s">
        <v>20413</v>
      </c>
      <c r="N8928" t="s">
        <v>1293</v>
      </c>
      <c r="O8928" t="s">
        <v>22</v>
      </c>
      <c r="P8928" t="s">
        <v>20414</v>
      </c>
      <c r="Q8928">
        <v>5631</v>
      </c>
      <c r="R8928" t="s">
        <v>23</v>
      </c>
      <c r="S8928" s="1" t="s">
        <v>34218</v>
      </c>
    </row>
    <row r="8929" spans="1:19" x14ac:dyDescent="0.25">
      <c r="A8929">
        <v>101253798</v>
      </c>
      <c r="B8929" t="s">
        <v>76</v>
      </c>
      <c r="C8929" t="s">
        <v>90</v>
      </c>
      <c r="G8929" t="s">
        <v>7845</v>
      </c>
      <c r="H8929" t="s">
        <v>2684</v>
      </c>
      <c r="I8929" t="s">
        <v>22</v>
      </c>
      <c r="J8929">
        <v>94903</v>
      </c>
      <c r="L8929" t="s">
        <v>23</v>
      </c>
      <c r="M8929" t="s">
        <v>7845</v>
      </c>
      <c r="N8929" t="s">
        <v>2684</v>
      </c>
      <c r="O8929" t="s">
        <v>22</v>
      </c>
      <c r="P8929">
        <v>94903</v>
      </c>
      <c r="R8929" t="s">
        <v>23</v>
      </c>
      <c r="S8929" s="1" t="s">
        <v>34218</v>
      </c>
    </row>
    <row r="8930" spans="1:19" x14ac:dyDescent="0.25">
      <c r="A8930">
        <v>101476785</v>
      </c>
      <c r="B8930" t="s">
        <v>20415</v>
      </c>
      <c r="C8930" t="s">
        <v>699</v>
      </c>
      <c r="G8930" t="s">
        <v>20416</v>
      </c>
      <c r="H8930" t="s">
        <v>814</v>
      </c>
      <c r="I8930" t="s">
        <v>178</v>
      </c>
      <c r="J8930">
        <v>45044</v>
      </c>
      <c r="K8930">
        <v>3101</v>
      </c>
      <c r="L8930" t="s">
        <v>23</v>
      </c>
      <c r="M8930" t="s">
        <v>20416</v>
      </c>
      <c r="N8930" t="s">
        <v>814</v>
      </c>
      <c r="O8930" t="s">
        <v>178</v>
      </c>
      <c r="P8930">
        <v>45044</v>
      </c>
      <c r="Q8930">
        <v>3101</v>
      </c>
      <c r="R8930" t="s">
        <v>23</v>
      </c>
      <c r="S8930" s="1" t="s">
        <v>34218</v>
      </c>
    </row>
    <row r="8931" spans="1:19" x14ac:dyDescent="0.25">
      <c r="A8931">
        <v>101318225</v>
      </c>
      <c r="B8931" t="s">
        <v>20417</v>
      </c>
      <c r="C8931" t="s">
        <v>10806</v>
      </c>
      <c r="G8931" t="s">
        <v>20418</v>
      </c>
      <c r="H8931" t="s">
        <v>4632</v>
      </c>
      <c r="I8931" t="s">
        <v>178</v>
      </c>
      <c r="J8931">
        <v>43221</v>
      </c>
      <c r="K8931">
        <v>2226</v>
      </c>
      <c r="L8931" t="s">
        <v>23</v>
      </c>
      <c r="M8931" t="s">
        <v>20418</v>
      </c>
      <c r="N8931" t="s">
        <v>4632</v>
      </c>
      <c r="O8931" t="s">
        <v>178</v>
      </c>
      <c r="P8931">
        <v>43221</v>
      </c>
      <c r="Q8931">
        <v>2226</v>
      </c>
      <c r="R8931" t="s">
        <v>23</v>
      </c>
      <c r="S8931" s="1" t="s">
        <v>34218</v>
      </c>
    </row>
    <row r="8932" spans="1:19" x14ac:dyDescent="0.25">
      <c r="A8932">
        <v>101225599</v>
      </c>
      <c r="B8932" t="s">
        <v>20419</v>
      </c>
      <c r="C8932" t="s">
        <v>114</v>
      </c>
      <c r="G8932" t="s">
        <v>20420</v>
      </c>
      <c r="H8932" t="s">
        <v>5975</v>
      </c>
      <c r="I8932" t="s">
        <v>255</v>
      </c>
      <c r="J8932">
        <v>23111</v>
      </c>
      <c r="K8932">
        <v>5923</v>
      </c>
      <c r="L8932" t="s">
        <v>23</v>
      </c>
      <c r="M8932" t="s">
        <v>20420</v>
      </c>
      <c r="N8932" t="s">
        <v>5975</v>
      </c>
      <c r="O8932" t="s">
        <v>255</v>
      </c>
      <c r="P8932">
        <v>23111</v>
      </c>
      <c r="Q8932">
        <v>5923</v>
      </c>
      <c r="R8932" t="s">
        <v>23</v>
      </c>
      <c r="S8932" s="1" t="s">
        <v>34218</v>
      </c>
    </row>
    <row r="8933" spans="1:19" x14ac:dyDescent="0.25">
      <c r="A8933">
        <v>101465139</v>
      </c>
      <c r="B8933" t="s">
        <v>20421</v>
      </c>
      <c r="C8933" t="s">
        <v>20422</v>
      </c>
      <c r="G8933" t="s">
        <v>20423</v>
      </c>
      <c r="H8933" t="s">
        <v>1579</v>
      </c>
      <c r="I8933" t="s">
        <v>71</v>
      </c>
      <c r="J8933">
        <v>80014</v>
      </c>
      <c r="K8933">
        <v>1106</v>
      </c>
      <c r="L8933" t="s">
        <v>23</v>
      </c>
      <c r="M8933" t="s">
        <v>20423</v>
      </c>
      <c r="N8933" t="s">
        <v>1579</v>
      </c>
      <c r="O8933" t="s">
        <v>71</v>
      </c>
      <c r="P8933">
        <v>80014</v>
      </c>
      <c r="Q8933">
        <v>1106</v>
      </c>
      <c r="R8933" t="s">
        <v>23</v>
      </c>
      <c r="S8933" s="1" t="s">
        <v>34218</v>
      </c>
    </row>
    <row r="8934" spans="1:19" x14ac:dyDescent="0.25">
      <c r="A8934">
        <v>101437633</v>
      </c>
      <c r="B8934" t="s">
        <v>20424</v>
      </c>
      <c r="C8934" t="s">
        <v>20424</v>
      </c>
      <c r="G8934" t="s">
        <v>20425</v>
      </c>
      <c r="H8934" t="s">
        <v>20426</v>
      </c>
      <c r="I8934" t="s">
        <v>57</v>
      </c>
      <c r="J8934">
        <v>47116</v>
      </c>
      <c r="L8934" t="s">
        <v>23</v>
      </c>
      <c r="M8934" t="s">
        <v>20425</v>
      </c>
      <c r="N8934" t="s">
        <v>20426</v>
      </c>
      <c r="O8934" t="s">
        <v>57</v>
      </c>
      <c r="P8934">
        <v>47116</v>
      </c>
      <c r="R8934" t="s">
        <v>23</v>
      </c>
      <c r="S8934" s="1" t="s">
        <v>34218</v>
      </c>
    </row>
    <row r="8935" spans="1:19" x14ac:dyDescent="0.25">
      <c r="A8935">
        <v>100551468</v>
      </c>
      <c r="B8935" t="s">
        <v>14778</v>
      </c>
      <c r="C8935" t="s">
        <v>2497</v>
      </c>
      <c r="G8935" t="s">
        <v>20427</v>
      </c>
      <c r="H8935" t="s">
        <v>10167</v>
      </c>
      <c r="I8935" t="s">
        <v>187</v>
      </c>
      <c r="J8935" t="s">
        <v>20428</v>
      </c>
      <c r="K8935">
        <v>4612</v>
      </c>
      <c r="L8935" t="s">
        <v>23</v>
      </c>
      <c r="M8935" t="s">
        <v>20427</v>
      </c>
      <c r="N8935" t="s">
        <v>10167</v>
      </c>
      <c r="O8935" t="s">
        <v>187</v>
      </c>
      <c r="P8935" t="s">
        <v>20428</v>
      </c>
      <c r="Q8935">
        <v>4612</v>
      </c>
      <c r="R8935" t="s">
        <v>23</v>
      </c>
      <c r="S8935" s="1" t="s">
        <v>34218</v>
      </c>
    </row>
    <row r="8936" spans="1:19" x14ac:dyDescent="0.25">
      <c r="A8936">
        <v>101425710</v>
      </c>
      <c r="B8936" t="s">
        <v>20429</v>
      </c>
      <c r="C8936" t="s">
        <v>225</v>
      </c>
      <c r="G8936" t="s">
        <v>20430</v>
      </c>
      <c r="H8936" t="s">
        <v>37</v>
      </c>
      <c r="I8936" t="s">
        <v>38</v>
      </c>
      <c r="J8936">
        <v>78751</v>
      </c>
      <c r="K8936">
        <v>3122</v>
      </c>
      <c r="L8936" t="s">
        <v>23</v>
      </c>
      <c r="M8936" t="s">
        <v>20430</v>
      </c>
      <c r="N8936" t="s">
        <v>37</v>
      </c>
      <c r="O8936" t="s">
        <v>38</v>
      </c>
      <c r="P8936">
        <v>78751</v>
      </c>
      <c r="Q8936">
        <v>3122</v>
      </c>
      <c r="R8936" t="s">
        <v>23</v>
      </c>
      <c r="S8936" s="1" t="s">
        <v>34218</v>
      </c>
    </row>
    <row r="8937" spans="1:19" x14ac:dyDescent="0.25">
      <c r="A8937">
        <v>101471309</v>
      </c>
      <c r="B8937" t="s">
        <v>20431</v>
      </c>
      <c r="C8937" t="s">
        <v>5613</v>
      </c>
      <c r="G8937" t="s">
        <v>20432</v>
      </c>
      <c r="H8937" t="s">
        <v>20433</v>
      </c>
      <c r="I8937" t="s">
        <v>117</v>
      </c>
      <c r="J8937">
        <v>11417</v>
      </c>
      <c r="K8937">
        <v>1410</v>
      </c>
      <c r="L8937" t="s">
        <v>23</v>
      </c>
      <c r="M8937" t="s">
        <v>20432</v>
      </c>
      <c r="N8937" t="s">
        <v>20433</v>
      </c>
      <c r="O8937" t="s">
        <v>117</v>
      </c>
      <c r="P8937">
        <v>11417</v>
      </c>
      <c r="Q8937">
        <v>1410</v>
      </c>
      <c r="R8937" t="s">
        <v>23</v>
      </c>
      <c r="S8937" s="1" t="s">
        <v>34218</v>
      </c>
    </row>
    <row r="8938" spans="1:19" x14ac:dyDescent="0.25">
      <c r="A8938">
        <v>101450500</v>
      </c>
      <c r="B8938" t="s">
        <v>20434</v>
      </c>
      <c r="C8938" t="s">
        <v>1082</v>
      </c>
      <c r="G8938" t="s">
        <v>20435</v>
      </c>
      <c r="H8938" t="s">
        <v>27</v>
      </c>
      <c r="I8938" t="s">
        <v>28</v>
      </c>
      <c r="J8938">
        <v>30328</v>
      </c>
      <c r="K8938">
        <v>3512</v>
      </c>
      <c r="L8938" t="s">
        <v>23</v>
      </c>
      <c r="M8938" t="s">
        <v>20435</v>
      </c>
      <c r="N8938" t="s">
        <v>27</v>
      </c>
      <c r="O8938" t="s">
        <v>28</v>
      </c>
      <c r="P8938">
        <v>30328</v>
      </c>
      <c r="Q8938">
        <v>3512</v>
      </c>
      <c r="R8938" t="s">
        <v>23</v>
      </c>
      <c r="S8938" s="1" t="s">
        <v>34218</v>
      </c>
    </row>
    <row r="8939" spans="1:19" x14ac:dyDescent="0.25">
      <c r="A8939">
        <v>101452999</v>
      </c>
      <c r="B8939" t="s">
        <v>2300</v>
      </c>
      <c r="C8939" t="s">
        <v>1377</v>
      </c>
      <c r="G8939" t="s">
        <v>20436</v>
      </c>
      <c r="H8939" t="s">
        <v>20437</v>
      </c>
      <c r="I8939" t="s">
        <v>52</v>
      </c>
      <c r="J8939">
        <v>33009</v>
      </c>
      <c r="K8939">
        <v>2933</v>
      </c>
      <c r="L8939" t="s">
        <v>23</v>
      </c>
      <c r="M8939" t="s">
        <v>20436</v>
      </c>
      <c r="N8939" t="s">
        <v>20437</v>
      </c>
      <c r="O8939" t="s">
        <v>52</v>
      </c>
      <c r="P8939">
        <v>33009</v>
      </c>
      <c r="Q8939">
        <v>2933</v>
      </c>
      <c r="R8939" t="s">
        <v>23</v>
      </c>
      <c r="S8939" s="1" t="s">
        <v>34218</v>
      </c>
    </row>
    <row r="8940" spans="1:19" x14ac:dyDescent="0.25">
      <c r="A8940">
        <v>101301038</v>
      </c>
      <c r="B8940" t="s">
        <v>8946</v>
      </c>
      <c r="C8940" t="s">
        <v>613</v>
      </c>
      <c r="G8940" t="s">
        <v>20438</v>
      </c>
      <c r="H8940" t="s">
        <v>653</v>
      </c>
      <c r="I8940" t="s">
        <v>117</v>
      </c>
      <c r="J8940">
        <v>10065</v>
      </c>
      <c r="K8940">
        <v>7853</v>
      </c>
      <c r="L8940" t="s">
        <v>23</v>
      </c>
      <c r="M8940" t="s">
        <v>20438</v>
      </c>
      <c r="N8940" t="s">
        <v>653</v>
      </c>
      <c r="O8940" t="s">
        <v>117</v>
      </c>
      <c r="P8940">
        <v>10065</v>
      </c>
      <c r="Q8940">
        <v>7853</v>
      </c>
      <c r="R8940" t="s">
        <v>23</v>
      </c>
      <c r="S8940" s="1" t="s">
        <v>34218</v>
      </c>
    </row>
    <row r="8941" spans="1:19" x14ac:dyDescent="0.25">
      <c r="A8941">
        <v>101311597</v>
      </c>
      <c r="B8941" t="s">
        <v>6084</v>
      </c>
      <c r="C8941" t="s">
        <v>2151</v>
      </c>
      <c r="G8941" t="s">
        <v>20439</v>
      </c>
      <c r="H8941" t="s">
        <v>11932</v>
      </c>
      <c r="I8941" t="s">
        <v>43</v>
      </c>
      <c r="J8941">
        <v>97267</v>
      </c>
      <c r="K8941">
        <v>4819</v>
      </c>
      <c r="L8941" t="s">
        <v>23</v>
      </c>
      <c r="M8941" t="s">
        <v>20439</v>
      </c>
      <c r="N8941" t="s">
        <v>11932</v>
      </c>
      <c r="O8941" t="s">
        <v>43</v>
      </c>
      <c r="P8941">
        <v>97267</v>
      </c>
      <c r="Q8941">
        <v>4819</v>
      </c>
      <c r="R8941" t="s">
        <v>23</v>
      </c>
      <c r="S8941" s="1" t="s">
        <v>34218</v>
      </c>
    </row>
    <row r="8942" spans="1:19" x14ac:dyDescent="0.25">
      <c r="A8942">
        <v>101480487</v>
      </c>
      <c r="B8942" t="s">
        <v>9103</v>
      </c>
      <c r="C8942" t="s">
        <v>286</v>
      </c>
      <c r="G8942" t="s">
        <v>20440</v>
      </c>
      <c r="H8942" t="s">
        <v>573</v>
      </c>
      <c r="I8942" t="s">
        <v>33</v>
      </c>
      <c r="J8942">
        <v>19128</v>
      </c>
      <c r="K8942">
        <v>3911</v>
      </c>
      <c r="L8942" t="s">
        <v>23</v>
      </c>
      <c r="M8942" t="s">
        <v>20440</v>
      </c>
      <c r="N8942" t="s">
        <v>573</v>
      </c>
      <c r="O8942" t="s">
        <v>33</v>
      </c>
      <c r="P8942">
        <v>19128</v>
      </c>
      <c r="Q8942">
        <v>3911</v>
      </c>
      <c r="R8942" t="s">
        <v>23</v>
      </c>
      <c r="S8942" s="1" t="s">
        <v>34218</v>
      </c>
    </row>
    <row r="8943" spans="1:19" x14ac:dyDescent="0.25">
      <c r="A8943">
        <v>101465509</v>
      </c>
      <c r="B8943" t="s">
        <v>6058</v>
      </c>
      <c r="C8943" t="s">
        <v>217</v>
      </c>
      <c r="G8943" t="s">
        <v>20441</v>
      </c>
      <c r="H8943" t="s">
        <v>10931</v>
      </c>
      <c r="I8943" t="s">
        <v>28</v>
      </c>
      <c r="J8943">
        <v>31411</v>
      </c>
      <c r="K8943">
        <v>1712</v>
      </c>
      <c r="L8943" t="s">
        <v>23</v>
      </c>
      <c r="M8943" t="s">
        <v>20441</v>
      </c>
      <c r="N8943" t="s">
        <v>10931</v>
      </c>
      <c r="O8943" t="s">
        <v>28</v>
      </c>
      <c r="P8943">
        <v>31411</v>
      </c>
      <c r="Q8943">
        <v>1712</v>
      </c>
      <c r="R8943" t="s">
        <v>23</v>
      </c>
      <c r="S8943" s="1" t="s">
        <v>34218</v>
      </c>
    </row>
    <row r="8944" spans="1:19" x14ac:dyDescent="0.25">
      <c r="A8944">
        <v>101452996</v>
      </c>
      <c r="B8944" t="s">
        <v>9923</v>
      </c>
      <c r="C8944" t="s">
        <v>1208</v>
      </c>
      <c r="G8944" t="s">
        <v>20442</v>
      </c>
      <c r="H8944" t="s">
        <v>20443</v>
      </c>
      <c r="I8944" t="s">
        <v>84</v>
      </c>
      <c r="J8944">
        <v>99003</v>
      </c>
      <c r="K8944">
        <v>765</v>
      </c>
      <c r="L8944" t="s">
        <v>23</v>
      </c>
      <c r="M8944" t="s">
        <v>20442</v>
      </c>
      <c r="N8944" t="s">
        <v>20443</v>
      </c>
      <c r="O8944" t="s">
        <v>84</v>
      </c>
      <c r="P8944">
        <v>99003</v>
      </c>
      <c r="Q8944">
        <v>765</v>
      </c>
      <c r="R8944" t="s">
        <v>23</v>
      </c>
      <c r="S8944" s="1" t="s">
        <v>34218</v>
      </c>
    </row>
    <row r="8945" spans="1:19" x14ac:dyDescent="0.25">
      <c r="A8945">
        <v>101423908</v>
      </c>
      <c r="B8945" t="s">
        <v>2705</v>
      </c>
      <c r="C8945" t="s">
        <v>867</v>
      </c>
      <c r="G8945" t="s">
        <v>20444</v>
      </c>
      <c r="H8945" t="s">
        <v>653</v>
      </c>
      <c r="I8945" t="s">
        <v>117</v>
      </c>
      <c r="J8945">
        <v>10023</v>
      </c>
      <c r="K8945">
        <v>2667</v>
      </c>
      <c r="L8945" t="s">
        <v>23</v>
      </c>
      <c r="M8945" t="s">
        <v>20444</v>
      </c>
      <c r="N8945" t="s">
        <v>653</v>
      </c>
      <c r="O8945" t="s">
        <v>117</v>
      </c>
      <c r="P8945">
        <v>10023</v>
      </c>
      <c r="Q8945">
        <v>2667</v>
      </c>
      <c r="R8945" t="s">
        <v>23</v>
      </c>
      <c r="S8945" s="1" t="s">
        <v>34218</v>
      </c>
    </row>
    <row r="8946" spans="1:19" x14ac:dyDescent="0.25">
      <c r="A8946">
        <v>101411644</v>
      </c>
      <c r="B8946" t="s">
        <v>20445</v>
      </c>
      <c r="C8946" t="s">
        <v>12829</v>
      </c>
      <c r="G8946" t="s">
        <v>20446</v>
      </c>
      <c r="H8946" t="s">
        <v>174</v>
      </c>
      <c r="I8946" t="s">
        <v>22</v>
      </c>
      <c r="J8946">
        <v>93108</v>
      </c>
      <c r="K8946">
        <v>1633</v>
      </c>
      <c r="L8946" t="s">
        <v>23</v>
      </c>
      <c r="M8946" t="s">
        <v>20446</v>
      </c>
      <c r="N8946" t="s">
        <v>174</v>
      </c>
      <c r="O8946" t="s">
        <v>22</v>
      </c>
      <c r="P8946">
        <v>93108</v>
      </c>
      <c r="Q8946">
        <v>1633</v>
      </c>
      <c r="R8946" t="s">
        <v>23</v>
      </c>
      <c r="S8946" s="1" t="s">
        <v>34218</v>
      </c>
    </row>
    <row r="8947" spans="1:19" x14ac:dyDescent="0.25">
      <c r="A8947">
        <v>101480494</v>
      </c>
      <c r="B8947" t="s">
        <v>6692</v>
      </c>
      <c r="C8947" t="s">
        <v>4159</v>
      </c>
      <c r="G8947" t="s">
        <v>20447</v>
      </c>
      <c r="H8947" t="s">
        <v>4021</v>
      </c>
      <c r="I8947" t="s">
        <v>22</v>
      </c>
      <c r="J8947">
        <v>91354</v>
      </c>
      <c r="K8947">
        <v>3075</v>
      </c>
      <c r="L8947" t="s">
        <v>23</v>
      </c>
      <c r="M8947" t="s">
        <v>20447</v>
      </c>
      <c r="N8947" t="s">
        <v>4021</v>
      </c>
      <c r="O8947" t="s">
        <v>22</v>
      </c>
      <c r="P8947">
        <v>91354</v>
      </c>
      <c r="Q8947">
        <v>3075</v>
      </c>
      <c r="R8947" t="s">
        <v>23</v>
      </c>
      <c r="S8947" s="1" t="s">
        <v>34218</v>
      </c>
    </row>
    <row r="8948" spans="1:19" x14ac:dyDescent="0.25">
      <c r="A8948">
        <v>101362712</v>
      </c>
      <c r="B8948" t="s">
        <v>20448</v>
      </c>
      <c r="C8948" t="s">
        <v>20449</v>
      </c>
      <c r="G8948" t="s">
        <v>20450</v>
      </c>
      <c r="H8948" t="s">
        <v>20451</v>
      </c>
      <c r="I8948" t="s">
        <v>2537</v>
      </c>
      <c r="J8948">
        <v>72010</v>
      </c>
      <c r="L8948" t="s">
        <v>23</v>
      </c>
      <c r="M8948" t="s">
        <v>20450</v>
      </c>
      <c r="N8948" t="s">
        <v>20451</v>
      </c>
      <c r="O8948" t="s">
        <v>2537</v>
      </c>
      <c r="P8948">
        <v>72010</v>
      </c>
      <c r="R8948" t="s">
        <v>23</v>
      </c>
      <c r="S8948" s="1" t="s">
        <v>34218</v>
      </c>
    </row>
    <row r="8949" spans="1:19" x14ac:dyDescent="0.25">
      <c r="A8949">
        <v>100553345</v>
      </c>
      <c r="B8949" t="s">
        <v>29</v>
      </c>
      <c r="C8949" t="s">
        <v>362</v>
      </c>
      <c r="G8949" t="s">
        <v>20452</v>
      </c>
      <c r="H8949" t="s">
        <v>4514</v>
      </c>
      <c r="I8949" t="s">
        <v>914</v>
      </c>
      <c r="J8949">
        <v>37334</v>
      </c>
      <c r="K8949">
        <v>4856</v>
      </c>
      <c r="L8949" t="s">
        <v>23</v>
      </c>
      <c r="M8949" t="s">
        <v>20452</v>
      </c>
      <c r="N8949" t="s">
        <v>4514</v>
      </c>
      <c r="O8949" t="s">
        <v>914</v>
      </c>
      <c r="P8949">
        <v>37334</v>
      </c>
      <c r="Q8949">
        <v>4856</v>
      </c>
      <c r="R8949" t="s">
        <v>23</v>
      </c>
      <c r="S8949" s="1" t="s">
        <v>34218</v>
      </c>
    </row>
    <row r="8950" spans="1:19" x14ac:dyDescent="0.25">
      <c r="A8950">
        <v>101315387</v>
      </c>
      <c r="B8950" t="s">
        <v>20453</v>
      </c>
      <c r="C8950" t="s">
        <v>2420</v>
      </c>
      <c r="G8950" t="s">
        <v>20454</v>
      </c>
      <c r="H8950" t="s">
        <v>2345</v>
      </c>
      <c r="I8950" t="s">
        <v>52</v>
      </c>
      <c r="J8950">
        <v>32703</v>
      </c>
      <c r="K8950">
        <v>2402</v>
      </c>
      <c r="L8950" t="s">
        <v>23</v>
      </c>
      <c r="M8950" t="s">
        <v>20454</v>
      </c>
      <c r="N8950" t="s">
        <v>2345</v>
      </c>
      <c r="O8950" t="s">
        <v>52</v>
      </c>
      <c r="P8950">
        <v>32703</v>
      </c>
      <c r="Q8950">
        <v>2402</v>
      </c>
      <c r="R8950" t="s">
        <v>23</v>
      </c>
      <c r="S8950" s="1" t="s">
        <v>34218</v>
      </c>
    </row>
    <row r="8951" spans="1:19" x14ac:dyDescent="0.25">
      <c r="A8951">
        <v>101480502</v>
      </c>
      <c r="B8951" t="s">
        <v>20455</v>
      </c>
      <c r="C8951" t="s">
        <v>890</v>
      </c>
      <c r="G8951" t="s">
        <v>20456</v>
      </c>
      <c r="H8951" t="s">
        <v>13967</v>
      </c>
      <c r="I8951" t="s">
        <v>57</v>
      </c>
      <c r="J8951">
        <v>47971</v>
      </c>
      <c r="K8951">
        <v>8668</v>
      </c>
      <c r="L8951" t="s">
        <v>23</v>
      </c>
      <c r="M8951" t="s">
        <v>20456</v>
      </c>
      <c r="N8951" t="s">
        <v>13967</v>
      </c>
      <c r="O8951" t="s">
        <v>57</v>
      </c>
      <c r="P8951">
        <v>47971</v>
      </c>
      <c r="Q8951">
        <v>8668</v>
      </c>
      <c r="R8951" t="s">
        <v>23</v>
      </c>
      <c r="S8951" s="1" t="s">
        <v>34218</v>
      </c>
    </row>
    <row r="8952" spans="1:19" x14ac:dyDescent="0.25">
      <c r="A8952">
        <v>101423288</v>
      </c>
      <c r="B8952" t="s">
        <v>5585</v>
      </c>
      <c r="C8952" t="s">
        <v>1168</v>
      </c>
      <c r="G8952" t="s">
        <v>20457</v>
      </c>
      <c r="H8952" t="s">
        <v>20458</v>
      </c>
      <c r="I8952" t="s">
        <v>255</v>
      </c>
      <c r="J8952">
        <v>23651</v>
      </c>
      <c r="K8952">
        <v>1000</v>
      </c>
      <c r="L8952" t="s">
        <v>23</v>
      </c>
      <c r="M8952" t="s">
        <v>20457</v>
      </c>
      <c r="N8952" t="s">
        <v>20458</v>
      </c>
      <c r="O8952" t="s">
        <v>255</v>
      </c>
      <c r="P8952">
        <v>23651</v>
      </c>
      <c r="Q8952">
        <v>1000</v>
      </c>
      <c r="R8952" t="s">
        <v>23</v>
      </c>
      <c r="S8952" s="1" t="s">
        <v>34218</v>
      </c>
    </row>
    <row r="8953" spans="1:19" x14ac:dyDescent="0.25">
      <c r="A8953">
        <v>101444720</v>
      </c>
      <c r="B8953" t="s">
        <v>20459</v>
      </c>
      <c r="C8953" t="s">
        <v>1295</v>
      </c>
      <c r="G8953" t="s">
        <v>20460</v>
      </c>
      <c r="H8953" t="s">
        <v>1122</v>
      </c>
      <c r="I8953" t="s">
        <v>126</v>
      </c>
      <c r="J8953">
        <v>64082</v>
      </c>
      <c r="K8953">
        <v>4944</v>
      </c>
      <c r="L8953" t="s">
        <v>23</v>
      </c>
      <c r="M8953" t="s">
        <v>20460</v>
      </c>
      <c r="N8953" t="s">
        <v>1122</v>
      </c>
      <c r="O8953" t="s">
        <v>126</v>
      </c>
      <c r="P8953">
        <v>64082</v>
      </c>
      <c r="Q8953">
        <v>4944</v>
      </c>
      <c r="R8953" t="s">
        <v>23</v>
      </c>
      <c r="S8953" s="1" t="s">
        <v>34218</v>
      </c>
    </row>
    <row r="8954" spans="1:19" x14ac:dyDescent="0.25">
      <c r="A8954">
        <v>100823309</v>
      </c>
      <c r="B8954" t="s">
        <v>20461</v>
      </c>
      <c r="C8954" t="s">
        <v>2557</v>
      </c>
      <c r="G8954" t="s">
        <v>20462</v>
      </c>
      <c r="H8954" t="s">
        <v>227</v>
      </c>
      <c r="I8954" t="s">
        <v>43</v>
      </c>
      <c r="J8954">
        <v>97211</v>
      </c>
      <c r="K8954">
        <v>6241</v>
      </c>
      <c r="L8954" t="s">
        <v>23</v>
      </c>
      <c r="M8954" t="s">
        <v>20462</v>
      </c>
      <c r="N8954" t="s">
        <v>227</v>
      </c>
      <c r="O8954" t="s">
        <v>43</v>
      </c>
      <c r="P8954">
        <v>97211</v>
      </c>
      <c r="Q8954">
        <v>6241</v>
      </c>
      <c r="R8954" t="s">
        <v>23</v>
      </c>
      <c r="S8954" s="1" t="s">
        <v>34218</v>
      </c>
    </row>
    <row r="8955" spans="1:19" x14ac:dyDescent="0.25">
      <c r="A8955">
        <v>101453391</v>
      </c>
      <c r="B8955" t="s">
        <v>20463</v>
      </c>
      <c r="C8955" t="s">
        <v>180</v>
      </c>
      <c r="G8955">
        <v>48130</v>
      </c>
      <c r="H8955" t="s">
        <v>5187</v>
      </c>
      <c r="I8955" t="s">
        <v>140</v>
      </c>
      <c r="J8955">
        <v>48130</v>
      </c>
      <c r="L8955" t="s">
        <v>23</v>
      </c>
      <c r="M8955">
        <v>48130</v>
      </c>
      <c r="N8955" t="s">
        <v>5187</v>
      </c>
      <c r="O8955" t="s">
        <v>140</v>
      </c>
      <c r="P8955">
        <v>48130</v>
      </c>
      <c r="R8955" t="s">
        <v>23</v>
      </c>
      <c r="S8955" s="1" t="s">
        <v>34218</v>
      </c>
    </row>
    <row r="8956" spans="1:19" x14ac:dyDescent="0.25">
      <c r="A8956">
        <v>101480516</v>
      </c>
      <c r="B8956" t="s">
        <v>3828</v>
      </c>
      <c r="C8956" t="s">
        <v>644</v>
      </c>
      <c r="G8956" t="s">
        <v>20464</v>
      </c>
      <c r="H8956" t="s">
        <v>9211</v>
      </c>
      <c r="I8956" t="s">
        <v>22</v>
      </c>
      <c r="J8956">
        <v>95713</v>
      </c>
      <c r="K8956">
        <v>8500</v>
      </c>
      <c r="L8956" t="s">
        <v>23</v>
      </c>
      <c r="M8956" t="s">
        <v>20464</v>
      </c>
      <c r="N8956" t="s">
        <v>9211</v>
      </c>
      <c r="O8956" t="s">
        <v>22</v>
      </c>
      <c r="P8956">
        <v>95713</v>
      </c>
      <c r="Q8956">
        <v>8500</v>
      </c>
      <c r="R8956" t="s">
        <v>23</v>
      </c>
      <c r="S8956" s="1" t="s">
        <v>34218</v>
      </c>
    </row>
    <row r="8957" spans="1:19" x14ac:dyDescent="0.25">
      <c r="A8957">
        <v>100990103</v>
      </c>
      <c r="B8957" t="s">
        <v>20465</v>
      </c>
      <c r="C8957" t="s">
        <v>8957</v>
      </c>
      <c r="G8957" t="s">
        <v>20466</v>
      </c>
      <c r="H8957" t="s">
        <v>20096</v>
      </c>
      <c r="I8957" t="s">
        <v>140</v>
      </c>
      <c r="J8957">
        <v>48185</v>
      </c>
      <c r="K8957">
        <v>8143</v>
      </c>
      <c r="L8957" t="s">
        <v>23</v>
      </c>
      <c r="M8957" t="s">
        <v>20466</v>
      </c>
      <c r="N8957" t="s">
        <v>20096</v>
      </c>
      <c r="O8957" t="s">
        <v>140</v>
      </c>
      <c r="P8957">
        <v>48185</v>
      </c>
      <c r="Q8957">
        <v>8143</v>
      </c>
      <c r="R8957" t="s">
        <v>23</v>
      </c>
      <c r="S8957" s="1" t="s">
        <v>34218</v>
      </c>
    </row>
    <row r="8958" spans="1:19" x14ac:dyDescent="0.25">
      <c r="A8958">
        <v>101435168</v>
      </c>
      <c r="B8958" t="s">
        <v>20467</v>
      </c>
      <c r="C8958" t="s">
        <v>20468</v>
      </c>
      <c r="G8958" t="s">
        <v>20469</v>
      </c>
      <c r="H8958" t="s">
        <v>20470</v>
      </c>
      <c r="I8958" t="s">
        <v>117</v>
      </c>
      <c r="J8958">
        <v>13850</v>
      </c>
      <c r="K8958">
        <v>3865</v>
      </c>
      <c r="L8958" t="s">
        <v>23</v>
      </c>
      <c r="M8958" t="s">
        <v>20469</v>
      </c>
      <c r="N8958" t="s">
        <v>20470</v>
      </c>
      <c r="O8958" t="s">
        <v>117</v>
      </c>
      <c r="P8958">
        <v>13850</v>
      </c>
      <c r="Q8958">
        <v>3865</v>
      </c>
      <c r="R8958" t="s">
        <v>23</v>
      </c>
      <c r="S8958" s="1" t="s">
        <v>34218</v>
      </c>
    </row>
    <row r="8959" spans="1:19" x14ac:dyDescent="0.25">
      <c r="A8959">
        <v>100783074</v>
      </c>
      <c r="B8959" t="s">
        <v>8126</v>
      </c>
      <c r="C8959" t="s">
        <v>20471</v>
      </c>
      <c r="G8959" t="s">
        <v>20472</v>
      </c>
      <c r="H8959" t="s">
        <v>2684</v>
      </c>
      <c r="I8959" t="s">
        <v>22</v>
      </c>
      <c r="J8959">
        <v>94903</v>
      </c>
      <c r="K8959">
        <v>1216</v>
      </c>
      <c r="L8959" t="s">
        <v>23</v>
      </c>
      <c r="M8959" t="s">
        <v>20472</v>
      </c>
      <c r="N8959" t="s">
        <v>2684</v>
      </c>
      <c r="O8959" t="s">
        <v>22</v>
      </c>
      <c r="P8959">
        <v>94903</v>
      </c>
      <c r="Q8959">
        <v>1216</v>
      </c>
      <c r="R8959" t="s">
        <v>23</v>
      </c>
      <c r="S8959" s="1" t="s">
        <v>34218</v>
      </c>
    </row>
    <row r="8960" spans="1:19" x14ac:dyDescent="0.25">
      <c r="A8960">
        <v>100641557</v>
      </c>
      <c r="B8960" t="s">
        <v>20473</v>
      </c>
      <c r="C8960" t="s">
        <v>132</v>
      </c>
      <c r="G8960" t="s">
        <v>20474</v>
      </c>
      <c r="H8960" t="s">
        <v>10776</v>
      </c>
      <c r="I8960" t="s">
        <v>52</v>
      </c>
      <c r="J8960">
        <v>33324</v>
      </c>
      <c r="K8960">
        <v>1708</v>
      </c>
      <c r="L8960" t="s">
        <v>23</v>
      </c>
      <c r="M8960" t="s">
        <v>20474</v>
      </c>
      <c r="N8960" t="s">
        <v>10776</v>
      </c>
      <c r="O8960" t="s">
        <v>52</v>
      </c>
      <c r="P8960">
        <v>33324</v>
      </c>
      <c r="Q8960">
        <v>1708</v>
      </c>
      <c r="R8960" t="s">
        <v>23</v>
      </c>
      <c r="S8960" s="1" t="s">
        <v>34218</v>
      </c>
    </row>
    <row r="8961" spans="1:19" x14ac:dyDescent="0.25">
      <c r="A8961">
        <v>101480524</v>
      </c>
      <c r="B8961" t="s">
        <v>14897</v>
      </c>
      <c r="C8961" t="s">
        <v>2846</v>
      </c>
      <c r="G8961" t="s">
        <v>20475</v>
      </c>
      <c r="H8961" t="s">
        <v>6964</v>
      </c>
      <c r="I8961" t="s">
        <v>52</v>
      </c>
      <c r="J8961">
        <v>33414</v>
      </c>
      <c r="K8961">
        <v>3455</v>
      </c>
      <c r="L8961" t="s">
        <v>23</v>
      </c>
      <c r="M8961" t="s">
        <v>20475</v>
      </c>
      <c r="N8961" t="s">
        <v>6964</v>
      </c>
      <c r="O8961" t="s">
        <v>52</v>
      </c>
      <c r="P8961">
        <v>33414</v>
      </c>
      <c r="Q8961">
        <v>3455</v>
      </c>
      <c r="R8961" t="s">
        <v>23</v>
      </c>
      <c r="S8961" s="1" t="s">
        <v>34218</v>
      </c>
    </row>
    <row r="8962" spans="1:19" x14ac:dyDescent="0.25">
      <c r="A8962">
        <v>101475398</v>
      </c>
      <c r="B8962" t="s">
        <v>20476</v>
      </c>
      <c r="C8962" t="s">
        <v>290</v>
      </c>
      <c r="G8962" t="s">
        <v>20477</v>
      </c>
      <c r="H8962" t="s">
        <v>20478</v>
      </c>
      <c r="I8962" t="s">
        <v>255</v>
      </c>
      <c r="J8962">
        <v>24555</v>
      </c>
      <c r="K8962">
        <v>2340</v>
      </c>
      <c r="L8962" t="s">
        <v>23</v>
      </c>
      <c r="M8962" t="s">
        <v>20477</v>
      </c>
      <c r="N8962" t="s">
        <v>20478</v>
      </c>
      <c r="O8962" t="s">
        <v>255</v>
      </c>
      <c r="P8962">
        <v>24555</v>
      </c>
      <c r="Q8962">
        <v>2340</v>
      </c>
      <c r="R8962" t="s">
        <v>23</v>
      </c>
      <c r="S8962" s="1" t="s">
        <v>34218</v>
      </c>
    </row>
    <row r="8963" spans="1:19" x14ac:dyDescent="0.25">
      <c r="A8963">
        <v>101480526</v>
      </c>
      <c r="B8963" t="s">
        <v>10290</v>
      </c>
      <c r="C8963" t="s">
        <v>16674</v>
      </c>
      <c r="G8963" t="s">
        <v>20479</v>
      </c>
      <c r="H8963" t="s">
        <v>20480</v>
      </c>
      <c r="I8963" t="s">
        <v>984</v>
      </c>
      <c r="J8963">
        <v>96704</v>
      </c>
      <c r="L8963" t="s">
        <v>23</v>
      </c>
      <c r="M8963" t="s">
        <v>20479</v>
      </c>
      <c r="N8963" t="s">
        <v>20480</v>
      </c>
      <c r="O8963" t="s">
        <v>984</v>
      </c>
      <c r="P8963">
        <v>96704</v>
      </c>
      <c r="R8963" t="s">
        <v>23</v>
      </c>
      <c r="S8963" s="1" t="s">
        <v>34218</v>
      </c>
    </row>
    <row r="8964" spans="1:19" x14ac:dyDescent="0.25">
      <c r="A8964">
        <v>101029697</v>
      </c>
      <c r="B8964" t="s">
        <v>20481</v>
      </c>
      <c r="C8964" t="s">
        <v>4257</v>
      </c>
      <c r="G8964" t="s">
        <v>20482</v>
      </c>
      <c r="H8964" t="s">
        <v>14706</v>
      </c>
      <c r="I8964" t="s">
        <v>22</v>
      </c>
      <c r="J8964">
        <v>92317</v>
      </c>
      <c r="K8964">
        <v>275</v>
      </c>
      <c r="L8964" t="s">
        <v>23</v>
      </c>
      <c r="M8964" t="s">
        <v>20482</v>
      </c>
      <c r="N8964" t="s">
        <v>14706</v>
      </c>
      <c r="O8964" t="s">
        <v>22</v>
      </c>
      <c r="P8964">
        <v>92317</v>
      </c>
      <c r="Q8964">
        <v>275</v>
      </c>
      <c r="R8964" t="s">
        <v>23</v>
      </c>
      <c r="S8964" s="1" t="s">
        <v>34218</v>
      </c>
    </row>
    <row r="8965" spans="1:19" x14ac:dyDescent="0.25">
      <c r="A8965">
        <v>101034565</v>
      </c>
      <c r="B8965" t="s">
        <v>1171</v>
      </c>
      <c r="C8965" t="s">
        <v>4245</v>
      </c>
      <c r="G8965" t="s">
        <v>20483</v>
      </c>
      <c r="H8965" t="s">
        <v>20484</v>
      </c>
      <c r="I8965" t="s">
        <v>236</v>
      </c>
      <c r="J8965">
        <v>1257</v>
      </c>
      <c r="K8965">
        <v>9789</v>
      </c>
      <c r="L8965" t="s">
        <v>23</v>
      </c>
      <c r="M8965" t="s">
        <v>20483</v>
      </c>
      <c r="N8965" t="s">
        <v>20484</v>
      </c>
      <c r="O8965" t="s">
        <v>236</v>
      </c>
      <c r="P8965">
        <v>1257</v>
      </c>
      <c r="Q8965">
        <v>9789</v>
      </c>
      <c r="R8965" t="s">
        <v>23</v>
      </c>
      <c r="S8965" s="1" t="s">
        <v>34218</v>
      </c>
    </row>
    <row r="8966" spans="1:19" x14ac:dyDescent="0.25">
      <c r="A8966">
        <v>101039095</v>
      </c>
      <c r="B8966" t="s">
        <v>276</v>
      </c>
      <c r="C8966" t="s">
        <v>1955</v>
      </c>
      <c r="G8966" t="s">
        <v>20485</v>
      </c>
      <c r="H8966" t="s">
        <v>870</v>
      </c>
      <c r="I8966" t="s">
        <v>236</v>
      </c>
      <c r="J8966">
        <v>1571</v>
      </c>
      <c r="K8966">
        <v>6318</v>
      </c>
      <c r="L8966" t="s">
        <v>23</v>
      </c>
      <c r="M8966" t="s">
        <v>20485</v>
      </c>
      <c r="N8966" t="s">
        <v>870</v>
      </c>
      <c r="O8966" t="s">
        <v>236</v>
      </c>
      <c r="P8966">
        <v>1571</v>
      </c>
      <c r="Q8966">
        <v>6318</v>
      </c>
      <c r="R8966" t="s">
        <v>23</v>
      </c>
      <c r="S8966" s="1" t="s">
        <v>34218</v>
      </c>
    </row>
    <row r="8967" spans="1:19" x14ac:dyDescent="0.25">
      <c r="A8967">
        <v>101039241</v>
      </c>
      <c r="B8967" t="s">
        <v>20486</v>
      </c>
      <c r="C8967" t="s">
        <v>846</v>
      </c>
      <c r="G8967" t="s">
        <v>20487</v>
      </c>
      <c r="H8967" t="s">
        <v>758</v>
      </c>
      <c r="I8967" t="s">
        <v>148</v>
      </c>
      <c r="J8967">
        <v>20910</v>
      </c>
      <c r="K8967">
        <v>1150</v>
      </c>
      <c r="L8967" t="s">
        <v>23</v>
      </c>
      <c r="M8967" t="s">
        <v>20487</v>
      </c>
      <c r="N8967" t="s">
        <v>758</v>
      </c>
      <c r="O8967" t="s">
        <v>148</v>
      </c>
      <c r="P8967">
        <v>20910</v>
      </c>
      <c r="Q8967">
        <v>1150</v>
      </c>
      <c r="R8967" t="s">
        <v>23</v>
      </c>
      <c r="S8967" s="1" t="s">
        <v>34218</v>
      </c>
    </row>
    <row r="8968" spans="1:19" x14ac:dyDescent="0.25">
      <c r="A8968">
        <v>101036086</v>
      </c>
      <c r="B8968" t="s">
        <v>20488</v>
      </c>
      <c r="C8968" t="s">
        <v>522</v>
      </c>
      <c r="G8968" t="s">
        <v>20489</v>
      </c>
      <c r="H8968" t="s">
        <v>20490</v>
      </c>
      <c r="I8968" t="s">
        <v>241</v>
      </c>
      <c r="J8968">
        <v>66215</v>
      </c>
      <c r="K8968">
        <v>3436</v>
      </c>
      <c r="L8968" t="s">
        <v>23</v>
      </c>
      <c r="M8968" t="s">
        <v>20489</v>
      </c>
      <c r="N8968" t="s">
        <v>20490</v>
      </c>
      <c r="O8968" t="s">
        <v>241</v>
      </c>
      <c r="P8968">
        <v>66215</v>
      </c>
      <c r="Q8968">
        <v>3436</v>
      </c>
      <c r="R8968" t="s">
        <v>23</v>
      </c>
      <c r="S8968" s="1" t="s">
        <v>34218</v>
      </c>
    </row>
    <row r="8969" spans="1:19" x14ac:dyDescent="0.25">
      <c r="A8969">
        <v>101042350</v>
      </c>
      <c r="B8969" t="s">
        <v>5488</v>
      </c>
      <c r="C8969" t="s">
        <v>1323</v>
      </c>
      <c r="G8969" t="s">
        <v>20491</v>
      </c>
      <c r="H8969" t="s">
        <v>12365</v>
      </c>
      <c r="I8969" t="s">
        <v>236</v>
      </c>
      <c r="J8969">
        <v>1760</v>
      </c>
      <c r="K8969">
        <v>5570</v>
      </c>
      <c r="L8969" t="s">
        <v>23</v>
      </c>
      <c r="M8969" t="s">
        <v>20491</v>
      </c>
      <c r="N8969" t="s">
        <v>12365</v>
      </c>
      <c r="O8969" t="s">
        <v>236</v>
      </c>
      <c r="P8969">
        <v>1760</v>
      </c>
      <c r="Q8969">
        <v>5570</v>
      </c>
      <c r="R8969" t="s">
        <v>23</v>
      </c>
      <c r="S8969" s="1" t="s">
        <v>34218</v>
      </c>
    </row>
    <row r="8970" spans="1:19" x14ac:dyDescent="0.25">
      <c r="A8970">
        <v>101045181</v>
      </c>
      <c r="B8970" t="s">
        <v>11945</v>
      </c>
      <c r="C8970" t="s">
        <v>865</v>
      </c>
      <c r="G8970" t="s">
        <v>20492</v>
      </c>
      <c r="H8970" t="s">
        <v>20493</v>
      </c>
      <c r="I8970" t="s">
        <v>365</v>
      </c>
      <c r="J8970">
        <v>85616</v>
      </c>
      <c r="K8970">
        <v>8126</v>
      </c>
      <c r="L8970" t="s">
        <v>23</v>
      </c>
      <c r="M8970" t="s">
        <v>20492</v>
      </c>
      <c r="N8970" t="s">
        <v>20493</v>
      </c>
      <c r="O8970" t="s">
        <v>365</v>
      </c>
      <c r="P8970">
        <v>85616</v>
      </c>
      <c r="Q8970">
        <v>8126</v>
      </c>
      <c r="R8970" t="s">
        <v>23</v>
      </c>
      <c r="S8970" s="1" t="s">
        <v>34218</v>
      </c>
    </row>
    <row r="8971" spans="1:19" x14ac:dyDescent="0.25">
      <c r="A8971">
        <v>101043478</v>
      </c>
      <c r="B8971" t="s">
        <v>4388</v>
      </c>
      <c r="C8971" t="s">
        <v>432</v>
      </c>
      <c r="G8971" t="s">
        <v>20494</v>
      </c>
      <c r="H8971" t="s">
        <v>21</v>
      </c>
      <c r="I8971" t="s">
        <v>22</v>
      </c>
      <c r="J8971">
        <v>95401</v>
      </c>
      <c r="K8971">
        <v>9174</v>
      </c>
      <c r="L8971" t="s">
        <v>23</v>
      </c>
      <c r="M8971" t="s">
        <v>20494</v>
      </c>
      <c r="N8971" t="s">
        <v>21</v>
      </c>
      <c r="O8971" t="s">
        <v>22</v>
      </c>
      <c r="P8971">
        <v>95401</v>
      </c>
      <c r="Q8971">
        <v>9174</v>
      </c>
      <c r="R8971" t="s">
        <v>23</v>
      </c>
      <c r="S8971" s="1" t="s">
        <v>34218</v>
      </c>
    </row>
    <row r="8972" spans="1:19" x14ac:dyDescent="0.25">
      <c r="A8972">
        <v>101239552</v>
      </c>
      <c r="B8972" t="s">
        <v>5551</v>
      </c>
      <c r="C8972" t="s">
        <v>20495</v>
      </c>
      <c r="G8972" t="s">
        <v>20496</v>
      </c>
      <c r="H8972" t="s">
        <v>869</v>
      </c>
      <c r="I8972" t="s">
        <v>52</v>
      </c>
      <c r="J8972">
        <v>33142</v>
      </c>
      <c r="K8972">
        <v>8109</v>
      </c>
      <c r="L8972" t="s">
        <v>23</v>
      </c>
      <c r="M8972" t="s">
        <v>20496</v>
      </c>
      <c r="N8972" t="s">
        <v>869</v>
      </c>
      <c r="O8972" t="s">
        <v>52</v>
      </c>
      <c r="P8972">
        <v>33142</v>
      </c>
      <c r="Q8972">
        <v>8109</v>
      </c>
      <c r="R8972" t="s">
        <v>23</v>
      </c>
      <c r="S8972" s="1" t="s">
        <v>34218</v>
      </c>
    </row>
    <row r="8973" spans="1:19" x14ac:dyDescent="0.25">
      <c r="A8973">
        <v>101240279</v>
      </c>
      <c r="B8973" t="s">
        <v>20497</v>
      </c>
      <c r="C8973" t="s">
        <v>846</v>
      </c>
      <c r="G8973" t="s">
        <v>20498</v>
      </c>
      <c r="H8973" t="s">
        <v>134</v>
      </c>
      <c r="I8973" t="s">
        <v>135</v>
      </c>
      <c r="J8973">
        <v>60614</v>
      </c>
      <c r="K8973">
        <v>1956</v>
      </c>
      <c r="L8973" t="s">
        <v>23</v>
      </c>
      <c r="M8973" t="s">
        <v>20498</v>
      </c>
      <c r="N8973" t="s">
        <v>134</v>
      </c>
      <c r="O8973" t="s">
        <v>135</v>
      </c>
      <c r="P8973">
        <v>60614</v>
      </c>
      <c r="Q8973">
        <v>1956</v>
      </c>
      <c r="R8973" t="s">
        <v>23</v>
      </c>
      <c r="S8973" s="1" t="s">
        <v>34218</v>
      </c>
    </row>
    <row r="8974" spans="1:19" x14ac:dyDescent="0.25">
      <c r="A8974">
        <v>101244396</v>
      </c>
      <c r="B8974" t="s">
        <v>20499</v>
      </c>
      <c r="C8974" t="s">
        <v>9958</v>
      </c>
      <c r="G8974" t="s">
        <v>20500</v>
      </c>
      <c r="H8974" t="s">
        <v>1086</v>
      </c>
      <c r="I8974" t="s">
        <v>446</v>
      </c>
      <c r="J8974">
        <v>28277</v>
      </c>
      <c r="K8974">
        <v>6602</v>
      </c>
      <c r="L8974" t="s">
        <v>23</v>
      </c>
      <c r="M8974" t="s">
        <v>20500</v>
      </c>
      <c r="N8974" t="s">
        <v>1086</v>
      </c>
      <c r="O8974" t="s">
        <v>446</v>
      </c>
      <c r="P8974">
        <v>28277</v>
      </c>
      <c r="Q8974">
        <v>6602</v>
      </c>
      <c r="R8974" t="s">
        <v>23</v>
      </c>
      <c r="S8974" s="1" t="s">
        <v>34218</v>
      </c>
    </row>
    <row r="8975" spans="1:19" x14ac:dyDescent="0.25">
      <c r="A8975">
        <v>101249756</v>
      </c>
      <c r="B8975" t="s">
        <v>20501</v>
      </c>
      <c r="C8975" t="s">
        <v>20502</v>
      </c>
      <c r="G8975" t="s">
        <v>20503</v>
      </c>
      <c r="H8975" t="s">
        <v>20504</v>
      </c>
      <c r="I8975" t="s">
        <v>100</v>
      </c>
      <c r="J8975">
        <v>54944</v>
      </c>
      <c r="K8975">
        <v>9422</v>
      </c>
      <c r="L8975" t="s">
        <v>23</v>
      </c>
      <c r="M8975" t="s">
        <v>20503</v>
      </c>
      <c r="N8975" t="s">
        <v>20504</v>
      </c>
      <c r="O8975" t="s">
        <v>100</v>
      </c>
      <c r="P8975">
        <v>54944</v>
      </c>
      <c r="Q8975">
        <v>9422</v>
      </c>
      <c r="R8975" t="s">
        <v>23</v>
      </c>
      <c r="S8975" s="1" t="s">
        <v>34218</v>
      </c>
    </row>
    <row r="8976" spans="1:19" x14ac:dyDescent="0.25">
      <c r="A8976">
        <v>101258384</v>
      </c>
      <c r="B8976" t="s">
        <v>20505</v>
      </c>
      <c r="C8976" t="s">
        <v>6689</v>
      </c>
      <c r="G8976" t="s">
        <v>20506</v>
      </c>
      <c r="H8976" t="s">
        <v>7820</v>
      </c>
      <c r="I8976" t="s">
        <v>117</v>
      </c>
      <c r="J8976">
        <v>14456</v>
      </c>
      <c r="K8976">
        <v>1517</v>
      </c>
      <c r="L8976" t="s">
        <v>23</v>
      </c>
      <c r="M8976" t="s">
        <v>20506</v>
      </c>
      <c r="N8976" t="s">
        <v>7820</v>
      </c>
      <c r="O8976" t="s">
        <v>117</v>
      </c>
      <c r="P8976">
        <v>14456</v>
      </c>
      <c r="Q8976">
        <v>1517</v>
      </c>
      <c r="R8976" t="s">
        <v>23</v>
      </c>
      <c r="S8976" s="1" t="s">
        <v>34218</v>
      </c>
    </row>
    <row r="8977" spans="1:19" x14ac:dyDescent="0.25">
      <c r="A8977">
        <v>101253806</v>
      </c>
      <c r="B8977" t="s">
        <v>20507</v>
      </c>
      <c r="C8977" t="s">
        <v>119</v>
      </c>
      <c r="G8977" t="s">
        <v>20508</v>
      </c>
      <c r="H8977" t="s">
        <v>20509</v>
      </c>
      <c r="I8977" t="s">
        <v>236</v>
      </c>
      <c r="J8977">
        <v>1532</v>
      </c>
      <c r="K8977">
        <v>1307</v>
      </c>
      <c r="L8977" t="s">
        <v>23</v>
      </c>
      <c r="M8977" t="s">
        <v>20508</v>
      </c>
      <c r="N8977" t="s">
        <v>20509</v>
      </c>
      <c r="O8977" t="s">
        <v>236</v>
      </c>
      <c r="P8977">
        <v>1532</v>
      </c>
      <c r="Q8977">
        <v>1307</v>
      </c>
      <c r="R8977" t="s">
        <v>23</v>
      </c>
      <c r="S8977" s="1" t="s">
        <v>34218</v>
      </c>
    </row>
    <row r="8978" spans="1:19" x14ac:dyDescent="0.25">
      <c r="A8978">
        <v>101261829</v>
      </c>
      <c r="B8978" t="s">
        <v>20510</v>
      </c>
      <c r="C8978" t="s">
        <v>803</v>
      </c>
      <c r="G8978" t="s">
        <v>20511</v>
      </c>
      <c r="H8978" t="s">
        <v>1174</v>
      </c>
      <c r="I8978" t="s">
        <v>446</v>
      </c>
      <c r="J8978">
        <v>28607</v>
      </c>
      <c r="K8978">
        <v>7009</v>
      </c>
      <c r="L8978" t="s">
        <v>23</v>
      </c>
      <c r="M8978" t="s">
        <v>20511</v>
      </c>
      <c r="N8978" t="s">
        <v>1174</v>
      </c>
      <c r="O8978" t="s">
        <v>446</v>
      </c>
      <c r="P8978">
        <v>28607</v>
      </c>
      <c r="Q8978">
        <v>7009</v>
      </c>
      <c r="R8978" t="s">
        <v>23</v>
      </c>
      <c r="S8978" s="1" t="s">
        <v>34218</v>
      </c>
    </row>
    <row r="8979" spans="1:19" x14ac:dyDescent="0.25">
      <c r="A8979">
        <v>101260757</v>
      </c>
      <c r="B8979" t="s">
        <v>8852</v>
      </c>
      <c r="C8979" t="s">
        <v>6572</v>
      </c>
      <c r="G8979" t="s">
        <v>20512</v>
      </c>
      <c r="H8979" t="s">
        <v>2514</v>
      </c>
      <c r="I8979" t="s">
        <v>236</v>
      </c>
      <c r="J8979">
        <v>2111</v>
      </c>
      <c r="K8979">
        <v>2238</v>
      </c>
      <c r="L8979" t="s">
        <v>23</v>
      </c>
      <c r="M8979" t="s">
        <v>20512</v>
      </c>
      <c r="N8979" t="s">
        <v>2514</v>
      </c>
      <c r="O8979" t="s">
        <v>236</v>
      </c>
      <c r="P8979">
        <v>2111</v>
      </c>
      <c r="Q8979">
        <v>2238</v>
      </c>
      <c r="R8979" t="s">
        <v>23</v>
      </c>
      <c r="S8979" s="1" t="s">
        <v>34218</v>
      </c>
    </row>
    <row r="8980" spans="1:19" x14ac:dyDescent="0.25">
      <c r="A8980">
        <v>101259147</v>
      </c>
      <c r="B8980" t="s">
        <v>20513</v>
      </c>
      <c r="C8980" t="s">
        <v>403</v>
      </c>
      <c r="G8980" t="s">
        <v>20514</v>
      </c>
      <c r="H8980" t="s">
        <v>5876</v>
      </c>
      <c r="I8980" t="s">
        <v>52</v>
      </c>
      <c r="J8980">
        <v>34212</v>
      </c>
      <c r="K8980">
        <v>9682</v>
      </c>
      <c r="L8980" t="s">
        <v>23</v>
      </c>
      <c r="M8980" t="s">
        <v>20514</v>
      </c>
      <c r="N8980" t="s">
        <v>5876</v>
      </c>
      <c r="O8980" t="s">
        <v>52</v>
      </c>
      <c r="P8980">
        <v>34212</v>
      </c>
      <c r="Q8980">
        <v>9682</v>
      </c>
      <c r="R8980" t="s">
        <v>23</v>
      </c>
      <c r="S8980" s="1" t="s">
        <v>34218</v>
      </c>
    </row>
    <row r="8981" spans="1:19" x14ac:dyDescent="0.25">
      <c r="A8981">
        <v>101255915</v>
      </c>
      <c r="B8981" t="s">
        <v>20515</v>
      </c>
      <c r="C8981" t="s">
        <v>543</v>
      </c>
      <c r="G8981" t="s">
        <v>20516</v>
      </c>
      <c r="H8981" t="s">
        <v>1705</v>
      </c>
      <c r="I8981" t="s">
        <v>140</v>
      </c>
      <c r="J8981">
        <v>48073</v>
      </c>
      <c r="K8981">
        <v>3542</v>
      </c>
      <c r="L8981" t="s">
        <v>23</v>
      </c>
      <c r="M8981" t="s">
        <v>20516</v>
      </c>
      <c r="N8981" t="s">
        <v>1705</v>
      </c>
      <c r="O8981" t="s">
        <v>140</v>
      </c>
      <c r="P8981">
        <v>48073</v>
      </c>
      <c r="Q8981">
        <v>3542</v>
      </c>
      <c r="R8981" t="s">
        <v>23</v>
      </c>
      <c r="S8981" s="1" t="s">
        <v>34218</v>
      </c>
    </row>
    <row r="8982" spans="1:19" x14ac:dyDescent="0.25">
      <c r="A8982">
        <v>101264682</v>
      </c>
      <c r="B8982" t="s">
        <v>12478</v>
      </c>
      <c r="C8982" t="s">
        <v>1487</v>
      </c>
      <c r="G8982" t="s">
        <v>20517</v>
      </c>
      <c r="H8982" t="s">
        <v>2562</v>
      </c>
      <c r="I8982" t="s">
        <v>52</v>
      </c>
      <c r="J8982">
        <v>32159</v>
      </c>
      <c r="K8982">
        <v>3211</v>
      </c>
      <c r="L8982" t="s">
        <v>23</v>
      </c>
      <c r="M8982" t="s">
        <v>20517</v>
      </c>
      <c r="N8982" t="s">
        <v>2562</v>
      </c>
      <c r="O8982" t="s">
        <v>52</v>
      </c>
      <c r="P8982">
        <v>32159</v>
      </c>
      <c r="Q8982">
        <v>3211</v>
      </c>
      <c r="R8982" t="s">
        <v>23</v>
      </c>
      <c r="S8982" s="1" t="s">
        <v>34218</v>
      </c>
    </row>
    <row r="8983" spans="1:19" x14ac:dyDescent="0.25">
      <c r="A8983">
        <v>101250288</v>
      </c>
      <c r="B8983" t="s">
        <v>2637</v>
      </c>
      <c r="C8983" t="s">
        <v>20518</v>
      </c>
      <c r="G8983" t="s">
        <v>20519</v>
      </c>
      <c r="H8983" t="s">
        <v>638</v>
      </c>
      <c r="I8983" t="s">
        <v>639</v>
      </c>
      <c r="J8983">
        <v>87121</v>
      </c>
      <c r="K8983">
        <v>6296</v>
      </c>
      <c r="L8983" t="s">
        <v>23</v>
      </c>
      <c r="M8983" t="s">
        <v>20519</v>
      </c>
      <c r="N8983" t="s">
        <v>638</v>
      </c>
      <c r="O8983" t="s">
        <v>639</v>
      </c>
      <c r="P8983">
        <v>87121</v>
      </c>
      <c r="Q8983">
        <v>6296</v>
      </c>
      <c r="R8983" t="s">
        <v>23</v>
      </c>
      <c r="S8983" s="1" t="s">
        <v>34218</v>
      </c>
    </row>
    <row r="8984" spans="1:19" x14ac:dyDescent="0.25">
      <c r="A8984">
        <v>101264037</v>
      </c>
      <c r="B8984" t="s">
        <v>16038</v>
      </c>
      <c r="C8984" t="s">
        <v>613</v>
      </c>
      <c r="F8984" t="str">
        <f>"6097261040"</f>
        <v>6097261040</v>
      </c>
      <c r="G8984" t="s">
        <v>20520</v>
      </c>
      <c r="H8984" t="s">
        <v>11591</v>
      </c>
      <c r="I8984" t="s">
        <v>250</v>
      </c>
      <c r="J8984">
        <v>8068</v>
      </c>
      <c r="K8984">
        <v>1231</v>
      </c>
      <c r="L8984" t="s">
        <v>23</v>
      </c>
      <c r="M8984" t="s">
        <v>20520</v>
      </c>
      <c r="N8984" t="s">
        <v>11591</v>
      </c>
      <c r="O8984" t="s">
        <v>250</v>
      </c>
      <c r="P8984">
        <v>8068</v>
      </c>
      <c r="Q8984">
        <v>1231</v>
      </c>
      <c r="R8984" t="s">
        <v>23</v>
      </c>
      <c r="S8984" s="1" t="s">
        <v>34218</v>
      </c>
    </row>
    <row r="8985" spans="1:19" x14ac:dyDescent="0.25">
      <c r="A8985">
        <v>101267787</v>
      </c>
      <c r="B8985" t="s">
        <v>20521</v>
      </c>
      <c r="C8985" t="s">
        <v>483</v>
      </c>
      <c r="G8985" t="s">
        <v>20522</v>
      </c>
      <c r="H8985" t="s">
        <v>8681</v>
      </c>
      <c r="I8985" t="s">
        <v>236</v>
      </c>
      <c r="J8985">
        <v>1040</v>
      </c>
      <c r="K8985">
        <v>3152</v>
      </c>
      <c r="L8985" t="s">
        <v>23</v>
      </c>
      <c r="M8985" t="s">
        <v>20522</v>
      </c>
      <c r="N8985" t="s">
        <v>8681</v>
      </c>
      <c r="O8985" t="s">
        <v>236</v>
      </c>
      <c r="P8985">
        <v>1040</v>
      </c>
      <c r="Q8985">
        <v>3152</v>
      </c>
      <c r="R8985" t="s">
        <v>23</v>
      </c>
      <c r="S8985" s="1" t="s">
        <v>34218</v>
      </c>
    </row>
    <row r="8986" spans="1:19" x14ac:dyDescent="0.25">
      <c r="A8986">
        <v>101272240</v>
      </c>
      <c r="B8986" t="s">
        <v>20523</v>
      </c>
      <c r="C8986" t="s">
        <v>797</v>
      </c>
      <c r="G8986" t="s">
        <v>20524</v>
      </c>
      <c r="H8986" t="s">
        <v>694</v>
      </c>
      <c r="I8986" t="s">
        <v>135</v>
      </c>
      <c r="J8986">
        <v>60540</v>
      </c>
      <c r="K8986">
        <v>3619</v>
      </c>
      <c r="L8986" t="s">
        <v>23</v>
      </c>
      <c r="M8986" t="s">
        <v>20524</v>
      </c>
      <c r="N8986" t="s">
        <v>694</v>
      </c>
      <c r="O8986" t="s">
        <v>135</v>
      </c>
      <c r="P8986">
        <v>60540</v>
      </c>
      <c r="Q8986">
        <v>3619</v>
      </c>
      <c r="R8986" t="s">
        <v>23</v>
      </c>
      <c r="S8986" s="1" t="s">
        <v>34218</v>
      </c>
    </row>
    <row r="8987" spans="1:19" x14ac:dyDescent="0.25">
      <c r="A8987">
        <v>101480561</v>
      </c>
      <c r="B8987" t="s">
        <v>20525</v>
      </c>
      <c r="C8987" t="s">
        <v>8144</v>
      </c>
      <c r="G8987" t="s">
        <v>20526</v>
      </c>
      <c r="H8987" t="s">
        <v>758</v>
      </c>
      <c r="I8987" t="s">
        <v>148</v>
      </c>
      <c r="J8987">
        <v>20910</v>
      </c>
      <c r="K8987">
        <v>1653</v>
      </c>
      <c r="L8987" t="s">
        <v>23</v>
      </c>
      <c r="M8987" t="s">
        <v>20526</v>
      </c>
      <c r="N8987" t="s">
        <v>758</v>
      </c>
      <c r="O8987" t="s">
        <v>148</v>
      </c>
      <c r="P8987">
        <v>20910</v>
      </c>
      <c r="Q8987">
        <v>1653</v>
      </c>
      <c r="R8987" t="s">
        <v>23</v>
      </c>
      <c r="S8987" s="1" t="s">
        <v>34218</v>
      </c>
    </row>
    <row r="8988" spans="1:19" x14ac:dyDescent="0.25">
      <c r="A8988">
        <v>100737391</v>
      </c>
      <c r="B8988" t="s">
        <v>20527</v>
      </c>
      <c r="C8988" t="s">
        <v>20528</v>
      </c>
      <c r="G8988" t="s">
        <v>20529</v>
      </c>
      <c r="H8988" t="s">
        <v>20530</v>
      </c>
      <c r="I8988" t="s">
        <v>38</v>
      </c>
      <c r="J8988">
        <v>75862</v>
      </c>
      <c r="L8988" t="s">
        <v>23</v>
      </c>
      <c r="M8988" t="s">
        <v>20529</v>
      </c>
      <c r="N8988" t="s">
        <v>20530</v>
      </c>
      <c r="O8988" t="s">
        <v>38</v>
      </c>
      <c r="P8988">
        <v>75862</v>
      </c>
      <c r="R8988" t="s">
        <v>23</v>
      </c>
      <c r="S8988" s="1" t="s">
        <v>34218</v>
      </c>
    </row>
    <row r="8989" spans="1:19" x14ac:dyDescent="0.25">
      <c r="A8989">
        <v>101443376</v>
      </c>
      <c r="B8989" t="s">
        <v>20531</v>
      </c>
      <c r="C8989" t="s">
        <v>7844</v>
      </c>
      <c r="G8989" t="s">
        <v>20532</v>
      </c>
      <c r="H8989" t="s">
        <v>12554</v>
      </c>
      <c r="I8989" t="s">
        <v>984</v>
      </c>
      <c r="J8989">
        <v>96755</v>
      </c>
      <c r="K8989">
        <v>1298</v>
      </c>
      <c r="L8989" t="s">
        <v>23</v>
      </c>
      <c r="M8989" t="s">
        <v>20532</v>
      </c>
      <c r="N8989" t="s">
        <v>12554</v>
      </c>
      <c r="O8989" t="s">
        <v>984</v>
      </c>
      <c r="P8989">
        <v>96755</v>
      </c>
      <c r="Q8989">
        <v>1298</v>
      </c>
      <c r="R8989" t="s">
        <v>23</v>
      </c>
      <c r="S8989" s="1" t="s">
        <v>34218</v>
      </c>
    </row>
    <row r="8990" spans="1:19" x14ac:dyDescent="0.25">
      <c r="A8990">
        <v>101430729</v>
      </c>
      <c r="B8990" t="s">
        <v>497</v>
      </c>
      <c r="C8990" t="s">
        <v>1581</v>
      </c>
      <c r="G8990" t="s">
        <v>20533</v>
      </c>
      <c r="H8990" t="s">
        <v>134</v>
      </c>
      <c r="I8990" t="s">
        <v>135</v>
      </c>
      <c r="J8990">
        <v>60618</v>
      </c>
      <c r="K8990">
        <v>2067</v>
      </c>
      <c r="L8990" t="s">
        <v>23</v>
      </c>
      <c r="M8990" t="s">
        <v>20533</v>
      </c>
      <c r="N8990" t="s">
        <v>134</v>
      </c>
      <c r="O8990" t="s">
        <v>135</v>
      </c>
      <c r="P8990">
        <v>60618</v>
      </c>
      <c r="Q8990">
        <v>2067</v>
      </c>
      <c r="R8990" t="s">
        <v>23</v>
      </c>
      <c r="S8990" s="1" t="s">
        <v>34218</v>
      </c>
    </row>
    <row r="8991" spans="1:19" x14ac:dyDescent="0.25">
      <c r="A8991">
        <v>101119643</v>
      </c>
      <c r="B8991" t="s">
        <v>1581</v>
      </c>
      <c r="C8991" t="s">
        <v>14056</v>
      </c>
      <c r="G8991" t="s">
        <v>20534</v>
      </c>
      <c r="H8991" t="s">
        <v>20535</v>
      </c>
      <c r="I8991" t="s">
        <v>43</v>
      </c>
      <c r="J8991">
        <v>3920</v>
      </c>
      <c r="L8991" t="s">
        <v>23</v>
      </c>
      <c r="M8991" t="s">
        <v>20534</v>
      </c>
      <c r="N8991" t="s">
        <v>20535</v>
      </c>
      <c r="O8991" t="s">
        <v>43</v>
      </c>
      <c r="P8991">
        <v>3920</v>
      </c>
      <c r="R8991" t="s">
        <v>23</v>
      </c>
      <c r="S8991" s="1" t="s">
        <v>34218</v>
      </c>
    </row>
    <row r="8992" spans="1:19" x14ac:dyDescent="0.25">
      <c r="A8992">
        <v>101282678</v>
      </c>
      <c r="B8992" t="s">
        <v>20536</v>
      </c>
      <c r="C8992" t="s">
        <v>1374</v>
      </c>
      <c r="G8992" t="s">
        <v>20537</v>
      </c>
      <c r="H8992" t="s">
        <v>412</v>
      </c>
      <c r="I8992" t="s">
        <v>117</v>
      </c>
      <c r="J8992">
        <v>11234</v>
      </c>
      <c r="K8992">
        <v>4412</v>
      </c>
      <c r="L8992" t="s">
        <v>23</v>
      </c>
      <c r="M8992" t="s">
        <v>20537</v>
      </c>
      <c r="N8992" t="s">
        <v>412</v>
      </c>
      <c r="O8992" t="s">
        <v>117</v>
      </c>
      <c r="P8992">
        <v>11234</v>
      </c>
      <c r="Q8992">
        <v>4412</v>
      </c>
      <c r="R8992" t="s">
        <v>23</v>
      </c>
      <c r="S8992" s="1" t="s">
        <v>34218</v>
      </c>
    </row>
    <row r="8993" spans="1:19" x14ac:dyDescent="0.25">
      <c r="A8993">
        <v>101477871</v>
      </c>
      <c r="B8993" t="s">
        <v>20538</v>
      </c>
      <c r="C8993" t="s">
        <v>209</v>
      </c>
      <c r="G8993" t="s">
        <v>20539</v>
      </c>
      <c r="H8993" t="s">
        <v>1335</v>
      </c>
      <c r="I8993" t="s">
        <v>140</v>
      </c>
      <c r="J8993">
        <v>49534</v>
      </c>
      <c r="K8993">
        <v>7071</v>
      </c>
      <c r="L8993" t="s">
        <v>23</v>
      </c>
      <c r="M8993" t="s">
        <v>20539</v>
      </c>
      <c r="N8993" t="s">
        <v>1335</v>
      </c>
      <c r="O8993" t="s">
        <v>140</v>
      </c>
      <c r="P8993">
        <v>49534</v>
      </c>
      <c r="Q8993">
        <v>7071</v>
      </c>
      <c r="R8993" t="s">
        <v>23</v>
      </c>
      <c r="S8993" s="1" t="s">
        <v>34218</v>
      </c>
    </row>
    <row r="8994" spans="1:19" x14ac:dyDescent="0.25">
      <c r="A8994">
        <v>101453047</v>
      </c>
      <c r="B8994" t="s">
        <v>20540</v>
      </c>
      <c r="C8994" t="s">
        <v>20541</v>
      </c>
      <c r="G8994" t="s">
        <v>20542</v>
      </c>
      <c r="H8994" t="s">
        <v>2335</v>
      </c>
      <c r="I8994" t="s">
        <v>22</v>
      </c>
      <c r="J8994">
        <v>92620</v>
      </c>
      <c r="K8994">
        <v>275</v>
      </c>
      <c r="L8994" t="s">
        <v>23</v>
      </c>
      <c r="M8994" t="s">
        <v>20542</v>
      </c>
      <c r="N8994" t="s">
        <v>2335</v>
      </c>
      <c r="O8994" t="s">
        <v>22</v>
      </c>
      <c r="P8994">
        <v>92620</v>
      </c>
      <c r="Q8994">
        <v>275</v>
      </c>
      <c r="R8994" t="s">
        <v>23</v>
      </c>
      <c r="S8994" s="1" t="s">
        <v>34218</v>
      </c>
    </row>
    <row r="8995" spans="1:19" x14ac:dyDescent="0.25">
      <c r="A8995">
        <v>101480574</v>
      </c>
      <c r="B8995" t="s">
        <v>20543</v>
      </c>
      <c r="C8995" t="s">
        <v>6315</v>
      </c>
      <c r="G8995" t="s">
        <v>20544</v>
      </c>
      <c r="H8995" t="s">
        <v>909</v>
      </c>
      <c r="I8995" t="s">
        <v>250</v>
      </c>
      <c r="J8995">
        <v>8034</v>
      </c>
      <c r="K8995">
        <v>4003</v>
      </c>
      <c r="L8995" t="s">
        <v>23</v>
      </c>
      <c r="M8995" t="s">
        <v>20544</v>
      </c>
      <c r="N8995" t="s">
        <v>909</v>
      </c>
      <c r="O8995" t="s">
        <v>250</v>
      </c>
      <c r="P8995">
        <v>8034</v>
      </c>
      <c r="Q8995">
        <v>4003</v>
      </c>
      <c r="R8995" t="s">
        <v>23</v>
      </c>
      <c r="S8995" s="1" t="s">
        <v>34218</v>
      </c>
    </row>
    <row r="8996" spans="1:19" x14ac:dyDescent="0.25">
      <c r="A8996">
        <v>101330545</v>
      </c>
      <c r="B8996" t="s">
        <v>20545</v>
      </c>
      <c r="C8996" t="s">
        <v>1757</v>
      </c>
      <c r="G8996" t="s">
        <v>20546</v>
      </c>
      <c r="H8996" t="s">
        <v>20547</v>
      </c>
      <c r="I8996" t="s">
        <v>565</v>
      </c>
      <c r="J8996">
        <v>50266</v>
      </c>
      <c r="K8996">
        <v>7111</v>
      </c>
      <c r="L8996" t="s">
        <v>23</v>
      </c>
      <c r="M8996" t="s">
        <v>20546</v>
      </c>
      <c r="N8996" t="s">
        <v>20547</v>
      </c>
      <c r="O8996" t="s">
        <v>565</v>
      </c>
      <c r="P8996">
        <v>50266</v>
      </c>
      <c r="Q8996">
        <v>7111</v>
      </c>
      <c r="R8996" t="s">
        <v>23</v>
      </c>
      <c r="S8996" s="1" t="s">
        <v>34218</v>
      </c>
    </row>
    <row r="8997" spans="1:19" x14ac:dyDescent="0.25">
      <c r="A8997">
        <v>101426434</v>
      </c>
      <c r="B8997" t="s">
        <v>20548</v>
      </c>
      <c r="C8997" t="s">
        <v>1208</v>
      </c>
      <c r="G8997" t="s">
        <v>20549</v>
      </c>
      <c r="H8997" t="s">
        <v>653</v>
      </c>
      <c r="I8997" t="s">
        <v>117</v>
      </c>
      <c r="J8997">
        <v>10002</v>
      </c>
      <c r="K8997">
        <v>5180</v>
      </c>
      <c r="L8997" t="s">
        <v>23</v>
      </c>
      <c r="M8997" t="s">
        <v>20549</v>
      </c>
      <c r="N8997" t="s">
        <v>653</v>
      </c>
      <c r="O8997" t="s">
        <v>117</v>
      </c>
      <c r="P8997">
        <v>10002</v>
      </c>
      <c r="Q8997">
        <v>5180</v>
      </c>
      <c r="R8997" t="s">
        <v>23</v>
      </c>
      <c r="S8997" s="1" t="s">
        <v>34218</v>
      </c>
    </row>
    <row r="8998" spans="1:19" x14ac:dyDescent="0.25">
      <c r="A8998">
        <v>100891897</v>
      </c>
      <c r="B8998" t="s">
        <v>7093</v>
      </c>
      <c r="C8998" t="s">
        <v>18953</v>
      </c>
      <c r="G8998" t="s">
        <v>20550</v>
      </c>
      <c r="H8998" t="s">
        <v>2381</v>
      </c>
      <c r="I8998" t="s">
        <v>22</v>
      </c>
      <c r="J8998">
        <v>94904</v>
      </c>
      <c r="K8998">
        <v>1590</v>
      </c>
      <c r="L8998" t="s">
        <v>23</v>
      </c>
      <c r="M8998" t="s">
        <v>20550</v>
      </c>
      <c r="N8998" t="s">
        <v>2381</v>
      </c>
      <c r="O8998" t="s">
        <v>22</v>
      </c>
      <c r="P8998">
        <v>94904</v>
      </c>
      <c r="Q8998">
        <v>1590</v>
      </c>
      <c r="R8998" t="s">
        <v>23</v>
      </c>
      <c r="S8998" s="1" t="s">
        <v>34218</v>
      </c>
    </row>
    <row r="8999" spans="1:19" x14ac:dyDescent="0.25">
      <c r="A8999">
        <v>101447893</v>
      </c>
      <c r="B8999" t="s">
        <v>20551</v>
      </c>
      <c r="C8999" t="s">
        <v>1327</v>
      </c>
      <c r="G8999" t="s">
        <v>20552</v>
      </c>
      <c r="H8999" t="s">
        <v>2100</v>
      </c>
      <c r="I8999" t="s">
        <v>52</v>
      </c>
      <c r="J8999">
        <v>33308</v>
      </c>
      <c r="K8999">
        <v>6180</v>
      </c>
      <c r="L8999" t="s">
        <v>23</v>
      </c>
      <c r="M8999" t="s">
        <v>20552</v>
      </c>
      <c r="N8999" t="s">
        <v>2100</v>
      </c>
      <c r="O8999" t="s">
        <v>52</v>
      </c>
      <c r="P8999">
        <v>33308</v>
      </c>
      <c r="Q8999">
        <v>6180</v>
      </c>
      <c r="R8999" t="s">
        <v>23</v>
      </c>
      <c r="S8999" s="1" t="s">
        <v>34218</v>
      </c>
    </row>
    <row r="9000" spans="1:19" x14ac:dyDescent="0.25">
      <c r="A9000">
        <v>101442008</v>
      </c>
      <c r="B9000" t="s">
        <v>20553</v>
      </c>
      <c r="C9000" t="s">
        <v>20554</v>
      </c>
      <c r="G9000" t="s">
        <v>20555</v>
      </c>
      <c r="H9000" t="s">
        <v>20556</v>
      </c>
      <c r="I9000" t="s">
        <v>117</v>
      </c>
      <c r="J9000">
        <v>12062</v>
      </c>
      <c r="K9000">
        <v>2608</v>
      </c>
      <c r="L9000" t="s">
        <v>23</v>
      </c>
      <c r="M9000" t="s">
        <v>20555</v>
      </c>
      <c r="N9000" t="s">
        <v>20556</v>
      </c>
      <c r="O9000" t="s">
        <v>117</v>
      </c>
      <c r="P9000">
        <v>12062</v>
      </c>
      <c r="Q9000">
        <v>2608</v>
      </c>
      <c r="R9000" t="s">
        <v>23</v>
      </c>
      <c r="S9000" s="1" t="s">
        <v>34218</v>
      </c>
    </row>
    <row r="9001" spans="1:19" x14ac:dyDescent="0.25">
      <c r="A9001">
        <v>101475089</v>
      </c>
      <c r="B9001" t="s">
        <v>6376</v>
      </c>
      <c r="C9001" t="s">
        <v>406</v>
      </c>
      <c r="G9001" t="s">
        <v>20557</v>
      </c>
      <c r="H9001" t="s">
        <v>4239</v>
      </c>
      <c r="I9001" t="s">
        <v>52</v>
      </c>
      <c r="J9001">
        <v>32162</v>
      </c>
      <c r="K9001">
        <v>78</v>
      </c>
      <c r="L9001" t="s">
        <v>23</v>
      </c>
      <c r="M9001" t="s">
        <v>20557</v>
      </c>
      <c r="N9001" t="s">
        <v>4239</v>
      </c>
      <c r="O9001" t="s">
        <v>52</v>
      </c>
      <c r="P9001">
        <v>32162</v>
      </c>
      <c r="Q9001">
        <v>78</v>
      </c>
      <c r="R9001" t="s">
        <v>23</v>
      </c>
      <c r="S9001" s="1" t="s">
        <v>34218</v>
      </c>
    </row>
    <row r="9002" spans="1:19" x14ac:dyDescent="0.25">
      <c r="A9002">
        <v>101480579</v>
      </c>
      <c r="B9002" t="s">
        <v>20558</v>
      </c>
      <c r="C9002" t="s">
        <v>1208</v>
      </c>
      <c r="G9002" t="s">
        <v>20559</v>
      </c>
      <c r="H9002" t="s">
        <v>761</v>
      </c>
      <c r="I9002" t="s">
        <v>22</v>
      </c>
      <c r="J9002">
        <v>94521</v>
      </c>
      <c r="K9002">
        <v>3010</v>
      </c>
      <c r="L9002" t="s">
        <v>23</v>
      </c>
      <c r="M9002" t="s">
        <v>20559</v>
      </c>
      <c r="N9002" t="s">
        <v>761</v>
      </c>
      <c r="O9002" t="s">
        <v>22</v>
      </c>
      <c r="P9002">
        <v>94521</v>
      </c>
      <c r="Q9002">
        <v>3010</v>
      </c>
      <c r="R9002" t="s">
        <v>23</v>
      </c>
      <c r="S9002" s="1" t="s">
        <v>34218</v>
      </c>
    </row>
    <row r="9003" spans="1:19" x14ac:dyDescent="0.25">
      <c r="A9003">
        <v>101244136</v>
      </c>
      <c r="B9003" t="s">
        <v>2189</v>
      </c>
      <c r="C9003" t="s">
        <v>1398</v>
      </c>
      <c r="G9003" t="s">
        <v>20560</v>
      </c>
      <c r="H9003" t="s">
        <v>3129</v>
      </c>
      <c r="I9003" t="s">
        <v>84</v>
      </c>
      <c r="J9003">
        <v>99205</v>
      </c>
      <c r="K9003">
        <v>7259</v>
      </c>
      <c r="L9003" t="s">
        <v>23</v>
      </c>
      <c r="M9003" t="s">
        <v>20560</v>
      </c>
      <c r="N9003" t="s">
        <v>3129</v>
      </c>
      <c r="O9003" t="s">
        <v>84</v>
      </c>
      <c r="P9003">
        <v>99205</v>
      </c>
      <c r="Q9003">
        <v>7259</v>
      </c>
      <c r="R9003" t="s">
        <v>23</v>
      </c>
      <c r="S9003" s="1" t="s">
        <v>34218</v>
      </c>
    </row>
    <row r="9004" spans="1:19" x14ac:dyDescent="0.25">
      <c r="A9004">
        <v>101449449</v>
      </c>
      <c r="B9004" t="s">
        <v>20561</v>
      </c>
      <c r="C9004" t="s">
        <v>158</v>
      </c>
      <c r="G9004" t="s">
        <v>20562</v>
      </c>
      <c r="H9004" t="s">
        <v>20337</v>
      </c>
      <c r="I9004" t="s">
        <v>117</v>
      </c>
      <c r="J9004">
        <v>11729</v>
      </c>
      <c r="K9004">
        <v>5628</v>
      </c>
      <c r="L9004" t="s">
        <v>23</v>
      </c>
      <c r="M9004" t="s">
        <v>20562</v>
      </c>
      <c r="N9004" t="s">
        <v>20337</v>
      </c>
      <c r="O9004" t="s">
        <v>117</v>
      </c>
      <c r="P9004">
        <v>11729</v>
      </c>
      <c r="Q9004">
        <v>5628</v>
      </c>
      <c r="R9004" t="s">
        <v>23</v>
      </c>
      <c r="S9004" s="1" t="s">
        <v>34218</v>
      </c>
    </row>
    <row r="9005" spans="1:19" x14ac:dyDescent="0.25">
      <c r="A9005">
        <v>101247708</v>
      </c>
      <c r="B9005" t="s">
        <v>19301</v>
      </c>
      <c r="C9005" t="s">
        <v>20563</v>
      </c>
      <c r="G9005" t="s">
        <v>20564</v>
      </c>
      <c r="H9005" t="s">
        <v>412</v>
      </c>
      <c r="I9005" t="s">
        <v>117</v>
      </c>
      <c r="J9005">
        <v>11201</v>
      </c>
      <c r="K9005">
        <v>5605</v>
      </c>
      <c r="L9005" t="s">
        <v>23</v>
      </c>
      <c r="M9005" t="s">
        <v>20564</v>
      </c>
      <c r="N9005" t="s">
        <v>412</v>
      </c>
      <c r="O9005" t="s">
        <v>117</v>
      </c>
      <c r="P9005">
        <v>11201</v>
      </c>
      <c r="Q9005">
        <v>5605</v>
      </c>
      <c r="R9005" t="s">
        <v>23</v>
      </c>
      <c r="S9005" s="1" t="s">
        <v>34218</v>
      </c>
    </row>
    <row r="9006" spans="1:19" x14ac:dyDescent="0.25">
      <c r="A9006">
        <v>101466895</v>
      </c>
      <c r="B9006" t="s">
        <v>10485</v>
      </c>
      <c r="C9006" t="s">
        <v>110</v>
      </c>
      <c r="G9006" t="s">
        <v>20565</v>
      </c>
      <c r="H9006" t="s">
        <v>16746</v>
      </c>
      <c r="I9006" t="s">
        <v>191</v>
      </c>
      <c r="J9006">
        <v>4001</v>
      </c>
      <c r="K9006">
        <v>5419</v>
      </c>
      <c r="L9006" t="s">
        <v>23</v>
      </c>
      <c r="M9006" t="s">
        <v>20565</v>
      </c>
      <c r="N9006" t="s">
        <v>16746</v>
      </c>
      <c r="O9006" t="s">
        <v>191</v>
      </c>
      <c r="P9006">
        <v>4001</v>
      </c>
      <c r="Q9006">
        <v>5419</v>
      </c>
      <c r="R9006" t="s">
        <v>23</v>
      </c>
      <c r="S9006" s="1" t="s">
        <v>34218</v>
      </c>
    </row>
    <row r="9007" spans="1:19" x14ac:dyDescent="0.25">
      <c r="A9007">
        <v>100760475</v>
      </c>
      <c r="B9007" t="s">
        <v>20566</v>
      </c>
      <c r="C9007" t="s">
        <v>1426</v>
      </c>
      <c r="G9007" t="s">
        <v>20567</v>
      </c>
      <c r="H9007" t="s">
        <v>672</v>
      </c>
      <c r="I9007" t="s">
        <v>353</v>
      </c>
      <c r="J9007">
        <v>3862</v>
      </c>
      <c r="L9007" t="s">
        <v>23</v>
      </c>
      <c r="M9007" t="s">
        <v>20567</v>
      </c>
      <c r="N9007" t="s">
        <v>672</v>
      </c>
      <c r="O9007" t="s">
        <v>353</v>
      </c>
      <c r="P9007">
        <v>3862</v>
      </c>
      <c r="R9007" t="s">
        <v>23</v>
      </c>
      <c r="S9007" s="1" t="s">
        <v>34218</v>
      </c>
    </row>
    <row r="9008" spans="1:19" x14ac:dyDescent="0.25">
      <c r="A9008">
        <v>101421158</v>
      </c>
      <c r="B9008" t="s">
        <v>1595</v>
      </c>
      <c r="C9008" t="s">
        <v>1153</v>
      </c>
      <c r="G9008" t="s">
        <v>20568</v>
      </c>
      <c r="H9008" t="s">
        <v>1352</v>
      </c>
      <c r="I9008" t="s">
        <v>22</v>
      </c>
      <c r="J9008">
        <v>92008</v>
      </c>
      <c r="K9008">
        <v>2526</v>
      </c>
      <c r="L9008" t="s">
        <v>23</v>
      </c>
      <c r="M9008" t="s">
        <v>20568</v>
      </c>
      <c r="N9008" t="s">
        <v>1352</v>
      </c>
      <c r="O9008" t="s">
        <v>22</v>
      </c>
      <c r="P9008">
        <v>92008</v>
      </c>
      <c r="Q9008">
        <v>2526</v>
      </c>
      <c r="R9008" t="s">
        <v>23</v>
      </c>
      <c r="S9008" s="1" t="s">
        <v>34218</v>
      </c>
    </row>
    <row r="9009" spans="1:19" x14ac:dyDescent="0.25">
      <c r="A9009">
        <v>101476374</v>
      </c>
      <c r="B9009" t="s">
        <v>20569</v>
      </c>
      <c r="C9009" t="s">
        <v>8130</v>
      </c>
      <c r="G9009" t="s">
        <v>20570</v>
      </c>
      <c r="H9009" t="s">
        <v>412</v>
      </c>
      <c r="I9009" t="s">
        <v>117</v>
      </c>
      <c r="J9009">
        <v>11230</v>
      </c>
      <c r="K9009">
        <v>7172</v>
      </c>
      <c r="L9009" t="s">
        <v>23</v>
      </c>
      <c r="M9009" t="s">
        <v>20570</v>
      </c>
      <c r="N9009" t="s">
        <v>412</v>
      </c>
      <c r="O9009" t="s">
        <v>117</v>
      </c>
      <c r="P9009">
        <v>11230</v>
      </c>
      <c r="Q9009">
        <v>7172</v>
      </c>
      <c r="R9009" t="s">
        <v>23</v>
      </c>
      <c r="S9009" s="1" t="s">
        <v>34218</v>
      </c>
    </row>
    <row r="9010" spans="1:19" x14ac:dyDescent="0.25">
      <c r="A9010">
        <v>101267119</v>
      </c>
      <c r="B9010" t="s">
        <v>20571</v>
      </c>
      <c r="C9010" t="s">
        <v>4299</v>
      </c>
      <c r="G9010" t="s">
        <v>20572</v>
      </c>
      <c r="H9010" t="s">
        <v>8359</v>
      </c>
      <c r="I9010" t="s">
        <v>236</v>
      </c>
      <c r="J9010">
        <v>2188</v>
      </c>
      <c r="K9010">
        <v>1309</v>
      </c>
      <c r="L9010" t="s">
        <v>23</v>
      </c>
      <c r="M9010" t="s">
        <v>20572</v>
      </c>
      <c r="N9010" t="s">
        <v>8359</v>
      </c>
      <c r="O9010" t="s">
        <v>236</v>
      </c>
      <c r="P9010">
        <v>2188</v>
      </c>
      <c r="Q9010">
        <v>1309</v>
      </c>
      <c r="R9010" t="s">
        <v>23</v>
      </c>
      <c r="S9010" s="1" t="s">
        <v>34218</v>
      </c>
    </row>
    <row r="9011" spans="1:19" x14ac:dyDescent="0.25">
      <c r="A9011">
        <v>101273444</v>
      </c>
      <c r="B9011" t="s">
        <v>20573</v>
      </c>
      <c r="C9011" t="s">
        <v>627</v>
      </c>
      <c r="G9011" t="s">
        <v>20574</v>
      </c>
      <c r="H9011" t="s">
        <v>3444</v>
      </c>
      <c r="I9011" t="s">
        <v>117</v>
      </c>
      <c r="J9011">
        <v>10566</v>
      </c>
      <c r="K9011">
        <v>2584</v>
      </c>
      <c r="L9011" t="s">
        <v>23</v>
      </c>
      <c r="M9011" t="s">
        <v>20574</v>
      </c>
      <c r="N9011" t="s">
        <v>3444</v>
      </c>
      <c r="O9011" t="s">
        <v>117</v>
      </c>
      <c r="P9011">
        <v>10566</v>
      </c>
      <c r="Q9011">
        <v>2584</v>
      </c>
      <c r="R9011" t="s">
        <v>23</v>
      </c>
      <c r="S9011" s="1" t="s">
        <v>34218</v>
      </c>
    </row>
    <row r="9012" spans="1:19" x14ac:dyDescent="0.25">
      <c r="A9012">
        <v>101303402</v>
      </c>
      <c r="B9012" t="s">
        <v>20575</v>
      </c>
      <c r="C9012" t="s">
        <v>20576</v>
      </c>
      <c r="G9012" t="s">
        <v>20577</v>
      </c>
      <c r="H9012" t="s">
        <v>694</v>
      </c>
      <c r="I9012" t="s">
        <v>135</v>
      </c>
      <c r="J9012" t="s">
        <v>20578</v>
      </c>
      <c r="K9012">
        <v>5502</v>
      </c>
      <c r="L9012" t="s">
        <v>23</v>
      </c>
      <c r="M9012" t="s">
        <v>20577</v>
      </c>
      <c r="N9012" t="s">
        <v>694</v>
      </c>
      <c r="O9012" t="s">
        <v>135</v>
      </c>
      <c r="P9012" t="s">
        <v>20578</v>
      </c>
      <c r="Q9012">
        <v>5502</v>
      </c>
      <c r="R9012" t="s">
        <v>23</v>
      </c>
      <c r="S9012" s="1" t="s">
        <v>34218</v>
      </c>
    </row>
    <row r="9013" spans="1:19" x14ac:dyDescent="0.25">
      <c r="A9013">
        <v>100994307</v>
      </c>
      <c r="B9013" t="s">
        <v>20579</v>
      </c>
      <c r="C9013" t="s">
        <v>5308</v>
      </c>
      <c r="G9013" t="s">
        <v>20580</v>
      </c>
      <c r="H9013" t="s">
        <v>1405</v>
      </c>
      <c r="I9013" t="s">
        <v>187</v>
      </c>
      <c r="J9013" t="s">
        <v>20581</v>
      </c>
      <c r="K9013">
        <v>1569</v>
      </c>
      <c r="L9013" t="s">
        <v>23</v>
      </c>
      <c r="M9013" t="s">
        <v>20580</v>
      </c>
      <c r="N9013" t="s">
        <v>1405</v>
      </c>
      <c r="O9013" t="s">
        <v>187</v>
      </c>
      <c r="P9013" t="s">
        <v>20581</v>
      </c>
      <c r="Q9013">
        <v>1569</v>
      </c>
      <c r="R9013" t="s">
        <v>23</v>
      </c>
      <c r="S9013" s="1" t="s">
        <v>34218</v>
      </c>
    </row>
    <row r="9014" spans="1:19" x14ac:dyDescent="0.25">
      <c r="A9014">
        <v>101473614</v>
      </c>
      <c r="B9014" t="s">
        <v>435</v>
      </c>
      <c r="C9014" t="s">
        <v>155</v>
      </c>
      <c r="G9014" t="s">
        <v>20582</v>
      </c>
      <c r="H9014" t="s">
        <v>1439</v>
      </c>
      <c r="I9014" t="s">
        <v>365</v>
      </c>
      <c r="J9014">
        <v>85749</v>
      </c>
      <c r="K9014">
        <v>6707</v>
      </c>
      <c r="L9014" t="s">
        <v>23</v>
      </c>
      <c r="M9014" t="s">
        <v>20582</v>
      </c>
      <c r="N9014" t="s">
        <v>1439</v>
      </c>
      <c r="O9014" t="s">
        <v>365</v>
      </c>
      <c r="P9014">
        <v>85749</v>
      </c>
      <c r="Q9014">
        <v>6707</v>
      </c>
      <c r="R9014" t="s">
        <v>23</v>
      </c>
      <c r="S9014" s="1" t="s">
        <v>34218</v>
      </c>
    </row>
    <row r="9015" spans="1:19" x14ac:dyDescent="0.25">
      <c r="A9015">
        <v>101473784</v>
      </c>
      <c r="B9015" t="s">
        <v>20583</v>
      </c>
      <c r="C9015" t="s">
        <v>1623</v>
      </c>
      <c r="G9015" t="s">
        <v>20584</v>
      </c>
      <c r="H9015" t="s">
        <v>12534</v>
      </c>
      <c r="I9015" t="s">
        <v>332</v>
      </c>
      <c r="J9015">
        <v>84005</v>
      </c>
      <c r="K9015">
        <v>2012</v>
      </c>
      <c r="L9015" t="s">
        <v>23</v>
      </c>
      <c r="M9015" t="s">
        <v>20584</v>
      </c>
      <c r="N9015" t="s">
        <v>12534</v>
      </c>
      <c r="O9015" t="s">
        <v>332</v>
      </c>
      <c r="P9015">
        <v>84005</v>
      </c>
      <c r="Q9015">
        <v>2012</v>
      </c>
      <c r="R9015" t="s">
        <v>23</v>
      </c>
      <c r="S9015" s="1" t="s">
        <v>34218</v>
      </c>
    </row>
    <row r="9016" spans="1:19" x14ac:dyDescent="0.25">
      <c r="A9016">
        <v>101300461</v>
      </c>
      <c r="B9016" t="s">
        <v>12094</v>
      </c>
      <c r="C9016" t="s">
        <v>17787</v>
      </c>
      <c r="G9016" t="s">
        <v>20585</v>
      </c>
      <c r="H9016" t="s">
        <v>2042</v>
      </c>
      <c r="I9016" t="s">
        <v>117</v>
      </c>
      <c r="J9016" t="s">
        <v>20586</v>
      </c>
      <c r="K9016">
        <v>1403</v>
      </c>
      <c r="L9016" t="s">
        <v>23</v>
      </c>
      <c r="M9016" t="s">
        <v>20585</v>
      </c>
      <c r="N9016" t="s">
        <v>2042</v>
      </c>
      <c r="O9016" t="s">
        <v>117</v>
      </c>
      <c r="P9016" t="s">
        <v>20586</v>
      </c>
      <c r="Q9016">
        <v>1403</v>
      </c>
      <c r="R9016" t="s">
        <v>23</v>
      </c>
      <c r="S9016" s="1" t="s">
        <v>34218</v>
      </c>
    </row>
    <row r="9017" spans="1:19" x14ac:dyDescent="0.25">
      <c r="A9017">
        <v>101304586</v>
      </c>
      <c r="B9017" t="s">
        <v>20587</v>
      </c>
      <c r="C9017" t="s">
        <v>158</v>
      </c>
      <c r="G9017" t="s">
        <v>20588</v>
      </c>
      <c r="H9017" t="s">
        <v>17949</v>
      </c>
      <c r="I9017" t="s">
        <v>178</v>
      </c>
      <c r="J9017" t="s">
        <v>20589</v>
      </c>
      <c r="K9017">
        <v>9030</v>
      </c>
      <c r="L9017" t="s">
        <v>23</v>
      </c>
      <c r="M9017" t="s">
        <v>20588</v>
      </c>
      <c r="N9017" t="s">
        <v>17949</v>
      </c>
      <c r="O9017" t="s">
        <v>178</v>
      </c>
      <c r="P9017" t="s">
        <v>20589</v>
      </c>
      <c r="Q9017">
        <v>9030</v>
      </c>
      <c r="R9017" t="s">
        <v>23</v>
      </c>
      <c r="S9017" s="1" t="s">
        <v>34218</v>
      </c>
    </row>
    <row r="9018" spans="1:19" x14ac:dyDescent="0.25">
      <c r="A9018">
        <v>100570194</v>
      </c>
      <c r="B9018" t="s">
        <v>20590</v>
      </c>
      <c r="C9018" t="s">
        <v>452</v>
      </c>
      <c r="G9018" t="s">
        <v>20591</v>
      </c>
      <c r="H9018" t="s">
        <v>3481</v>
      </c>
      <c r="I9018" t="s">
        <v>140</v>
      </c>
      <c r="J9018" t="s">
        <v>20592</v>
      </c>
      <c r="K9018">
        <v>3917</v>
      </c>
      <c r="L9018" t="s">
        <v>23</v>
      </c>
      <c r="M9018" t="s">
        <v>20591</v>
      </c>
      <c r="N9018" t="s">
        <v>3481</v>
      </c>
      <c r="O9018" t="s">
        <v>140</v>
      </c>
      <c r="P9018" t="s">
        <v>20592</v>
      </c>
      <c r="Q9018">
        <v>3917</v>
      </c>
      <c r="R9018" t="s">
        <v>23</v>
      </c>
      <c r="S9018" s="1" t="s">
        <v>34218</v>
      </c>
    </row>
    <row r="9019" spans="1:19" x14ac:dyDescent="0.25">
      <c r="A9019">
        <v>101180334</v>
      </c>
      <c r="B9019" t="s">
        <v>14841</v>
      </c>
      <c r="C9019" t="s">
        <v>1120</v>
      </c>
      <c r="G9019" t="s">
        <v>20593</v>
      </c>
      <c r="H9019" t="s">
        <v>11980</v>
      </c>
      <c r="I9019" t="s">
        <v>43</v>
      </c>
      <c r="J9019" t="s">
        <v>20594</v>
      </c>
      <c r="K9019">
        <v>7005</v>
      </c>
      <c r="L9019" t="s">
        <v>23</v>
      </c>
      <c r="M9019" t="s">
        <v>20593</v>
      </c>
      <c r="N9019" t="s">
        <v>11980</v>
      </c>
      <c r="O9019" t="s">
        <v>43</v>
      </c>
      <c r="P9019" t="s">
        <v>20594</v>
      </c>
      <c r="Q9019">
        <v>7005</v>
      </c>
      <c r="R9019" t="s">
        <v>23</v>
      </c>
      <c r="S9019" s="1" t="s">
        <v>34218</v>
      </c>
    </row>
    <row r="9020" spans="1:19" x14ac:dyDescent="0.25">
      <c r="A9020">
        <v>101319881</v>
      </c>
      <c r="B9020" t="s">
        <v>20595</v>
      </c>
      <c r="C9020" t="s">
        <v>102</v>
      </c>
      <c r="G9020" t="s">
        <v>20596</v>
      </c>
      <c r="H9020" t="s">
        <v>198</v>
      </c>
      <c r="I9020" t="s">
        <v>22</v>
      </c>
      <c r="J9020" t="s">
        <v>20597</v>
      </c>
      <c r="K9020">
        <v>4987</v>
      </c>
      <c r="L9020" t="s">
        <v>23</v>
      </c>
      <c r="M9020" t="s">
        <v>20596</v>
      </c>
      <c r="N9020" t="s">
        <v>198</v>
      </c>
      <c r="O9020" t="s">
        <v>22</v>
      </c>
      <c r="P9020" t="s">
        <v>20597</v>
      </c>
      <c r="Q9020">
        <v>4987</v>
      </c>
      <c r="R9020" t="s">
        <v>23</v>
      </c>
      <c r="S9020" s="1" t="s">
        <v>34218</v>
      </c>
    </row>
    <row r="9021" spans="1:19" x14ac:dyDescent="0.25">
      <c r="A9021">
        <v>100967912</v>
      </c>
      <c r="B9021" t="s">
        <v>20598</v>
      </c>
      <c r="C9021" t="s">
        <v>209</v>
      </c>
      <c r="G9021" t="s">
        <v>20599</v>
      </c>
      <c r="H9021" t="s">
        <v>11343</v>
      </c>
      <c r="I9021" t="s">
        <v>117</v>
      </c>
      <c r="J9021" t="s">
        <v>20600</v>
      </c>
      <c r="K9021">
        <v>2300</v>
      </c>
      <c r="L9021" t="s">
        <v>23</v>
      </c>
      <c r="M9021" t="s">
        <v>20599</v>
      </c>
      <c r="N9021" t="s">
        <v>11343</v>
      </c>
      <c r="O9021" t="s">
        <v>117</v>
      </c>
      <c r="P9021" t="s">
        <v>20600</v>
      </c>
      <c r="Q9021">
        <v>2300</v>
      </c>
      <c r="R9021" t="s">
        <v>23</v>
      </c>
      <c r="S9021" s="1" t="s">
        <v>34218</v>
      </c>
    </row>
    <row r="9022" spans="1:19" x14ac:dyDescent="0.25">
      <c r="A9022">
        <v>101139686</v>
      </c>
      <c r="B9022" t="s">
        <v>20601</v>
      </c>
      <c r="C9022" t="s">
        <v>5671</v>
      </c>
      <c r="G9022" t="s">
        <v>20602</v>
      </c>
      <c r="H9022" t="s">
        <v>13709</v>
      </c>
      <c r="I9022" t="s">
        <v>236</v>
      </c>
      <c r="J9022" t="s">
        <v>20603</v>
      </c>
      <c r="K9022">
        <v>2528</v>
      </c>
      <c r="L9022" t="s">
        <v>23</v>
      </c>
      <c r="M9022" t="s">
        <v>20602</v>
      </c>
      <c r="N9022" t="s">
        <v>13709</v>
      </c>
      <c r="O9022" t="s">
        <v>236</v>
      </c>
      <c r="P9022" t="s">
        <v>20603</v>
      </c>
      <c r="Q9022">
        <v>2528</v>
      </c>
      <c r="R9022" t="s">
        <v>23</v>
      </c>
      <c r="S9022" s="1" t="s">
        <v>34218</v>
      </c>
    </row>
    <row r="9023" spans="1:19" x14ac:dyDescent="0.25">
      <c r="A9023">
        <v>101325470</v>
      </c>
      <c r="B9023" t="s">
        <v>20604</v>
      </c>
      <c r="C9023" t="s">
        <v>2687</v>
      </c>
      <c r="G9023" t="s">
        <v>20605</v>
      </c>
      <c r="H9023" t="s">
        <v>4162</v>
      </c>
      <c r="I9023" t="s">
        <v>43</v>
      </c>
      <c r="J9023" t="s">
        <v>20606</v>
      </c>
      <c r="K9023">
        <v>4434</v>
      </c>
      <c r="L9023" t="s">
        <v>23</v>
      </c>
      <c r="M9023" t="s">
        <v>20605</v>
      </c>
      <c r="N9023" t="s">
        <v>4162</v>
      </c>
      <c r="O9023" t="s">
        <v>43</v>
      </c>
      <c r="P9023" t="s">
        <v>20606</v>
      </c>
      <c r="Q9023">
        <v>4434</v>
      </c>
      <c r="R9023" t="s">
        <v>23</v>
      </c>
      <c r="S9023" s="1" t="s">
        <v>34218</v>
      </c>
    </row>
    <row r="9024" spans="1:19" x14ac:dyDescent="0.25">
      <c r="A9024">
        <v>101281983</v>
      </c>
      <c r="B9024" t="s">
        <v>20607</v>
      </c>
      <c r="C9024" t="s">
        <v>110</v>
      </c>
      <c r="G9024" t="s">
        <v>20608</v>
      </c>
      <c r="H9024" t="s">
        <v>869</v>
      </c>
      <c r="I9024" t="s">
        <v>52</v>
      </c>
      <c r="J9024" t="s">
        <v>20609</v>
      </c>
      <c r="K9024">
        <v>5825</v>
      </c>
      <c r="L9024" t="s">
        <v>23</v>
      </c>
      <c r="M9024" t="s">
        <v>20608</v>
      </c>
      <c r="N9024" t="s">
        <v>869</v>
      </c>
      <c r="O9024" t="s">
        <v>52</v>
      </c>
      <c r="P9024" t="s">
        <v>20609</v>
      </c>
      <c r="Q9024">
        <v>5825</v>
      </c>
      <c r="R9024" t="s">
        <v>23</v>
      </c>
      <c r="S9024" s="1" t="s">
        <v>34218</v>
      </c>
    </row>
    <row r="9025" spans="1:19" x14ac:dyDescent="0.25">
      <c r="A9025">
        <v>101295088</v>
      </c>
      <c r="B9025" t="s">
        <v>20610</v>
      </c>
      <c r="C9025" t="s">
        <v>20611</v>
      </c>
      <c r="G9025" t="s">
        <v>20612</v>
      </c>
      <c r="H9025" t="s">
        <v>20613</v>
      </c>
      <c r="I9025" t="s">
        <v>135</v>
      </c>
      <c r="J9025" t="s">
        <v>20614</v>
      </c>
      <c r="K9025">
        <v>2982</v>
      </c>
      <c r="L9025" t="s">
        <v>23</v>
      </c>
      <c r="M9025" t="s">
        <v>20612</v>
      </c>
      <c r="N9025" t="s">
        <v>20613</v>
      </c>
      <c r="O9025" t="s">
        <v>135</v>
      </c>
      <c r="P9025" t="s">
        <v>20614</v>
      </c>
      <c r="Q9025">
        <v>2982</v>
      </c>
      <c r="R9025" t="s">
        <v>23</v>
      </c>
      <c r="S9025" s="1" t="s">
        <v>34218</v>
      </c>
    </row>
    <row r="9026" spans="1:19" x14ac:dyDescent="0.25">
      <c r="A9026">
        <v>101101222</v>
      </c>
      <c r="B9026" t="s">
        <v>20615</v>
      </c>
      <c r="C9026" t="s">
        <v>123</v>
      </c>
      <c r="G9026" t="s">
        <v>20616</v>
      </c>
      <c r="H9026" t="s">
        <v>5738</v>
      </c>
      <c r="I9026" t="s">
        <v>135</v>
      </c>
      <c r="J9026" t="s">
        <v>20617</v>
      </c>
      <c r="K9026">
        <v>2502</v>
      </c>
      <c r="L9026" t="s">
        <v>23</v>
      </c>
      <c r="M9026" t="s">
        <v>20616</v>
      </c>
      <c r="N9026" t="s">
        <v>5738</v>
      </c>
      <c r="O9026" t="s">
        <v>135</v>
      </c>
      <c r="P9026" t="s">
        <v>20617</v>
      </c>
      <c r="Q9026">
        <v>2502</v>
      </c>
      <c r="R9026" t="s">
        <v>23</v>
      </c>
      <c r="S9026" s="1" t="s">
        <v>34218</v>
      </c>
    </row>
    <row r="9027" spans="1:19" x14ac:dyDescent="0.25">
      <c r="A9027">
        <v>101320838</v>
      </c>
      <c r="B9027" t="s">
        <v>3089</v>
      </c>
      <c r="C9027" t="s">
        <v>20618</v>
      </c>
      <c r="G9027" t="s">
        <v>20619</v>
      </c>
      <c r="H9027" t="s">
        <v>4150</v>
      </c>
      <c r="I9027" t="s">
        <v>365</v>
      </c>
      <c r="J9027" t="s">
        <v>20620</v>
      </c>
      <c r="K9027">
        <v>4819</v>
      </c>
      <c r="L9027" t="s">
        <v>23</v>
      </c>
      <c r="M9027" t="s">
        <v>20619</v>
      </c>
      <c r="N9027" t="s">
        <v>4150</v>
      </c>
      <c r="O9027" t="s">
        <v>365</v>
      </c>
      <c r="P9027" t="s">
        <v>20620</v>
      </c>
      <c r="Q9027">
        <v>4819</v>
      </c>
      <c r="R9027" t="s">
        <v>23</v>
      </c>
      <c r="S9027" s="1" t="s">
        <v>34218</v>
      </c>
    </row>
    <row r="9028" spans="1:19" x14ac:dyDescent="0.25">
      <c r="A9028">
        <v>101269679</v>
      </c>
      <c r="B9028" t="s">
        <v>13058</v>
      </c>
      <c r="C9028" t="s">
        <v>309</v>
      </c>
      <c r="G9028" t="s">
        <v>20621</v>
      </c>
      <c r="H9028" t="s">
        <v>20622</v>
      </c>
      <c r="I9028" t="s">
        <v>307</v>
      </c>
      <c r="J9028" t="s">
        <v>20623</v>
      </c>
      <c r="K9028">
        <v>9489</v>
      </c>
      <c r="L9028" t="s">
        <v>23</v>
      </c>
      <c r="M9028" t="s">
        <v>20621</v>
      </c>
      <c r="N9028" t="s">
        <v>20622</v>
      </c>
      <c r="O9028" t="s">
        <v>307</v>
      </c>
      <c r="P9028" t="s">
        <v>20623</v>
      </c>
      <c r="Q9028">
        <v>9489</v>
      </c>
      <c r="R9028" t="s">
        <v>23</v>
      </c>
      <c r="S9028" s="1" t="s">
        <v>34218</v>
      </c>
    </row>
    <row r="9029" spans="1:19" x14ac:dyDescent="0.25">
      <c r="A9029">
        <v>101075894</v>
      </c>
      <c r="B9029" t="s">
        <v>20624</v>
      </c>
      <c r="C9029" t="s">
        <v>19299</v>
      </c>
      <c r="F9029" t="str">
        <f>"6175298225"</f>
        <v>6175298225</v>
      </c>
      <c r="G9029" t="s">
        <v>20625</v>
      </c>
      <c r="H9029" t="s">
        <v>6735</v>
      </c>
      <c r="I9029" t="s">
        <v>236</v>
      </c>
      <c r="J9029" t="s">
        <v>20626</v>
      </c>
      <c r="K9029">
        <v>1232</v>
      </c>
      <c r="L9029" t="s">
        <v>23</v>
      </c>
      <c r="M9029" t="s">
        <v>20625</v>
      </c>
      <c r="N9029" t="s">
        <v>6735</v>
      </c>
      <c r="O9029" t="s">
        <v>236</v>
      </c>
      <c r="P9029" t="s">
        <v>20626</v>
      </c>
      <c r="Q9029">
        <v>1232</v>
      </c>
      <c r="R9029" t="s">
        <v>23</v>
      </c>
      <c r="S9029" s="1" t="s">
        <v>34218</v>
      </c>
    </row>
    <row r="9030" spans="1:19" x14ac:dyDescent="0.25">
      <c r="A9030">
        <v>101412133</v>
      </c>
      <c r="B9030" t="s">
        <v>20627</v>
      </c>
      <c r="C9030" t="s">
        <v>301</v>
      </c>
      <c r="G9030" t="s">
        <v>20628</v>
      </c>
      <c r="H9030" t="s">
        <v>713</v>
      </c>
      <c r="I9030" t="s">
        <v>22</v>
      </c>
      <c r="J9030" t="s">
        <v>20629</v>
      </c>
      <c r="K9030">
        <v>3538</v>
      </c>
      <c r="L9030" t="s">
        <v>23</v>
      </c>
      <c r="M9030" t="s">
        <v>20628</v>
      </c>
      <c r="N9030" t="s">
        <v>713</v>
      </c>
      <c r="O9030" t="s">
        <v>22</v>
      </c>
      <c r="P9030" t="s">
        <v>20629</v>
      </c>
      <c r="Q9030">
        <v>3538</v>
      </c>
      <c r="R9030" t="s">
        <v>23</v>
      </c>
      <c r="S9030" s="1" t="s">
        <v>34218</v>
      </c>
    </row>
    <row r="9031" spans="1:19" x14ac:dyDescent="0.25">
      <c r="A9031">
        <v>101325416</v>
      </c>
      <c r="B9031" t="s">
        <v>20630</v>
      </c>
      <c r="C9031" t="s">
        <v>221</v>
      </c>
      <c r="G9031" t="s">
        <v>20631</v>
      </c>
      <c r="H9031" t="s">
        <v>16412</v>
      </c>
      <c r="I9031" t="s">
        <v>446</v>
      </c>
      <c r="J9031" t="s">
        <v>20632</v>
      </c>
      <c r="K9031">
        <v>3406</v>
      </c>
      <c r="L9031" t="s">
        <v>23</v>
      </c>
      <c r="M9031" t="s">
        <v>20631</v>
      </c>
      <c r="N9031" t="s">
        <v>16412</v>
      </c>
      <c r="O9031" t="s">
        <v>446</v>
      </c>
      <c r="P9031" t="s">
        <v>20632</v>
      </c>
      <c r="Q9031">
        <v>3406</v>
      </c>
      <c r="R9031" t="s">
        <v>23</v>
      </c>
      <c r="S9031" s="1" t="s">
        <v>34218</v>
      </c>
    </row>
    <row r="9032" spans="1:19" x14ac:dyDescent="0.25">
      <c r="A9032">
        <v>101276256</v>
      </c>
      <c r="B9032" t="s">
        <v>13036</v>
      </c>
      <c r="C9032" t="s">
        <v>20633</v>
      </c>
      <c r="G9032" t="s">
        <v>20634</v>
      </c>
      <c r="H9032" t="s">
        <v>9365</v>
      </c>
      <c r="I9032" t="s">
        <v>1482</v>
      </c>
      <c r="J9032" t="s">
        <v>20635</v>
      </c>
      <c r="K9032">
        <v>3425</v>
      </c>
      <c r="L9032" t="s">
        <v>23</v>
      </c>
      <c r="M9032" t="s">
        <v>20634</v>
      </c>
      <c r="N9032" t="s">
        <v>9365</v>
      </c>
      <c r="O9032" t="s">
        <v>1482</v>
      </c>
      <c r="P9032" t="s">
        <v>20635</v>
      </c>
      <c r="Q9032">
        <v>3425</v>
      </c>
      <c r="R9032" t="s">
        <v>23</v>
      </c>
      <c r="S9032" s="1" t="s">
        <v>34218</v>
      </c>
    </row>
    <row r="9033" spans="1:19" x14ac:dyDescent="0.25">
      <c r="A9033">
        <v>101360930</v>
      </c>
      <c r="B9033" t="s">
        <v>2238</v>
      </c>
      <c r="C9033" t="s">
        <v>30</v>
      </c>
      <c r="G9033" t="s">
        <v>20636</v>
      </c>
      <c r="H9033" t="s">
        <v>1531</v>
      </c>
      <c r="I9033" t="s">
        <v>84</v>
      </c>
      <c r="J9033" t="s">
        <v>20637</v>
      </c>
      <c r="K9033">
        <v>2133</v>
      </c>
      <c r="L9033" t="s">
        <v>23</v>
      </c>
      <c r="M9033" t="s">
        <v>20636</v>
      </c>
      <c r="N9033" t="s">
        <v>1531</v>
      </c>
      <c r="O9033" t="s">
        <v>84</v>
      </c>
      <c r="P9033" t="s">
        <v>20637</v>
      </c>
      <c r="Q9033">
        <v>2133</v>
      </c>
      <c r="R9033" t="s">
        <v>23</v>
      </c>
      <c r="S9033" s="1" t="s">
        <v>34218</v>
      </c>
    </row>
    <row r="9034" spans="1:19" x14ac:dyDescent="0.25">
      <c r="A9034">
        <v>101420656</v>
      </c>
      <c r="B9034" t="s">
        <v>20638</v>
      </c>
      <c r="C9034" t="s">
        <v>7721</v>
      </c>
      <c r="G9034" t="s">
        <v>20639</v>
      </c>
      <c r="H9034" t="s">
        <v>66</v>
      </c>
      <c r="I9034" t="s">
        <v>22</v>
      </c>
      <c r="J9034" t="s">
        <v>20640</v>
      </c>
      <c r="K9034">
        <v>1333</v>
      </c>
      <c r="L9034" t="s">
        <v>23</v>
      </c>
      <c r="M9034" t="s">
        <v>20639</v>
      </c>
      <c r="N9034" t="s">
        <v>66</v>
      </c>
      <c r="O9034" t="s">
        <v>22</v>
      </c>
      <c r="P9034" t="s">
        <v>20640</v>
      </c>
      <c r="Q9034">
        <v>1333</v>
      </c>
      <c r="R9034" t="s">
        <v>23</v>
      </c>
      <c r="S9034" s="1" t="s">
        <v>34218</v>
      </c>
    </row>
    <row r="9035" spans="1:19" x14ac:dyDescent="0.25">
      <c r="A9035">
        <v>101356343</v>
      </c>
      <c r="B9035" t="s">
        <v>20641</v>
      </c>
      <c r="C9035" t="s">
        <v>2497</v>
      </c>
      <c r="G9035" t="s">
        <v>20642</v>
      </c>
      <c r="H9035" t="s">
        <v>4069</v>
      </c>
      <c r="I9035" t="s">
        <v>71</v>
      </c>
      <c r="J9035" t="s">
        <v>20643</v>
      </c>
      <c r="K9035">
        <v>9434</v>
      </c>
      <c r="L9035" t="s">
        <v>23</v>
      </c>
      <c r="M9035" t="s">
        <v>20642</v>
      </c>
      <c r="N9035" t="s">
        <v>4069</v>
      </c>
      <c r="O9035" t="s">
        <v>71</v>
      </c>
      <c r="P9035" t="s">
        <v>20643</v>
      </c>
      <c r="Q9035">
        <v>9434</v>
      </c>
      <c r="R9035" t="s">
        <v>23</v>
      </c>
      <c r="S9035" s="1" t="s">
        <v>34218</v>
      </c>
    </row>
    <row r="9036" spans="1:19" x14ac:dyDescent="0.25">
      <c r="A9036">
        <v>101421786</v>
      </c>
      <c r="B9036" t="s">
        <v>20644</v>
      </c>
      <c r="C9036" t="s">
        <v>2417</v>
      </c>
      <c r="G9036" t="s">
        <v>20645</v>
      </c>
      <c r="H9036" t="s">
        <v>569</v>
      </c>
      <c r="I9036" t="s">
        <v>187</v>
      </c>
      <c r="J9036" t="s">
        <v>20646</v>
      </c>
      <c r="K9036">
        <v>2025</v>
      </c>
      <c r="L9036" t="s">
        <v>23</v>
      </c>
      <c r="M9036" t="s">
        <v>20645</v>
      </c>
      <c r="N9036" t="s">
        <v>569</v>
      </c>
      <c r="O9036" t="s">
        <v>187</v>
      </c>
      <c r="P9036" t="s">
        <v>20646</v>
      </c>
      <c r="Q9036">
        <v>2025</v>
      </c>
      <c r="R9036" t="s">
        <v>23</v>
      </c>
      <c r="S9036" s="1" t="s">
        <v>34218</v>
      </c>
    </row>
    <row r="9037" spans="1:19" x14ac:dyDescent="0.25">
      <c r="A9037">
        <v>101295359</v>
      </c>
      <c r="B9037" t="s">
        <v>1668</v>
      </c>
      <c r="C9037" t="s">
        <v>582</v>
      </c>
      <c r="G9037" t="s">
        <v>20647</v>
      </c>
      <c r="H9037" t="s">
        <v>1985</v>
      </c>
      <c r="I9037" t="s">
        <v>71</v>
      </c>
      <c r="J9037" t="s">
        <v>20648</v>
      </c>
      <c r="K9037">
        <v>2038</v>
      </c>
      <c r="L9037" t="s">
        <v>23</v>
      </c>
      <c r="M9037" t="s">
        <v>20647</v>
      </c>
      <c r="N9037" t="s">
        <v>1985</v>
      </c>
      <c r="O9037" t="s">
        <v>71</v>
      </c>
      <c r="P9037" t="s">
        <v>20648</v>
      </c>
      <c r="Q9037">
        <v>2038</v>
      </c>
      <c r="R9037" t="s">
        <v>23</v>
      </c>
      <c r="S9037" s="1" t="s">
        <v>34218</v>
      </c>
    </row>
    <row r="9038" spans="1:19" x14ac:dyDescent="0.25">
      <c r="A9038">
        <v>101420112</v>
      </c>
      <c r="B9038" t="s">
        <v>20649</v>
      </c>
      <c r="C9038" t="s">
        <v>627</v>
      </c>
      <c r="G9038" t="s">
        <v>20650</v>
      </c>
      <c r="H9038" t="s">
        <v>20651</v>
      </c>
      <c r="I9038" t="s">
        <v>161</v>
      </c>
      <c r="J9038" t="s">
        <v>20652</v>
      </c>
      <c r="K9038">
        <v>4356</v>
      </c>
      <c r="L9038" t="s">
        <v>23</v>
      </c>
      <c r="M9038" t="s">
        <v>20650</v>
      </c>
      <c r="N9038" t="s">
        <v>20651</v>
      </c>
      <c r="O9038" t="s">
        <v>161</v>
      </c>
      <c r="P9038" t="s">
        <v>20652</v>
      </c>
      <c r="Q9038">
        <v>4356</v>
      </c>
      <c r="R9038" t="s">
        <v>23</v>
      </c>
      <c r="S9038" s="1" t="s">
        <v>34218</v>
      </c>
    </row>
    <row r="9039" spans="1:19" x14ac:dyDescent="0.25">
      <c r="A9039">
        <v>101309675</v>
      </c>
      <c r="B9039" t="s">
        <v>3049</v>
      </c>
      <c r="C9039" t="s">
        <v>10806</v>
      </c>
      <c r="G9039" t="s">
        <v>20653</v>
      </c>
      <c r="H9039" t="s">
        <v>573</v>
      </c>
      <c r="I9039" t="s">
        <v>33</v>
      </c>
      <c r="J9039" t="s">
        <v>20654</v>
      </c>
      <c r="K9039">
        <v>3309</v>
      </c>
      <c r="L9039" t="s">
        <v>23</v>
      </c>
      <c r="M9039" t="s">
        <v>20653</v>
      </c>
      <c r="N9039" t="s">
        <v>573</v>
      </c>
      <c r="O9039" t="s">
        <v>33</v>
      </c>
      <c r="P9039" t="s">
        <v>20654</v>
      </c>
      <c r="Q9039">
        <v>3309</v>
      </c>
      <c r="R9039" t="s">
        <v>23</v>
      </c>
      <c r="S9039" s="1" t="s">
        <v>34218</v>
      </c>
    </row>
    <row r="9040" spans="1:19" x14ac:dyDescent="0.25">
      <c r="A9040">
        <v>100867540</v>
      </c>
      <c r="B9040" t="s">
        <v>7728</v>
      </c>
      <c r="C9040" t="s">
        <v>1327</v>
      </c>
      <c r="G9040" t="s">
        <v>20655</v>
      </c>
      <c r="H9040" t="s">
        <v>3680</v>
      </c>
      <c r="I9040" t="s">
        <v>565</v>
      </c>
      <c r="J9040" t="s">
        <v>20656</v>
      </c>
      <c r="K9040">
        <v>3756</v>
      </c>
      <c r="L9040" t="s">
        <v>23</v>
      </c>
      <c r="M9040" t="s">
        <v>20655</v>
      </c>
      <c r="N9040" t="s">
        <v>3680</v>
      </c>
      <c r="O9040" t="s">
        <v>565</v>
      </c>
      <c r="P9040" t="s">
        <v>20656</v>
      </c>
      <c r="Q9040">
        <v>3756</v>
      </c>
      <c r="R9040" t="s">
        <v>23</v>
      </c>
      <c r="S9040" s="1" t="s">
        <v>34218</v>
      </c>
    </row>
    <row r="9041" spans="1:19" x14ac:dyDescent="0.25">
      <c r="A9041">
        <v>101360153</v>
      </c>
      <c r="B9041" t="s">
        <v>20657</v>
      </c>
      <c r="C9041" t="s">
        <v>1218</v>
      </c>
      <c r="G9041" t="s">
        <v>20658</v>
      </c>
      <c r="H9041" t="s">
        <v>20659</v>
      </c>
      <c r="I9041" t="s">
        <v>4652</v>
      </c>
      <c r="J9041" t="s">
        <v>20660</v>
      </c>
      <c r="K9041">
        <v>4708</v>
      </c>
      <c r="L9041" t="s">
        <v>23</v>
      </c>
      <c r="M9041" t="s">
        <v>20658</v>
      </c>
      <c r="N9041" t="s">
        <v>20659</v>
      </c>
      <c r="O9041" t="s">
        <v>4652</v>
      </c>
      <c r="P9041" t="s">
        <v>20660</v>
      </c>
      <c r="Q9041">
        <v>4708</v>
      </c>
      <c r="R9041" t="s">
        <v>23</v>
      </c>
      <c r="S9041" s="1" t="s">
        <v>34218</v>
      </c>
    </row>
    <row r="9042" spans="1:19" x14ac:dyDescent="0.25">
      <c r="A9042">
        <v>101309910</v>
      </c>
      <c r="B9042" t="s">
        <v>20661</v>
      </c>
      <c r="C9042" t="s">
        <v>90</v>
      </c>
      <c r="G9042" t="s">
        <v>20662</v>
      </c>
      <c r="H9042" t="s">
        <v>4087</v>
      </c>
      <c r="I9042" t="s">
        <v>236</v>
      </c>
      <c r="J9042" t="s">
        <v>20663</v>
      </c>
      <c r="K9042">
        <v>1134</v>
      </c>
      <c r="L9042" t="s">
        <v>23</v>
      </c>
      <c r="M9042" t="s">
        <v>20662</v>
      </c>
      <c r="N9042" t="s">
        <v>4087</v>
      </c>
      <c r="O9042" t="s">
        <v>236</v>
      </c>
      <c r="P9042" t="s">
        <v>20663</v>
      </c>
      <c r="Q9042">
        <v>1134</v>
      </c>
      <c r="R9042" t="s">
        <v>23</v>
      </c>
      <c r="S9042" s="1" t="s">
        <v>34218</v>
      </c>
    </row>
    <row r="9043" spans="1:19" x14ac:dyDescent="0.25">
      <c r="A9043">
        <v>101396091</v>
      </c>
      <c r="B9043" t="s">
        <v>20664</v>
      </c>
      <c r="C9043" t="s">
        <v>3254</v>
      </c>
      <c r="F9043" t="str">
        <f>"6196726280"</f>
        <v>6196726280</v>
      </c>
      <c r="G9043" t="s">
        <v>20665</v>
      </c>
      <c r="H9043" t="s">
        <v>8826</v>
      </c>
      <c r="I9043" t="s">
        <v>22</v>
      </c>
      <c r="J9043">
        <v>92020</v>
      </c>
      <c r="K9043">
        <v>2353</v>
      </c>
      <c r="L9043" t="s">
        <v>23</v>
      </c>
      <c r="M9043" t="s">
        <v>20665</v>
      </c>
      <c r="N9043" t="s">
        <v>8826</v>
      </c>
      <c r="O9043" t="s">
        <v>22</v>
      </c>
      <c r="P9043">
        <v>92020</v>
      </c>
      <c r="Q9043">
        <v>2353</v>
      </c>
      <c r="R9043" t="s">
        <v>23</v>
      </c>
      <c r="S9043" s="1" t="s">
        <v>34218</v>
      </c>
    </row>
    <row r="9044" spans="1:19" x14ac:dyDescent="0.25">
      <c r="A9044">
        <v>101396856</v>
      </c>
      <c r="B9044" t="s">
        <v>1500</v>
      </c>
      <c r="C9044" t="s">
        <v>2401</v>
      </c>
      <c r="G9044" t="s">
        <v>20666</v>
      </c>
      <c r="H9044" t="s">
        <v>20667</v>
      </c>
      <c r="I9044" t="s">
        <v>178</v>
      </c>
      <c r="J9044">
        <v>44118</v>
      </c>
      <c r="K9044">
        <v>3641</v>
      </c>
      <c r="L9044" t="s">
        <v>23</v>
      </c>
      <c r="M9044" t="s">
        <v>20666</v>
      </c>
      <c r="N9044" t="s">
        <v>20667</v>
      </c>
      <c r="O9044" t="s">
        <v>178</v>
      </c>
      <c r="P9044">
        <v>44118</v>
      </c>
      <c r="Q9044">
        <v>3641</v>
      </c>
      <c r="R9044" t="s">
        <v>23</v>
      </c>
      <c r="S9044" s="1" t="s">
        <v>34218</v>
      </c>
    </row>
    <row r="9045" spans="1:19" x14ac:dyDescent="0.25">
      <c r="A9045">
        <v>101393617</v>
      </c>
      <c r="B9045" t="s">
        <v>20668</v>
      </c>
      <c r="C9045" t="s">
        <v>1218</v>
      </c>
      <c r="G9045" t="s">
        <v>20669</v>
      </c>
      <c r="H9045" t="s">
        <v>3142</v>
      </c>
      <c r="I9045" t="s">
        <v>236</v>
      </c>
      <c r="J9045">
        <v>2472</v>
      </c>
      <c r="K9045">
        <v>3913</v>
      </c>
      <c r="L9045" t="s">
        <v>23</v>
      </c>
      <c r="M9045" t="s">
        <v>20669</v>
      </c>
      <c r="N9045" t="s">
        <v>3142</v>
      </c>
      <c r="O9045" t="s">
        <v>236</v>
      </c>
      <c r="P9045">
        <v>2472</v>
      </c>
      <c r="Q9045">
        <v>3913</v>
      </c>
      <c r="R9045" t="s">
        <v>23</v>
      </c>
      <c r="S9045" s="1" t="s">
        <v>34218</v>
      </c>
    </row>
    <row r="9046" spans="1:19" x14ac:dyDescent="0.25">
      <c r="A9046">
        <v>101400347</v>
      </c>
      <c r="B9046" t="s">
        <v>20670</v>
      </c>
      <c r="C9046" t="s">
        <v>1542</v>
      </c>
      <c r="G9046" t="s">
        <v>20671</v>
      </c>
      <c r="H9046" t="s">
        <v>5579</v>
      </c>
      <c r="I9046" t="s">
        <v>446</v>
      </c>
      <c r="J9046">
        <v>27107</v>
      </c>
      <c r="K9046">
        <v>6933</v>
      </c>
      <c r="L9046" t="s">
        <v>23</v>
      </c>
      <c r="M9046" t="s">
        <v>20671</v>
      </c>
      <c r="N9046" t="s">
        <v>5579</v>
      </c>
      <c r="O9046" t="s">
        <v>446</v>
      </c>
      <c r="P9046">
        <v>27107</v>
      </c>
      <c r="Q9046">
        <v>6933</v>
      </c>
      <c r="R9046" t="s">
        <v>23</v>
      </c>
      <c r="S9046" s="1" t="s">
        <v>34218</v>
      </c>
    </row>
    <row r="9047" spans="1:19" x14ac:dyDescent="0.25">
      <c r="A9047">
        <v>101406379</v>
      </c>
      <c r="B9047" t="s">
        <v>34</v>
      </c>
      <c r="C9047" t="s">
        <v>1555</v>
      </c>
      <c r="G9047" t="s">
        <v>20672</v>
      </c>
      <c r="H9047" t="s">
        <v>1052</v>
      </c>
      <c r="I9047" t="s">
        <v>43</v>
      </c>
      <c r="J9047">
        <v>97321</v>
      </c>
      <c r="K9047">
        <v>1560</v>
      </c>
      <c r="L9047" t="s">
        <v>23</v>
      </c>
      <c r="M9047" t="s">
        <v>20672</v>
      </c>
      <c r="N9047" t="s">
        <v>1052</v>
      </c>
      <c r="O9047" t="s">
        <v>43</v>
      </c>
      <c r="P9047">
        <v>97321</v>
      </c>
      <c r="Q9047">
        <v>1560</v>
      </c>
      <c r="R9047" t="s">
        <v>23</v>
      </c>
      <c r="S9047" s="1" t="s">
        <v>34218</v>
      </c>
    </row>
    <row r="9048" spans="1:19" x14ac:dyDescent="0.25">
      <c r="A9048">
        <v>101403373</v>
      </c>
      <c r="B9048" t="s">
        <v>20673</v>
      </c>
      <c r="C9048" t="s">
        <v>14600</v>
      </c>
      <c r="G9048" t="s">
        <v>20674</v>
      </c>
      <c r="H9048" t="s">
        <v>20675</v>
      </c>
      <c r="I9048" t="s">
        <v>33</v>
      </c>
      <c r="J9048">
        <v>19301</v>
      </c>
      <c r="K9048">
        <v>1316</v>
      </c>
      <c r="L9048" t="s">
        <v>23</v>
      </c>
      <c r="M9048" t="s">
        <v>20674</v>
      </c>
      <c r="N9048" t="s">
        <v>20675</v>
      </c>
      <c r="O9048" t="s">
        <v>33</v>
      </c>
      <c r="P9048">
        <v>19301</v>
      </c>
      <c r="Q9048">
        <v>1316</v>
      </c>
      <c r="R9048" t="s">
        <v>23</v>
      </c>
      <c r="S9048" s="1" t="s">
        <v>34218</v>
      </c>
    </row>
    <row r="9049" spans="1:19" x14ac:dyDescent="0.25">
      <c r="A9049">
        <v>101399519</v>
      </c>
      <c r="B9049" t="s">
        <v>20676</v>
      </c>
      <c r="C9049" t="s">
        <v>20677</v>
      </c>
      <c r="G9049" t="s">
        <v>20678</v>
      </c>
      <c r="H9049" t="s">
        <v>1531</v>
      </c>
      <c r="I9049" t="s">
        <v>84</v>
      </c>
      <c r="J9049">
        <v>98116</v>
      </c>
      <c r="K9049">
        <v>2889</v>
      </c>
      <c r="L9049" t="s">
        <v>23</v>
      </c>
      <c r="M9049" t="s">
        <v>20678</v>
      </c>
      <c r="N9049" t="s">
        <v>1531</v>
      </c>
      <c r="O9049" t="s">
        <v>84</v>
      </c>
      <c r="P9049">
        <v>98116</v>
      </c>
      <c r="Q9049">
        <v>2889</v>
      </c>
      <c r="R9049" t="s">
        <v>23</v>
      </c>
      <c r="S9049" s="1" t="s">
        <v>34218</v>
      </c>
    </row>
    <row r="9050" spans="1:19" x14ac:dyDescent="0.25">
      <c r="A9050">
        <v>100977425</v>
      </c>
      <c r="B9050" t="s">
        <v>20679</v>
      </c>
      <c r="C9050" t="s">
        <v>4510</v>
      </c>
      <c r="G9050" t="s">
        <v>20680</v>
      </c>
      <c r="H9050" t="s">
        <v>7595</v>
      </c>
      <c r="I9050" t="s">
        <v>52</v>
      </c>
      <c r="J9050">
        <v>34689</v>
      </c>
      <c r="K9050">
        <v>5038</v>
      </c>
      <c r="L9050" t="s">
        <v>23</v>
      </c>
      <c r="M9050" t="s">
        <v>20680</v>
      </c>
      <c r="N9050" t="s">
        <v>7595</v>
      </c>
      <c r="O9050" t="s">
        <v>52</v>
      </c>
      <c r="P9050">
        <v>34689</v>
      </c>
      <c r="Q9050">
        <v>5038</v>
      </c>
      <c r="R9050" t="s">
        <v>23</v>
      </c>
      <c r="S9050" s="1" t="s">
        <v>34218</v>
      </c>
    </row>
    <row r="9051" spans="1:19" x14ac:dyDescent="0.25">
      <c r="A9051">
        <v>100971714</v>
      </c>
      <c r="B9051" t="s">
        <v>20681</v>
      </c>
      <c r="C9051" t="s">
        <v>1208</v>
      </c>
      <c r="G9051" t="s">
        <v>20682</v>
      </c>
      <c r="H9051" t="s">
        <v>3256</v>
      </c>
      <c r="I9051" t="s">
        <v>161</v>
      </c>
      <c r="J9051">
        <v>6247</v>
      </c>
      <c r="K9051">
        <v>1117</v>
      </c>
      <c r="L9051" t="s">
        <v>23</v>
      </c>
      <c r="M9051" t="s">
        <v>20682</v>
      </c>
      <c r="N9051" t="s">
        <v>3256</v>
      </c>
      <c r="O9051" t="s">
        <v>161</v>
      </c>
      <c r="P9051">
        <v>6247</v>
      </c>
      <c r="Q9051">
        <v>1117</v>
      </c>
      <c r="R9051" t="s">
        <v>23</v>
      </c>
      <c r="S9051" s="1" t="s">
        <v>34218</v>
      </c>
    </row>
    <row r="9052" spans="1:19" x14ac:dyDescent="0.25">
      <c r="A9052">
        <v>100975820</v>
      </c>
      <c r="B9052" t="s">
        <v>20683</v>
      </c>
      <c r="C9052" t="s">
        <v>3017</v>
      </c>
      <c r="G9052" t="s">
        <v>20684</v>
      </c>
      <c r="H9052" t="s">
        <v>10410</v>
      </c>
      <c r="I9052" t="s">
        <v>22</v>
      </c>
      <c r="J9052">
        <v>94015</v>
      </c>
      <c r="K9052">
        <v>3447</v>
      </c>
      <c r="L9052" t="s">
        <v>23</v>
      </c>
      <c r="M9052" t="s">
        <v>20684</v>
      </c>
      <c r="N9052" t="s">
        <v>10410</v>
      </c>
      <c r="O9052" t="s">
        <v>22</v>
      </c>
      <c r="P9052">
        <v>94015</v>
      </c>
      <c r="Q9052">
        <v>3447</v>
      </c>
      <c r="R9052" t="s">
        <v>23</v>
      </c>
      <c r="S9052" s="1" t="s">
        <v>34218</v>
      </c>
    </row>
    <row r="9053" spans="1:19" x14ac:dyDescent="0.25">
      <c r="A9053">
        <v>100975897</v>
      </c>
      <c r="B9053" t="s">
        <v>10527</v>
      </c>
      <c r="C9053" t="s">
        <v>1933</v>
      </c>
      <c r="G9053" t="s">
        <v>20685</v>
      </c>
      <c r="H9053" t="s">
        <v>20686</v>
      </c>
      <c r="I9053" t="s">
        <v>135</v>
      </c>
      <c r="J9053">
        <v>60964</v>
      </c>
      <c r="K9053">
        <v>7291</v>
      </c>
      <c r="L9053" t="s">
        <v>23</v>
      </c>
      <c r="M9053" t="s">
        <v>20685</v>
      </c>
      <c r="N9053" t="s">
        <v>20686</v>
      </c>
      <c r="O9053" t="s">
        <v>135</v>
      </c>
      <c r="P9053">
        <v>60964</v>
      </c>
      <c r="Q9053">
        <v>7291</v>
      </c>
      <c r="R9053" t="s">
        <v>23</v>
      </c>
      <c r="S9053" s="1" t="s">
        <v>34218</v>
      </c>
    </row>
    <row r="9054" spans="1:19" x14ac:dyDescent="0.25">
      <c r="A9054">
        <v>100972179</v>
      </c>
      <c r="B9054" t="s">
        <v>4018</v>
      </c>
      <c r="C9054" t="s">
        <v>4502</v>
      </c>
      <c r="G9054" t="s">
        <v>20687</v>
      </c>
      <c r="H9054" t="s">
        <v>20688</v>
      </c>
      <c r="I9054" t="s">
        <v>84</v>
      </c>
      <c r="J9054">
        <v>98387</v>
      </c>
      <c r="K9054">
        <v>4762</v>
      </c>
      <c r="L9054" t="s">
        <v>23</v>
      </c>
      <c r="M9054" t="s">
        <v>20687</v>
      </c>
      <c r="N9054" t="s">
        <v>20688</v>
      </c>
      <c r="O9054" t="s">
        <v>84</v>
      </c>
      <c r="P9054">
        <v>98387</v>
      </c>
      <c r="Q9054">
        <v>4762</v>
      </c>
      <c r="R9054" t="s">
        <v>23</v>
      </c>
      <c r="S9054" s="1" t="s">
        <v>34218</v>
      </c>
    </row>
    <row r="9055" spans="1:19" x14ac:dyDescent="0.25">
      <c r="A9055">
        <v>100981450</v>
      </c>
      <c r="B9055" t="s">
        <v>2857</v>
      </c>
      <c r="C9055" t="s">
        <v>1153</v>
      </c>
      <c r="G9055" t="s">
        <v>20689</v>
      </c>
      <c r="H9055" t="s">
        <v>96</v>
      </c>
      <c r="I9055" t="s">
        <v>236</v>
      </c>
      <c r="J9055">
        <v>1468</v>
      </c>
      <c r="K9055">
        <v>1335</v>
      </c>
      <c r="L9055" t="s">
        <v>23</v>
      </c>
      <c r="M9055" t="s">
        <v>20689</v>
      </c>
      <c r="N9055" t="s">
        <v>96</v>
      </c>
      <c r="O9055" t="s">
        <v>236</v>
      </c>
      <c r="P9055">
        <v>1468</v>
      </c>
      <c r="Q9055">
        <v>1335</v>
      </c>
      <c r="R9055" t="s">
        <v>23</v>
      </c>
      <c r="S9055" s="1" t="s">
        <v>34218</v>
      </c>
    </row>
    <row r="9056" spans="1:19" x14ac:dyDescent="0.25">
      <c r="A9056">
        <v>100983907</v>
      </c>
      <c r="B9056" t="s">
        <v>20690</v>
      </c>
      <c r="C9056" t="s">
        <v>286</v>
      </c>
      <c r="G9056" t="s">
        <v>20691</v>
      </c>
      <c r="H9056" t="s">
        <v>5884</v>
      </c>
      <c r="I9056" t="s">
        <v>1000</v>
      </c>
      <c r="J9056">
        <v>59068</v>
      </c>
      <c r="K9056">
        <v>2469</v>
      </c>
      <c r="L9056" t="s">
        <v>23</v>
      </c>
      <c r="M9056" t="s">
        <v>20691</v>
      </c>
      <c r="N9056" t="s">
        <v>5884</v>
      </c>
      <c r="O9056" t="s">
        <v>1000</v>
      </c>
      <c r="P9056">
        <v>59068</v>
      </c>
      <c r="Q9056">
        <v>2469</v>
      </c>
      <c r="R9056" t="s">
        <v>23</v>
      </c>
      <c r="S9056" s="1" t="s">
        <v>34218</v>
      </c>
    </row>
    <row r="9057" spans="1:19" x14ac:dyDescent="0.25">
      <c r="A9057">
        <v>100979617</v>
      </c>
      <c r="B9057" t="s">
        <v>20692</v>
      </c>
      <c r="C9057" t="s">
        <v>907</v>
      </c>
      <c r="G9057" t="s">
        <v>20693</v>
      </c>
      <c r="H9057" t="s">
        <v>13314</v>
      </c>
      <c r="I9057" t="s">
        <v>140</v>
      </c>
      <c r="J9057">
        <v>48080</v>
      </c>
      <c r="K9057">
        <v>3593</v>
      </c>
      <c r="L9057" t="s">
        <v>23</v>
      </c>
      <c r="M9057" t="s">
        <v>20693</v>
      </c>
      <c r="N9057" t="s">
        <v>13314</v>
      </c>
      <c r="O9057" t="s">
        <v>140</v>
      </c>
      <c r="P9057">
        <v>48080</v>
      </c>
      <c r="Q9057">
        <v>3593</v>
      </c>
      <c r="R9057" t="s">
        <v>23</v>
      </c>
      <c r="S9057" s="1" t="s">
        <v>34218</v>
      </c>
    </row>
    <row r="9058" spans="1:19" x14ac:dyDescent="0.25">
      <c r="A9058">
        <v>100985760</v>
      </c>
      <c r="B9058" t="s">
        <v>1889</v>
      </c>
      <c r="C9058" t="s">
        <v>1309</v>
      </c>
      <c r="G9058" t="s">
        <v>20694</v>
      </c>
      <c r="H9058" t="s">
        <v>134</v>
      </c>
      <c r="I9058" t="s">
        <v>135</v>
      </c>
      <c r="J9058">
        <v>60626</v>
      </c>
      <c r="K9058">
        <v>6096</v>
      </c>
      <c r="L9058" t="s">
        <v>23</v>
      </c>
      <c r="M9058" t="s">
        <v>20694</v>
      </c>
      <c r="N9058" t="s">
        <v>134</v>
      </c>
      <c r="O9058" t="s">
        <v>135</v>
      </c>
      <c r="P9058">
        <v>60626</v>
      </c>
      <c r="Q9058">
        <v>6096</v>
      </c>
      <c r="R9058" t="s">
        <v>23</v>
      </c>
      <c r="S9058" s="1" t="s">
        <v>34218</v>
      </c>
    </row>
    <row r="9059" spans="1:19" x14ac:dyDescent="0.25">
      <c r="A9059">
        <v>100987586</v>
      </c>
      <c r="B9059" t="s">
        <v>20695</v>
      </c>
      <c r="C9059" t="s">
        <v>543</v>
      </c>
      <c r="G9059" t="s">
        <v>20696</v>
      </c>
      <c r="H9059" t="s">
        <v>20697</v>
      </c>
      <c r="I9059" t="s">
        <v>250</v>
      </c>
      <c r="J9059">
        <v>8091</v>
      </c>
      <c r="K9059">
        <v>1370</v>
      </c>
      <c r="L9059" t="s">
        <v>23</v>
      </c>
      <c r="M9059" t="s">
        <v>20696</v>
      </c>
      <c r="N9059" t="s">
        <v>20697</v>
      </c>
      <c r="O9059" t="s">
        <v>250</v>
      </c>
      <c r="P9059">
        <v>8091</v>
      </c>
      <c r="Q9059">
        <v>1370</v>
      </c>
      <c r="R9059" t="s">
        <v>23</v>
      </c>
      <c r="S9059" s="1" t="s">
        <v>34218</v>
      </c>
    </row>
    <row r="9060" spans="1:19" x14ac:dyDescent="0.25">
      <c r="A9060">
        <v>101180698</v>
      </c>
      <c r="B9060" t="s">
        <v>3184</v>
      </c>
      <c r="C9060" t="s">
        <v>2127</v>
      </c>
      <c r="G9060" t="s">
        <v>20698</v>
      </c>
      <c r="H9060" t="s">
        <v>12732</v>
      </c>
      <c r="I9060" t="s">
        <v>353</v>
      </c>
      <c r="J9060">
        <v>3037</v>
      </c>
      <c r="K9060">
        <v>1616</v>
      </c>
      <c r="L9060" t="s">
        <v>23</v>
      </c>
      <c r="M9060" t="s">
        <v>20698</v>
      </c>
      <c r="N9060" t="s">
        <v>12732</v>
      </c>
      <c r="O9060" t="s">
        <v>353</v>
      </c>
      <c r="P9060">
        <v>3037</v>
      </c>
      <c r="Q9060">
        <v>1616</v>
      </c>
      <c r="R9060" t="s">
        <v>23</v>
      </c>
      <c r="S9060" s="1" t="s">
        <v>34218</v>
      </c>
    </row>
    <row r="9061" spans="1:19" x14ac:dyDescent="0.25">
      <c r="A9061">
        <v>101182501</v>
      </c>
      <c r="B9061" t="s">
        <v>20699</v>
      </c>
      <c r="C9061" t="s">
        <v>6384</v>
      </c>
      <c r="G9061" t="s">
        <v>20700</v>
      </c>
      <c r="H9061" t="s">
        <v>20701</v>
      </c>
      <c r="I9061" t="s">
        <v>84</v>
      </c>
      <c r="J9061">
        <v>99025</v>
      </c>
      <c r="K9061">
        <v>9510</v>
      </c>
      <c r="L9061" t="s">
        <v>23</v>
      </c>
      <c r="M9061" t="s">
        <v>20700</v>
      </c>
      <c r="N9061" t="s">
        <v>20701</v>
      </c>
      <c r="O9061" t="s">
        <v>84</v>
      </c>
      <c r="P9061">
        <v>99025</v>
      </c>
      <c r="Q9061">
        <v>9510</v>
      </c>
      <c r="R9061" t="s">
        <v>23</v>
      </c>
      <c r="S9061" s="1" t="s">
        <v>34218</v>
      </c>
    </row>
    <row r="9062" spans="1:19" x14ac:dyDescent="0.25">
      <c r="A9062">
        <v>101187870</v>
      </c>
      <c r="B9062" t="s">
        <v>20702</v>
      </c>
      <c r="C9062" t="s">
        <v>20703</v>
      </c>
      <c r="G9062" t="s">
        <v>20704</v>
      </c>
      <c r="H9062" t="s">
        <v>227</v>
      </c>
      <c r="I9062" t="s">
        <v>43</v>
      </c>
      <c r="J9062">
        <v>97212</v>
      </c>
      <c r="K9062">
        <v>5345</v>
      </c>
      <c r="L9062" t="s">
        <v>23</v>
      </c>
      <c r="M9062" t="s">
        <v>20704</v>
      </c>
      <c r="N9062" t="s">
        <v>227</v>
      </c>
      <c r="O9062" t="s">
        <v>43</v>
      </c>
      <c r="P9062">
        <v>97212</v>
      </c>
      <c r="Q9062">
        <v>5345</v>
      </c>
      <c r="R9062" t="s">
        <v>23</v>
      </c>
      <c r="S9062" s="1" t="s">
        <v>34218</v>
      </c>
    </row>
    <row r="9063" spans="1:19" x14ac:dyDescent="0.25">
      <c r="A9063">
        <v>101187014</v>
      </c>
      <c r="B9063" t="s">
        <v>20705</v>
      </c>
      <c r="C9063" t="s">
        <v>846</v>
      </c>
      <c r="G9063" t="s">
        <v>20706</v>
      </c>
      <c r="H9063" t="s">
        <v>20037</v>
      </c>
      <c r="I9063" t="s">
        <v>191</v>
      </c>
      <c r="J9063">
        <v>4435</v>
      </c>
      <c r="K9063">
        <v>3409</v>
      </c>
      <c r="L9063" t="s">
        <v>23</v>
      </c>
      <c r="M9063" t="s">
        <v>20706</v>
      </c>
      <c r="N9063" t="s">
        <v>20037</v>
      </c>
      <c r="O9063" t="s">
        <v>191</v>
      </c>
      <c r="P9063">
        <v>4435</v>
      </c>
      <c r="Q9063">
        <v>3409</v>
      </c>
      <c r="R9063" t="s">
        <v>23</v>
      </c>
      <c r="S9063" s="1" t="s">
        <v>34218</v>
      </c>
    </row>
    <row r="9064" spans="1:19" x14ac:dyDescent="0.25">
      <c r="A9064">
        <v>101196697</v>
      </c>
      <c r="B9064" t="s">
        <v>20707</v>
      </c>
      <c r="C9064" t="s">
        <v>1205</v>
      </c>
      <c r="G9064" t="s">
        <v>20708</v>
      </c>
      <c r="H9064" t="s">
        <v>17436</v>
      </c>
      <c r="I9064" t="s">
        <v>52</v>
      </c>
      <c r="J9064">
        <v>32903</v>
      </c>
      <c r="K9064">
        <v>3102</v>
      </c>
      <c r="L9064" t="s">
        <v>23</v>
      </c>
      <c r="M9064" t="s">
        <v>20708</v>
      </c>
      <c r="N9064" t="s">
        <v>17436</v>
      </c>
      <c r="O9064" t="s">
        <v>52</v>
      </c>
      <c r="P9064">
        <v>32903</v>
      </c>
      <c r="Q9064">
        <v>3102</v>
      </c>
      <c r="R9064" t="s">
        <v>23</v>
      </c>
      <c r="S9064" s="1" t="s">
        <v>34218</v>
      </c>
    </row>
    <row r="9065" spans="1:19" x14ac:dyDescent="0.25">
      <c r="A9065">
        <v>101192076</v>
      </c>
      <c r="B9065" t="s">
        <v>1370</v>
      </c>
      <c r="C9065" t="s">
        <v>180</v>
      </c>
      <c r="G9065" t="s">
        <v>20709</v>
      </c>
      <c r="H9065" t="s">
        <v>1439</v>
      </c>
      <c r="I9065" t="s">
        <v>365</v>
      </c>
      <c r="J9065">
        <v>85730</v>
      </c>
      <c r="K9065">
        <v>4491</v>
      </c>
      <c r="L9065" t="s">
        <v>23</v>
      </c>
      <c r="M9065" t="s">
        <v>20709</v>
      </c>
      <c r="N9065" t="s">
        <v>1439</v>
      </c>
      <c r="O9065" t="s">
        <v>365</v>
      </c>
      <c r="P9065">
        <v>85730</v>
      </c>
      <c r="Q9065">
        <v>4491</v>
      </c>
      <c r="R9065" t="s">
        <v>23</v>
      </c>
      <c r="S9065" s="1" t="s">
        <v>34218</v>
      </c>
    </row>
    <row r="9066" spans="1:19" x14ac:dyDescent="0.25">
      <c r="A9066">
        <v>101195690</v>
      </c>
      <c r="B9066" t="s">
        <v>744</v>
      </c>
      <c r="C9066" t="s">
        <v>119</v>
      </c>
      <c r="G9066" t="s">
        <v>20710</v>
      </c>
      <c r="H9066" t="s">
        <v>746</v>
      </c>
      <c r="I9066" t="s">
        <v>33</v>
      </c>
      <c r="J9066">
        <v>19064</v>
      </c>
      <c r="K9066">
        <v>3710</v>
      </c>
      <c r="L9066" t="s">
        <v>23</v>
      </c>
      <c r="M9066" t="s">
        <v>20710</v>
      </c>
      <c r="N9066" t="s">
        <v>746</v>
      </c>
      <c r="O9066" t="s">
        <v>33</v>
      </c>
      <c r="P9066">
        <v>19064</v>
      </c>
      <c r="Q9066">
        <v>3710</v>
      </c>
      <c r="R9066" t="s">
        <v>23</v>
      </c>
      <c r="S9066" s="1" t="s">
        <v>34218</v>
      </c>
    </row>
    <row r="9067" spans="1:19" x14ac:dyDescent="0.25">
      <c r="A9067">
        <v>101197252</v>
      </c>
      <c r="B9067" t="s">
        <v>20711</v>
      </c>
      <c r="C9067" t="s">
        <v>90</v>
      </c>
      <c r="G9067" t="s">
        <v>20712</v>
      </c>
      <c r="H9067" t="s">
        <v>20713</v>
      </c>
      <c r="I9067" t="s">
        <v>33</v>
      </c>
      <c r="J9067">
        <v>18940</v>
      </c>
      <c r="K9067">
        <v>2528</v>
      </c>
      <c r="L9067" t="s">
        <v>23</v>
      </c>
      <c r="M9067" t="s">
        <v>20712</v>
      </c>
      <c r="N9067" t="s">
        <v>20713</v>
      </c>
      <c r="O9067" t="s">
        <v>33</v>
      </c>
      <c r="P9067">
        <v>18940</v>
      </c>
      <c r="Q9067">
        <v>2528</v>
      </c>
      <c r="R9067" t="s">
        <v>23</v>
      </c>
      <c r="S9067" s="1" t="s">
        <v>34218</v>
      </c>
    </row>
    <row r="9068" spans="1:19" x14ac:dyDescent="0.25">
      <c r="A9068">
        <v>101199742</v>
      </c>
      <c r="B9068" t="s">
        <v>17306</v>
      </c>
      <c r="C9068" t="s">
        <v>1050</v>
      </c>
      <c r="G9068" t="s">
        <v>20714</v>
      </c>
      <c r="H9068" t="s">
        <v>3348</v>
      </c>
      <c r="I9068" t="s">
        <v>71</v>
      </c>
      <c r="J9068">
        <v>81147</v>
      </c>
      <c r="K9068">
        <v>9772</v>
      </c>
      <c r="L9068" t="s">
        <v>23</v>
      </c>
      <c r="M9068" t="s">
        <v>20714</v>
      </c>
      <c r="N9068" t="s">
        <v>3348</v>
      </c>
      <c r="O9068" t="s">
        <v>71</v>
      </c>
      <c r="P9068">
        <v>81147</v>
      </c>
      <c r="Q9068">
        <v>9772</v>
      </c>
      <c r="R9068" t="s">
        <v>23</v>
      </c>
      <c r="S9068" s="1" t="s">
        <v>34218</v>
      </c>
    </row>
    <row r="9069" spans="1:19" x14ac:dyDescent="0.25">
      <c r="A9069">
        <v>101198863</v>
      </c>
      <c r="B9069" t="s">
        <v>20715</v>
      </c>
      <c r="C9069" t="s">
        <v>12608</v>
      </c>
      <c r="G9069" t="s">
        <v>20716</v>
      </c>
      <c r="H9069" t="s">
        <v>393</v>
      </c>
      <c r="I9069" t="s">
        <v>71</v>
      </c>
      <c r="J9069">
        <v>80202</v>
      </c>
      <c r="K9069">
        <v>3330</v>
      </c>
      <c r="L9069" t="s">
        <v>23</v>
      </c>
      <c r="M9069" t="s">
        <v>20716</v>
      </c>
      <c r="N9069" t="s">
        <v>393</v>
      </c>
      <c r="O9069" t="s">
        <v>71</v>
      </c>
      <c r="P9069">
        <v>80202</v>
      </c>
      <c r="Q9069">
        <v>3330</v>
      </c>
      <c r="R9069" t="s">
        <v>23</v>
      </c>
      <c r="S9069" s="1" t="s">
        <v>34218</v>
      </c>
    </row>
    <row r="9070" spans="1:19" x14ac:dyDescent="0.25">
      <c r="A9070">
        <v>101199727</v>
      </c>
      <c r="B9070" t="s">
        <v>4728</v>
      </c>
      <c r="C9070" t="s">
        <v>1731</v>
      </c>
      <c r="G9070" t="s">
        <v>4729</v>
      </c>
      <c r="H9070" t="s">
        <v>4730</v>
      </c>
      <c r="I9070" t="s">
        <v>117</v>
      </c>
      <c r="J9070">
        <v>14225</v>
      </c>
      <c r="K9070">
        <v>3712</v>
      </c>
      <c r="L9070" t="s">
        <v>23</v>
      </c>
      <c r="M9070" t="s">
        <v>4729</v>
      </c>
      <c r="N9070" t="s">
        <v>4730</v>
      </c>
      <c r="O9070" t="s">
        <v>117</v>
      </c>
      <c r="P9070">
        <v>14225</v>
      </c>
      <c r="Q9070">
        <v>3712</v>
      </c>
      <c r="R9070" t="s">
        <v>23</v>
      </c>
      <c r="S9070" s="1" t="s">
        <v>34218</v>
      </c>
    </row>
    <row r="9071" spans="1:19" x14ac:dyDescent="0.25">
      <c r="A9071">
        <v>101199923</v>
      </c>
      <c r="B9071" t="s">
        <v>4064</v>
      </c>
      <c r="C9071" t="s">
        <v>137</v>
      </c>
      <c r="G9071" t="s">
        <v>20717</v>
      </c>
      <c r="H9071" t="s">
        <v>4932</v>
      </c>
      <c r="I9071" t="s">
        <v>1482</v>
      </c>
      <c r="J9071">
        <v>29401</v>
      </c>
      <c r="K9071">
        <v>6920</v>
      </c>
      <c r="L9071" t="s">
        <v>23</v>
      </c>
      <c r="M9071" t="s">
        <v>20717</v>
      </c>
      <c r="N9071" t="s">
        <v>4932</v>
      </c>
      <c r="O9071" t="s">
        <v>1482</v>
      </c>
      <c r="P9071">
        <v>29401</v>
      </c>
      <c r="Q9071">
        <v>6920</v>
      </c>
      <c r="R9071" t="s">
        <v>23</v>
      </c>
      <c r="S9071" s="1" t="s">
        <v>34218</v>
      </c>
    </row>
    <row r="9072" spans="1:19" x14ac:dyDescent="0.25">
      <c r="A9072">
        <v>101293811</v>
      </c>
      <c r="B9072" t="s">
        <v>20718</v>
      </c>
      <c r="C9072" t="s">
        <v>1078</v>
      </c>
      <c r="G9072" t="s">
        <v>20719</v>
      </c>
      <c r="H9072" t="s">
        <v>20720</v>
      </c>
      <c r="I9072" t="s">
        <v>565</v>
      </c>
      <c r="J9072" t="s">
        <v>20721</v>
      </c>
      <c r="K9072">
        <v>41</v>
      </c>
      <c r="L9072" t="s">
        <v>23</v>
      </c>
      <c r="M9072" t="s">
        <v>20719</v>
      </c>
      <c r="N9072" t="s">
        <v>20720</v>
      </c>
      <c r="O9072" t="s">
        <v>565</v>
      </c>
      <c r="P9072" t="s">
        <v>20721</v>
      </c>
      <c r="Q9072">
        <v>41</v>
      </c>
      <c r="R9072" t="s">
        <v>23</v>
      </c>
      <c r="S9072" s="1" t="s">
        <v>34218</v>
      </c>
    </row>
    <row r="9073" spans="1:19" x14ac:dyDescent="0.25">
      <c r="A9073">
        <v>101160880</v>
      </c>
      <c r="B9073" t="s">
        <v>17663</v>
      </c>
      <c r="C9073" t="s">
        <v>114</v>
      </c>
      <c r="G9073" t="s">
        <v>20722</v>
      </c>
      <c r="H9073" t="s">
        <v>227</v>
      </c>
      <c r="I9073" t="s">
        <v>43</v>
      </c>
      <c r="J9073" t="s">
        <v>20723</v>
      </c>
      <c r="K9073">
        <v>4812</v>
      </c>
      <c r="L9073" t="s">
        <v>23</v>
      </c>
      <c r="M9073" t="s">
        <v>20722</v>
      </c>
      <c r="N9073" t="s">
        <v>227</v>
      </c>
      <c r="O9073" t="s">
        <v>43</v>
      </c>
      <c r="P9073" t="s">
        <v>20723</v>
      </c>
      <c r="Q9073">
        <v>4812</v>
      </c>
      <c r="R9073" t="s">
        <v>23</v>
      </c>
      <c r="S9073" s="1" t="s">
        <v>34218</v>
      </c>
    </row>
    <row r="9074" spans="1:19" x14ac:dyDescent="0.25">
      <c r="A9074">
        <v>101365659</v>
      </c>
      <c r="B9074" t="s">
        <v>20724</v>
      </c>
      <c r="C9074" t="s">
        <v>49</v>
      </c>
      <c r="G9074" t="s">
        <v>20725</v>
      </c>
      <c r="H9074" t="s">
        <v>2035</v>
      </c>
      <c r="I9074" t="s">
        <v>117</v>
      </c>
      <c r="J9074" t="s">
        <v>20726</v>
      </c>
      <c r="K9074">
        <v>5179</v>
      </c>
      <c r="L9074" t="s">
        <v>23</v>
      </c>
      <c r="M9074" t="s">
        <v>20725</v>
      </c>
      <c r="N9074" t="s">
        <v>2035</v>
      </c>
      <c r="O9074" t="s">
        <v>117</v>
      </c>
      <c r="P9074" t="s">
        <v>20726</v>
      </c>
      <c r="Q9074">
        <v>5179</v>
      </c>
      <c r="R9074" t="s">
        <v>23</v>
      </c>
      <c r="S9074" s="1" t="s">
        <v>34218</v>
      </c>
    </row>
    <row r="9075" spans="1:19" x14ac:dyDescent="0.25">
      <c r="A9075">
        <v>100924404</v>
      </c>
      <c r="B9075" t="s">
        <v>20727</v>
      </c>
      <c r="C9075" t="s">
        <v>410</v>
      </c>
      <c r="G9075" t="s">
        <v>20728</v>
      </c>
      <c r="H9075" t="s">
        <v>909</v>
      </c>
      <c r="I9075" t="s">
        <v>250</v>
      </c>
      <c r="J9075" t="s">
        <v>20729</v>
      </c>
      <c r="K9075">
        <v>1210</v>
      </c>
      <c r="L9075" t="s">
        <v>23</v>
      </c>
      <c r="M9075" t="s">
        <v>20728</v>
      </c>
      <c r="N9075" t="s">
        <v>909</v>
      </c>
      <c r="O9075" t="s">
        <v>250</v>
      </c>
      <c r="P9075" t="s">
        <v>20729</v>
      </c>
      <c r="Q9075">
        <v>1210</v>
      </c>
      <c r="R9075" t="s">
        <v>23</v>
      </c>
      <c r="S9075" s="1" t="s">
        <v>34218</v>
      </c>
    </row>
    <row r="9076" spans="1:19" x14ac:dyDescent="0.25">
      <c r="A9076">
        <v>101260353</v>
      </c>
      <c r="B9076" t="s">
        <v>20730</v>
      </c>
      <c r="C9076" t="s">
        <v>20731</v>
      </c>
      <c r="G9076" t="s">
        <v>20732</v>
      </c>
      <c r="H9076" t="s">
        <v>9102</v>
      </c>
      <c r="I9076" t="s">
        <v>446</v>
      </c>
      <c r="J9076">
        <v>28023</v>
      </c>
      <c r="L9076" t="s">
        <v>23</v>
      </c>
      <c r="M9076" t="s">
        <v>20732</v>
      </c>
      <c r="N9076" t="s">
        <v>9102</v>
      </c>
      <c r="O9076" t="s">
        <v>446</v>
      </c>
      <c r="P9076">
        <v>28023</v>
      </c>
      <c r="R9076" t="s">
        <v>23</v>
      </c>
      <c r="S9076" s="1" t="s">
        <v>34218</v>
      </c>
    </row>
    <row r="9077" spans="1:19" x14ac:dyDescent="0.25">
      <c r="A9077">
        <v>101064670</v>
      </c>
      <c r="B9077" t="s">
        <v>16838</v>
      </c>
      <c r="C9077" t="s">
        <v>16612</v>
      </c>
      <c r="G9077" t="s">
        <v>20733</v>
      </c>
      <c r="H9077" t="s">
        <v>1561</v>
      </c>
      <c r="I9077" t="s">
        <v>1387</v>
      </c>
      <c r="J9077" t="s">
        <v>20734</v>
      </c>
      <c r="K9077">
        <v>4428</v>
      </c>
      <c r="L9077" t="s">
        <v>23</v>
      </c>
      <c r="M9077" t="s">
        <v>20733</v>
      </c>
      <c r="N9077" t="s">
        <v>1561</v>
      </c>
      <c r="O9077" t="s">
        <v>1387</v>
      </c>
      <c r="P9077" t="s">
        <v>20734</v>
      </c>
      <c r="Q9077">
        <v>4428</v>
      </c>
      <c r="R9077" t="s">
        <v>23</v>
      </c>
      <c r="S9077" s="1" t="s">
        <v>34218</v>
      </c>
    </row>
    <row r="9078" spans="1:19" x14ac:dyDescent="0.25">
      <c r="A9078">
        <v>100515831</v>
      </c>
      <c r="B9078" t="s">
        <v>20735</v>
      </c>
      <c r="C9078" t="s">
        <v>14593</v>
      </c>
      <c r="G9078" t="s">
        <v>20736</v>
      </c>
      <c r="H9078" t="s">
        <v>3230</v>
      </c>
      <c r="I9078" t="s">
        <v>22</v>
      </c>
      <c r="J9078" t="s">
        <v>20737</v>
      </c>
      <c r="K9078">
        <v>9602</v>
      </c>
      <c r="L9078" t="s">
        <v>23</v>
      </c>
      <c r="M9078" t="s">
        <v>20736</v>
      </c>
      <c r="N9078" t="s">
        <v>3230</v>
      </c>
      <c r="O9078" t="s">
        <v>22</v>
      </c>
      <c r="P9078" t="s">
        <v>20737</v>
      </c>
      <c r="Q9078">
        <v>9602</v>
      </c>
      <c r="R9078" t="s">
        <v>23</v>
      </c>
      <c r="S9078" s="1" t="s">
        <v>34218</v>
      </c>
    </row>
    <row r="9079" spans="1:19" x14ac:dyDescent="0.25">
      <c r="A9079">
        <v>101473715</v>
      </c>
      <c r="B9079" t="s">
        <v>20738</v>
      </c>
      <c r="C9079" t="s">
        <v>810</v>
      </c>
      <c r="G9079" t="s">
        <v>20739</v>
      </c>
      <c r="H9079" t="s">
        <v>1084</v>
      </c>
      <c r="I9079" t="s">
        <v>22</v>
      </c>
      <c r="J9079">
        <v>94044</v>
      </c>
      <c r="K9079">
        <v>2323</v>
      </c>
      <c r="L9079" t="s">
        <v>23</v>
      </c>
      <c r="M9079" t="s">
        <v>20739</v>
      </c>
      <c r="N9079" t="s">
        <v>1084</v>
      </c>
      <c r="O9079" t="s">
        <v>22</v>
      </c>
      <c r="P9079">
        <v>94044</v>
      </c>
      <c r="Q9079">
        <v>2323</v>
      </c>
      <c r="R9079" t="s">
        <v>23</v>
      </c>
      <c r="S9079" s="1" t="s">
        <v>34218</v>
      </c>
    </row>
    <row r="9080" spans="1:19" x14ac:dyDescent="0.25">
      <c r="A9080">
        <v>101473755</v>
      </c>
      <c r="B9080" t="s">
        <v>15948</v>
      </c>
      <c r="C9080" t="s">
        <v>1327</v>
      </c>
      <c r="G9080" t="s">
        <v>20740</v>
      </c>
      <c r="H9080" t="s">
        <v>20741</v>
      </c>
      <c r="I9080" t="s">
        <v>57</v>
      </c>
      <c r="J9080">
        <v>46077</v>
      </c>
      <c r="K9080">
        <v>9690</v>
      </c>
      <c r="L9080" t="s">
        <v>23</v>
      </c>
      <c r="M9080" t="s">
        <v>20740</v>
      </c>
      <c r="N9080" t="s">
        <v>20741</v>
      </c>
      <c r="O9080" t="s">
        <v>57</v>
      </c>
      <c r="P9080">
        <v>46077</v>
      </c>
      <c r="Q9080">
        <v>9690</v>
      </c>
      <c r="R9080" t="s">
        <v>23</v>
      </c>
      <c r="S9080" s="1" t="s">
        <v>34218</v>
      </c>
    </row>
    <row r="9081" spans="1:19" x14ac:dyDescent="0.25">
      <c r="A9081">
        <v>101473817</v>
      </c>
      <c r="B9081" t="s">
        <v>744</v>
      </c>
      <c r="C9081" t="s">
        <v>20742</v>
      </c>
      <c r="G9081" t="s">
        <v>20743</v>
      </c>
      <c r="H9081" t="s">
        <v>20744</v>
      </c>
      <c r="I9081" t="s">
        <v>33</v>
      </c>
      <c r="J9081">
        <v>17061</v>
      </c>
      <c r="L9081" t="s">
        <v>23</v>
      </c>
      <c r="M9081" t="s">
        <v>20743</v>
      </c>
      <c r="N9081" t="s">
        <v>20744</v>
      </c>
      <c r="O9081" t="s">
        <v>33</v>
      </c>
      <c r="P9081">
        <v>17061</v>
      </c>
      <c r="R9081" t="s">
        <v>23</v>
      </c>
      <c r="S9081" s="1" t="s">
        <v>34218</v>
      </c>
    </row>
    <row r="9082" spans="1:19" x14ac:dyDescent="0.25">
      <c r="A9082">
        <v>101326169</v>
      </c>
      <c r="B9082" t="s">
        <v>14878</v>
      </c>
      <c r="C9082" t="s">
        <v>1350</v>
      </c>
      <c r="G9082" t="s">
        <v>20745</v>
      </c>
      <c r="H9082" t="s">
        <v>682</v>
      </c>
      <c r="I9082" t="s">
        <v>365</v>
      </c>
      <c r="J9082" t="s">
        <v>20746</v>
      </c>
      <c r="K9082">
        <v>3903</v>
      </c>
      <c r="L9082" t="s">
        <v>23</v>
      </c>
      <c r="M9082" t="s">
        <v>20745</v>
      </c>
      <c r="N9082" t="s">
        <v>682</v>
      </c>
      <c r="O9082" t="s">
        <v>365</v>
      </c>
      <c r="P9082" t="s">
        <v>20746</v>
      </c>
      <c r="Q9082">
        <v>3903</v>
      </c>
      <c r="R9082" t="s">
        <v>23</v>
      </c>
      <c r="S9082" s="1" t="s">
        <v>34218</v>
      </c>
    </row>
    <row r="9083" spans="1:19" x14ac:dyDescent="0.25">
      <c r="A9083">
        <v>101398691</v>
      </c>
      <c r="B9083" t="s">
        <v>18893</v>
      </c>
      <c r="C9083" t="s">
        <v>535</v>
      </c>
      <c r="G9083" t="s">
        <v>20747</v>
      </c>
      <c r="H9083" t="s">
        <v>602</v>
      </c>
      <c r="I9083" t="s">
        <v>71</v>
      </c>
      <c r="J9083" t="s">
        <v>20748</v>
      </c>
      <c r="K9083">
        <v>8076</v>
      </c>
      <c r="L9083" t="s">
        <v>23</v>
      </c>
      <c r="M9083" t="s">
        <v>20747</v>
      </c>
      <c r="N9083" t="s">
        <v>602</v>
      </c>
      <c r="O9083" t="s">
        <v>71</v>
      </c>
      <c r="P9083" t="s">
        <v>20748</v>
      </c>
      <c r="Q9083">
        <v>8076</v>
      </c>
      <c r="R9083" t="s">
        <v>23</v>
      </c>
      <c r="S9083" s="1" t="s">
        <v>34218</v>
      </c>
    </row>
    <row r="9084" spans="1:19" x14ac:dyDescent="0.25">
      <c r="A9084">
        <v>101288116</v>
      </c>
      <c r="B9084" t="s">
        <v>20749</v>
      </c>
      <c r="C9084" t="s">
        <v>233</v>
      </c>
      <c r="G9084" t="s">
        <v>20750</v>
      </c>
      <c r="H9084" t="s">
        <v>2391</v>
      </c>
      <c r="I9084" t="s">
        <v>43</v>
      </c>
      <c r="J9084">
        <v>97702</v>
      </c>
      <c r="K9084">
        <v>2371</v>
      </c>
      <c r="L9084" t="s">
        <v>23</v>
      </c>
      <c r="M9084" t="s">
        <v>20750</v>
      </c>
      <c r="N9084" t="s">
        <v>2391</v>
      </c>
      <c r="O9084" t="s">
        <v>43</v>
      </c>
      <c r="P9084">
        <v>97702</v>
      </c>
      <c r="Q9084">
        <v>2371</v>
      </c>
      <c r="R9084" t="s">
        <v>23</v>
      </c>
      <c r="S9084" s="1" t="s">
        <v>34218</v>
      </c>
    </row>
    <row r="9085" spans="1:19" x14ac:dyDescent="0.25">
      <c r="A9085">
        <v>101291789</v>
      </c>
      <c r="B9085" t="s">
        <v>3843</v>
      </c>
      <c r="C9085" t="s">
        <v>367</v>
      </c>
      <c r="G9085" t="s">
        <v>20751</v>
      </c>
      <c r="H9085" t="s">
        <v>20752</v>
      </c>
      <c r="I9085" t="s">
        <v>178</v>
      </c>
      <c r="J9085">
        <v>44125</v>
      </c>
      <c r="K9085">
        <v>2914</v>
      </c>
      <c r="L9085" t="s">
        <v>23</v>
      </c>
      <c r="M9085" t="s">
        <v>20751</v>
      </c>
      <c r="N9085" t="s">
        <v>20752</v>
      </c>
      <c r="O9085" t="s">
        <v>178</v>
      </c>
      <c r="P9085">
        <v>44125</v>
      </c>
      <c r="Q9085">
        <v>2914</v>
      </c>
      <c r="R9085" t="s">
        <v>23</v>
      </c>
      <c r="S9085" s="1" t="s">
        <v>34218</v>
      </c>
    </row>
    <row r="9086" spans="1:19" x14ac:dyDescent="0.25">
      <c r="A9086">
        <v>101297285</v>
      </c>
      <c r="B9086" t="s">
        <v>20753</v>
      </c>
      <c r="C9086" t="s">
        <v>110</v>
      </c>
      <c r="G9086" t="s">
        <v>20754</v>
      </c>
      <c r="H9086" t="s">
        <v>650</v>
      </c>
      <c r="I9086" t="s">
        <v>22</v>
      </c>
      <c r="J9086">
        <v>95822</v>
      </c>
      <c r="K9086">
        <v>2569</v>
      </c>
      <c r="L9086" t="s">
        <v>23</v>
      </c>
      <c r="M9086" t="s">
        <v>20754</v>
      </c>
      <c r="N9086" t="s">
        <v>650</v>
      </c>
      <c r="O9086" t="s">
        <v>22</v>
      </c>
      <c r="P9086">
        <v>95822</v>
      </c>
      <c r="Q9086">
        <v>2569</v>
      </c>
      <c r="R9086" t="s">
        <v>23</v>
      </c>
      <c r="S9086" s="1" t="s">
        <v>34218</v>
      </c>
    </row>
    <row r="9087" spans="1:19" x14ac:dyDescent="0.25">
      <c r="A9087">
        <v>101278424</v>
      </c>
      <c r="B9087" t="s">
        <v>11120</v>
      </c>
      <c r="C9087" t="s">
        <v>30</v>
      </c>
      <c r="G9087" t="s">
        <v>20755</v>
      </c>
      <c r="H9087" t="s">
        <v>20756</v>
      </c>
      <c r="I9087" t="s">
        <v>187</v>
      </c>
      <c r="J9087">
        <v>56467</v>
      </c>
      <c r="K9087">
        <v>372</v>
      </c>
      <c r="L9087" t="s">
        <v>23</v>
      </c>
      <c r="M9087" t="s">
        <v>20755</v>
      </c>
      <c r="N9087" t="s">
        <v>20756</v>
      </c>
      <c r="O9087" t="s">
        <v>187</v>
      </c>
      <c r="P9087">
        <v>56467</v>
      </c>
      <c r="Q9087">
        <v>372</v>
      </c>
      <c r="R9087" t="s">
        <v>23</v>
      </c>
      <c r="S9087" s="1" t="s">
        <v>34218</v>
      </c>
    </row>
    <row r="9088" spans="1:19" x14ac:dyDescent="0.25">
      <c r="A9088">
        <v>101289685</v>
      </c>
      <c r="B9088" t="s">
        <v>7483</v>
      </c>
      <c r="C9088" t="s">
        <v>535</v>
      </c>
      <c r="F9088" t="str">
        <f>"5015383774"</f>
        <v>5015383774</v>
      </c>
      <c r="G9088" t="s">
        <v>20757</v>
      </c>
      <c r="H9088" t="s">
        <v>20758</v>
      </c>
      <c r="I9088" t="s">
        <v>2537</v>
      </c>
      <c r="J9088">
        <v>71964</v>
      </c>
      <c r="K9088">
        <v>9751</v>
      </c>
      <c r="L9088" t="s">
        <v>23</v>
      </c>
      <c r="M9088" t="s">
        <v>20757</v>
      </c>
      <c r="N9088" t="s">
        <v>20758</v>
      </c>
      <c r="O9088" t="s">
        <v>2537</v>
      </c>
      <c r="P9088">
        <v>71964</v>
      </c>
      <c r="Q9088">
        <v>9751</v>
      </c>
      <c r="R9088" t="s">
        <v>23</v>
      </c>
      <c r="S9088" s="1" t="s">
        <v>34218</v>
      </c>
    </row>
    <row r="9089" spans="1:19" x14ac:dyDescent="0.25">
      <c r="A9089">
        <v>101297496</v>
      </c>
      <c r="B9089" t="s">
        <v>20759</v>
      </c>
      <c r="C9089" t="s">
        <v>8203</v>
      </c>
      <c r="G9089" t="s">
        <v>20760</v>
      </c>
      <c r="H9089" t="s">
        <v>20761</v>
      </c>
      <c r="I9089" t="s">
        <v>135</v>
      </c>
      <c r="J9089">
        <v>60466</v>
      </c>
      <c r="K9089">
        <v>1628</v>
      </c>
      <c r="L9089" t="s">
        <v>23</v>
      </c>
      <c r="M9089" t="s">
        <v>20760</v>
      </c>
      <c r="N9089" t="s">
        <v>20761</v>
      </c>
      <c r="O9089" t="s">
        <v>135</v>
      </c>
      <c r="P9089">
        <v>60466</v>
      </c>
      <c r="Q9089">
        <v>1628</v>
      </c>
      <c r="R9089" t="s">
        <v>23</v>
      </c>
      <c r="S9089" s="1" t="s">
        <v>34218</v>
      </c>
    </row>
    <row r="9090" spans="1:19" x14ac:dyDescent="0.25">
      <c r="A9090">
        <v>101295910</v>
      </c>
      <c r="B9090" t="s">
        <v>20762</v>
      </c>
      <c r="C9090" t="s">
        <v>172</v>
      </c>
      <c r="G9090" t="s">
        <v>20763</v>
      </c>
      <c r="H9090" t="s">
        <v>1985</v>
      </c>
      <c r="I9090" t="s">
        <v>71</v>
      </c>
      <c r="J9090">
        <v>80917</v>
      </c>
      <c r="K9090">
        <v>5457</v>
      </c>
      <c r="L9090" t="s">
        <v>23</v>
      </c>
      <c r="M9090" t="s">
        <v>20763</v>
      </c>
      <c r="N9090" t="s">
        <v>1985</v>
      </c>
      <c r="O9090" t="s">
        <v>71</v>
      </c>
      <c r="P9090">
        <v>80917</v>
      </c>
      <c r="Q9090">
        <v>5457</v>
      </c>
      <c r="R9090" t="s">
        <v>23</v>
      </c>
      <c r="S9090" s="1" t="s">
        <v>34218</v>
      </c>
    </row>
    <row r="9091" spans="1:19" x14ac:dyDescent="0.25">
      <c r="A9091">
        <v>101297881</v>
      </c>
      <c r="B9091" t="s">
        <v>3562</v>
      </c>
      <c r="C9091" t="s">
        <v>1581</v>
      </c>
      <c r="F9091" t="str">
        <f>"8054392791"</f>
        <v>8054392791</v>
      </c>
      <c r="G9091" t="s">
        <v>20764</v>
      </c>
      <c r="H9091" t="s">
        <v>1181</v>
      </c>
      <c r="I9091" t="s">
        <v>22</v>
      </c>
      <c r="J9091">
        <v>93402</v>
      </c>
      <c r="K9091">
        <v>3801</v>
      </c>
      <c r="L9091" t="s">
        <v>23</v>
      </c>
      <c r="M9091" t="s">
        <v>20764</v>
      </c>
      <c r="N9091" t="s">
        <v>1181</v>
      </c>
      <c r="O9091" t="s">
        <v>22</v>
      </c>
      <c r="P9091">
        <v>93402</v>
      </c>
      <c r="Q9091">
        <v>3801</v>
      </c>
      <c r="R9091" t="s">
        <v>23</v>
      </c>
      <c r="S9091" s="1" t="s">
        <v>34218</v>
      </c>
    </row>
    <row r="9092" spans="1:19" x14ac:dyDescent="0.25">
      <c r="A9092">
        <v>101294169</v>
      </c>
      <c r="B9092" t="s">
        <v>1370</v>
      </c>
      <c r="C9092" t="s">
        <v>4427</v>
      </c>
      <c r="G9092" t="s">
        <v>20765</v>
      </c>
      <c r="H9092" t="s">
        <v>1748</v>
      </c>
      <c r="I9092" t="s">
        <v>914</v>
      </c>
      <c r="J9092">
        <v>38002</v>
      </c>
      <c r="K9092">
        <v>4466</v>
      </c>
      <c r="L9092" t="s">
        <v>23</v>
      </c>
      <c r="M9092" t="s">
        <v>20765</v>
      </c>
      <c r="N9092" t="s">
        <v>1748</v>
      </c>
      <c r="O9092" t="s">
        <v>914</v>
      </c>
      <c r="P9092">
        <v>38002</v>
      </c>
      <c r="Q9092">
        <v>4466</v>
      </c>
      <c r="R9092" t="s">
        <v>23</v>
      </c>
      <c r="S9092" s="1" t="s">
        <v>34218</v>
      </c>
    </row>
    <row r="9093" spans="1:19" x14ac:dyDescent="0.25">
      <c r="A9093">
        <v>101303162</v>
      </c>
      <c r="B9093" t="s">
        <v>20766</v>
      </c>
      <c r="C9093" t="s">
        <v>2127</v>
      </c>
      <c r="G9093" t="s">
        <v>20767</v>
      </c>
      <c r="H9093" t="s">
        <v>2399</v>
      </c>
      <c r="I9093" t="s">
        <v>71</v>
      </c>
      <c r="J9093">
        <v>80524</v>
      </c>
      <c r="K9093">
        <v>6415</v>
      </c>
      <c r="L9093" t="s">
        <v>23</v>
      </c>
      <c r="M9093" t="s">
        <v>20767</v>
      </c>
      <c r="N9093" t="s">
        <v>2399</v>
      </c>
      <c r="O9093" t="s">
        <v>71</v>
      </c>
      <c r="P9093">
        <v>80524</v>
      </c>
      <c r="Q9093">
        <v>6415</v>
      </c>
      <c r="R9093" t="s">
        <v>23</v>
      </c>
      <c r="S9093" s="1" t="s">
        <v>34218</v>
      </c>
    </row>
    <row r="9094" spans="1:19" x14ac:dyDescent="0.25">
      <c r="A9094">
        <v>101301042</v>
      </c>
      <c r="B9094" t="s">
        <v>800</v>
      </c>
      <c r="C9094" t="s">
        <v>1598</v>
      </c>
      <c r="G9094" t="s">
        <v>20768</v>
      </c>
      <c r="H9094" t="s">
        <v>2523</v>
      </c>
      <c r="I9094" t="s">
        <v>161</v>
      </c>
      <c r="J9094">
        <v>6437</v>
      </c>
      <c r="K9094">
        <v>1817</v>
      </c>
      <c r="L9094" t="s">
        <v>23</v>
      </c>
      <c r="M9094" t="s">
        <v>20768</v>
      </c>
      <c r="N9094" t="s">
        <v>2523</v>
      </c>
      <c r="O9094" t="s">
        <v>161</v>
      </c>
      <c r="P9094">
        <v>6437</v>
      </c>
      <c r="Q9094">
        <v>1817</v>
      </c>
      <c r="R9094" t="s">
        <v>23</v>
      </c>
      <c r="S9094" s="1" t="s">
        <v>34218</v>
      </c>
    </row>
    <row r="9095" spans="1:19" x14ac:dyDescent="0.25">
      <c r="A9095">
        <v>101298613</v>
      </c>
      <c r="B9095" t="s">
        <v>3089</v>
      </c>
      <c r="C9095" t="s">
        <v>1598</v>
      </c>
      <c r="G9095" t="s">
        <v>20769</v>
      </c>
      <c r="H9095" t="s">
        <v>4415</v>
      </c>
      <c r="I9095" t="s">
        <v>33</v>
      </c>
      <c r="J9095">
        <v>16601</v>
      </c>
      <c r="K9095">
        <v>5821</v>
      </c>
      <c r="L9095" t="s">
        <v>23</v>
      </c>
      <c r="M9095" t="s">
        <v>20769</v>
      </c>
      <c r="N9095" t="s">
        <v>4415</v>
      </c>
      <c r="O9095" t="s">
        <v>33</v>
      </c>
      <c r="P9095">
        <v>16601</v>
      </c>
      <c r="Q9095">
        <v>5821</v>
      </c>
      <c r="R9095" t="s">
        <v>23</v>
      </c>
      <c r="S9095" s="1" t="s">
        <v>34218</v>
      </c>
    </row>
    <row r="9096" spans="1:19" x14ac:dyDescent="0.25">
      <c r="A9096">
        <v>101303184</v>
      </c>
      <c r="B9096" t="s">
        <v>4203</v>
      </c>
      <c r="C9096" t="s">
        <v>1835</v>
      </c>
      <c r="G9096" t="s">
        <v>20770</v>
      </c>
      <c r="H9096" t="s">
        <v>125</v>
      </c>
      <c r="I9096" t="s">
        <v>126</v>
      </c>
      <c r="J9096">
        <v>63116</v>
      </c>
      <c r="K9096">
        <v>4608</v>
      </c>
      <c r="L9096" t="s">
        <v>23</v>
      </c>
      <c r="M9096" t="s">
        <v>20770</v>
      </c>
      <c r="N9096" t="s">
        <v>125</v>
      </c>
      <c r="O9096" t="s">
        <v>126</v>
      </c>
      <c r="P9096">
        <v>63116</v>
      </c>
      <c r="Q9096">
        <v>4608</v>
      </c>
      <c r="R9096" t="s">
        <v>23</v>
      </c>
      <c r="S9096" s="1" t="s">
        <v>34218</v>
      </c>
    </row>
    <row r="9097" spans="1:19" x14ac:dyDescent="0.25">
      <c r="A9097">
        <v>101312094</v>
      </c>
      <c r="B9097" t="s">
        <v>3609</v>
      </c>
      <c r="C9097" t="s">
        <v>6520</v>
      </c>
      <c r="G9097" t="s">
        <v>20771</v>
      </c>
      <c r="H9097" t="s">
        <v>143</v>
      </c>
      <c r="I9097" t="s">
        <v>52</v>
      </c>
      <c r="J9097">
        <v>32258</v>
      </c>
      <c r="K9097">
        <v>2357</v>
      </c>
      <c r="L9097" t="s">
        <v>23</v>
      </c>
      <c r="M9097" t="s">
        <v>20771</v>
      </c>
      <c r="N9097" t="s">
        <v>143</v>
      </c>
      <c r="O9097" t="s">
        <v>52</v>
      </c>
      <c r="P9097">
        <v>32258</v>
      </c>
      <c r="Q9097">
        <v>2357</v>
      </c>
      <c r="R9097" t="s">
        <v>23</v>
      </c>
      <c r="S9097" s="1" t="s">
        <v>34218</v>
      </c>
    </row>
    <row r="9098" spans="1:19" x14ac:dyDescent="0.25">
      <c r="A9098">
        <v>101095374</v>
      </c>
      <c r="B9098" t="s">
        <v>20772</v>
      </c>
      <c r="C9098" t="s">
        <v>1906</v>
      </c>
      <c r="G9098" t="s">
        <v>20773</v>
      </c>
      <c r="H9098" t="s">
        <v>7582</v>
      </c>
      <c r="I9098" t="s">
        <v>22</v>
      </c>
      <c r="J9098">
        <v>95005</v>
      </c>
      <c r="L9098" t="s">
        <v>23</v>
      </c>
      <c r="M9098" t="s">
        <v>20773</v>
      </c>
      <c r="N9098" t="s">
        <v>7582</v>
      </c>
      <c r="O9098" t="s">
        <v>22</v>
      </c>
      <c r="P9098">
        <v>95005</v>
      </c>
      <c r="R9098" t="s">
        <v>23</v>
      </c>
      <c r="S9098" s="1" t="s">
        <v>34218</v>
      </c>
    </row>
    <row r="9099" spans="1:19" x14ac:dyDescent="0.25">
      <c r="A9099">
        <v>101439699</v>
      </c>
      <c r="B9099" t="s">
        <v>20774</v>
      </c>
      <c r="C9099" t="s">
        <v>2232</v>
      </c>
      <c r="G9099" t="s">
        <v>20775</v>
      </c>
      <c r="H9099" t="s">
        <v>653</v>
      </c>
      <c r="I9099" t="s">
        <v>117</v>
      </c>
      <c r="J9099">
        <v>10011</v>
      </c>
      <c r="K9099">
        <v>4106</v>
      </c>
      <c r="L9099" t="s">
        <v>23</v>
      </c>
      <c r="M9099" t="s">
        <v>20775</v>
      </c>
      <c r="N9099" t="s">
        <v>653</v>
      </c>
      <c r="O9099" t="s">
        <v>117</v>
      </c>
      <c r="P9099">
        <v>10011</v>
      </c>
      <c r="Q9099">
        <v>4106</v>
      </c>
      <c r="R9099" t="s">
        <v>23</v>
      </c>
      <c r="S9099" s="1" t="s">
        <v>34218</v>
      </c>
    </row>
    <row r="9100" spans="1:19" x14ac:dyDescent="0.25">
      <c r="A9100">
        <v>101066363</v>
      </c>
      <c r="B9100" t="s">
        <v>20776</v>
      </c>
      <c r="C9100" t="s">
        <v>11308</v>
      </c>
      <c r="G9100" t="s">
        <v>20777</v>
      </c>
      <c r="H9100" t="s">
        <v>20778</v>
      </c>
      <c r="I9100" t="s">
        <v>28</v>
      </c>
      <c r="J9100">
        <v>30535</v>
      </c>
      <c r="K9100">
        <v>4722</v>
      </c>
      <c r="L9100" t="s">
        <v>23</v>
      </c>
      <c r="M9100" t="s">
        <v>20777</v>
      </c>
      <c r="N9100" t="s">
        <v>20778</v>
      </c>
      <c r="O9100" t="s">
        <v>28</v>
      </c>
      <c r="P9100">
        <v>30535</v>
      </c>
      <c r="Q9100">
        <v>4722</v>
      </c>
      <c r="R9100" t="s">
        <v>23</v>
      </c>
      <c r="S9100" s="1" t="s">
        <v>34218</v>
      </c>
    </row>
    <row r="9101" spans="1:19" x14ac:dyDescent="0.25">
      <c r="A9101">
        <v>101269628</v>
      </c>
      <c r="B9101" t="s">
        <v>20779</v>
      </c>
      <c r="C9101" t="s">
        <v>20780</v>
      </c>
      <c r="G9101" t="s">
        <v>20781</v>
      </c>
      <c r="H9101" t="s">
        <v>311</v>
      </c>
      <c r="I9101" t="s">
        <v>22</v>
      </c>
      <c r="J9101">
        <v>90804</v>
      </c>
      <c r="K9101">
        <v>3828</v>
      </c>
      <c r="L9101" t="s">
        <v>23</v>
      </c>
      <c r="M9101" t="s">
        <v>20781</v>
      </c>
      <c r="N9101" t="s">
        <v>311</v>
      </c>
      <c r="O9101" t="s">
        <v>22</v>
      </c>
      <c r="P9101">
        <v>90804</v>
      </c>
      <c r="Q9101">
        <v>3828</v>
      </c>
      <c r="R9101" t="s">
        <v>23</v>
      </c>
      <c r="S9101" s="1" t="s">
        <v>34218</v>
      </c>
    </row>
    <row r="9102" spans="1:19" x14ac:dyDescent="0.25">
      <c r="A9102">
        <v>101231493</v>
      </c>
      <c r="B9102" t="s">
        <v>20782</v>
      </c>
      <c r="C9102" t="s">
        <v>803</v>
      </c>
      <c r="G9102" t="s">
        <v>20783</v>
      </c>
      <c r="H9102" t="s">
        <v>12513</v>
      </c>
      <c r="I9102" t="s">
        <v>353</v>
      </c>
      <c r="J9102">
        <v>3263</v>
      </c>
      <c r="K9102">
        <v>3905</v>
      </c>
      <c r="L9102" t="s">
        <v>23</v>
      </c>
      <c r="M9102" t="s">
        <v>20783</v>
      </c>
      <c r="N9102" t="s">
        <v>12513</v>
      </c>
      <c r="O9102" t="s">
        <v>353</v>
      </c>
      <c r="P9102">
        <v>3263</v>
      </c>
      <c r="Q9102">
        <v>3905</v>
      </c>
      <c r="R9102" t="s">
        <v>23</v>
      </c>
      <c r="S9102" s="1" t="s">
        <v>34218</v>
      </c>
    </row>
    <row r="9103" spans="1:19" x14ac:dyDescent="0.25">
      <c r="A9103">
        <v>100764141</v>
      </c>
      <c r="B9103" t="s">
        <v>16559</v>
      </c>
      <c r="C9103" t="s">
        <v>40</v>
      </c>
      <c r="G9103" t="s">
        <v>20784</v>
      </c>
      <c r="H9103" t="s">
        <v>254</v>
      </c>
      <c r="I9103" t="s">
        <v>255</v>
      </c>
      <c r="J9103">
        <v>22911</v>
      </c>
      <c r="K9103">
        <v>8341</v>
      </c>
      <c r="L9103" t="s">
        <v>23</v>
      </c>
      <c r="M9103" t="s">
        <v>20784</v>
      </c>
      <c r="N9103" t="s">
        <v>254</v>
      </c>
      <c r="O9103" t="s">
        <v>255</v>
      </c>
      <c r="P9103">
        <v>22911</v>
      </c>
      <c r="Q9103">
        <v>8341</v>
      </c>
      <c r="R9103" t="s">
        <v>23</v>
      </c>
      <c r="S9103" s="1" t="s">
        <v>34218</v>
      </c>
    </row>
    <row r="9104" spans="1:19" x14ac:dyDescent="0.25">
      <c r="A9104">
        <v>101439839</v>
      </c>
      <c r="B9104" t="s">
        <v>20785</v>
      </c>
      <c r="C9104" t="s">
        <v>2193</v>
      </c>
      <c r="G9104" t="s">
        <v>20786</v>
      </c>
      <c r="H9104" t="s">
        <v>650</v>
      </c>
      <c r="I9104" t="s">
        <v>22</v>
      </c>
      <c r="J9104">
        <v>95825</v>
      </c>
      <c r="K9104">
        <v>2036</v>
      </c>
      <c r="L9104" t="s">
        <v>23</v>
      </c>
      <c r="M9104" t="s">
        <v>20786</v>
      </c>
      <c r="N9104" t="s">
        <v>650</v>
      </c>
      <c r="O9104" t="s">
        <v>22</v>
      </c>
      <c r="P9104">
        <v>95825</v>
      </c>
      <c r="Q9104">
        <v>2036</v>
      </c>
      <c r="R9104" t="s">
        <v>23</v>
      </c>
      <c r="S9104" s="1" t="s">
        <v>34218</v>
      </c>
    </row>
    <row r="9105" spans="1:19" x14ac:dyDescent="0.25">
      <c r="A9105">
        <v>100567306</v>
      </c>
      <c r="B9105" t="s">
        <v>20787</v>
      </c>
      <c r="C9105" t="s">
        <v>20788</v>
      </c>
      <c r="G9105" t="s">
        <v>20789</v>
      </c>
      <c r="H9105" t="s">
        <v>892</v>
      </c>
      <c r="I9105" t="s">
        <v>52</v>
      </c>
      <c r="J9105">
        <v>32351</v>
      </c>
      <c r="K9105">
        <v>493</v>
      </c>
      <c r="L9105" t="s">
        <v>23</v>
      </c>
      <c r="M9105" t="s">
        <v>20789</v>
      </c>
      <c r="N9105" t="s">
        <v>892</v>
      </c>
      <c r="O9105" t="s">
        <v>52</v>
      </c>
      <c r="P9105">
        <v>32351</v>
      </c>
      <c r="Q9105">
        <v>493</v>
      </c>
      <c r="R9105" t="s">
        <v>23</v>
      </c>
      <c r="S9105" s="1" t="s">
        <v>34218</v>
      </c>
    </row>
    <row r="9106" spans="1:19" x14ac:dyDescent="0.25">
      <c r="A9106">
        <v>101428158</v>
      </c>
      <c r="B9106" t="s">
        <v>1710</v>
      </c>
      <c r="C9106" t="s">
        <v>286</v>
      </c>
      <c r="G9106" t="s">
        <v>20790</v>
      </c>
      <c r="H9106" t="s">
        <v>352</v>
      </c>
      <c r="I9106" t="s">
        <v>38</v>
      </c>
      <c r="J9106">
        <v>77586</v>
      </c>
      <c r="K9106">
        <v>6049</v>
      </c>
      <c r="L9106" t="s">
        <v>23</v>
      </c>
      <c r="M9106" t="s">
        <v>20790</v>
      </c>
      <c r="N9106" t="s">
        <v>352</v>
      </c>
      <c r="O9106" t="s">
        <v>38</v>
      </c>
      <c r="P9106">
        <v>77586</v>
      </c>
      <c r="Q9106">
        <v>6049</v>
      </c>
      <c r="R9106" t="s">
        <v>23</v>
      </c>
      <c r="S9106" s="1" t="s">
        <v>34218</v>
      </c>
    </row>
    <row r="9107" spans="1:19" x14ac:dyDescent="0.25">
      <c r="A9107">
        <v>101014720</v>
      </c>
      <c r="B9107" t="s">
        <v>20791</v>
      </c>
      <c r="C9107" t="s">
        <v>9582</v>
      </c>
      <c r="G9107" t="s">
        <v>20792</v>
      </c>
      <c r="H9107" t="s">
        <v>1765</v>
      </c>
      <c r="I9107" t="s">
        <v>84</v>
      </c>
      <c r="J9107">
        <v>98506</v>
      </c>
      <c r="K9107">
        <v>2932</v>
      </c>
      <c r="L9107" t="s">
        <v>23</v>
      </c>
      <c r="M9107" t="s">
        <v>20792</v>
      </c>
      <c r="N9107" t="s">
        <v>1765</v>
      </c>
      <c r="O9107" t="s">
        <v>84</v>
      </c>
      <c r="P9107">
        <v>98506</v>
      </c>
      <c r="Q9107">
        <v>2932</v>
      </c>
      <c r="R9107" t="s">
        <v>23</v>
      </c>
      <c r="S9107" s="1" t="s">
        <v>34218</v>
      </c>
    </row>
    <row r="9108" spans="1:19" x14ac:dyDescent="0.25">
      <c r="A9108">
        <v>101307750</v>
      </c>
      <c r="B9108" t="s">
        <v>20793</v>
      </c>
      <c r="C9108" t="s">
        <v>787</v>
      </c>
      <c r="G9108" t="s">
        <v>20794</v>
      </c>
      <c r="H9108" t="s">
        <v>1985</v>
      </c>
      <c r="I9108" t="s">
        <v>71</v>
      </c>
      <c r="J9108">
        <v>80919</v>
      </c>
      <c r="K9108">
        <v>2448</v>
      </c>
      <c r="L9108" t="s">
        <v>23</v>
      </c>
      <c r="M9108" t="s">
        <v>20794</v>
      </c>
      <c r="N9108" t="s">
        <v>1985</v>
      </c>
      <c r="O9108" t="s">
        <v>71</v>
      </c>
      <c r="P9108">
        <v>80919</v>
      </c>
      <c r="Q9108">
        <v>2448</v>
      </c>
      <c r="R9108" t="s">
        <v>23</v>
      </c>
      <c r="S9108" s="1" t="s">
        <v>34218</v>
      </c>
    </row>
    <row r="9109" spans="1:19" x14ac:dyDescent="0.25">
      <c r="A9109">
        <v>101404027</v>
      </c>
      <c r="B9109" t="s">
        <v>20795</v>
      </c>
      <c r="C9109" t="s">
        <v>432</v>
      </c>
      <c r="G9109" t="s">
        <v>20796</v>
      </c>
      <c r="H9109" t="s">
        <v>2349</v>
      </c>
      <c r="I9109" t="s">
        <v>565</v>
      </c>
      <c r="J9109">
        <v>50636</v>
      </c>
      <c r="K9109">
        <v>9116</v>
      </c>
      <c r="L9109" t="s">
        <v>23</v>
      </c>
      <c r="M9109" t="s">
        <v>20796</v>
      </c>
      <c r="N9109" t="s">
        <v>2349</v>
      </c>
      <c r="O9109" t="s">
        <v>565</v>
      </c>
      <c r="P9109">
        <v>50636</v>
      </c>
      <c r="Q9109">
        <v>9116</v>
      </c>
      <c r="R9109" t="s">
        <v>23</v>
      </c>
      <c r="S9109" s="1" t="s">
        <v>34218</v>
      </c>
    </row>
    <row r="9110" spans="1:19" x14ac:dyDescent="0.25">
      <c r="A9110">
        <v>101411683</v>
      </c>
      <c r="B9110" t="s">
        <v>20797</v>
      </c>
      <c r="C9110" t="s">
        <v>1409</v>
      </c>
      <c r="F9110" t="str">
        <f>"9164280827"</f>
        <v>9164280827</v>
      </c>
      <c r="G9110" t="s">
        <v>20798</v>
      </c>
      <c r="H9110" t="s">
        <v>650</v>
      </c>
      <c r="I9110" t="s">
        <v>22</v>
      </c>
      <c r="J9110">
        <v>95831</v>
      </c>
      <c r="K9110">
        <v>2674</v>
      </c>
      <c r="L9110" t="s">
        <v>23</v>
      </c>
      <c r="M9110" t="s">
        <v>20798</v>
      </c>
      <c r="N9110" t="s">
        <v>650</v>
      </c>
      <c r="O9110" t="s">
        <v>22</v>
      </c>
      <c r="P9110">
        <v>95831</v>
      </c>
      <c r="Q9110">
        <v>2674</v>
      </c>
      <c r="R9110" t="s">
        <v>23</v>
      </c>
      <c r="S9110" s="1" t="s">
        <v>34218</v>
      </c>
    </row>
    <row r="9111" spans="1:19" x14ac:dyDescent="0.25">
      <c r="A9111">
        <v>101402652</v>
      </c>
      <c r="B9111" t="s">
        <v>7093</v>
      </c>
      <c r="C9111" t="s">
        <v>68</v>
      </c>
      <c r="G9111" t="s">
        <v>20799</v>
      </c>
      <c r="H9111" t="s">
        <v>20800</v>
      </c>
      <c r="I9111" t="s">
        <v>250</v>
      </c>
      <c r="J9111">
        <v>7843</v>
      </c>
      <c r="K9111">
        <v>1328</v>
      </c>
      <c r="L9111" t="s">
        <v>23</v>
      </c>
      <c r="M9111" t="s">
        <v>20799</v>
      </c>
      <c r="N9111" t="s">
        <v>20800</v>
      </c>
      <c r="O9111" t="s">
        <v>250</v>
      </c>
      <c r="P9111">
        <v>7843</v>
      </c>
      <c r="Q9111">
        <v>1328</v>
      </c>
      <c r="R9111" t="s">
        <v>23</v>
      </c>
      <c r="S9111" s="1" t="s">
        <v>34218</v>
      </c>
    </row>
    <row r="9112" spans="1:19" x14ac:dyDescent="0.25">
      <c r="A9112">
        <v>101413468</v>
      </c>
      <c r="B9112" t="s">
        <v>20801</v>
      </c>
      <c r="C9112" t="s">
        <v>3304</v>
      </c>
      <c r="G9112" t="s">
        <v>20802</v>
      </c>
      <c r="H9112" t="s">
        <v>1531</v>
      </c>
      <c r="I9112" t="s">
        <v>84</v>
      </c>
      <c r="J9112">
        <v>98195</v>
      </c>
      <c r="K9112">
        <v>1</v>
      </c>
      <c r="L9112" t="s">
        <v>23</v>
      </c>
      <c r="M9112" t="s">
        <v>20802</v>
      </c>
      <c r="N9112" t="s">
        <v>1531</v>
      </c>
      <c r="O9112" t="s">
        <v>84</v>
      </c>
      <c r="P9112">
        <v>98195</v>
      </c>
      <c r="Q9112">
        <v>1</v>
      </c>
      <c r="R9112" t="s">
        <v>23</v>
      </c>
      <c r="S9112" s="1" t="s">
        <v>34218</v>
      </c>
    </row>
    <row r="9113" spans="1:19" x14ac:dyDescent="0.25">
      <c r="A9113">
        <v>101412149</v>
      </c>
      <c r="B9113" t="s">
        <v>3728</v>
      </c>
      <c r="C9113" t="s">
        <v>1161</v>
      </c>
      <c r="G9113" t="s">
        <v>20803</v>
      </c>
      <c r="H9113" t="s">
        <v>1193</v>
      </c>
      <c r="I9113" t="s">
        <v>135</v>
      </c>
      <c r="J9113">
        <v>60174</v>
      </c>
      <c r="K9113">
        <v>3739</v>
      </c>
      <c r="L9113" t="s">
        <v>23</v>
      </c>
      <c r="M9113" t="s">
        <v>20803</v>
      </c>
      <c r="N9113" t="s">
        <v>1193</v>
      </c>
      <c r="O9113" t="s">
        <v>135</v>
      </c>
      <c r="P9113">
        <v>60174</v>
      </c>
      <c r="Q9113">
        <v>3739</v>
      </c>
      <c r="R9113" t="s">
        <v>23</v>
      </c>
      <c r="S9113" s="1" t="s">
        <v>34218</v>
      </c>
    </row>
    <row r="9114" spans="1:19" x14ac:dyDescent="0.25">
      <c r="A9114">
        <v>101414376</v>
      </c>
      <c r="B9114" t="s">
        <v>20804</v>
      </c>
      <c r="C9114" t="s">
        <v>252</v>
      </c>
      <c r="G9114" t="s">
        <v>20805</v>
      </c>
      <c r="H9114" t="s">
        <v>20806</v>
      </c>
      <c r="I9114" t="s">
        <v>236</v>
      </c>
      <c r="J9114">
        <v>1938</v>
      </c>
      <c r="K9114">
        <v>3008</v>
      </c>
      <c r="L9114" t="s">
        <v>23</v>
      </c>
      <c r="M9114" t="s">
        <v>20805</v>
      </c>
      <c r="N9114" t="s">
        <v>20806</v>
      </c>
      <c r="O9114" t="s">
        <v>236</v>
      </c>
      <c r="P9114">
        <v>1938</v>
      </c>
      <c r="Q9114">
        <v>3008</v>
      </c>
      <c r="R9114" t="s">
        <v>23</v>
      </c>
      <c r="S9114" s="1" t="s">
        <v>34218</v>
      </c>
    </row>
    <row r="9115" spans="1:19" x14ac:dyDescent="0.25">
      <c r="A9115">
        <v>101414481</v>
      </c>
      <c r="B9115" t="s">
        <v>20807</v>
      </c>
      <c r="C9115" t="s">
        <v>3951</v>
      </c>
      <c r="G9115" t="s">
        <v>20808</v>
      </c>
      <c r="H9115" t="s">
        <v>4817</v>
      </c>
      <c r="I9115" t="s">
        <v>250</v>
      </c>
      <c r="J9115">
        <v>7042</v>
      </c>
      <c r="K9115">
        <v>4131</v>
      </c>
      <c r="L9115" t="s">
        <v>23</v>
      </c>
      <c r="M9115" t="s">
        <v>20808</v>
      </c>
      <c r="N9115" t="s">
        <v>4817</v>
      </c>
      <c r="O9115" t="s">
        <v>250</v>
      </c>
      <c r="P9115">
        <v>7042</v>
      </c>
      <c r="Q9115">
        <v>4131</v>
      </c>
      <c r="R9115" t="s">
        <v>23</v>
      </c>
      <c r="S9115" s="1" t="s">
        <v>34218</v>
      </c>
    </row>
    <row r="9116" spans="1:19" x14ac:dyDescent="0.25">
      <c r="A9116">
        <v>101412583</v>
      </c>
      <c r="B9116" t="s">
        <v>20809</v>
      </c>
      <c r="C9116" t="s">
        <v>1602</v>
      </c>
      <c r="G9116" t="s">
        <v>20810</v>
      </c>
      <c r="H9116" t="s">
        <v>1919</v>
      </c>
      <c r="I9116" t="s">
        <v>117</v>
      </c>
      <c r="J9116">
        <v>10524</v>
      </c>
      <c r="K9116">
        <v>3705</v>
      </c>
      <c r="L9116" t="s">
        <v>23</v>
      </c>
      <c r="M9116" t="s">
        <v>20810</v>
      </c>
      <c r="N9116" t="s">
        <v>1919</v>
      </c>
      <c r="O9116" t="s">
        <v>117</v>
      </c>
      <c r="P9116">
        <v>10524</v>
      </c>
      <c r="Q9116">
        <v>3705</v>
      </c>
      <c r="R9116" t="s">
        <v>23</v>
      </c>
      <c r="S9116" s="1" t="s">
        <v>34218</v>
      </c>
    </row>
    <row r="9117" spans="1:19" x14ac:dyDescent="0.25">
      <c r="A9117">
        <v>101415182</v>
      </c>
      <c r="B9117" t="s">
        <v>20811</v>
      </c>
      <c r="C9117" t="s">
        <v>1298</v>
      </c>
      <c r="G9117" t="s">
        <v>20812</v>
      </c>
      <c r="H9117" t="s">
        <v>20813</v>
      </c>
      <c r="I9117" t="s">
        <v>178</v>
      </c>
      <c r="J9117">
        <v>43062</v>
      </c>
      <c r="K9117">
        <v>8017</v>
      </c>
      <c r="L9117" t="s">
        <v>23</v>
      </c>
      <c r="M9117" t="s">
        <v>20812</v>
      </c>
      <c r="N9117" t="s">
        <v>20813</v>
      </c>
      <c r="O9117" t="s">
        <v>178</v>
      </c>
      <c r="P9117">
        <v>43062</v>
      </c>
      <c r="Q9117">
        <v>8017</v>
      </c>
      <c r="R9117" t="s">
        <v>23</v>
      </c>
      <c r="S9117" s="1" t="s">
        <v>34218</v>
      </c>
    </row>
    <row r="9118" spans="1:19" x14ac:dyDescent="0.25">
      <c r="A9118">
        <v>101420524</v>
      </c>
      <c r="B9118" t="s">
        <v>2092</v>
      </c>
      <c r="C9118" t="s">
        <v>2790</v>
      </c>
      <c r="G9118" t="s">
        <v>20814</v>
      </c>
      <c r="H9118" t="s">
        <v>2431</v>
      </c>
      <c r="I9118" t="s">
        <v>662</v>
      </c>
      <c r="J9118">
        <v>2910</v>
      </c>
      <c r="K9118">
        <v>4719</v>
      </c>
      <c r="L9118" t="s">
        <v>23</v>
      </c>
      <c r="M9118" t="s">
        <v>20814</v>
      </c>
      <c r="N9118" t="s">
        <v>2431</v>
      </c>
      <c r="O9118" t="s">
        <v>662</v>
      </c>
      <c r="P9118">
        <v>2910</v>
      </c>
      <c r="Q9118">
        <v>4719</v>
      </c>
      <c r="R9118" t="s">
        <v>23</v>
      </c>
      <c r="S9118" s="1" t="s">
        <v>34218</v>
      </c>
    </row>
    <row r="9119" spans="1:19" x14ac:dyDescent="0.25">
      <c r="A9119">
        <v>101455410</v>
      </c>
      <c r="B9119" t="s">
        <v>3650</v>
      </c>
      <c r="C9119" t="s">
        <v>286</v>
      </c>
      <c r="G9119" t="s">
        <v>20815</v>
      </c>
      <c r="H9119" t="s">
        <v>20816</v>
      </c>
      <c r="I9119" t="s">
        <v>22</v>
      </c>
      <c r="J9119">
        <v>96097</v>
      </c>
      <c r="K9119">
        <v>9579</v>
      </c>
      <c r="L9119" t="s">
        <v>23</v>
      </c>
      <c r="M9119" t="s">
        <v>20815</v>
      </c>
      <c r="N9119" t="s">
        <v>20816</v>
      </c>
      <c r="O9119" t="s">
        <v>22</v>
      </c>
      <c r="P9119">
        <v>96097</v>
      </c>
      <c r="Q9119">
        <v>9579</v>
      </c>
      <c r="R9119" t="s">
        <v>23</v>
      </c>
      <c r="S9119" s="1" t="s">
        <v>34218</v>
      </c>
    </row>
    <row r="9120" spans="1:19" x14ac:dyDescent="0.25">
      <c r="A9120">
        <v>101248239</v>
      </c>
      <c r="B9120" t="s">
        <v>2937</v>
      </c>
      <c r="C9120" t="s">
        <v>11255</v>
      </c>
      <c r="G9120" t="s">
        <v>20817</v>
      </c>
      <c r="H9120" t="s">
        <v>20818</v>
      </c>
      <c r="I9120" t="s">
        <v>22</v>
      </c>
      <c r="J9120">
        <v>96130</v>
      </c>
      <c r="K9120">
        <v>4012</v>
      </c>
      <c r="L9120" t="s">
        <v>23</v>
      </c>
      <c r="M9120" t="s">
        <v>20817</v>
      </c>
      <c r="N9120" t="s">
        <v>20818</v>
      </c>
      <c r="O9120" t="s">
        <v>22</v>
      </c>
      <c r="P9120">
        <v>96130</v>
      </c>
      <c r="Q9120">
        <v>4012</v>
      </c>
      <c r="R9120" t="s">
        <v>23</v>
      </c>
      <c r="S9120" s="1" t="s">
        <v>34218</v>
      </c>
    </row>
    <row r="9121" spans="1:19" x14ac:dyDescent="0.25">
      <c r="A9121">
        <v>101431193</v>
      </c>
      <c r="B9121" t="s">
        <v>20819</v>
      </c>
      <c r="C9121" t="s">
        <v>1658</v>
      </c>
      <c r="G9121" t="s">
        <v>20820</v>
      </c>
      <c r="H9121" t="s">
        <v>10819</v>
      </c>
      <c r="I9121" t="s">
        <v>38</v>
      </c>
      <c r="J9121">
        <v>77340</v>
      </c>
      <c r="L9121" t="s">
        <v>23</v>
      </c>
      <c r="M9121" t="s">
        <v>20820</v>
      </c>
      <c r="N9121" t="s">
        <v>10819</v>
      </c>
      <c r="O9121" t="s">
        <v>38</v>
      </c>
      <c r="P9121">
        <v>77340</v>
      </c>
      <c r="R9121" t="s">
        <v>23</v>
      </c>
      <c r="S9121" s="1" t="s">
        <v>34218</v>
      </c>
    </row>
    <row r="9122" spans="1:19" x14ac:dyDescent="0.25">
      <c r="A9122">
        <v>101468866</v>
      </c>
      <c r="B9122" t="s">
        <v>20821</v>
      </c>
      <c r="C9122" t="s">
        <v>20822</v>
      </c>
      <c r="G9122" t="s">
        <v>20823</v>
      </c>
      <c r="H9122" t="s">
        <v>4199</v>
      </c>
      <c r="I9122" t="s">
        <v>57</v>
      </c>
      <c r="J9122">
        <v>47909</v>
      </c>
      <c r="K9122">
        <v>2699</v>
      </c>
      <c r="L9122" t="s">
        <v>23</v>
      </c>
      <c r="M9122" t="s">
        <v>20823</v>
      </c>
      <c r="N9122" t="s">
        <v>4199</v>
      </c>
      <c r="O9122" t="s">
        <v>57</v>
      </c>
      <c r="P9122">
        <v>47909</v>
      </c>
      <c r="Q9122">
        <v>2699</v>
      </c>
      <c r="R9122" t="s">
        <v>23</v>
      </c>
      <c r="S9122" s="1" t="s">
        <v>34218</v>
      </c>
    </row>
    <row r="9123" spans="1:19" x14ac:dyDescent="0.25">
      <c r="A9123">
        <v>100541886</v>
      </c>
      <c r="B9123" t="s">
        <v>18097</v>
      </c>
      <c r="C9123" t="s">
        <v>137</v>
      </c>
      <c r="G9123" t="s">
        <v>20824</v>
      </c>
      <c r="H9123" t="s">
        <v>3906</v>
      </c>
      <c r="I9123" t="s">
        <v>33</v>
      </c>
      <c r="J9123">
        <v>19530</v>
      </c>
      <c r="K9123">
        <v>1335</v>
      </c>
      <c r="L9123" t="s">
        <v>23</v>
      </c>
      <c r="M9123" t="s">
        <v>20824</v>
      </c>
      <c r="N9123" t="s">
        <v>3906</v>
      </c>
      <c r="O9123" t="s">
        <v>33</v>
      </c>
      <c r="P9123">
        <v>19530</v>
      </c>
      <c r="Q9123">
        <v>1335</v>
      </c>
      <c r="R9123" t="s">
        <v>23</v>
      </c>
      <c r="S9123" s="1" t="s">
        <v>34218</v>
      </c>
    </row>
    <row r="9124" spans="1:19" x14ac:dyDescent="0.25">
      <c r="A9124">
        <v>100956959</v>
      </c>
      <c r="B9124" t="s">
        <v>247</v>
      </c>
      <c r="C9124" t="s">
        <v>20825</v>
      </c>
      <c r="G9124" t="s">
        <v>20826</v>
      </c>
      <c r="H9124" t="s">
        <v>412</v>
      </c>
      <c r="I9124" t="s">
        <v>117</v>
      </c>
      <c r="J9124">
        <v>11208</v>
      </c>
      <c r="L9124" t="s">
        <v>23</v>
      </c>
      <c r="M9124" t="s">
        <v>20826</v>
      </c>
      <c r="N9124" t="s">
        <v>412</v>
      </c>
      <c r="O9124" t="s">
        <v>117</v>
      </c>
      <c r="P9124">
        <v>11208</v>
      </c>
      <c r="R9124" t="s">
        <v>23</v>
      </c>
      <c r="S9124" s="1" t="s">
        <v>34218</v>
      </c>
    </row>
    <row r="9125" spans="1:19" x14ac:dyDescent="0.25">
      <c r="A9125">
        <v>101468337</v>
      </c>
      <c r="B9125" t="s">
        <v>20827</v>
      </c>
      <c r="C9125" t="s">
        <v>172</v>
      </c>
      <c r="G9125" t="s">
        <v>20828</v>
      </c>
      <c r="H9125" t="s">
        <v>20829</v>
      </c>
      <c r="I9125" t="s">
        <v>307</v>
      </c>
      <c r="J9125">
        <v>5768</v>
      </c>
      <c r="K9125">
        <v>38</v>
      </c>
      <c r="L9125" t="s">
        <v>23</v>
      </c>
      <c r="M9125" t="s">
        <v>20828</v>
      </c>
      <c r="N9125" t="s">
        <v>20829</v>
      </c>
      <c r="O9125" t="s">
        <v>307</v>
      </c>
      <c r="P9125">
        <v>5768</v>
      </c>
      <c r="Q9125">
        <v>38</v>
      </c>
      <c r="R9125" t="s">
        <v>23</v>
      </c>
      <c r="S9125" s="1" t="s">
        <v>34218</v>
      </c>
    </row>
    <row r="9126" spans="1:19" x14ac:dyDescent="0.25">
      <c r="A9126">
        <v>101336592</v>
      </c>
      <c r="B9126" t="s">
        <v>858</v>
      </c>
      <c r="C9126" t="s">
        <v>1962</v>
      </c>
      <c r="G9126" t="s">
        <v>20830</v>
      </c>
      <c r="H9126" t="s">
        <v>2231</v>
      </c>
      <c r="I9126" t="s">
        <v>22</v>
      </c>
      <c r="J9126">
        <v>91202</v>
      </c>
      <c r="K9126">
        <v>2434</v>
      </c>
      <c r="L9126" t="s">
        <v>23</v>
      </c>
      <c r="M9126" t="s">
        <v>20830</v>
      </c>
      <c r="N9126" t="s">
        <v>2231</v>
      </c>
      <c r="O9126" t="s">
        <v>22</v>
      </c>
      <c r="P9126">
        <v>91202</v>
      </c>
      <c r="Q9126">
        <v>2434</v>
      </c>
      <c r="R9126" t="s">
        <v>23</v>
      </c>
      <c r="S9126" s="1" t="s">
        <v>34218</v>
      </c>
    </row>
    <row r="9127" spans="1:19" x14ac:dyDescent="0.25">
      <c r="A9127">
        <v>101427487</v>
      </c>
      <c r="B9127" t="s">
        <v>20831</v>
      </c>
      <c r="C9127" t="s">
        <v>5347</v>
      </c>
      <c r="G9127" t="s">
        <v>20832</v>
      </c>
      <c r="H9127" t="s">
        <v>20833</v>
      </c>
      <c r="I9127" t="s">
        <v>84</v>
      </c>
      <c r="J9127">
        <v>98377</v>
      </c>
      <c r="K9127">
        <v>9211</v>
      </c>
      <c r="L9127" t="s">
        <v>23</v>
      </c>
      <c r="M9127" t="s">
        <v>20832</v>
      </c>
      <c r="N9127" t="s">
        <v>20833</v>
      </c>
      <c r="O9127" t="s">
        <v>84</v>
      </c>
      <c r="P9127">
        <v>98377</v>
      </c>
      <c r="Q9127">
        <v>9211</v>
      </c>
      <c r="R9127" t="s">
        <v>23</v>
      </c>
      <c r="S9127" s="1" t="s">
        <v>34218</v>
      </c>
    </row>
    <row r="9128" spans="1:19" x14ac:dyDescent="0.25">
      <c r="A9128">
        <v>101468933</v>
      </c>
      <c r="B9128" t="s">
        <v>1134</v>
      </c>
      <c r="C9128" t="s">
        <v>217</v>
      </c>
      <c r="G9128" t="s">
        <v>8370</v>
      </c>
      <c r="H9128" t="s">
        <v>198</v>
      </c>
      <c r="I9128" t="s">
        <v>22</v>
      </c>
      <c r="J9128">
        <v>92103</v>
      </c>
      <c r="K9128">
        <v>3710</v>
      </c>
      <c r="L9128" t="s">
        <v>23</v>
      </c>
      <c r="M9128" t="s">
        <v>8370</v>
      </c>
      <c r="N9128" t="s">
        <v>198</v>
      </c>
      <c r="O9128" t="s">
        <v>22</v>
      </c>
      <c r="P9128">
        <v>92103</v>
      </c>
      <c r="Q9128">
        <v>3710</v>
      </c>
      <c r="R9128" t="s">
        <v>23</v>
      </c>
      <c r="S9128" s="1" t="s">
        <v>34218</v>
      </c>
    </row>
    <row r="9129" spans="1:19" x14ac:dyDescent="0.25">
      <c r="A9129">
        <v>101338760</v>
      </c>
      <c r="B9129" t="s">
        <v>20834</v>
      </c>
      <c r="C9129" t="s">
        <v>718</v>
      </c>
      <c r="G9129" t="s">
        <v>20835</v>
      </c>
      <c r="H9129" t="s">
        <v>4415</v>
      </c>
      <c r="I9129" t="s">
        <v>33</v>
      </c>
      <c r="J9129">
        <v>16601</v>
      </c>
      <c r="K9129">
        <v>2104</v>
      </c>
      <c r="L9129" t="s">
        <v>23</v>
      </c>
      <c r="M9129" t="s">
        <v>20835</v>
      </c>
      <c r="N9129" t="s">
        <v>4415</v>
      </c>
      <c r="O9129" t="s">
        <v>33</v>
      </c>
      <c r="P9129">
        <v>16601</v>
      </c>
      <c r="Q9129">
        <v>2104</v>
      </c>
      <c r="R9129" t="s">
        <v>23</v>
      </c>
      <c r="S9129" s="1" t="s">
        <v>34218</v>
      </c>
    </row>
    <row r="9130" spans="1:19" x14ac:dyDescent="0.25">
      <c r="A9130">
        <v>101480590</v>
      </c>
      <c r="B9130" t="s">
        <v>20836</v>
      </c>
      <c r="C9130" t="s">
        <v>20837</v>
      </c>
      <c r="G9130" t="s">
        <v>20838</v>
      </c>
      <c r="H9130" t="s">
        <v>2391</v>
      </c>
      <c r="I9130" t="s">
        <v>43</v>
      </c>
      <c r="J9130">
        <v>97702</v>
      </c>
      <c r="K9130">
        <v>1985</v>
      </c>
      <c r="L9130" t="s">
        <v>23</v>
      </c>
      <c r="M9130" t="s">
        <v>20838</v>
      </c>
      <c r="N9130" t="s">
        <v>2391</v>
      </c>
      <c r="O9130" t="s">
        <v>43</v>
      </c>
      <c r="P9130">
        <v>97702</v>
      </c>
      <c r="Q9130">
        <v>1985</v>
      </c>
      <c r="R9130" t="s">
        <v>23</v>
      </c>
      <c r="S9130" s="1" t="s">
        <v>34218</v>
      </c>
    </row>
    <row r="9131" spans="1:19" x14ac:dyDescent="0.25">
      <c r="A9131">
        <v>101480591</v>
      </c>
      <c r="B9131" t="s">
        <v>6641</v>
      </c>
      <c r="C9131" t="s">
        <v>20839</v>
      </c>
      <c r="G9131" t="s">
        <v>20840</v>
      </c>
      <c r="H9131" t="s">
        <v>8665</v>
      </c>
      <c r="I9131" t="s">
        <v>22</v>
      </c>
      <c r="J9131">
        <v>90069</v>
      </c>
      <c r="K9131">
        <v>2757</v>
      </c>
      <c r="L9131" t="s">
        <v>23</v>
      </c>
      <c r="M9131" t="s">
        <v>20840</v>
      </c>
      <c r="N9131" t="s">
        <v>8665</v>
      </c>
      <c r="O9131" t="s">
        <v>22</v>
      </c>
      <c r="P9131">
        <v>90069</v>
      </c>
      <c r="Q9131">
        <v>2757</v>
      </c>
      <c r="R9131" t="s">
        <v>23</v>
      </c>
      <c r="S9131" s="1" t="s">
        <v>34218</v>
      </c>
    </row>
    <row r="9132" spans="1:19" x14ac:dyDescent="0.25">
      <c r="A9132">
        <v>101455014</v>
      </c>
      <c r="B9132" t="s">
        <v>20841</v>
      </c>
      <c r="C9132" t="s">
        <v>2127</v>
      </c>
      <c r="G9132" t="s">
        <v>20842</v>
      </c>
      <c r="H9132" t="s">
        <v>2798</v>
      </c>
      <c r="I9132" t="s">
        <v>307</v>
      </c>
      <c r="J9132">
        <v>5401</v>
      </c>
      <c r="K9132">
        <v>3564</v>
      </c>
      <c r="L9132" t="s">
        <v>23</v>
      </c>
      <c r="M9132" t="s">
        <v>20842</v>
      </c>
      <c r="N9132" t="s">
        <v>2798</v>
      </c>
      <c r="O9132" t="s">
        <v>307</v>
      </c>
      <c r="P9132">
        <v>5401</v>
      </c>
      <c r="Q9132">
        <v>3564</v>
      </c>
      <c r="R9132" t="s">
        <v>23</v>
      </c>
      <c r="S9132" s="1" t="s">
        <v>34218</v>
      </c>
    </row>
    <row r="9133" spans="1:19" x14ac:dyDescent="0.25">
      <c r="A9133">
        <v>101071941</v>
      </c>
      <c r="B9133" t="s">
        <v>20843</v>
      </c>
      <c r="C9133" t="s">
        <v>1658</v>
      </c>
      <c r="G9133" t="s">
        <v>20844</v>
      </c>
      <c r="H9133" t="s">
        <v>2218</v>
      </c>
      <c r="I9133" t="s">
        <v>161</v>
      </c>
      <c r="J9133">
        <v>6604</v>
      </c>
      <c r="K9133">
        <v>1040</v>
      </c>
      <c r="L9133" t="s">
        <v>23</v>
      </c>
      <c r="M9133" t="s">
        <v>20844</v>
      </c>
      <c r="N9133" t="s">
        <v>2218</v>
      </c>
      <c r="O9133" t="s">
        <v>161</v>
      </c>
      <c r="P9133">
        <v>6604</v>
      </c>
      <c r="Q9133">
        <v>1040</v>
      </c>
      <c r="R9133" t="s">
        <v>23</v>
      </c>
      <c r="S9133" s="1" t="s">
        <v>34218</v>
      </c>
    </row>
    <row r="9134" spans="1:19" x14ac:dyDescent="0.25">
      <c r="A9134">
        <v>101449807</v>
      </c>
      <c r="B9134" t="s">
        <v>1554</v>
      </c>
      <c r="C9134" t="s">
        <v>582</v>
      </c>
      <c r="G9134" t="s">
        <v>20845</v>
      </c>
      <c r="H9134" t="s">
        <v>7857</v>
      </c>
      <c r="I9134" t="s">
        <v>148</v>
      </c>
      <c r="J9134">
        <v>21093</v>
      </c>
      <c r="K9134">
        <v>5207</v>
      </c>
      <c r="L9134" t="s">
        <v>23</v>
      </c>
      <c r="M9134" t="s">
        <v>20845</v>
      </c>
      <c r="N9134" t="s">
        <v>7857</v>
      </c>
      <c r="O9134" t="s">
        <v>148</v>
      </c>
      <c r="P9134">
        <v>21093</v>
      </c>
      <c r="Q9134">
        <v>5207</v>
      </c>
      <c r="R9134" t="s">
        <v>23</v>
      </c>
      <c r="S9134" s="1" t="s">
        <v>34218</v>
      </c>
    </row>
    <row r="9135" spans="1:19" x14ac:dyDescent="0.25">
      <c r="A9135">
        <v>101480599</v>
      </c>
      <c r="B9135" t="s">
        <v>76</v>
      </c>
      <c r="C9135" t="s">
        <v>54</v>
      </c>
      <c r="G9135" t="s">
        <v>20846</v>
      </c>
      <c r="H9135" t="s">
        <v>18117</v>
      </c>
      <c r="I9135" t="s">
        <v>250</v>
      </c>
      <c r="J9135">
        <v>7304</v>
      </c>
      <c r="K9135">
        <v>1901</v>
      </c>
      <c r="L9135" t="s">
        <v>23</v>
      </c>
      <c r="M9135" t="s">
        <v>20846</v>
      </c>
      <c r="N9135" t="s">
        <v>18117</v>
      </c>
      <c r="O9135" t="s">
        <v>250</v>
      </c>
      <c r="P9135">
        <v>7304</v>
      </c>
      <c r="Q9135">
        <v>1901</v>
      </c>
      <c r="R9135" t="s">
        <v>23</v>
      </c>
      <c r="S9135" s="1" t="s">
        <v>34218</v>
      </c>
    </row>
    <row r="9136" spans="1:19" x14ac:dyDescent="0.25">
      <c r="A9136">
        <v>101313464</v>
      </c>
      <c r="B9136" t="s">
        <v>20847</v>
      </c>
      <c r="C9136" t="s">
        <v>4502</v>
      </c>
      <c r="G9136" t="s">
        <v>20848</v>
      </c>
      <c r="H9136" t="s">
        <v>393</v>
      </c>
      <c r="I9136" t="s">
        <v>71</v>
      </c>
      <c r="J9136">
        <v>80229</v>
      </c>
      <c r="K9136">
        <v>5407</v>
      </c>
      <c r="L9136" t="s">
        <v>23</v>
      </c>
      <c r="M9136" t="s">
        <v>20848</v>
      </c>
      <c r="N9136" t="s">
        <v>393</v>
      </c>
      <c r="O9136" t="s">
        <v>71</v>
      </c>
      <c r="P9136">
        <v>80229</v>
      </c>
      <c r="Q9136">
        <v>5407</v>
      </c>
      <c r="R9136" t="s">
        <v>23</v>
      </c>
      <c r="S9136" s="1" t="s">
        <v>34218</v>
      </c>
    </row>
    <row r="9137" spans="1:19" x14ac:dyDescent="0.25">
      <c r="A9137">
        <v>101407657</v>
      </c>
      <c r="B9137" t="s">
        <v>497</v>
      </c>
      <c r="C9137" t="s">
        <v>466</v>
      </c>
      <c r="F9137" t="str">
        <f>"2695996154"</f>
        <v>2695996154</v>
      </c>
      <c r="G9137" t="s">
        <v>20849</v>
      </c>
      <c r="H9137" t="s">
        <v>16292</v>
      </c>
      <c r="I9137" t="s">
        <v>140</v>
      </c>
      <c r="J9137">
        <v>48390</v>
      </c>
      <c r="K9137">
        <v>2133</v>
      </c>
      <c r="L9137" t="s">
        <v>23</v>
      </c>
      <c r="M9137" t="s">
        <v>20849</v>
      </c>
      <c r="N9137" t="s">
        <v>16292</v>
      </c>
      <c r="O9137" t="s">
        <v>140</v>
      </c>
      <c r="P9137">
        <v>48390</v>
      </c>
      <c r="Q9137">
        <v>2133</v>
      </c>
      <c r="R9137" t="s">
        <v>23</v>
      </c>
      <c r="S9137" s="1" t="s">
        <v>34218</v>
      </c>
    </row>
    <row r="9138" spans="1:19" x14ac:dyDescent="0.25">
      <c r="A9138">
        <v>101395671</v>
      </c>
      <c r="B9138" t="s">
        <v>20850</v>
      </c>
      <c r="C9138" t="s">
        <v>7844</v>
      </c>
      <c r="F9138" t="str">
        <f>"9785551212"</f>
        <v>9785551212</v>
      </c>
      <c r="G9138" t="s">
        <v>20851</v>
      </c>
      <c r="H9138" t="s">
        <v>4550</v>
      </c>
      <c r="I9138" t="s">
        <v>236</v>
      </c>
      <c r="J9138">
        <v>1453</v>
      </c>
      <c r="K9138">
        <v>3504</v>
      </c>
      <c r="L9138" t="s">
        <v>23</v>
      </c>
      <c r="M9138" t="s">
        <v>20851</v>
      </c>
      <c r="N9138" t="s">
        <v>4550</v>
      </c>
      <c r="O9138" t="s">
        <v>236</v>
      </c>
      <c r="P9138">
        <v>1453</v>
      </c>
      <c r="Q9138">
        <v>3504</v>
      </c>
      <c r="R9138" t="s">
        <v>23</v>
      </c>
      <c r="S9138" s="1" t="s">
        <v>34218</v>
      </c>
    </row>
    <row r="9139" spans="1:19" x14ac:dyDescent="0.25">
      <c r="A9139">
        <v>101468327</v>
      </c>
      <c r="B9139" t="s">
        <v>20852</v>
      </c>
      <c r="C9139" t="s">
        <v>1030</v>
      </c>
      <c r="G9139" t="s">
        <v>20853</v>
      </c>
      <c r="H9139" t="s">
        <v>20854</v>
      </c>
      <c r="I9139" t="s">
        <v>255</v>
      </c>
      <c r="J9139">
        <v>22025</v>
      </c>
      <c r="L9139" t="s">
        <v>23</v>
      </c>
      <c r="M9139" t="s">
        <v>20853</v>
      </c>
      <c r="N9139" t="s">
        <v>20854</v>
      </c>
      <c r="O9139" t="s">
        <v>255</v>
      </c>
      <c r="P9139">
        <v>22025</v>
      </c>
      <c r="R9139" t="s">
        <v>23</v>
      </c>
      <c r="S9139" s="1" t="s">
        <v>34218</v>
      </c>
    </row>
    <row r="9140" spans="1:19" x14ac:dyDescent="0.25">
      <c r="A9140">
        <v>101442666</v>
      </c>
      <c r="B9140" t="s">
        <v>20855</v>
      </c>
      <c r="C9140" t="s">
        <v>20178</v>
      </c>
      <c r="G9140" t="s">
        <v>20856</v>
      </c>
      <c r="H9140" t="s">
        <v>1765</v>
      </c>
      <c r="I9140" t="s">
        <v>84</v>
      </c>
      <c r="J9140">
        <v>98506</v>
      </c>
      <c r="K9140">
        <v>7008</v>
      </c>
      <c r="L9140" t="s">
        <v>23</v>
      </c>
      <c r="M9140" t="s">
        <v>20856</v>
      </c>
      <c r="N9140" t="s">
        <v>1765</v>
      </c>
      <c r="O9140" t="s">
        <v>84</v>
      </c>
      <c r="P9140">
        <v>98506</v>
      </c>
      <c r="Q9140">
        <v>7008</v>
      </c>
      <c r="R9140" t="s">
        <v>23</v>
      </c>
      <c r="S9140" s="1" t="s">
        <v>34218</v>
      </c>
    </row>
    <row r="9141" spans="1:19" x14ac:dyDescent="0.25">
      <c r="A9141">
        <v>100649743</v>
      </c>
      <c r="B9141" t="s">
        <v>20857</v>
      </c>
      <c r="C9141" t="s">
        <v>20858</v>
      </c>
      <c r="G9141" t="s">
        <v>20859</v>
      </c>
      <c r="H9141" t="s">
        <v>20860</v>
      </c>
      <c r="I9141" t="s">
        <v>1226</v>
      </c>
      <c r="J9141">
        <v>39183</v>
      </c>
      <c r="K9141">
        <v>2903</v>
      </c>
      <c r="L9141" t="s">
        <v>23</v>
      </c>
      <c r="M9141" t="s">
        <v>20859</v>
      </c>
      <c r="N9141" t="s">
        <v>20860</v>
      </c>
      <c r="O9141" t="s">
        <v>1226</v>
      </c>
      <c r="P9141">
        <v>39183</v>
      </c>
      <c r="Q9141">
        <v>2903</v>
      </c>
      <c r="R9141" t="s">
        <v>23</v>
      </c>
      <c r="S9141" s="1" t="s">
        <v>34218</v>
      </c>
    </row>
    <row r="9142" spans="1:19" x14ac:dyDescent="0.25">
      <c r="A9142">
        <v>101127824</v>
      </c>
      <c r="B9142" t="s">
        <v>744</v>
      </c>
      <c r="C9142" t="s">
        <v>2916</v>
      </c>
      <c r="G9142" t="s">
        <v>20861</v>
      </c>
      <c r="H9142" t="s">
        <v>1052</v>
      </c>
      <c r="I9142" t="s">
        <v>43</v>
      </c>
      <c r="J9142">
        <v>97321</v>
      </c>
      <c r="K9142">
        <v>1510</v>
      </c>
      <c r="L9142" t="s">
        <v>23</v>
      </c>
      <c r="M9142" t="s">
        <v>20861</v>
      </c>
      <c r="N9142" t="s">
        <v>1052</v>
      </c>
      <c r="O9142" t="s">
        <v>43</v>
      </c>
      <c r="P9142">
        <v>97321</v>
      </c>
      <c r="Q9142">
        <v>1510</v>
      </c>
      <c r="R9142" t="s">
        <v>23</v>
      </c>
      <c r="S9142" s="1" t="s">
        <v>34218</v>
      </c>
    </row>
    <row r="9143" spans="1:19" x14ac:dyDescent="0.25">
      <c r="A9143">
        <v>101453732</v>
      </c>
      <c r="B9143" t="s">
        <v>20862</v>
      </c>
      <c r="C9143" t="s">
        <v>890</v>
      </c>
      <c r="G9143" t="s">
        <v>20863</v>
      </c>
      <c r="H9143" t="s">
        <v>3880</v>
      </c>
      <c r="I9143" t="s">
        <v>22</v>
      </c>
      <c r="J9143">
        <v>95687</v>
      </c>
      <c r="K9143">
        <v>3524</v>
      </c>
      <c r="L9143" t="s">
        <v>23</v>
      </c>
      <c r="M9143" t="s">
        <v>20863</v>
      </c>
      <c r="N9143" t="s">
        <v>3880</v>
      </c>
      <c r="O9143" t="s">
        <v>22</v>
      </c>
      <c r="P9143">
        <v>95687</v>
      </c>
      <c r="Q9143">
        <v>3524</v>
      </c>
      <c r="R9143" t="s">
        <v>23</v>
      </c>
      <c r="S9143" s="1" t="s">
        <v>34218</v>
      </c>
    </row>
    <row r="9144" spans="1:19" x14ac:dyDescent="0.25">
      <c r="A9144">
        <v>101475801</v>
      </c>
      <c r="B9144" t="s">
        <v>20864</v>
      </c>
      <c r="C9144" t="s">
        <v>4854</v>
      </c>
      <c r="G9144" t="s">
        <v>20865</v>
      </c>
      <c r="H9144" t="s">
        <v>1835</v>
      </c>
      <c r="I9144" t="s">
        <v>33</v>
      </c>
      <c r="J9144">
        <v>19087</v>
      </c>
      <c r="K9144">
        <v>4917</v>
      </c>
      <c r="L9144" t="s">
        <v>23</v>
      </c>
      <c r="M9144" t="s">
        <v>20865</v>
      </c>
      <c r="N9144" t="s">
        <v>1835</v>
      </c>
      <c r="O9144" t="s">
        <v>33</v>
      </c>
      <c r="P9144">
        <v>19087</v>
      </c>
      <c r="Q9144">
        <v>4917</v>
      </c>
      <c r="R9144" t="s">
        <v>23</v>
      </c>
      <c r="S9144" s="1" t="s">
        <v>34218</v>
      </c>
    </row>
    <row r="9145" spans="1:19" x14ac:dyDescent="0.25">
      <c r="A9145">
        <v>101436532</v>
      </c>
      <c r="B9145" t="s">
        <v>20866</v>
      </c>
      <c r="C9145" t="s">
        <v>2343</v>
      </c>
      <c r="G9145" t="s">
        <v>20867</v>
      </c>
      <c r="H9145" t="s">
        <v>1412</v>
      </c>
      <c r="I9145" t="s">
        <v>52</v>
      </c>
      <c r="J9145">
        <v>32825</v>
      </c>
      <c r="K9145">
        <v>3747</v>
      </c>
      <c r="L9145" t="s">
        <v>23</v>
      </c>
      <c r="M9145" t="s">
        <v>20867</v>
      </c>
      <c r="N9145" t="s">
        <v>1412</v>
      </c>
      <c r="O9145" t="s">
        <v>52</v>
      </c>
      <c r="P9145">
        <v>32825</v>
      </c>
      <c r="Q9145">
        <v>3747</v>
      </c>
      <c r="R9145" t="s">
        <v>23</v>
      </c>
      <c r="S9145" s="1" t="s">
        <v>34218</v>
      </c>
    </row>
    <row r="9146" spans="1:19" x14ac:dyDescent="0.25">
      <c r="A9146">
        <v>101169454</v>
      </c>
      <c r="B9146" t="s">
        <v>402</v>
      </c>
      <c r="C9146" t="s">
        <v>158</v>
      </c>
      <c r="G9146" t="s">
        <v>20868</v>
      </c>
      <c r="H9146" t="s">
        <v>20869</v>
      </c>
      <c r="I9146" t="s">
        <v>135</v>
      </c>
      <c r="J9146">
        <v>60073</v>
      </c>
      <c r="K9146">
        <v>5249</v>
      </c>
      <c r="L9146" t="s">
        <v>23</v>
      </c>
      <c r="M9146" t="s">
        <v>20868</v>
      </c>
      <c r="N9146" t="s">
        <v>20869</v>
      </c>
      <c r="O9146" t="s">
        <v>135</v>
      </c>
      <c r="P9146">
        <v>60073</v>
      </c>
      <c r="Q9146">
        <v>5249</v>
      </c>
      <c r="R9146" t="s">
        <v>23</v>
      </c>
      <c r="S9146" s="1" t="s">
        <v>34218</v>
      </c>
    </row>
    <row r="9147" spans="1:19" x14ac:dyDescent="0.25">
      <c r="A9147">
        <v>101170418</v>
      </c>
      <c r="B9147" t="s">
        <v>4218</v>
      </c>
      <c r="C9147" t="s">
        <v>20870</v>
      </c>
      <c r="G9147" t="s">
        <v>20871</v>
      </c>
      <c r="H9147" t="s">
        <v>5908</v>
      </c>
      <c r="I9147" t="s">
        <v>52</v>
      </c>
      <c r="J9147">
        <v>32967</v>
      </c>
      <c r="K9147">
        <v>1826</v>
      </c>
      <c r="L9147" t="s">
        <v>23</v>
      </c>
      <c r="M9147" t="s">
        <v>20871</v>
      </c>
      <c r="N9147" t="s">
        <v>5908</v>
      </c>
      <c r="O9147" t="s">
        <v>52</v>
      </c>
      <c r="P9147">
        <v>32967</v>
      </c>
      <c r="Q9147">
        <v>1826</v>
      </c>
      <c r="R9147" t="s">
        <v>23</v>
      </c>
      <c r="S9147" s="1" t="s">
        <v>34218</v>
      </c>
    </row>
    <row r="9148" spans="1:19" x14ac:dyDescent="0.25">
      <c r="A9148">
        <v>101170515</v>
      </c>
      <c r="B9148" t="s">
        <v>1823</v>
      </c>
      <c r="C9148" t="s">
        <v>699</v>
      </c>
      <c r="G9148" t="s">
        <v>20872</v>
      </c>
      <c r="H9148" t="s">
        <v>6050</v>
      </c>
      <c r="I9148" t="s">
        <v>22</v>
      </c>
      <c r="J9148">
        <v>91745</v>
      </c>
      <c r="K9148">
        <v>5107</v>
      </c>
      <c r="L9148" t="s">
        <v>23</v>
      </c>
      <c r="M9148" t="s">
        <v>20872</v>
      </c>
      <c r="N9148" t="s">
        <v>6050</v>
      </c>
      <c r="O9148" t="s">
        <v>22</v>
      </c>
      <c r="P9148">
        <v>91745</v>
      </c>
      <c r="Q9148">
        <v>5107</v>
      </c>
      <c r="R9148" t="s">
        <v>23</v>
      </c>
      <c r="S9148" s="1" t="s">
        <v>34218</v>
      </c>
    </row>
    <row r="9149" spans="1:19" x14ac:dyDescent="0.25">
      <c r="A9149">
        <v>101167969</v>
      </c>
      <c r="B9149" t="s">
        <v>20873</v>
      </c>
      <c r="C9149" t="s">
        <v>20874</v>
      </c>
      <c r="G9149" t="s">
        <v>20875</v>
      </c>
      <c r="H9149" t="s">
        <v>6710</v>
      </c>
      <c r="I9149" t="s">
        <v>914</v>
      </c>
      <c r="J9149">
        <v>38135</v>
      </c>
      <c r="K9149">
        <v>3509</v>
      </c>
      <c r="L9149" t="s">
        <v>23</v>
      </c>
      <c r="M9149" t="s">
        <v>20875</v>
      </c>
      <c r="N9149" t="s">
        <v>6710</v>
      </c>
      <c r="O9149" t="s">
        <v>914</v>
      </c>
      <c r="P9149">
        <v>38135</v>
      </c>
      <c r="Q9149">
        <v>3509</v>
      </c>
      <c r="R9149" t="s">
        <v>23</v>
      </c>
      <c r="S9149" s="1" t="s">
        <v>34218</v>
      </c>
    </row>
    <row r="9150" spans="1:19" x14ac:dyDescent="0.25">
      <c r="A9150">
        <v>101170082</v>
      </c>
      <c r="B9150" t="s">
        <v>19580</v>
      </c>
      <c r="C9150" t="s">
        <v>5783</v>
      </c>
      <c r="G9150" t="s">
        <v>20876</v>
      </c>
      <c r="H9150" t="s">
        <v>1636</v>
      </c>
      <c r="I9150" t="s">
        <v>22</v>
      </c>
      <c r="J9150">
        <v>93906</v>
      </c>
      <c r="K9150">
        <v>8380</v>
      </c>
      <c r="L9150" t="s">
        <v>23</v>
      </c>
      <c r="M9150" t="s">
        <v>20876</v>
      </c>
      <c r="N9150" t="s">
        <v>1636</v>
      </c>
      <c r="O9150" t="s">
        <v>22</v>
      </c>
      <c r="P9150">
        <v>93906</v>
      </c>
      <c r="Q9150">
        <v>8380</v>
      </c>
      <c r="R9150" t="s">
        <v>23</v>
      </c>
      <c r="S9150" s="1" t="s">
        <v>34218</v>
      </c>
    </row>
    <row r="9151" spans="1:19" x14ac:dyDescent="0.25">
      <c r="A9151">
        <v>100515426</v>
      </c>
      <c r="B9151" t="s">
        <v>77</v>
      </c>
      <c r="C9151" t="s">
        <v>6384</v>
      </c>
      <c r="G9151" t="s">
        <v>20877</v>
      </c>
      <c r="H9151" t="s">
        <v>12065</v>
      </c>
      <c r="I9151" t="s">
        <v>135</v>
      </c>
      <c r="J9151" t="s">
        <v>20878</v>
      </c>
      <c r="K9151">
        <v>6858</v>
      </c>
      <c r="L9151" t="s">
        <v>23</v>
      </c>
      <c r="M9151" t="s">
        <v>20877</v>
      </c>
      <c r="N9151" t="s">
        <v>12065</v>
      </c>
      <c r="O9151" t="s">
        <v>135</v>
      </c>
      <c r="P9151" t="s">
        <v>20878</v>
      </c>
      <c r="Q9151">
        <v>6858</v>
      </c>
      <c r="R9151" t="s">
        <v>23</v>
      </c>
      <c r="S9151" s="1" t="s">
        <v>34218</v>
      </c>
    </row>
    <row r="9152" spans="1:19" x14ac:dyDescent="0.25">
      <c r="A9152">
        <v>100515939</v>
      </c>
      <c r="B9152" t="s">
        <v>14019</v>
      </c>
      <c r="C9152" t="s">
        <v>4491</v>
      </c>
      <c r="G9152" t="s">
        <v>20879</v>
      </c>
      <c r="H9152" t="s">
        <v>438</v>
      </c>
      <c r="I9152" t="s">
        <v>71</v>
      </c>
      <c r="J9152" t="s">
        <v>20880</v>
      </c>
      <c r="K9152">
        <v>6923</v>
      </c>
      <c r="L9152" t="s">
        <v>23</v>
      </c>
      <c r="M9152" t="s">
        <v>20879</v>
      </c>
      <c r="N9152" t="s">
        <v>438</v>
      </c>
      <c r="O9152" t="s">
        <v>71</v>
      </c>
      <c r="P9152" t="s">
        <v>20880</v>
      </c>
      <c r="Q9152">
        <v>6923</v>
      </c>
      <c r="R9152" t="s">
        <v>23</v>
      </c>
      <c r="S9152" s="1" t="s">
        <v>34218</v>
      </c>
    </row>
    <row r="9153" spans="1:19" x14ac:dyDescent="0.25">
      <c r="A9153">
        <v>101193900</v>
      </c>
      <c r="B9153" t="s">
        <v>6648</v>
      </c>
      <c r="C9153" t="s">
        <v>20881</v>
      </c>
      <c r="G9153" t="s">
        <v>20882</v>
      </c>
      <c r="H9153" t="s">
        <v>1765</v>
      </c>
      <c r="I9153" t="s">
        <v>84</v>
      </c>
      <c r="J9153" t="s">
        <v>20883</v>
      </c>
      <c r="K9153">
        <v>4960</v>
      </c>
      <c r="L9153" t="s">
        <v>23</v>
      </c>
      <c r="M9153" t="s">
        <v>20882</v>
      </c>
      <c r="N9153" t="s">
        <v>1765</v>
      </c>
      <c r="O9153" t="s">
        <v>84</v>
      </c>
      <c r="P9153" t="s">
        <v>20883</v>
      </c>
      <c r="Q9153">
        <v>4960</v>
      </c>
      <c r="R9153" t="s">
        <v>23</v>
      </c>
      <c r="S9153" s="1" t="s">
        <v>34218</v>
      </c>
    </row>
    <row r="9154" spans="1:19" x14ac:dyDescent="0.25">
      <c r="A9154">
        <v>101246923</v>
      </c>
      <c r="B9154" t="s">
        <v>15385</v>
      </c>
      <c r="C9154" t="s">
        <v>1873</v>
      </c>
      <c r="G9154" t="s">
        <v>20884</v>
      </c>
      <c r="H9154" t="s">
        <v>20885</v>
      </c>
      <c r="I9154" t="s">
        <v>84</v>
      </c>
      <c r="J9154" t="s">
        <v>20886</v>
      </c>
      <c r="K9154">
        <v>5106</v>
      </c>
      <c r="L9154" t="s">
        <v>23</v>
      </c>
      <c r="M9154" t="s">
        <v>20884</v>
      </c>
      <c r="N9154" t="s">
        <v>20885</v>
      </c>
      <c r="O9154" t="s">
        <v>84</v>
      </c>
      <c r="P9154" t="s">
        <v>20886</v>
      </c>
      <c r="Q9154">
        <v>5106</v>
      </c>
      <c r="R9154" t="s">
        <v>23</v>
      </c>
      <c r="S9154" s="1" t="s">
        <v>34218</v>
      </c>
    </row>
    <row r="9155" spans="1:19" x14ac:dyDescent="0.25">
      <c r="A9155">
        <v>100515799</v>
      </c>
      <c r="B9155" t="s">
        <v>2656</v>
      </c>
      <c r="C9155" t="s">
        <v>20887</v>
      </c>
      <c r="G9155" t="s">
        <v>20888</v>
      </c>
      <c r="H9155" t="s">
        <v>2376</v>
      </c>
      <c r="I9155" t="s">
        <v>236</v>
      </c>
      <c r="J9155" t="s">
        <v>20889</v>
      </c>
      <c r="K9155">
        <v>1505</v>
      </c>
      <c r="L9155" t="s">
        <v>23</v>
      </c>
      <c r="M9155" t="s">
        <v>20888</v>
      </c>
      <c r="N9155" t="s">
        <v>2376</v>
      </c>
      <c r="O9155" t="s">
        <v>236</v>
      </c>
      <c r="P9155" t="s">
        <v>20889</v>
      </c>
      <c r="Q9155">
        <v>1505</v>
      </c>
      <c r="R9155" t="s">
        <v>23</v>
      </c>
      <c r="S9155" s="1" t="s">
        <v>34218</v>
      </c>
    </row>
    <row r="9156" spans="1:19" x14ac:dyDescent="0.25">
      <c r="A9156">
        <v>101235597</v>
      </c>
      <c r="B9156" t="s">
        <v>333</v>
      </c>
      <c r="C9156" t="s">
        <v>1479</v>
      </c>
      <c r="G9156" t="s">
        <v>20890</v>
      </c>
      <c r="H9156" t="s">
        <v>393</v>
      </c>
      <c r="I9156" t="s">
        <v>71</v>
      </c>
      <c r="J9156" t="s">
        <v>20891</v>
      </c>
      <c r="K9156">
        <v>2741</v>
      </c>
      <c r="L9156" t="s">
        <v>23</v>
      </c>
      <c r="M9156" t="s">
        <v>20890</v>
      </c>
      <c r="N9156" t="s">
        <v>393</v>
      </c>
      <c r="O9156" t="s">
        <v>71</v>
      </c>
      <c r="P9156" t="s">
        <v>20891</v>
      </c>
      <c r="Q9156">
        <v>2741</v>
      </c>
      <c r="R9156" t="s">
        <v>23</v>
      </c>
      <c r="S9156" s="1" t="s">
        <v>34218</v>
      </c>
    </row>
    <row r="9157" spans="1:19" x14ac:dyDescent="0.25">
      <c r="A9157">
        <v>100841608</v>
      </c>
      <c r="B9157" t="s">
        <v>20892</v>
      </c>
      <c r="C9157" t="s">
        <v>286</v>
      </c>
      <c r="G9157" t="s">
        <v>20893</v>
      </c>
      <c r="H9157" t="s">
        <v>12935</v>
      </c>
      <c r="I9157" t="s">
        <v>140</v>
      </c>
      <c r="J9157" t="s">
        <v>20894</v>
      </c>
      <c r="K9157">
        <v>9016</v>
      </c>
      <c r="L9157" t="s">
        <v>23</v>
      </c>
      <c r="M9157" t="s">
        <v>20893</v>
      </c>
      <c r="N9157" t="s">
        <v>12935</v>
      </c>
      <c r="O9157" t="s">
        <v>140</v>
      </c>
      <c r="P9157" t="s">
        <v>20894</v>
      </c>
      <c r="Q9157">
        <v>9016</v>
      </c>
      <c r="R9157" t="s">
        <v>23</v>
      </c>
      <c r="S9157" s="1" t="s">
        <v>34218</v>
      </c>
    </row>
    <row r="9158" spans="1:19" x14ac:dyDescent="0.25">
      <c r="A9158">
        <v>100515839</v>
      </c>
      <c r="B9158" t="s">
        <v>8604</v>
      </c>
      <c r="C9158" t="s">
        <v>90</v>
      </c>
      <c r="G9158" t="s">
        <v>20895</v>
      </c>
      <c r="H9158" t="s">
        <v>1283</v>
      </c>
      <c r="I9158" t="s">
        <v>57</v>
      </c>
      <c r="J9158" t="s">
        <v>20896</v>
      </c>
      <c r="K9158">
        <v>9494</v>
      </c>
      <c r="L9158" t="s">
        <v>23</v>
      </c>
      <c r="M9158" t="s">
        <v>20895</v>
      </c>
      <c r="N9158" t="s">
        <v>1283</v>
      </c>
      <c r="O9158" t="s">
        <v>57</v>
      </c>
      <c r="P9158" t="s">
        <v>20896</v>
      </c>
      <c r="Q9158">
        <v>9494</v>
      </c>
      <c r="R9158" t="s">
        <v>23</v>
      </c>
      <c r="S9158" s="1" t="s">
        <v>34218</v>
      </c>
    </row>
    <row r="9159" spans="1:19" x14ac:dyDescent="0.25">
      <c r="A9159">
        <v>101408494</v>
      </c>
      <c r="B9159" t="s">
        <v>20897</v>
      </c>
      <c r="C9159" t="s">
        <v>579</v>
      </c>
      <c r="G9159" t="s">
        <v>20898</v>
      </c>
      <c r="H9159" t="s">
        <v>4893</v>
      </c>
      <c r="I9159" t="s">
        <v>22</v>
      </c>
      <c r="J9159">
        <v>94025</v>
      </c>
      <c r="L9159" t="s">
        <v>23</v>
      </c>
      <c r="M9159" t="s">
        <v>20898</v>
      </c>
      <c r="N9159" t="s">
        <v>4893</v>
      </c>
      <c r="O9159" t="s">
        <v>22</v>
      </c>
      <c r="P9159">
        <v>94025</v>
      </c>
      <c r="R9159" t="s">
        <v>23</v>
      </c>
      <c r="S9159" s="1" t="s">
        <v>34218</v>
      </c>
    </row>
    <row r="9160" spans="1:19" x14ac:dyDescent="0.25">
      <c r="A9160">
        <v>101103694</v>
      </c>
      <c r="B9160" t="s">
        <v>20899</v>
      </c>
      <c r="C9160" t="s">
        <v>11444</v>
      </c>
      <c r="G9160" t="s">
        <v>20900</v>
      </c>
      <c r="H9160" t="s">
        <v>569</v>
      </c>
      <c r="I9160" t="s">
        <v>187</v>
      </c>
      <c r="J9160">
        <v>55403</v>
      </c>
      <c r="K9160">
        <v>3351</v>
      </c>
      <c r="L9160" t="s">
        <v>23</v>
      </c>
      <c r="M9160" t="s">
        <v>20900</v>
      </c>
      <c r="N9160" t="s">
        <v>569</v>
      </c>
      <c r="O9160" t="s">
        <v>187</v>
      </c>
      <c r="P9160">
        <v>55403</v>
      </c>
      <c r="Q9160">
        <v>3351</v>
      </c>
      <c r="R9160" t="s">
        <v>23</v>
      </c>
      <c r="S9160" s="1" t="s">
        <v>34218</v>
      </c>
    </row>
    <row r="9161" spans="1:19" x14ac:dyDescent="0.25">
      <c r="A9161">
        <v>101465065</v>
      </c>
      <c r="B9161" t="s">
        <v>20901</v>
      </c>
      <c r="C9161" t="s">
        <v>7667</v>
      </c>
      <c r="G9161" t="s">
        <v>20902</v>
      </c>
      <c r="H9161" t="s">
        <v>567</v>
      </c>
      <c r="I9161" t="s">
        <v>446</v>
      </c>
      <c r="J9161">
        <v>27608</v>
      </c>
      <c r="K9161">
        <v>2723</v>
      </c>
      <c r="L9161" t="s">
        <v>23</v>
      </c>
      <c r="M9161" t="s">
        <v>20902</v>
      </c>
      <c r="N9161" t="s">
        <v>567</v>
      </c>
      <c r="O9161" t="s">
        <v>446</v>
      </c>
      <c r="P9161">
        <v>27608</v>
      </c>
      <c r="Q9161">
        <v>2723</v>
      </c>
      <c r="R9161" t="s">
        <v>23</v>
      </c>
      <c r="S9161" s="1" t="s">
        <v>34218</v>
      </c>
    </row>
    <row r="9162" spans="1:19" x14ac:dyDescent="0.25">
      <c r="A9162">
        <v>101197259</v>
      </c>
      <c r="B9162" t="s">
        <v>3953</v>
      </c>
      <c r="C9162" t="s">
        <v>846</v>
      </c>
      <c r="G9162" t="s">
        <v>20903</v>
      </c>
      <c r="H9162" t="s">
        <v>20904</v>
      </c>
      <c r="I9162" t="s">
        <v>187</v>
      </c>
      <c r="J9162">
        <v>55432</v>
      </c>
      <c r="K9162">
        <v>2855</v>
      </c>
      <c r="L9162" t="s">
        <v>23</v>
      </c>
      <c r="M9162" t="s">
        <v>20903</v>
      </c>
      <c r="N9162" t="s">
        <v>20904</v>
      </c>
      <c r="O9162" t="s">
        <v>187</v>
      </c>
      <c r="P9162">
        <v>55432</v>
      </c>
      <c r="Q9162">
        <v>2855</v>
      </c>
      <c r="R9162" t="s">
        <v>23</v>
      </c>
      <c r="S9162" s="1" t="s">
        <v>34218</v>
      </c>
    </row>
    <row r="9163" spans="1:19" x14ac:dyDescent="0.25">
      <c r="A9163">
        <v>101469004</v>
      </c>
      <c r="B9163" t="s">
        <v>3629</v>
      </c>
      <c r="C9163" t="s">
        <v>3258</v>
      </c>
      <c r="G9163" t="s">
        <v>20905</v>
      </c>
      <c r="H9163" t="s">
        <v>13416</v>
      </c>
      <c r="I9163" t="s">
        <v>84</v>
      </c>
      <c r="J9163">
        <v>98250</v>
      </c>
      <c r="K9163">
        <v>2934</v>
      </c>
      <c r="L9163" t="s">
        <v>23</v>
      </c>
      <c r="M9163" t="s">
        <v>20905</v>
      </c>
      <c r="N9163" t="s">
        <v>13416</v>
      </c>
      <c r="O9163" t="s">
        <v>84</v>
      </c>
      <c r="P9163">
        <v>98250</v>
      </c>
      <c r="Q9163">
        <v>2934</v>
      </c>
      <c r="R9163" t="s">
        <v>23</v>
      </c>
      <c r="S9163" s="1" t="s">
        <v>34218</v>
      </c>
    </row>
    <row r="9164" spans="1:19" x14ac:dyDescent="0.25">
      <c r="A9164">
        <v>101276650</v>
      </c>
      <c r="B9164" t="s">
        <v>7443</v>
      </c>
      <c r="C9164" t="s">
        <v>403</v>
      </c>
      <c r="G9164" t="s">
        <v>20906</v>
      </c>
      <c r="H9164" t="s">
        <v>11625</v>
      </c>
      <c r="I9164" t="s">
        <v>236</v>
      </c>
      <c r="J9164">
        <v>2030</v>
      </c>
      <c r="L9164" t="s">
        <v>23</v>
      </c>
      <c r="M9164" t="s">
        <v>20906</v>
      </c>
      <c r="N9164" t="s">
        <v>11625</v>
      </c>
      <c r="O9164" t="s">
        <v>236</v>
      </c>
      <c r="P9164">
        <v>2030</v>
      </c>
      <c r="R9164" t="s">
        <v>23</v>
      </c>
      <c r="S9164" s="1" t="s">
        <v>34218</v>
      </c>
    </row>
    <row r="9165" spans="1:19" x14ac:dyDescent="0.25">
      <c r="A9165">
        <v>100814404</v>
      </c>
      <c r="B9165" t="s">
        <v>20907</v>
      </c>
      <c r="C9165" t="s">
        <v>329</v>
      </c>
      <c r="G9165" t="s">
        <v>20908</v>
      </c>
      <c r="H9165" t="s">
        <v>14993</v>
      </c>
      <c r="I9165" t="s">
        <v>135</v>
      </c>
      <c r="J9165">
        <v>60101</v>
      </c>
      <c r="L9165" t="s">
        <v>23</v>
      </c>
      <c r="M9165" t="s">
        <v>20908</v>
      </c>
      <c r="N9165" t="s">
        <v>14993</v>
      </c>
      <c r="O9165" t="s">
        <v>135</v>
      </c>
      <c r="P9165">
        <v>60101</v>
      </c>
      <c r="R9165" t="s">
        <v>23</v>
      </c>
      <c r="S9165" s="1" t="s">
        <v>34218</v>
      </c>
    </row>
    <row r="9166" spans="1:19" x14ac:dyDescent="0.25">
      <c r="A9166">
        <v>100863300</v>
      </c>
      <c r="B9166" t="s">
        <v>20909</v>
      </c>
      <c r="C9166" t="s">
        <v>114</v>
      </c>
      <c r="G9166" t="s">
        <v>20910</v>
      </c>
      <c r="H9166" t="s">
        <v>11932</v>
      </c>
      <c r="I9166" t="s">
        <v>43</v>
      </c>
      <c r="J9166">
        <v>97222</v>
      </c>
      <c r="K9166">
        <v>3600</v>
      </c>
      <c r="L9166" t="s">
        <v>23</v>
      </c>
      <c r="M9166" t="s">
        <v>20910</v>
      </c>
      <c r="N9166" t="s">
        <v>11932</v>
      </c>
      <c r="O9166" t="s">
        <v>43</v>
      </c>
      <c r="P9166">
        <v>97222</v>
      </c>
      <c r="Q9166">
        <v>3600</v>
      </c>
      <c r="R9166" t="s">
        <v>23</v>
      </c>
      <c r="S9166" s="1" t="s">
        <v>34218</v>
      </c>
    </row>
    <row r="9167" spans="1:19" x14ac:dyDescent="0.25">
      <c r="A9167">
        <v>101066625</v>
      </c>
      <c r="B9167" t="s">
        <v>20911</v>
      </c>
      <c r="C9167" t="s">
        <v>9660</v>
      </c>
      <c r="G9167" t="s">
        <v>20912</v>
      </c>
      <c r="H9167" t="s">
        <v>650</v>
      </c>
      <c r="I9167" t="s">
        <v>22</v>
      </c>
      <c r="J9167">
        <v>95818</v>
      </c>
      <c r="K9167">
        <v>3701</v>
      </c>
      <c r="L9167" t="s">
        <v>23</v>
      </c>
      <c r="M9167" t="s">
        <v>20912</v>
      </c>
      <c r="N9167" t="s">
        <v>650</v>
      </c>
      <c r="O9167" t="s">
        <v>22</v>
      </c>
      <c r="P9167">
        <v>95818</v>
      </c>
      <c r="Q9167">
        <v>3701</v>
      </c>
      <c r="R9167" t="s">
        <v>23</v>
      </c>
      <c r="S9167" s="1" t="s">
        <v>34218</v>
      </c>
    </row>
    <row r="9168" spans="1:19" x14ac:dyDescent="0.25">
      <c r="A9168">
        <v>101263735</v>
      </c>
      <c r="B9168" t="s">
        <v>20913</v>
      </c>
      <c r="C9168" t="s">
        <v>2127</v>
      </c>
      <c r="G9168" t="s">
        <v>20914</v>
      </c>
      <c r="H9168" t="s">
        <v>5413</v>
      </c>
      <c r="I9168" t="s">
        <v>161</v>
      </c>
      <c r="J9168">
        <v>6032</v>
      </c>
      <c r="K9168">
        <v>2021</v>
      </c>
      <c r="L9168" t="s">
        <v>23</v>
      </c>
      <c r="M9168" t="s">
        <v>20914</v>
      </c>
      <c r="N9168" t="s">
        <v>5413</v>
      </c>
      <c r="O9168" t="s">
        <v>161</v>
      </c>
      <c r="P9168">
        <v>6032</v>
      </c>
      <c r="Q9168">
        <v>2021</v>
      </c>
      <c r="R9168" t="s">
        <v>23</v>
      </c>
      <c r="S9168" s="1" t="s">
        <v>34218</v>
      </c>
    </row>
    <row r="9169" spans="1:19" x14ac:dyDescent="0.25">
      <c r="A9169">
        <v>101467913</v>
      </c>
      <c r="B9169" t="s">
        <v>20915</v>
      </c>
      <c r="C9169" t="s">
        <v>4960</v>
      </c>
      <c r="G9169" t="s">
        <v>20916</v>
      </c>
      <c r="H9169" t="s">
        <v>9375</v>
      </c>
      <c r="I9169" t="s">
        <v>52</v>
      </c>
      <c r="J9169">
        <v>32952</v>
      </c>
      <c r="K9169">
        <v>6213</v>
      </c>
      <c r="L9169" t="s">
        <v>23</v>
      </c>
      <c r="M9169" t="s">
        <v>20916</v>
      </c>
      <c r="N9169" t="s">
        <v>9375</v>
      </c>
      <c r="O9169" t="s">
        <v>52</v>
      </c>
      <c r="P9169">
        <v>32952</v>
      </c>
      <c r="Q9169">
        <v>6213</v>
      </c>
      <c r="R9169" t="s">
        <v>23</v>
      </c>
      <c r="S9169" s="1" t="s">
        <v>34218</v>
      </c>
    </row>
    <row r="9170" spans="1:19" x14ac:dyDescent="0.25">
      <c r="A9170">
        <v>101296393</v>
      </c>
      <c r="B9170" t="s">
        <v>20917</v>
      </c>
      <c r="C9170" t="s">
        <v>86</v>
      </c>
      <c r="G9170" t="s">
        <v>20918</v>
      </c>
      <c r="H9170" t="s">
        <v>653</v>
      </c>
      <c r="I9170" t="s">
        <v>117</v>
      </c>
      <c r="J9170">
        <v>10012</v>
      </c>
      <c r="K9170">
        <v>1387</v>
      </c>
      <c r="L9170" t="s">
        <v>23</v>
      </c>
      <c r="M9170" t="s">
        <v>20918</v>
      </c>
      <c r="N9170" t="s">
        <v>653</v>
      </c>
      <c r="O9170" t="s">
        <v>117</v>
      </c>
      <c r="P9170">
        <v>10012</v>
      </c>
      <c r="Q9170">
        <v>1387</v>
      </c>
      <c r="R9170" t="s">
        <v>23</v>
      </c>
      <c r="S9170" s="1" t="s">
        <v>34218</v>
      </c>
    </row>
    <row r="9171" spans="1:19" x14ac:dyDescent="0.25">
      <c r="A9171">
        <v>101469627</v>
      </c>
      <c r="B9171" t="s">
        <v>20919</v>
      </c>
      <c r="C9171" t="s">
        <v>6572</v>
      </c>
      <c r="G9171" t="s">
        <v>20920</v>
      </c>
      <c r="H9171" t="s">
        <v>20921</v>
      </c>
      <c r="I9171" t="s">
        <v>38</v>
      </c>
      <c r="J9171">
        <v>79602</v>
      </c>
      <c r="K9171">
        <v>1933</v>
      </c>
      <c r="L9171" t="s">
        <v>23</v>
      </c>
      <c r="M9171" t="s">
        <v>20920</v>
      </c>
      <c r="N9171" t="s">
        <v>20921</v>
      </c>
      <c r="O9171" t="s">
        <v>38</v>
      </c>
      <c r="P9171">
        <v>79602</v>
      </c>
      <c r="Q9171">
        <v>1933</v>
      </c>
      <c r="R9171" t="s">
        <v>23</v>
      </c>
      <c r="S9171" s="1" t="s">
        <v>34218</v>
      </c>
    </row>
    <row r="9172" spans="1:19" x14ac:dyDescent="0.25">
      <c r="A9172">
        <v>101466244</v>
      </c>
      <c r="B9172" t="s">
        <v>20922</v>
      </c>
      <c r="C9172" t="s">
        <v>30</v>
      </c>
      <c r="G9172" t="s">
        <v>20923</v>
      </c>
      <c r="H9172" t="s">
        <v>11625</v>
      </c>
      <c r="I9172" t="s">
        <v>2310</v>
      </c>
      <c r="J9172">
        <v>19904</v>
      </c>
      <c r="K9172">
        <v>3105</v>
      </c>
      <c r="L9172" t="s">
        <v>23</v>
      </c>
      <c r="M9172" t="s">
        <v>20923</v>
      </c>
      <c r="N9172" t="s">
        <v>11625</v>
      </c>
      <c r="O9172" t="s">
        <v>2310</v>
      </c>
      <c r="P9172">
        <v>19904</v>
      </c>
      <c r="Q9172">
        <v>3105</v>
      </c>
      <c r="R9172" t="s">
        <v>23</v>
      </c>
      <c r="S9172" s="1" t="s">
        <v>34218</v>
      </c>
    </row>
    <row r="9173" spans="1:19" x14ac:dyDescent="0.25">
      <c r="A9173">
        <v>101469651</v>
      </c>
      <c r="B9173" t="s">
        <v>3800</v>
      </c>
      <c r="C9173" t="s">
        <v>543</v>
      </c>
      <c r="G9173" t="s">
        <v>3801</v>
      </c>
      <c r="H9173" t="s">
        <v>3802</v>
      </c>
      <c r="I9173" t="s">
        <v>22</v>
      </c>
      <c r="J9173">
        <v>93277</v>
      </c>
      <c r="K9173">
        <v>1586</v>
      </c>
      <c r="L9173" t="s">
        <v>23</v>
      </c>
      <c r="M9173" t="s">
        <v>3801</v>
      </c>
      <c r="N9173" t="s">
        <v>3802</v>
      </c>
      <c r="O9173" t="s">
        <v>22</v>
      </c>
      <c r="P9173">
        <v>93277</v>
      </c>
      <c r="Q9173">
        <v>1586</v>
      </c>
      <c r="R9173" t="s">
        <v>23</v>
      </c>
      <c r="S9173" s="1" t="s">
        <v>34218</v>
      </c>
    </row>
    <row r="9174" spans="1:19" x14ac:dyDescent="0.25">
      <c r="A9174">
        <v>101432511</v>
      </c>
      <c r="B9174" t="s">
        <v>2146</v>
      </c>
      <c r="C9174" t="s">
        <v>2512</v>
      </c>
      <c r="G9174" t="s">
        <v>20924</v>
      </c>
      <c r="H9174" t="s">
        <v>1877</v>
      </c>
      <c r="I9174" t="s">
        <v>43</v>
      </c>
      <c r="J9174">
        <v>97317</v>
      </c>
      <c r="K9174">
        <v>3328</v>
      </c>
      <c r="L9174" t="s">
        <v>23</v>
      </c>
      <c r="M9174" t="s">
        <v>20924</v>
      </c>
      <c r="N9174" t="s">
        <v>1877</v>
      </c>
      <c r="O9174" t="s">
        <v>43</v>
      </c>
      <c r="P9174">
        <v>97317</v>
      </c>
      <c r="Q9174">
        <v>3328</v>
      </c>
      <c r="R9174" t="s">
        <v>23</v>
      </c>
      <c r="S9174" s="1" t="s">
        <v>34218</v>
      </c>
    </row>
    <row r="9175" spans="1:19" x14ac:dyDescent="0.25">
      <c r="A9175">
        <v>100628847</v>
      </c>
      <c r="B9175" t="s">
        <v>20925</v>
      </c>
      <c r="C9175" t="s">
        <v>1658</v>
      </c>
      <c r="G9175" t="s">
        <v>20926</v>
      </c>
      <c r="H9175" t="s">
        <v>4810</v>
      </c>
      <c r="I9175" t="s">
        <v>236</v>
      </c>
      <c r="J9175">
        <v>1609</v>
      </c>
      <c r="K9175">
        <v>2151</v>
      </c>
      <c r="L9175" t="s">
        <v>23</v>
      </c>
      <c r="M9175" t="s">
        <v>20926</v>
      </c>
      <c r="N9175" t="s">
        <v>4810</v>
      </c>
      <c r="O9175" t="s">
        <v>236</v>
      </c>
      <c r="P9175">
        <v>1609</v>
      </c>
      <c r="Q9175">
        <v>2151</v>
      </c>
      <c r="R9175" t="s">
        <v>23</v>
      </c>
      <c r="S9175" s="1" t="s">
        <v>34218</v>
      </c>
    </row>
    <row r="9176" spans="1:19" x14ac:dyDescent="0.25">
      <c r="A9176">
        <v>101445090</v>
      </c>
      <c r="B9176" t="s">
        <v>11054</v>
      </c>
      <c r="C9176" t="s">
        <v>20927</v>
      </c>
      <c r="G9176" t="s">
        <v>20928</v>
      </c>
      <c r="H9176" t="s">
        <v>5190</v>
      </c>
      <c r="I9176" t="s">
        <v>22</v>
      </c>
      <c r="J9176">
        <v>94930</v>
      </c>
      <c r="L9176" t="s">
        <v>23</v>
      </c>
      <c r="M9176" t="s">
        <v>20928</v>
      </c>
      <c r="N9176" t="s">
        <v>5190</v>
      </c>
      <c r="O9176" t="s">
        <v>22</v>
      </c>
      <c r="P9176">
        <v>94930</v>
      </c>
      <c r="R9176" t="s">
        <v>23</v>
      </c>
      <c r="S9176" s="1" t="s">
        <v>34218</v>
      </c>
    </row>
    <row r="9177" spans="1:19" x14ac:dyDescent="0.25">
      <c r="A9177">
        <v>101340565</v>
      </c>
      <c r="B9177" t="s">
        <v>20929</v>
      </c>
      <c r="C9177" t="s">
        <v>1208</v>
      </c>
      <c r="G9177" t="s">
        <v>20930</v>
      </c>
      <c r="H9177" t="s">
        <v>412</v>
      </c>
      <c r="I9177" t="s">
        <v>117</v>
      </c>
      <c r="J9177">
        <v>11235</v>
      </c>
      <c r="K9177">
        <v>4142</v>
      </c>
      <c r="L9177" t="s">
        <v>23</v>
      </c>
      <c r="M9177" t="s">
        <v>20930</v>
      </c>
      <c r="N9177" t="s">
        <v>412</v>
      </c>
      <c r="O9177" t="s">
        <v>117</v>
      </c>
      <c r="P9177">
        <v>11235</v>
      </c>
      <c r="Q9177">
        <v>4142</v>
      </c>
      <c r="R9177" t="s">
        <v>23</v>
      </c>
      <c r="S9177" s="1" t="s">
        <v>34218</v>
      </c>
    </row>
    <row r="9178" spans="1:19" x14ac:dyDescent="0.25">
      <c r="A9178">
        <v>101347229</v>
      </c>
      <c r="B9178" t="s">
        <v>20931</v>
      </c>
      <c r="C9178" t="s">
        <v>773</v>
      </c>
      <c r="G9178" t="s">
        <v>20932</v>
      </c>
      <c r="H9178" t="s">
        <v>11333</v>
      </c>
      <c r="I9178" t="s">
        <v>84</v>
      </c>
      <c r="J9178">
        <v>98230</v>
      </c>
      <c r="K9178">
        <v>9353</v>
      </c>
      <c r="L9178" t="s">
        <v>23</v>
      </c>
      <c r="M9178" t="s">
        <v>20932</v>
      </c>
      <c r="N9178" t="s">
        <v>11333</v>
      </c>
      <c r="O9178" t="s">
        <v>84</v>
      </c>
      <c r="P9178">
        <v>98230</v>
      </c>
      <c r="Q9178">
        <v>9353</v>
      </c>
      <c r="R9178" t="s">
        <v>23</v>
      </c>
      <c r="S9178" s="1" t="s">
        <v>34218</v>
      </c>
    </row>
    <row r="9179" spans="1:19" x14ac:dyDescent="0.25">
      <c r="A9179">
        <v>101343869</v>
      </c>
      <c r="B9179" t="s">
        <v>20933</v>
      </c>
      <c r="C9179" t="s">
        <v>3442</v>
      </c>
      <c r="G9179" t="s">
        <v>20934</v>
      </c>
      <c r="H9179" t="s">
        <v>357</v>
      </c>
      <c r="I9179" t="s">
        <v>255</v>
      </c>
      <c r="J9179">
        <v>22310</v>
      </c>
      <c r="K9179">
        <v>2432</v>
      </c>
      <c r="L9179" t="s">
        <v>23</v>
      </c>
      <c r="M9179" t="s">
        <v>20934</v>
      </c>
      <c r="N9179" t="s">
        <v>357</v>
      </c>
      <c r="O9179" t="s">
        <v>255</v>
      </c>
      <c r="P9179">
        <v>22310</v>
      </c>
      <c r="Q9179">
        <v>2432</v>
      </c>
      <c r="R9179" t="s">
        <v>23</v>
      </c>
      <c r="S9179" s="1" t="s">
        <v>34218</v>
      </c>
    </row>
    <row r="9180" spans="1:19" x14ac:dyDescent="0.25">
      <c r="A9180">
        <v>101340698</v>
      </c>
      <c r="B9180" t="s">
        <v>20935</v>
      </c>
      <c r="C9180" t="s">
        <v>1581</v>
      </c>
      <c r="G9180" t="s">
        <v>20936</v>
      </c>
      <c r="H9180" t="s">
        <v>6136</v>
      </c>
      <c r="I9180" t="s">
        <v>22</v>
      </c>
      <c r="J9180">
        <v>92627</v>
      </c>
      <c r="K9180">
        <v>2824</v>
      </c>
      <c r="L9180" t="s">
        <v>23</v>
      </c>
      <c r="M9180" t="s">
        <v>20936</v>
      </c>
      <c r="N9180" t="s">
        <v>6136</v>
      </c>
      <c r="O9180" t="s">
        <v>22</v>
      </c>
      <c r="P9180">
        <v>92627</v>
      </c>
      <c r="Q9180">
        <v>2824</v>
      </c>
      <c r="R9180" t="s">
        <v>23</v>
      </c>
      <c r="S9180" s="1" t="s">
        <v>34218</v>
      </c>
    </row>
    <row r="9181" spans="1:19" x14ac:dyDescent="0.25">
      <c r="A9181">
        <v>101059227</v>
      </c>
      <c r="B9181" t="s">
        <v>561</v>
      </c>
      <c r="C9181" t="s">
        <v>119</v>
      </c>
      <c r="G9181" t="s">
        <v>20937</v>
      </c>
      <c r="H9181" t="s">
        <v>17261</v>
      </c>
      <c r="I9181" t="s">
        <v>236</v>
      </c>
      <c r="J9181">
        <v>2050</v>
      </c>
      <c r="K9181">
        <v>4742</v>
      </c>
      <c r="L9181" t="s">
        <v>23</v>
      </c>
      <c r="M9181" t="s">
        <v>20937</v>
      </c>
      <c r="N9181" t="s">
        <v>17261</v>
      </c>
      <c r="O9181" t="s">
        <v>236</v>
      </c>
      <c r="P9181">
        <v>2050</v>
      </c>
      <c r="Q9181">
        <v>4742</v>
      </c>
      <c r="R9181" t="s">
        <v>23</v>
      </c>
      <c r="S9181" s="1" t="s">
        <v>34218</v>
      </c>
    </row>
    <row r="9182" spans="1:19" x14ac:dyDescent="0.25">
      <c r="A9182">
        <v>101480355</v>
      </c>
      <c r="B9182" t="s">
        <v>20938</v>
      </c>
      <c r="C9182" t="s">
        <v>1327</v>
      </c>
      <c r="G9182" t="s">
        <v>20939</v>
      </c>
      <c r="H9182" t="s">
        <v>3169</v>
      </c>
      <c r="I9182" t="s">
        <v>84</v>
      </c>
      <c r="J9182">
        <v>98405</v>
      </c>
      <c r="K9182">
        <v>3539</v>
      </c>
      <c r="L9182" t="s">
        <v>23</v>
      </c>
      <c r="M9182" t="s">
        <v>20939</v>
      </c>
      <c r="N9182" t="s">
        <v>3169</v>
      </c>
      <c r="O9182" t="s">
        <v>84</v>
      </c>
      <c r="P9182">
        <v>98405</v>
      </c>
      <c r="Q9182">
        <v>3539</v>
      </c>
      <c r="R9182" t="s">
        <v>23</v>
      </c>
      <c r="S9182" s="1" t="s">
        <v>34218</v>
      </c>
    </row>
    <row r="9183" spans="1:19" x14ac:dyDescent="0.25">
      <c r="A9183">
        <v>101480358</v>
      </c>
      <c r="B9183" t="s">
        <v>1164</v>
      </c>
      <c r="C9183" t="s">
        <v>2802</v>
      </c>
      <c r="G9183" t="s">
        <v>20940</v>
      </c>
      <c r="H9183" t="s">
        <v>3169</v>
      </c>
      <c r="I9183" t="s">
        <v>84</v>
      </c>
      <c r="J9183">
        <v>98409</v>
      </c>
      <c r="K9183">
        <v>1861</v>
      </c>
      <c r="L9183" t="s">
        <v>23</v>
      </c>
      <c r="M9183" t="s">
        <v>20940</v>
      </c>
      <c r="N9183" t="s">
        <v>3169</v>
      </c>
      <c r="O9183" t="s">
        <v>84</v>
      </c>
      <c r="P9183">
        <v>98409</v>
      </c>
      <c r="Q9183">
        <v>1861</v>
      </c>
      <c r="R9183" t="s">
        <v>23</v>
      </c>
      <c r="S9183" s="1" t="s">
        <v>34218</v>
      </c>
    </row>
    <row r="9184" spans="1:19" x14ac:dyDescent="0.25">
      <c r="A9184">
        <v>101422458</v>
      </c>
      <c r="B9184" t="s">
        <v>20941</v>
      </c>
      <c r="C9184" t="s">
        <v>20942</v>
      </c>
      <c r="G9184" t="s">
        <v>20943</v>
      </c>
      <c r="H9184" t="s">
        <v>8711</v>
      </c>
      <c r="I9184" t="s">
        <v>135</v>
      </c>
      <c r="J9184">
        <v>60074</v>
      </c>
      <c r="K9184">
        <v>5780</v>
      </c>
      <c r="L9184" t="s">
        <v>23</v>
      </c>
      <c r="M9184" t="s">
        <v>20943</v>
      </c>
      <c r="N9184" t="s">
        <v>8711</v>
      </c>
      <c r="O9184" t="s">
        <v>135</v>
      </c>
      <c r="P9184">
        <v>60074</v>
      </c>
      <c r="Q9184">
        <v>5780</v>
      </c>
      <c r="R9184" t="s">
        <v>23</v>
      </c>
      <c r="S9184" s="1" t="s">
        <v>34218</v>
      </c>
    </row>
    <row r="9185" spans="1:19" x14ac:dyDescent="0.25">
      <c r="A9185">
        <v>101480440</v>
      </c>
      <c r="B9185" t="s">
        <v>20944</v>
      </c>
      <c r="C9185" t="s">
        <v>9784</v>
      </c>
      <c r="G9185" t="s">
        <v>20945</v>
      </c>
      <c r="H9185" t="s">
        <v>20946</v>
      </c>
      <c r="I9185" t="s">
        <v>914</v>
      </c>
      <c r="J9185">
        <v>38053</v>
      </c>
      <c r="K9185">
        <v>3155</v>
      </c>
      <c r="L9185" t="s">
        <v>23</v>
      </c>
      <c r="M9185" t="s">
        <v>20945</v>
      </c>
      <c r="N9185" t="s">
        <v>20946</v>
      </c>
      <c r="O9185" t="s">
        <v>914</v>
      </c>
      <c r="P9185">
        <v>38053</v>
      </c>
      <c r="Q9185">
        <v>3155</v>
      </c>
      <c r="R9185" t="s">
        <v>23</v>
      </c>
      <c r="S9185" s="1" t="s">
        <v>34218</v>
      </c>
    </row>
    <row r="9186" spans="1:19" x14ac:dyDescent="0.25">
      <c r="A9186">
        <v>101140571</v>
      </c>
      <c r="B9186" t="s">
        <v>20947</v>
      </c>
      <c r="C9186" t="s">
        <v>3609</v>
      </c>
      <c r="G9186" t="s">
        <v>20948</v>
      </c>
      <c r="H9186" t="s">
        <v>9271</v>
      </c>
      <c r="I9186" t="s">
        <v>43</v>
      </c>
      <c r="J9186">
        <v>97062</v>
      </c>
      <c r="K9186">
        <v>8947</v>
      </c>
      <c r="L9186" t="s">
        <v>23</v>
      </c>
      <c r="M9186" t="s">
        <v>20948</v>
      </c>
      <c r="N9186" t="s">
        <v>9271</v>
      </c>
      <c r="O9186" t="s">
        <v>43</v>
      </c>
      <c r="P9186">
        <v>97062</v>
      </c>
      <c r="Q9186">
        <v>8947</v>
      </c>
      <c r="R9186" t="s">
        <v>23</v>
      </c>
      <c r="S9186" s="1" t="s">
        <v>34218</v>
      </c>
    </row>
    <row r="9187" spans="1:19" x14ac:dyDescent="0.25">
      <c r="A9187">
        <v>101042229</v>
      </c>
      <c r="B9187" t="s">
        <v>1326</v>
      </c>
      <c r="C9187" t="s">
        <v>1506</v>
      </c>
      <c r="G9187" t="s">
        <v>20949</v>
      </c>
      <c r="H9187" t="s">
        <v>1766</v>
      </c>
      <c r="I9187" t="s">
        <v>22</v>
      </c>
      <c r="J9187" t="s">
        <v>20950</v>
      </c>
      <c r="K9187">
        <v>4731</v>
      </c>
      <c r="L9187" t="s">
        <v>23</v>
      </c>
      <c r="M9187" t="s">
        <v>20949</v>
      </c>
      <c r="N9187" t="s">
        <v>1766</v>
      </c>
      <c r="O9187" t="s">
        <v>22</v>
      </c>
      <c r="P9187" t="s">
        <v>20950</v>
      </c>
      <c r="Q9187">
        <v>4731</v>
      </c>
      <c r="R9187" t="s">
        <v>23</v>
      </c>
      <c r="S9187" s="1" t="s">
        <v>34218</v>
      </c>
    </row>
    <row r="9188" spans="1:19" x14ac:dyDescent="0.25">
      <c r="A9188">
        <v>101416687</v>
      </c>
      <c r="B9188" t="s">
        <v>20951</v>
      </c>
      <c r="C9188" t="s">
        <v>668</v>
      </c>
      <c r="G9188" t="s">
        <v>20952</v>
      </c>
      <c r="H9188" t="s">
        <v>6174</v>
      </c>
      <c r="I9188" t="s">
        <v>22</v>
      </c>
      <c r="J9188" t="s">
        <v>20953</v>
      </c>
      <c r="K9188">
        <v>2722</v>
      </c>
      <c r="L9188" t="s">
        <v>23</v>
      </c>
      <c r="M9188" t="s">
        <v>20952</v>
      </c>
      <c r="N9188" t="s">
        <v>6174</v>
      </c>
      <c r="O9188" t="s">
        <v>22</v>
      </c>
      <c r="P9188" t="s">
        <v>20953</v>
      </c>
      <c r="Q9188">
        <v>2722</v>
      </c>
      <c r="R9188" t="s">
        <v>23</v>
      </c>
      <c r="S9188" s="1" t="s">
        <v>34218</v>
      </c>
    </row>
    <row r="9189" spans="1:19" x14ac:dyDescent="0.25">
      <c r="A9189">
        <v>101444406</v>
      </c>
      <c r="B9189" t="s">
        <v>20954</v>
      </c>
      <c r="C9189" t="s">
        <v>20955</v>
      </c>
      <c r="G9189" t="s">
        <v>20956</v>
      </c>
      <c r="H9189" t="s">
        <v>20193</v>
      </c>
      <c r="I9189" t="s">
        <v>178</v>
      </c>
      <c r="J9189" t="s">
        <v>20957</v>
      </c>
      <c r="K9189">
        <v>9758</v>
      </c>
      <c r="L9189" t="s">
        <v>23</v>
      </c>
      <c r="M9189" t="s">
        <v>20956</v>
      </c>
      <c r="N9189" t="s">
        <v>20193</v>
      </c>
      <c r="O9189" t="s">
        <v>178</v>
      </c>
      <c r="P9189" t="s">
        <v>20957</v>
      </c>
      <c r="Q9189">
        <v>9758</v>
      </c>
      <c r="R9189" t="s">
        <v>23</v>
      </c>
      <c r="S9189" s="1" t="s">
        <v>34218</v>
      </c>
    </row>
    <row r="9190" spans="1:19" x14ac:dyDescent="0.25">
      <c r="A9190">
        <v>100661008</v>
      </c>
      <c r="B9190" t="s">
        <v>20958</v>
      </c>
      <c r="C9190" t="s">
        <v>20959</v>
      </c>
      <c r="G9190" t="s">
        <v>20960</v>
      </c>
      <c r="H9190" t="s">
        <v>1122</v>
      </c>
      <c r="I9190" t="s">
        <v>126</v>
      </c>
      <c r="J9190" t="s">
        <v>20961</v>
      </c>
      <c r="K9190">
        <v>6816</v>
      </c>
      <c r="L9190" t="s">
        <v>23</v>
      </c>
      <c r="M9190" t="s">
        <v>20960</v>
      </c>
      <c r="N9190" t="s">
        <v>1122</v>
      </c>
      <c r="O9190" t="s">
        <v>126</v>
      </c>
      <c r="P9190" t="s">
        <v>20961</v>
      </c>
      <c r="Q9190">
        <v>6816</v>
      </c>
      <c r="R9190" t="s">
        <v>23</v>
      </c>
      <c r="S9190" s="1" t="s">
        <v>34218</v>
      </c>
    </row>
    <row r="9191" spans="1:19" x14ac:dyDescent="0.25">
      <c r="A9191">
        <v>100815332</v>
      </c>
      <c r="B9191" t="s">
        <v>4106</v>
      </c>
      <c r="C9191" t="s">
        <v>1363</v>
      </c>
      <c r="G9191" t="s">
        <v>20962</v>
      </c>
      <c r="H9191" t="s">
        <v>5187</v>
      </c>
      <c r="I9191" t="s">
        <v>140</v>
      </c>
      <c r="J9191" t="s">
        <v>20963</v>
      </c>
      <c r="K9191">
        <v>9818</v>
      </c>
      <c r="L9191" t="s">
        <v>23</v>
      </c>
      <c r="M9191" t="s">
        <v>20962</v>
      </c>
      <c r="N9191" t="s">
        <v>5187</v>
      </c>
      <c r="O9191" t="s">
        <v>140</v>
      </c>
      <c r="P9191" t="s">
        <v>20963</v>
      </c>
      <c r="Q9191">
        <v>9818</v>
      </c>
      <c r="R9191" t="s">
        <v>23</v>
      </c>
      <c r="S9191" s="1" t="s">
        <v>34218</v>
      </c>
    </row>
    <row r="9192" spans="1:19" x14ac:dyDescent="0.25">
      <c r="A9192">
        <v>100680843</v>
      </c>
      <c r="B9192" t="s">
        <v>20531</v>
      </c>
      <c r="C9192" t="s">
        <v>1422</v>
      </c>
      <c r="F9192" t="str">
        <f>"5415312143"</f>
        <v>5415312143</v>
      </c>
      <c r="G9192" t="s">
        <v>20964</v>
      </c>
      <c r="H9192" t="s">
        <v>11980</v>
      </c>
      <c r="I9192" t="s">
        <v>43</v>
      </c>
      <c r="J9192" t="s">
        <v>20965</v>
      </c>
      <c r="K9192">
        <v>7793</v>
      </c>
      <c r="L9192" t="s">
        <v>23</v>
      </c>
      <c r="M9192" t="s">
        <v>20964</v>
      </c>
      <c r="N9192" t="s">
        <v>11980</v>
      </c>
      <c r="O9192" t="s">
        <v>43</v>
      </c>
      <c r="P9192" t="s">
        <v>20965</v>
      </c>
      <c r="Q9192">
        <v>7793</v>
      </c>
      <c r="R9192" t="s">
        <v>23</v>
      </c>
      <c r="S9192" s="1" t="s">
        <v>34218</v>
      </c>
    </row>
    <row r="9193" spans="1:19" x14ac:dyDescent="0.25">
      <c r="A9193">
        <v>101263613</v>
      </c>
      <c r="B9193" t="s">
        <v>20966</v>
      </c>
      <c r="C9193" t="s">
        <v>1327</v>
      </c>
      <c r="G9193" t="s">
        <v>20967</v>
      </c>
      <c r="H9193" t="s">
        <v>20968</v>
      </c>
      <c r="I9193" t="s">
        <v>161</v>
      </c>
      <c r="J9193" t="s">
        <v>20969</v>
      </c>
      <c r="K9193">
        <v>2907</v>
      </c>
      <c r="L9193" t="s">
        <v>23</v>
      </c>
      <c r="M9193" t="s">
        <v>20967</v>
      </c>
      <c r="N9193" t="s">
        <v>20968</v>
      </c>
      <c r="O9193" t="s">
        <v>161</v>
      </c>
      <c r="P9193" t="s">
        <v>20969</v>
      </c>
      <c r="Q9193">
        <v>2907</v>
      </c>
      <c r="R9193" t="s">
        <v>23</v>
      </c>
      <c r="S9193" s="1" t="s">
        <v>34218</v>
      </c>
    </row>
    <row r="9194" spans="1:19" x14ac:dyDescent="0.25">
      <c r="A9194">
        <v>101311259</v>
      </c>
      <c r="B9194" t="s">
        <v>20970</v>
      </c>
      <c r="C9194" t="s">
        <v>1327</v>
      </c>
      <c r="G9194" t="s">
        <v>20971</v>
      </c>
      <c r="H9194" t="s">
        <v>19079</v>
      </c>
      <c r="I9194" t="s">
        <v>28</v>
      </c>
      <c r="J9194" t="s">
        <v>20972</v>
      </c>
      <c r="K9194">
        <v>2760</v>
      </c>
      <c r="L9194" t="s">
        <v>23</v>
      </c>
      <c r="M9194" t="s">
        <v>20971</v>
      </c>
      <c r="N9194" t="s">
        <v>19079</v>
      </c>
      <c r="O9194" t="s">
        <v>28</v>
      </c>
      <c r="P9194" t="s">
        <v>20972</v>
      </c>
      <c r="Q9194">
        <v>2760</v>
      </c>
      <c r="R9194" t="s">
        <v>23</v>
      </c>
      <c r="S9194" s="1" t="s">
        <v>34218</v>
      </c>
    </row>
    <row r="9195" spans="1:19" x14ac:dyDescent="0.25">
      <c r="A9195">
        <v>101411694</v>
      </c>
      <c r="B9195" t="s">
        <v>9536</v>
      </c>
      <c r="C9195" t="s">
        <v>110</v>
      </c>
      <c r="G9195" t="s">
        <v>20973</v>
      </c>
      <c r="H9195" t="s">
        <v>79</v>
      </c>
      <c r="I9195" t="s">
        <v>22</v>
      </c>
      <c r="J9195" t="s">
        <v>20974</v>
      </c>
      <c r="K9195">
        <v>4820</v>
      </c>
      <c r="L9195" t="s">
        <v>23</v>
      </c>
      <c r="M9195" t="s">
        <v>20973</v>
      </c>
      <c r="N9195" t="s">
        <v>79</v>
      </c>
      <c r="O9195" t="s">
        <v>22</v>
      </c>
      <c r="P9195" t="s">
        <v>20974</v>
      </c>
      <c r="Q9195">
        <v>4820</v>
      </c>
      <c r="R9195" t="s">
        <v>23</v>
      </c>
      <c r="S9195" s="1" t="s">
        <v>34218</v>
      </c>
    </row>
    <row r="9196" spans="1:19" x14ac:dyDescent="0.25">
      <c r="A9196">
        <v>101304722</v>
      </c>
      <c r="B9196" t="s">
        <v>20975</v>
      </c>
      <c r="C9196" t="s">
        <v>644</v>
      </c>
      <c r="G9196" t="s">
        <v>20976</v>
      </c>
      <c r="H9196" t="s">
        <v>4832</v>
      </c>
      <c r="I9196" t="s">
        <v>33</v>
      </c>
      <c r="J9196" t="s">
        <v>20977</v>
      </c>
      <c r="K9196">
        <v>9663</v>
      </c>
      <c r="L9196" t="s">
        <v>23</v>
      </c>
      <c r="M9196" t="s">
        <v>20976</v>
      </c>
      <c r="N9196" t="s">
        <v>4832</v>
      </c>
      <c r="O9196" t="s">
        <v>33</v>
      </c>
      <c r="P9196" t="s">
        <v>20977</v>
      </c>
      <c r="Q9196">
        <v>9663</v>
      </c>
      <c r="R9196" t="s">
        <v>23</v>
      </c>
      <c r="S9196" s="1" t="s">
        <v>34218</v>
      </c>
    </row>
    <row r="9197" spans="1:19" x14ac:dyDescent="0.25">
      <c r="A9197">
        <v>101224177</v>
      </c>
      <c r="B9197" t="s">
        <v>20978</v>
      </c>
      <c r="C9197" t="s">
        <v>2151</v>
      </c>
      <c r="G9197" t="s">
        <v>20979</v>
      </c>
      <c r="H9197" t="s">
        <v>4326</v>
      </c>
      <c r="I9197" t="s">
        <v>71</v>
      </c>
      <c r="J9197" t="s">
        <v>20980</v>
      </c>
      <c r="K9197">
        <v>6712</v>
      </c>
      <c r="L9197" t="s">
        <v>23</v>
      </c>
      <c r="M9197" t="s">
        <v>20979</v>
      </c>
      <c r="N9197" t="s">
        <v>4326</v>
      </c>
      <c r="O9197" t="s">
        <v>71</v>
      </c>
      <c r="P9197" t="s">
        <v>20980</v>
      </c>
      <c r="Q9197">
        <v>6712</v>
      </c>
      <c r="R9197" t="s">
        <v>23</v>
      </c>
      <c r="S9197" s="1" t="s">
        <v>34218</v>
      </c>
    </row>
    <row r="9198" spans="1:19" x14ac:dyDescent="0.25">
      <c r="A9198">
        <v>100656879</v>
      </c>
      <c r="B9198" t="s">
        <v>20421</v>
      </c>
      <c r="C9198" t="s">
        <v>20981</v>
      </c>
      <c r="G9198" t="s">
        <v>20982</v>
      </c>
      <c r="H9198" t="s">
        <v>1325</v>
      </c>
      <c r="I9198" t="s">
        <v>22</v>
      </c>
      <c r="J9198" t="s">
        <v>20983</v>
      </c>
      <c r="K9198">
        <v>1148</v>
      </c>
      <c r="L9198" t="s">
        <v>23</v>
      </c>
      <c r="M9198" t="s">
        <v>20982</v>
      </c>
      <c r="N9198" t="s">
        <v>1325</v>
      </c>
      <c r="O9198" t="s">
        <v>22</v>
      </c>
      <c r="P9198" t="s">
        <v>20983</v>
      </c>
      <c r="Q9198">
        <v>1148</v>
      </c>
      <c r="R9198" t="s">
        <v>23</v>
      </c>
      <c r="S9198" s="1" t="s">
        <v>34218</v>
      </c>
    </row>
    <row r="9199" spans="1:19" x14ac:dyDescent="0.25">
      <c r="A9199">
        <v>100538388</v>
      </c>
      <c r="B9199" t="s">
        <v>20984</v>
      </c>
      <c r="C9199" t="s">
        <v>579</v>
      </c>
      <c r="G9199" t="s">
        <v>20985</v>
      </c>
      <c r="H9199" t="s">
        <v>19196</v>
      </c>
      <c r="I9199" t="s">
        <v>71</v>
      </c>
      <c r="J9199" t="s">
        <v>20986</v>
      </c>
      <c r="K9199">
        <v>9361</v>
      </c>
      <c r="L9199" t="s">
        <v>23</v>
      </c>
      <c r="M9199" t="s">
        <v>20985</v>
      </c>
      <c r="N9199" t="s">
        <v>19196</v>
      </c>
      <c r="O9199" t="s">
        <v>71</v>
      </c>
      <c r="P9199" t="s">
        <v>20986</v>
      </c>
      <c r="Q9199">
        <v>9361</v>
      </c>
      <c r="R9199" t="s">
        <v>23</v>
      </c>
      <c r="S9199" s="1" t="s">
        <v>34218</v>
      </c>
    </row>
    <row r="9200" spans="1:19" x14ac:dyDescent="0.25">
      <c r="A9200">
        <v>101000775</v>
      </c>
      <c r="B9200" t="s">
        <v>20987</v>
      </c>
      <c r="C9200" t="s">
        <v>14597</v>
      </c>
      <c r="G9200" t="s">
        <v>20988</v>
      </c>
      <c r="H9200" t="s">
        <v>2762</v>
      </c>
      <c r="I9200" t="s">
        <v>43</v>
      </c>
      <c r="J9200" t="s">
        <v>20989</v>
      </c>
      <c r="K9200">
        <v>9036</v>
      </c>
      <c r="L9200" t="s">
        <v>23</v>
      </c>
      <c r="M9200" t="s">
        <v>20988</v>
      </c>
      <c r="N9200" t="s">
        <v>2762</v>
      </c>
      <c r="O9200" t="s">
        <v>43</v>
      </c>
      <c r="P9200" t="s">
        <v>20989</v>
      </c>
      <c r="Q9200">
        <v>9036</v>
      </c>
      <c r="R9200" t="s">
        <v>23</v>
      </c>
      <c r="S9200" s="1" t="s">
        <v>34218</v>
      </c>
    </row>
    <row r="9201" spans="1:19" x14ac:dyDescent="0.25">
      <c r="A9201">
        <v>101175019</v>
      </c>
      <c r="B9201" t="s">
        <v>17358</v>
      </c>
      <c r="C9201" t="s">
        <v>2127</v>
      </c>
      <c r="G9201" t="s">
        <v>20990</v>
      </c>
      <c r="H9201" t="s">
        <v>17360</v>
      </c>
      <c r="I9201" t="s">
        <v>71</v>
      </c>
      <c r="J9201" t="s">
        <v>20991</v>
      </c>
      <c r="K9201">
        <v>1906</v>
      </c>
      <c r="L9201" t="s">
        <v>23</v>
      </c>
      <c r="M9201" t="s">
        <v>20990</v>
      </c>
      <c r="N9201" t="s">
        <v>17360</v>
      </c>
      <c r="O9201" t="s">
        <v>71</v>
      </c>
      <c r="P9201" t="s">
        <v>20991</v>
      </c>
      <c r="Q9201">
        <v>1906</v>
      </c>
      <c r="R9201" t="s">
        <v>23</v>
      </c>
      <c r="S9201" s="1" t="s">
        <v>34218</v>
      </c>
    </row>
    <row r="9202" spans="1:19" x14ac:dyDescent="0.25">
      <c r="A9202">
        <v>101254656</v>
      </c>
      <c r="B9202" t="s">
        <v>20992</v>
      </c>
      <c r="C9202" t="s">
        <v>644</v>
      </c>
      <c r="G9202" t="s">
        <v>20993</v>
      </c>
      <c r="H9202" t="s">
        <v>88</v>
      </c>
      <c r="I9202" t="s">
        <v>22</v>
      </c>
      <c r="J9202" t="s">
        <v>20994</v>
      </c>
      <c r="K9202">
        <v>2435</v>
      </c>
      <c r="L9202" t="s">
        <v>23</v>
      </c>
      <c r="M9202" t="s">
        <v>20993</v>
      </c>
      <c r="N9202" t="s">
        <v>88</v>
      </c>
      <c r="O9202" t="s">
        <v>22</v>
      </c>
      <c r="P9202" t="s">
        <v>20994</v>
      </c>
      <c r="Q9202">
        <v>2435</v>
      </c>
      <c r="R9202" t="s">
        <v>23</v>
      </c>
      <c r="S9202" s="1" t="s">
        <v>34218</v>
      </c>
    </row>
    <row r="9203" spans="1:19" x14ac:dyDescent="0.25">
      <c r="A9203">
        <v>101325394</v>
      </c>
      <c r="B9203" t="s">
        <v>9171</v>
      </c>
      <c r="C9203" t="s">
        <v>1647</v>
      </c>
      <c r="G9203" t="s">
        <v>20995</v>
      </c>
      <c r="H9203" t="s">
        <v>2335</v>
      </c>
      <c r="I9203" t="s">
        <v>22</v>
      </c>
      <c r="J9203" t="s">
        <v>20996</v>
      </c>
      <c r="K9203">
        <v>4040</v>
      </c>
      <c r="L9203" t="s">
        <v>23</v>
      </c>
      <c r="M9203" t="s">
        <v>20995</v>
      </c>
      <c r="N9203" t="s">
        <v>2335</v>
      </c>
      <c r="O9203" t="s">
        <v>22</v>
      </c>
      <c r="P9203" t="s">
        <v>20996</v>
      </c>
      <c r="Q9203">
        <v>4040</v>
      </c>
      <c r="R9203" t="s">
        <v>23</v>
      </c>
      <c r="S9203" s="1" t="s">
        <v>34218</v>
      </c>
    </row>
    <row r="9204" spans="1:19" x14ac:dyDescent="0.25">
      <c r="A9204">
        <v>101311508</v>
      </c>
      <c r="B9204" t="s">
        <v>19407</v>
      </c>
      <c r="C9204" t="s">
        <v>342</v>
      </c>
      <c r="G9204" t="s">
        <v>20997</v>
      </c>
      <c r="H9204" t="s">
        <v>20998</v>
      </c>
      <c r="I9204" t="s">
        <v>1482</v>
      </c>
      <c r="J9204" t="s">
        <v>20999</v>
      </c>
      <c r="K9204">
        <v>4716</v>
      </c>
      <c r="L9204" t="s">
        <v>23</v>
      </c>
      <c r="M9204" t="s">
        <v>20997</v>
      </c>
      <c r="N9204" t="s">
        <v>20998</v>
      </c>
      <c r="O9204" t="s">
        <v>1482</v>
      </c>
      <c r="P9204" t="s">
        <v>20999</v>
      </c>
      <c r="Q9204">
        <v>4716</v>
      </c>
      <c r="R9204" t="s">
        <v>23</v>
      </c>
      <c r="S9204" s="1" t="s">
        <v>34218</v>
      </c>
    </row>
    <row r="9205" spans="1:19" x14ac:dyDescent="0.25">
      <c r="A9205">
        <v>101301004</v>
      </c>
      <c r="B9205" t="s">
        <v>21000</v>
      </c>
      <c r="C9205" t="s">
        <v>21001</v>
      </c>
      <c r="G9205" t="s">
        <v>21002</v>
      </c>
      <c r="H9205" t="s">
        <v>198</v>
      </c>
      <c r="I9205" t="s">
        <v>22</v>
      </c>
      <c r="J9205" t="s">
        <v>21003</v>
      </c>
      <c r="K9205">
        <v>3637</v>
      </c>
      <c r="L9205" t="s">
        <v>23</v>
      </c>
      <c r="M9205" t="s">
        <v>21002</v>
      </c>
      <c r="N9205" t="s">
        <v>198</v>
      </c>
      <c r="O9205" t="s">
        <v>22</v>
      </c>
      <c r="P9205" t="s">
        <v>21003</v>
      </c>
      <c r="Q9205">
        <v>3637</v>
      </c>
      <c r="R9205" t="s">
        <v>23</v>
      </c>
      <c r="S9205" s="1" t="s">
        <v>34218</v>
      </c>
    </row>
    <row r="9206" spans="1:19" x14ac:dyDescent="0.25">
      <c r="A9206">
        <v>101323640</v>
      </c>
      <c r="B9206" t="s">
        <v>21004</v>
      </c>
      <c r="C9206" t="s">
        <v>3460</v>
      </c>
      <c r="G9206" t="s">
        <v>21005</v>
      </c>
      <c r="H9206" t="s">
        <v>13452</v>
      </c>
      <c r="I9206" t="s">
        <v>178</v>
      </c>
      <c r="J9206" t="s">
        <v>21006</v>
      </c>
      <c r="K9206">
        <v>2258</v>
      </c>
      <c r="L9206" t="s">
        <v>23</v>
      </c>
      <c r="M9206" t="s">
        <v>21005</v>
      </c>
      <c r="N9206" t="s">
        <v>13452</v>
      </c>
      <c r="O9206" t="s">
        <v>178</v>
      </c>
      <c r="P9206" t="s">
        <v>21006</v>
      </c>
      <c r="Q9206">
        <v>2258</v>
      </c>
      <c r="R9206" t="s">
        <v>23</v>
      </c>
      <c r="S9206" s="1" t="s">
        <v>34218</v>
      </c>
    </row>
    <row r="9207" spans="1:19" x14ac:dyDescent="0.25">
      <c r="A9207">
        <v>101392388</v>
      </c>
      <c r="B9207" t="s">
        <v>1376</v>
      </c>
      <c r="C9207" t="s">
        <v>1117</v>
      </c>
      <c r="G9207" t="s">
        <v>21007</v>
      </c>
      <c r="H9207" t="s">
        <v>1604</v>
      </c>
      <c r="I9207" t="s">
        <v>126</v>
      </c>
      <c r="J9207" t="s">
        <v>21008</v>
      </c>
      <c r="K9207">
        <v>2080</v>
      </c>
      <c r="L9207" t="s">
        <v>23</v>
      </c>
      <c r="M9207" t="s">
        <v>21007</v>
      </c>
      <c r="N9207" t="s">
        <v>1604</v>
      </c>
      <c r="O9207" t="s">
        <v>126</v>
      </c>
      <c r="P9207" t="s">
        <v>21008</v>
      </c>
      <c r="Q9207">
        <v>2080</v>
      </c>
      <c r="R9207" t="s">
        <v>23</v>
      </c>
      <c r="S9207" s="1" t="s">
        <v>34218</v>
      </c>
    </row>
    <row r="9208" spans="1:19" x14ac:dyDescent="0.25">
      <c r="A9208">
        <v>100516061</v>
      </c>
      <c r="B9208" t="s">
        <v>21009</v>
      </c>
      <c r="C9208" t="s">
        <v>30</v>
      </c>
      <c r="G9208" t="s">
        <v>21010</v>
      </c>
      <c r="H9208" t="s">
        <v>14043</v>
      </c>
      <c r="I9208" t="s">
        <v>84</v>
      </c>
      <c r="J9208" t="s">
        <v>21011</v>
      </c>
      <c r="K9208">
        <v>3315</v>
      </c>
      <c r="L9208" t="s">
        <v>23</v>
      </c>
      <c r="M9208" t="s">
        <v>21010</v>
      </c>
      <c r="N9208" t="s">
        <v>14043</v>
      </c>
      <c r="O9208" t="s">
        <v>84</v>
      </c>
      <c r="P9208" t="s">
        <v>21011</v>
      </c>
      <c r="Q9208">
        <v>3315</v>
      </c>
      <c r="R9208" t="s">
        <v>23</v>
      </c>
      <c r="S9208" s="1" t="s">
        <v>34218</v>
      </c>
    </row>
    <row r="9209" spans="1:19" x14ac:dyDescent="0.25">
      <c r="A9209">
        <v>101419212</v>
      </c>
      <c r="B9209" t="s">
        <v>12257</v>
      </c>
      <c r="C9209" t="s">
        <v>3566</v>
      </c>
      <c r="G9209" t="s">
        <v>21012</v>
      </c>
      <c r="H9209" t="s">
        <v>174</v>
      </c>
      <c r="I9209" t="s">
        <v>22</v>
      </c>
      <c r="J9209" t="s">
        <v>21013</v>
      </c>
      <c r="K9209">
        <v>1801</v>
      </c>
      <c r="L9209" t="s">
        <v>23</v>
      </c>
      <c r="M9209" t="s">
        <v>21012</v>
      </c>
      <c r="N9209" t="s">
        <v>174</v>
      </c>
      <c r="O9209" t="s">
        <v>22</v>
      </c>
      <c r="P9209" t="s">
        <v>21013</v>
      </c>
      <c r="Q9209">
        <v>1801</v>
      </c>
      <c r="R9209" t="s">
        <v>23</v>
      </c>
      <c r="S9209" s="1" t="s">
        <v>34218</v>
      </c>
    </row>
    <row r="9210" spans="1:19" x14ac:dyDescent="0.25">
      <c r="A9210">
        <v>101197181</v>
      </c>
      <c r="B9210" t="s">
        <v>276</v>
      </c>
      <c r="C9210" t="s">
        <v>40</v>
      </c>
      <c r="G9210" t="s">
        <v>21014</v>
      </c>
      <c r="H9210" t="s">
        <v>8113</v>
      </c>
      <c r="I9210" t="s">
        <v>33</v>
      </c>
      <c r="J9210" t="s">
        <v>21015</v>
      </c>
      <c r="K9210">
        <v>4612</v>
      </c>
      <c r="L9210" t="s">
        <v>23</v>
      </c>
      <c r="M9210" t="s">
        <v>21014</v>
      </c>
      <c r="N9210" t="s">
        <v>8113</v>
      </c>
      <c r="O9210" t="s">
        <v>33</v>
      </c>
      <c r="P9210" t="s">
        <v>21015</v>
      </c>
      <c r="Q9210">
        <v>4612</v>
      </c>
      <c r="R9210" t="s">
        <v>23</v>
      </c>
      <c r="S9210" s="1" t="s">
        <v>34218</v>
      </c>
    </row>
    <row r="9211" spans="1:19" x14ac:dyDescent="0.25">
      <c r="A9211">
        <v>101311024</v>
      </c>
      <c r="B9211" t="s">
        <v>5769</v>
      </c>
      <c r="C9211" t="s">
        <v>2127</v>
      </c>
      <c r="G9211" t="s">
        <v>21016</v>
      </c>
      <c r="H9211" t="s">
        <v>869</v>
      </c>
      <c r="I9211" t="s">
        <v>52</v>
      </c>
      <c r="J9211" t="s">
        <v>21017</v>
      </c>
      <c r="K9211">
        <v>1012</v>
      </c>
      <c r="L9211" t="s">
        <v>23</v>
      </c>
      <c r="M9211" t="s">
        <v>21016</v>
      </c>
      <c r="N9211" t="s">
        <v>869</v>
      </c>
      <c r="O9211" t="s">
        <v>52</v>
      </c>
      <c r="P9211" t="s">
        <v>21017</v>
      </c>
      <c r="Q9211">
        <v>1012</v>
      </c>
      <c r="R9211" t="s">
        <v>23</v>
      </c>
      <c r="S9211" s="1" t="s">
        <v>34218</v>
      </c>
    </row>
    <row r="9212" spans="1:19" x14ac:dyDescent="0.25">
      <c r="A9212">
        <v>101257344</v>
      </c>
      <c r="B9212" t="s">
        <v>21018</v>
      </c>
      <c r="C9212" t="s">
        <v>483</v>
      </c>
      <c r="G9212" t="s">
        <v>21019</v>
      </c>
      <c r="H9212" t="s">
        <v>2391</v>
      </c>
      <c r="I9212" t="s">
        <v>43</v>
      </c>
      <c r="J9212" t="s">
        <v>21020</v>
      </c>
      <c r="K9212">
        <v>2259</v>
      </c>
      <c r="L9212" t="s">
        <v>23</v>
      </c>
      <c r="M9212" t="s">
        <v>21019</v>
      </c>
      <c r="N9212" t="s">
        <v>2391</v>
      </c>
      <c r="O9212" t="s">
        <v>43</v>
      </c>
      <c r="P9212" t="s">
        <v>21020</v>
      </c>
      <c r="Q9212">
        <v>2259</v>
      </c>
      <c r="R9212" t="s">
        <v>23</v>
      </c>
      <c r="S9212" s="1" t="s">
        <v>34218</v>
      </c>
    </row>
    <row r="9213" spans="1:19" x14ac:dyDescent="0.25">
      <c r="A9213">
        <v>101294424</v>
      </c>
      <c r="B9213" t="s">
        <v>21021</v>
      </c>
      <c r="C9213" t="s">
        <v>21022</v>
      </c>
      <c r="G9213" t="s">
        <v>21023</v>
      </c>
      <c r="H9213" t="s">
        <v>438</v>
      </c>
      <c r="I9213" t="s">
        <v>71</v>
      </c>
      <c r="J9213" t="s">
        <v>21024</v>
      </c>
      <c r="K9213">
        <v>8604</v>
      </c>
      <c r="L9213" t="s">
        <v>23</v>
      </c>
      <c r="M9213" t="s">
        <v>21023</v>
      </c>
      <c r="N9213" t="s">
        <v>438</v>
      </c>
      <c r="O9213" t="s">
        <v>71</v>
      </c>
      <c r="P9213" t="s">
        <v>21024</v>
      </c>
      <c r="Q9213">
        <v>8604</v>
      </c>
      <c r="R9213" t="s">
        <v>23</v>
      </c>
      <c r="S9213" s="1" t="s">
        <v>34218</v>
      </c>
    </row>
    <row r="9214" spans="1:19" x14ac:dyDescent="0.25">
      <c r="A9214">
        <v>101280745</v>
      </c>
      <c r="B9214" t="s">
        <v>216</v>
      </c>
      <c r="C9214" t="s">
        <v>1873</v>
      </c>
      <c r="G9214" t="s">
        <v>21025</v>
      </c>
      <c r="H9214" t="s">
        <v>573</v>
      </c>
      <c r="I9214" t="s">
        <v>33</v>
      </c>
      <c r="J9214" t="s">
        <v>21026</v>
      </c>
      <c r="K9214">
        <v>1403</v>
      </c>
      <c r="L9214" t="s">
        <v>23</v>
      </c>
      <c r="M9214" t="s">
        <v>21025</v>
      </c>
      <c r="N9214" t="s">
        <v>573</v>
      </c>
      <c r="O9214" t="s">
        <v>33</v>
      </c>
      <c r="P9214" t="s">
        <v>21026</v>
      </c>
      <c r="Q9214">
        <v>1403</v>
      </c>
      <c r="R9214" t="s">
        <v>23</v>
      </c>
      <c r="S9214" s="1" t="s">
        <v>34218</v>
      </c>
    </row>
    <row r="9215" spans="1:19" x14ac:dyDescent="0.25">
      <c r="A9215">
        <v>101283652</v>
      </c>
      <c r="B9215" t="s">
        <v>21027</v>
      </c>
      <c r="C9215" t="s">
        <v>1429</v>
      </c>
      <c r="G9215" t="s">
        <v>21028</v>
      </c>
      <c r="H9215" t="s">
        <v>1604</v>
      </c>
      <c r="I9215" t="s">
        <v>1482</v>
      </c>
      <c r="J9215" t="s">
        <v>21029</v>
      </c>
      <c r="K9215">
        <v>3317</v>
      </c>
      <c r="L9215" t="s">
        <v>23</v>
      </c>
      <c r="M9215" t="s">
        <v>21028</v>
      </c>
      <c r="N9215" t="s">
        <v>1604</v>
      </c>
      <c r="O9215" t="s">
        <v>1482</v>
      </c>
      <c r="P9215" t="s">
        <v>21029</v>
      </c>
      <c r="Q9215">
        <v>3317</v>
      </c>
      <c r="R9215" t="s">
        <v>23</v>
      </c>
      <c r="S9215" s="1" t="s">
        <v>34218</v>
      </c>
    </row>
    <row r="9216" spans="1:19" x14ac:dyDescent="0.25">
      <c r="A9216">
        <v>101450485</v>
      </c>
      <c r="B9216" t="s">
        <v>21030</v>
      </c>
      <c r="C9216" t="s">
        <v>535</v>
      </c>
      <c r="G9216" t="s">
        <v>21031</v>
      </c>
      <c r="H9216" t="s">
        <v>4162</v>
      </c>
      <c r="I9216" t="s">
        <v>43</v>
      </c>
      <c r="J9216">
        <v>97123</v>
      </c>
      <c r="K9216">
        <v>6877</v>
      </c>
      <c r="L9216" t="s">
        <v>23</v>
      </c>
      <c r="M9216" t="s">
        <v>21031</v>
      </c>
      <c r="N9216" t="s">
        <v>4162</v>
      </c>
      <c r="O9216" t="s">
        <v>43</v>
      </c>
      <c r="P9216">
        <v>97123</v>
      </c>
      <c r="Q9216">
        <v>6877</v>
      </c>
      <c r="R9216" t="s">
        <v>23</v>
      </c>
      <c r="S9216" s="1" t="s">
        <v>34218</v>
      </c>
    </row>
    <row r="9217" spans="1:19" x14ac:dyDescent="0.25">
      <c r="A9217">
        <v>100740987</v>
      </c>
      <c r="B9217" t="s">
        <v>21032</v>
      </c>
      <c r="C9217" t="s">
        <v>180</v>
      </c>
      <c r="G9217" t="s">
        <v>21033</v>
      </c>
      <c r="H9217" t="s">
        <v>1431</v>
      </c>
      <c r="I9217" t="s">
        <v>639</v>
      </c>
      <c r="J9217">
        <v>87508</v>
      </c>
      <c r="K9217">
        <v>8732</v>
      </c>
      <c r="L9217" t="s">
        <v>23</v>
      </c>
      <c r="M9217" t="s">
        <v>21033</v>
      </c>
      <c r="N9217" t="s">
        <v>1431</v>
      </c>
      <c r="O9217" t="s">
        <v>639</v>
      </c>
      <c r="P9217">
        <v>87508</v>
      </c>
      <c r="Q9217">
        <v>8732</v>
      </c>
      <c r="R9217" t="s">
        <v>23</v>
      </c>
      <c r="S9217" s="1" t="s">
        <v>34218</v>
      </c>
    </row>
    <row r="9218" spans="1:19" x14ac:dyDescent="0.25">
      <c r="A9218">
        <v>101229912</v>
      </c>
      <c r="B9218" t="s">
        <v>21034</v>
      </c>
      <c r="C9218" t="s">
        <v>5836</v>
      </c>
      <c r="G9218" t="s">
        <v>21035</v>
      </c>
      <c r="H9218" t="s">
        <v>21036</v>
      </c>
      <c r="I9218" t="s">
        <v>1482</v>
      </c>
      <c r="J9218">
        <v>29455</v>
      </c>
      <c r="K9218">
        <v>3913</v>
      </c>
      <c r="L9218" t="s">
        <v>23</v>
      </c>
      <c r="M9218" t="s">
        <v>21035</v>
      </c>
      <c r="N9218" t="s">
        <v>21036</v>
      </c>
      <c r="O9218" t="s">
        <v>1482</v>
      </c>
      <c r="P9218">
        <v>29455</v>
      </c>
      <c r="Q9218">
        <v>3913</v>
      </c>
      <c r="R9218" t="s">
        <v>23</v>
      </c>
      <c r="S9218" s="1" t="s">
        <v>34218</v>
      </c>
    </row>
    <row r="9219" spans="1:19" x14ac:dyDescent="0.25">
      <c r="A9219">
        <v>101305620</v>
      </c>
      <c r="B9219" t="s">
        <v>3927</v>
      </c>
      <c r="C9219" t="s">
        <v>21037</v>
      </c>
      <c r="G9219" t="s">
        <v>21038</v>
      </c>
      <c r="H9219" t="s">
        <v>18788</v>
      </c>
      <c r="I9219" t="s">
        <v>365</v>
      </c>
      <c r="J9219">
        <v>86325</v>
      </c>
      <c r="L9219" t="s">
        <v>23</v>
      </c>
      <c r="M9219" t="s">
        <v>21038</v>
      </c>
      <c r="N9219" t="s">
        <v>18788</v>
      </c>
      <c r="O9219" t="s">
        <v>365</v>
      </c>
      <c r="P9219">
        <v>86325</v>
      </c>
      <c r="R9219" t="s">
        <v>23</v>
      </c>
      <c r="S9219" s="1" t="s">
        <v>34218</v>
      </c>
    </row>
    <row r="9220" spans="1:19" x14ac:dyDescent="0.25">
      <c r="A9220">
        <v>101265260</v>
      </c>
      <c r="B9220" t="s">
        <v>494</v>
      </c>
      <c r="C9220" t="s">
        <v>45</v>
      </c>
      <c r="G9220" t="s">
        <v>21039</v>
      </c>
      <c r="H9220" t="s">
        <v>3344</v>
      </c>
      <c r="I9220" t="s">
        <v>71</v>
      </c>
      <c r="J9220">
        <v>81428</v>
      </c>
      <c r="K9220">
        <v>5043</v>
      </c>
      <c r="L9220" t="s">
        <v>23</v>
      </c>
      <c r="M9220" t="s">
        <v>21039</v>
      </c>
      <c r="N9220" t="s">
        <v>3344</v>
      </c>
      <c r="O9220" t="s">
        <v>71</v>
      </c>
      <c r="P9220">
        <v>81428</v>
      </c>
      <c r="Q9220">
        <v>5043</v>
      </c>
      <c r="R9220" t="s">
        <v>23</v>
      </c>
      <c r="S9220" s="1" t="s">
        <v>34218</v>
      </c>
    </row>
    <row r="9221" spans="1:19" x14ac:dyDescent="0.25">
      <c r="A9221">
        <v>101102752</v>
      </c>
      <c r="B9221" t="s">
        <v>21040</v>
      </c>
      <c r="C9221" t="s">
        <v>21041</v>
      </c>
      <c r="G9221" t="s">
        <v>21042</v>
      </c>
      <c r="H9221" t="s">
        <v>412</v>
      </c>
      <c r="I9221" t="s">
        <v>117</v>
      </c>
      <c r="J9221">
        <v>11215</v>
      </c>
      <c r="L9221" t="s">
        <v>23</v>
      </c>
      <c r="M9221" t="s">
        <v>21042</v>
      </c>
      <c r="N9221" t="s">
        <v>412</v>
      </c>
      <c r="O9221" t="s">
        <v>117</v>
      </c>
      <c r="P9221">
        <v>11215</v>
      </c>
      <c r="R9221" t="s">
        <v>23</v>
      </c>
      <c r="S9221" s="1" t="s">
        <v>34218</v>
      </c>
    </row>
    <row r="9222" spans="1:19" x14ac:dyDescent="0.25">
      <c r="A9222">
        <v>101480479</v>
      </c>
      <c r="B9222" t="s">
        <v>21043</v>
      </c>
      <c r="C9222" t="s">
        <v>2547</v>
      </c>
      <c r="G9222" t="s">
        <v>21044</v>
      </c>
      <c r="H9222" t="s">
        <v>169</v>
      </c>
      <c r="I9222" t="s">
        <v>170</v>
      </c>
      <c r="J9222">
        <v>20510</v>
      </c>
      <c r="K9222">
        <v>1</v>
      </c>
      <c r="L9222" t="s">
        <v>23</v>
      </c>
      <c r="M9222" t="s">
        <v>21044</v>
      </c>
      <c r="N9222" t="s">
        <v>169</v>
      </c>
      <c r="O9222" t="s">
        <v>170</v>
      </c>
      <c r="P9222">
        <v>20510</v>
      </c>
      <c r="Q9222">
        <v>1</v>
      </c>
      <c r="R9222" t="s">
        <v>23</v>
      </c>
      <c r="S9222" s="1" t="s">
        <v>34218</v>
      </c>
    </row>
    <row r="9223" spans="1:19" x14ac:dyDescent="0.25">
      <c r="A9223">
        <v>100975561</v>
      </c>
      <c r="B9223" t="s">
        <v>286</v>
      </c>
      <c r="C9223" t="s">
        <v>1384</v>
      </c>
      <c r="G9223" t="s">
        <v>21045</v>
      </c>
      <c r="H9223" t="s">
        <v>340</v>
      </c>
      <c r="I9223" t="s">
        <v>241</v>
      </c>
      <c r="J9223">
        <v>67226</v>
      </c>
      <c r="K9223">
        <v>1179</v>
      </c>
      <c r="L9223" t="s">
        <v>23</v>
      </c>
      <c r="M9223" t="s">
        <v>21045</v>
      </c>
      <c r="N9223" t="s">
        <v>340</v>
      </c>
      <c r="O9223" t="s">
        <v>241</v>
      </c>
      <c r="P9223">
        <v>67226</v>
      </c>
      <c r="Q9223">
        <v>1179</v>
      </c>
      <c r="R9223" t="s">
        <v>23</v>
      </c>
      <c r="S9223" s="1" t="s">
        <v>34218</v>
      </c>
    </row>
    <row r="9224" spans="1:19" x14ac:dyDescent="0.25">
      <c r="A9224">
        <v>101255390</v>
      </c>
      <c r="B9224" t="s">
        <v>21046</v>
      </c>
      <c r="C9224" t="s">
        <v>1558</v>
      </c>
      <c r="G9224" t="s">
        <v>21047</v>
      </c>
      <c r="H9224" t="s">
        <v>21048</v>
      </c>
      <c r="I9224" t="s">
        <v>38</v>
      </c>
      <c r="J9224">
        <v>75119</v>
      </c>
      <c r="K9224">
        <v>7225</v>
      </c>
      <c r="L9224" t="s">
        <v>23</v>
      </c>
      <c r="M9224" t="s">
        <v>21047</v>
      </c>
      <c r="N9224" t="s">
        <v>21048</v>
      </c>
      <c r="O9224" t="s">
        <v>38</v>
      </c>
      <c r="P9224">
        <v>75119</v>
      </c>
      <c r="Q9224">
        <v>7225</v>
      </c>
      <c r="R9224" t="s">
        <v>23</v>
      </c>
      <c r="S9224" s="1" t="s">
        <v>34218</v>
      </c>
    </row>
    <row r="9225" spans="1:19" x14ac:dyDescent="0.25">
      <c r="A9225">
        <v>100899590</v>
      </c>
      <c r="B9225" t="s">
        <v>4981</v>
      </c>
      <c r="C9225" t="s">
        <v>21049</v>
      </c>
      <c r="G9225" t="s">
        <v>21050</v>
      </c>
      <c r="H9225" t="s">
        <v>15174</v>
      </c>
      <c r="I9225" t="s">
        <v>1387</v>
      </c>
      <c r="J9225">
        <v>35124</v>
      </c>
      <c r="K9225">
        <v>1232</v>
      </c>
      <c r="L9225" t="s">
        <v>23</v>
      </c>
      <c r="M9225" t="s">
        <v>21050</v>
      </c>
      <c r="N9225" t="s">
        <v>15174</v>
      </c>
      <c r="O9225" t="s">
        <v>1387</v>
      </c>
      <c r="P9225">
        <v>35124</v>
      </c>
      <c r="Q9225">
        <v>1232</v>
      </c>
      <c r="R9225" t="s">
        <v>23</v>
      </c>
      <c r="S9225" s="1" t="s">
        <v>34218</v>
      </c>
    </row>
    <row r="9226" spans="1:19" x14ac:dyDescent="0.25">
      <c r="A9226">
        <v>101439063</v>
      </c>
      <c r="B9226" t="s">
        <v>21051</v>
      </c>
      <c r="C9226" t="s">
        <v>3482</v>
      </c>
      <c r="G9226" t="s">
        <v>21052</v>
      </c>
      <c r="H9226" t="s">
        <v>4069</v>
      </c>
      <c r="I9226" t="s">
        <v>191</v>
      </c>
      <c r="J9226">
        <v>4730</v>
      </c>
      <c r="K9226">
        <v>6103</v>
      </c>
      <c r="L9226" t="s">
        <v>23</v>
      </c>
      <c r="M9226" t="s">
        <v>21052</v>
      </c>
      <c r="N9226" t="s">
        <v>4069</v>
      </c>
      <c r="O9226" t="s">
        <v>191</v>
      </c>
      <c r="P9226">
        <v>4730</v>
      </c>
      <c r="Q9226">
        <v>6103</v>
      </c>
      <c r="R9226" t="s">
        <v>23</v>
      </c>
      <c r="S9226" s="1" t="s">
        <v>34218</v>
      </c>
    </row>
    <row r="9227" spans="1:19" x14ac:dyDescent="0.25">
      <c r="A9227">
        <v>101466306</v>
      </c>
      <c r="B9227" t="s">
        <v>21053</v>
      </c>
      <c r="C9227" t="s">
        <v>21054</v>
      </c>
      <c r="G9227" t="s">
        <v>21055</v>
      </c>
      <c r="H9227" t="s">
        <v>21056</v>
      </c>
      <c r="I9227" t="s">
        <v>33</v>
      </c>
      <c r="J9227">
        <v>19053</v>
      </c>
      <c r="K9227">
        <v>7216</v>
      </c>
      <c r="L9227" t="s">
        <v>23</v>
      </c>
      <c r="M9227" t="s">
        <v>21055</v>
      </c>
      <c r="N9227" t="s">
        <v>21056</v>
      </c>
      <c r="O9227" t="s">
        <v>33</v>
      </c>
      <c r="P9227">
        <v>19053</v>
      </c>
      <c r="Q9227">
        <v>7216</v>
      </c>
      <c r="R9227" t="s">
        <v>23</v>
      </c>
      <c r="S9227" s="1" t="s">
        <v>34218</v>
      </c>
    </row>
    <row r="9228" spans="1:19" x14ac:dyDescent="0.25">
      <c r="A9228">
        <v>101466076</v>
      </c>
      <c r="B9228" t="s">
        <v>21057</v>
      </c>
      <c r="C9228" t="s">
        <v>290</v>
      </c>
      <c r="G9228" t="s">
        <v>21058</v>
      </c>
      <c r="H9228" t="s">
        <v>21059</v>
      </c>
      <c r="I9228" t="s">
        <v>914</v>
      </c>
      <c r="J9228">
        <v>37871</v>
      </c>
      <c r="K9228">
        <v>1742</v>
      </c>
      <c r="L9228" t="s">
        <v>23</v>
      </c>
      <c r="M9228" t="s">
        <v>21058</v>
      </c>
      <c r="N9228" t="s">
        <v>21059</v>
      </c>
      <c r="O9228" t="s">
        <v>914</v>
      </c>
      <c r="P9228">
        <v>37871</v>
      </c>
      <c r="Q9228">
        <v>1742</v>
      </c>
      <c r="R9228" t="s">
        <v>23</v>
      </c>
      <c r="S9228" s="1" t="s">
        <v>34218</v>
      </c>
    </row>
    <row r="9229" spans="1:19" x14ac:dyDescent="0.25">
      <c r="A9229">
        <v>101434566</v>
      </c>
      <c r="B9229" t="s">
        <v>966</v>
      </c>
      <c r="C9229" t="s">
        <v>894</v>
      </c>
      <c r="G9229" t="s">
        <v>21060</v>
      </c>
      <c r="H9229" t="s">
        <v>21061</v>
      </c>
      <c r="I9229" t="s">
        <v>1226</v>
      </c>
      <c r="J9229">
        <v>39556</v>
      </c>
      <c r="K9229">
        <v>6661</v>
      </c>
      <c r="L9229" t="s">
        <v>23</v>
      </c>
      <c r="M9229" t="s">
        <v>21060</v>
      </c>
      <c r="N9229" t="s">
        <v>21061</v>
      </c>
      <c r="O9229" t="s">
        <v>1226</v>
      </c>
      <c r="P9229">
        <v>39556</v>
      </c>
      <c r="Q9229">
        <v>6661</v>
      </c>
      <c r="R9229" t="s">
        <v>23</v>
      </c>
      <c r="S9229" s="1" t="s">
        <v>34218</v>
      </c>
    </row>
    <row r="9230" spans="1:19" x14ac:dyDescent="0.25">
      <c r="A9230">
        <v>101436501</v>
      </c>
      <c r="B9230" t="s">
        <v>21062</v>
      </c>
      <c r="C9230" t="s">
        <v>301</v>
      </c>
      <c r="G9230" t="s">
        <v>21063</v>
      </c>
      <c r="H9230" t="s">
        <v>18540</v>
      </c>
      <c r="I9230" t="s">
        <v>187</v>
      </c>
      <c r="J9230">
        <v>55001</v>
      </c>
      <c r="L9230" t="s">
        <v>23</v>
      </c>
      <c r="M9230" t="s">
        <v>21063</v>
      </c>
      <c r="N9230" t="s">
        <v>18540</v>
      </c>
      <c r="O9230" t="s">
        <v>187</v>
      </c>
      <c r="P9230">
        <v>55001</v>
      </c>
      <c r="R9230" t="s">
        <v>23</v>
      </c>
      <c r="S9230" s="1" t="s">
        <v>34218</v>
      </c>
    </row>
    <row r="9231" spans="1:19" x14ac:dyDescent="0.25">
      <c r="A9231">
        <v>101409267</v>
      </c>
      <c r="B9231" t="s">
        <v>17396</v>
      </c>
      <c r="C9231" t="s">
        <v>2134</v>
      </c>
      <c r="G9231" t="s">
        <v>21064</v>
      </c>
      <c r="H9231" t="s">
        <v>21065</v>
      </c>
      <c r="I9231" t="s">
        <v>250</v>
      </c>
      <c r="J9231" t="s">
        <v>21066</v>
      </c>
      <c r="K9231">
        <v>2708</v>
      </c>
      <c r="L9231" t="s">
        <v>23</v>
      </c>
      <c r="M9231" t="s">
        <v>21064</v>
      </c>
      <c r="N9231" t="s">
        <v>21065</v>
      </c>
      <c r="O9231" t="s">
        <v>250</v>
      </c>
      <c r="P9231" t="s">
        <v>21066</v>
      </c>
      <c r="Q9231">
        <v>2708</v>
      </c>
      <c r="R9231" t="s">
        <v>23</v>
      </c>
      <c r="S9231" s="1" t="s">
        <v>34218</v>
      </c>
    </row>
    <row r="9232" spans="1:19" x14ac:dyDescent="0.25">
      <c r="A9232">
        <v>100784707</v>
      </c>
      <c r="B9232" t="s">
        <v>21067</v>
      </c>
      <c r="C9232" t="s">
        <v>132</v>
      </c>
      <c r="G9232" t="s">
        <v>21068</v>
      </c>
      <c r="H9232" t="s">
        <v>5633</v>
      </c>
      <c r="I9232" t="s">
        <v>57</v>
      </c>
      <c r="J9232">
        <v>46375</v>
      </c>
      <c r="L9232" t="s">
        <v>23</v>
      </c>
      <c r="M9232" t="s">
        <v>21068</v>
      </c>
      <c r="N9232" t="s">
        <v>5633</v>
      </c>
      <c r="O9232" t="s">
        <v>57</v>
      </c>
      <c r="P9232">
        <v>46375</v>
      </c>
      <c r="R9232" t="s">
        <v>23</v>
      </c>
      <c r="S9232" s="1" t="s">
        <v>34218</v>
      </c>
    </row>
    <row r="9233" spans="1:19" x14ac:dyDescent="0.25">
      <c r="A9233">
        <v>101423434</v>
      </c>
      <c r="B9233" t="s">
        <v>21069</v>
      </c>
      <c r="C9233" t="s">
        <v>452</v>
      </c>
      <c r="G9233" t="s">
        <v>21070</v>
      </c>
      <c r="H9233" t="s">
        <v>3024</v>
      </c>
      <c r="I9233" t="s">
        <v>255</v>
      </c>
      <c r="J9233">
        <v>20191</v>
      </c>
      <c r="K9233">
        <v>4718</v>
      </c>
      <c r="L9233" t="s">
        <v>23</v>
      </c>
      <c r="M9233" t="s">
        <v>21070</v>
      </c>
      <c r="N9233" t="s">
        <v>3024</v>
      </c>
      <c r="O9233" t="s">
        <v>255</v>
      </c>
      <c r="P9233">
        <v>20191</v>
      </c>
      <c r="Q9233">
        <v>4718</v>
      </c>
      <c r="R9233" t="s">
        <v>23</v>
      </c>
      <c r="S9233" s="1" t="s">
        <v>34218</v>
      </c>
    </row>
    <row r="9234" spans="1:19" x14ac:dyDescent="0.25">
      <c r="A9234">
        <v>101143182</v>
      </c>
      <c r="B9234" t="s">
        <v>2610</v>
      </c>
      <c r="C9234" t="s">
        <v>18280</v>
      </c>
      <c r="G9234" t="s">
        <v>21071</v>
      </c>
      <c r="H9234" t="s">
        <v>1787</v>
      </c>
      <c r="I9234" t="s">
        <v>702</v>
      </c>
      <c r="J9234">
        <v>89108</v>
      </c>
      <c r="L9234" t="s">
        <v>23</v>
      </c>
      <c r="M9234" t="s">
        <v>21071</v>
      </c>
      <c r="N9234" t="s">
        <v>1787</v>
      </c>
      <c r="O9234" t="s">
        <v>702</v>
      </c>
      <c r="P9234">
        <v>89108</v>
      </c>
      <c r="R9234" t="s">
        <v>23</v>
      </c>
      <c r="S9234" s="1" t="s">
        <v>34218</v>
      </c>
    </row>
    <row r="9235" spans="1:19" x14ac:dyDescent="0.25">
      <c r="A9235">
        <v>101295248</v>
      </c>
      <c r="B9235" t="s">
        <v>21072</v>
      </c>
      <c r="C9235" t="s">
        <v>123</v>
      </c>
      <c r="G9235" t="s">
        <v>21073</v>
      </c>
      <c r="H9235" t="s">
        <v>21074</v>
      </c>
      <c r="I9235" t="s">
        <v>1387</v>
      </c>
      <c r="J9235">
        <v>35950</v>
      </c>
      <c r="K9235">
        <v>4321</v>
      </c>
      <c r="L9235" t="s">
        <v>23</v>
      </c>
      <c r="M9235" t="s">
        <v>21073</v>
      </c>
      <c r="N9235" t="s">
        <v>21074</v>
      </c>
      <c r="O9235" t="s">
        <v>1387</v>
      </c>
      <c r="P9235">
        <v>35950</v>
      </c>
      <c r="Q9235">
        <v>4321</v>
      </c>
      <c r="R9235" t="s">
        <v>23</v>
      </c>
      <c r="S9235" s="1" t="s">
        <v>34218</v>
      </c>
    </row>
    <row r="9236" spans="1:19" x14ac:dyDescent="0.25">
      <c r="A9236">
        <v>101472785</v>
      </c>
      <c r="B9236" t="s">
        <v>21075</v>
      </c>
      <c r="C9236" t="s">
        <v>21076</v>
      </c>
      <c r="G9236" t="s">
        <v>21077</v>
      </c>
      <c r="H9236" t="s">
        <v>380</v>
      </c>
      <c r="I9236" t="s">
        <v>38</v>
      </c>
      <c r="J9236">
        <v>75214</v>
      </c>
      <c r="K9236">
        <v>4461</v>
      </c>
      <c r="L9236" t="s">
        <v>23</v>
      </c>
      <c r="M9236" t="s">
        <v>21077</v>
      </c>
      <c r="N9236" t="s">
        <v>380</v>
      </c>
      <c r="O9236" t="s">
        <v>38</v>
      </c>
      <c r="P9236">
        <v>75214</v>
      </c>
      <c r="Q9236">
        <v>4461</v>
      </c>
      <c r="R9236" t="s">
        <v>23</v>
      </c>
      <c r="S9236" s="1" t="s">
        <v>34218</v>
      </c>
    </row>
    <row r="9237" spans="1:19" x14ac:dyDescent="0.25">
      <c r="A9237">
        <v>100775208</v>
      </c>
      <c r="B9237" t="s">
        <v>21078</v>
      </c>
      <c r="C9237" t="s">
        <v>2603</v>
      </c>
      <c r="G9237" t="s">
        <v>21079</v>
      </c>
      <c r="H9237" t="s">
        <v>17949</v>
      </c>
      <c r="I9237" t="s">
        <v>178</v>
      </c>
      <c r="J9237">
        <v>43015</v>
      </c>
      <c r="K9237">
        <v>2226</v>
      </c>
      <c r="L9237" t="s">
        <v>23</v>
      </c>
      <c r="M9237" t="s">
        <v>21079</v>
      </c>
      <c r="N9237" t="s">
        <v>17949</v>
      </c>
      <c r="O9237" t="s">
        <v>178</v>
      </c>
      <c r="P9237">
        <v>43015</v>
      </c>
      <c r="Q9237">
        <v>2226</v>
      </c>
      <c r="R9237" t="s">
        <v>23</v>
      </c>
      <c r="S9237" s="1" t="s">
        <v>34218</v>
      </c>
    </row>
    <row r="9238" spans="1:19" x14ac:dyDescent="0.25">
      <c r="A9238">
        <v>101470724</v>
      </c>
      <c r="B9238" t="s">
        <v>21080</v>
      </c>
      <c r="C9238" t="s">
        <v>21081</v>
      </c>
      <c r="G9238" t="s">
        <v>21082</v>
      </c>
      <c r="H9238" t="s">
        <v>1716</v>
      </c>
      <c r="I9238" t="s">
        <v>38</v>
      </c>
      <c r="J9238">
        <v>79922</v>
      </c>
      <c r="K9238">
        <v>1736</v>
      </c>
      <c r="L9238" t="s">
        <v>23</v>
      </c>
      <c r="M9238" t="s">
        <v>21082</v>
      </c>
      <c r="N9238" t="s">
        <v>1716</v>
      </c>
      <c r="O9238" t="s">
        <v>38</v>
      </c>
      <c r="P9238">
        <v>79922</v>
      </c>
      <c r="Q9238">
        <v>1736</v>
      </c>
      <c r="R9238" t="s">
        <v>23</v>
      </c>
      <c r="S9238" s="1" t="s">
        <v>34218</v>
      </c>
    </row>
    <row r="9239" spans="1:19" x14ac:dyDescent="0.25">
      <c r="A9239">
        <v>101046915</v>
      </c>
      <c r="B9239" t="s">
        <v>7509</v>
      </c>
      <c r="C9239" t="s">
        <v>582</v>
      </c>
      <c r="G9239" t="s">
        <v>21083</v>
      </c>
      <c r="H9239" t="s">
        <v>143</v>
      </c>
      <c r="I9239" t="s">
        <v>43</v>
      </c>
      <c r="J9239">
        <v>97530</v>
      </c>
      <c r="K9239">
        <v>9088</v>
      </c>
      <c r="L9239" t="s">
        <v>23</v>
      </c>
      <c r="M9239" t="s">
        <v>21083</v>
      </c>
      <c r="N9239" t="s">
        <v>143</v>
      </c>
      <c r="O9239" t="s">
        <v>43</v>
      </c>
      <c r="P9239">
        <v>97530</v>
      </c>
      <c r="Q9239">
        <v>9088</v>
      </c>
      <c r="R9239" t="s">
        <v>23</v>
      </c>
      <c r="S9239" s="1" t="s">
        <v>34218</v>
      </c>
    </row>
    <row r="9240" spans="1:19" x14ac:dyDescent="0.25">
      <c r="A9240">
        <v>101467553</v>
      </c>
      <c r="B9240" t="s">
        <v>5218</v>
      </c>
      <c r="C9240" t="s">
        <v>1298</v>
      </c>
      <c r="G9240" t="s">
        <v>21084</v>
      </c>
      <c r="H9240" t="s">
        <v>227</v>
      </c>
      <c r="I9240" t="s">
        <v>43</v>
      </c>
      <c r="J9240">
        <v>97267</v>
      </c>
      <c r="K9240">
        <v>3044</v>
      </c>
      <c r="L9240" t="s">
        <v>23</v>
      </c>
      <c r="M9240" t="s">
        <v>21084</v>
      </c>
      <c r="N9240" t="s">
        <v>227</v>
      </c>
      <c r="O9240" t="s">
        <v>43</v>
      </c>
      <c r="P9240">
        <v>97267</v>
      </c>
      <c r="Q9240">
        <v>3044</v>
      </c>
      <c r="R9240" t="s">
        <v>23</v>
      </c>
      <c r="S9240" s="1" t="s">
        <v>34218</v>
      </c>
    </row>
    <row r="9241" spans="1:19" x14ac:dyDescent="0.25">
      <c r="A9241">
        <v>101420675</v>
      </c>
      <c r="B9241" t="s">
        <v>21085</v>
      </c>
      <c r="C9241" t="s">
        <v>21086</v>
      </c>
      <c r="G9241" t="s">
        <v>21087</v>
      </c>
      <c r="H9241" t="s">
        <v>602</v>
      </c>
      <c r="I9241" t="s">
        <v>71</v>
      </c>
      <c r="J9241">
        <v>80030</v>
      </c>
      <c r="L9241" t="s">
        <v>23</v>
      </c>
      <c r="M9241" t="s">
        <v>21087</v>
      </c>
      <c r="N9241" t="s">
        <v>602</v>
      </c>
      <c r="O9241" t="s">
        <v>71</v>
      </c>
      <c r="P9241">
        <v>80030</v>
      </c>
      <c r="R9241" t="s">
        <v>23</v>
      </c>
      <c r="S9241" s="1" t="s">
        <v>34218</v>
      </c>
    </row>
    <row r="9242" spans="1:19" x14ac:dyDescent="0.25">
      <c r="A9242">
        <v>101429091</v>
      </c>
      <c r="B9242" t="s">
        <v>21088</v>
      </c>
      <c r="C9242" t="s">
        <v>8451</v>
      </c>
      <c r="G9242" t="s">
        <v>21089</v>
      </c>
      <c r="H9242" t="s">
        <v>21090</v>
      </c>
      <c r="I9242" t="s">
        <v>250</v>
      </c>
      <c r="J9242">
        <v>7920</v>
      </c>
      <c r="K9242">
        <v>2519</v>
      </c>
      <c r="L9242" t="s">
        <v>23</v>
      </c>
      <c r="M9242" t="s">
        <v>21089</v>
      </c>
      <c r="N9242" t="s">
        <v>21090</v>
      </c>
      <c r="O9242" t="s">
        <v>250</v>
      </c>
      <c r="P9242">
        <v>7920</v>
      </c>
      <c r="Q9242">
        <v>2519</v>
      </c>
      <c r="R9242" t="s">
        <v>23</v>
      </c>
      <c r="S9242" s="1" t="s">
        <v>34218</v>
      </c>
    </row>
    <row r="9243" spans="1:19" x14ac:dyDescent="0.25">
      <c r="A9243">
        <v>101371733</v>
      </c>
      <c r="B9243" t="s">
        <v>1092</v>
      </c>
      <c r="C9243" t="s">
        <v>21091</v>
      </c>
      <c r="G9243" t="s">
        <v>21092</v>
      </c>
      <c r="H9243" t="s">
        <v>1086</v>
      </c>
      <c r="I9243" t="s">
        <v>446</v>
      </c>
      <c r="J9243">
        <v>28226</v>
      </c>
      <c r="K9243">
        <v>8300</v>
      </c>
      <c r="L9243" t="s">
        <v>23</v>
      </c>
      <c r="M9243" t="s">
        <v>21092</v>
      </c>
      <c r="N9243" t="s">
        <v>1086</v>
      </c>
      <c r="O9243" t="s">
        <v>446</v>
      </c>
      <c r="P9243">
        <v>28226</v>
      </c>
      <c r="Q9243">
        <v>8300</v>
      </c>
      <c r="R9243" t="s">
        <v>23</v>
      </c>
      <c r="S9243" s="1" t="s">
        <v>34218</v>
      </c>
    </row>
    <row r="9244" spans="1:19" x14ac:dyDescent="0.25">
      <c r="A9244">
        <v>101472146</v>
      </c>
      <c r="B9244" t="s">
        <v>4754</v>
      </c>
      <c r="C9244" t="s">
        <v>286</v>
      </c>
      <c r="G9244" t="s">
        <v>21093</v>
      </c>
      <c r="H9244" t="s">
        <v>10819</v>
      </c>
      <c r="I9244" t="s">
        <v>1387</v>
      </c>
      <c r="J9244">
        <v>35802</v>
      </c>
      <c r="K9244">
        <v>4133</v>
      </c>
      <c r="L9244" t="s">
        <v>23</v>
      </c>
      <c r="M9244" t="s">
        <v>21093</v>
      </c>
      <c r="N9244" t="s">
        <v>10819</v>
      </c>
      <c r="O9244" t="s">
        <v>1387</v>
      </c>
      <c r="P9244">
        <v>35802</v>
      </c>
      <c r="Q9244">
        <v>4133</v>
      </c>
      <c r="R9244" t="s">
        <v>23</v>
      </c>
      <c r="S9244" s="1" t="s">
        <v>34218</v>
      </c>
    </row>
    <row r="9245" spans="1:19" x14ac:dyDescent="0.25">
      <c r="A9245">
        <v>101474381</v>
      </c>
      <c r="B9245" t="s">
        <v>17629</v>
      </c>
      <c r="C9245" t="s">
        <v>21094</v>
      </c>
      <c r="G9245" t="s">
        <v>17631</v>
      </c>
      <c r="H9245" t="s">
        <v>3196</v>
      </c>
      <c r="I9245" t="s">
        <v>307</v>
      </c>
      <c r="J9245">
        <v>5033</v>
      </c>
      <c r="K9245">
        <v>4450</v>
      </c>
      <c r="L9245" t="s">
        <v>23</v>
      </c>
      <c r="M9245" t="s">
        <v>17631</v>
      </c>
      <c r="N9245" t="s">
        <v>3196</v>
      </c>
      <c r="O9245" t="s">
        <v>307</v>
      </c>
      <c r="P9245">
        <v>5033</v>
      </c>
      <c r="Q9245">
        <v>4450</v>
      </c>
      <c r="R9245" t="s">
        <v>23</v>
      </c>
      <c r="S9245" s="1" t="s">
        <v>34218</v>
      </c>
    </row>
    <row r="9246" spans="1:19" x14ac:dyDescent="0.25">
      <c r="A9246">
        <v>100625315</v>
      </c>
      <c r="B9246" t="s">
        <v>15318</v>
      </c>
      <c r="C9246" t="s">
        <v>483</v>
      </c>
      <c r="G9246" t="s">
        <v>21095</v>
      </c>
      <c r="H9246" t="s">
        <v>1625</v>
      </c>
      <c r="I9246" t="s">
        <v>702</v>
      </c>
      <c r="J9246">
        <v>89052</v>
      </c>
      <c r="K9246">
        <v>5505</v>
      </c>
      <c r="L9246" t="s">
        <v>23</v>
      </c>
      <c r="M9246" t="s">
        <v>21095</v>
      </c>
      <c r="N9246" t="s">
        <v>1625</v>
      </c>
      <c r="O9246" t="s">
        <v>702</v>
      </c>
      <c r="P9246">
        <v>89052</v>
      </c>
      <c r="Q9246">
        <v>5505</v>
      </c>
      <c r="R9246" t="s">
        <v>23</v>
      </c>
      <c r="S9246" s="1" t="s">
        <v>34218</v>
      </c>
    </row>
    <row r="9247" spans="1:19" x14ac:dyDescent="0.25">
      <c r="A9247">
        <v>100529337</v>
      </c>
      <c r="B9247" t="s">
        <v>21096</v>
      </c>
      <c r="C9247" t="s">
        <v>123</v>
      </c>
      <c r="G9247" t="s">
        <v>21097</v>
      </c>
      <c r="H9247" t="s">
        <v>2375</v>
      </c>
      <c r="I9247" t="s">
        <v>161</v>
      </c>
      <c r="J9247">
        <v>6443</v>
      </c>
      <c r="K9247">
        <v>2484</v>
      </c>
      <c r="L9247" t="s">
        <v>23</v>
      </c>
      <c r="M9247" t="s">
        <v>21097</v>
      </c>
      <c r="N9247" t="s">
        <v>2375</v>
      </c>
      <c r="O9247" t="s">
        <v>161</v>
      </c>
      <c r="P9247">
        <v>6443</v>
      </c>
      <c r="Q9247">
        <v>2484</v>
      </c>
      <c r="R9247" t="s">
        <v>23</v>
      </c>
      <c r="S9247" s="1" t="s">
        <v>34218</v>
      </c>
    </row>
    <row r="9248" spans="1:19" x14ac:dyDescent="0.25">
      <c r="A9248">
        <v>101213488</v>
      </c>
      <c r="B9248" t="s">
        <v>21098</v>
      </c>
      <c r="C9248" t="s">
        <v>193</v>
      </c>
      <c r="G9248" t="s">
        <v>21099</v>
      </c>
      <c r="H9248" t="s">
        <v>21100</v>
      </c>
      <c r="I9248" t="s">
        <v>117</v>
      </c>
      <c r="J9248">
        <v>14847</v>
      </c>
      <c r="L9248" t="s">
        <v>23</v>
      </c>
      <c r="M9248" t="s">
        <v>21099</v>
      </c>
      <c r="N9248" t="s">
        <v>21100</v>
      </c>
      <c r="O9248" t="s">
        <v>117</v>
      </c>
      <c r="P9248">
        <v>14847</v>
      </c>
      <c r="R9248" t="s">
        <v>23</v>
      </c>
      <c r="S9248" s="1" t="s">
        <v>34218</v>
      </c>
    </row>
    <row r="9249" spans="1:19" x14ac:dyDescent="0.25">
      <c r="A9249">
        <v>101456859</v>
      </c>
      <c r="B9249" t="s">
        <v>21101</v>
      </c>
      <c r="C9249" t="s">
        <v>21102</v>
      </c>
      <c r="G9249" t="s">
        <v>21103</v>
      </c>
      <c r="H9249" t="s">
        <v>438</v>
      </c>
      <c r="I9249" t="s">
        <v>71</v>
      </c>
      <c r="J9249">
        <v>80501</v>
      </c>
      <c r="K9249">
        <v>2720</v>
      </c>
      <c r="L9249" t="s">
        <v>23</v>
      </c>
      <c r="M9249" t="s">
        <v>21103</v>
      </c>
      <c r="N9249" t="s">
        <v>438</v>
      </c>
      <c r="O9249" t="s">
        <v>71</v>
      </c>
      <c r="P9249">
        <v>80501</v>
      </c>
      <c r="Q9249">
        <v>2720</v>
      </c>
      <c r="R9249" t="s">
        <v>23</v>
      </c>
      <c r="S9249" s="1" t="s">
        <v>34218</v>
      </c>
    </row>
    <row r="9250" spans="1:19" x14ac:dyDescent="0.25">
      <c r="A9250">
        <v>101318206</v>
      </c>
      <c r="B9250" t="s">
        <v>8669</v>
      </c>
      <c r="C9250" t="s">
        <v>30</v>
      </c>
      <c r="G9250" t="s">
        <v>21104</v>
      </c>
      <c r="H9250" t="s">
        <v>5278</v>
      </c>
      <c r="I9250" t="s">
        <v>22</v>
      </c>
      <c r="J9250">
        <v>94402</v>
      </c>
      <c r="K9250">
        <v>2008</v>
      </c>
      <c r="L9250" t="s">
        <v>23</v>
      </c>
      <c r="M9250" t="s">
        <v>21104</v>
      </c>
      <c r="N9250" t="s">
        <v>5278</v>
      </c>
      <c r="O9250" t="s">
        <v>22</v>
      </c>
      <c r="P9250">
        <v>94402</v>
      </c>
      <c r="Q9250">
        <v>2008</v>
      </c>
      <c r="R9250" t="s">
        <v>23</v>
      </c>
      <c r="S9250" s="1" t="s">
        <v>34218</v>
      </c>
    </row>
    <row r="9251" spans="1:19" x14ac:dyDescent="0.25">
      <c r="A9251">
        <v>100711467</v>
      </c>
      <c r="B9251" t="s">
        <v>21105</v>
      </c>
      <c r="C9251" t="s">
        <v>4427</v>
      </c>
      <c r="G9251" t="s">
        <v>21106</v>
      </c>
      <c r="H9251" t="s">
        <v>1337</v>
      </c>
      <c r="I9251" t="s">
        <v>71</v>
      </c>
      <c r="J9251">
        <v>81005</v>
      </c>
      <c r="K9251">
        <v>3538</v>
      </c>
      <c r="L9251" t="s">
        <v>23</v>
      </c>
      <c r="M9251" t="s">
        <v>21106</v>
      </c>
      <c r="N9251" t="s">
        <v>1337</v>
      </c>
      <c r="O9251" t="s">
        <v>71</v>
      </c>
      <c r="P9251">
        <v>81005</v>
      </c>
      <c r="Q9251">
        <v>3538</v>
      </c>
      <c r="R9251" t="s">
        <v>23</v>
      </c>
      <c r="S9251" s="1" t="s">
        <v>34218</v>
      </c>
    </row>
    <row r="9252" spans="1:19" x14ac:dyDescent="0.25">
      <c r="A9252">
        <v>101241369</v>
      </c>
      <c r="B9252" t="s">
        <v>8650</v>
      </c>
      <c r="C9252" t="s">
        <v>282</v>
      </c>
      <c r="F9252" t="str">
        <f>"5056900183"</f>
        <v>5056900183</v>
      </c>
      <c r="G9252" t="s">
        <v>21107</v>
      </c>
      <c r="H9252" t="s">
        <v>1431</v>
      </c>
      <c r="I9252" t="s">
        <v>639</v>
      </c>
      <c r="J9252">
        <v>87508</v>
      </c>
      <c r="K9252">
        <v>9474</v>
      </c>
      <c r="L9252" t="s">
        <v>23</v>
      </c>
      <c r="M9252" t="s">
        <v>21107</v>
      </c>
      <c r="N9252" t="s">
        <v>1431</v>
      </c>
      <c r="O9252" t="s">
        <v>639</v>
      </c>
      <c r="P9252">
        <v>87508</v>
      </c>
      <c r="Q9252">
        <v>9474</v>
      </c>
      <c r="R9252" t="s">
        <v>23</v>
      </c>
      <c r="S9252" s="1" t="s">
        <v>34218</v>
      </c>
    </row>
    <row r="9253" spans="1:19" x14ac:dyDescent="0.25">
      <c r="A9253">
        <v>100947860</v>
      </c>
      <c r="B9253" t="s">
        <v>166</v>
      </c>
      <c r="C9253" t="s">
        <v>1298</v>
      </c>
      <c r="G9253" t="s">
        <v>21108</v>
      </c>
      <c r="H9253" t="s">
        <v>21109</v>
      </c>
      <c r="I9253" t="s">
        <v>984</v>
      </c>
      <c r="J9253">
        <v>96701</v>
      </c>
      <c r="K9253">
        <v>4254</v>
      </c>
      <c r="L9253" t="s">
        <v>23</v>
      </c>
      <c r="M9253" t="s">
        <v>21108</v>
      </c>
      <c r="N9253" t="s">
        <v>21109</v>
      </c>
      <c r="O9253" t="s">
        <v>984</v>
      </c>
      <c r="P9253">
        <v>96701</v>
      </c>
      <c r="Q9253">
        <v>4254</v>
      </c>
      <c r="R9253" t="s">
        <v>23</v>
      </c>
      <c r="S9253" s="1" t="s">
        <v>34218</v>
      </c>
    </row>
    <row r="9254" spans="1:19" x14ac:dyDescent="0.25">
      <c r="A9254">
        <v>100540923</v>
      </c>
      <c r="B9254" t="s">
        <v>21110</v>
      </c>
      <c r="C9254" t="s">
        <v>613</v>
      </c>
      <c r="G9254" t="s">
        <v>21111</v>
      </c>
      <c r="H9254" t="s">
        <v>13024</v>
      </c>
      <c r="I9254" t="s">
        <v>22</v>
      </c>
      <c r="J9254">
        <v>95843</v>
      </c>
      <c r="K9254">
        <v>4621</v>
      </c>
      <c r="L9254" t="s">
        <v>23</v>
      </c>
      <c r="M9254" t="s">
        <v>21111</v>
      </c>
      <c r="N9254" t="s">
        <v>13024</v>
      </c>
      <c r="O9254" t="s">
        <v>22</v>
      </c>
      <c r="P9254">
        <v>95843</v>
      </c>
      <c r="Q9254">
        <v>4621</v>
      </c>
      <c r="R9254" t="s">
        <v>23</v>
      </c>
      <c r="S9254" s="1" t="s">
        <v>34218</v>
      </c>
    </row>
    <row r="9255" spans="1:19" x14ac:dyDescent="0.25">
      <c r="A9255">
        <v>101307663</v>
      </c>
      <c r="B9255" t="s">
        <v>21112</v>
      </c>
      <c r="C9255" t="s">
        <v>1714</v>
      </c>
      <c r="G9255" t="s">
        <v>21113</v>
      </c>
      <c r="H9255" t="s">
        <v>2191</v>
      </c>
      <c r="I9255" t="s">
        <v>22</v>
      </c>
      <c r="J9255">
        <v>91214</v>
      </c>
      <c r="K9255">
        <v>1323</v>
      </c>
      <c r="L9255" t="s">
        <v>23</v>
      </c>
      <c r="M9255" t="s">
        <v>21113</v>
      </c>
      <c r="N9255" t="s">
        <v>2191</v>
      </c>
      <c r="O9255" t="s">
        <v>22</v>
      </c>
      <c r="P9255">
        <v>91214</v>
      </c>
      <c r="Q9255">
        <v>1323</v>
      </c>
      <c r="R9255" t="s">
        <v>23</v>
      </c>
      <c r="S9255" s="1" t="s">
        <v>34218</v>
      </c>
    </row>
    <row r="9256" spans="1:19" x14ac:dyDescent="0.25">
      <c r="A9256">
        <v>100962900</v>
      </c>
      <c r="B9256" t="s">
        <v>16419</v>
      </c>
      <c r="C9256" t="s">
        <v>1043</v>
      </c>
      <c r="G9256" t="s">
        <v>21114</v>
      </c>
      <c r="H9256" t="s">
        <v>2319</v>
      </c>
      <c r="I9256" t="s">
        <v>117</v>
      </c>
      <c r="J9256">
        <v>10301</v>
      </c>
      <c r="L9256" t="s">
        <v>23</v>
      </c>
      <c r="M9256" t="s">
        <v>21114</v>
      </c>
      <c r="N9256" t="s">
        <v>2319</v>
      </c>
      <c r="O9256" t="s">
        <v>117</v>
      </c>
      <c r="P9256">
        <v>10301</v>
      </c>
      <c r="R9256" t="s">
        <v>23</v>
      </c>
      <c r="S9256" s="1" t="s">
        <v>34218</v>
      </c>
    </row>
    <row r="9257" spans="1:19" x14ac:dyDescent="0.25">
      <c r="A9257">
        <v>101456944</v>
      </c>
      <c r="B9257" t="s">
        <v>3749</v>
      </c>
      <c r="C9257" t="s">
        <v>4273</v>
      </c>
      <c r="G9257" t="s">
        <v>21115</v>
      </c>
      <c r="H9257" t="s">
        <v>818</v>
      </c>
      <c r="I9257" t="s">
        <v>43</v>
      </c>
      <c r="J9257">
        <v>97005</v>
      </c>
      <c r="K9257">
        <v>1360</v>
      </c>
      <c r="L9257" t="s">
        <v>23</v>
      </c>
      <c r="M9257" t="s">
        <v>21115</v>
      </c>
      <c r="N9257" t="s">
        <v>818</v>
      </c>
      <c r="O9257" t="s">
        <v>43</v>
      </c>
      <c r="P9257">
        <v>97005</v>
      </c>
      <c r="Q9257">
        <v>1360</v>
      </c>
      <c r="R9257" t="s">
        <v>23</v>
      </c>
      <c r="S9257" s="1" t="s">
        <v>34218</v>
      </c>
    </row>
    <row r="9258" spans="1:19" x14ac:dyDescent="0.25">
      <c r="A9258">
        <v>100600470</v>
      </c>
      <c r="B9258" t="s">
        <v>21116</v>
      </c>
      <c r="C9258" t="s">
        <v>513</v>
      </c>
      <c r="G9258" t="s">
        <v>21117</v>
      </c>
      <c r="H9258" t="s">
        <v>9122</v>
      </c>
      <c r="I9258" t="s">
        <v>140</v>
      </c>
      <c r="J9258">
        <v>48811</v>
      </c>
      <c r="L9258" t="s">
        <v>23</v>
      </c>
      <c r="M9258" t="s">
        <v>21117</v>
      </c>
      <c r="N9258" t="s">
        <v>9122</v>
      </c>
      <c r="O9258" t="s">
        <v>140</v>
      </c>
      <c r="P9258">
        <v>48811</v>
      </c>
      <c r="R9258" t="s">
        <v>23</v>
      </c>
      <c r="S9258" s="1" t="s">
        <v>34218</v>
      </c>
    </row>
    <row r="9259" spans="1:19" x14ac:dyDescent="0.25">
      <c r="A9259">
        <v>101311196</v>
      </c>
      <c r="B9259" t="s">
        <v>15405</v>
      </c>
      <c r="C9259" t="s">
        <v>1933</v>
      </c>
      <c r="G9259" t="s">
        <v>21118</v>
      </c>
      <c r="H9259" t="s">
        <v>4687</v>
      </c>
      <c r="I9259" t="s">
        <v>250</v>
      </c>
      <c r="J9259">
        <v>7067</v>
      </c>
      <c r="K9259">
        <v>1506</v>
      </c>
      <c r="L9259" t="s">
        <v>23</v>
      </c>
      <c r="M9259" t="s">
        <v>21118</v>
      </c>
      <c r="N9259" t="s">
        <v>4687</v>
      </c>
      <c r="O9259" t="s">
        <v>250</v>
      </c>
      <c r="P9259">
        <v>7067</v>
      </c>
      <c r="Q9259">
        <v>1506</v>
      </c>
      <c r="R9259" t="s">
        <v>23</v>
      </c>
      <c r="S9259" s="1" t="s">
        <v>34218</v>
      </c>
    </row>
    <row r="9260" spans="1:19" x14ac:dyDescent="0.25">
      <c r="A9260">
        <v>101074500</v>
      </c>
      <c r="B9260" t="s">
        <v>12751</v>
      </c>
      <c r="C9260" t="s">
        <v>19025</v>
      </c>
      <c r="G9260" t="s">
        <v>21119</v>
      </c>
      <c r="H9260" t="s">
        <v>8166</v>
      </c>
      <c r="I9260" t="s">
        <v>33</v>
      </c>
      <c r="J9260">
        <v>17022</v>
      </c>
      <c r="K9260">
        <v>9734</v>
      </c>
      <c r="L9260" t="s">
        <v>23</v>
      </c>
      <c r="M9260" t="s">
        <v>21119</v>
      </c>
      <c r="N9260" t="s">
        <v>8166</v>
      </c>
      <c r="O9260" t="s">
        <v>33</v>
      </c>
      <c r="P9260">
        <v>17022</v>
      </c>
      <c r="Q9260">
        <v>9734</v>
      </c>
      <c r="R9260" t="s">
        <v>23</v>
      </c>
      <c r="S9260" s="1" t="s">
        <v>34218</v>
      </c>
    </row>
    <row r="9261" spans="1:19" x14ac:dyDescent="0.25">
      <c r="A9261">
        <v>101413495</v>
      </c>
      <c r="B9261" t="s">
        <v>21120</v>
      </c>
      <c r="C9261" t="s">
        <v>309</v>
      </c>
      <c r="G9261" t="s">
        <v>21121</v>
      </c>
      <c r="H9261" t="s">
        <v>21122</v>
      </c>
      <c r="I9261" t="s">
        <v>117</v>
      </c>
      <c r="J9261">
        <v>12027</v>
      </c>
      <c r="L9261" t="s">
        <v>23</v>
      </c>
      <c r="M9261" t="s">
        <v>21121</v>
      </c>
      <c r="N9261" t="s">
        <v>21122</v>
      </c>
      <c r="O9261" t="s">
        <v>117</v>
      </c>
      <c r="P9261">
        <v>12027</v>
      </c>
      <c r="R9261" t="s">
        <v>23</v>
      </c>
      <c r="S9261" s="1" t="s">
        <v>34218</v>
      </c>
    </row>
    <row r="9262" spans="1:19" x14ac:dyDescent="0.25">
      <c r="A9262">
        <v>100853014</v>
      </c>
      <c r="B9262" t="s">
        <v>21123</v>
      </c>
      <c r="C9262" t="s">
        <v>1179</v>
      </c>
      <c r="G9262" t="s">
        <v>21124</v>
      </c>
      <c r="H9262" t="s">
        <v>1979</v>
      </c>
      <c r="I9262" t="s">
        <v>52</v>
      </c>
      <c r="J9262">
        <v>34452</v>
      </c>
      <c r="L9262" t="s">
        <v>23</v>
      </c>
      <c r="M9262" t="s">
        <v>21124</v>
      </c>
      <c r="N9262" t="s">
        <v>1979</v>
      </c>
      <c r="O9262" t="s">
        <v>52</v>
      </c>
      <c r="P9262">
        <v>34452</v>
      </c>
      <c r="R9262" t="s">
        <v>23</v>
      </c>
      <c r="S9262" s="1" t="s">
        <v>34218</v>
      </c>
    </row>
    <row r="9263" spans="1:19" x14ac:dyDescent="0.25">
      <c r="A9263">
        <v>101432118</v>
      </c>
      <c r="B9263" t="s">
        <v>21125</v>
      </c>
      <c r="C9263" t="s">
        <v>1327</v>
      </c>
      <c r="G9263" t="s">
        <v>21126</v>
      </c>
      <c r="H9263" t="s">
        <v>15158</v>
      </c>
      <c r="I9263" t="s">
        <v>914</v>
      </c>
      <c r="J9263">
        <v>37303</v>
      </c>
      <c r="K9263">
        <v>6670</v>
      </c>
      <c r="L9263" t="s">
        <v>23</v>
      </c>
      <c r="M9263" t="s">
        <v>21126</v>
      </c>
      <c r="N9263" t="s">
        <v>15158</v>
      </c>
      <c r="O9263" t="s">
        <v>914</v>
      </c>
      <c r="P9263">
        <v>37303</v>
      </c>
      <c r="Q9263">
        <v>6670</v>
      </c>
      <c r="R9263" t="s">
        <v>23</v>
      </c>
      <c r="S9263" s="1" t="s">
        <v>34218</v>
      </c>
    </row>
    <row r="9264" spans="1:19" x14ac:dyDescent="0.25">
      <c r="A9264">
        <v>101442894</v>
      </c>
      <c r="B9264" t="s">
        <v>893</v>
      </c>
      <c r="C9264" t="s">
        <v>2044</v>
      </c>
      <c r="G9264" t="s">
        <v>18988</v>
      </c>
      <c r="H9264" t="s">
        <v>1531</v>
      </c>
      <c r="I9264" t="s">
        <v>84</v>
      </c>
      <c r="J9264">
        <v>98107</v>
      </c>
      <c r="K9264">
        <v>4107</v>
      </c>
      <c r="L9264" t="s">
        <v>23</v>
      </c>
      <c r="M9264" t="s">
        <v>18988</v>
      </c>
      <c r="N9264" t="s">
        <v>1531</v>
      </c>
      <c r="O9264" t="s">
        <v>84</v>
      </c>
      <c r="P9264">
        <v>98107</v>
      </c>
      <c r="Q9264">
        <v>4107</v>
      </c>
      <c r="R9264" t="s">
        <v>23</v>
      </c>
      <c r="S9264" s="1" t="s">
        <v>34218</v>
      </c>
    </row>
    <row r="9265" spans="1:19" x14ac:dyDescent="0.25">
      <c r="A9265">
        <v>101306810</v>
      </c>
      <c r="B9265" t="s">
        <v>21127</v>
      </c>
      <c r="C9265" t="s">
        <v>535</v>
      </c>
      <c r="G9265" t="s">
        <v>21128</v>
      </c>
      <c r="H9265" t="s">
        <v>737</v>
      </c>
      <c r="I9265" t="s">
        <v>255</v>
      </c>
      <c r="J9265">
        <v>23453</v>
      </c>
      <c r="K9265">
        <v>1816</v>
      </c>
      <c r="L9265" t="s">
        <v>23</v>
      </c>
      <c r="M9265" t="s">
        <v>21128</v>
      </c>
      <c r="N9265" t="s">
        <v>737</v>
      </c>
      <c r="O9265" t="s">
        <v>255</v>
      </c>
      <c r="P9265">
        <v>23453</v>
      </c>
      <c r="Q9265">
        <v>1816</v>
      </c>
      <c r="R9265" t="s">
        <v>23</v>
      </c>
      <c r="S9265" s="1" t="s">
        <v>34218</v>
      </c>
    </row>
    <row r="9266" spans="1:19" x14ac:dyDescent="0.25">
      <c r="A9266">
        <v>101434874</v>
      </c>
      <c r="B9266" t="s">
        <v>21129</v>
      </c>
      <c r="C9266" t="s">
        <v>14538</v>
      </c>
      <c r="G9266" t="s">
        <v>21130</v>
      </c>
      <c r="H9266" t="s">
        <v>3604</v>
      </c>
      <c r="I9266" t="s">
        <v>140</v>
      </c>
      <c r="J9266">
        <v>48331</v>
      </c>
      <c r="K9266">
        <v>2460</v>
      </c>
      <c r="L9266" t="s">
        <v>23</v>
      </c>
      <c r="M9266" t="s">
        <v>21130</v>
      </c>
      <c r="N9266" t="s">
        <v>3604</v>
      </c>
      <c r="O9266" t="s">
        <v>140</v>
      </c>
      <c r="P9266">
        <v>48331</v>
      </c>
      <c r="Q9266">
        <v>2460</v>
      </c>
      <c r="R9266" t="s">
        <v>23</v>
      </c>
      <c r="S9266" s="1" t="s">
        <v>34218</v>
      </c>
    </row>
    <row r="9267" spans="1:19" x14ac:dyDescent="0.25">
      <c r="A9267">
        <v>101362117</v>
      </c>
      <c r="B9267" t="s">
        <v>21131</v>
      </c>
      <c r="C9267" t="s">
        <v>216</v>
      </c>
      <c r="G9267" t="s">
        <v>21132</v>
      </c>
      <c r="H9267" t="s">
        <v>1431</v>
      </c>
      <c r="I9267" t="s">
        <v>639</v>
      </c>
      <c r="J9267">
        <v>87506</v>
      </c>
      <c r="K9267">
        <v>1155</v>
      </c>
      <c r="L9267" t="s">
        <v>23</v>
      </c>
      <c r="M9267" t="s">
        <v>21132</v>
      </c>
      <c r="N9267" t="s">
        <v>1431</v>
      </c>
      <c r="O9267" t="s">
        <v>639</v>
      </c>
      <c r="P9267">
        <v>87506</v>
      </c>
      <c r="Q9267">
        <v>1155</v>
      </c>
      <c r="R9267" t="s">
        <v>23</v>
      </c>
      <c r="S9267" s="1" t="s">
        <v>34218</v>
      </c>
    </row>
    <row r="9268" spans="1:19" x14ac:dyDescent="0.25">
      <c r="A9268">
        <v>100713599</v>
      </c>
      <c r="B9268" t="s">
        <v>21133</v>
      </c>
      <c r="C9268" t="s">
        <v>3164</v>
      </c>
      <c r="G9268" t="s">
        <v>21134</v>
      </c>
      <c r="H9268" t="s">
        <v>9751</v>
      </c>
      <c r="I9268" t="s">
        <v>9752</v>
      </c>
      <c r="J9268">
        <v>927</v>
      </c>
      <c r="K9268">
        <v>4236</v>
      </c>
      <c r="L9268" t="s">
        <v>23</v>
      </c>
      <c r="M9268" t="s">
        <v>21134</v>
      </c>
      <c r="N9268" t="s">
        <v>9751</v>
      </c>
      <c r="O9268" t="s">
        <v>9752</v>
      </c>
      <c r="P9268">
        <v>927</v>
      </c>
      <c r="Q9268">
        <v>4236</v>
      </c>
      <c r="R9268" t="s">
        <v>23</v>
      </c>
      <c r="S9268" s="1" t="s">
        <v>34218</v>
      </c>
    </row>
    <row r="9269" spans="1:19" x14ac:dyDescent="0.25">
      <c r="A9269">
        <v>101073356</v>
      </c>
      <c r="B9269" t="s">
        <v>4949</v>
      </c>
      <c r="C9269" t="s">
        <v>403</v>
      </c>
      <c r="G9269" t="s">
        <v>21135</v>
      </c>
      <c r="H9269" t="s">
        <v>21136</v>
      </c>
      <c r="I9269" t="s">
        <v>565</v>
      </c>
      <c r="J9269">
        <v>52033</v>
      </c>
      <c r="L9269" t="s">
        <v>23</v>
      </c>
      <c r="M9269" t="s">
        <v>21135</v>
      </c>
      <c r="N9269" t="s">
        <v>21136</v>
      </c>
      <c r="O9269" t="s">
        <v>565</v>
      </c>
      <c r="P9269">
        <v>52033</v>
      </c>
      <c r="R9269" t="s">
        <v>23</v>
      </c>
      <c r="S9269" s="1" t="s">
        <v>34218</v>
      </c>
    </row>
    <row r="9270" spans="1:19" x14ac:dyDescent="0.25">
      <c r="A9270">
        <v>101419354</v>
      </c>
      <c r="B9270" t="s">
        <v>21137</v>
      </c>
      <c r="C9270" t="s">
        <v>1737</v>
      </c>
      <c r="G9270" t="s">
        <v>21138</v>
      </c>
      <c r="H9270" t="s">
        <v>21139</v>
      </c>
      <c r="I9270" t="s">
        <v>255</v>
      </c>
      <c r="J9270">
        <v>22180</v>
      </c>
      <c r="K9270">
        <v>6921</v>
      </c>
      <c r="L9270" t="s">
        <v>23</v>
      </c>
      <c r="M9270" t="s">
        <v>21138</v>
      </c>
      <c r="N9270" t="s">
        <v>21139</v>
      </c>
      <c r="O9270" t="s">
        <v>255</v>
      </c>
      <c r="P9270">
        <v>22180</v>
      </c>
      <c r="Q9270">
        <v>6921</v>
      </c>
      <c r="R9270" t="s">
        <v>23</v>
      </c>
      <c r="S9270" s="1" t="s">
        <v>34218</v>
      </c>
    </row>
    <row r="9271" spans="1:19" x14ac:dyDescent="0.25">
      <c r="A9271">
        <v>101433861</v>
      </c>
      <c r="B9271" t="s">
        <v>21140</v>
      </c>
      <c r="C9271" t="s">
        <v>5024</v>
      </c>
      <c r="G9271" t="s">
        <v>21141</v>
      </c>
      <c r="H9271" t="s">
        <v>496</v>
      </c>
      <c r="I9271" t="s">
        <v>22</v>
      </c>
      <c r="J9271">
        <v>94952</v>
      </c>
      <c r="K9271">
        <v>1004</v>
      </c>
      <c r="L9271" t="s">
        <v>23</v>
      </c>
      <c r="M9271" t="s">
        <v>21141</v>
      </c>
      <c r="N9271" t="s">
        <v>496</v>
      </c>
      <c r="O9271" t="s">
        <v>22</v>
      </c>
      <c r="P9271">
        <v>94952</v>
      </c>
      <c r="Q9271">
        <v>1004</v>
      </c>
      <c r="R9271" t="s">
        <v>23</v>
      </c>
      <c r="S9271" s="1" t="s">
        <v>34218</v>
      </c>
    </row>
    <row r="9272" spans="1:19" x14ac:dyDescent="0.25">
      <c r="A9272">
        <v>101286202</v>
      </c>
      <c r="B9272" t="s">
        <v>12139</v>
      </c>
      <c r="C9272" t="s">
        <v>1327</v>
      </c>
      <c r="G9272" t="s">
        <v>21142</v>
      </c>
      <c r="H9272" t="s">
        <v>21143</v>
      </c>
      <c r="I9272" t="s">
        <v>135</v>
      </c>
      <c r="J9272">
        <v>61488</v>
      </c>
      <c r="K9272">
        <v>5126</v>
      </c>
      <c r="L9272" t="s">
        <v>23</v>
      </c>
      <c r="M9272" t="s">
        <v>21142</v>
      </c>
      <c r="N9272" t="s">
        <v>21143</v>
      </c>
      <c r="O9272" t="s">
        <v>135</v>
      </c>
      <c r="P9272">
        <v>61488</v>
      </c>
      <c r="Q9272">
        <v>5126</v>
      </c>
      <c r="R9272" t="s">
        <v>23</v>
      </c>
      <c r="S9272" s="1" t="s">
        <v>34218</v>
      </c>
    </row>
    <row r="9273" spans="1:19" x14ac:dyDescent="0.25">
      <c r="A9273">
        <v>101226226</v>
      </c>
      <c r="B9273" t="s">
        <v>21144</v>
      </c>
      <c r="C9273" t="s">
        <v>498</v>
      </c>
      <c r="G9273" t="s">
        <v>21145</v>
      </c>
      <c r="H9273" t="s">
        <v>17512</v>
      </c>
      <c r="I9273" t="s">
        <v>38</v>
      </c>
      <c r="J9273">
        <v>78620</v>
      </c>
      <c r="K9273">
        <v>5319</v>
      </c>
      <c r="L9273" t="s">
        <v>23</v>
      </c>
      <c r="M9273" t="s">
        <v>21145</v>
      </c>
      <c r="N9273" t="s">
        <v>17512</v>
      </c>
      <c r="O9273" t="s">
        <v>38</v>
      </c>
      <c r="P9273">
        <v>78620</v>
      </c>
      <c r="Q9273">
        <v>5319</v>
      </c>
      <c r="R9273" t="s">
        <v>23</v>
      </c>
      <c r="S9273" s="1" t="s">
        <v>34218</v>
      </c>
    </row>
    <row r="9274" spans="1:19" x14ac:dyDescent="0.25">
      <c r="A9274">
        <v>101282013</v>
      </c>
      <c r="B9274" t="s">
        <v>21146</v>
      </c>
      <c r="C9274" t="s">
        <v>959</v>
      </c>
      <c r="G9274" t="s">
        <v>21147</v>
      </c>
      <c r="H9274" t="s">
        <v>1250</v>
      </c>
      <c r="I9274" t="s">
        <v>52</v>
      </c>
      <c r="J9274">
        <v>34476</v>
      </c>
      <c r="L9274" t="s">
        <v>23</v>
      </c>
      <c r="M9274" t="s">
        <v>21147</v>
      </c>
      <c r="N9274" t="s">
        <v>1250</v>
      </c>
      <c r="O9274" t="s">
        <v>52</v>
      </c>
      <c r="P9274">
        <v>34476</v>
      </c>
      <c r="R9274" t="s">
        <v>23</v>
      </c>
      <c r="S9274" s="1" t="s">
        <v>34218</v>
      </c>
    </row>
    <row r="9275" spans="1:19" x14ac:dyDescent="0.25">
      <c r="A9275">
        <v>101426911</v>
      </c>
      <c r="B9275" t="s">
        <v>497</v>
      </c>
      <c r="C9275" t="s">
        <v>4284</v>
      </c>
      <c r="G9275" t="s">
        <v>21148</v>
      </c>
      <c r="H9275" t="s">
        <v>1229</v>
      </c>
      <c r="I9275" t="s">
        <v>38</v>
      </c>
      <c r="J9275">
        <v>78201</v>
      </c>
      <c r="K9275">
        <v>6725</v>
      </c>
      <c r="L9275" t="s">
        <v>23</v>
      </c>
      <c r="M9275" t="s">
        <v>21148</v>
      </c>
      <c r="N9275" t="s">
        <v>1229</v>
      </c>
      <c r="O9275" t="s">
        <v>38</v>
      </c>
      <c r="P9275">
        <v>78201</v>
      </c>
      <c r="Q9275">
        <v>6725</v>
      </c>
      <c r="R9275" t="s">
        <v>23</v>
      </c>
      <c r="S9275" s="1" t="s">
        <v>34218</v>
      </c>
    </row>
    <row r="9276" spans="1:19" x14ac:dyDescent="0.25">
      <c r="A9276">
        <v>101304080</v>
      </c>
      <c r="B9276" t="s">
        <v>1970</v>
      </c>
      <c r="C9276" t="s">
        <v>2453</v>
      </c>
      <c r="G9276" t="s">
        <v>21149</v>
      </c>
      <c r="H9276" t="s">
        <v>10819</v>
      </c>
      <c r="I9276" t="s">
        <v>38</v>
      </c>
      <c r="J9276">
        <v>77340</v>
      </c>
      <c r="K9276">
        <v>5009</v>
      </c>
      <c r="L9276" t="s">
        <v>23</v>
      </c>
      <c r="M9276" t="s">
        <v>21149</v>
      </c>
      <c r="N9276" t="s">
        <v>10819</v>
      </c>
      <c r="O9276" t="s">
        <v>38</v>
      </c>
      <c r="P9276">
        <v>77340</v>
      </c>
      <c r="Q9276">
        <v>5009</v>
      </c>
      <c r="R9276" t="s">
        <v>23</v>
      </c>
      <c r="S9276" s="1" t="s">
        <v>34218</v>
      </c>
    </row>
    <row r="9277" spans="1:19" x14ac:dyDescent="0.25">
      <c r="A9277">
        <v>101258439</v>
      </c>
      <c r="B9277" t="s">
        <v>402</v>
      </c>
      <c r="C9277" t="s">
        <v>21150</v>
      </c>
      <c r="G9277" t="s">
        <v>21151</v>
      </c>
      <c r="H9277" t="s">
        <v>3737</v>
      </c>
      <c r="I9277" t="s">
        <v>203</v>
      </c>
      <c r="J9277">
        <v>82609</v>
      </c>
      <c r="K9277">
        <v>2902</v>
      </c>
      <c r="L9277" t="s">
        <v>23</v>
      </c>
      <c r="M9277" t="s">
        <v>21151</v>
      </c>
      <c r="N9277" t="s">
        <v>3737</v>
      </c>
      <c r="O9277" t="s">
        <v>203</v>
      </c>
      <c r="P9277">
        <v>82609</v>
      </c>
      <c r="Q9277">
        <v>2902</v>
      </c>
      <c r="R9277" t="s">
        <v>23</v>
      </c>
      <c r="S9277" s="1" t="s">
        <v>34218</v>
      </c>
    </row>
    <row r="9278" spans="1:19" x14ac:dyDescent="0.25">
      <c r="A9278">
        <v>100802592</v>
      </c>
      <c r="B9278" t="s">
        <v>21152</v>
      </c>
      <c r="C9278" t="s">
        <v>21153</v>
      </c>
      <c r="G9278" t="s">
        <v>21154</v>
      </c>
      <c r="H9278" t="s">
        <v>227</v>
      </c>
      <c r="I9278" t="s">
        <v>191</v>
      </c>
      <c r="J9278">
        <v>4103</v>
      </c>
      <c r="K9278">
        <v>1893</v>
      </c>
      <c r="L9278" t="s">
        <v>23</v>
      </c>
      <c r="M9278" t="s">
        <v>21154</v>
      </c>
      <c r="N9278" t="s">
        <v>227</v>
      </c>
      <c r="O9278" t="s">
        <v>191</v>
      </c>
      <c r="P9278">
        <v>4103</v>
      </c>
      <c r="Q9278">
        <v>1893</v>
      </c>
      <c r="R9278" t="s">
        <v>23</v>
      </c>
      <c r="S9278" s="1" t="s">
        <v>34218</v>
      </c>
    </row>
    <row r="9279" spans="1:19" x14ac:dyDescent="0.25">
      <c r="A9279">
        <v>101362929</v>
      </c>
      <c r="B9279" t="s">
        <v>4727</v>
      </c>
      <c r="C9279" t="s">
        <v>3545</v>
      </c>
      <c r="G9279" t="s">
        <v>21155</v>
      </c>
      <c r="H9279" t="s">
        <v>21156</v>
      </c>
      <c r="I9279" t="s">
        <v>117</v>
      </c>
      <c r="J9279">
        <v>11415</v>
      </c>
      <c r="L9279" t="s">
        <v>23</v>
      </c>
      <c r="M9279" t="s">
        <v>21155</v>
      </c>
      <c r="N9279" t="s">
        <v>21156</v>
      </c>
      <c r="O9279" t="s">
        <v>117</v>
      </c>
      <c r="P9279">
        <v>11415</v>
      </c>
      <c r="R9279" t="s">
        <v>23</v>
      </c>
      <c r="S9279" s="1" t="s">
        <v>34218</v>
      </c>
    </row>
    <row r="9280" spans="1:19" x14ac:dyDescent="0.25">
      <c r="A9280">
        <v>101059339</v>
      </c>
      <c r="B9280" t="s">
        <v>21157</v>
      </c>
      <c r="C9280" t="s">
        <v>81</v>
      </c>
      <c r="G9280" t="s">
        <v>21158</v>
      </c>
      <c r="H9280" t="s">
        <v>2132</v>
      </c>
      <c r="I9280" t="s">
        <v>250</v>
      </c>
      <c r="J9280">
        <v>7059</v>
      </c>
      <c r="L9280" t="s">
        <v>23</v>
      </c>
      <c r="M9280" t="s">
        <v>21158</v>
      </c>
      <c r="N9280" t="s">
        <v>2132</v>
      </c>
      <c r="O9280" t="s">
        <v>250</v>
      </c>
      <c r="P9280">
        <v>7059</v>
      </c>
      <c r="R9280" t="s">
        <v>23</v>
      </c>
      <c r="S9280" s="1" t="s">
        <v>34218</v>
      </c>
    </row>
    <row r="9281" spans="1:19" x14ac:dyDescent="0.25">
      <c r="A9281">
        <v>100994408</v>
      </c>
      <c r="B9281" t="s">
        <v>19227</v>
      </c>
      <c r="C9281" t="s">
        <v>2603</v>
      </c>
      <c r="G9281" t="s">
        <v>21159</v>
      </c>
      <c r="H9281" t="s">
        <v>21160</v>
      </c>
      <c r="I9281" t="s">
        <v>22</v>
      </c>
      <c r="J9281">
        <v>92336</v>
      </c>
      <c r="K9281">
        <v>2485</v>
      </c>
      <c r="L9281" t="s">
        <v>23</v>
      </c>
      <c r="M9281" t="s">
        <v>21159</v>
      </c>
      <c r="N9281" t="s">
        <v>21160</v>
      </c>
      <c r="O9281" t="s">
        <v>22</v>
      </c>
      <c r="P9281">
        <v>92336</v>
      </c>
      <c r="Q9281">
        <v>2485</v>
      </c>
      <c r="R9281" t="s">
        <v>23</v>
      </c>
      <c r="S9281" s="1" t="s">
        <v>34218</v>
      </c>
    </row>
    <row r="9282" spans="1:19" x14ac:dyDescent="0.25">
      <c r="A9282">
        <v>100769373</v>
      </c>
      <c r="B9282" t="s">
        <v>21161</v>
      </c>
      <c r="C9282" t="s">
        <v>1429</v>
      </c>
      <c r="F9282" t="str">
        <f>"8172539823"</f>
        <v>8172539823</v>
      </c>
      <c r="G9282" t="s">
        <v>21162</v>
      </c>
      <c r="H9282" t="s">
        <v>3972</v>
      </c>
      <c r="I9282" t="s">
        <v>1387</v>
      </c>
      <c r="J9282">
        <v>35235</v>
      </c>
      <c r="L9282" t="s">
        <v>23</v>
      </c>
      <c r="M9282" t="s">
        <v>21162</v>
      </c>
      <c r="N9282" t="s">
        <v>3972</v>
      </c>
      <c r="O9282" t="s">
        <v>1387</v>
      </c>
      <c r="P9282">
        <v>35235</v>
      </c>
      <c r="R9282" t="s">
        <v>23</v>
      </c>
      <c r="S9282" s="1" t="s">
        <v>34218</v>
      </c>
    </row>
    <row r="9283" spans="1:19" x14ac:dyDescent="0.25">
      <c r="A9283">
        <v>101311669</v>
      </c>
      <c r="B9283" t="s">
        <v>21163</v>
      </c>
      <c r="C9283" t="s">
        <v>1703</v>
      </c>
      <c r="G9283" t="s">
        <v>21164</v>
      </c>
      <c r="H9283" t="s">
        <v>1803</v>
      </c>
      <c r="I9283" t="s">
        <v>135</v>
      </c>
      <c r="J9283">
        <v>60123</v>
      </c>
      <c r="K9283">
        <v>3324</v>
      </c>
      <c r="L9283" t="s">
        <v>23</v>
      </c>
      <c r="M9283" t="s">
        <v>21164</v>
      </c>
      <c r="N9283" t="s">
        <v>1803</v>
      </c>
      <c r="O9283" t="s">
        <v>135</v>
      </c>
      <c r="P9283">
        <v>60123</v>
      </c>
      <c r="Q9283">
        <v>3324</v>
      </c>
      <c r="R9283" t="s">
        <v>23</v>
      </c>
      <c r="S9283" s="1" t="s">
        <v>34218</v>
      </c>
    </row>
    <row r="9284" spans="1:19" x14ac:dyDescent="0.25">
      <c r="A9284">
        <v>101430591</v>
      </c>
      <c r="B9284" t="s">
        <v>21165</v>
      </c>
      <c r="C9284" t="s">
        <v>1212</v>
      </c>
      <c r="G9284" t="s">
        <v>21166</v>
      </c>
      <c r="H9284" t="s">
        <v>21167</v>
      </c>
      <c r="I9284" t="s">
        <v>117</v>
      </c>
      <c r="J9284">
        <v>11791</v>
      </c>
      <c r="K9284">
        <v>3865</v>
      </c>
      <c r="L9284" t="s">
        <v>23</v>
      </c>
      <c r="M9284" t="s">
        <v>21166</v>
      </c>
      <c r="N9284" t="s">
        <v>21167</v>
      </c>
      <c r="O9284" t="s">
        <v>117</v>
      </c>
      <c r="P9284">
        <v>11791</v>
      </c>
      <c r="Q9284">
        <v>3865</v>
      </c>
      <c r="R9284" t="s">
        <v>23</v>
      </c>
      <c r="S9284" s="1" t="s">
        <v>34218</v>
      </c>
    </row>
    <row r="9285" spans="1:19" x14ac:dyDescent="0.25">
      <c r="A9285">
        <v>101011082</v>
      </c>
      <c r="B9285" t="s">
        <v>237</v>
      </c>
      <c r="C9285" t="s">
        <v>9629</v>
      </c>
      <c r="G9285" t="s">
        <v>21168</v>
      </c>
      <c r="H9285" t="s">
        <v>1250</v>
      </c>
      <c r="I9285" t="s">
        <v>52</v>
      </c>
      <c r="J9285">
        <v>34478</v>
      </c>
      <c r="K9285">
        <v>7740</v>
      </c>
      <c r="L9285" t="s">
        <v>23</v>
      </c>
      <c r="M9285" t="s">
        <v>21168</v>
      </c>
      <c r="N9285" t="s">
        <v>1250</v>
      </c>
      <c r="O9285" t="s">
        <v>52</v>
      </c>
      <c r="P9285">
        <v>34478</v>
      </c>
      <c r="Q9285">
        <v>7740</v>
      </c>
      <c r="R9285" t="s">
        <v>23</v>
      </c>
      <c r="S9285" s="1" t="s">
        <v>34218</v>
      </c>
    </row>
    <row r="9286" spans="1:19" x14ac:dyDescent="0.25">
      <c r="A9286">
        <v>101428945</v>
      </c>
      <c r="B9286" t="s">
        <v>21169</v>
      </c>
      <c r="C9286" t="s">
        <v>19953</v>
      </c>
      <c r="G9286" t="s">
        <v>21170</v>
      </c>
      <c r="H9286" t="s">
        <v>11077</v>
      </c>
      <c r="I9286" t="s">
        <v>84</v>
      </c>
      <c r="J9286">
        <v>98584</v>
      </c>
      <c r="K9286">
        <v>2459</v>
      </c>
      <c r="L9286" t="s">
        <v>23</v>
      </c>
      <c r="M9286" t="s">
        <v>21170</v>
      </c>
      <c r="N9286" t="s">
        <v>11077</v>
      </c>
      <c r="O9286" t="s">
        <v>84</v>
      </c>
      <c r="P9286">
        <v>98584</v>
      </c>
      <c r="Q9286">
        <v>2459</v>
      </c>
      <c r="R9286" t="s">
        <v>23</v>
      </c>
      <c r="S9286" s="1" t="s">
        <v>34218</v>
      </c>
    </row>
    <row r="9287" spans="1:19" x14ac:dyDescent="0.25">
      <c r="A9287">
        <v>100778412</v>
      </c>
      <c r="B9287" t="s">
        <v>21171</v>
      </c>
      <c r="C9287" t="s">
        <v>403</v>
      </c>
      <c r="G9287" t="s">
        <v>21172</v>
      </c>
      <c r="H9287" t="s">
        <v>6515</v>
      </c>
      <c r="I9287" t="s">
        <v>22</v>
      </c>
      <c r="J9287">
        <v>90266</v>
      </c>
      <c r="L9287" t="s">
        <v>23</v>
      </c>
      <c r="M9287" t="s">
        <v>21172</v>
      </c>
      <c r="N9287" t="s">
        <v>6515</v>
      </c>
      <c r="O9287" t="s">
        <v>22</v>
      </c>
      <c r="P9287">
        <v>90266</v>
      </c>
      <c r="R9287" t="s">
        <v>23</v>
      </c>
      <c r="S9287" s="1" t="s">
        <v>34218</v>
      </c>
    </row>
    <row r="9288" spans="1:19" x14ac:dyDescent="0.25">
      <c r="A9288">
        <v>101354370</v>
      </c>
      <c r="B9288" t="s">
        <v>14056</v>
      </c>
      <c r="C9288" t="s">
        <v>21173</v>
      </c>
      <c r="G9288" t="s">
        <v>21174</v>
      </c>
      <c r="H9288" t="s">
        <v>412</v>
      </c>
      <c r="I9288" t="s">
        <v>117</v>
      </c>
      <c r="J9288">
        <v>11230</v>
      </c>
      <c r="K9288">
        <v>3801</v>
      </c>
      <c r="L9288" t="s">
        <v>23</v>
      </c>
      <c r="M9288" t="s">
        <v>21174</v>
      </c>
      <c r="N9288" t="s">
        <v>412</v>
      </c>
      <c r="O9288" t="s">
        <v>117</v>
      </c>
      <c r="P9288">
        <v>11230</v>
      </c>
      <c r="Q9288">
        <v>3801</v>
      </c>
      <c r="R9288" t="s">
        <v>23</v>
      </c>
      <c r="S9288" s="1" t="s">
        <v>34218</v>
      </c>
    </row>
    <row r="9289" spans="1:19" x14ac:dyDescent="0.25">
      <c r="A9289">
        <v>101217008</v>
      </c>
      <c r="B9289" t="s">
        <v>21175</v>
      </c>
      <c r="C9289" t="s">
        <v>2741</v>
      </c>
      <c r="F9289" t="str">
        <f>"3233439093"</f>
        <v>3233439093</v>
      </c>
      <c r="G9289" t="s">
        <v>21176</v>
      </c>
      <c r="H9289" t="s">
        <v>299</v>
      </c>
      <c r="I9289" t="s">
        <v>22</v>
      </c>
      <c r="J9289">
        <v>90065</v>
      </c>
      <c r="K9289">
        <v>5060</v>
      </c>
      <c r="L9289" t="s">
        <v>23</v>
      </c>
      <c r="M9289" t="s">
        <v>21176</v>
      </c>
      <c r="N9289" t="s">
        <v>299</v>
      </c>
      <c r="O9289" t="s">
        <v>22</v>
      </c>
      <c r="P9289">
        <v>90065</v>
      </c>
      <c r="Q9289">
        <v>5060</v>
      </c>
      <c r="R9289" t="s">
        <v>23</v>
      </c>
      <c r="S9289" s="1" t="s">
        <v>34218</v>
      </c>
    </row>
    <row r="9290" spans="1:19" x14ac:dyDescent="0.25">
      <c r="A9290">
        <v>101222197</v>
      </c>
      <c r="B9290" t="s">
        <v>21177</v>
      </c>
      <c r="C9290" t="s">
        <v>114</v>
      </c>
      <c r="G9290" t="s">
        <v>21178</v>
      </c>
      <c r="H9290" t="s">
        <v>2215</v>
      </c>
      <c r="I9290" t="s">
        <v>84</v>
      </c>
      <c r="J9290">
        <v>98362</v>
      </c>
      <c r="K9290">
        <v>2803</v>
      </c>
      <c r="L9290" t="s">
        <v>23</v>
      </c>
      <c r="M9290" t="s">
        <v>21178</v>
      </c>
      <c r="N9290" t="s">
        <v>2215</v>
      </c>
      <c r="O9290" t="s">
        <v>84</v>
      </c>
      <c r="P9290">
        <v>98362</v>
      </c>
      <c r="Q9290">
        <v>2803</v>
      </c>
      <c r="R9290" t="s">
        <v>23</v>
      </c>
      <c r="S9290" s="1" t="s">
        <v>34218</v>
      </c>
    </row>
    <row r="9291" spans="1:19" x14ac:dyDescent="0.25">
      <c r="A9291">
        <v>101224781</v>
      </c>
      <c r="B9291" t="s">
        <v>3438</v>
      </c>
      <c r="C9291" t="s">
        <v>1588</v>
      </c>
      <c r="F9291" t="str">
        <f>"8604237433"</f>
        <v>8604237433</v>
      </c>
      <c r="G9291" t="s">
        <v>21179</v>
      </c>
      <c r="H9291" t="s">
        <v>13549</v>
      </c>
      <c r="I9291" t="s">
        <v>161</v>
      </c>
      <c r="J9291">
        <v>6250</v>
      </c>
      <c r="K9291">
        <v>1201</v>
      </c>
      <c r="L9291" t="s">
        <v>23</v>
      </c>
      <c r="M9291" t="s">
        <v>21179</v>
      </c>
      <c r="N9291" t="s">
        <v>13549</v>
      </c>
      <c r="O9291" t="s">
        <v>161</v>
      </c>
      <c r="P9291">
        <v>6250</v>
      </c>
      <c r="Q9291">
        <v>1201</v>
      </c>
      <c r="R9291" t="s">
        <v>23</v>
      </c>
      <c r="S9291" s="1" t="s">
        <v>34218</v>
      </c>
    </row>
    <row r="9292" spans="1:19" x14ac:dyDescent="0.25">
      <c r="A9292">
        <v>101223594</v>
      </c>
      <c r="B9292" t="s">
        <v>21180</v>
      </c>
      <c r="C9292" t="s">
        <v>9807</v>
      </c>
      <c r="G9292" t="s">
        <v>21181</v>
      </c>
      <c r="H9292" t="s">
        <v>7649</v>
      </c>
      <c r="I9292" t="s">
        <v>57</v>
      </c>
      <c r="J9292">
        <v>46227</v>
      </c>
      <c r="K9292">
        <v>6624</v>
      </c>
      <c r="L9292" t="s">
        <v>23</v>
      </c>
      <c r="M9292" t="s">
        <v>21181</v>
      </c>
      <c r="N9292" t="s">
        <v>7649</v>
      </c>
      <c r="O9292" t="s">
        <v>57</v>
      </c>
      <c r="P9292">
        <v>46227</v>
      </c>
      <c r="Q9292">
        <v>6624</v>
      </c>
      <c r="R9292" t="s">
        <v>23</v>
      </c>
      <c r="S9292" s="1" t="s">
        <v>34218</v>
      </c>
    </row>
    <row r="9293" spans="1:19" x14ac:dyDescent="0.25">
      <c r="A9293">
        <v>101355731</v>
      </c>
      <c r="B9293" t="s">
        <v>13167</v>
      </c>
      <c r="C9293" t="s">
        <v>5822</v>
      </c>
      <c r="G9293" t="s">
        <v>21182</v>
      </c>
      <c r="H9293" t="s">
        <v>21183</v>
      </c>
      <c r="I9293" t="s">
        <v>33</v>
      </c>
      <c r="J9293">
        <v>18066</v>
      </c>
      <c r="K9293">
        <v>3923</v>
      </c>
      <c r="L9293" t="s">
        <v>23</v>
      </c>
      <c r="M9293" t="s">
        <v>21182</v>
      </c>
      <c r="N9293" t="s">
        <v>21183</v>
      </c>
      <c r="O9293" t="s">
        <v>33</v>
      </c>
      <c r="P9293">
        <v>18066</v>
      </c>
      <c r="Q9293">
        <v>3923</v>
      </c>
      <c r="R9293" t="s">
        <v>23</v>
      </c>
      <c r="S9293" s="1" t="s">
        <v>34218</v>
      </c>
    </row>
    <row r="9294" spans="1:19" x14ac:dyDescent="0.25">
      <c r="A9294">
        <v>100523162</v>
      </c>
      <c r="B9294" t="s">
        <v>21184</v>
      </c>
      <c r="C9294" t="s">
        <v>350</v>
      </c>
      <c r="G9294" t="s">
        <v>21185</v>
      </c>
      <c r="H9294" t="s">
        <v>972</v>
      </c>
      <c r="I9294" t="s">
        <v>135</v>
      </c>
      <c r="J9294">
        <v>60068</v>
      </c>
      <c r="K9294">
        <v>7418</v>
      </c>
      <c r="L9294" t="s">
        <v>23</v>
      </c>
      <c r="M9294" t="s">
        <v>21185</v>
      </c>
      <c r="N9294" t="s">
        <v>972</v>
      </c>
      <c r="O9294" t="s">
        <v>135</v>
      </c>
      <c r="P9294">
        <v>60068</v>
      </c>
      <c r="Q9294">
        <v>7418</v>
      </c>
      <c r="R9294" t="s">
        <v>23</v>
      </c>
      <c r="S9294" s="1" t="s">
        <v>34218</v>
      </c>
    </row>
    <row r="9295" spans="1:19" x14ac:dyDescent="0.25">
      <c r="A9295">
        <v>100516028</v>
      </c>
      <c r="B9295" t="s">
        <v>21186</v>
      </c>
      <c r="C9295" t="s">
        <v>1327</v>
      </c>
      <c r="G9295" t="s">
        <v>21187</v>
      </c>
      <c r="H9295" t="s">
        <v>12124</v>
      </c>
      <c r="I9295" t="s">
        <v>250</v>
      </c>
      <c r="J9295">
        <v>7701</v>
      </c>
      <c r="K9295">
        <v>1614</v>
      </c>
      <c r="L9295" t="s">
        <v>23</v>
      </c>
      <c r="M9295" t="s">
        <v>21187</v>
      </c>
      <c r="N9295" t="s">
        <v>12124</v>
      </c>
      <c r="O9295" t="s">
        <v>250</v>
      </c>
      <c r="P9295">
        <v>7701</v>
      </c>
      <c r="Q9295">
        <v>1614</v>
      </c>
      <c r="R9295" t="s">
        <v>23</v>
      </c>
      <c r="S9295" s="1" t="s">
        <v>34218</v>
      </c>
    </row>
    <row r="9296" spans="1:19" x14ac:dyDescent="0.25">
      <c r="A9296">
        <v>101469755</v>
      </c>
      <c r="B9296" t="s">
        <v>8032</v>
      </c>
      <c r="C9296" t="s">
        <v>1873</v>
      </c>
      <c r="G9296" t="s">
        <v>21188</v>
      </c>
      <c r="H9296" t="s">
        <v>5983</v>
      </c>
      <c r="I9296" t="s">
        <v>250</v>
      </c>
      <c r="J9296">
        <v>7087</v>
      </c>
      <c r="K9296">
        <v>2702</v>
      </c>
      <c r="L9296" t="s">
        <v>23</v>
      </c>
      <c r="M9296" t="s">
        <v>21188</v>
      </c>
      <c r="N9296" t="s">
        <v>5983</v>
      </c>
      <c r="O9296" t="s">
        <v>250</v>
      </c>
      <c r="P9296">
        <v>7087</v>
      </c>
      <c r="Q9296">
        <v>2702</v>
      </c>
      <c r="R9296" t="s">
        <v>23</v>
      </c>
      <c r="S9296" s="1" t="s">
        <v>34218</v>
      </c>
    </row>
    <row r="9297" spans="1:19" x14ac:dyDescent="0.25">
      <c r="A9297">
        <v>101467056</v>
      </c>
      <c r="B9297" t="s">
        <v>928</v>
      </c>
      <c r="C9297" t="s">
        <v>4049</v>
      </c>
      <c r="G9297" t="s">
        <v>21189</v>
      </c>
      <c r="H9297" t="s">
        <v>21190</v>
      </c>
      <c r="I9297" t="s">
        <v>117</v>
      </c>
      <c r="J9297">
        <v>11953</v>
      </c>
      <c r="K9297">
        <v>1503</v>
      </c>
      <c r="L9297" t="s">
        <v>23</v>
      </c>
      <c r="M9297" t="s">
        <v>21189</v>
      </c>
      <c r="N9297" t="s">
        <v>21190</v>
      </c>
      <c r="O9297" t="s">
        <v>117</v>
      </c>
      <c r="P9297">
        <v>11953</v>
      </c>
      <c r="Q9297">
        <v>1503</v>
      </c>
      <c r="R9297" t="s">
        <v>23</v>
      </c>
      <c r="S9297" s="1" t="s">
        <v>34218</v>
      </c>
    </row>
    <row r="9298" spans="1:19" x14ac:dyDescent="0.25">
      <c r="A9298">
        <v>101443631</v>
      </c>
      <c r="B9298" t="s">
        <v>21191</v>
      </c>
      <c r="C9298" t="s">
        <v>483</v>
      </c>
      <c r="G9298" t="s">
        <v>21192</v>
      </c>
      <c r="H9298" t="s">
        <v>625</v>
      </c>
      <c r="I9298" t="s">
        <v>365</v>
      </c>
      <c r="J9298">
        <v>85213</v>
      </c>
      <c r="L9298" t="s">
        <v>23</v>
      </c>
      <c r="M9298" t="s">
        <v>21192</v>
      </c>
      <c r="N9298" t="s">
        <v>625</v>
      </c>
      <c r="O9298" t="s">
        <v>365</v>
      </c>
      <c r="P9298">
        <v>85213</v>
      </c>
      <c r="R9298" t="s">
        <v>23</v>
      </c>
      <c r="S9298" s="1" t="s">
        <v>34218</v>
      </c>
    </row>
    <row r="9299" spans="1:19" x14ac:dyDescent="0.25">
      <c r="A9299">
        <v>101467207</v>
      </c>
      <c r="B9299" t="s">
        <v>7177</v>
      </c>
      <c r="C9299" t="s">
        <v>575</v>
      </c>
      <c r="G9299" t="s">
        <v>21193</v>
      </c>
      <c r="H9299" t="s">
        <v>653</v>
      </c>
      <c r="I9299" t="s">
        <v>117</v>
      </c>
      <c r="J9299">
        <v>10035</v>
      </c>
      <c r="K9299">
        <v>2772</v>
      </c>
      <c r="L9299" t="s">
        <v>23</v>
      </c>
      <c r="M9299" t="s">
        <v>21193</v>
      </c>
      <c r="N9299" t="s">
        <v>653</v>
      </c>
      <c r="O9299" t="s">
        <v>117</v>
      </c>
      <c r="P9299">
        <v>10035</v>
      </c>
      <c r="Q9299">
        <v>2772</v>
      </c>
      <c r="R9299" t="s">
        <v>23</v>
      </c>
      <c r="S9299" s="1" t="s">
        <v>34218</v>
      </c>
    </row>
    <row r="9300" spans="1:19" x14ac:dyDescent="0.25">
      <c r="A9300">
        <v>101467994</v>
      </c>
      <c r="B9300" t="s">
        <v>1330</v>
      </c>
      <c r="C9300" t="s">
        <v>119</v>
      </c>
      <c r="G9300" t="s">
        <v>21194</v>
      </c>
      <c r="H9300" t="s">
        <v>276</v>
      </c>
      <c r="I9300" t="s">
        <v>22</v>
      </c>
      <c r="J9300">
        <v>95616</v>
      </c>
      <c r="K9300">
        <v>849</v>
      </c>
      <c r="L9300" t="s">
        <v>23</v>
      </c>
      <c r="M9300" t="s">
        <v>21194</v>
      </c>
      <c r="N9300" t="s">
        <v>276</v>
      </c>
      <c r="O9300" t="s">
        <v>22</v>
      </c>
      <c r="P9300">
        <v>95616</v>
      </c>
      <c r="Q9300">
        <v>849</v>
      </c>
      <c r="R9300" t="s">
        <v>23</v>
      </c>
      <c r="S9300" s="1" t="s">
        <v>34218</v>
      </c>
    </row>
    <row r="9301" spans="1:19" x14ac:dyDescent="0.25">
      <c r="A9301">
        <v>101161165</v>
      </c>
      <c r="B9301" t="s">
        <v>19301</v>
      </c>
      <c r="C9301" t="s">
        <v>49</v>
      </c>
      <c r="G9301" t="s">
        <v>21195</v>
      </c>
      <c r="H9301" t="s">
        <v>2931</v>
      </c>
      <c r="I9301" t="s">
        <v>22</v>
      </c>
      <c r="J9301">
        <v>93460</v>
      </c>
      <c r="K9301">
        <v>728</v>
      </c>
      <c r="L9301" t="s">
        <v>23</v>
      </c>
      <c r="M9301" t="s">
        <v>21195</v>
      </c>
      <c r="N9301" t="s">
        <v>2931</v>
      </c>
      <c r="O9301" t="s">
        <v>22</v>
      </c>
      <c r="P9301">
        <v>93460</v>
      </c>
      <c r="Q9301">
        <v>728</v>
      </c>
      <c r="R9301" t="s">
        <v>23</v>
      </c>
      <c r="S9301" s="1" t="s">
        <v>34218</v>
      </c>
    </row>
    <row r="9302" spans="1:19" x14ac:dyDescent="0.25">
      <c r="A9302">
        <v>101437748</v>
      </c>
      <c r="B9302" t="s">
        <v>328</v>
      </c>
      <c r="C9302" t="s">
        <v>21196</v>
      </c>
      <c r="G9302" t="s">
        <v>21197</v>
      </c>
      <c r="H9302" t="s">
        <v>21198</v>
      </c>
      <c r="I9302" t="s">
        <v>153</v>
      </c>
      <c r="J9302">
        <v>70301</v>
      </c>
      <c r="K9302">
        <v>5758</v>
      </c>
      <c r="L9302" t="s">
        <v>23</v>
      </c>
      <c r="M9302" t="s">
        <v>21197</v>
      </c>
      <c r="N9302" t="s">
        <v>21198</v>
      </c>
      <c r="O9302" t="s">
        <v>153</v>
      </c>
      <c r="P9302">
        <v>70301</v>
      </c>
      <c r="Q9302">
        <v>5758</v>
      </c>
      <c r="R9302" t="s">
        <v>23</v>
      </c>
      <c r="S9302" s="1" t="s">
        <v>34218</v>
      </c>
    </row>
    <row r="9303" spans="1:19" x14ac:dyDescent="0.25">
      <c r="A9303">
        <v>101253293</v>
      </c>
      <c r="B9303" t="s">
        <v>18807</v>
      </c>
      <c r="C9303" t="s">
        <v>1218</v>
      </c>
      <c r="G9303" t="s">
        <v>18532</v>
      </c>
      <c r="H9303" t="s">
        <v>2982</v>
      </c>
      <c r="I9303" t="s">
        <v>22</v>
      </c>
      <c r="J9303">
        <v>93440</v>
      </c>
      <c r="K9303">
        <v>907</v>
      </c>
      <c r="L9303" t="s">
        <v>23</v>
      </c>
      <c r="M9303" t="s">
        <v>18532</v>
      </c>
      <c r="N9303" t="s">
        <v>2982</v>
      </c>
      <c r="O9303" t="s">
        <v>22</v>
      </c>
      <c r="P9303">
        <v>93440</v>
      </c>
      <c r="Q9303">
        <v>907</v>
      </c>
      <c r="R9303" t="s">
        <v>23</v>
      </c>
      <c r="S9303" s="1" t="s">
        <v>34218</v>
      </c>
    </row>
    <row r="9304" spans="1:19" x14ac:dyDescent="0.25">
      <c r="A9304">
        <v>101232575</v>
      </c>
      <c r="B9304" t="s">
        <v>21199</v>
      </c>
      <c r="C9304" t="s">
        <v>1793</v>
      </c>
      <c r="G9304" t="s">
        <v>21200</v>
      </c>
      <c r="H9304" t="s">
        <v>21201</v>
      </c>
      <c r="I9304" t="s">
        <v>140</v>
      </c>
      <c r="J9304">
        <v>49337</v>
      </c>
      <c r="K9304">
        <v>9508</v>
      </c>
      <c r="L9304" t="s">
        <v>23</v>
      </c>
      <c r="M9304" t="s">
        <v>21200</v>
      </c>
      <c r="N9304" t="s">
        <v>21201</v>
      </c>
      <c r="O9304" t="s">
        <v>140</v>
      </c>
      <c r="P9304">
        <v>49337</v>
      </c>
      <c r="Q9304">
        <v>9508</v>
      </c>
      <c r="R9304" t="s">
        <v>23</v>
      </c>
      <c r="S9304" s="1" t="s">
        <v>34218</v>
      </c>
    </row>
    <row r="9305" spans="1:19" x14ac:dyDescent="0.25">
      <c r="A9305">
        <v>100512345</v>
      </c>
      <c r="B9305" t="s">
        <v>4248</v>
      </c>
      <c r="C9305" t="s">
        <v>21202</v>
      </c>
      <c r="G9305" t="s">
        <v>4250</v>
      </c>
      <c r="H9305" t="s">
        <v>4251</v>
      </c>
      <c r="I9305" t="s">
        <v>914</v>
      </c>
      <c r="J9305">
        <v>37890</v>
      </c>
      <c r="K9305">
        <v>4903</v>
      </c>
      <c r="L9305" t="s">
        <v>23</v>
      </c>
      <c r="M9305" t="s">
        <v>4250</v>
      </c>
      <c r="N9305" t="s">
        <v>4251</v>
      </c>
      <c r="O9305" t="s">
        <v>914</v>
      </c>
      <c r="P9305">
        <v>37890</v>
      </c>
      <c r="Q9305">
        <v>4903</v>
      </c>
      <c r="R9305" t="s">
        <v>23</v>
      </c>
      <c r="S9305" s="1" t="s">
        <v>34218</v>
      </c>
    </row>
    <row r="9306" spans="1:19" x14ac:dyDescent="0.25">
      <c r="A9306">
        <v>101481212</v>
      </c>
      <c r="B9306" t="s">
        <v>21203</v>
      </c>
      <c r="C9306" t="s">
        <v>1218</v>
      </c>
      <c r="G9306" t="s">
        <v>21204</v>
      </c>
      <c r="H9306" t="s">
        <v>2178</v>
      </c>
      <c r="I9306" t="s">
        <v>28</v>
      </c>
      <c r="J9306">
        <v>30097</v>
      </c>
      <c r="K9306">
        <v>4000</v>
      </c>
      <c r="L9306" t="s">
        <v>23</v>
      </c>
      <c r="M9306" t="s">
        <v>21204</v>
      </c>
      <c r="N9306" t="s">
        <v>2178</v>
      </c>
      <c r="O9306" t="s">
        <v>28</v>
      </c>
      <c r="P9306">
        <v>30097</v>
      </c>
      <c r="Q9306">
        <v>4000</v>
      </c>
      <c r="R9306" t="s">
        <v>23</v>
      </c>
      <c r="S9306" s="1" t="s">
        <v>34218</v>
      </c>
    </row>
    <row r="9307" spans="1:19" x14ac:dyDescent="0.25">
      <c r="A9307">
        <v>101423096</v>
      </c>
      <c r="B9307" t="s">
        <v>10269</v>
      </c>
      <c r="C9307" t="s">
        <v>21205</v>
      </c>
      <c r="G9307" t="s">
        <v>21206</v>
      </c>
      <c r="H9307" t="s">
        <v>2714</v>
      </c>
      <c r="I9307" t="s">
        <v>22</v>
      </c>
      <c r="J9307">
        <v>94005</v>
      </c>
      <c r="L9307" t="s">
        <v>23</v>
      </c>
      <c r="M9307" t="s">
        <v>21206</v>
      </c>
      <c r="N9307" t="s">
        <v>2714</v>
      </c>
      <c r="O9307" t="s">
        <v>22</v>
      </c>
      <c r="P9307">
        <v>94005</v>
      </c>
      <c r="R9307" t="s">
        <v>23</v>
      </c>
      <c r="S9307" s="1" t="s">
        <v>34218</v>
      </c>
    </row>
    <row r="9308" spans="1:19" x14ac:dyDescent="0.25">
      <c r="A9308">
        <v>101475183</v>
      </c>
      <c r="B9308" t="s">
        <v>21207</v>
      </c>
      <c r="C9308" t="s">
        <v>21208</v>
      </c>
      <c r="G9308" t="s">
        <v>21209</v>
      </c>
      <c r="H9308" t="s">
        <v>1086</v>
      </c>
      <c r="I9308" t="s">
        <v>446</v>
      </c>
      <c r="J9308">
        <v>28206</v>
      </c>
      <c r="K9308">
        <v>1402</v>
      </c>
      <c r="L9308" t="s">
        <v>23</v>
      </c>
      <c r="M9308" t="s">
        <v>21209</v>
      </c>
      <c r="N9308" t="s">
        <v>1086</v>
      </c>
      <c r="O9308" t="s">
        <v>446</v>
      </c>
      <c r="P9308">
        <v>28206</v>
      </c>
      <c r="Q9308">
        <v>1402</v>
      </c>
      <c r="R9308" t="s">
        <v>23</v>
      </c>
      <c r="S9308" s="1" t="s">
        <v>34218</v>
      </c>
    </row>
    <row r="9309" spans="1:19" x14ac:dyDescent="0.25">
      <c r="A9309">
        <v>101475432</v>
      </c>
      <c r="B9309" t="s">
        <v>21210</v>
      </c>
      <c r="C9309" t="s">
        <v>21211</v>
      </c>
      <c r="G9309" t="s">
        <v>21212</v>
      </c>
      <c r="H9309" t="s">
        <v>5198</v>
      </c>
      <c r="I9309" t="s">
        <v>446</v>
      </c>
      <c r="J9309">
        <v>27312</v>
      </c>
      <c r="K9309">
        <v>5036</v>
      </c>
      <c r="L9309" t="s">
        <v>23</v>
      </c>
      <c r="M9309" t="s">
        <v>21212</v>
      </c>
      <c r="N9309" t="s">
        <v>5198</v>
      </c>
      <c r="O9309" t="s">
        <v>446</v>
      </c>
      <c r="P9309">
        <v>27312</v>
      </c>
      <c r="Q9309">
        <v>5036</v>
      </c>
      <c r="R9309" t="s">
        <v>23</v>
      </c>
      <c r="S9309" s="1" t="s">
        <v>34218</v>
      </c>
    </row>
    <row r="9310" spans="1:19" x14ac:dyDescent="0.25">
      <c r="A9310">
        <v>101475619</v>
      </c>
      <c r="B9310" t="s">
        <v>21213</v>
      </c>
      <c r="C9310" t="s">
        <v>119</v>
      </c>
      <c r="G9310" t="s">
        <v>21214</v>
      </c>
      <c r="H9310" t="s">
        <v>21215</v>
      </c>
      <c r="I9310" t="s">
        <v>178</v>
      </c>
      <c r="J9310">
        <v>45419</v>
      </c>
      <c r="K9310">
        <v>1724</v>
      </c>
      <c r="L9310" t="s">
        <v>23</v>
      </c>
      <c r="M9310" t="s">
        <v>21214</v>
      </c>
      <c r="N9310" t="s">
        <v>21215</v>
      </c>
      <c r="O9310" t="s">
        <v>178</v>
      </c>
      <c r="P9310">
        <v>45419</v>
      </c>
      <c r="Q9310">
        <v>1724</v>
      </c>
      <c r="R9310" t="s">
        <v>23</v>
      </c>
      <c r="S9310" s="1" t="s">
        <v>34218</v>
      </c>
    </row>
    <row r="9311" spans="1:19" x14ac:dyDescent="0.25">
      <c r="A9311">
        <v>101475751</v>
      </c>
      <c r="B9311" t="s">
        <v>21216</v>
      </c>
      <c r="C9311" t="s">
        <v>21217</v>
      </c>
      <c r="G9311" t="s">
        <v>21218</v>
      </c>
      <c r="H9311" t="s">
        <v>21219</v>
      </c>
      <c r="I9311" t="s">
        <v>33</v>
      </c>
      <c r="J9311">
        <v>18431</v>
      </c>
      <c r="K9311">
        <v>1115</v>
      </c>
      <c r="L9311" t="s">
        <v>23</v>
      </c>
      <c r="M9311" t="s">
        <v>21218</v>
      </c>
      <c r="N9311" t="s">
        <v>21219</v>
      </c>
      <c r="O9311" t="s">
        <v>33</v>
      </c>
      <c r="P9311">
        <v>18431</v>
      </c>
      <c r="Q9311">
        <v>1115</v>
      </c>
      <c r="R9311" t="s">
        <v>23</v>
      </c>
      <c r="S9311" s="1" t="s">
        <v>34218</v>
      </c>
    </row>
    <row r="9312" spans="1:19" x14ac:dyDescent="0.25">
      <c r="A9312">
        <v>101475837</v>
      </c>
      <c r="B9312" t="s">
        <v>21220</v>
      </c>
      <c r="C9312" t="s">
        <v>699</v>
      </c>
      <c r="G9312" t="s">
        <v>21221</v>
      </c>
      <c r="H9312" t="s">
        <v>573</v>
      </c>
      <c r="I9312" t="s">
        <v>33</v>
      </c>
      <c r="J9312">
        <v>19147</v>
      </c>
      <c r="K9312">
        <v>5213</v>
      </c>
      <c r="L9312" t="s">
        <v>23</v>
      </c>
      <c r="M9312" t="s">
        <v>21221</v>
      </c>
      <c r="N9312" t="s">
        <v>573</v>
      </c>
      <c r="O9312" t="s">
        <v>33</v>
      </c>
      <c r="P9312">
        <v>19147</v>
      </c>
      <c r="Q9312">
        <v>5213</v>
      </c>
      <c r="R9312" t="s">
        <v>23</v>
      </c>
      <c r="S9312" s="1" t="s">
        <v>34218</v>
      </c>
    </row>
    <row r="9313" spans="1:19" x14ac:dyDescent="0.25">
      <c r="A9313">
        <v>101475870</v>
      </c>
      <c r="B9313" t="s">
        <v>21222</v>
      </c>
      <c r="C9313" t="s">
        <v>221</v>
      </c>
      <c r="G9313" t="s">
        <v>21223</v>
      </c>
      <c r="H9313" t="s">
        <v>415</v>
      </c>
      <c r="I9313" t="s">
        <v>178</v>
      </c>
      <c r="J9313">
        <v>43085</v>
      </c>
      <c r="K9313">
        <v>3008</v>
      </c>
      <c r="L9313" t="s">
        <v>23</v>
      </c>
      <c r="M9313" t="s">
        <v>21223</v>
      </c>
      <c r="N9313" t="s">
        <v>415</v>
      </c>
      <c r="O9313" t="s">
        <v>178</v>
      </c>
      <c r="P9313">
        <v>43085</v>
      </c>
      <c r="Q9313">
        <v>3008</v>
      </c>
      <c r="R9313" t="s">
        <v>23</v>
      </c>
      <c r="S9313" s="1" t="s">
        <v>34218</v>
      </c>
    </row>
    <row r="9314" spans="1:19" x14ac:dyDescent="0.25">
      <c r="A9314">
        <v>101475901</v>
      </c>
      <c r="B9314" t="s">
        <v>21224</v>
      </c>
      <c r="C9314" t="s">
        <v>251</v>
      </c>
      <c r="G9314" t="s">
        <v>21225</v>
      </c>
      <c r="H9314" t="s">
        <v>21226</v>
      </c>
      <c r="I9314" t="s">
        <v>178</v>
      </c>
      <c r="J9314">
        <v>43701</v>
      </c>
      <c r="K9314">
        <v>3011</v>
      </c>
      <c r="L9314" t="s">
        <v>23</v>
      </c>
      <c r="M9314" t="s">
        <v>21225</v>
      </c>
      <c r="N9314" t="s">
        <v>21226</v>
      </c>
      <c r="O9314" t="s">
        <v>178</v>
      </c>
      <c r="P9314">
        <v>43701</v>
      </c>
      <c r="Q9314">
        <v>3011</v>
      </c>
      <c r="R9314" t="s">
        <v>23</v>
      </c>
      <c r="S9314" s="1" t="s">
        <v>34218</v>
      </c>
    </row>
    <row r="9315" spans="1:19" x14ac:dyDescent="0.25">
      <c r="A9315">
        <v>101475952</v>
      </c>
      <c r="B9315" t="s">
        <v>1986</v>
      </c>
      <c r="C9315" t="s">
        <v>2518</v>
      </c>
      <c r="G9315" t="s">
        <v>21227</v>
      </c>
      <c r="H9315" t="s">
        <v>2266</v>
      </c>
      <c r="I9315" t="s">
        <v>178</v>
      </c>
      <c r="J9315">
        <v>44240</v>
      </c>
      <c r="K9315">
        <v>6214</v>
      </c>
      <c r="L9315" t="s">
        <v>23</v>
      </c>
      <c r="M9315" t="s">
        <v>21227</v>
      </c>
      <c r="N9315" t="s">
        <v>2266</v>
      </c>
      <c r="O9315" t="s">
        <v>178</v>
      </c>
      <c r="P9315">
        <v>44240</v>
      </c>
      <c r="Q9315">
        <v>6214</v>
      </c>
      <c r="R9315" t="s">
        <v>23</v>
      </c>
      <c r="S9315" s="1" t="s">
        <v>34218</v>
      </c>
    </row>
    <row r="9316" spans="1:19" x14ac:dyDescent="0.25">
      <c r="A9316">
        <v>101476071</v>
      </c>
      <c r="B9316" t="s">
        <v>1335</v>
      </c>
      <c r="C9316" t="s">
        <v>123</v>
      </c>
      <c r="G9316" t="s">
        <v>21228</v>
      </c>
      <c r="H9316" t="s">
        <v>202</v>
      </c>
      <c r="I9316" t="s">
        <v>117</v>
      </c>
      <c r="J9316">
        <v>14201</v>
      </c>
      <c r="K9316">
        <v>1774</v>
      </c>
      <c r="L9316" t="s">
        <v>23</v>
      </c>
      <c r="M9316" t="s">
        <v>21228</v>
      </c>
      <c r="N9316" t="s">
        <v>202</v>
      </c>
      <c r="O9316" t="s">
        <v>117</v>
      </c>
      <c r="P9316">
        <v>14201</v>
      </c>
      <c r="Q9316">
        <v>1774</v>
      </c>
      <c r="R9316" t="s">
        <v>23</v>
      </c>
      <c r="S9316" s="1" t="s">
        <v>34218</v>
      </c>
    </row>
    <row r="9317" spans="1:19" x14ac:dyDescent="0.25">
      <c r="A9317">
        <v>101476156</v>
      </c>
      <c r="B9317" t="s">
        <v>8037</v>
      </c>
      <c r="C9317" t="s">
        <v>3350</v>
      </c>
      <c r="G9317" t="s">
        <v>21229</v>
      </c>
      <c r="H9317" t="s">
        <v>3363</v>
      </c>
      <c r="I9317" t="s">
        <v>33</v>
      </c>
      <c r="J9317">
        <v>15235</v>
      </c>
      <c r="K9317">
        <v>3147</v>
      </c>
      <c r="L9317" t="s">
        <v>23</v>
      </c>
      <c r="M9317" t="s">
        <v>21229</v>
      </c>
      <c r="N9317" t="s">
        <v>3363</v>
      </c>
      <c r="O9317" t="s">
        <v>33</v>
      </c>
      <c r="P9317">
        <v>15235</v>
      </c>
      <c r="Q9317">
        <v>3147</v>
      </c>
      <c r="R9317" t="s">
        <v>23</v>
      </c>
      <c r="S9317" s="1" t="s">
        <v>34218</v>
      </c>
    </row>
    <row r="9318" spans="1:19" x14ac:dyDescent="0.25">
      <c r="A9318">
        <v>101476203</v>
      </c>
      <c r="B9318" t="s">
        <v>21230</v>
      </c>
      <c r="C9318" t="s">
        <v>21231</v>
      </c>
      <c r="G9318" t="s">
        <v>21232</v>
      </c>
      <c r="H9318" t="s">
        <v>3138</v>
      </c>
      <c r="I9318" t="s">
        <v>1387</v>
      </c>
      <c r="J9318">
        <v>36535</v>
      </c>
      <c r="K9318">
        <v>2420</v>
      </c>
      <c r="L9318" t="s">
        <v>23</v>
      </c>
      <c r="M9318" t="s">
        <v>21232</v>
      </c>
      <c r="N9318" t="s">
        <v>3138</v>
      </c>
      <c r="O9318" t="s">
        <v>1387</v>
      </c>
      <c r="P9318">
        <v>36535</v>
      </c>
      <c r="Q9318">
        <v>2420</v>
      </c>
      <c r="R9318" t="s">
        <v>23</v>
      </c>
      <c r="S9318" s="1" t="s">
        <v>34218</v>
      </c>
    </row>
    <row r="9319" spans="1:19" x14ac:dyDescent="0.25">
      <c r="A9319">
        <v>101476306</v>
      </c>
      <c r="B9319" t="s">
        <v>21233</v>
      </c>
      <c r="C9319" t="s">
        <v>846</v>
      </c>
      <c r="G9319" t="s">
        <v>21234</v>
      </c>
      <c r="H9319" t="s">
        <v>12838</v>
      </c>
      <c r="I9319" t="s">
        <v>1097</v>
      </c>
      <c r="J9319">
        <v>40403</v>
      </c>
      <c r="K9319">
        <v>1797</v>
      </c>
      <c r="L9319" t="s">
        <v>23</v>
      </c>
      <c r="M9319" t="s">
        <v>21234</v>
      </c>
      <c r="N9319" t="s">
        <v>12838</v>
      </c>
      <c r="O9319" t="s">
        <v>1097</v>
      </c>
      <c r="P9319">
        <v>40403</v>
      </c>
      <c r="Q9319">
        <v>1797</v>
      </c>
      <c r="R9319" t="s">
        <v>23</v>
      </c>
      <c r="S9319" s="1" t="s">
        <v>34218</v>
      </c>
    </row>
    <row r="9320" spans="1:19" x14ac:dyDescent="0.25">
      <c r="A9320">
        <v>101476389</v>
      </c>
      <c r="B9320" t="s">
        <v>3237</v>
      </c>
      <c r="C9320" t="s">
        <v>19896</v>
      </c>
      <c r="G9320" t="s">
        <v>21235</v>
      </c>
      <c r="H9320" t="s">
        <v>21236</v>
      </c>
      <c r="I9320" t="s">
        <v>117</v>
      </c>
      <c r="J9320">
        <v>11362</v>
      </c>
      <c r="K9320">
        <v>1008</v>
      </c>
      <c r="L9320" t="s">
        <v>23</v>
      </c>
      <c r="M9320" t="s">
        <v>21235</v>
      </c>
      <c r="N9320" t="s">
        <v>21236</v>
      </c>
      <c r="O9320" t="s">
        <v>117</v>
      </c>
      <c r="P9320">
        <v>11362</v>
      </c>
      <c r="Q9320">
        <v>1008</v>
      </c>
      <c r="R9320" t="s">
        <v>23</v>
      </c>
      <c r="S9320" s="1" t="s">
        <v>34218</v>
      </c>
    </row>
    <row r="9321" spans="1:19" x14ac:dyDescent="0.25">
      <c r="A9321">
        <v>101476422</v>
      </c>
      <c r="B9321" t="s">
        <v>21237</v>
      </c>
      <c r="C9321" t="s">
        <v>123</v>
      </c>
      <c r="G9321" t="s">
        <v>16984</v>
      </c>
      <c r="H9321" t="s">
        <v>7002</v>
      </c>
      <c r="I9321" t="s">
        <v>117</v>
      </c>
      <c r="J9321">
        <v>11743</v>
      </c>
      <c r="K9321">
        <v>160</v>
      </c>
      <c r="L9321" t="s">
        <v>23</v>
      </c>
      <c r="M9321" t="s">
        <v>16984</v>
      </c>
      <c r="N9321" t="s">
        <v>7002</v>
      </c>
      <c r="O9321" t="s">
        <v>117</v>
      </c>
      <c r="P9321">
        <v>11743</v>
      </c>
      <c r="Q9321">
        <v>160</v>
      </c>
      <c r="R9321" t="s">
        <v>23</v>
      </c>
      <c r="S9321" s="1" t="s">
        <v>34218</v>
      </c>
    </row>
    <row r="9322" spans="1:19" x14ac:dyDescent="0.25">
      <c r="A9322">
        <v>101476454</v>
      </c>
      <c r="B9322" t="s">
        <v>21238</v>
      </c>
      <c r="C9322" t="s">
        <v>6658</v>
      </c>
      <c r="G9322" t="s">
        <v>21239</v>
      </c>
      <c r="H9322" t="s">
        <v>21240</v>
      </c>
      <c r="I9322" t="s">
        <v>117</v>
      </c>
      <c r="J9322">
        <v>12136</v>
      </c>
      <c r="K9322">
        <v>3619</v>
      </c>
      <c r="L9322" t="s">
        <v>23</v>
      </c>
      <c r="M9322" t="s">
        <v>21239</v>
      </c>
      <c r="N9322" t="s">
        <v>21240</v>
      </c>
      <c r="O9322" t="s">
        <v>117</v>
      </c>
      <c r="P9322">
        <v>12136</v>
      </c>
      <c r="Q9322">
        <v>3619</v>
      </c>
      <c r="R9322" t="s">
        <v>23</v>
      </c>
      <c r="S9322" s="1" t="s">
        <v>34218</v>
      </c>
    </row>
    <row r="9323" spans="1:19" x14ac:dyDescent="0.25">
      <c r="A9323">
        <v>101476472</v>
      </c>
      <c r="B9323" t="s">
        <v>21241</v>
      </c>
      <c r="C9323" t="s">
        <v>11294</v>
      </c>
      <c r="G9323" t="s">
        <v>21242</v>
      </c>
      <c r="H9323" t="s">
        <v>21243</v>
      </c>
      <c r="I9323" t="s">
        <v>117</v>
      </c>
      <c r="J9323">
        <v>12508</v>
      </c>
      <c r="K9323">
        <v>3734</v>
      </c>
      <c r="L9323" t="s">
        <v>23</v>
      </c>
      <c r="M9323" t="s">
        <v>21242</v>
      </c>
      <c r="N9323" t="s">
        <v>21243</v>
      </c>
      <c r="O9323" t="s">
        <v>117</v>
      </c>
      <c r="P9323">
        <v>12508</v>
      </c>
      <c r="Q9323">
        <v>3734</v>
      </c>
      <c r="R9323" t="s">
        <v>23</v>
      </c>
      <c r="S9323" s="1" t="s">
        <v>34218</v>
      </c>
    </row>
    <row r="9324" spans="1:19" x14ac:dyDescent="0.25">
      <c r="A9324">
        <v>101476507</v>
      </c>
      <c r="B9324" t="s">
        <v>21244</v>
      </c>
      <c r="C9324" t="s">
        <v>3110</v>
      </c>
      <c r="G9324" t="s">
        <v>21245</v>
      </c>
      <c r="H9324" t="s">
        <v>2279</v>
      </c>
      <c r="I9324" t="s">
        <v>52</v>
      </c>
      <c r="J9324">
        <v>33614</v>
      </c>
      <c r="L9324" t="s">
        <v>23</v>
      </c>
      <c r="M9324" t="s">
        <v>21245</v>
      </c>
      <c r="N9324" t="s">
        <v>2279</v>
      </c>
      <c r="O9324" t="s">
        <v>52</v>
      </c>
      <c r="P9324">
        <v>33614</v>
      </c>
      <c r="R9324" t="s">
        <v>23</v>
      </c>
      <c r="S9324" s="1" t="s">
        <v>34218</v>
      </c>
    </row>
    <row r="9325" spans="1:19" x14ac:dyDescent="0.25">
      <c r="A9325">
        <v>101476625</v>
      </c>
      <c r="B9325" t="s">
        <v>867</v>
      </c>
      <c r="C9325" t="s">
        <v>7212</v>
      </c>
      <c r="G9325" t="s">
        <v>21246</v>
      </c>
      <c r="H9325" t="s">
        <v>21247</v>
      </c>
      <c r="I9325" t="s">
        <v>52</v>
      </c>
      <c r="J9325">
        <v>34604</v>
      </c>
      <c r="K9325">
        <v>5834</v>
      </c>
      <c r="L9325" t="s">
        <v>23</v>
      </c>
      <c r="M9325" t="s">
        <v>21246</v>
      </c>
      <c r="N9325" t="s">
        <v>21247</v>
      </c>
      <c r="O9325" t="s">
        <v>52</v>
      </c>
      <c r="P9325">
        <v>34604</v>
      </c>
      <c r="Q9325">
        <v>5834</v>
      </c>
      <c r="R9325" t="s">
        <v>23</v>
      </c>
      <c r="S9325" s="1" t="s">
        <v>34218</v>
      </c>
    </row>
    <row r="9326" spans="1:19" x14ac:dyDescent="0.25">
      <c r="A9326">
        <v>101476639</v>
      </c>
      <c r="B9326" t="s">
        <v>5610</v>
      </c>
      <c r="C9326" t="s">
        <v>1223</v>
      </c>
      <c r="G9326" t="s">
        <v>21248</v>
      </c>
      <c r="H9326" t="s">
        <v>5406</v>
      </c>
      <c r="I9326" t="s">
        <v>52</v>
      </c>
      <c r="J9326">
        <v>34698</v>
      </c>
      <c r="K9326">
        <v>5434</v>
      </c>
      <c r="L9326" t="s">
        <v>23</v>
      </c>
      <c r="M9326" t="s">
        <v>21248</v>
      </c>
      <c r="N9326" t="s">
        <v>5406</v>
      </c>
      <c r="O9326" t="s">
        <v>52</v>
      </c>
      <c r="P9326">
        <v>34698</v>
      </c>
      <c r="Q9326">
        <v>5434</v>
      </c>
      <c r="R9326" t="s">
        <v>23</v>
      </c>
      <c r="S9326" s="1" t="s">
        <v>34218</v>
      </c>
    </row>
    <row r="9327" spans="1:19" x14ac:dyDescent="0.25">
      <c r="A9327">
        <v>101476672</v>
      </c>
      <c r="B9327" t="s">
        <v>8126</v>
      </c>
      <c r="C9327" t="s">
        <v>644</v>
      </c>
      <c r="G9327" t="s">
        <v>21249</v>
      </c>
      <c r="H9327" t="s">
        <v>4514</v>
      </c>
      <c r="I9327" t="s">
        <v>2537</v>
      </c>
      <c r="J9327">
        <v>72701</v>
      </c>
      <c r="K9327">
        <v>4529</v>
      </c>
      <c r="L9327" t="s">
        <v>23</v>
      </c>
      <c r="M9327" t="s">
        <v>21249</v>
      </c>
      <c r="N9327" t="s">
        <v>4514</v>
      </c>
      <c r="O9327" t="s">
        <v>2537</v>
      </c>
      <c r="P9327">
        <v>72701</v>
      </c>
      <c r="Q9327">
        <v>4529</v>
      </c>
      <c r="R9327" t="s">
        <v>23</v>
      </c>
      <c r="S9327" s="1" t="s">
        <v>34218</v>
      </c>
    </row>
    <row r="9328" spans="1:19" x14ac:dyDescent="0.25">
      <c r="A9328">
        <v>101476772</v>
      </c>
      <c r="B9328" t="s">
        <v>1886</v>
      </c>
      <c r="C9328" t="s">
        <v>475</v>
      </c>
      <c r="G9328" t="s">
        <v>21250</v>
      </c>
      <c r="H9328" t="s">
        <v>6356</v>
      </c>
      <c r="I9328" t="s">
        <v>38</v>
      </c>
      <c r="J9328">
        <v>76054</v>
      </c>
      <c r="K9328">
        <v>7003</v>
      </c>
      <c r="L9328" t="s">
        <v>23</v>
      </c>
      <c r="M9328" t="s">
        <v>21250</v>
      </c>
      <c r="N9328" t="s">
        <v>6356</v>
      </c>
      <c r="O9328" t="s">
        <v>38</v>
      </c>
      <c r="P9328">
        <v>76054</v>
      </c>
      <c r="Q9328">
        <v>7003</v>
      </c>
      <c r="R9328" t="s">
        <v>23</v>
      </c>
      <c r="S9328" s="1" t="s">
        <v>34218</v>
      </c>
    </row>
    <row r="9329" spans="1:19" x14ac:dyDescent="0.25">
      <c r="A9329">
        <v>101476840</v>
      </c>
      <c r="B9329" t="s">
        <v>21251</v>
      </c>
      <c r="C9329" t="s">
        <v>1157</v>
      </c>
      <c r="G9329" t="s">
        <v>21252</v>
      </c>
      <c r="H9329" t="s">
        <v>1863</v>
      </c>
      <c r="I9329" t="s">
        <v>126</v>
      </c>
      <c r="J9329">
        <v>64119</v>
      </c>
      <c r="K9329">
        <v>8617</v>
      </c>
      <c r="L9329" t="s">
        <v>23</v>
      </c>
      <c r="M9329" t="s">
        <v>21252</v>
      </c>
      <c r="N9329" t="s">
        <v>1863</v>
      </c>
      <c r="O9329" t="s">
        <v>126</v>
      </c>
      <c r="P9329">
        <v>64119</v>
      </c>
      <c r="Q9329">
        <v>8617</v>
      </c>
      <c r="R9329" t="s">
        <v>23</v>
      </c>
      <c r="S9329" s="1" t="s">
        <v>34218</v>
      </c>
    </row>
    <row r="9330" spans="1:19" x14ac:dyDescent="0.25">
      <c r="A9330">
        <v>101476876</v>
      </c>
      <c r="B9330" t="s">
        <v>4984</v>
      </c>
      <c r="C9330" t="s">
        <v>208</v>
      </c>
      <c r="G9330" t="s">
        <v>21253</v>
      </c>
      <c r="H9330" t="s">
        <v>7018</v>
      </c>
      <c r="I9330" t="s">
        <v>241</v>
      </c>
      <c r="J9330">
        <v>66061</v>
      </c>
      <c r="K9330">
        <v>3034</v>
      </c>
      <c r="L9330" t="s">
        <v>23</v>
      </c>
      <c r="M9330" t="s">
        <v>21253</v>
      </c>
      <c r="N9330" t="s">
        <v>7018</v>
      </c>
      <c r="O9330" t="s">
        <v>241</v>
      </c>
      <c r="P9330">
        <v>66061</v>
      </c>
      <c r="Q9330">
        <v>3034</v>
      </c>
      <c r="R9330" t="s">
        <v>23</v>
      </c>
      <c r="S9330" s="1" t="s">
        <v>34218</v>
      </c>
    </row>
    <row r="9331" spans="1:19" x14ac:dyDescent="0.25">
      <c r="A9331">
        <v>101476959</v>
      </c>
      <c r="B9331" t="s">
        <v>21254</v>
      </c>
      <c r="C9331" t="s">
        <v>1487</v>
      </c>
      <c r="G9331" t="s">
        <v>21255</v>
      </c>
      <c r="H9331" t="s">
        <v>21256</v>
      </c>
      <c r="I9331" t="s">
        <v>153</v>
      </c>
      <c r="J9331">
        <v>70775</v>
      </c>
      <c r="K9331">
        <v>4227</v>
      </c>
      <c r="L9331" t="s">
        <v>23</v>
      </c>
      <c r="M9331" t="s">
        <v>21255</v>
      </c>
      <c r="N9331" t="s">
        <v>21256</v>
      </c>
      <c r="O9331" t="s">
        <v>153</v>
      </c>
      <c r="P9331">
        <v>70775</v>
      </c>
      <c r="Q9331">
        <v>4227</v>
      </c>
      <c r="R9331" t="s">
        <v>23</v>
      </c>
      <c r="S9331" s="1" t="s">
        <v>34218</v>
      </c>
    </row>
    <row r="9332" spans="1:19" x14ac:dyDescent="0.25">
      <c r="A9332">
        <v>101476977</v>
      </c>
      <c r="B9332" t="s">
        <v>21257</v>
      </c>
      <c r="C9332" t="s">
        <v>15849</v>
      </c>
      <c r="G9332" t="s">
        <v>21258</v>
      </c>
      <c r="H9332" t="s">
        <v>4570</v>
      </c>
      <c r="I9332" t="s">
        <v>22</v>
      </c>
      <c r="J9332">
        <v>90291</v>
      </c>
      <c r="K9332">
        <v>4965</v>
      </c>
      <c r="L9332" t="s">
        <v>23</v>
      </c>
      <c r="M9332" t="s">
        <v>21258</v>
      </c>
      <c r="N9332" t="s">
        <v>4570</v>
      </c>
      <c r="O9332" t="s">
        <v>22</v>
      </c>
      <c r="P9332">
        <v>90291</v>
      </c>
      <c r="Q9332">
        <v>4965</v>
      </c>
      <c r="R9332" t="s">
        <v>23</v>
      </c>
      <c r="S9332" s="1" t="s">
        <v>34218</v>
      </c>
    </row>
    <row r="9333" spans="1:19" x14ac:dyDescent="0.25">
      <c r="A9333">
        <v>101477010</v>
      </c>
      <c r="B9333" t="s">
        <v>21259</v>
      </c>
      <c r="C9333" t="s">
        <v>1208</v>
      </c>
      <c r="G9333" t="s">
        <v>21260</v>
      </c>
      <c r="H9333" t="s">
        <v>311</v>
      </c>
      <c r="I9333" t="s">
        <v>22</v>
      </c>
      <c r="J9333">
        <v>90803</v>
      </c>
      <c r="K9333">
        <v>6019</v>
      </c>
      <c r="L9333" t="s">
        <v>23</v>
      </c>
      <c r="M9333" t="s">
        <v>21260</v>
      </c>
      <c r="N9333" t="s">
        <v>311</v>
      </c>
      <c r="O9333" t="s">
        <v>22</v>
      </c>
      <c r="P9333">
        <v>90803</v>
      </c>
      <c r="Q9333">
        <v>6019</v>
      </c>
      <c r="R9333" t="s">
        <v>23</v>
      </c>
      <c r="S9333" s="1" t="s">
        <v>34218</v>
      </c>
    </row>
    <row r="9334" spans="1:19" x14ac:dyDescent="0.25">
      <c r="A9334">
        <v>101477041</v>
      </c>
      <c r="B9334" t="s">
        <v>21261</v>
      </c>
      <c r="C9334" t="s">
        <v>2518</v>
      </c>
      <c r="G9334" t="s">
        <v>21262</v>
      </c>
      <c r="H9334" t="s">
        <v>7360</v>
      </c>
      <c r="I9334" t="s">
        <v>22</v>
      </c>
      <c r="J9334">
        <v>91306</v>
      </c>
      <c r="K9334">
        <v>4501</v>
      </c>
      <c r="L9334" t="s">
        <v>23</v>
      </c>
      <c r="M9334" t="s">
        <v>21262</v>
      </c>
      <c r="N9334" t="s">
        <v>7360</v>
      </c>
      <c r="O9334" t="s">
        <v>22</v>
      </c>
      <c r="P9334">
        <v>91306</v>
      </c>
      <c r="Q9334">
        <v>4501</v>
      </c>
      <c r="R9334" t="s">
        <v>23</v>
      </c>
      <c r="S9334" s="1" t="s">
        <v>34218</v>
      </c>
    </row>
    <row r="9335" spans="1:19" x14ac:dyDescent="0.25">
      <c r="A9335">
        <v>101477042</v>
      </c>
      <c r="B9335" t="s">
        <v>13507</v>
      </c>
      <c r="C9335" t="s">
        <v>15704</v>
      </c>
      <c r="G9335" t="s">
        <v>21263</v>
      </c>
      <c r="H9335" t="s">
        <v>10445</v>
      </c>
      <c r="I9335" t="s">
        <v>22</v>
      </c>
      <c r="J9335">
        <v>91307</v>
      </c>
      <c r="K9335">
        <v>2868</v>
      </c>
      <c r="L9335" t="s">
        <v>23</v>
      </c>
      <c r="M9335" t="s">
        <v>21263</v>
      </c>
      <c r="N9335" t="s">
        <v>10445</v>
      </c>
      <c r="O9335" t="s">
        <v>22</v>
      </c>
      <c r="P9335">
        <v>91307</v>
      </c>
      <c r="Q9335">
        <v>2868</v>
      </c>
      <c r="R9335" t="s">
        <v>23</v>
      </c>
      <c r="S9335" s="1" t="s">
        <v>34218</v>
      </c>
    </row>
    <row r="9336" spans="1:19" x14ac:dyDescent="0.25">
      <c r="A9336">
        <v>101477278</v>
      </c>
      <c r="B9336" t="s">
        <v>9316</v>
      </c>
      <c r="C9336" t="s">
        <v>2515</v>
      </c>
      <c r="G9336" t="s">
        <v>21264</v>
      </c>
      <c r="H9336" t="s">
        <v>21265</v>
      </c>
      <c r="I9336" t="s">
        <v>1000</v>
      </c>
      <c r="J9336">
        <v>59901</v>
      </c>
      <c r="K9336">
        <v>3367</v>
      </c>
      <c r="L9336" t="s">
        <v>23</v>
      </c>
      <c r="M9336" t="s">
        <v>21264</v>
      </c>
      <c r="N9336" t="s">
        <v>21265</v>
      </c>
      <c r="O9336" t="s">
        <v>1000</v>
      </c>
      <c r="P9336">
        <v>59901</v>
      </c>
      <c r="Q9336">
        <v>3367</v>
      </c>
      <c r="R9336" t="s">
        <v>23</v>
      </c>
      <c r="S9336" s="1" t="s">
        <v>34218</v>
      </c>
    </row>
    <row r="9337" spans="1:19" x14ac:dyDescent="0.25">
      <c r="A9337">
        <v>101477295</v>
      </c>
      <c r="B9337" t="s">
        <v>21266</v>
      </c>
      <c r="C9337" t="s">
        <v>9460</v>
      </c>
      <c r="G9337" t="s">
        <v>21267</v>
      </c>
      <c r="H9337" t="s">
        <v>21268</v>
      </c>
      <c r="I9337" t="s">
        <v>135</v>
      </c>
      <c r="J9337">
        <v>60056</v>
      </c>
      <c r="K9337">
        <v>1826</v>
      </c>
      <c r="L9337" t="s">
        <v>23</v>
      </c>
      <c r="M9337" t="s">
        <v>21267</v>
      </c>
      <c r="N9337" t="s">
        <v>21268</v>
      </c>
      <c r="O9337" t="s">
        <v>135</v>
      </c>
      <c r="P9337">
        <v>60056</v>
      </c>
      <c r="Q9337">
        <v>1826</v>
      </c>
      <c r="R9337" t="s">
        <v>23</v>
      </c>
      <c r="S9337" s="1" t="s">
        <v>34218</v>
      </c>
    </row>
    <row r="9338" spans="1:19" x14ac:dyDescent="0.25">
      <c r="A9338">
        <v>101477345</v>
      </c>
      <c r="B9338" t="s">
        <v>744</v>
      </c>
      <c r="C9338" t="s">
        <v>180</v>
      </c>
      <c r="G9338" t="s">
        <v>21269</v>
      </c>
      <c r="H9338" t="s">
        <v>4585</v>
      </c>
      <c r="I9338" t="s">
        <v>135</v>
      </c>
      <c r="J9338">
        <v>60410</v>
      </c>
      <c r="K9338">
        <v>8739</v>
      </c>
      <c r="L9338" t="s">
        <v>23</v>
      </c>
      <c r="M9338" t="s">
        <v>21269</v>
      </c>
      <c r="N9338" t="s">
        <v>4585</v>
      </c>
      <c r="O9338" t="s">
        <v>135</v>
      </c>
      <c r="P9338">
        <v>60410</v>
      </c>
      <c r="Q9338">
        <v>8739</v>
      </c>
      <c r="R9338" t="s">
        <v>23</v>
      </c>
      <c r="S9338" s="1" t="s">
        <v>34218</v>
      </c>
    </row>
    <row r="9339" spans="1:19" x14ac:dyDescent="0.25">
      <c r="A9339">
        <v>101307873</v>
      </c>
      <c r="B9339" t="s">
        <v>21270</v>
      </c>
      <c r="C9339" t="s">
        <v>21271</v>
      </c>
      <c r="G9339" t="s">
        <v>21272</v>
      </c>
      <c r="H9339" t="s">
        <v>130</v>
      </c>
      <c r="I9339" t="s">
        <v>22</v>
      </c>
      <c r="J9339">
        <v>94102</v>
      </c>
      <c r="K9339">
        <v>5864</v>
      </c>
      <c r="L9339" t="s">
        <v>23</v>
      </c>
      <c r="M9339" t="s">
        <v>21272</v>
      </c>
      <c r="N9339" t="s">
        <v>130</v>
      </c>
      <c r="O9339" t="s">
        <v>22</v>
      </c>
      <c r="P9339">
        <v>94102</v>
      </c>
      <c r="Q9339">
        <v>5864</v>
      </c>
      <c r="R9339" t="s">
        <v>23</v>
      </c>
      <c r="S9339" s="1" t="s">
        <v>34218</v>
      </c>
    </row>
    <row r="9340" spans="1:19" x14ac:dyDescent="0.25">
      <c r="A9340">
        <v>100742526</v>
      </c>
      <c r="B9340" t="s">
        <v>21273</v>
      </c>
      <c r="C9340" t="s">
        <v>1959</v>
      </c>
      <c r="G9340" t="s">
        <v>21274</v>
      </c>
      <c r="H9340" t="s">
        <v>21275</v>
      </c>
      <c r="I9340" t="s">
        <v>236</v>
      </c>
      <c r="J9340">
        <v>2645</v>
      </c>
      <c r="K9340">
        <v>1941</v>
      </c>
      <c r="L9340" t="s">
        <v>23</v>
      </c>
      <c r="M9340" t="s">
        <v>21274</v>
      </c>
      <c r="N9340" t="s">
        <v>21275</v>
      </c>
      <c r="O9340" t="s">
        <v>236</v>
      </c>
      <c r="P9340">
        <v>2645</v>
      </c>
      <c r="Q9340">
        <v>1941</v>
      </c>
      <c r="R9340" t="s">
        <v>23</v>
      </c>
      <c r="S9340" s="1" t="s">
        <v>34218</v>
      </c>
    </row>
    <row r="9341" spans="1:19" x14ac:dyDescent="0.25">
      <c r="A9341">
        <v>101048504</v>
      </c>
      <c r="B9341" t="s">
        <v>21276</v>
      </c>
      <c r="C9341" t="s">
        <v>3832</v>
      </c>
      <c r="G9341" t="s">
        <v>21277</v>
      </c>
      <c r="H9341" t="s">
        <v>21278</v>
      </c>
      <c r="I9341" t="s">
        <v>250</v>
      </c>
      <c r="J9341">
        <v>7019</v>
      </c>
      <c r="K9341">
        <v>5049</v>
      </c>
      <c r="L9341" t="s">
        <v>23</v>
      </c>
      <c r="M9341" t="s">
        <v>21277</v>
      </c>
      <c r="N9341" t="s">
        <v>21278</v>
      </c>
      <c r="O9341" t="s">
        <v>250</v>
      </c>
      <c r="P9341">
        <v>7019</v>
      </c>
      <c r="Q9341">
        <v>5049</v>
      </c>
      <c r="R9341" t="s">
        <v>23</v>
      </c>
      <c r="S9341" s="1" t="s">
        <v>34218</v>
      </c>
    </row>
    <row r="9342" spans="1:19" x14ac:dyDescent="0.25">
      <c r="A9342">
        <v>101434935</v>
      </c>
      <c r="B9342" t="s">
        <v>21279</v>
      </c>
      <c r="C9342" t="s">
        <v>21280</v>
      </c>
      <c r="G9342" t="s">
        <v>21281</v>
      </c>
      <c r="H9342" t="s">
        <v>10296</v>
      </c>
      <c r="I9342" t="s">
        <v>140</v>
      </c>
      <c r="J9342">
        <v>49310</v>
      </c>
      <c r="L9342" t="s">
        <v>23</v>
      </c>
      <c r="M9342" t="s">
        <v>21281</v>
      </c>
      <c r="N9342" t="s">
        <v>10296</v>
      </c>
      <c r="O9342" t="s">
        <v>140</v>
      </c>
      <c r="P9342">
        <v>49310</v>
      </c>
      <c r="R9342" t="s">
        <v>23</v>
      </c>
      <c r="S9342" s="1" t="s">
        <v>34218</v>
      </c>
    </row>
    <row r="9343" spans="1:19" x14ac:dyDescent="0.25">
      <c r="A9343">
        <v>101457960</v>
      </c>
      <c r="B9343" t="s">
        <v>1970</v>
      </c>
      <c r="C9343" t="s">
        <v>498</v>
      </c>
      <c r="G9343" t="s">
        <v>21282</v>
      </c>
      <c r="H9343" t="s">
        <v>1439</v>
      </c>
      <c r="I9343" t="s">
        <v>365</v>
      </c>
      <c r="J9343">
        <v>85712</v>
      </c>
      <c r="K9343">
        <v>6037</v>
      </c>
      <c r="L9343" t="s">
        <v>23</v>
      </c>
      <c r="M9343" t="s">
        <v>21282</v>
      </c>
      <c r="N9343" t="s">
        <v>1439</v>
      </c>
      <c r="O9343" t="s">
        <v>365</v>
      </c>
      <c r="P9343">
        <v>85712</v>
      </c>
      <c r="Q9343">
        <v>6037</v>
      </c>
      <c r="R9343" t="s">
        <v>23</v>
      </c>
      <c r="S9343" s="1" t="s">
        <v>34218</v>
      </c>
    </row>
    <row r="9344" spans="1:19" x14ac:dyDescent="0.25">
      <c r="A9344">
        <v>101231565</v>
      </c>
      <c r="B9344" t="s">
        <v>21283</v>
      </c>
      <c r="C9344" t="s">
        <v>1533</v>
      </c>
      <c r="G9344" t="s">
        <v>21284</v>
      </c>
      <c r="H9344" t="s">
        <v>21285</v>
      </c>
      <c r="I9344" t="s">
        <v>446</v>
      </c>
      <c r="J9344">
        <v>28510</v>
      </c>
      <c r="K9344">
        <v>9713</v>
      </c>
      <c r="L9344" t="s">
        <v>23</v>
      </c>
      <c r="M9344" t="s">
        <v>21284</v>
      </c>
      <c r="N9344" t="s">
        <v>21285</v>
      </c>
      <c r="O9344" t="s">
        <v>446</v>
      </c>
      <c r="P9344">
        <v>28510</v>
      </c>
      <c r="Q9344">
        <v>9713</v>
      </c>
      <c r="R9344" t="s">
        <v>23</v>
      </c>
      <c r="S9344" s="1" t="s">
        <v>34218</v>
      </c>
    </row>
    <row r="9345" spans="1:19" x14ac:dyDescent="0.25">
      <c r="A9345">
        <v>101457989</v>
      </c>
      <c r="B9345" t="s">
        <v>21286</v>
      </c>
      <c r="C9345" t="s">
        <v>21287</v>
      </c>
      <c r="G9345" t="s">
        <v>21288</v>
      </c>
      <c r="H9345" t="s">
        <v>21289</v>
      </c>
      <c r="I9345" t="s">
        <v>236</v>
      </c>
      <c r="J9345">
        <v>1531</v>
      </c>
      <c r="K9345">
        <v>1562</v>
      </c>
      <c r="L9345" t="s">
        <v>23</v>
      </c>
      <c r="M9345" t="s">
        <v>21288</v>
      </c>
      <c r="N9345" t="s">
        <v>21289</v>
      </c>
      <c r="O9345" t="s">
        <v>236</v>
      </c>
      <c r="P9345">
        <v>1531</v>
      </c>
      <c r="Q9345">
        <v>1562</v>
      </c>
      <c r="R9345" t="s">
        <v>23</v>
      </c>
      <c r="S9345" s="1" t="s">
        <v>34218</v>
      </c>
    </row>
    <row r="9346" spans="1:19" x14ac:dyDescent="0.25">
      <c r="A9346">
        <v>101395783</v>
      </c>
      <c r="B9346" t="s">
        <v>21290</v>
      </c>
      <c r="C9346" t="s">
        <v>30</v>
      </c>
      <c r="G9346" t="s">
        <v>21291</v>
      </c>
      <c r="H9346" t="s">
        <v>650</v>
      </c>
      <c r="I9346" t="s">
        <v>22</v>
      </c>
      <c r="J9346">
        <v>95814</v>
      </c>
      <c r="K9346">
        <v>5741</v>
      </c>
      <c r="L9346" t="s">
        <v>23</v>
      </c>
      <c r="M9346" t="s">
        <v>21291</v>
      </c>
      <c r="N9346" t="s">
        <v>650</v>
      </c>
      <c r="O9346" t="s">
        <v>22</v>
      </c>
      <c r="P9346">
        <v>95814</v>
      </c>
      <c r="Q9346">
        <v>5741</v>
      </c>
      <c r="R9346" t="s">
        <v>23</v>
      </c>
      <c r="S9346" s="1" t="s">
        <v>34218</v>
      </c>
    </row>
    <row r="9347" spans="1:19" x14ac:dyDescent="0.25">
      <c r="A9347">
        <v>101435970</v>
      </c>
      <c r="B9347" t="s">
        <v>21292</v>
      </c>
      <c r="C9347" t="s">
        <v>613</v>
      </c>
      <c r="G9347" t="s">
        <v>21293</v>
      </c>
      <c r="H9347" t="s">
        <v>13916</v>
      </c>
      <c r="I9347" t="s">
        <v>236</v>
      </c>
      <c r="J9347">
        <v>2148</v>
      </c>
      <c r="K9347">
        <v>7614</v>
      </c>
      <c r="L9347" t="s">
        <v>23</v>
      </c>
      <c r="M9347" t="s">
        <v>21293</v>
      </c>
      <c r="N9347" t="s">
        <v>13916</v>
      </c>
      <c r="O9347" t="s">
        <v>236</v>
      </c>
      <c r="P9347">
        <v>2148</v>
      </c>
      <c r="Q9347">
        <v>7614</v>
      </c>
      <c r="R9347" t="s">
        <v>23</v>
      </c>
      <c r="S9347" s="1" t="s">
        <v>34218</v>
      </c>
    </row>
    <row r="9348" spans="1:19" x14ac:dyDescent="0.25">
      <c r="A9348">
        <v>100534347</v>
      </c>
      <c r="B9348" t="s">
        <v>21294</v>
      </c>
      <c r="C9348" t="s">
        <v>382</v>
      </c>
      <c r="G9348" t="s">
        <v>21295</v>
      </c>
      <c r="H9348" t="s">
        <v>746</v>
      </c>
      <c r="I9348" t="s">
        <v>126</v>
      </c>
      <c r="J9348">
        <v>65807</v>
      </c>
      <c r="K9348">
        <v>3047</v>
      </c>
      <c r="L9348" t="s">
        <v>23</v>
      </c>
      <c r="M9348" t="s">
        <v>21295</v>
      </c>
      <c r="N9348" t="s">
        <v>746</v>
      </c>
      <c r="O9348" t="s">
        <v>126</v>
      </c>
      <c r="P9348">
        <v>65807</v>
      </c>
      <c r="Q9348">
        <v>3047</v>
      </c>
      <c r="R9348" t="s">
        <v>23</v>
      </c>
      <c r="S9348" s="1" t="s">
        <v>34218</v>
      </c>
    </row>
    <row r="9349" spans="1:19" x14ac:dyDescent="0.25">
      <c r="A9349">
        <v>101404216</v>
      </c>
      <c r="B9349" t="s">
        <v>21296</v>
      </c>
      <c r="C9349" t="s">
        <v>8532</v>
      </c>
      <c r="G9349" t="s">
        <v>21297</v>
      </c>
      <c r="H9349" t="s">
        <v>21298</v>
      </c>
      <c r="I9349" t="s">
        <v>52</v>
      </c>
      <c r="J9349">
        <v>34655</v>
      </c>
      <c r="K9349">
        <v>3434</v>
      </c>
      <c r="L9349" t="s">
        <v>23</v>
      </c>
      <c r="M9349" t="s">
        <v>21297</v>
      </c>
      <c r="N9349" t="s">
        <v>21298</v>
      </c>
      <c r="O9349" t="s">
        <v>52</v>
      </c>
      <c r="P9349">
        <v>34655</v>
      </c>
      <c r="Q9349">
        <v>3434</v>
      </c>
      <c r="R9349" t="s">
        <v>23</v>
      </c>
      <c r="S9349" s="1" t="s">
        <v>34218</v>
      </c>
    </row>
    <row r="9350" spans="1:19" x14ac:dyDescent="0.25">
      <c r="A9350">
        <v>101434879</v>
      </c>
      <c r="B9350" t="s">
        <v>21299</v>
      </c>
      <c r="C9350" t="s">
        <v>252</v>
      </c>
      <c r="G9350" t="s">
        <v>21300</v>
      </c>
      <c r="H9350" t="s">
        <v>125</v>
      </c>
      <c r="I9350" t="s">
        <v>126</v>
      </c>
      <c r="J9350">
        <v>63109</v>
      </c>
      <c r="K9350">
        <v>2839</v>
      </c>
      <c r="L9350" t="s">
        <v>23</v>
      </c>
      <c r="M9350" t="s">
        <v>21300</v>
      </c>
      <c r="N9350" t="s">
        <v>125</v>
      </c>
      <c r="O9350" t="s">
        <v>126</v>
      </c>
      <c r="P9350">
        <v>63109</v>
      </c>
      <c r="Q9350">
        <v>2839</v>
      </c>
      <c r="R9350" t="s">
        <v>23</v>
      </c>
      <c r="S9350" s="1" t="s">
        <v>34218</v>
      </c>
    </row>
    <row r="9351" spans="1:19" x14ac:dyDescent="0.25">
      <c r="A9351">
        <v>100741872</v>
      </c>
      <c r="B9351" t="s">
        <v>2130</v>
      </c>
      <c r="C9351" t="s">
        <v>321</v>
      </c>
      <c r="G9351" t="s">
        <v>21301</v>
      </c>
      <c r="H9351" t="s">
        <v>653</v>
      </c>
      <c r="I9351" t="s">
        <v>117</v>
      </c>
      <c r="J9351">
        <v>10028</v>
      </c>
      <c r="K9351">
        <v>2068</v>
      </c>
      <c r="L9351" t="s">
        <v>23</v>
      </c>
      <c r="M9351" t="s">
        <v>21301</v>
      </c>
      <c r="N9351" t="s">
        <v>653</v>
      </c>
      <c r="O9351" t="s">
        <v>117</v>
      </c>
      <c r="P9351">
        <v>10028</v>
      </c>
      <c r="Q9351">
        <v>2068</v>
      </c>
      <c r="R9351" t="s">
        <v>23</v>
      </c>
      <c r="S9351" s="1" t="s">
        <v>34218</v>
      </c>
    </row>
    <row r="9352" spans="1:19" x14ac:dyDescent="0.25">
      <c r="A9352">
        <v>101458084</v>
      </c>
      <c r="B9352" t="s">
        <v>21302</v>
      </c>
      <c r="C9352" t="s">
        <v>1306</v>
      </c>
      <c r="G9352" t="s">
        <v>21303</v>
      </c>
      <c r="H9352" t="s">
        <v>21304</v>
      </c>
      <c r="I9352" t="s">
        <v>22</v>
      </c>
      <c r="J9352">
        <v>94571</v>
      </c>
      <c r="K9352">
        <v>2264</v>
      </c>
      <c r="L9352" t="s">
        <v>23</v>
      </c>
      <c r="M9352" t="s">
        <v>21303</v>
      </c>
      <c r="N9352" t="s">
        <v>21304</v>
      </c>
      <c r="O9352" t="s">
        <v>22</v>
      </c>
      <c r="P9352">
        <v>94571</v>
      </c>
      <c r="Q9352">
        <v>2264</v>
      </c>
      <c r="R9352" t="s">
        <v>23</v>
      </c>
      <c r="S9352" s="1" t="s">
        <v>34218</v>
      </c>
    </row>
    <row r="9353" spans="1:19" x14ac:dyDescent="0.25">
      <c r="A9353">
        <v>101304422</v>
      </c>
      <c r="B9353" t="s">
        <v>21305</v>
      </c>
      <c r="C9353" t="s">
        <v>4245</v>
      </c>
      <c r="G9353" t="s">
        <v>21306</v>
      </c>
      <c r="H9353" t="s">
        <v>3363</v>
      </c>
      <c r="I9353" t="s">
        <v>33</v>
      </c>
      <c r="J9353">
        <v>15217</v>
      </c>
      <c r="L9353" t="s">
        <v>23</v>
      </c>
      <c r="M9353" t="s">
        <v>21306</v>
      </c>
      <c r="N9353" t="s">
        <v>3363</v>
      </c>
      <c r="O9353" t="s">
        <v>33</v>
      </c>
      <c r="P9353">
        <v>15217</v>
      </c>
      <c r="R9353" t="s">
        <v>23</v>
      </c>
      <c r="S9353" s="1" t="s">
        <v>34218</v>
      </c>
    </row>
    <row r="9354" spans="1:19" x14ac:dyDescent="0.25">
      <c r="A9354">
        <v>101424388</v>
      </c>
      <c r="B9354" t="s">
        <v>17112</v>
      </c>
      <c r="C9354" t="s">
        <v>1992</v>
      </c>
      <c r="G9354" t="s">
        <v>21307</v>
      </c>
      <c r="H9354" t="s">
        <v>1897</v>
      </c>
      <c r="I9354" t="s">
        <v>38</v>
      </c>
      <c r="J9354">
        <v>77401</v>
      </c>
      <c r="K9354">
        <v>5501</v>
      </c>
      <c r="L9354" t="s">
        <v>23</v>
      </c>
      <c r="M9354" t="s">
        <v>21307</v>
      </c>
      <c r="N9354" t="s">
        <v>1897</v>
      </c>
      <c r="O9354" t="s">
        <v>38</v>
      </c>
      <c r="P9354">
        <v>77401</v>
      </c>
      <c r="Q9354">
        <v>5501</v>
      </c>
      <c r="R9354" t="s">
        <v>23</v>
      </c>
      <c r="S9354" s="1" t="s">
        <v>34218</v>
      </c>
    </row>
    <row r="9355" spans="1:19" x14ac:dyDescent="0.25">
      <c r="A9355">
        <v>101458102</v>
      </c>
      <c r="B9355" t="s">
        <v>1274</v>
      </c>
      <c r="C9355" t="s">
        <v>208</v>
      </c>
      <c r="G9355" t="s">
        <v>21308</v>
      </c>
      <c r="H9355" t="s">
        <v>21309</v>
      </c>
      <c r="I9355" t="s">
        <v>178</v>
      </c>
      <c r="J9355">
        <v>43011</v>
      </c>
      <c r="K9355">
        <v>9551</v>
      </c>
      <c r="L9355" t="s">
        <v>23</v>
      </c>
      <c r="M9355" t="s">
        <v>21308</v>
      </c>
      <c r="N9355" t="s">
        <v>21309</v>
      </c>
      <c r="O9355" t="s">
        <v>178</v>
      </c>
      <c r="P9355">
        <v>43011</v>
      </c>
      <c r="Q9355">
        <v>9551</v>
      </c>
      <c r="R9355" t="s">
        <v>23</v>
      </c>
      <c r="S9355" s="1" t="s">
        <v>34218</v>
      </c>
    </row>
    <row r="9356" spans="1:19" x14ac:dyDescent="0.25">
      <c r="A9356">
        <v>101415119</v>
      </c>
      <c r="B9356" t="s">
        <v>21310</v>
      </c>
      <c r="C9356" t="s">
        <v>4228</v>
      </c>
      <c r="G9356" t="s">
        <v>21311</v>
      </c>
      <c r="H9356" t="s">
        <v>21312</v>
      </c>
      <c r="I9356" t="s">
        <v>250</v>
      </c>
      <c r="J9356">
        <v>7676</v>
      </c>
      <c r="K9356">
        <v>4923</v>
      </c>
      <c r="L9356" t="s">
        <v>23</v>
      </c>
      <c r="M9356" t="s">
        <v>21311</v>
      </c>
      <c r="N9356" t="s">
        <v>21312</v>
      </c>
      <c r="O9356" t="s">
        <v>250</v>
      </c>
      <c r="P9356">
        <v>7676</v>
      </c>
      <c r="Q9356">
        <v>4923</v>
      </c>
      <c r="R9356" t="s">
        <v>23</v>
      </c>
      <c r="S9356" s="1" t="s">
        <v>34218</v>
      </c>
    </row>
    <row r="9357" spans="1:19" x14ac:dyDescent="0.25">
      <c r="A9357">
        <v>101453547</v>
      </c>
      <c r="B9357" t="s">
        <v>4186</v>
      </c>
      <c r="C9357" t="s">
        <v>2343</v>
      </c>
      <c r="G9357" t="s">
        <v>21313</v>
      </c>
      <c r="H9357" t="s">
        <v>979</v>
      </c>
      <c r="I9357" t="s">
        <v>84</v>
      </c>
      <c r="J9357">
        <v>99353</v>
      </c>
      <c r="K9357">
        <v>7903</v>
      </c>
      <c r="L9357" t="s">
        <v>23</v>
      </c>
      <c r="M9357" t="s">
        <v>21313</v>
      </c>
      <c r="N9357" t="s">
        <v>979</v>
      </c>
      <c r="O9357" t="s">
        <v>84</v>
      </c>
      <c r="P9357">
        <v>99353</v>
      </c>
      <c r="Q9357">
        <v>7903</v>
      </c>
      <c r="R9357" t="s">
        <v>23</v>
      </c>
      <c r="S9357" s="1" t="s">
        <v>34218</v>
      </c>
    </row>
    <row r="9358" spans="1:19" x14ac:dyDescent="0.25">
      <c r="A9358">
        <v>101481428</v>
      </c>
      <c r="B9358" t="s">
        <v>21314</v>
      </c>
      <c r="C9358" t="s">
        <v>7257</v>
      </c>
      <c r="G9358" t="s">
        <v>21315</v>
      </c>
      <c r="H9358" t="s">
        <v>2296</v>
      </c>
      <c r="I9358" t="s">
        <v>22</v>
      </c>
      <c r="J9358">
        <v>95003</v>
      </c>
      <c r="K9358">
        <v>5012</v>
      </c>
      <c r="L9358" t="s">
        <v>23</v>
      </c>
      <c r="M9358" t="s">
        <v>21315</v>
      </c>
      <c r="N9358" t="s">
        <v>2296</v>
      </c>
      <c r="O9358" t="s">
        <v>22</v>
      </c>
      <c r="P9358">
        <v>95003</v>
      </c>
      <c r="Q9358">
        <v>5012</v>
      </c>
      <c r="R9358" t="s">
        <v>23</v>
      </c>
      <c r="S9358" s="1" t="s">
        <v>34218</v>
      </c>
    </row>
    <row r="9359" spans="1:19" x14ac:dyDescent="0.25">
      <c r="A9359">
        <v>100593972</v>
      </c>
      <c r="B9359" t="s">
        <v>21316</v>
      </c>
      <c r="C9359" t="s">
        <v>1135</v>
      </c>
      <c r="G9359" t="s">
        <v>21317</v>
      </c>
      <c r="H9359" t="s">
        <v>1105</v>
      </c>
      <c r="I9359" t="s">
        <v>117</v>
      </c>
      <c r="J9359" t="s">
        <v>21318</v>
      </c>
      <c r="K9359">
        <v>1362</v>
      </c>
      <c r="L9359" t="s">
        <v>23</v>
      </c>
      <c r="M9359" t="s">
        <v>21317</v>
      </c>
      <c r="N9359" t="s">
        <v>1105</v>
      </c>
      <c r="O9359" t="s">
        <v>117</v>
      </c>
      <c r="P9359" t="s">
        <v>21318</v>
      </c>
      <c r="Q9359">
        <v>1362</v>
      </c>
      <c r="R9359" t="s">
        <v>23</v>
      </c>
      <c r="S9359" s="1" t="s">
        <v>34218</v>
      </c>
    </row>
    <row r="9360" spans="1:19" x14ac:dyDescent="0.25">
      <c r="A9360">
        <v>100645662</v>
      </c>
      <c r="B9360" t="s">
        <v>21319</v>
      </c>
      <c r="C9360" t="s">
        <v>21320</v>
      </c>
      <c r="F9360" t="str">
        <f>"9413659837"</f>
        <v>9413659837</v>
      </c>
      <c r="G9360" t="s">
        <v>21321</v>
      </c>
      <c r="H9360" t="s">
        <v>7820</v>
      </c>
      <c r="I9360" t="s">
        <v>117</v>
      </c>
      <c r="J9360">
        <v>14456</v>
      </c>
      <c r="K9360">
        <v>1529</v>
      </c>
      <c r="L9360" t="s">
        <v>23</v>
      </c>
      <c r="M9360" t="s">
        <v>21321</v>
      </c>
      <c r="N9360" t="s">
        <v>7820</v>
      </c>
      <c r="O9360" t="s">
        <v>117</v>
      </c>
      <c r="P9360">
        <v>14456</v>
      </c>
      <c r="Q9360">
        <v>1529</v>
      </c>
      <c r="R9360" t="s">
        <v>23</v>
      </c>
      <c r="S9360" s="1" t="s">
        <v>34218</v>
      </c>
    </row>
    <row r="9361" spans="1:19" x14ac:dyDescent="0.25">
      <c r="A9361">
        <v>101471952</v>
      </c>
      <c r="B9361" t="s">
        <v>1291</v>
      </c>
      <c r="C9361" t="s">
        <v>21322</v>
      </c>
      <c r="G9361" t="s">
        <v>21323</v>
      </c>
      <c r="H9361" t="s">
        <v>227</v>
      </c>
      <c r="I9361" t="s">
        <v>43</v>
      </c>
      <c r="J9361">
        <v>97223</v>
      </c>
      <c r="K9361">
        <v>2108</v>
      </c>
      <c r="L9361" t="s">
        <v>23</v>
      </c>
      <c r="M9361" t="s">
        <v>21323</v>
      </c>
      <c r="N9361" t="s">
        <v>227</v>
      </c>
      <c r="O9361" t="s">
        <v>43</v>
      </c>
      <c r="P9361">
        <v>97223</v>
      </c>
      <c r="Q9361">
        <v>2108</v>
      </c>
      <c r="R9361" t="s">
        <v>23</v>
      </c>
      <c r="S9361" s="1" t="s">
        <v>34218</v>
      </c>
    </row>
    <row r="9362" spans="1:19" x14ac:dyDescent="0.25">
      <c r="A9362">
        <v>101471963</v>
      </c>
      <c r="B9362" t="s">
        <v>12614</v>
      </c>
      <c r="C9362" t="s">
        <v>2127</v>
      </c>
      <c r="G9362" t="s">
        <v>21324</v>
      </c>
      <c r="H9362" t="s">
        <v>4172</v>
      </c>
      <c r="I9362" t="s">
        <v>43</v>
      </c>
      <c r="J9362">
        <v>97132</v>
      </c>
      <c r="K9362">
        <v>1872</v>
      </c>
      <c r="L9362" t="s">
        <v>23</v>
      </c>
      <c r="M9362" t="s">
        <v>21324</v>
      </c>
      <c r="N9362" t="s">
        <v>4172</v>
      </c>
      <c r="O9362" t="s">
        <v>43</v>
      </c>
      <c r="P9362">
        <v>97132</v>
      </c>
      <c r="Q9362">
        <v>1872</v>
      </c>
      <c r="R9362" t="s">
        <v>23</v>
      </c>
      <c r="S9362" s="1" t="s">
        <v>34218</v>
      </c>
    </row>
    <row r="9363" spans="1:19" x14ac:dyDescent="0.25">
      <c r="A9363">
        <v>100809560</v>
      </c>
      <c r="B9363" t="s">
        <v>21325</v>
      </c>
      <c r="C9363" t="s">
        <v>21326</v>
      </c>
      <c r="G9363" t="s">
        <v>21327</v>
      </c>
      <c r="H9363" t="s">
        <v>412</v>
      </c>
      <c r="I9363" t="s">
        <v>117</v>
      </c>
      <c r="J9363">
        <v>11215</v>
      </c>
      <c r="K9363">
        <v>4173</v>
      </c>
      <c r="L9363" t="s">
        <v>23</v>
      </c>
      <c r="M9363" t="s">
        <v>21327</v>
      </c>
      <c r="N9363" t="s">
        <v>412</v>
      </c>
      <c r="O9363" t="s">
        <v>117</v>
      </c>
      <c r="P9363">
        <v>11215</v>
      </c>
      <c r="Q9363">
        <v>4173</v>
      </c>
      <c r="R9363" t="s">
        <v>23</v>
      </c>
      <c r="S9363" s="1" t="s">
        <v>34218</v>
      </c>
    </row>
    <row r="9364" spans="1:19" x14ac:dyDescent="0.25">
      <c r="A9364">
        <v>101481505</v>
      </c>
      <c r="B9364" t="s">
        <v>21328</v>
      </c>
      <c r="C9364" t="s">
        <v>21329</v>
      </c>
      <c r="G9364" t="s">
        <v>21330</v>
      </c>
      <c r="H9364" t="s">
        <v>1768</v>
      </c>
      <c r="I9364" t="s">
        <v>22</v>
      </c>
      <c r="J9364">
        <v>95209</v>
      </c>
      <c r="K9364">
        <v>2102</v>
      </c>
      <c r="L9364" t="s">
        <v>23</v>
      </c>
      <c r="M9364" t="s">
        <v>21330</v>
      </c>
      <c r="N9364" t="s">
        <v>1768</v>
      </c>
      <c r="O9364" t="s">
        <v>22</v>
      </c>
      <c r="P9364">
        <v>95209</v>
      </c>
      <c r="Q9364">
        <v>2102</v>
      </c>
      <c r="R9364" t="s">
        <v>23</v>
      </c>
      <c r="S9364" s="1" t="s">
        <v>34218</v>
      </c>
    </row>
    <row r="9365" spans="1:19" x14ac:dyDescent="0.25">
      <c r="A9365">
        <v>101444705</v>
      </c>
      <c r="B9365" t="s">
        <v>17202</v>
      </c>
      <c r="C9365" t="s">
        <v>14254</v>
      </c>
      <c r="G9365" t="s">
        <v>21331</v>
      </c>
      <c r="H9365" t="s">
        <v>21332</v>
      </c>
      <c r="I9365" t="s">
        <v>117</v>
      </c>
      <c r="J9365">
        <v>12069</v>
      </c>
      <c r="L9365" t="s">
        <v>23</v>
      </c>
      <c r="M9365" t="s">
        <v>21331</v>
      </c>
      <c r="N9365" t="s">
        <v>21332</v>
      </c>
      <c r="O9365" t="s">
        <v>117</v>
      </c>
      <c r="P9365">
        <v>12069</v>
      </c>
      <c r="R9365" t="s">
        <v>23</v>
      </c>
      <c r="S9365" s="1" t="s">
        <v>34218</v>
      </c>
    </row>
    <row r="9366" spans="1:19" x14ac:dyDescent="0.25">
      <c r="A9366">
        <v>101134358</v>
      </c>
      <c r="B9366" t="s">
        <v>21333</v>
      </c>
      <c r="C9366" t="s">
        <v>21334</v>
      </c>
      <c r="G9366" t="s">
        <v>21335</v>
      </c>
      <c r="H9366" t="s">
        <v>412</v>
      </c>
      <c r="I9366" t="s">
        <v>117</v>
      </c>
      <c r="J9366">
        <v>11231</v>
      </c>
      <c r="K9366">
        <v>1621</v>
      </c>
      <c r="L9366" t="s">
        <v>23</v>
      </c>
      <c r="M9366" t="s">
        <v>21335</v>
      </c>
      <c r="N9366" t="s">
        <v>412</v>
      </c>
      <c r="O9366" t="s">
        <v>117</v>
      </c>
      <c r="P9366">
        <v>11231</v>
      </c>
      <c r="Q9366">
        <v>1621</v>
      </c>
      <c r="R9366" t="s">
        <v>23</v>
      </c>
      <c r="S9366" s="1" t="s">
        <v>34218</v>
      </c>
    </row>
    <row r="9367" spans="1:19" x14ac:dyDescent="0.25">
      <c r="A9367">
        <v>101470305</v>
      </c>
      <c r="B9367" t="s">
        <v>16053</v>
      </c>
      <c r="C9367" t="s">
        <v>3705</v>
      </c>
      <c r="G9367" t="s">
        <v>16054</v>
      </c>
      <c r="H9367" t="s">
        <v>16055</v>
      </c>
      <c r="I9367" t="s">
        <v>250</v>
      </c>
      <c r="J9367">
        <v>7421</v>
      </c>
      <c r="K9367">
        <v>153</v>
      </c>
      <c r="L9367" t="s">
        <v>23</v>
      </c>
      <c r="M9367" t="s">
        <v>16054</v>
      </c>
      <c r="N9367" t="s">
        <v>16055</v>
      </c>
      <c r="O9367" t="s">
        <v>250</v>
      </c>
      <c r="P9367">
        <v>7421</v>
      </c>
      <c r="Q9367">
        <v>153</v>
      </c>
      <c r="R9367" t="s">
        <v>23</v>
      </c>
      <c r="S9367" s="1" t="s">
        <v>34218</v>
      </c>
    </row>
    <row r="9368" spans="1:19" x14ac:dyDescent="0.25">
      <c r="A9368">
        <v>101336848</v>
      </c>
      <c r="B9368" t="s">
        <v>21336</v>
      </c>
      <c r="C9368" t="s">
        <v>1069</v>
      </c>
      <c r="G9368" t="s">
        <v>21337</v>
      </c>
      <c r="H9368" t="s">
        <v>12365</v>
      </c>
      <c r="I9368" t="s">
        <v>236</v>
      </c>
      <c r="J9368">
        <v>1760</v>
      </c>
      <c r="K9368">
        <v>1239</v>
      </c>
      <c r="L9368" t="s">
        <v>23</v>
      </c>
      <c r="M9368" t="s">
        <v>21337</v>
      </c>
      <c r="N9368" t="s">
        <v>12365</v>
      </c>
      <c r="O9368" t="s">
        <v>236</v>
      </c>
      <c r="P9368">
        <v>1760</v>
      </c>
      <c r="Q9368">
        <v>1239</v>
      </c>
      <c r="R9368" t="s">
        <v>23</v>
      </c>
      <c r="S9368" s="1" t="s">
        <v>34218</v>
      </c>
    </row>
    <row r="9369" spans="1:19" x14ac:dyDescent="0.25">
      <c r="A9369">
        <v>101290490</v>
      </c>
      <c r="B9369" t="s">
        <v>21338</v>
      </c>
      <c r="C9369" t="s">
        <v>531</v>
      </c>
      <c r="G9369" t="s">
        <v>21339</v>
      </c>
      <c r="H9369" t="s">
        <v>4114</v>
      </c>
      <c r="I9369" t="s">
        <v>117</v>
      </c>
      <c r="J9369">
        <v>12345</v>
      </c>
      <c r="K9369">
        <v>1</v>
      </c>
      <c r="L9369" t="s">
        <v>23</v>
      </c>
      <c r="M9369" t="s">
        <v>21339</v>
      </c>
      <c r="N9369" t="s">
        <v>4114</v>
      </c>
      <c r="O9369" t="s">
        <v>117</v>
      </c>
      <c r="P9369">
        <v>12345</v>
      </c>
      <c r="Q9369">
        <v>1</v>
      </c>
      <c r="R9369" t="s">
        <v>23</v>
      </c>
      <c r="S9369" s="1" t="s">
        <v>34218</v>
      </c>
    </row>
    <row r="9370" spans="1:19" x14ac:dyDescent="0.25">
      <c r="A9370">
        <v>101390895</v>
      </c>
      <c r="B9370" t="s">
        <v>21340</v>
      </c>
      <c r="C9370" t="s">
        <v>21341</v>
      </c>
      <c r="G9370" t="s">
        <v>21342</v>
      </c>
      <c r="H9370" t="s">
        <v>227</v>
      </c>
      <c r="I9370" t="s">
        <v>43</v>
      </c>
      <c r="J9370">
        <v>97266</v>
      </c>
      <c r="K9370">
        <v>4925</v>
      </c>
      <c r="L9370" t="s">
        <v>23</v>
      </c>
      <c r="M9370" t="s">
        <v>21342</v>
      </c>
      <c r="N9370" t="s">
        <v>227</v>
      </c>
      <c r="O9370" t="s">
        <v>43</v>
      </c>
      <c r="P9370">
        <v>97266</v>
      </c>
      <c r="Q9370">
        <v>4925</v>
      </c>
      <c r="R9370" t="s">
        <v>23</v>
      </c>
      <c r="S9370" s="1" t="s">
        <v>34218</v>
      </c>
    </row>
    <row r="9371" spans="1:19" x14ac:dyDescent="0.25">
      <c r="A9371">
        <v>100844589</v>
      </c>
      <c r="B9371" t="s">
        <v>21343</v>
      </c>
      <c r="C9371" t="s">
        <v>1107</v>
      </c>
      <c r="G9371" t="s">
        <v>21344</v>
      </c>
      <c r="H9371" t="s">
        <v>412</v>
      </c>
      <c r="I9371" t="s">
        <v>117</v>
      </c>
      <c r="J9371">
        <v>11211</v>
      </c>
      <c r="K9371">
        <v>1259</v>
      </c>
      <c r="L9371" t="s">
        <v>23</v>
      </c>
      <c r="M9371" t="s">
        <v>21344</v>
      </c>
      <c r="N9371" t="s">
        <v>412</v>
      </c>
      <c r="O9371" t="s">
        <v>117</v>
      </c>
      <c r="P9371">
        <v>11211</v>
      </c>
      <c r="Q9371">
        <v>1259</v>
      </c>
      <c r="R9371" t="s">
        <v>23</v>
      </c>
      <c r="S9371" s="1" t="s">
        <v>34218</v>
      </c>
    </row>
    <row r="9372" spans="1:19" x14ac:dyDescent="0.25">
      <c r="A9372">
        <v>100714877</v>
      </c>
      <c r="B9372" t="s">
        <v>786</v>
      </c>
      <c r="C9372" t="s">
        <v>4371</v>
      </c>
      <c r="G9372" t="s">
        <v>21345</v>
      </c>
      <c r="H9372" t="s">
        <v>4866</v>
      </c>
      <c r="I9372" t="s">
        <v>22</v>
      </c>
      <c r="J9372" t="s">
        <v>21346</v>
      </c>
      <c r="K9372">
        <v>2829</v>
      </c>
      <c r="L9372" t="s">
        <v>23</v>
      </c>
      <c r="M9372" t="s">
        <v>21345</v>
      </c>
      <c r="N9372" t="s">
        <v>4866</v>
      </c>
      <c r="O9372" t="s">
        <v>22</v>
      </c>
      <c r="P9372" t="s">
        <v>21346</v>
      </c>
      <c r="Q9372">
        <v>2829</v>
      </c>
      <c r="R9372" t="s">
        <v>23</v>
      </c>
      <c r="S9372" s="1" t="s">
        <v>34218</v>
      </c>
    </row>
    <row r="9373" spans="1:19" x14ac:dyDescent="0.25">
      <c r="A9373">
        <v>101394720</v>
      </c>
      <c r="B9373" t="s">
        <v>21347</v>
      </c>
      <c r="C9373" t="s">
        <v>350</v>
      </c>
      <c r="G9373" t="s">
        <v>21348</v>
      </c>
      <c r="H9373" t="s">
        <v>5540</v>
      </c>
      <c r="I9373" t="s">
        <v>140</v>
      </c>
      <c r="J9373" t="s">
        <v>21349</v>
      </c>
      <c r="K9373">
        <v>7177</v>
      </c>
      <c r="L9373" t="s">
        <v>23</v>
      </c>
      <c r="M9373" t="s">
        <v>21348</v>
      </c>
      <c r="N9373" t="s">
        <v>5540</v>
      </c>
      <c r="O9373" t="s">
        <v>140</v>
      </c>
      <c r="P9373" t="s">
        <v>21349</v>
      </c>
      <c r="Q9373">
        <v>7177</v>
      </c>
      <c r="R9373" t="s">
        <v>23</v>
      </c>
      <c r="S9373" s="1" t="s">
        <v>34218</v>
      </c>
    </row>
    <row r="9374" spans="1:19" x14ac:dyDescent="0.25">
      <c r="A9374">
        <v>100559877</v>
      </c>
      <c r="B9374" t="s">
        <v>966</v>
      </c>
      <c r="C9374" t="s">
        <v>820</v>
      </c>
      <c r="G9374" t="s">
        <v>21350</v>
      </c>
      <c r="H9374" t="s">
        <v>4114</v>
      </c>
      <c r="I9374" t="s">
        <v>117</v>
      </c>
      <c r="J9374">
        <v>12345</v>
      </c>
      <c r="K9374">
        <v>1</v>
      </c>
      <c r="L9374" t="s">
        <v>23</v>
      </c>
      <c r="M9374" t="s">
        <v>21350</v>
      </c>
      <c r="N9374" t="s">
        <v>4114</v>
      </c>
      <c r="O9374" t="s">
        <v>117</v>
      </c>
      <c r="P9374">
        <v>12345</v>
      </c>
      <c r="Q9374">
        <v>1</v>
      </c>
      <c r="R9374" t="s">
        <v>23</v>
      </c>
      <c r="S9374" s="1" t="s">
        <v>34218</v>
      </c>
    </row>
    <row r="9375" spans="1:19" x14ac:dyDescent="0.25">
      <c r="A9375">
        <v>101236149</v>
      </c>
      <c r="B9375" t="s">
        <v>401</v>
      </c>
      <c r="C9375" t="s">
        <v>21351</v>
      </c>
      <c r="G9375" t="s">
        <v>21352</v>
      </c>
      <c r="H9375" t="s">
        <v>1276</v>
      </c>
      <c r="I9375" t="s">
        <v>446</v>
      </c>
      <c r="J9375">
        <v>27514</v>
      </c>
      <c r="K9375">
        <v>6701</v>
      </c>
      <c r="L9375" t="s">
        <v>23</v>
      </c>
      <c r="M9375" t="s">
        <v>21352</v>
      </c>
      <c r="N9375" t="s">
        <v>1276</v>
      </c>
      <c r="O9375" t="s">
        <v>446</v>
      </c>
      <c r="P9375">
        <v>27514</v>
      </c>
      <c r="Q9375">
        <v>6701</v>
      </c>
      <c r="R9375" t="s">
        <v>23</v>
      </c>
      <c r="S9375" s="1" t="s">
        <v>34218</v>
      </c>
    </row>
    <row r="9376" spans="1:19" x14ac:dyDescent="0.25">
      <c r="A9376">
        <v>101306668</v>
      </c>
      <c r="B9376" t="s">
        <v>21353</v>
      </c>
      <c r="C9376" t="s">
        <v>543</v>
      </c>
      <c r="G9376" t="s">
        <v>21354</v>
      </c>
      <c r="H9376" t="s">
        <v>2100</v>
      </c>
      <c r="I9376" t="s">
        <v>52</v>
      </c>
      <c r="J9376">
        <v>33311</v>
      </c>
      <c r="K9376">
        <v>9100</v>
      </c>
      <c r="L9376" t="s">
        <v>23</v>
      </c>
      <c r="M9376" t="s">
        <v>21354</v>
      </c>
      <c r="N9376" t="s">
        <v>2100</v>
      </c>
      <c r="O9376" t="s">
        <v>52</v>
      </c>
      <c r="P9376">
        <v>33311</v>
      </c>
      <c r="Q9376">
        <v>9100</v>
      </c>
      <c r="R9376" t="s">
        <v>23</v>
      </c>
      <c r="S9376" s="1" t="s">
        <v>34218</v>
      </c>
    </row>
    <row r="9377" spans="1:19" x14ac:dyDescent="0.25">
      <c r="A9377">
        <v>101307910</v>
      </c>
      <c r="B9377" t="s">
        <v>3266</v>
      </c>
      <c r="C9377" t="s">
        <v>2463</v>
      </c>
      <c r="G9377" t="s">
        <v>21355</v>
      </c>
      <c r="H9377" t="s">
        <v>3054</v>
      </c>
      <c r="I9377" t="s">
        <v>307</v>
      </c>
      <c r="J9377">
        <v>5753</v>
      </c>
      <c r="K9377">
        <v>1059</v>
      </c>
      <c r="L9377" t="s">
        <v>23</v>
      </c>
      <c r="M9377" t="s">
        <v>21355</v>
      </c>
      <c r="N9377" t="s">
        <v>3054</v>
      </c>
      <c r="O9377" t="s">
        <v>307</v>
      </c>
      <c r="P9377">
        <v>5753</v>
      </c>
      <c r="Q9377">
        <v>1059</v>
      </c>
      <c r="R9377" t="s">
        <v>23</v>
      </c>
      <c r="S9377" s="1" t="s">
        <v>34218</v>
      </c>
    </row>
    <row r="9378" spans="1:19" x14ac:dyDescent="0.25">
      <c r="A9378">
        <v>100935436</v>
      </c>
      <c r="B9378" t="s">
        <v>21356</v>
      </c>
      <c r="C9378" t="s">
        <v>10806</v>
      </c>
      <c r="G9378" t="s">
        <v>21357</v>
      </c>
      <c r="H9378" t="s">
        <v>21358</v>
      </c>
      <c r="I9378" t="s">
        <v>33</v>
      </c>
      <c r="J9378">
        <v>15351</v>
      </c>
      <c r="L9378" t="s">
        <v>23</v>
      </c>
      <c r="M9378" t="s">
        <v>21357</v>
      </c>
      <c r="N9378" t="s">
        <v>21358</v>
      </c>
      <c r="O9378" t="s">
        <v>33</v>
      </c>
      <c r="P9378">
        <v>15351</v>
      </c>
      <c r="R9378" t="s">
        <v>23</v>
      </c>
      <c r="S9378" s="1" t="s">
        <v>34218</v>
      </c>
    </row>
    <row r="9379" spans="1:19" x14ac:dyDescent="0.25">
      <c r="A9379">
        <v>101244992</v>
      </c>
      <c r="B9379" t="s">
        <v>2459</v>
      </c>
      <c r="C9379" t="s">
        <v>4188</v>
      </c>
      <c r="G9379" t="s">
        <v>21359</v>
      </c>
      <c r="H9379" t="s">
        <v>638</v>
      </c>
      <c r="I9379" t="s">
        <v>639</v>
      </c>
      <c r="J9379">
        <v>87102</v>
      </c>
      <c r="K9379">
        <v>1678</v>
      </c>
      <c r="L9379" t="s">
        <v>23</v>
      </c>
      <c r="M9379" t="s">
        <v>21359</v>
      </c>
      <c r="N9379" t="s">
        <v>638</v>
      </c>
      <c r="O9379" t="s">
        <v>639</v>
      </c>
      <c r="P9379">
        <v>87102</v>
      </c>
      <c r="Q9379">
        <v>1678</v>
      </c>
      <c r="R9379" t="s">
        <v>23</v>
      </c>
      <c r="S9379" s="1" t="s">
        <v>34218</v>
      </c>
    </row>
    <row r="9380" spans="1:19" x14ac:dyDescent="0.25">
      <c r="A9380">
        <v>101480493</v>
      </c>
      <c r="B9380" t="s">
        <v>21360</v>
      </c>
      <c r="C9380" t="s">
        <v>3545</v>
      </c>
      <c r="G9380" t="s">
        <v>21361</v>
      </c>
      <c r="H9380" t="s">
        <v>869</v>
      </c>
      <c r="I9380" t="s">
        <v>52</v>
      </c>
      <c r="J9380">
        <v>33156</v>
      </c>
      <c r="K9380">
        <v>2900</v>
      </c>
      <c r="L9380" t="s">
        <v>23</v>
      </c>
      <c r="M9380" t="s">
        <v>21361</v>
      </c>
      <c r="N9380" t="s">
        <v>869</v>
      </c>
      <c r="O9380" t="s">
        <v>52</v>
      </c>
      <c r="P9380">
        <v>33156</v>
      </c>
      <c r="Q9380">
        <v>2900</v>
      </c>
      <c r="R9380" t="s">
        <v>23</v>
      </c>
      <c r="S9380" s="1" t="s">
        <v>34218</v>
      </c>
    </row>
    <row r="9381" spans="1:19" x14ac:dyDescent="0.25">
      <c r="A9381">
        <v>101289641</v>
      </c>
      <c r="B9381" t="s">
        <v>8401</v>
      </c>
      <c r="C9381" t="s">
        <v>1176</v>
      </c>
      <c r="G9381" t="s">
        <v>21362</v>
      </c>
      <c r="H9381" t="s">
        <v>1439</v>
      </c>
      <c r="I9381" t="s">
        <v>365</v>
      </c>
      <c r="J9381">
        <v>85737</v>
      </c>
      <c r="K9381">
        <v>7120</v>
      </c>
      <c r="L9381" t="s">
        <v>23</v>
      </c>
      <c r="M9381" t="s">
        <v>21362</v>
      </c>
      <c r="N9381" t="s">
        <v>1439</v>
      </c>
      <c r="O9381" t="s">
        <v>365</v>
      </c>
      <c r="P9381">
        <v>85737</v>
      </c>
      <c r="Q9381">
        <v>7120</v>
      </c>
      <c r="R9381" t="s">
        <v>23</v>
      </c>
      <c r="S9381" s="1" t="s">
        <v>34218</v>
      </c>
    </row>
    <row r="9382" spans="1:19" x14ac:dyDescent="0.25">
      <c r="A9382">
        <v>101441825</v>
      </c>
      <c r="B9382" t="s">
        <v>6638</v>
      </c>
      <c r="C9382" t="s">
        <v>21363</v>
      </c>
      <c r="G9382" t="s">
        <v>21364</v>
      </c>
      <c r="H9382" t="s">
        <v>88</v>
      </c>
      <c r="I9382" t="s">
        <v>22</v>
      </c>
      <c r="J9382">
        <v>94606</v>
      </c>
      <c r="K9382">
        <v>1035</v>
      </c>
      <c r="L9382" t="s">
        <v>23</v>
      </c>
      <c r="M9382" t="s">
        <v>21364</v>
      </c>
      <c r="N9382" t="s">
        <v>88</v>
      </c>
      <c r="O9382" t="s">
        <v>22</v>
      </c>
      <c r="P9382">
        <v>94606</v>
      </c>
      <c r="Q9382">
        <v>1035</v>
      </c>
      <c r="R9382" t="s">
        <v>23</v>
      </c>
      <c r="S9382" s="1" t="s">
        <v>34218</v>
      </c>
    </row>
    <row r="9383" spans="1:19" x14ac:dyDescent="0.25">
      <c r="A9383">
        <v>101428607</v>
      </c>
      <c r="B9383" t="s">
        <v>21365</v>
      </c>
      <c r="C9383" t="s">
        <v>535</v>
      </c>
      <c r="G9383" t="s">
        <v>21366</v>
      </c>
      <c r="H9383" t="s">
        <v>3024</v>
      </c>
      <c r="I9383" t="s">
        <v>255</v>
      </c>
      <c r="J9383">
        <v>20191</v>
      </c>
      <c r="K9383">
        <v>1621</v>
      </c>
      <c r="L9383" t="s">
        <v>23</v>
      </c>
      <c r="M9383" t="s">
        <v>21366</v>
      </c>
      <c r="N9383" t="s">
        <v>3024</v>
      </c>
      <c r="O9383" t="s">
        <v>255</v>
      </c>
      <c r="P9383">
        <v>20191</v>
      </c>
      <c r="Q9383">
        <v>1621</v>
      </c>
      <c r="R9383" t="s">
        <v>23</v>
      </c>
      <c r="S9383" s="1" t="s">
        <v>34218</v>
      </c>
    </row>
    <row r="9384" spans="1:19" x14ac:dyDescent="0.25">
      <c r="A9384">
        <v>101414338</v>
      </c>
      <c r="B9384" t="s">
        <v>21367</v>
      </c>
      <c r="C9384" t="s">
        <v>1542</v>
      </c>
      <c r="G9384" t="s">
        <v>21368</v>
      </c>
      <c r="H9384" t="s">
        <v>8997</v>
      </c>
      <c r="I9384" t="s">
        <v>662</v>
      </c>
      <c r="J9384">
        <v>2909</v>
      </c>
      <c r="K9384">
        <v>2111</v>
      </c>
      <c r="L9384" t="s">
        <v>23</v>
      </c>
      <c r="M9384" t="s">
        <v>21368</v>
      </c>
      <c r="N9384" t="s">
        <v>8997</v>
      </c>
      <c r="O9384" t="s">
        <v>662</v>
      </c>
      <c r="P9384">
        <v>2909</v>
      </c>
      <c r="Q9384">
        <v>2111</v>
      </c>
      <c r="R9384" t="s">
        <v>23</v>
      </c>
      <c r="S9384" s="1" t="s">
        <v>34218</v>
      </c>
    </row>
    <row r="9385" spans="1:19" x14ac:dyDescent="0.25">
      <c r="A9385">
        <v>100777853</v>
      </c>
      <c r="B9385" t="s">
        <v>9091</v>
      </c>
      <c r="C9385" t="s">
        <v>966</v>
      </c>
      <c r="G9385" t="s">
        <v>21369</v>
      </c>
      <c r="H9385" t="s">
        <v>21370</v>
      </c>
      <c r="I9385" t="s">
        <v>52</v>
      </c>
      <c r="J9385">
        <v>33156</v>
      </c>
      <c r="K9385">
        <v>1123</v>
      </c>
      <c r="L9385" t="s">
        <v>23</v>
      </c>
      <c r="M9385" t="s">
        <v>21369</v>
      </c>
      <c r="N9385" t="s">
        <v>21370</v>
      </c>
      <c r="O9385" t="s">
        <v>52</v>
      </c>
      <c r="P9385">
        <v>33156</v>
      </c>
      <c r="Q9385">
        <v>1123</v>
      </c>
      <c r="R9385" t="s">
        <v>23</v>
      </c>
      <c r="S9385" s="1" t="s">
        <v>34218</v>
      </c>
    </row>
    <row r="9386" spans="1:19" x14ac:dyDescent="0.25">
      <c r="A9386">
        <v>101453143</v>
      </c>
      <c r="B9386" t="s">
        <v>21371</v>
      </c>
      <c r="C9386" t="s">
        <v>2232</v>
      </c>
      <c r="G9386" t="s">
        <v>21372</v>
      </c>
      <c r="H9386" t="s">
        <v>357</v>
      </c>
      <c r="I9386" t="s">
        <v>255</v>
      </c>
      <c r="J9386">
        <v>22301</v>
      </c>
      <c r="K9386">
        <v>2617</v>
      </c>
      <c r="L9386" t="s">
        <v>23</v>
      </c>
      <c r="M9386" t="s">
        <v>21372</v>
      </c>
      <c r="N9386" t="s">
        <v>357</v>
      </c>
      <c r="O9386" t="s">
        <v>255</v>
      </c>
      <c r="P9386">
        <v>22301</v>
      </c>
      <c r="Q9386">
        <v>2617</v>
      </c>
      <c r="R9386" t="s">
        <v>23</v>
      </c>
      <c r="S9386" s="1" t="s">
        <v>34218</v>
      </c>
    </row>
    <row r="9387" spans="1:19" x14ac:dyDescent="0.25">
      <c r="A9387">
        <v>101137740</v>
      </c>
      <c r="B9387" t="s">
        <v>10342</v>
      </c>
      <c r="C9387" t="s">
        <v>19609</v>
      </c>
      <c r="G9387" t="s">
        <v>21373</v>
      </c>
      <c r="H9387" t="s">
        <v>12929</v>
      </c>
      <c r="I9387" t="s">
        <v>28</v>
      </c>
      <c r="J9387">
        <v>30127</v>
      </c>
      <c r="K9387">
        <v>9041</v>
      </c>
      <c r="L9387" t="s">
        <v>23</v>
      </c>
      <c r="M9387" t="s">
        <v>21373</v>
      </c>
      <c r="N9387" t="s">
        <v>12929</v>
      </c>
      <c r="O9387" t="s">
        <v>28</v>
      </c>
      <c r="P9387">
        <v>30127</v>
      </c>
      <c r="Q9387">
        <v>9041</v>
      </c>
      <c r="R9387" t="s">
        <v>23</v>
      </c>
      <c r="S9387" s="1" t="s">
        <v>34218</v>
      </c>
    </row>
    <row r="9388" spans="1:19" x14ac:dyDescent="0.25">
      <c r="A9388">
        <v>101480512</v>
      </c>
      <c r="B9388" t="s">
        <v>303</v>
      </c>
      <c r="C9388" t="s">
        <v>2411</v>
      </c>
      <c r="G9388" t="s">
        <v>21374</v>
      </c>
      <c r="H9388" t="s">
        <v>88</v>
      </c>
      <c r="I9388" t="s">
        <v>22</v>
      </c>
      <c r="J9388">
        <v>94603</v>
      </c>
      <c r="L9388" t="s">
        <v>23</v>
      </c>
      <c r="M9388" t="s">
        <v>21374</v>
      </c>
      <c r="N9388" t="s">
        <v>88</v>
      </c>
      <c r="O9388" t="s">
        <v>22</v>
      </c>
      <c r="P9388">
        <v>94603</v>
      </c>
      <c r="R9388" t="s">
        <v>23</v>
      </c>
      <c r="S9388" s="1" t="s">
        <v>34218</v>
      </c>
    </row>
    <row r="9389" spans="1:19" x14ac:dyDescent="0.25">
      <c r="A9389">
        <v>101467531</v>
      </c>
      <c r="B9389" t="s">
        <v>17571</v>
      </c>
      <c r="C9389" t="s">
        <v>9860</v>
      </c>
      <c r="G9389" t="s">
        <v>21375</v>
      </c>
      <c r="H9389" t="s">
        <v>1086</v>
      </c>
      <c r="I9389" t="s">
        <v>446</v>
      </c>
      <c r="J9389">
        <v>28277</v>
      </c>
      <c r="K9389">
        <v>9063</v>
      </c>
      <c r="L9389" t="s">
        <v>23</v>
      </c>
      <c r="M9389" t="s">
        <v>21375</v>
      </c>
      <c r="N9389" t="s">
        <v>1086</v>
      </c>
      <c r="O9389" t="s">
        <v>446</v>
      </c>
      <c r="P9389">
        <v>28277</v>
      </c>
      <c r="Q9389">
        <v>9063</v>
      </c>
      <c r="R9389" t="s">
        <v>23</v>
      </c>
      <c r="S9389" s="1" t="s">
        <v>34218</v>
      </c>
    </row>
    <row r="9390" spans="1:19" x14ac:dyDescent="0.25">
      <c r="A9390">
        <v>100645958</v>
      </c>
      <c r="B9390" t="s">
        <v>15834</v>
      </c>
      <c r="C9390" t="s">
        <v>571</v>
      </c>
      <c r="G9390" t="s">
        <v>21376</v>
      </c>
      <c r="H9390" t="s">
        <v>1765</v>
      </c>
      <c r="I9390" t="s">
        <v>84</v>
      </c>
      <c r="J9390">
        <v>98501</v>
      </c>
      <c r="K9390">
        <v>3680</v>
      </c>
      <c r="L9390" t="s">
        <v>23</v>
      </c>
      <c r="M9390" t="s">
        <v>21376</v>
      </c>
      <c r="N9390" t="s">
        <v>1765</v>
      </c>
      <c r="O9390" t="s">
        <v>84</v>
      </c>
      <c r="P9390">
        <v>98501</v>
      </c>
      <c r="Q9390">
        <v>3680</v>
      </c>
      <c r="R9390" t="s">
        <v>23</v>
      </c>
      <c r="S9390" s="1" t="s">
        <v>34218</v>
      </c>
    </row>
    <row r="9391" spans="1:19" x14ac:dyDescent="0.25">
      <c r="A9391">
        <v>101479722</v>
      </c>
      <c r="B9391" t="s">
        <v>1698</v>
      </c>
      <c r="C9391" t="s">
        <v>158</v>
      </c>
      <c r="G9391" t="s">
        <v>21377</v>
      </c>
      <c r="H9391" t="s">
        <v>21378</v>
      </c>
      <c r="I9391" t="s">
        <v>22</v>
      </c>
      <c r="J9391">
        <v>93041</v>
      </c>
      <c r="K9391">
        <v>3449</v>
      </c>
      <c r="L9391" t="s">
        <v>23</v>
      </c>
      <c r="M9391" t="s">
        <v>21377</v>
      </c>
      <c r="N9391" t="s">
        <v>21378</v>
      </c>
      <c r="O9391" t="s">
        <v>22</v>
      </c>
      <c r="P9391">
        <v>93041</v>
      </c>
      <c r="Q9391">
        <v>3449</v>
      </c>
      <c r="R9391" t="s">
        <v>23</v>
      </c>
      <c r="S9391" s="1" t="s">
        <v>34218</v>
      </c>
    </row>
    <row r="9392" spans="1:19" x14ac:dyDescent="0.25">
      <c r="A9392">
        <v>101025735</v>
      </c>
      <c r="B9392" t="s">
        <v>18541</v>
      </c>
      <c r="C9392" t="s">
        <v>8920</v>
      </c>
      <c r="G9392" t="s">
        <v>21379</v>
      </c>
      <c r="H9392" t="s">
        <v>569</v>
      </c>
      <c r="I9392" t="s">
        <v>187</v>
      </c>
      <c r="J9392">
        <v>55409</v>
      </c>
      <c r="K9392">
        <v>1112</v>
      </c>
      <c r="L9392" t="s">
        <v>23</v>
      </c>
      <c r="M9392" t="s">
        <v>21379</v>
      </c>
      <c r="N9392" t="s">
        <v>569</v>
      </c>
      <c r="O9392" t="s">
        <v>187</v>
      </c>
      <c r="P9392">
        <v>55409</v>
      </c>
      <c r="Q9392">
        <v>1112</v>
      </c>
      <c r="R9392" t="s">
        <v>23</v>
      </c>
      <c r="S9392" s="1" t="s">
        <v>34218</v>
      </c>
    </row>
    <row r="9393" spans="1:19" x14ac:dyDescent="0.25">
      <c r="A9393">
        <v>101480520</v>
      </c>
      <c r="B9393" t="s">
        <v>654</v>
      </c>
      <c r="C9393" t="s">
        <v>1153</v>
      </c>
      <c r="G9393" t="s">
        <v>21380</v>
      </c>
      <c r="H9393" t="s">
        <v>21381</v>
      </c>
      <c r="I9393" t="s">
        <v>365</v>
      </c>
      <c r="J9393">
        <v>86406</v>
      </c>
      <c r="K9393">
        <v>8855</v>
      </c>
      <c r="L9393" t="s">
        <v>23</v>
      </c>
      <c r="M9393" t="s">
        <v>21380</v>
      </c>
      <c r="N9393" t="s">
        <v>21381</v>
      </c>
      <c r="O9393" t="s">
        <v>365</v>
      </c>
      <c r="P9393">
        <v>86406</v>
      </c>
      <c r="Q9393">
        <v>8855</v>
      </c>
      <c r="R9393" t="s">
        <v>23</v>
      </c>
      <c r="S9393" s="1" t="s">
        <v>34218</v>
      </c>
    </row>
    <row r="9394" spans="1:19" x14ac:dyDescent="0.25">
      <c r="A9394">
        <v>101473924</v>
      </c>
      <c r="B9394" t="s">
        <v>4956</v>
      </c>
      <c r="C9394" t="s">
        <v>3843</v>
      </c>
      <c r="G9394" t="s">
        <v>21382</v>
      </c>
      <c r="H9394" t="s">
        <v>869</v>
      </c>
      <c r="I9394" t="s">
        <v>52</v>
      </c>
      <c r="J9394">
        <v>33131</v>
      </c>
      <c r="K9394">
        <v>4900</v>
      </c>
      <c r="L9394" t="s">
        <v>23</v>
      </c>
      <c r="M9394" t="s">
        <v>21382</v>
      </c>
      <c r="N9394" t="s">
        <v>869</v>
      </c>
      <c r="O9394" t="s">
        <v>52</v>
      </c>
      <c r="P9394">
        <v>33131</v>
      </c>
      <c r="Q9394">
        <v>4900</v>
      </c>
      <c r="R9394" t="s">
        <v>23</v>
      </c>
      <c r="S9394" s="1" t="s">
        <v>34218</v>
      </c>
    </row>
    <row r="9395" spans="1:19" x14ac:dyDescent="0.25">
      <c r="A9395">
        <v>101480529</v>
      </c>
      <c r="B9395" t="s">
        <v>21383</v>
      </c>
      <c r="C9395" t="s">
        <v>21384</v>
      </c>
      <c r="G9395" t="s">
        <v>21385</v>
      </c>
      <c r="H9395" t="s">
        <v>5056</v>
      </c>
      <c r="I9395" t="s">
        <v>22</v>
      </c>
      <c r="J9395">
        <v>92704</v>
      </c>
      <c r="K9395">
        <v>1047</v>
      </c>
      <c r="L9395" t="s">
        <v>23</v>
      </c>
      <c r="M9395" t="s">
        <v>21385</v>
      </c>
      <c r="N9395" t="s">
        <v>5056</v>
      </c>
      <c r="O9395" t="s">
        <v>22</v>
      </c>
      <c r="P9395">
        <v>92704</v>
      </c>
      <c r="Q9395">
        <v>1047</v>
      </c>
      <c r="R9395" t="s">
        <v>23</v>
      </c>
      <c r="S9395" s="1" t="s">
        <v>34218</v>
      </c>
    </row>
    <row r="9396" spans="1:19" x14ac:dyDescent="0.25">
      <c r="A9396">
        <v>101319944</v>
      </c>
      <c r="B9396" t="s">
        <v>14094</v>
      </c>
      <c r="C9396" t="s">
        <v>3058</v>
      </c>
      <c r="G9396" t="s">
        <v>21386</v>
      </c>
      <c r="H9396" t="s">
        <v>10969</v>
      </c>
      <c r="I9396" t="s">
        <v>38</v>
      </c>
      <c r="J9396">
        <v>75034</v>
      </c>
      <c r="K9396">
        <v>3330</v>
      </c>
      <c r="L9396" t="s">
        <v>23</v>
      </c>
      <c r="M9396" t="s">
        <v>21386</v>
      </c>
      <c r="N9396" t="s">
        <v>10969</v>
      </c>
      <c r="O9396" t="s">
        <v>38</v>
      </c>
      <c r="P9396">
        <v>75034</v>
      </c>
      <c r="Q9396">
        <v>3330</v>
      </c>
      <c r="R9396" t="s">
        <v>23</v>
      </c>
      <c r="S9396" s="1" t="s">
        <v>34218</v>
      </c>
    </row>
    <row r="9397" spans="1:19" x14ac:dyDescent="0.25">
      <c r="A9397">
        <v>101431967</v>
      </c>
      <c r="B9397" t="s">
        <v>21387</v>
      </c>
      <c r="C9397" t="s">
        <v>21388</v>
      </c>
      <c r="G9397" t="s">
        <v>21389</v>
      </c>
      <c r="H9397" t="s">
        <v>2399</v>
      </c>
      <c r="I9397" t="s">
        <v>71</v>
      </c>
      <c r="J9397">
        <v>80525</v>
      </c>
      <c r="K9397">
        <v>2458</v>
      </c>
      <c r="L9397" t="s">
        <v>23</v>
      </c>
      <c r="M9397" t="s">
        <v>21389</v>
      </c>
      <c r="N9397" t="s">
        <v>2399</v>
      </c>
      <c r="O9397" t="s">
        <v>71</v>
      </c>
      <c r="P9397">
        <v>80525</v>
      </c>
      <c r="Q9397">
        <v>2458</v>
      </c>
      <c r="R9397" t="s">
        <v>23</v>
      </c>
      <c r="S9397" s="1" t="s">
        <v>34218</v>
      </c>
    </row>
    <row r="9398" spans="1:19" x14ac:dyDescent="0.25">
      <c r="A9398">
        <v>100823385</v>
      </c>
      <c r="B9398" t="s">
        <v>3921</v>
      </c>
      <c r="C9398" t="s">
        <v>90</v>
      </c>
      <c r="G9398" t="s">
        <v>21390</v>
      </c>
      <c r="H9398" t="s">
        <v>1787</v>
      </c>
      <c r="I9398" t="s">
        <v>702</v>
      </c>
      <c r="J9398">
        <v>89145</v>
      </c>
      <c r="L9398" t="s">
        <v>23</v>
      </c>
      <c r="M9398" t="s">
        <v>21390</v>
      </c>
      <c r="N9398" t="s">
        <v>1787</v>
      </c>
      <c r="O9398" t="s">
        <v>702</v>
      </c>
      <c r="P9398">
        <v>89145</v>
      </c>
      <c r="R9398" t="s">
        <v>23</v>
      </c>
      <c r="S9398" s="1" t="s">
        <v>34218</v>
      </c>
    </row>
    <row r="9399" spans="1:19" x14ac:dyDescent="0.25">
      <c r="A9399">
        <v>101442274</v>
      </c>
      <c r="B9399" t="s">
        <v>21391</v>
      </c>
      <c r="C9399" t="s">
        <v>907</v>
      </c>
      <c r="G9399" t="s">
        <v>21392</v>
      </c>
      <c r="H9399" t="s">
        <v>11997</v>
      </c>
      <c r="I9399" t="s">
        <v>639</v>
      </c>
      <c r="J9399">
        <v>87549</v>
      </c>
      <c r="K9399">
        <v>33</v>
      </c>
      <c r="L9399" t="s">
        <v>23</v>
      </c>
      <c r="M9399" t="s">
        <v>21392</v>
      </c>
      <c r="N9399" t="s">
        <v>11997</v>
      </c>
      <c r="O9399" t="s">
        <v>639</v>
      </c>
      <c r="P9399">
        <v>87549</v>
      </c>
      <c r="Q9399">
        <v>33</v>
      </c>
      <c r="R9399" t="s">
        <v>23</v>
      </c>
      <c r="S9399" s="1" t="s">
        <v>34218</v>
      </c>
    </row>
    <row r="9400" spans="1:19" x14ac:dyDescent="0.25">
      <c r="A9400">
        <v>101480538</v>
      </c>
      <c r="B9400" t="s">
        <v>9009</v>
      </c>
      <c r="C9400" t="s">
        <v>21393</v>
      </c>
      <c r="G9400" t="s">
        <v>21394</v>
      </c>
      <c r="H9400" t="s">
        <v>1431</v>
      </c>
      <c r="I9400" t="s">
        <v>639</v>
      </c>
      <c r="J9400">
        <v>87502</v>
      </c>
      <c r="L9400" t="s">
        <v>23</v>
      </c>
      <c r="M9400" t="s">
        <v>21394</v>
      </c>
      <c r="N9400" t="s">
        <v>1431</v>
      </c>
      <c r="O9400" t="s">
        <v>639</v>
      </c>
      <c r="P9400">
        <v>87502</v>
      </c>
      <c r="R9400" t="s">
        <v>23</v>
      </c>
      <c r="S9400" s="1" t="s">
        <v>34218</v>
      </c>
    </row>
    <row r="9401" spans="1:19" x14ac:dyDescent="0.25">
      <c r="A9401">
        <v>100828497</v>
      </c>
      <c r="B9401" t="s">
        <v>21395</v>
      </c>
      <c r="C9401" t="s">
        <v>21396</v>
      </c>
      <c r="G9401" t="s">
        <v>21397</v>
      </c>
      <c r="H9401" t="s">
        <v>37</v>
      </c>
      <c r="I9401" t="s">
        <v>38</v>
      </c>
      <c r="J9401">
        <v>78758</v>
      </c>
      <c r="K9401">
        <v>2219</v>
      </c>
      <c r="L9401" t="s">
        <v>23</v>
      </c>
      <c r="M9401" t="s">
        <v>21397</v>
      </c>
      <c r="N9401" t="s">
        <v>37</v>
      </c>
      <c r="O9401" t="s">
        <v>38</v>
      </c>
      <c r="P9401">
        <v>78758</v>
      </c>
      <c r="Q9401">
        <v>2219</v>
      </c>
      <c r="R9401" t="s">
        <v>23</v>
      </c>
      <c r="S9401" s="1" t="s">
        <v>34218</v>
      </c>
    </row>
    <row r="9402" spans="1:19" x14ac:dyDescent="0.25">
      <c r="A9402">
        <v>100950398</v>
      </c>
      <c r="B9402" t="s">
        <v>21398</v>
      </c>
      <c r="C9402" t="s">
        <v>803</v>
      </c>
      <c r="G9402" t="s">
        <v>21399</v>
      </c>
      <c r="H9402" t="s">
        <v>7642</v>
      </c>
      <c r="I9402" t="s">
        <v>236</v>
      </c>
      <c r="J9402">
        <v>1096</v>
      </c>
      <c r="K9402">
        <v>9707</v>
      </c>
      <c r="L9402" t="s">
        <v>23</v>
      </c>
      <c r="M9402" t="s">
        <v>21399</v>
      </c>
      <c r="N9402" t="s">
        <v>7642</v>
      </c>
      <c r="O9402" t="s">
        <v>236</v>
      </c>
      <c r="P9402">
        <v>1096</v>
      </c>
      <c r="Q9402">
        <v>9707</v>
      </c>
      <c r="R9402" t="s">
        <v>23</v>
      </c>
      <c r="S9402" s="1" t="s">
        <v>34218</v>
      </c>
    </row>
    <row r="9403" spans="1:19" x14ac:dyDescent="0.25">
      <c r="A9403">
        <v>101480544</v>
      </c>
      <c r="B9403" t="s">
        <v>21400</v>
      </c>
      <c r="C9403" t="s">
        <v>1147</v>
      </c>
      <c r="G9403" t="s">
        <v>21401</v>
      </c>
      <c r="H9403" t="s">
        <v>21402</v>
      </c>
      <c r="I9403" t="s">
        <v>178</v>
      </c>
      <c r="J9403">
        <v>43081</v>
      </c>
      <c r="K9403">
        <v>7903</v>
      </c>
      <c r="L9403" t="s">
        <v>23</v>
      </c>
      <c r="M9403" t="s">
        <v>21401</v>
      </c>
      <c r="N9403" t="s">
        <v>21402</v>
      </c>
      <c r="O9403" t="s">
        <v>178</v>
      </c>
      <c r="P9403">
        <v>43081</v>
      </c>
      <c r="Q9403">
        <v>7903</v>
      </c>
      <c r="R9403" t="s">
        <v>23</v>
      </c>
      <c r="S9403" s="1" t="s">
        <v>34218</v>
      </c>
    </row>
    <row r="9404" spans="1:19" x14ac:dyDescent="0.25">
      <c r="A9404">
        <v>101431150</v>
      </c>
      <c r="B9404" t="s">
        <v>21403</v>
      </c>
      <c r="C9404" t="s">
        <v>4284</v>
      </c>
      <c r="F9404" t="str">
        <f>"6312420760"</f>
        <v>6312420760</v>
      </c>
      <c r="G9404" t="s">
        <v>21404</v>
      </c>
      <c r="H9404" t="s">
        <v>9702</v>
      </c>
      <c r="I9404" t="s">
        <v>117</v>
      </c>
      <c r="J9404" t="s">
        <v>21405</v>
      </c>
      <c r="K9404">
        <v>1403</v>
      </c>
      <c r="L9404" t="s">
        <v>23</v>
      </c>
      <c r="M9404" t="s">
        <v>21404</v>
      </c>
      <c r="N9404" t="s">
        <v>9702</v>
      </c>
      <c r="O9404" t="s">
        <v>117</v>
      </c>
      <c r="P9404" t="s">
        <v>21405</v>
      </c>
      <c r="Q9404">
        <v>1403</v>
      </c>
      <c r="R9404" t="s">
        <v>23</v>
      </c>
      <c r="S9404" s="1" t="s">
        <v>34218</v>
      </c>
    </row>
    <row r="9405" spans="1:19" x14ac:dyDescent="0.25">
      <c r="A9405">
        <v>100688669</v>
      </c>
      <c r="B9405" t="s">
        <v>303</v>
      </c>
      <c r="C9405" t="s">
        <v>5678</v>
      </c>
      <c r="G9405" t="s">
        <v>21406</v>
      </c>
      <c r="H9405" t="s">
        <v>13717</v>
      </c>
      <c r="I9405" t="s">
        <v>117</v>
      </c>
      <c r="J9405">
        <v>12866</v>
      </c>
      <c r="K9405">
        <v>5511</v>
      </c>
      <c r="L9405" t="s">
        <v>23</v>
      </c>
      <c r="M9405" t="s">
        <v>21406</v>
      </c>
      <c r="N9405" t="s">
        <v>13717</v>
      </c>
      <c r="O9405" t="s">
        <v>117</v>
      </c>
      <c r="P9405">
        <v>12866</v>
      </c>
      <c r="Q9405">
        <v>5511</v>
      </c>
      <c r="R9405" t="s">
        <v>23</v>
      </c>
      <c r="S9405" s="1" t="s">
        <v>34218</v>
      </c>
    </row>
    <row r="9406" spans="1:19" x14ac:dyDescent="0.25">
      <c r="A9406">
        <v>101112626</v>
      </c>
      <c r="B9406" t="s">
        <v>16087</v>
      </c>
      <c r="C9406" t="s">
        <v>3854</v>
      </c>
      <c r="G9406" t="s">
        <v>21407</v>
      </c>
      <c r="H9406" t="s">
        <v>5916</v>
      </c>
      <c r="I9406" t="s">
        <v>126</v>
      </c>
      <c r="J9406">
        <v>63017</v>
      </c>
      <c r="K9406">
        <v>5587</v>
      </c>
      <c r="L9406" t="s">
        <v>23</v>
      </c>
      <c r="M9406" t="s">
        <v>21407</v>
      </c>
      <c r="N9406" t="s">
        <v>5916</v>
      </c>
      <c r="O9406" t="s">
        <v>126</v>
      </c>
      <c r="P9406">
        <v>63017</v>
      </c>
      <c r="Q9406">
        <v>5587</v>
      </c>
      <c r="R9406" t="s">
        <v>23</v>
      </c>
      <c r="S9406" s="1" t="s">
        <v>34218</v>
      </c>
    </row>
    <row r="9407" spans="1:19" x14ac:dyDescent="0.25">
      <c r="A9407">
        <v>101186208</v>
      </c>
      <c r="B9407" t="s">
        <v>19411</v>
      </c>
      <c r="C9407" t="s">
        <v>286</v>
      </c>
      <c r="G9407" t="s">
        <v>21408</v>
      </c>
      <c r="H9407" t="s">
        <v>2762</v>
      </c>
      <c r="I9407" t="s">
        <v>236</v>
      </c>
      <c r="J9407">
        <v>1062</v>
      </c>
      <c r="K9407">
        <v>2102</v>
      </c>
      <c r="L9407" t="s">
        <v>23</v>
      </c>
      <c r="M9407" t="s">
        <v>21408</v>
      </c>
      <c r="N9407" t="s">
        <v>2762</v>
      </c>
      <c r="O9407" t="s">
        <v>236</v>
      </c>
      <c r="P9407">
        <v>1062</v>
      </c>
      <c r="Q9407">
        <v>2102</v>
      </c>
      <c r="R9407" t="s">
        <v>23</v>
      </c>
      <c r="S9407" s="1" t="s">
        <v>34218</v>
      </c>
    </row>
    <row r="9408" spans="1:19" x14ac:dyDescent="0.25">
      <c r="A9408">
        <v>101456707</v>
      </c>
      <c r="B9408" t="s">
        <v>93</v>
      </c>
      <c r="C9408" t="s">
        <v>1212</v>
      </c>
      <c r="G9408" t="s">
        <v>21409</v>
      </c>
      <c r="H9408" t="s">
        <v>4559</v>
      </c>
      <c r="I9408" t="s">
        <v>117</v>
      </c>
      <c r="J9408">
        <v>12037</v>
      </c>
      <c r="K9408">
        <v>1129</v>
      </c>
      <c r="L9408" t="s">
        <v>23</v>
      </c>
      <c r="M9408" t="s">
        <v>21409</v>
      </c>
      <c r="N9408" t="s">
        <v>4559</v>
      </c>
      <c r="O9408" t="s">
        <v>117</v>
      </c>
      <c r="P9408">
        <v>12037</v>
      </c>
      <c r="Q9408">
        <v>1129</v>
      </c>
      <c r="R9408" t="s">
        <v>23</v>
      </c>
      <c r="S9408" s="1" t="s">
        <v>34218</v>
      </c>
    </row>
    <row r="9409" spans="1:19" x14ac:dyDescent="0.25">
      <c r="A9409">
        <v>101479573</v>
      </c>
      <c r="B9409" t="s">
        <v>21410</v>
      </c>
      <c r="C9409" t="s">
        <v>81</v>
      </c>
      <c r="G9409">
        <v>2649</v>
      </c>
      <c r="H9409" t="s">
        <v>1861</v>
      </c>
      <c r="I9409" t="s">
        <v>22</v>
      </c>
      <c r="J9409">
        <v>94530</v>
      </c>
      <c r="L9409" t="s">
        <v>23</v>
      </c>
      <c r="M9409">
        <v>2649</v>
      </c>
      <c r="N9409" t="s">
        <v>1861</v>
      </c>
      <c r="O9409" t="s">
        <v>22</v>
      </c>
      <c r="P9409">
        <v>94530</v>
      </c>
      <c r="R9409" t="s">
        <v>23</v>
      </c>
      <c r="S9409" s="1" t="s">
        <v>34218</v>
      </c>
    </row>
    <row r="9410" spans="1:19" x14ac:dyDescent="0.25">
      <c r="A9410">
        <v>101430006</v>
      </c>
      <c r="B9410" t="s">
        <v>21411</v>
      </c>
      <c r="C9410" t="s">
        <v>1933</v>
      </c>
      <c r="G9410" t="s">
        <v>21412</v>
      </c>
      <c r="H9410" t="s">
        <v>653</v>
      </c>
      <c r="I9410" t="s">
        <v>117</v>
      </c>
      <c r="J9410">
        <v>10024</v>
      </c>
      <c r="K9410">
        <v>3418</v>
      </c>
      <c r="L9410" t="s">
        <v>23</v>
      </c>
      <c r="M9410" t="s">
        <v>21412</v>
      </c>
      <c r="N9410" t="s">
        <v>653</v>
      </c>
      <c r="O9410" t="s">
        <v>117</v>
      </c>
      <c r="P9410">
        <v>10024</v>
      </c>
      <c r="Q9410">
        <v>3418</v>
      </c>
      <c r="R9410" t="s">
        <v>23</v>
      </c>
      <c r="S9410" s="1" t="s">
        <v>34218</v>
      </c>
    </row>
    <row r="9411" spans="1:19" x14ac:dyDescent="0.25">
      <c r="A9411">
        <v>101465178</v>
      </c>
      <c r="B9411" t="s">
        <v>8489</v>
      </c>
      <c r="C9411" t="s">
        <v>4284</v>
      </c>
      <c r="G9411" t="s">
        <v>21413</v>
      </c>
      <c r="H9411" t="s">
        <v>1113</v>
      </c>
      <c r="I9411" t="s">
        <v>365</v>
      </c>
      <c r="J9411">
        <v>86004</v>
      </c>
      <c r="L9411" t="s">
        <v>23</v>
      </c>
      <c r="M9411" t="s">
        <v>21413</v>
      </c>
      <c r="N9411" t="s">
        <v>1113</v>
      </c>
      <c r="O9411" t="s">
        <v>365</v>
      </c>
      <c r="P9411">
        <v>86004</v>
      </c>
      <c r="R9411" t="s">
        <v>23</v>
      </c>
      <c r="S9411" s="1" t="s">
        <v>34218</v>
      </c>
    </row>
    <row r="9412" spans="1:19" x14ac:dyDescent="0.25">
      <c r="A9412">
        <v>101468108</v>
      </c>
      <c r="B9412" t="s">
        <v>21414</v>
      </c>
      <c r="C9412" t="s">
        <v>4046</v>
      </c>
      <c r="G9412" t="s">
        <v>21415</v>
      </c>
      <c r="H9412" t="s">
        <v>7660</v>
      </c>
      <c r="I9412" t="s">
        <v>43</v>
      </c>
      <c r="J9412">
        <v>97759</v>
      </c>
      <c r="K9412">
        <v>1220</v>
      </c>
      <c r="L9412" t="s">
        <v>23</v>
      </c>
      <c r="M9412" t="s">
        <v>21415</v>
      </c>
      <c r="N9412" t="s">
        <v>7660</v>
      </c>
      <c r="O9412" t="s">
        <v>43</v>
      </c>
      <c r="P9412">
        <v>97759</v>
      </c>
      <c r="Q9412">
        <v>1220</v>
      </c>
      <c r="R9412" t="s">
        <v>23</v>
      </c>
      <c r="S9412" s="1" t="s">
        <v>34218</v>
      </c>
    </row>
    <row r="9413" spans="1:19" x14ac:dyDescent="0.25">
      <c r="A9413">
        <v>101271185</v>
      </c>
      <c r="B9413" t="s">
        <v>21416</v>
      </c>
      <c r="C9413" t="s">
        <v>403</v>
      </c>
      <c r="G9413" t="s">
        <v>21417</v>
      </c>
      <c r="H9413" t="s">
        <v>13490</v>
      </c>
      <c r="I9413" t="s">
        <v>117</v>
      </c>
      <c r="J9413">
        <v>12503</v>
      </c>
      <c r="K9413">
        <v>5416</v>
      </c>
      <c r="L9413" t="s">
        <v>23</v>
      </c>
      <c r="M9413" t="s">
        <v>21417</v>
      </c>
      <c r="N9413" t="s">
        <v>13490</v>
      </c>
      <c r="O9413" t="s">
        <v>117</v>
      </c>
      <c r="P9413">
        <v>12503</v>
      </c>
      <c r="Q9413">
        <v>5416</v>
      </c>
      <c r="R9413" t="s">
        <v>23</v>
      </c>
      <c r="S9413" s="1" t="s">
        <v>34218</v>
      </c>
    </row>
    <row r="9414" spans="1:19" x14ac:dyDescent="0.25">
      <c r="A9414">
        <v>101480564</v>
      </c>
      <c r="B9414" t="s">
        <v>21418</v>
      </c>
      <c r="C9414" t="s">
        <v>2642</v>
      </c>
      <c r="G9414" t="s">
        <v>21419</v>
      </c>
      <c r="H9414" t="s">
        <v>88</v>
      </c>
      <c r="I9414" t="s">
        <v>22</v>
      </c>
      <c r="J9414">
        <v>94601</v>
      </c>
      <c r="K9414">
        <v>2100</v>
      </c>
      <c r="L9414" t="s">
        <v>23</v>
      </c>
      <c r="M9414" t="s">
        <v>21419</v>
      </c>
      <c r="N9414" t="s">
        <v>88</v>
      </c>
      <c r="O9414" t="s">
        <v>22</v>
      </c>
      <c r="P9414">
        <v>94601</v>
      </c>
      <c r="Q9414">
        <v>2100</v>
      </c>
      <c r="R9414" t="s">
        <v>23</v>
      </c>
      <c r="S9414" s="1" t="s">
        <v>34218</v>
      </c>
    </row>
    <row r="9415" spans="1:19" x14ac:dyDescent="0.25">
      <c r="A9415">
        <v>101262677</v>
      </c>
      <c r="B9415" t="s">
        <v>21420</v>
      </c>
      <c r="C9415" t="s">
        <v>1588</v>
      </c>
      <c r="G9415" t="s">
        <v>21421</v>
      </c>
      <c r="H9415" t="s">
        <v>2762</v>
      </c>
      <c r="I9415" t="s">
        <v>1000</v>
      </c>
      <c r="J9415">
        <v>59833</v>
      </c>
      <c r="K9415">
        <v>6572</v>
      </c>
      <c r="L9415" t="s">
        <v>23</v>
      </c>
      <c r="M9415" t="s">
        <v>21421</v>
      </c>
      <c r="N9415" t="s">
        <v>2762</v>
      </c>
      <c r="O9415" t="s">
        <v>1000</v>
      </c>
      <c r="P9415">
        <v>59833</v>
      </c>
      <c r="Q9415">
        <v>6572</v>
      </c>
      <c r="R9415" t="s">
        <v>23</v>
      </c>
      <c r="S9415" s="1" t="s">
        <v>34218</v>
      </c>
    </row>
    <row r="9416" spans="1:19" x14ac:dyDescent="0.25">
      <c r="A9416">
        <v>101465479</v>
      </c>
      <c r="B9416" t="s">
        <v>21422</v>
      </c>
      <c r="C9416" t="s">
        <v>4435</v>
      </c>
      <c r="G9416" t="s">
        <v>21423</v>
      </c>
      <c r="H9416" t="s">
        <v>125</v>
      </c>
      <c r="I9416" t="s">
        <v>126</v>
      </c>
      <c r="J9416">
        <v>63123</v>
      </c>
      <c r="K9416">
        <v>3805</v>
      </c>
      <c r="L9416" t="s">
        <v>23</v>
      </c>
      <c r="M9416" t="s">
        <v>21423</v>
      </c>
      <c r="N9416" t="s">
        <v>125</v>
      </c>
      <c r="O9416" t="s">
        <v>126</v>
      </c>
      <c r="P9416">
        <v>63123</v>
      </c>
      <c r="Q9416">
        <v>3805</v>
      </c>
      <c r="R9416" t="s">
        <v>23</v>
      </c>
      <c r="S9416" s="1" t="s">
        <v>34218</v>
      </c>
    </row>
    <row r="9417" spans="1:19" x14ac:dyDescent="0.25">
      <c r="A9417">
        <v>101387815</v>
      </c>
      <c r="B9417" t="s">
        <v>14791</v>
      </c>
      <c r="C9417" t="s">
        <v>452</v>
      </c>
      <c r="G9417" t="s">
        <v>21424</v>
      </c>
      <c r="H9417" t="s">
        <v>21425</v>
      </c>
      <c r="I9417" t="s">
        <v>52</v>
      </c>
      <c r="J9417">
        <v>33169</v>
      </c>
      <c r="K9417">
        <v>6944</v>
      </c>
      <c r="L9417" t="s">
        <v>23</v>
      </c>
      <c r="M9417" t="s">
        <v>21424</v>
      </c>
      <c r="N9417" t="s">
        <v>21425</v>
      </c>
      <c r="O9417" t="s">
        <v>52</v>
      </c>
      <c r="P9417">
        <v>33169</v>
      </c>
      <c r="Q9417">
        <v>6944</v>
      </c>
      <c r="R9417" t="s">
        <v>23</v>
      </c>
      <c r="S9417" s="1" t="s">
        <v>34218</v>
      </c>
    </row>
    <row r="9418" spans="1:19" x14ac:dyDescent="0.25">
      <c r="A9418">
        <v>100693367</v>
      </c>
      <c r="B9418" t="s">
        <v>21426</v>
      </c>
      <c r="C9418" t="s">
        <v>180</v>
      </c>
      <c r="G9418" t="s">
        <v>21427</v>
      </c>
      <c r="H9418" t="s">
        <v>909</v>
      </c>
      <c r="I9418" t="s">
        <v>250</v>
      </c>
      <c r="J9418">
        <v>8003</v>
      </c>
      <c r="K9418">
        <v>2707</v>
      </c>
      <c r="L9418" t="s">
        <v>23</v>
      </c>
      <c r="M9418" t="s">
        <v>21427</v>
      </c>
      <c r="N9418" t="s">
        <v>909</v>
      </c>
      <c r="O9418" t="s">
        <v>250</v>
      </c>
      <c r="P9418">
        <v>8003</v>
      </c>
      <c r="Q9418">
        <v>2707</v>
      </c>
      <c r="R9418" t="s">
        <v>23</v>
      </c>
      <c r="S9418" s="1" t="s">
        <v>34218</v>
      </c>
    </row>
    <row r="9419" spans="1:19" x14ac:dyDescent="0.25">
      <c r="A9419">
        <v>101456976</v>
      </c>
      <c r="B9419" t="s">
        <v>21428</v>
      </c>
      <c r="C9419" t="s">
        <v>21429</v>
      </c>
      <c r="F9419" t="str">
        <f>"3477427171"</f>
        <v>3477427171</v>
      </c>
      <c r="G9419" t="s">
        <v>21430</v>
      </c>
      <c r="H9419" t="s">
        <v>3762</v>
      </c>
      <c r="I9419" t="s">
        <v>117</v>
      </c>
      <c r="J9419">
        <v>10954</v>
      </c>
      <c r="K9419">
        <v>3801</v>
      </c>
      <c r="L9419" t="s">
        <v>23</v>
      </c>
      <c r="M9419" t="s">
        <v>21430</v>
      </c>
      <c r="N9419" t="s">
        <v>3762</v>
      </c>
      <c r="O9419" t="s">
        <v>117</v>
      </c>
      <c r="P9419">
        <v>10954</v>
      </c>
      <c r="Q9419">
        <v>3801</v>
      </c>
      <c r="R9419" t="s">
        <v>23</v>
      </c>
      <c r="S9419" s="1" t="s">
        <v>34218</v>
      </c>
    </row>
    <row r="9420" spans="1:19" x14ac:dyDescent="0.25">
      <c r="A9420">
        <v>101135174</v>
      </c>
      <c r="B9420" t="s">
        <v>8938</v>
      </c>
      <c r="C9420" t="s">
        <v>17962</v>
      </c>
      <c r="G9420" t="s">
        <v>21431</v>
      </c>
      <c r="H9420" t="s">
        <v>2640</v>
      </c>
      <c r="I9420" t="s">
        <v>52</v>
      </c>
      <c r="J9420">
        <v>33486</v>
      </c>
      <c r="K9420">
        <v>2292</v>
      </c>
      <c r="L9420" t="s">
        <v>23</v>
      </c>
      <c r="M9420" t="s">
        <v>21431</v>
      </c>
      <c r="N9420" t="s">
        <v>2640</v>
      </c>
      <c r="O9420" t="s">
        <v>52</v>
      </c>
      <c r="P9420">
        <v>33486</v>
      </c>
      <c r="Q9420">
        <v>2292</v>
      </c>
      <c r="R9420" t="s">
        <v>23</v>
      </c>
      <c r="S9420" s="1" t="s">
        <v>34218</v>
      </c>
    </row>
    <row r="9421" spans="1:19" x14ac:dyDescent="0.25">
      <c r="A9421">
        <v>101131752</v>
      </c>
      <c r="B9421" t="s">
        <v>19705</v>
      </c>
      <c r="C9421" t="s">
        <v>9352</v>
      </c>
      <c r="F9421" t="str">
        <f>"6513322138"</f>
        <v>6513322138</v>
      </c>
      <c r="G9421" t="s">
        <v>19706</v>
      </c>
      <c r="H9421" t="s">
        <v>19707</v>
      </c>
      <c r="I9421" t="s">
        <v>187</v>
      </c>
      <c r="J9421">
        <v>55068</v>
      </c>
      <c r="K9421">
        <v>3583</v>
      </c>
      <c r="L9421" t="s">
        <v>23</v>
      </c>
      <c r="M9421" t="s">
        <v>19706</v>
      </c>
      <c r="N9421" t="s">
        <v>19707</v>
      </c>
      <c r="O9421" t="s">
        <v>187</v>
      </c>
      <c r="P9421">
        <v>55068</v>
      </c>
      <c r="Q9421">
        <v>3583</v>
      </c>
      <c r="R9421" t="s">
        <v>23</v>
      </c>
      <c r="S9421" s="1" t="s">
        <v>34218</v>
      </c>
    </row>
    <row r="9422" spans="1:19" x14ac:dyDescent="0.25">
      <c r="A9422">
        <v>101139912</v>
      </c>
      <c r="B9422" t="s">
        <v>14597</v>
      </c>
      <c r="C9422" t="s">
        <v>1647</v>
      </c>
      <c r="G9422" t="s">
        <v>21432</v>
      </c>
      <c r="H9422" t="s">
        <v>2948</v>
      </c>
      <c r="I9422" t="s">
        <v>22</v>
      </c>
      <c r="J9422">
        <v>91913</v>
      </c>
      <c r="K9422">
        <v>2606</v>
      </c>
      <c r="L9422" t="s">
        <v>23</v>
      </c>
      <c r="M9422" t="s">
        <v>21432</v>
      </c>
      <c r="N9422" t="s">
        <v>2948</v>
      </c>
      <c r="O9422" t="s">
        <v>22</v>
      </c>
      <c r="P9422">
        <v>91913</v>
      </c>
      <c r="Q9422">
        <v>2606</v>
      </c>
      <c r="R9422" t="s">
        <v>23</v>
      </c>
      <c r="S9422" s="1" t="s">
        <v>34218</v>
      </c>
    </row>
    <row r="9423" spans="1:19" x14ac:dyDescent="0.25">
      <c r="A9423">
        <v>101134521</v>
      </c>
      <c r="B9423" t="s">
        <v>12836</v>
      </c>
      <c r="C9423" t="s">
        <v>4046</v>
      </c>
      <c r="G9423" t="s">
        <v>21433</v>
      </c>
      <c r="H9423" t="s">
        <v>569</v>
      </c>
      <c r="I9423" t="s">
        <v>187</v>
      </c>
      <c r="J9423">
        <v>55407</v>
      </c>
      <c r="K9423">
        <v>1647</v>
      </c>
      <c r="L9423" t="s">
        <v>23</v>
      </c>
      <c r="M9423" t="s">
        <v>21433</v>
      </c>
      <c r="N9423" t="s">
        <v>569</v>
      </c>
      <c r="O9423" t="s">
        <v>187</v>
      </c>
      <c r="P9423">
        <v>55407</v>
      </c>
      <c r="Q9423">
        <v>1647</v>
      </c>
      <c r="R9423" t="s">
        <v>23</v>
      </c>
      <c r="S9423" s="1" t="s">
        <v>34218</v>
      </c>
    </row>
    <row r="9424" spans="1:19" x14ac:dyDescent="0.25">
      <c r="A9424">
        <v>101143120</v>
      </c>
      <c r="B9424" t="s">
        <v>12555</v>
      </c>
      <c r="C9424" t="s">
        <v>613</v>
      </c>
      <c r="G9424" t="s">
        <v>21434</v>
      </c>
      <c r="H9424" t="s">
        <v>7630</v>
      </c>
      <c r="I9424" t="s">
        <v>255</v>
      </c>
      <c r="J9424">
        <v>22046</v>
      </c>
      <c r="K9424">
        <v>4121</v>
      </c>
      <c r="L9424" t="s">
        <v>23</v>
      </c>
      <c r="M9424" t="s">
        <v>21434</v>
      </c>
      <c r="N9424" t="s">
        <v>7630</v>
      </c>
      <c r="O9424" t="s">
        <v>255</v>
      </c>
      <c r="P9424">
        <v>22046</v>
      </c>
      <c r="Q9424">
        <v>4121</v>
      </c>
      <c r="R9424" t="s">
        <v>23</v>
      </c>
      <c r="S9424" s="1" t="s">
        <v>34218</v>
      </c>
    </row>
    <row r="9425" spans="1:19" x14ac:dyDescent="0.25">
      <c r="A9425">
        <v>101143166</v>
      </c>
      <c r="B9425" t="s">
        <v>21435</v>
      </c>
      <c r="C9425" t="s">
        <v>1470</v>
      </c>
      <c r="G9425" t="s">
        <v>21436</v>
      </c>
      <c r="H9425" t="s">
        <v>6390</v>
      </c>
      <c r="I9425" t="s">
        <v>236</v>
      </c>
      <c r="J9425">
        <v>1844</v>
      </c>
      <c r="K9425">
        <v>5903</v>
      </c>
      <c r="L9425" t="s">
        <v>23</v>
      </c>
      <c r="M9425" t="s">
        <v>21436</v>
      </c>
      <c r="N9425" t="s">
        <v>6390</v>
      </c>
      <c r="O9425" t="s">
        <v>236</v>
      </c>
      <c r="P9425">
        <v>1844</v>
      </c>
      <c r="Q9425">
        <v>5903</v>
      </c>
      <c r="R9425" t="s">
        <v>23</v>
      </c>
      <c r="S9425" s="1" t="s">
        <v>34218</v>
      </c>
    </row>
    <row r="9426" spans="1:19" x14ac:dyDescent="0.25">
      <c r="A9426">
        <v>101144638</v>
      </c>
      <c r="B9426" t="s">
        <v>1134</v>
      </c>
      <c r="C9426" t="s">
        <v>8782</v>
      </c>
      <c r="G9426" t="s">
        <v>21437</v>
      </c>
      <c r="H9426" t="s">
        <v>20400</v>
      </c>
      <c r="I9426" t="s">
        <v>236</v>
      </c>
      <c r="J9426">
        <v>1068</v>
      </c>
      <c r="K9426">
        <v>9729</v>
      </c>
      <c r="L9426" t="s">
        <v>23</v>
      </c>
      <c r="M9426" t="s">
        <v>21437</v>
      </c>
      <c r="N9426" t="s">
        <v>20400</v>
      </c>
      <c r="O9426" t="s">
        <v>236</v>
      </c>
      <c r="P9426">
        <v>1068</v>
      </c>
      <c r="Q9426">
        <v>9729</v>
      </c>
      <c r="R9426" t="s">
        <v>23</v>
      </c>
      <c r="S9426" s="1" t="s">
        <v>34218</v>
      </c>
    </row>
    <row r="9427" spans="1:19" x14ac:dyDescent="0.25">
      <c r="A9427">
        <v>101147815</v>
      </c>
      <c r="B9427" t="s">
        <v>1545</v>
      </c>
      <c r="C9427" t="s">
        <v>21438</v>
      </c>
      <c r="G9427" t="s">
        <v>21439</v>
      </c>
      <c r="H9427" t="s">
        <v>1780</v>
      </c>
      <c r="I9427" t="s">
        <v>22</v>
      </c>
      <c r="J9427">
        <v>92024</v>
      </c>
      <c r="L9427" t="s">
        <v>23</v>
      </c>
      <c r="M9427" t="s">
        <v>21439</v>
      </c>
      <c r="N9427" t="s">
        <v>1780</v>
      </c>
      <c r="O9427" t="s">
        <v>22</v>
      </c>
      <c r="P9427">
        <v>92024</v>
      </c>
      <c r="R9427" t="s">
        <v>23</v>
      </c>
      <c r="S9427" s="1" t="s">
        <v>34218</v>
      </c>
    </row>
    <row r="9428" spans="1:19" x14ac:dyDescent="0.25">
      <c r="A9428">
        <v>101384627</v>
      </c>
      <c r="B9428" t="s">
        <v>21440</v>
      </c>
      <c r="C9428" t="s">
        <v>1208</v>
      </c>
      <c r="G9428" t="s">
        <v>21441</v>
      </c>
      <c r="H9428" t="s">
        <v>61</v>
      </c>
      <c r="I9428" t="s">
        <v>62</v>
      </c>
      <c r="J9428">
        <v>73135</v>
      </c>
      <c r="K9428">
        <v>6035</v>
      </c>
      <c r="L9428" t="s">
        <v>23</v>
      </c>
      <c r="M9428" t="s">
        <v>21441</v>
      </c>
      <c r="N9428" t="s">
        <v>61</v>
      </c>
      <c r="O9428" t="s">
        <v>62</v>
      </c>
      <c r="P9428">
        <v>73135</v>
      </c>
      <c r="Q9428">
        <v>6035</v>
      </c>
      <c r="R9428" t="s">
        <v>23</v>
      </c>
      <c r="S9428" s="1" t="s">
        <v>34218</v>
      </c>
    </row>
    <row r="9429" spans="1:19" x14ac:dyDescent="0.25">
      <c r="A9429">
        <v>101391845</v>
      </c>
      <c r="B9429" t="s">
        <v>11684</v>
      </c>
      <c r="C9429" t="s">
        <v>16267</v>
      </c>
      <c r="G9429" t="s">
        <v>21442</v>
      </c>
      <c r="H9429" t="s">
        <v>198</v>
      </c>
      <c r="I9429" t="s">
        <v>22</v>
      </c>
      <c r="J9429">
        <v>92103</v>
      </c>
      <c r="K9429">
        <v>5607</v>
      </c>
      <c r="L9429" t="s">
        <v>23</v>
      </c>
      <c r="M9429" t="s">
        <v>21442</v>
      </c>
      <c r="N9429" t="s">
        <v>198</v>
      </c>
      <c r="O9429" t="s">
        <v>22</v>
      </c>
      <c r="P9429">
        <v>92103</v>
      </c>
      <c r="Q9429">
        <v>5607</v>
      </c>
      <c r="R9429" t="s">
        <v>23</v>
      </c>
      <c r="S9429" s="1" t="s">
        <v>34218</v>
      </c>
    </row>
    <row r="9430" spans="1:19" x14ac:dyDescent="0.25">
      <c r="A9430">
        <v>101373891</v>
      </c>
      <c r="B9430" t="s">
        <v>21443</v>
      </c>
      <c r="C9430" t="s">
        <v>21444</v>
      </c>
      <c r="G9430" t="s">
        <v>21445</v>
      </c>
      <c r="H9430" t="s">
        <v>21446</v>
      </c>
      <c r="I9430" t="s">
        <v>255</v>
      </c>
      <c r="J9430">
        <v>23150</v>
      </c>
      <c r="K9430">
        <v>2044</v>
      </c>
      <c r="L9430" t="s">
        <v>23</v>
      </c>
      <c r="M9430" t="s">
        <v>21445</v>
      </c>
      <c r="N9430" t="s">
        <v>21446</v>
      </c>
      <c r="O9430" t="s">
        <v>255</v>
      </c>
      <c r="P9430">
        <v>23150</v>
      </c>
      <c r="Q9430">
        <v>2044</v>
      </c>
      <c r="R9430" t="s">
        <v>23</v>
      </c>
      <c r="S9430" s="1" t="s">
        <v>34218</v>
      </c>
    </row>
    <row r="9431" spans="1:19" x14ac:dyDescent="0.25">
      <c r="A9431">
        <v>101393514</v>
      </c>
      <c r="B9431" t="s">
        <v>3459</v>
      </c>
      <c r="C9431" t="s">
        <v>329</v>
      </c>
      <c r="G9431" t="s">
        <v>21447</v>
      </c>
      <c r="H9431" t="s">
        <v>6050</v>
      </c>
      <c r="I9431" t="s">
        <v>22</v>
      </c>
      <c r="J9431">
        <v>91745</v>
      </c>
      <c r="K9431">
        <v>5602</v>
      </c>
      <c r="L9431" t="s">
        <v>23</v>
      </c>
      <c r="M9431" t="s">
        <v>21447</v>
      </c>
      <c r="N9431" t="s">
        <v>6050</v>
      </c>
      <c r="O9431" t="s">
        <v>22</v>
      </c>
      <c r="P9431">
        <v>91745</v>
      </c>
      <c r="Q9431">
        <v>5602</v>
      </c>
      <c r="R9431" t="s">
        <v>23</v>
      </c>
      <c r="S9431" s="1" t="s">
        <v>34218</v>
      </c>
    </row>
    <row r="9432" spans="1:19" x14ac:dyDescent="0.25">
      <c r="A9432">
        <v>101390864</v>
      </c>
      <c r="B9432" t="s">
        <v>21448</v>
      </c>
      <c r="C9432" t="s">
        <v>11308</v>
      </c>
      <c r="G9432" t="s">
        <v>21449</v>
      </c>
      <c r="H9432" t="s">
        <v>19024</v>
      </c>
      <c r="I9432" t="s">
        <v>2537</v>
      </c>
      <c r="J9432">
        <v>71909</v>
      </c>
      <c r="K9432">
        <v>3143</v>
      </c>
      <c r="L9432" t="s">
        <v>23</v>
      </c>
      <c r="M9432" t="s">
        <v>21449</v>
      </c>
      <c r="N9432" t="s">
        <v>19024</v>
      </c>
      <c r="O9432" t="s">
        <v>2537</v>
      </c>
      <c r="P9432">
        <v>71909</v>
      </c>
      <c r="Q9432">
        <v>3143</v>
      </c>
      <c r="R9432" t="s">
        <v>23</v>
      </c>
      <c r="S9432" s="1" t="s">
        <v>34218</v>
      </c>
    </row>
    <row r="9433" spans="1:19" x14ac:dyDescent="0.25">
      <c r="A9433">
        <v>101400340</v>
      </c>
      <c r="B9433" t="s">
        <v>620</v>
      </c>
      <c r="C9433" t="s">
        <v>21450</v>
      </c>
      <c r="G9433" t="s">
        <v>21451</v>
      </c>
      <c r="H9433" t="s">
        <v>1975</v>
      </c>
      <c r="I9433" t="s">
        <v>52</v>
      </c>
      <c r="J9433">
        <v>33319</v>
      </c>
      <c r="K9433">
        <v>3866</v>
      </c>
      <c r="L9433" t="s">
        <v>23</v>
      </c>
      <c r="M9433" t="s">
        <v>21451</v>
      </c>
      <c r="N9433" t="s">
        <v>1975</v>
      </c>
      <c r="O9433" t="s">
        <v>52</v>
      </c>
      <c r="P9433">
        <v>33319</v>
      </c>
      <c r="Q9433">
        <v>3866</v>
      </c>
      <c r="R9433" t="s">
        <v>23</v>
      </c>
      <c r="S9433" s="1" t="s">
        <v>34218</v>
      </c>
    </row>
    <row r="9434" spans="1:19" x14ac:dyDescent="0.25">
      <c r="A9434">
        <v>101397376</v>
      </c>
      <c r="B9434" t="s">
        <v>199</v>
      </c>
      <c r="C9434" t="s">
        <v>123</v>
      </c>
      <c r="F9434" t="str">
        <f>"3212219448"</f>
        <v>3212219448</v>
      </c>
      <c r="G9434" t="s">
        <v>21452</v>
      </c>
      <c r="H9434" t="s">
        <v>2552</v>
      </c>
      <c r="I9434" t="s">
        <v>52</v>
      </c>
      <c r="J9434">
        <v>34715</v>
      </c>
      <c r="K9434">
        <v>9557</v>
      </c>
      <c r="L9434" t="s">
        <v>23</v>
      </c>
      <c r="M9434" t="s">
        <v>21452</v>
      </c>
      <c r="N9434" t="s">
        <v>2552</v>
      </c>
      <c r="O9434" t="s">
        <v>52</v>
      </c>
      <c r="P9434">
        <v>34715</v>
      </c>
      <c r="Q9434">
        <v>9557</v>
      </c>
      <c r="R9434" t="s">
        <v>23</v>
      </c>
      <c r="S9434" s="1" t="s">
        <v>34218</v>
      </c>
    </row>
    <row r="9435" spans="1:19" x14ac:dyDescent="0.25">
      <c r="A9435">
        <v>101404980</v>
      </c>
      <c r="B9435" t="s">
        <v>21453</v>
      </c>
      <c r="C9435" t="s">
        <v>575</v>
      </c>
      <c r="G9435" t="s">
        <v>21454</v>
      </c>
      <c r="H9435" t="s">
        <v>6104</v>
      </c>
      <c r="I9435" t="s">
        <v>236</v>
      </c>
      <c r="J9435">
        <v>2458</v>
      </c>
      <c r="K9435">
        <v>2016</v>
      </c>
      <c r="L9435" t="s">
        <v>23</v>
      </c>
      <c r="M9435" t="s">
        <v>21454</v>
      </c>
      <c r="N9435" t="s">
        <v>6104</v>
      </c>
      <c r="O9435" t="s">
        <v>236</v>
      </c>
      <c r="P9435">
        <v>2458</v>
      </c>
      <c r="Q9435">
        <v>2016</v>
      </c>
      <c r="R9435" t="s">
        <v>23</v>
      </c>
      <c r="S9435" s="1" t="s">
        <v>34218</v>
      </c>
    </row>
    <row r="9436" spans="1:19" x14ac:dyDescent="0.25">
      <c r="A9436">
        <v>101404301</v>
      </c>
      <c r="B9436" t="s">
        <v>21455</v>
      </c>
      <c r="C9436" t="s">
        <v>1933</v>
      </c>
      <c r="G9436" t="s">
        <v>21456</v>
      </c>
      <c r="H9436" t="s">
        <v>21457</v>
      </c>
      <c r="I9436" t="s">
        <v>236</v>
      </c>
      <c r="J9436">
        <v>1906</v>
      </c>
      <c r="K9436">
        <v>2711</v>
      </c>
      <c r="L9436" t="s">
        <v>23</v>
      </c>
      <c r="M9436" t="s">
        <v>21456</v>
      </c>
      <c r="N9436" t="s">
        <v>21457</v>
      </c>
      <c r="O9436" t="s">
        <v>236</v>
      </c>
      <c r="P9436">
        <v>1906</v>
      </c>
      <c r="Q9436">
        <v>2711</v>
      </c>
      <c r="R9436" t="s">
        <v>23</v>
      </c>
      <c r="S9436" s="1" t="s">
        <v>34218</v>
      </c>
    </row>
    <row r="9437" spans="1:19" x14ac:dyDescent="0.25">
      <c r="A9437">
        <v>101407494</v>
      </c>
      <c r="B9437" t="s">
        <v>4848</v>
      </c>
      <c r="C9437" t="s">
        <v>30</v>
      </c>
      <c r="G9437" t="s">
        <v>21458</v>
      </c>
      <c r="H9437" t="s">
        <v>1621</v>
      </c>
      <c r="I9437" t="s">
        <v>187</v>
      </c>
      <c r="J9437">
        <v>55422</v>
      </c>
      <c r="K9437">
        <v>3411</v>
      </c>
      <c r="L9437" t="s">
        <v>23</v>
      </c>
      <c r="M9437" t="s">
        <v>21458</v>
      </c>
      <c r="N9437" t="s">
        <v>1621</v>
      </c>
      <c r="O9437" t="s">
        <v>187</v>
      </c>
      <c r="P9437">
        <v>55422</v>
      </c>
      <c r="Q9437">
        <v>3411</v>
      </c>
      <c r="R9437" t="s">
        <v>23</v>
      </c>
      <c r="S9437" s="1" t="s">
        <v>34218</v>
      </c>
    </row>
    <row r="9438" spans="1:19" x14ac:dyDescent="0.25">
      <c r="A9438">
        <v>101407589</v>
      </c>
      <c r="B9438" t="s">
        <v>21459</v>
      </c>
      <c r="C9438" t="s">
        <v>21460</v>
      </c>
      <c r="G9438" t="s">
        <v>21461</v>
      </c>
      <c r="H9438" t="s">
        <v>20049</v>
      </c>
      <c r="I9438" t="s">
        <v>43</v>
      </c>
      <c r="J9438">
        <v>97051</v>
      </c>
      <c r="K9438">
        <v>1130</v>
      </c>
      <c r="L9438" t="s">
        <v>23</v>
      </c>
      <c r="M9438" t="s">
        <v>21461</v>
      </c>
      <c r="N9438" t="s">
        <v>20049</v>
      </c>
      <c r="O9438" t="s">
        <v>43</v>
      </c>
      <c r="P9438">
        <v>97051</v>
      </c>
      <c r="Q9438">
        <v>1130</v>
      </c>
      <c r="R9438" t="s">
        <v>23</v>
      </c>
      <c r="S9438" s="1" t="s">
        <v>34218</v>
      </c>
    </row>
    <row r="9439" spans="1:19" x14ac:dyDescent="0.25">
      <c r="A9439">
        <v>101415385</v>
      </c>
      <c r="B9439" t="s">
        <v>21462</v>
      </c>
      <c r="C9439" t="s">
        <v>286</v>
      </c>
      <c r="G9439" t="s">
        <v>21463</v>
      </c>
      <c r="H9439" t="s">
        <v>16641</v>
      </c>
      <c r="I9439" t="s">
        <v>250</v>
      </c>
      <c r="J9439">
        <v>7424</v>
      </c>
      <c r="K9439">
        <v>4225</v>
      </c>
      <c r="L9439" t="s">
        <v>23</v>
      </c>
      <c r="M9439" t="s">
        <v>21463</v>
      </c>
      <c r="N9439" t="s">
        <v>16641</v>
      </c>
      <c r="O9439" t="s">
        <v>250</v>
      </c>
      <c r="P9439">
        <v>7424</v>
      </c>
      <c r="Q9439">
        <v>4225</v>
      </c>
      <c r="R9439" t="s">
        <v>23</v>
      </c>
      <c r="S9439" s="1" t="s">
        <v>34218</v>
      </c>
    </row>
    <row r="9440" spans="1:19" x14ac:dyDescent="0.25">
      <c r="A9440">
        <v>101412741</v>
      </c>
      <c r="B9440" t="s">
        <v>21464</v>
      </c>
      <c r="C9440" t="s">
        <v>7358</v>
      </c>
      <c r="G9440" t="s">
        <v>21465</v>
      </c>
      <c r="H9440" t="s">
        <v>1315</v>
      </c>
      <c r="I9440" t="s">
        <v>33</v>
      </c>
      <c r="J9440">
        <v>18018</v>
      </c>
      <c r="K9440">
        <v>5575</v>
      </c>
      <c r="L9440" t="s">
        <v>23</v>
      </c>
      <c r="M9440" t="s">
        <v>21465</v>
      </c>
      <c r="N9440" t="s">
        <v>1315</v>
      </c>
      <c r="O9440" t="s">
        <v>33</v>
      </c>
      <c r="P9440">
        <v>18018</v>
      </c>
      <c r="Q9440">
        <v>5575</v>
      </c>
      <c r="R9440" t="s">
        <v>23</v>
      </c>
      <c r="S9440" s="1" t="s">
        <v>34218</v>
      </c>
    </row>
    <row r="9441" spans="1:19" x14ac:dyDescent="0.25">
      <c r="A9441">
        <v>101417191</v>
      </c>
      <c r="B9441" t="s">
        <v>21466</v>
      </c>
      <c r="C9441" t="s">
        <v>9629</v>
      </c>
      <c r="F9441" t="str">
        <f>"3302231036"</f>
        <v>3302231036</v>
      </c>
      <c r="G9441" t="s">
        <v>21467</v>
      </c>
      <c r="H9441" t="s">
        <v>21468</v>
      </c>
      <c r="I9441" t="s">
        <v>178</v>
      </c>
      <c r="J9441">
        <v>44423</v>
      </c>
      <c r="K9441">
        <v>9764</v>
      </c>
      <c r="L9441" t="s">
        <v>23</v>
      </c>
      <c r="M9441" t="s">
        <v>21467</v>
      </c>
      <c r="N9441" t="s">
        <v>21468</v>
      </c>
      <c r="O9441" t="s">
        <v>178</v>
      </c>
      <c r="P9441">
        <v>44423</v>
      </c>
      <c r="Q9441">
        <v>9764</v>
      </c>
      <c r="R9441" t="s">
        <v>23</v>
      </c>
      <c r="S9441" s="1" t="s">
        <v>34218</v>
      </c>
    </row>
    <row r="9442" spans="1:19" x14ac:dyDescent="0.25">
      <c r="A9442">
        <v>101417343</v>
      </c>
      <c r="B9442" t="s">
        <v>21469</v>
      </c>
      <c r="C9442" t="s">
        <v>1086</v>
      </c>
      <c r="G9442" t="s">
        <v>21470</v>
      </c>
      <c r="H9442" t="s">
        <v>8419</v>
      </c>
      <c r="I9442" t="s">
        <v>100</v>
      </c>
      <c r="J9442">
        <v>53014</v>
      </c>
      <c r="K9442">
        <v>9620</v>
      </c>
      <c r="L9442" t="s">
        <v>23</v>
      </c>
      <c r="M9442" t="s">
        <v>21470</v>
      </c>
      <c r="N9442" t="s">
        <v>8419</v>
      </c>
      <c r="O9442" t="s">
        <v>100</v>
      </c>
      <c r="P9442">
        <v>53014</v>
      </c>
      <c r="Q9442">
        <v>9620</v>
      </c>
      <c r="R9442" t="s">
        <v>23</v>
      </c>
      <c r="S9442" s="1" t="s">
        <v>34218</v>
      </c>
    </row>
    <row r="9443" spans="1:19" x14ac:dyDescent="0.25">
      <c r="A9443">
        <v>100812174</v>
      </c>
      <c r="B9443" t="s">
        <v>21471</v>
      </c>
      <c r="C9443" t="s">
        <v>21472</v>
      </c>
      <c r="G9443" t="s">
        <v>21473</v>
      </c>
      <c r="H9443" t="s">
        <v>4832</v>
      </c>
      <c r="I9443" t="s">
        <v>126</v>
      </c>
      <c r="J9443">
        <v>64068</v>
      </c>
      <c r="K9443">
        <v>1269</v>
      </c>
      <c r="L9443" t="s">
        <v>23</v>
      </c>
      <c r="M9443" t="s">
        <v>21473</v>
      </c>
      <c r="N9443" t="s">
        <v>4832</v>
      </c>
      <c r="O9443" t="s">
        <v>126</v>
      </c>
      <c r="P9443">
        <v>64068</v>
      </c>
      <c r="Q9443">
        <v>1269</v>
      </c>
      <c r="R9443" t="s">
        <v>23</v>
      </c>
      <c r="S9443" s="1" t="s">
        <v>34218</v>
      </c>
    </row>
    <row r="9444" spans="1:19" x14ac:dyDescent="0.25">
      <c r="A9444">
        <v>101413508</v>
      </c>
      <c r="B9444" t="s">
        <v>21474</v>
      </c>
      <c r="C9444" t="s">
        <v>1679</v>
      </c>
      <c r="G9444" t="s">
        <v>21475</v>
      </c>
      <c r="H9444" t="s">
        <v>1144</v>
      </c>
      <c r="I9444" t="s">
        <v>84</v>
      </c>
      <c r="J9444">
        <v>99167</v>
      </c>
      <c r="K9444">
        <v>9745</v>
      </c>
      <c r="L9444" t="s">
        <v>23</v>
      </c>
      <c r="M9444" t="s">
        <v>21475</v>
      </c>
      <c r="N9444" t="s">
        <v>1144</v>
      </c>
      <c r="O9444" t="s">
        <v>84</v>
      </c>
      <c r="P9444">
        <v>99167</v>
      </c>
      <c r="Q9444">
        <v>9745</v>
      </c>
      <c r="R9444" t="s">
        <v>23</v>
      </c>
      <c r="S9444" s="1" t="s">
        <v>34218</v>
      </c>
    </row>
    <row r="9445" spans="1:19" x14ac:dyDescent="0.25">
      <c r="A9445">
        <v>101448431</v>
      </c>
      <c r="B9445" t="s">
        <v>744</v>
      </c>
      <c r="C9445" t="s">
        <v>21476</v>
      </c>
      <c r="G9445" t="s">
        <v>21477</v>
      </c>
      <c r="H9445" t="s">
        <v>2296</v>
      </c>
      <c r="I9445" t="s">
        <v>22</v>
      </c>
      <c r="J9445">
        <v>95003</v>
      </c>
      <c r="K9445">
        <v>4835</v>
      </c>
      <c r="L9445" t="s">
        <v>23</v>
      </c>
      <c r="M9445" t="s">
        <v>21477</v>
      </c>
      <c r="N9445" t="s">
        <v>2296</v>
      </c>
      <c r="O9445" t="s">
        <v>22</v>
      </c>
      <c r="P9445">
        <v>95003</v>
      </c>
      <c r="Q9445">
        <v>4835</v>
      </c>
      <c r="R9445" t="s">
        <v>23</v>
      </c>
      <c r="S9445" s="1" t="s">
        <v>34218</v>
      </c>
    </row>
    <row r="9446" spans="1:19" x14ac:dyDescent="0.25">
      <c r="A9446">
        <v>101295438</v>
      </c>
      <c r="B9446" t="s">
        <v>763</v>
      </c>
      <c r="C9446" t="s">
        <v>13324</v>
      </c>
      <c r="G9446" t="s">
        <v>21478</v>
      </c>
      <c r="H9446" t="s">
        <v>21479</v>
      </c>
      <c r="I9446" t="s">
        <v>187</v>
      </c>
      <c r="J9446">
        <v>55044</v>
      </c>
      <c r="L9446" t="s">
        <v>23</v>
      </c>
      <c r="M9446" t="s">
        <v>21478</v>
      </c>
      <c r="N9446" t="s">
        <v>21479</v>
      </c>
      <c r="O9446" t="s">
        <v>187</v>
      </c>
      <c r="P9446">
        <v>55044</v>
      </c>
      <c r="R9446" t="s">
        <v>23</v>
      </c>
      <c r="S9446" s="1" t="s">
        <v>34218</v>
      </c>
    </row>
    <row r="9447" spans="1:19" x14ac:dyDescent="0.25">
      <c r="A9447">
        <v>101454454</v>
      </c>
      <c r="B9447" t="s">
        <v>21480</v>
      </c>
      <c r="C9447" t="s">
        <v>699</v>
      </c>
      <c r="G9447" t="s">
        <v>21481</v>
      </c>
      <c r="H9447" t="s">
        <v>11875</v>
      </c>
      <c r="I9447" t="s">
        <v>22</v>
      </c>
      <c r="J9447">
        <v>95621</v>
      </c>
      <c r="K9447">
        <v>6439</v>
      </c>
      <c r="L9447" t="s">
        <v>23</v>
      </c>
      <c r="M9447" t="s">
        <v>21481</v>
      </c>
      <c r="N9447" t="s">
        <v>11875</v>
      </c>
      <c r="O9447" t="s">
        <v>22</v>
      </c>
      <c r="P9447">
        <v>95621</v>
      </c>
      <c r="Q9447">
        <v>6439</v>
      </c>
      <c r="R9447" t="s">
        <v>23</v>
      </c>
      <c r="S9447" s="1" t="s">
        <v>34218</v>
      </c>
    </row>
    <row r="9448" spans="1:19" x14ac:dyDescent="0.25">
      <c r="A9448">
        <v>100734243</v>
      </c>
      <c r="B9448" t="s">
        <v>21482</v>
      </c>
      <c r="C9448" t="s">
        <v>4828</v>
      </c>
      <c r="G9448" t="s">
        <v>21483</v>
      </c>
      <c r="H9448" t="s">
        <v>10188</v>
      </c>
      <c r="I9448" t="s">
        <v>365</v>
      </c>
      <c r="J9448">
        <v>85635</v>
      </c>
      <c r="K9448">
        <v>7015</v>
      </c>
      <c r="L9448" t="s">
        <v>23</v>
      </c>
      <c r="M9448" t="s">
        <v>21483</v>
      </c>
      <c r="N9448" t="s">
        <v>10188</v>
      </c>
      <c r="O9448" t="s">
        <v>365</v>
      </c>
      <c r="P9448">
        <v>85635</v>
      </c>
      <c r="Q9448">
        <v>7015</v>
      </c>
      <c r="R9448" t="s">
        <v>23</v>
      </c>
      <c r="S9448" s="1" t="s">
        <v>34218</v>
      </c>
    </row>
    <row r="9449" spans="1:19" x14ac:dyDescent="0.25">
      <c r="A9449">
        <v>101016414</v>
      </c>
      <c r="B9449" t="s">
        <v>21484</v>
      </c>
      <c r="C9449" t="s">
        <v>3110</v>
      </c>
      <c r="G9449" t="s">
        <v>21485</v>
      </c>
      <c r="H9449" t="s">
        <v>4347</v>
      </c>
      <c r="I9449" t="s">
        <v>71</v>
      </c>
      <c r="J9449" t="s">
        <v>21486</v>
      </c>
      <c r="K9449">
        <v>6680</v>
      </c>
      <c r="L9449" t="s">
        <v>23</v>
      </c>
      <c r="M9449" t="s">
        <v>21485</v>
      </c>
      <c r="N9449" t="s">
        <v>4347</v>
      </c>
      <c r="O9449" t="s">
        <v>71</v>
      </c>
      <c r="P9449" t="s">
        <v>21486</v>
      </c>
      <c r="Q9449">
        <v>6680</v>
      </c>
      <c r="R9449" t="s">
        <v>23</v>
      </c>
      <c r="S9449" s="1" t="s">
        <v>34218</v>
      </c>
    </row>
    <row r="9450" spans="1:19" x14ac:dyDescent="0.25">
      <c r="A9450">
        <v>101480570</v>
      </c>
      <c r="B9450" t="s">
        <v>11308</v>
      </c>
      <c r="C9450" t="s">
        <v>11308</v>
      </c>
      <c r="G9450" t="s">
        <v>21487</v>
      </c>
      <c r="H9450" t="s">
        <v>10371</v>
      </c>
      <c r="I9450" t="s">
        <v>22</v>
      </c>
      <c r="J9450">
        <v>94510</v>
      </c>
      <c r="K9450">
        <v>1434</v>
      </c>
      <c r="L9450" t="s">
        <v>23</v>
      </c>
      <c r="M9450" t="s">
        <v>21487</v>
      </c>
      <c r="N9450" t="s">
        <v>10371</v>
      </c>
      <c r="O9450" t="s">
        <v>22</v>
      </c>
      <c r="P9450">
        <v>94510</v>
      </c>
      <c r="Q9450">
        <v>1434</v>
      </c>
      <c r="R9450" t="s">
        <v>23</v>
      </c>
      <c r="S9450" s="1" t="s">
        <v>34218</v>
      </c>
    </row>
    <row r="9451" spans="1:19" x14ac:dyDescent="0.25">
      <c r="A9451">
        <v>101081336</v>
      </c>
      <c r="B9451" t="s">
        <v>21488</v>
      </c>
      <c r="C9451" t="s">
        <v>2347</v>
      </c>
      <c r="G9451" t="s">
        <v>21489</v>
      </c>
      <c r="H9451" t="s">
        <v>21490</v>
      </c>
      <c r="I9451" t="s">
        <v>43</v>
      </c>
      <c r="J9451">
        <v>97364</v>
      </c>
      <c r="K9451">
        <v>9762</v>
      </c>
      <c r="L9451" t="s">
        <v>23</v>
      </c>
      <c r="M9451" t="s">
        <v>21489</v>
      </c>
      <c r="N9451" t="s">
        <v>21490</v>
      </c>
      <c r="O9451" t="s">
        <v>43</v>
      </c>
      <c r="P9451">
        <v>97364</v>
      </c>
      <c r="Q9451">
        <v>9762</v>
      </c>
      <c r="R9451" t="s">
        <v>23</v>
      </c>
      <c r="S9451" s="1" t="s">
        <v>34218</v>
      </c>
    </row>
    <row r="9452" spans="1:19" x14ac:dyDescent="0.25">
      <c r="A9452">
        <v>101468103</v>
      </c>
      <c r="B9452" t="s">
        <v>494</v>
      </c>
      <c r="C9452" t="s">
        <v>1212</v>
      </c>
      <c r="G9452" t="s">
        <v>21491</v>
      </c>
      <c r="H9452" t="s">
        <v>3373</v>
      </c>
      <c r="I9452" t="s">
        <v>178</v>
      </c>
      <c r="J9452">
        <v>44120</v>
      </c>
      <c r="K9452">
        <v>5308</v>
      </c>
      <c r="L9452" t="s">
        <v>23</v>
      </c>
      <c r="M9452" t="s">
        <v>21491</v>
      </c>
      <c r="N9452" t="s">
        <v>3373</v>
      </c>
      <c r="O9452" t="s">
        <v>178</v>
      </c>
      <c r="P9452">
        <v>44120</v>
      </c>
      <c r="Q9452">
        <v>5308</v>
      </c>
      <c r="R9452" t="s">
        <v>23</v>
      </c>
      <c r="S9452" s="1" t="s">
        <v>34218</v>
      </c>
    </row>
    <row r="9453" spans="1:19" x14ac:dyDescent="0.25">
      <c r="A9453">
        <v>101235699</v>
      </c>
      <c r="B9453" t="s">
        <v>21492</v>
      </c>
      <c r="C9453" t="s">
        <v>4318</v>
      </c>
      <c r="G9453" t="s">
        <v>21493</v>
      </c>
      <c r="H9453" t="s">
        <v>4908</v>
      </c>
      <c r="I9453" t="s">
        <v>178</v>
      </c>
      <c r="J9453">
        <v>44131</v>
      </c>
      <c r="K9453">
        <v>3128</v>
      </c>
      <c r="L9453" t="s">
        <v>23</v>
      </c>
      <c r="M9453" t="s">
        <v>21493</v>
      </c>
      <c r="N9453" t="s">
        <v>4908</v>
      </c>
      <c r="O9453" t="s">
        <v>178</v>
      </c>
      <c r="P9453">
        <v>44131</v>
      </c>
      <c r="Q9453">
        <v>3128</v>
      </c>
      <c r="R9453" t="s">
        <v>23</v>
      </c>
      <c r="S9453" s="1" t="s">
        <v>34218</v>
      </c>
    </row>
    <row r="9454" spans="1:19" x14ac:dyDescent="0.25">
      <c r="A9454">
        <v>101032789</v>
      </c>
      <c r="B9454" t="s">
        <v>242</v>
      </c>
      <c r="C9454" t="s">
        <v>3566</v>
      </c>
      <c r="G9454" t="s">
        <v>21494</v>
      </c>
      <c r="H9454" t="s">
        <v>3613</v>
      </c>
      <c r="I9454" t="s">
        <v>236</v>
      </c>
      <c r="J9454">
        <v>2445</v>
      </c>
      <c r="K9454">
        <v>7737</v>
      </c>
      <c r="L9454" t="s">
        <v>23</v>
      </c>
      <c r="M9454" t="s">
        <v>21494</v>
      </c>
      <c r="N9454" t="s">
        <v>3613</v>
      </c>
      <c r="O9454" t="s">
        <v>236</v>
      </c>
      <c r="P9454">
        <v>2445</v>
      </c>
      <c r="Q9454">
        <v>7737</v>
      </c>
      <c r="R9454" t="s">
        <v>23</v>
      </c>
      <c r="S9454" s="1" t="s">
        <v>34218</v>
      </c>
    </row>
    <row r="9455" spans="1:19" x14ac:dyDescent="0.25">
      <c r="A9455">
        <v>100828657</v>
      </c>
      <c r="B9455" t="s">
        <v>21495</v>
      </c>
      <c r="C9455" t="s">
        <v>21496</v>
      </c>
      <c r="G9455" t="s">
        <v>21497</v>
      </c>
      <c r="H9455" t="s">
        <v>8280</v>
      </c>
      <c r="I9455" t="s">
        <v>1097</v>
      </c>
      <c r="J9455">
        <v>40511</v>
      </c>
      <c r="L9455" t="s">
        <v>23</v>
      </c>
      <c r="M9455" t="s">
        <v>21497</v>
      </c>
      <c r="N9455" t="s">
        <v>8280</v>
      </c>
      <c r="O9455" t="s">
        <v>1097</v>
      </c>
      <c r="P9455">
        <v>40511</v>
      </c>
      <c r="R9455" t="s">
        <v>23</v>
      </c>
      <c r="S9455" s="1" t="s">
        <v>34218</v>
      </c>
    </row>
    <row r="9456" spans="1:19" x14ac:dyDescent="0.25">
      <c r="A9456">
        <v>101476704</v>
      </c>
      <c r="B9456" t="s">
        <v>16416</v>
      </c>
      <c r="C9456" t="s">
        <v>21498</v>
      </c>
      <c r="G9456" t="s">
        <v>21499</v>
      </c>
      <c r="H9456" t="s">
        <v>1489</v>
      </c>
      <c r="I9456" t="s">
        <v>62</v>
      </c>
      <c r="J9456">
        <v>74137</v>
      </c>
      <c r="L9456" t="s">
        <v>23</v>
      </c>
      <c r="M9456" t="s">
        <v>21499</v>
      </c>
      <c r="N9456" t="s">
        <v>1489</v>
      </c>
      <c r="O9456" t="s">
        <v>62</v>
      </c>
      <c r="P9456">
        <v>74137</v>
      </c>
      <c r="R9456" t="s">
        <v>23</v>
      </c>
      <c r="S9456" s="1" t="s">
        <v>34218</v>
      </c>
    </row>
    <row r="9457" spans="1:19" x14ac:dyDescent="0.25">
      <c r="A9457">
        <v>101451429</v>
      </c>
      <c r="B9457" t="s">
        <v>1164</v>
      </c>
      <c r="C9457" t="s">
        <v>410</v>
      </c>
      <c r="G9457" t="s">
        <v>21500</v>
      </c>
      <c r="H9457" t="s">
        <v>4681</v>
      </c>
      <c r="I9457" t="s">
        <v>84</v>
      </c>
      <c r="J9457">
        <v>98550</v>
      </c>
      <c r="K9457">
        <v>1509</v>
      </c>
      <c r="L9457" t="s">
        <v>23</v>
      </c>
      <c r="M9457" t="s">
        <v>21500</v>
      </c>
      <c r="N9457" t="s">
        <v>4681</v>
      </c>
      <c r="O9457" t="s">
        <v>84</v>
      </c>
      <c r="P9457">
        <v>98550</v>
      </c>
      <c r="Q9457">
        <v>1509</v>
      </c>
      <c r="R9457" t="s">
        <v>23</v>
      </c>
      <c r="S9457" s="1" t="s">
        <v>34218</v>
      </c>
    </row>
    <row r="9458" spans="1:19" x14ac:dyDescent="0.25">
      <c r="A9458">
        <v>101426898</v>
      </c>
      <c r="B9458" t="s">
        <v>21501</v>
      </c>
      <c r="C9458" t="s">
        <v>20677</v>
      </c>
      <c r="G9458" t="s">
        <v>21502</v>
      </c>
      <c r="H9458" t="s">
        <v>1857</v>
      </c>
      <c r="I9458" t="s">
        <v>702</v>
      </c>
      <c r="J9458">
        <v>89509</v>
      </c>
      <c r="K9458">
        <v>3031</v>
      </c>
      <c r="L9458" t="s">
        <v>23</v>
      </c>
      <c r="M9458" t="s">
        <v>21502</v>
      </c>
      <c r="N9458" t="s">
        <v>1857</v>
      </c>
      <c r="O9458" t="s">
        <v>702</v>
      </c>
      <c r="P9458">
        <v>89509</v>
      </c>
      <c r="Q9458">
        <v>3031</v>
      </c>
      <c r="R9458" t="s">
        <v>23</v>
      </c>
      <c r="S9458" s="1" t="s">
        <v>34218</v>
      </c>
    </row>
    <row r="9459" spans="1:19" x14ac:dyDescent="0.25">
      <c r="A9459">
        <v>101477359</v>
      </c>
      <c r="B9459" t="s">
        <v>465</v>
      </c>
      <c r="C9459" t="s">
        <v>21503</v>
      </c>
      <c r="G9459" t="s">
        <v>21504</v>
      </c>
      <c r="H9459" t="s">
        <v>7787</v>
      </c>
      <c r="I9459" t="s">
        <v>135</v>
      </c>
      <c r="J9459">
        <v>60482</v>
      </c>
      <c r="K9459">
        <v>2844</v>
      </c>
      <c r="L9459" t="s">
        <v>23</v>
      </c>
      <c r="M9459" t="s">
        <v>21504</v>
      </c>
      <c r="N9459" t="s">
        <v>7787</v>
      </c>
      <c r="O9459" t="s">
        <v>135</v>
      </c>
      <c r="P9459">
        <v>60482</v>
      </c>
      <c r="Q9459">
        <v>2844</v>
      </c>
      <c r="R9459" t="s">
        <v>23</v>
      </c>
      <c r="S9459" s="1" t="s">
        <v>34218</v>
      </c>
    </row>
    <row r="9460" spans="1:19" x14ac:dyDescent="0.25">
      <c r="A9460">
        <v>101477746</v>
      </c>
      <c r="B9460" t="s">
        <v>21505</v>
      </c>
      <c r="C9460" t="s">
        <v>3747</v>
      </c>
      <c r="G9460" t="s">
        <v>21506</v>
      </c>
      <c r="H9460" t="s">
        <v>1439</v>
      </c>
      <c r="I9460" t="s">
        <v>365</v>
      </c>
      <c r="J9460">
        <v>85716</v>
      </c>
      <c r="K9460">
        <v>3643</v>
      </c>
      <c r="L9460" t="s">
        <v>23</v>
      </c>
      <c r="M9460" t="s">
        <v>21506</v>
      </c>
      <c r="N9460" t="s">
        <v>1439</v>
      </c>
      <c r="O9460" t="s">
        <v>365</v>
      </c>
      <c r="P9460">
        <v>85716</v>
      </c>
      <c r="Q9460">
        <v>3643</v>
      </c>
      <c r="R9460" t="s">
        <v>23</v>
      </c>
      <c r="S9460" s="1" t="s">
        <v>34218</v>
      </c>
    </row>
    <row r="9461" spans="1:19" x14ac:dyDescent="0.25">
      <c r="A9461">
        <v>101477795</v>
      </c>
      <c r="B9461" t="s">
        <v>1415</v>
      </c>
      <c r="C9461" t="s">
        <v>1581</v>
      </c>
      <c r="G9461" t="s">
        <v>21507</v>
      </c>
      <c r="H9461" t="s">
        <v>13437</v>
      </c>
      <c r="I9461" t="s">
        <v>639</v>
      </c>
      <c r="J9461">
        <v>87059</v>
      </c>
      <c r="K9461">
        <v>922</v>
      </c>
      <c r="L9461" t="s">
        <v>23</v>
      </c>
      <c r="M9461" t="s">
        <v>21507</v>
      </c>
      <c r="N9461" t="s">
        <v>13437</v>
      </c>
      <c r="O9461" t="s">
        <v>639</v>
      </c>
      <c r="P9461">
        <v>87059</v>
      </c>
      <c r="Q9461">
        <v>922</v>
      </c>
      <c r="R9461" t="s">
        <v>23</v>
      </c>
      <c r="S9461" s="1" t="s">
        <v>34218</v>
      </c>
    </row>
    <row r="9462" spans="1:19" x14ac:dyDescent="0.25">
      <c r="A9462">
        <v>101477877</v>
      </c>
      <c r="B9462" t="s">
        <v>17408</v>
      </c>
      <c r="C9462" t="s">
        <v>554</v>
      </c>
      <c r="G9462" t="s">
        <v>21508</v>
      </c>
      <c r="H9462" t="s">
        <v>3481</v>
      </c>
      <c r="I9462" t="s">
        <v>140</v>
      </c>
      <c r="J9462">
        <v>49685</v>
      </c>
      <c r="K9462">
        <v>8664</v>
      </c>
      <c r="L9462" t="s">
        <v>23</v>
      </c>
      <c r="M9462" t="s">
        <v>21508</v>
      </c>
      <c r="N9462" t="s">
        <v>3481</v>
      </c>
      <c r="O9462" t="s">
        <v>140</v>
      </c>
      <c r="P9462">
        <v>49685</v>
      </c>
      <c r="Q9462">
        <v>8664</v>
      </c>
      <c r="R9462" t="s">
        <v>23</v>
      </c>
      <c r="S9462" s="1" t="s">
        <v>34218</v>
      </c>
    </row>
    <row r="9463" spans="1:19" x14ac:dyDescent="0.25">
      <c r="A9463">
        <v>101477895</v>
      </c>
      <c r="B9463" t="s">
        <v>21509</v>
      </c>
      <c r="C9463" t="s">
        <v>21510</v>
      </c>
      <c r="G9463" t="s">
        <v>21511</v>
      </c>
      <c r="H9463" t="s">
        <v>6879</v>
      </c>
      <c r="I9463" t="s">
        <v>565</v>
      </c>
      <c r="J9463">
        <v>50310</v>
      </c>
      <c r="K9463">
        <v>3333</v>
      </c>
      <c r="L9463" t="s">
        <v>23</v>
      </c>
      <c r="M9463" t="s">
        <v>21511</v>
      </c>
      <c r="N9463" t="s">
        <v>6879</v>
      </c>
      <c r="O9463" t="s">
        <v>565</v>
      </c>
      <c r="P9463">
        <v>50310</v>
      </c>
      <c r="Q9463">
        <v>3333</v>
      </c>
      <c r="R9463" t="s">
        <v>23</v>
      </c>
      <c r="S9463" s="1" t="s">
        <v>34218</v>
      </c>
    </row>
    <row r="9464" spans="1:19" x14ac:dyDescent="0.25">
      <c r="A9464">
        <v>101477965</v>
      </c>
      <c r="B9464" t="s">
        <v>21512</v>
      </c>
      <c r="C9464" t="s">
        <v>1124</v>
      </c>
      <c r="G9464" t="s">
        <v>21513</v>
      </c>
      <c r="H9464" t="s">
        <v>12726</v>
      </c>
      <c r="I9464" t="s">
        <v>100</v>
      </c>
      <c r="J9464">
        <v>53142</v>
      </c>
      <c r="K9464">
        <v>4353</v>
      </c>
      <c r="L9464" t="s">
        <v>23</v>
      </c>
      <c r="M9464" t="s">
        <v>21513</v>
      </c>
      <c r="N9464" t="s">
        <v>12726</v>
      </c>
      <c r="O9464" t="s">
        <v>100</v>
      </c>
      <c r="P9464">
        <v>53142</v>
      </c>
      <c r="Q9464">
        <v>4353</v>
      </c>
      <c r="R9464" t="s">
        <v>23</v>
      </c>
      <c r="S9464" s="1" t="s">
        <v>34218</v>
      </c>
    </row>
    <row r="9465" spans="1:19" x14ac:dyDescent="0.25">
      <c r="A9465">
        <v>101478029</v>
      </c>
      <c r="B9465" t="s">
        <v>2656</v>
      </c>
      <c r="C9465" t="s">
        <v>5420</v>
      </c>
      <c r="G9465" t="s">
        <v>21514</v>
      </c>
      <c r="H9465" t="s">
        <v>4764</v>
      </c>
      <c r="I9465" t="s">
        <v>71</v>
      </c>
      <c r="J9465">
        <v>81501</v>
      </c>
      <c r="K9465">
        <v>4654</v>
      </c>
      <c r="L9465" t="s">
        <v>23</v>
      </c>
      <c r="M9465" t="s">
        <v>21514</v>
      </c>
      <c r="N9465" t="s">
        <v>4764</v>
      </c>
      <c r="O9465" t="s">
        <v>71</v>
      </c>
      <c r="P9465">
        <v>81501</v>
      </c>
      <c r="Q9465">
        <v>4654</v>
      </c>
      <c r="R9465" t="s">
        <v>23</v>
      </c>
      <c r="S9465" s="1" t="s">
        <v>34218</v>
      </c>
    </row>
    <row r="9466" spans="1:19" x14ac:dyDescent="0.25">
      <c r="A9466">
        <v>101478182</v>
      </c>
      <c r="B9466" t="s">
        <v>5200</v>
      </c>
      <c r="C9466" t="s">
        <v>1168</v>
      </c>
      <c r="G9466" t="s">
        <v>21515</v>
      </c>
      <c r="H9466" t="s">
        <v>21516</v>
      </c>
      <c r="I9466" t="s">
        <v>57</v>
      </c>
      <c r="J9466">
        <v>47954</v>
      </c>
      <c r="K9466">
        <v>9347</v>
      </c>
      <c r="L9466" t="s">
        <v>23</v>
      </c>
      <c r="M9466" t="s">
        <v>21515</v>
      </c>
      <c r="N9466" t="s">
        <v>21516</v>
      </c>
      <c r="O9466" t="s">
        <v>57</v>
      </c>
      <c r="P9466">
        <v>47954</v>
      </c>
      <c r="Q9466">
        <v>9347</v>
      </c>
      <c r="R9466" t="s">
        <v>23</v>
      </c>
      <c r="S9466" s="1" t="s">
        <v>34218</v>
      </c>
    </row>
    <row r="9467" spans="1:19" x14ac:dyDescent="0.25">
      <c r="A9467">
        <v>101478215</v>
      </c>
      <c r="B9467" t="s">
        <v>21517</v>
      </c>
      <c r="C9467" t="s">
        <v>1306</v>
      </c>
      <c r="G9467" t="s">
        <v>21518</v>
      </c>
      <c r="H9467" t="s">
        <v>17106</v>
      </c>
      <c r="I9467" t="s">
        <v>140</v>
      </c>
      <c r="J9467">
        <v>48118</v>
      </c>
      <c r="K9467">
        <v>1341</v>
      </c>
      <c r="L9467" t="s">
        <v>23</v>
      </c>
      <c r="M9467" t="s">
        <v>21518</v>
      </c>
      <c r="N9467" t="s">
        <v>17106</v>
      </c>
      <c r="O9467" t="s">
        <v>140</v>
      </c>
      <c r="P9467">
        <v>48118</v>
      </c>
      <c r="Q9467">
        <v>1341</v>
      </c>
      <c r="R9467" t="s">
        <v>23</v>
      </c>
      <c r="S9467" s="1" t="s">
        <v>34218</v>
      </c>
    </row>
    <row r="9468" spans="1:19" x14ac:dyDescent="0.25">
      <c r="A9468">
        <v>101478264</v>
      </c>
      <c r="B9468" t="s">
        <v>21519</v>
      </c>
      <c r="C9468" t="s">
        <v>3566</v>
      </c>
      <c r="G9468" t="s">
        <v>21520</v>
      </c>
      <c r="H9468" t="s">
        <v>3852</v>
      </c>
      <c r="I9468" t="s">
        <v>140</v>
      </c>
      <c r="J9468">
        <v>48439</v>
      </c>
      <c r="K9468">
        <v>6324</v>
      </c>
      <c r="L9468" t="s">
        <v>23</v>
      </c>
      <c r="M9468" t="s">
        <v>21520</v>
      </c>
      <c r="N9468" t="s">
        <v>3852</v>
      </c>
      <c r="O9468" t="s">
        <v>140</v>
      </c>
      <c r="P9468">
        <v>48439</v>
      </c>
      <c r="Q9468">
        <v>6324</v>
      </c>
      <c r="R9468" t="s">
        <v>23</v>
      </c>
      <c r="S9468" s="1" t="s">
        <v>34218</v>
      </c>
    </row>
    <row r="9469" spans="1:19" x14ac:dyDescent="0.25">
      <c r="A9469">
        <v>101478397</v>
      </c>
      <c r="B9469" t="s">
        <v>21521</v>
      </c>
      <c r="C9469" t="s">
        <v>1306</v>
      </c>
      <c r="G9469" t="s">
        <v>21522</v>
      </c>
      <c r="H9469" t="s">
        <v>393</v>
      </c>
      <c r="I9469" t="s">
        <v>71</v>
      </c>
      <c r="J9469">
        <v>80218</v>
      </c>
      <c r="K9469">
        <v>3355</v>
      </c>
      <c r="L9469" t="s">
        <v>23</v>
      </c>
      <c r="M9469" t="s">
        <v>21522</v>
      </c>
      <c r="N9469" t="s">
        <v>393</v>
      </c>
      <c r="O9469" t="s">
        <v>71</v>
      </c>
      <c r="P9469">
        <v>80218</v>
      </c>
      <c r="Q9469">
        <v>3355</v>
      </c>
      <c r="R9469" t="s">
        <v>23</v>
      </c>
      <c r="S9469" s="1" t="s">
        <v>34218</v>
      </c>
    </row>
    <row r="9470" spans="1:19" x14ac:dyDescent="0.25">
      <c r="A9470">
        <v>100600732</v>
      </c>
      <c r="B9470" t="s">
        <v>119</v>
      </c>
      <c r="C9470" t="s">
        <v>10896</v>
      </c>
      <c r="G9470" t="s">
        <v>21523</v>
      </c>
      <c r="H9470" t="s">
        <v>836</v>
      </c>
      <c r="I9470" t="s">
        <v>914</v>
      </c>
      <c r="J9470">
        <v>37043</v>
      </c>
      <c r="K9470">
        <v>5424</v>
      </c>
      <c r="L9470" t="s">
        <v>23</v>
      </c>
      <c r="M9470" t="s">
        <v>21523</v>
      </c>
      <c r="N9470" t="s">
        <v>836</v>
      </c>
      <c r="O9470" t="s">
        <v>914</v>
      </c>
      <c r="P9470">
        <v>37043</v>
      </c>
      <c r="Q9470">
        <v>5424</v>
      </c>
      <c r="R9470" t="s">
        <v>23</v>
      </c>
      <c r="S9470" s="1" t="s">
        <v>34218</v>
      </c>
    </row>
    <row r="9471" spans="1:19" x14ac:dyDescent="0.25">
      <c r="A9471">
        <v>101448301</v>
      </c>
      <c r="B9471" t="s">
        <v>21524</v>
      </c>
      <c r="C9471" t="s">
        <v>21525</v>
      </c>
      <c r="H9471" t="s">
        <v>21526</v>
      </c>
      <c r="I9471" t="s">
        <v>22</v>
      </c>
      <c r="J9471">
        <v>93065</v>
      </c>
      <c r="L9471" t="s">
        <v>23</v>
      </c>
      <c r="N9471" t="s">
        <v>21526</v>
      </c>
      <c r="O9471" t="s">
        <v>22</v>
      </c>
      <c r="P9471">
        <v>93065</v>
      </c>
      <c r="R9471" t="s">
        <v>23</v>
      </c>
      <c r="S9471" s="1" t="s">
        <v>34218</v>
      </c>
    </row>
    <row r="9472" spans="1:19" x14ac:dyDescent="0.25">
      <c r="A9472">
        <v>101421972</v>
      </c>
      <c r="B9472" t="s">
        <v>377</v>
      </c>
      <c r="C9472" t="s">
        <v>102</v>
      </c>
      <c r="G9472" t="s">
        <v>21527</v>
      </c>
      <c r="H9472" t="s">
        <v>1544</v>
      </c>
      <c r="I9472" t="s">
        <v>236</v>
      </c>
      <c r="J9472">
        <v>2134</v>
      </c>
      <c r="L9472" t="s">
        <v>23</v>
      </c>
      <c r="M9472" t="s">
        <v>21527</v>
      </c>
      <c r="N9472" t="s">
        <v>1544</v>
      </c>
      <c r="O9472" t="s">
        <v>236</v>
      </c>
      <c r="P9472">
        <v>2134</v>
      </c>
      <c r="R9472" t="s">
        <v>23</v>
      </c>
      <c r="S9472" s="1" t="s">
        <v>34218</v>
      </c>
    </row>
    <row r="9473" spans="1:19" x14ac:dyDescent="0.25">
      <c r="A9473">
        <v>101481235</v>
      </c>
      <c r="B9473" t="s">
        <v>21528</v>
      </c>
      <c r="C9473" t="s">
        <v>4840</v>
      </c>
      <c r="G9473" t="s">
        <v>21529</v>
      </c>
      <c r="H9473" t="s">
        <v>21160</v>
      </c>
      <c r="I9473" t="s">
        <v>22</v>
      </c>
      <c r="J9473">
        <v>92336</v>
      </c>
      <c r="K9473">
        <v>4193</v>
      </c>
      <c r="L9473" t="s">
        <v>23</v>
      </c>
      <c r="M9473" t="s">
        <v>21529</v>
      </c>
      <c r="N9473" t="s">
        <v>21160</v>
      </c>
      <c r="O9473" t="s">
        <v>22</v>
      </c>
      <c r="P9473">
        <v>92336</v>
      </c>
      <c r="Q9473">
        <v>4193</v>
      </c>
      <c r="R9473" t="s">
        <v>23</v>
      </c>
      <c r="S9473" s="1" t="s">
        <v>34218</v>
      </c>
    </row>
    <row r="9474" spans="1:19" x14ac:dyDescent="0.25">
      <c r="A9474">
        <v>101481250</v>
      </c>
      <c r="B9474" t="s">
        <v>3927</v>
      </c>
      <c r="C9474" t="s">
        <v>21530</v>
      </c>
      <c r="G9474" t="s">
        <v>21531</v>
      </c>
      <c r="H9474" t="s">
        <v>775</v>
      </c>
      <c r="I9474" t="s">
        <v>22</v>
      </c>
      <c r="J9474">
        <v>95076</v>
      </c>
      <c r="K9474">
        <v>3635</v>
      </c>
      <c r="L9474" t="s">
        <v>23</v>
      </c>
      <c r="M9474" t="s">
        <v>21531</v>
      </c>
      <c r="N9474" t="s">
        <v>775</v>
      </c>
      <c r="O9474" t="s">
        <v>22</v>
      </c>
      <c r="P9474">
        <v>95076</v>
      </c>
      <c r="Q9474">
        <v>3635</v>
      </c>
      <c r="R9474" t="s">
        <v>23</v>
      </c>
      <c r="S9474" s="1" t="s">
        <v>34218</v>
      </c>
    </row>
    <row r="9475" spans="1:19" x14ac:dyDescent="0.25">
      <c r="A9475">
        <v>101305984</v>
      </c>
      <c r="B9475" t="s">
        <v>3215</v>
      </c>
      <c r="C9475" t="s">
        <v>21532</v>
      </c>
      <c r="G9475" t="s">
        <v>21533</v>
      </c>
      <c r="H9475" t="s">
        <v>408</v>
      </c>
      <c r="I9475" t="s">
        <v>353</v>
      </c>
      <c r="J9475">
        <v>3752</v>
      </c>
      <c r="L9475" t="s">
        <v>23</v>
      </c>
      <c r="M9475" t="s">
        <v>21533</v>
      </c>
      <c r="N9475" t="s">
        <v>408</v>
      </c>
      <c r="O9475" t="s">
        <v>353</v>
      </c>
      <c r="P9475">
        <v>3752</v>
      </c>
      <c r="R9475" t="s">
        <v>23</v>
      </c>
      <c r="S9475" s="1" t="s">
        <v>34218</v>
      </c>
    </row>
    <row r="9476" spans="1:19" x14ac:dyDescent="0.25">
      <c r="A9476">
        <v>101478465</v>
      </c>
      <c r="B9476" t="s">
        <v>16611</v>
      </c>
      <c r="C9476" t="s">
        <v>403</v>
      </c>
      <c r="G9476" t="s">
        <v>21534</v>
      </c>
      <c r="H9476" t="s">
        <v>11599</v>
      </c>
      <c r="I9476" t="s">
        <v>71</v>
      </c>
      <c r="J9476">
        <v>80650</v>
      </c>
      <c r="K9476">
        <v>9722</v>
      </c>
      <c r="L9476" t="s">
        <v>23</v>
      </c>
      <c r="M9476" t="s">
        <v>21534</v>
      </c>
      <c r="N9476" t="s">
        <v>11599</v>
      </c>
      <c r="O9476" t="s">
        <v>71</v>
      </c>
      <c r="P9476">
        <v>80650</v>
      </c>
      <c r="Q9476">
        <v>9722</v>
      </c>
      <c r="R9476" t="s">
        <v>23</v>
      </c>
      <c r="S9476" s="1" t="s">
        <v>34218</v>
      </c>
    </row>
    <row r="9477" spans="1:19" x14ac:dyDescent="0.25">
      <c r="A9477">
        <v>101478615</v>
      </c>
      <c r="B9477" t="s">
        <v>21535</v>
      </c>
      <c r="C9477" t="s">
        <v>21536</v>
      </c>
      <c r="G9477" t="s">
        <v>21537</v>
      </c>
      <c r="H9477" t="s">
        <v>37</v>
      </c>
      <c r="I9477" t="s">
        <v>38</v>
      </c>
      <c r="J9477">
        <v>78729</v>
      </c>
      <c r="K9477">
        <v>7988</v>
      </c>
      <c r="L9477" t="s">
        <v>23</v>
      </c>
      <c r="M9477" t="s">
        <v>21537</v>
      </c>
      <c r="N9477" t="s">
        <v>37</v>
      </c>
      <c r="O9477" t="s">
        <v>38</v>
      </c>
      <c r="P9477">
        <v>78729</v>
      </c>
      <c r="Q9477">
        <v>7988</v>
      </c>
      <c r="R9477" t="s">
        <v>23</v>
      </c>
      <c r="S9477" s="1" t="s">
        <v>34218</v>
      </c>
    </row>
    <row r="9478" spans="1:19" x14ac:dyDescent="0.25">
      <c r="A9478">
        <v>101468821</v>
      </c>
      <c r="B9478" t="s">
        <v>15851</v>
      </c>
      <c r="C9478" t="s">
        <v>21538</v>
      </c>
      <c r="G9478" t="s">
        <v>21539</v>
      </c>
      <c r="H9478" t="s">
        <v>11491</v>
      </c>
      <c r="I9478" t="s">
        <v>178</v>
      </c>
      <c r="J9478">
        <v>43123</v>
      </c>
      <c r="K9478">
        <v>9319</v>
      </c>
      <c r="L9478" t="s">
        <v>23</v>
      </c>
      <c r="M9478" t="s">
        <v>21539</v>
      </c>
      <c r="N9478" t="s">
        <v>11491</v>
      </c>
      <c r="O9478" t="s">
        <v>178</v>
      </c>
      <c r="P9478">
        <v>43123</v>
      </c>
      <c r="Q9478">
        <v>9319</v>
      </c>
      <c r="R9478" t="s">
        <v>23</v>
      </c>
      <c r="S9478" s="1" t="s">
        <v>34218</v>
      </c>
    </row>
    <row r="9479" spans="1:19" x14ac:dyDescent="0.25">
      <c r="A9479">
        <v>101466447</v>
      </c>
      <c r="B9479" t="s">
        <v>21540</v>
      </c>
      <c r="C9479" t="s">
        <v>9050</v>
      </c>
      <c r="G9479" t="s">
        <v>21541</v>
      </c>
      <c r="H9479" t="s">
        <v>1287</v>
      </c>
      <c r="I9479" t="s">
        <v>117</v>
      </c>
      <c r="J9479">
        <v>11377</v>
      </c>
      <c r="K9479">
        <v>7627</v>
      </c>
      <c r="L9479" t="s">
        <v>23</v>
      </c>
      <c r="M9479" t="s">
        <v>21541</v>
      </c>
      <c r="N9479" t="s">
        <v>1287</v>
      </c>
      <c r="O9479" t="s">
        <v>117</v>
      </c>
      <c r="P9479">
        <v>11377</v>
      </c>
      <c r="Q9479">
        <v>7627</v>
      </c>
      <c r="R9479" t="s">
        <v>23</v>
      </c>
      <c r="S9479" s="1" t="s">
        <v>34218</v>
      </c>
    </row>
    <row r="9480" spans="1:19" x14ac:dyDescent="0.25">
      <c r="A9480">
        <v>101317419</v>
      </c>
      <c r="B9480" t="s">
        <v>21542</v>
      </c>
      <c r="C9480" t="s">
        <v>3376</v>
      </c>
      <c r="G9480" t="s">
        <v>21543</v>
      </c>
      <c r="H9480" t="s">
        <v>4866</v>
      </c>
      <c r="I9480" t="s">
        <v>22</v>
      </c>
      <c r="J9480">
        <v>92262</v>
      </c>
      <c r="K9480">
        <v>6167</v>
      </c>
      <c r="L9480" t="s">
        <v>23</v>
      </c>
      <c r="M9480" t="s">
        <v>21543</v>
      </c>
      <c r="N9480" t="s">
        <v>4866</v>
      </c>
      <c r="O9480" t="s">
        <v>22</v>
      </c>
      <c r="P9480">
        <v>92262</v>
      </c>
      <c r="Q9480">
        <v>6167</v>
      </c>
      <c r="R9480" t="s">
        <v>23</v>
      </c>
      <c r="S9480" s="1" t="s">
        <v>34218</v>
      </c>
    </row>
    <row r="9481" spans="1:19" x14ac:dyDescent="0.25">
      <c r="A9481">
        <v>100756307</v>
      </c>
      <c r="B9481" t="s">
        <v>21544</v>
      </c>
      <c r="C9481" t="s">
        <v>575</v>
      </c>
      <c r="G9481" t="s">
        <v>21545</v>
      </c>
      <c r="H9481" t="s">
        <v>393</v>
      </c>
      <c r="I9481" t="s">
        <v>71</v>
      </c>
      <c r="J9481">
        <v>80247</v>
      </c>
      <c r="K9481">
        <v>1275</v>
      </c>
      <c r="L9481" t="s">
        <v>23</v>
      </c>
      <c r="M9481" t="s">
        <v>21545</v>
      </c>
      <c r="N9481" t="s">
        <v>393</v>
      </c>
      <c r="O9481" t="s">
        <v>71</v>
      </c>
      <c r="P9481">
        <v>80247</v>
      </c>
      <c r="Q9481">
        <v>1275</v>
      </c>
      <c r="R9481" t="s">
        <v>23</v>
      </c>
      <c r="S9481" s="1" t="s">
        <v>34218</v>
      </c>
    </row>
    <row r="9482" spans="1:19" x14ac:dyDescent="0.25">
      <c r="A9482">
        <v>101467181</v>
      </c>
      <c r="B9482" t="s">
        <v>93</v>
      </c>
      <c r="C9482" t="s">
        <v>406</v>
      </c>
      <c r="G9482" t="s">
        <v>21546</v>
      </c>
      <c r="H9482" t="s">
        <v>21547</v>
      </c>
      <c r="I9482" t="s">
        <v>4652</v>
      </c>
      <c r="J9482">
        <v>57469</v>
      </c>
      <c r="K9482">
        <v>1218</v>
      </c>
      <c r="L9482" t="s">
        <v>23</v>
      </c>
      <c r="M9482" t="s">
        <v>21546</v>
      </c>
      <c r="N9482" t="s">
        <v>21547</v>
      </c>
      <c r="O9482" t="s">
        <v>4652</v>
      </c>
      <c r="P9482">
        <v>57469</v>
      </c>
      <c r="Q9482">
        <v>1218</v>
      </c>
      <c r="R9482" t="s">
        <v>23</v>
      </c>
      <c r="S9482" s="1" t="s">
        <v>34218</v>
      </c>
    </row>
    <row r="9483" spans="1:19" x14ac:dyDescent="0.25">
      <c r="A9483">
        <v>101468870</v>
      </c>
      <c r="B9483" t="s">
        <v>2382</v>
      </c>
      <c r="C9483" t="s">
        <v>1581</v>
      </c>
      <c r="G9483" t="s">
        <v>2383</v>
      </c>
      <c r="H9483" t="s">
        <v>2384</v>
      </c>
      <c r="I9483" t="s">
        <v>250</v>
      </c>
      <c r="J9483">
        <v>7728</v>
      </c>
      <c r="K9483">
        <v>8058</v>
      </c>
      <c r="L9483" t="s">
        <v>23</v>
      </c>
      <c r="M9483" t="s">
        <v>2383</v>
      </c>
      <c r="N9483" t="s">
        <v>2384</v>
      </c>
      <c r="O9483" t="s">
        <v>250</v>
      </c>
      <c r="P9483">
        <v>7728</v>
      </c>
      <c r="Q9483">
        <v>8058</v>
      </c>
      <c r="R9483" t="s">
        <v>23</v>
      </c>
      <c r="S9483" s="1" t="s">
        <v>34218</v>
      </c>
    </row>
    <row r="9484" spans="1:19" x14ac:dyDescent="0.25">
      <c r="A9484">
        <v>101042301</v>
      </c>
      <c r="B9484" t="s">
        <v>13531</v>
      </c>
      <c r="C9484" t="s">
        <v>641</v>
      </c>
      <c r="G9484" t="s">
        <v>21548</v>
      </c>
      <c r="H9484" t="s">
        <v>6492</v>
      </c>
      <c r="I9484" t="s">
        <v>161</v>
      </c>
      <c r="J9484">
        <v>6903</v>
      </c>
      <c r="K9484">
        <v>2606</v>
      </c>
      <c r="L9484" t="s">
        <v>23</v>
      </c>
      <c r="M9484" t="s">
        <v>21548</v>
      </c>
      <c r="N9484" t="s">
        <v>6492</v>
      </c>
      <c r="O9484" t="s">
        <v>161</v>
      </c>
      <c r="P9484">
        <v>6903</v>
      </c>
      <c r="Q9484">
        <v>2606</v>
      </c>
      <c r="R9484" t="s">
        <v>23</v>
      </c>
      <c r="S9484" s="1" t="s">
        <v>34218</v>
      </c>
    </row>
    <row r="9485" spans="1:19" x14ac:dyDescent="0.25">
      <c r="A9485">
        <v>101434992</v>
      </c>
      <c r="B9485" t="s">
        <v>21549</v>
      </c>
      <c r="C9485" t="s">
        <v>1422</v>
      </c>
      <c r="G9485" t="s">
        <v>21550</v>
      </c>
      <c r="H9485" t="s">
        <v>11098</v>
      </c>
      <c r="I9485" t="s">
        <v>250</v>
      </c>
      <c r="J9485">
        <v>8759</v>
      </c>
      <c r="K9485">
        <v>1362</v>
      </c>
      <c r="L9485" t="s">
        <v>23</v>
      </c>
      <c r="M9485" t="s">
        <v>21550</v>
      </c>
      <c r="N9485" t="s">
        <v>11098</v>
      </c>
      <c r="O9485" t="s">
        <v>250</v>
      </c>
      <c r="P9485">
        <v>8759</v>
      </c>
      <c r="Q9485">
        <v>1362</v>
      </c>
      <c r="R9485" t="s">
        <v>23</v>
      </c>
      <c r="S9485" s="1" t="s">
        <v>34218</v>
      </c>
    </row>
    <row r="9486" spans="1:19" x14ac:dyDescent="0.25">
      <c r="A9486">
        <v>101467675</v>
      </c>
      <c r="B9486" t="s">
        <v>21551</v>
      </c>
      <c r="C9486" t="s">
        <v>180</v>
      </c>
      <c r="G9486" t="s">
        <v>21552</v>
      </c>
      <c r="H9486" t="s">
        <v>21553</v>
      </c>
      <c r="I9486" t="s">
        <v>255</v>
      </c>
      <c r="J9486">
        <v>22701</v>
      </c>
      <c r="K9486">
        <v>3256</v>
      </c>
      <c r="L9486" t="s">
        <v>23</v>
      </c>
      <c r="M9486" t="s">
        <v>21552</v>
      </c>
      <c r="N9486" t="s">
        <v>21553</v>
      </c>
      <c r="O9486" t="s">
        <v>255</v>
      </c>
      <c r="P9486">
        <v>22701</v>
      </c>
      <c r="Q9486">
        <v>3256</v>
      </c>
      <c r="R9486" t="s">
        <v>23</v>
      </c>
      <c r="S9486" s="1" t="s">
        <v>34218</v>
      </c>
    </row>
    <row r="9487" spans="1:19" x14ac:dyDescent="0.25">
      <c r="A9487">
        <v>101465942</v>
      </c>
      <c r="B9487" t="s">
        <v>21554</v>
      </c>
      <c r="C9487" t="s">
        <v>2776</v>
      </c>
      <c r="G9487" t="s">
        <v>21555</v>
      </c>
      <c r="H9487" t="s">
        <v>21556</v>
      </c>
      <c r="I9487" t="s">
        <v>33</v>
      </c>
      <c r="J9487">
        <v>16635</v>
      </c>
      <c r="K9487">
        <v>4523</v>
      </c>
      <c r="L9487" t="s">
        <v>23</v>
      </c>
      <c r="M9487" t="s">
        <v>21555</v>
      </c>
      <c r="N9487" t="s">
        <v>21556</v>
      </c>
      <c r="O9487" t="s">
        <v>33</v>
      </c>
      <c r="P9487">
        <v>16635</v>
      </c>
      <c r="Q9487">
        <v>4523</v>
      </c>
      <c r="R9487" t="s">
        <v>23</v>
      </c>
      <c r="S9487" s="1" t="s">
        <v>34218</v>
      </c>
    </row>
    <row r="9488" spans="1:19" x14ac:dyDescent="0.25">
      <c r="A9488">
        <v>101283761</v>
      </c>
      <c r="B9488" t="s">
        <v>21557</v>
      </c>
      <c r="C9488" t="s">
        <v>123</v>
      </c>
      <c r="G9488" t="s">
        <v>21558</v>
      </c>
      <c r="H9488" t="s">
        <v>631</v>
      </c>
      <c r="I9488" t="s">
        <v>22</v>
      </c>
      <c r="J9488">
        <v>94947</v>
      </c>
      <c r="L9488" t="s">
        <v>23</v>
      </c>
      <c r="M9488" t="s">
        <v>21558</v>
      </c>
      <c r="N9488" t="s">
        <v>631</v>
      </c>
      <c r="O9488" t="s">
        <v>22</v>
      </c>
      <c r="P9488">
        <v>94947</v>
      </c>
      <c r="R9488" t="s">
        <v>23</v>
      </c>
      <c r="S9488" s="1" t="s">
        <v>34218</v>
      </c>
    </row>
    <row r="9489" spans="1:19" x14ac:dyDescent="0.25">
      <c r="A9489">
        <v>101467040</v>
      </c>
      <c r="B9489" t="s">
        <v>8550</v>
      </c>
      <c r="C9489" t="s">
        <v>494</v>
      </c>
      <c r="G9489" t="s">
        <v>21559</v>
      </c>
      <c r="H9489" t="s">
        <v>21560</v>
      </c>
      <c r="I9489" t="s">
        <v>33</v>
      </c>
      <c r="J9489">
        <v>19565</v>
      </c>
      <c r="K9489">
        <v>2119</v>
      </c>
      <c r="L9489" t="s">
        <v>23</v>
      </c>
      <c r="M9489" t="s">
        <v>21559</v>
      </c>
      <c r="N9489" t="s">
        <v>21560</v>
      </c>
      <c r="O9489" t="s">
        <v>33</v>
      </c>
      <c r="P9489">
        <v>19565</v>
      </c>
      <c r="Q9489">
        <v>2119</v>
      </c>
      <c r="R9489" t="s">
        <v>23</v>
      </c>
      <c r="S9489" s="1" t="s">
        <v>34218</v>
      </c>
    </row>
    <row r="9490" spans="1:19" x14ac:dyDescent="0.25">
      <c r="A9490">
        <v>101467064</v>
      </c>
      <c r="B9490" t="s">
        <v>3089</v>
      </c>
      <c r="C9490" t="s">
        <v>21561</v>
      </c>
      <c r="G9490" t="s">
        <v>21562</v>
      </c>
      <c r="H9490" t="s">
        <v>8665</v>
      </c>
      <c r="I9490" t="s">
        <v>22</v>
      </c>
      <c r="J9490">
        <v>90069</v>
      </c>
      <c r="K9490">
        <v>4917</v>
      </c>
      <c r="L9490" t="s">
        <v>23</v>
      </c>
      <c r="M9490" t="s">
        <v>21562</v>
      </c>
      <c r="N9490" t="s">
        <v>8665</v>
      </c>
      <c r="O9490" t="s">
        <v>22</v>
      </c>
      <c r="P9490">
        <v>90069</v>
      </c>
      <c r="Q9490">
        <v>4917</v>
      </c>
      <c r="R9490" t="s">
        <v>23</v>
      </c>
      <c r="S9490" s="1" t="s">
        <v>34218</v>
      </c>
    </row>
    <row r="9491" spans="1:19" x14ac:dyDescent="0.25">
      <c r="A9491">
        <v>100614469</v>
      </c>
      <c r="B9491" t="s">
        <v>21563</v>
      </c>
      <c r="C9491" t="s">
        <v>251</v>
      </c>
      <c r="G9491" t="s">
        <v>21564</v>
      </c>
      <c r="H9491" t="s">
        <v>134</v>
      </c>
      <c r="I9491" t="s">
        <v>135</v>
      </c>
      <c r="J9491">
        <v>60634</v>
      </c>
      <c r="K9491">
        <v>3105</v>
      </c>
      <c r="L9491" t="s">
        <v>23</v>
      </c>
      <c r="M9491" t="s">
        <v>21564</v>
      </c>
      <c r="N9491" t="s">
        <v>134</v>
      </c>
      <c r="O9491" t="s">
        <v>135</v>
      </c>
      <c r="P9491">
        <v>60634</v>
      </c>
      <c r="Q9491">
        <v>3105</v>
      </c>
      <c r="R9491" t="s">
        <v>23</v>
      </c>
      <c r="S9491" s="1" t="s">
        <v>34218</v>
      </c>
    </row>
    <row r="9492" spans="1:19" x14ac:dyDescent="0.25">
      <c r="A9492">
        <v>101468942</v>
      </c>
      <c r="B9492" t="s">
        <v>21565</v>
      </c>
      <c r="C9492" t="s">
        <v>1638</v>
      </c>
      <c r="G9492" t="s">
        <v>21566</v>
      </c>
      <c r="H9492" t="s">
        <v>21567</v>
      </c>
      <c r="I9492" t="s">
        <v>33</v>
      </c>
      <c r="J9492">
        <v>16226</v>
      </c>
      <c r="K9492">
        <v>1310</v>
      </c>
      <c r="L9492" t="s">
        <v>23</v>
      </c>
      <c r="M9492" t="s">
        <v>21566</v>
      </c>
      <c r="N9492" t="s">
        <v>21567</v>
      </c>
      <c r="O9492" t="s">
        <v>33</v>
      </c>
      <c r="P9492">
        <v>16226</v>
      </c>
      <c r="Q9492">
        <v>1310</v>
      </c>
      <c r="R9492" t="s">
        <v>23</v>
      </c>
      <c r="S9492" s="1" t="s">
        <v>34218</v>
      </c>
    </row>
    <row r="9493" spans="1:19" x14ac:dyDescent="0.25">
      <c r="A9493">
        <v>100704356</v>
      </c>
      <c r="B9493" t="s">
        <v>11120</v>
      </c>
      <c r="C9493" t="s">
        <v>403</v>
      </c>
      <c r="G9493" t="s">
        <v>21568</v>
      </c>
      <c r="H9493" t="s">
        <v>261</v>
      </c>
      <c r="I9493" t="s">
        <v>250</v>
      </c>
      <c r="J9493">
        <v>8525</v>
      </c>
      <c r="K9493">
        <v>2910</v>
      </c>
      <c r="L9493" t="s">
        <v>23</v>
      </c>
      <c r="M9493" t="s">
        <v>21568</v>
      </c>
      <c r="N9493" t="s">
        <v>261</v>
      </c>
      <c r="O9493" t="s">
        <v>250</v>
      </c>
      <c r="P9493">
        <v>8525</v>
      </c>
      <c r="Q9493">
        <v>2910</v>
      </c>
      <c r="R9493" t="s">
        <v>23</v>
      </c>
      <c r="S9493" s="1" t="s">
        <v>34218</v>
      </c>
    </row>
    <row r="9494" spans="1:19" x14ac:dyDescent="0.25">
      <c r="A9494">
        <v>101456502</v>
      </c>
      <c r="B9494" t="s">
        <v>21569</v>
      </c>
      <c r="C9494" t="s">
        <v>21570</v>
      </c>
      <c r="G9494" t="s">
        <v>21571</v>
      </c>
      <c r="H9494" t="s">
        <v>9625</v>
      </c>
      <c r="I9494" t="s">
        <v>1000</v>
      </c>
      <c r="J9494">
        <v>59102</v>
      </c>
      <c r="K9494">
        <v>440</v>
      </c>
      <c r="L9494" t="s">
        <v>23</v>
      </c>
      <c r="M9494" t="s">
        <v>21571</v>
      </c>
      <c r="N9494" t="s">
        <v>9625</v>
      </c>
      <c r="O9494" t="s">
        <v>1000</v>
      </c>
      <c r="P9494">
        <v>59102</v>
      </c>
      <c r="Q9494">
        <v>440</v>
      </c>
      <c r="R9494" t="s">
        <v>23</v>
      </c>
      <c r="S9494" s="1" t="s">
        <v>34218</v>
      </c>
    </row>
    <row r="9495" spans="1:19" x14ac:dyDescent="0.25">
      <c r="A9495">
        <v>100515741</v>
      </c>
      <c r="B9495" t="s">
        <v>21572</v>
      </c>
      <c r="C9495" t="s">
        <v>5836</v>
      </c>
      <c r="G9495" t="s">
        <v>21573</v>
      </c>
      <c r="H9495" t="s">
        <v>1579</v>
      </c>
      <c r="I9495" t="s">
        <v>71</v>
      </c>
      <c r="J9495">
        <v>80014</v>
      </c>
      <c r="K9495">
        <v>5194</v>
      </c>
      <c r="L9495" t="s">
        <v>23</v>
      </c>
      <c r="M9495" t="s">
        <v>21573</v>
      </c>
      <c r="N9495" t="s">
        <v>1579</v>
      </c>
      <c r="O9495" t="s">
        <v>71</v>
      </c>
      <c r="P9495">
        <v>80014</v>
      </c>
      <c r="Q9495">
        <v>5194</v>
      </c>
      <c r="R9495" t="s">
        <v>23</v>
      </c>
      <c r="S9495" s="1" t="s">
        <v>34218</v>
      </c>
    </row>
    <row r="9496" spans="1:19" x14ac:dyDescent="0.25">
      <c r="A9496">
        <v>101430624</v>
      </c>
      <c r="B9496" t="s">
        <v>21574</v>
      </c>
      <c r="C9496" t="s">
        <v>21575</v>
      </c>
      <c r="G9496" t="s">
        <v>21576</v>
      </c>
      <c r="H9496" t="s">
        <v>12625</v>
      </c>
      <c r="I9496" t="s">
        <v>117</v>
      </c>
      <c r="J9496">
        <v>10562</v>
      </c>
      <c r="K9496">
        <v>2005</v>
      </c>
      <c r="L9496" t="s">
        <v>23</v>
      </c>
      <c r="M9496" t="s">
        <v>21576</v>
      </c>
      <c r="N9496" t="s">
        <v>12625</v>
      </c>
      <c r="O9496" t="s">
        <v>117</v>
      </c>
      <c r="P9496">
        <v>10562</v>
      </c>
      <c r="Q9496">
        <v>2005</v>
      </c>
      <c r="R9496" t="s">
        <v>23</v>
      </c>
      <c r="S9496" s="1" t="s">
        <v>34218</v>
      </c>
    </row>
    <row r="9497" spans="1:19" x14ac:dyDescent="0.25">
      <c r="A9497">
        <v>100940235</v>
      </c>
      <c r="B9497" t="s">
        <v>21577</v>
      </c>
      <c r="C9497" t="s">
        <v>410</v>
      </c>
      <c r="G9497" t="s">
        <v>21578</v>
      </c>
      <c r="H9497" t="s">
        <v>2696</v>
      </c>
      <c r="I9497" t="s">
        <v>52</v>
      </c>
      <c r="J9497">
        <v>33020</v>
      </c>
      <c r="K9497">
        <v>2251</v>
      </c>
      <c r="L9497" t="s">
        <v>23</v>
      </c>
      <c r="M9497" t="s">
        <v>21578</v>
      </c>
      <c r="N9497" t="s">
        <v>2696</v>
      </c>
      <c r="O9497" t="s">
        <v>52</v>
      </c>
      <c r="P9497">
        <v>33020</v>
      </c>
      <c r="Q9497">
        <v>2251</v>
      </c>
      <c r="R9497" t="s">
        <v>23</v>
      </c>
      <c r="S9497" s="1" t="s">
        <v>34218</v>
      </c>
    </row>
    <row r="9498" spans="1:19" x14ac:dyDescent="0.25">
      <c r="A9498">
        <v>100911596</v>
      </c>
      <c r="B9498" t="s">
        <v>4168</v>
      </c>
      <c r="C9498" t="s">
        <v>155</v>
      </c>
      <c r="G9498" t="s">
        <v>21579</v>
      </c>
      <c r="H9498" t="s">
        <v>2894</v>
      </c>
      <c r="I9498" t="s">
        <v>135</v>
      </c>
      <c r="J9498">
        <v>62468</v>
      </c>
      <c r="L9498" t="s">
        <v>23</v>
      </c>
      <c r="M9498" t="s">
        <v>21579</v>
      </c>
      <c r="N9498" t="s">
        <v>2894</v>
      </c>
      <c r="O9498" t="s">
        <v>135</v>
      </c>
      <c r="P9498">
        <v>62468</v>
      </c>
      <c r="R9498" t="s">
        <v>23</v>
      </c>
      <c r="S9498" s="1" t="s">
        <v>34218</v>
      </c>
    </row>
    <row r="9499" spans="1:19" x14ac:dyDescent="0.25">
      <c r="A9499">
        <v>101468982</v>
      </c>
      <c r="B9499" t="s">
        <v>21580</v>
      </c>
      <c r="C9499" t="s">
        <v>16639</v>
      </c>
      <c r="G9499" t="s">
        <v>21581</v>
      </c>
      <c r="H9499" t="s">
        <v>21582</v>
      </c>
      <c r="I9499" t="s">
        <v>140</v>
      </c>
      <c r="J9499">
        <v>48374</v>
      </c>
      <c r="K9499">
        <v>1110</v>
      </c>
      <c r="L9499" t="s">
        <v>23</v>
      </c>
      <c r="M9499" t="s">
        <v>21581</v>
      </c>
      <c r="N9499" t="s">
        <v>21582</v>
      </c>
      <c r="O9499" t="s">
        <v>140</v>
      </c>
      <c r="P9499">
        <v>48374</v>
      </c>
      <c r="Q9499">
        <v>1110</v>
      </c>
      <c r="R9499" t="s">
        <v>23</v>
      </c>
      <c r="S9499" s="1" t="s">
        <v>34218</v>
      </c>
    </row>
    <row r="9500" spans="1:19" x14ac:dyDescent="0.25">
      <c r="A9500">
        <v>101466440</v>
      </c>
      <c r="B9500" t="s">
        <v>21583</v>
      </c>
      <c r="C9500" t="s">
        <v>1327</v>
      </c>
      <c r="G9500" t="s">
        <v>21584</v>
      </c>
      <c r="H9500" t="s">
        <v>11608</v>
      </c>
      <c r="I9500" t="s">
        <v>33</v>
      </c>
      <c r="J9500">
        <v>17552</v>
      </c>
      <c r="K9500">
        <v>9334</v>
      </c>
      <c r="L9500" t="s">
        <v>23</v>
      </c>
      <c r="M9500" t="s">
        <v>21584</v>
      </c>
      <c r="N9500" t="s">
        <v>11608</v>
      </c>
      <c r="O9500" t="s">
        <v>33</v>
      </c>
      <c r="P9500">
        <v>17552</v>
      </c>
      <c r="Q9500">
        <v>9334</v>
      </c>
      <c r="R9500" t="s">
        <v>23</v>
      </c>
      <c r="S9500" s="1" t="s">
        <v>34218</v>
      </c>
    </row>
    <row r="9501" spans="1:19" x14ac:dyDescent="0.25">
      <c r="A9501">
        <v>101308192</v>
      </c>
      <c r="B9501" t="s">
        <v>21585</v>
      </c>
      <c r="C9501" t="s">
        <v>2758</v>
      </c>
      <c r="G9501" t="s">
        <v>21586</v>
      </c>
      <c r="H9501" t="s">
        <v>5525</v>
      </c>
      <c r="I9501" t="s">
        <v>22</v>
      </c>
      <c r="J9501">
        <v>94560</v>
      </c>
      <c r="K9501">
        <v>1163</v>
      </c>
      <c r="L9501" t="s">
        <v>23</v>
      </c>
      <c r="M9501" t="s">
        <v>21586</v>
      </c>
      <c r="N9501" t="s">
        <v>5525</v>
      </c>
      <c r="O9501" t="s">
        <v>22</v>
      </c>
      <c r="P9501">
        <v>94560</v>
      </c>
      <c r="Q9501">
        <v>1163</v>
      </c>
      <c r="R9501" t="s">
        <v>23</v>
      </c>
      <c r="S9501" s="1" t="s">
        <v>34218</v>
      </c>
    </row>
    <row r="9502" spans="1:19" x14ac:dyDescent="0.25">
      <c r="A9502">
        <v>101059264</v>
      </c>
      <c r="B9502" t="s">
        <v>21587</v>
      </c>
      <c r="C9502" t="s">
        <v>1818</v>
      </c>
      <c r="G9502" t="s">
        <v>21588</v>
      </c>
      <c r="H9502" t="s">
        <v>21589</v>
      </c>
      <c r="I9502" t="s">
        <v>135</v>
      </c>
      <c r="J9502">
        <v>60474</v>
      </c>
      <c r="K9502">
        <v>3119</v>
      </c>
      <c r="L9502" t="s">
        <v>23</v>
      </c>
      <c r="M9502" t="s">
        <v>21588</v>
      </c>
      <c r="N9502" t="s">
        <v>21589</v>
      </c>
      <c r="O9502" t="s">
        <v>135</v>
      </c>
      <c r="P9502">
        <v>60474</v>
      </c>
      <c r="Q9502">
        <v>3119</v>
      </c>
      <c r="R9502" t="s">
        <v>23</v>
      </c>
      <c r="S9502" s="1" t="s">
        <v>34218</v>
      </c>
    </row>
    <row r="9503" spans="1:19" x14ac:dyDescent="0.25">
      <c r="A9503">
        <v>101422971</v>
      </c>
      <c r="B9503" t="s">
        <v>21590</v>
      </c>
      <c r="C9503" t="s">
        <v>2547</v>
      </c>
      <c r="G9503" t="s">
        <v>21591</v>
      </c>
      <c r="H9503" t="s">
        <v>2046</v>
      </c>
      <c r="I9503" t="s">
        <v>446</v>
      </c>
      <c r="J9503">
        <v>27703</v>
      </c>
      <c r="K9503">
        <v>2647</v>
      </c>
      <c r="L9503" t="s">
        <v>23</v>
      </c>
      <c r="M9503" t="s">
        <v>21591</v>
      </c>
      <c r="N9503" t="s">
        <v>2046</v>
      </c>
      <c r="O9503" t="s">
        <v>446</v>
      </c>
      <c r="P9503">
        <v>27703</v>
      </c>
      <c r="Q9503">
        <v>2647</v>
      </c>
      <c r="R9503" t="s">
        <v>23</v>
      </c>
      <c r="S9503" s="1" t="s">
        <v>34218</v>
      </c>
    </row>
    <row r="9504" spans="1:19" x14ac:dyDescent="0.25">
      <c r="A9504">
        <v>101057471</v>
      </c>
      <c r="B9504" t="s">
        <v>21592</v>
      </c>
      <c r="C9504" t="s">
        <v>894</v>
      </c>
      <c r="G9504" t="s">
        <v>21593</v>
      </c>
      <c r="H9504" t="s">
        <v>1861</v>
      </c>
      <c r="I9504" t="s">
        <v>22</v>
      </c>
      <c r="J9504">
        <v>94530</v>
      </c>
      <c r="K9504">
        <v>1653</v>
      </c>
      <c r="L9504" t="s">
        <v>23</v>
      </c>
      <c r="M9504" t="s">
        <v>21593</v>
      </c>
      <c r="N9504" t="s">
        <v>1861</v>
      </c>
      <c r="O9504" t="s">
        <v>22</v>
      </c>
      <c r="P9504">
        <v>94530</v>
      </c>
      <c r="Q9504">
        <v>1653</v>
      </c>
      <c r="R9504" t="s">
        <v>23</v>
      </c>
      <c r="S9504" s="1" t="s">
        <v>34218</v>
      </c>
    </row>
    <row r="9505" spans="1:19" x14ac:dyDescent="0.25">
      <c r="A9505">
        <v>101423448</v>
      </c>
      <c r="B9505" t="s">
        <v>21594</v>
      </c>
      <c r="C9505" t="s">
        <v>1616</v>
      </c>
      <c r="G9505" t="s">
        <v>21595</v>
      </c>
      <c r="H9505" t="s">
        <v>10031</v>
      </c>
      <c r="I9505" t="s">
        <v>22</v>
      </c>
      <c r="J9505">
        <v>95521</v>
      </c>
      <c r="K9505">
        <v>8976</v>
      </c>
      <c r="L9505" t="s">
        <v>23</v>
      </c>
      <c r="M9505" t="s">
        <v>21595</v>
      </c>
      <c r="N9505" t="s">
        <v>10031</v>
      </c>
      <c r="O9505" t="s">
        <v>22</v>
      </c>
      <c r="P9505">
        <v>95521</v>
      </c>
      <c r="Q9505">
        <v>8976</v>
      </c>
      <c r="R9505" t="s">
        <v>23</v>
      </c>
      <c r="S9505" s="1" t="s">
        <v>34218</v>
      </c>
    </row>
    <row r="9506" spans="1:19" x14ac:dyDescent="0.25">
      <c r="A9506">
        <v>101182900</v>
      </c>
      <c r="B9506" t="s">
        <v>21596</v>
      </c>
      <c r="C9506" t="s">
        <v>294</v>
      </c>
      <c r="G9506" t="s">
        <v>21597</v>
      </c>
      <c r="H9506" t="s">
        <v>3680</v>
      </c>
      <c r="I9506" t="s">
        <v>161</v>
      </c>
      <c r="J9506">
        <v>6824</v>
      </c>
      <c r="L9506" t="s">
        <v>23</v>
      </c>
      <c r="M9506" t="s">
        <v>21597</v>
      </c>
      <c r="N9506" t="s">
        <v>3680</v>
      </c>
      <c r="O9506" t="s">
        <v>161</v>
      </c>
      <c r="P9506">
        <v>6824</v>
      </c>
      <c r="R9506" t="s">
        <v>23</v>
      </c>
      <c r="S9506" s="1" t="s">
        <v>34218</v>
      </c>
    </row>
    <row r="9507" spans="1:19" x14ac:dyDescent="0.25">
      <c r="A9507">
        <v>101478647</v>
      </c>
      <c r="B9507" t="s">
        <v>1297</v>
      </c>
      <c r="C9507" t="s">
        <v>3017</v>
      </c>
      <c r="G9507" t="s">
        <v>21598</v>
      </c>
      <c r="H9507" t="s">
        <v>1877</v>
      </c>
      <c r="I9507" t="s">
        <v>43</v>
      </c>
      <c r="J9507">
        <v>97302</v>
      </c>
      <c r="K9507">
        <v>6173</v>
      </c>
      <c r="L9507" t="s">
        <v>23</v>
      </c>
      <c r="M9507" t="s">
        <v>21598</v>
      </c>
      <c r="N9507" t="s">
        <v>1877</v>
      </c>
      <c r="O9507" t="s">
        <v>43</v>
      </c>
      <c r="P9507">
        <v>97302</v>
      </c>
      <c r="Q9507">
        <v>6173</v>
      </c>
      <c r="R9507" t="s">
        <v>23</v>
      </c>
      <c r="S9507" s="1" t="s">
        <v>34218</v>
      </c>
    </row>
    <row r="9508" spans="1:19" x14ac:dyDescent="0.25">
      <c r="A9508">
        <v>101478850</v>
      </c>
      <c r="B9508" t="s">
        <v>3525</v>
      </c>
      <c r="C9508" t="s">
        <v>1135</v>
      </c>
      <c r="G9508" t="s">
        <v>21599</v>
      </c>
      <c r="H9508" t="s">
        <v>818</v>
      </c>
      <c r="I9508" t="s">
        <v>43</v>
      </c>
      <c r="J9508">
        <v>97006</v>
      </c>
      <c r="K9508">
        <v>8140</v>
      </c>
      <c r="L9508" t="s">
        <v>23</v>
      </c>
      <c r="M9508" t="s">
        <v>21599</v>
      </c>
      <c r="N9508" t="s">
        <v>818</v>
      </c>
      <c r="O9508" t="s">
        <v>43</v>
      </c>
      <c r="P9508">
        <v>97006</v>
      </c>
      <c r="Q9508">
        <v>8140</v>
      </c>
      <c r="R9508" t="s">
        <v>23</v>
      </c>
      <c r="S9508" s="1" t="s">
        <v>34218</v>
      </c>
    </row>
    <row r="9509" spans="1:19" x14ac:dyDescent="0.25">
      <c r="A9509">
        <v>101478950</v>
      </c>
      <c r="B9509" t="s">
        <v>21600</v>
      </c>
      <c r="C9509" t="s">
        <v>2790</v>
      </c>
      <c r="G9509" t="s">
        <v>21601</v>
      </c>
      <c r="H9509" t="s">
        <v>227</v>
      </c>
      <c r="I9509" t="s">
        <v>43</v>
      </c>
      <c r="J9509">
        <v>97233</v>
      </c>
      <c r="K9509">
        <v>5703</v>
      </c>
      <c r="L9509" t="s">
        <v>23</v>
      </c>
      <c r="M9509" t="s">
        <v>21601</v>
      </c>
      <c r="N9509" t="s">
        <v>227</v>
      </c>
      <c r="O9509" t="s">
        <v>43</v>
      </c>
      <c r="P9509">
        <v>97233</v>
      </c>
      <c r="Q9509">
        <v>5703</v>
      </c>
      <c r="R9509" t="s">
        <v>23</v>
      </c>
      <c r="S9509" s="1" t="s">
        <v>34218</v>
      </c>
    </row>
    <row r="9510" spans="1:19" x14ac:dyDescent="0.25">
      <c r="A9510">
        <v>101478983</v>
      </c>
      <c r="B9510" t="s">
        <v>21602</v>
      </c>
      <c r="C9510" t="s">
        <v>286</v>
      </c>
      <c r="G9510" t="s">
        <v>21603</v>
      </c>
      <c r="H9510" t="s">
        <v>21604</v>
      </c>
      <c r="I9510" t="s">
        <v>22</v>
      </c>
      <c r="J9510">
        <v>95442</v>
      </c>
      <c r="K9510">
        <v>8444</v>
      </c>
      <c r="L9510" t="s">
        <v>23</v>
      </c>
      <c r="M9510" t="s">
        <v>21603</v>
      </c>
      <c r="N9510" t="s">
        <v>21604</v>
      </c>
      <c r="O9510" t="s">
        <v>22</v>
      </c>
      <c r="P9510">
        <v>95442</v>
      </c>
      <c r="Q9510">
        <v>8444</v>
      </c>
      <c r="R9510" t="s">
        <v>23</v>
      </c>
      <c r="S9510" s="1" t="s">
        <v>34218</v>
      </c>
    </row>
    <row r="9511" spans="1:19" x14ac:dyDescent="0.25">
      <c r="A9511">
        <v>101479232</v>
      </c>
      <c r="B9511" t="s">
        <v>21605</v>
      </c>
      <c r="C9511" t="s">
        <v>1669</v>
      </c>
      <c r="G9511" t="s">
        <v>21606</v>
      </c>
      <c r="H9511" t="s">
        <v>2668</v>
      </c>
      <c r="I9511" t="s">
        <v>22</v>
      </c>
      <c r="J9511">
        <v>95050</v>
      </c>
      <c r="K9511">
        <v>6420</v>
      </c>
      <c r="L9511" t="s">
        <v>23</v>
      </c>
      <c r="M9511" t="s">
        <v>21606</v>
      </c>
      <c r="N9511" t="s">
        <v>2668</v>
      </c>
      <c r="O9511" t="s">
        <v>22</v>
      </c>
      <c r="P9511">
        <v>95050</v>
      </c>
      <c r="Q9511">
        <v>6420</v>
      </c>
      <c r="R9511" t="s">
        <v>23</v>
      </c>
      <c r="S9511" s="1" t="s">
        <v>34218</v>
      </c>
    </row>
    <row r="9512" spans="1:19" x14ac:dyDescent="0.25">
      <c r="A9512">
        <v>101479283</v>
      </c>
      <c r="B9512" t="s">
        <v>2080</v>
      </c>
      <c r="C9512" t="s">
        <v>21607</v>
      </c>
      <c r="G9512" t="s">
        <v>3512</v>
      </c>
      <c r="H9512" t="s">
        <v>21608</v>
      </c>
      <c r="I9512" t="s">
        <v>84</v>
      </c>
      <c r="J9512">
        <v>98535</v>
      </c>
      <c r="K9512">
        <v>238</v>
      </c>
      <c r="L9512" t="s">
        <v>23</v>
      </c>
      <c r="M9512" t="s">
        <v>3512</v>
      </c>
      <c r="N9512" t="s">
        <v>21608</v>
      </c>
      <c r="O9512" t="s">
        <v>84</v>
      </c>
      <c r="P9512">
        <v>98535</v>
      </c>
      <c r="Q9512">
        <v>238</v>
      </c>
      <c r="R9512" t="s">
        <v>23</v>
      </c>
      <c r="S9512" s="1" t="s">
        <v>34218</v>
      </c>
    </row>
    <row r="9513" spans="1:19" x14ac:dyDescent="0.25">
      <c r="A9513">
        <v>101479351</v>
      </c>
      <c r="B9513" t="s">
        <v>2503</v>
      </c>
      <c r="C9513" t="s">
        <v>18565</v>
      </c>
      <c r="G9513" t="s">
        <v>21609</v>
      </c>
      <c r="H9513" t="s">
        <v>1431</v>
      </c>
      <c r="I9513" t="s">
        <v>639</v>
      </c>
      <c r="J9513">
        <v>87501</v>
      </c>
      <c r="K9513">
        <v>1164</v>
      </c>
      <c r="L9513" t="s">
        <v>23</v>
      </c>
      <c r="M9513" t="s">
        <v>21609</v>
      </c>
      <c r="N9513" t="s">
        <v>1431</v>
      </c>
      <c r="O9513" t="s">
        <v>639</v>
      </c>
      <c r="P9513">
        <v>87501</v>
      </c>
      <c r="Q9513">
        <v>1164</v>
      </c>
      <c r="R9513" t="s">
        <v>23</v>
      </c>
      <c r="S9513" s="1" t="s">
        <v>34218</v>
      </c>
    </row>
    <row r="9514" spans="1:19" x14ac:dyDescent="0.25">
      <c r="A9514">
        <v>100957566</v>
      </c>
      <c r="B9514" t="s">
        <v>9783</v>
      </c>
      <c r="C9514" t="s">
        <v>309</v>
      </c>
      <c r="F9514" t="str">
        <f>"8059535963"</f>
        <v>8059535963</v>
      </c>
      <c r="H9514" t="s">
        <v>3214</v>
      </c>
      <c r="I9514" t="s">
        <v>22</v>
      </c>
      <c r="J9514">
        <v>91362</v>
      </c>
      <c r="L9514" t="s">
        <v>23</v>
      </c>
      <c r="N9514" t="s">
        <v>3214</v>
      </c>
      <c r="O9514" t="s">
        <v>22</v>
      </c>
      <c r="P9514">
        <v>91362</v>
      </c>
      <c r="R9514" t="s">
        <v>23</v>
      </c>
      <c r="S9514" s="1" t="s">
        <v>34218</v>
      </c>
    </row>
    <row r="9515" spans="1:19" x14ac:dyDescent="0.25">
      <c r="A9515">
        <v>101432172</v>
      </c>
      <c r="B9515" t="s">
        <v>21610</v>
      </c>
      <c r="C9515" t="s">
        <v>3350</v>
      </c>
      <c r="G9515" t="s">
        <v>21611</v>
      </c>
      <c r="H9515" t="s">
        <v>21612</v>
      </c>
      <c r="I9515" t="s">
        <v>662</v>
      </c>
      <c r="J9515">
        <v>2852</v>
      </c>
      <c r="K9515">
        <v>6509</v>
      </c>
      <c r="L9515" t="s">
        <v>23</v>
      </c>
      <c r="M9515" t="s">
        <v>21611</v>
      </c>
      <c r="N9515" t="s">
        <v>21612</v>
      </c>
      <c r="O9515" t="s">
        <v>662</v>
      </c>
      <c r="P9515">
        <v>2852</v>
      </c>
      <c r="Q9515">
        <v>6509</v>
      </c>
      <c r="R9515" t="s">
        <v>23</v>
      </c>
      <c r="S9515" s="1" t="s">
        <v>34218</v>
      </c>
    </row>
    <row r="9516" spans="1:19" x14ac:dyDescent="0.25">
      <c r="A9516">
        <v>101170391</v>
      </c>
      <c r="B9516" t="s">
        <v>21613</v>
      </c>
      <c r="C9516" t="s">
        <v>403</v>
      </c>
      <c r="G9516" t="s">
        <v>21614</v>
      </c>
      <c r="H9516" t="s">
        <v>369</v>
      </c>
      <c r="I9516" t="s">
        <v>140</v>
      </c>
      <c r="J9516">
        <v>48742</v>
      </c>
      <c r="K9516">
        <v>9665</v>
      </c>
      <c r="L9516" t="s">
        <v>23</v>
      </c>
      <c r="M9516" t="s">
        <v>21614</v>
      </c>
      <c r="N9516" t="s">
        <v>369</v>
      </c>
      <c r="O9516" t="s">
        <v>140</v>
      </c>
      <c r="P9516">
        <v>48742</v>
      </c>
      <c r="Q9516">
        <v>9665</v>
      </c>
      <c r="R9516" t="s">
        <v>23</v>
      </c>
      <c r="S9516" s="1" t="s">
        <v>34218</v>
      </c>
    </row>
    <row r="9517" spans="1:19" x14ac:dyDescent="0.25">
      <c r="A9517">
        <v>100724302</v>
      </c>
      <c r="B9517" t="s">
        <v>21615</v>
      </c>
      <c r="C9517" t="s">
        <v>916</v>
      </c>
      <c r="G9517" t="s">
        <v>21616</v>
      </c>
      <c r="H9517" t="s">
        <v>130</v>
      </c>
      <c r="I9517" t="s">
        <v>22</v>
      </c>
      <c r="J9517">
        <v>94123</v>
      </c>
      <c r="K9517">
        <v>2966</v>
      </c>
      <c r="L9517" t="s">
        <v>23</v>
      </c>
      <c r="M9517" t="s">
        <v>21616</v>
      </c>
      <c r="N9517" t="s">
        <v>130</v>
      </c>
      <c r="O9517" t="s">
        <v>22</v>
      </c>
      <c r="P9517">
        <v>94123</v>
      </c>
      <c r="Q9517">
        <v>2966</v>
      </c>
      <c r="R9517" t="s">
        <v>23</v>
      </c>
      <c r="S9517" s="1" t="s">
        <v>34218</v>
      </c>
    </row>
    <row r="9518" spans="1:19" x14ac:dyDescent="0.25">
      <c r="A9518">
        <v>101140231</v>
      </c>
      <c r="B9518" t="s">
        <v>21617</v>
      </c>
      <c r="C9518" t="s">
        <v>1176</v>
      </c>
      <c r="F9518" t="str">
        <f>"2074004307"</f>
        <v>2074004307</v>
      </c>
      <c r="G9518" t="s">
        <v>21618</v>
      </c>
      <c r="H9518" t="s">
        <v>3098</v>
      </c>
      <c r="I9518" t="s">
        <v>148</v>
      </c>
      <c r="J9518">
        <v>21601</v>
      </c>
      <c r="K9518">
        <v>4724</v>
      </c>
      <c r="L9518" t="s">
        <v>23</v>
      </c>
      <c r="M9518" t="s">
        <v>21618</v>
      </c>
      <c r="N9518" t="s">
        <v>3098</v>
      </c>
      <c r="O9518" t="s">
        <v>148</v>
      </c>
      <c r="P9518">
        <v>21601</v>
      </c>
      <c r="Q9518">
        <v>4724</v>
      </c>
      <c r="R9518" t="s">
        <v>23</v>
      </c>
      <c r="S9518" s="1" t="s">
        <v>34218</v>
      </c>
    </row>
    <row r="9519" spans="1:19" x14ac:dyDescent="0.25">
      <c r="A9519">
        <v>101472889</v>
      </c>
      <c r="B9519" t="s">
        <v>21619</v>
      </c>
      <c r="C9519" t="s">
        <v>123</v>
      </c>
      <c r="G9519" t="s">
        <v>21620</v>
      </c>
      <c r="H9519" t="s">
        <v>15729</v>
      </c>
      <c r="I9519" t="s">
        <v>117</v>
      </c>
      <c r="J9519">
        <v>12491</v>
      </c>
      <c r="K9519">
        <v>5133</v>
      </c>
      <c r="L9519" t="s">
        <v>23</v>
      </c>
      <c r="M9519" t="s">
        <v>21620</v>
      </c>
      <c r="N9519" t="s">
        <v>15729</v>
      </c>
      <c r="O9519" t="s">
        <v>117</v>
      </c>
      <c r="P9519">
        <v>12491</v>
      </c>
      <c r="Q9519">
        <v>5133</v>
      </c>
      <c r="R9519" t="s">
        <v>23</v>
      </c>
      <c r="S9519" s="1" t="s">
        <v>34218</v>
      </c>
    </row>
    <row r="9520" spans="1:19" x14ac:dyDescent="0.25">
      <c r="A9520">
        <v>100576590</v>
      </c>
      <c r="B9520" t="s">
        <v>21621</v>
      </c>
      <c r="C9520" t="s">
        <v>1807</v>
      </c>
      <c r="G9520" t="s">
        <v>21622</v>
      </c>
      <c r="H9520" t="s">
        <v>12413</v>
      </c>
      <c r="I9520" t="s">
        <v>565</v>
      </c>
      <c r="J9520">
        <v>52241</v>
      </c>
      <c r="K9520">
        <v>3355</v>
      </c>
      <c r="L9520" t="s">
        <v>23</v>
      </c>
      <c r="M9520" t="s">
        <v>21622</v>
      </c>
      <c r="N9520" t="s">
        <v>12413</v>
      </c>
      <c r="O9520" t="s">
        <v>565</v>
      </c>
      <c r="P9520">
        <v>52241</v>
      </c>
      <c r="Q9520">
        <v>3355</v>
      </c>
      <c r="R9520" t="s">
        <v>23</v>
      </c>
      <c r="S9520" s="1" t="s">
        <v>34218</v>
      </c>
    </row>
    <row r="9521" spans="1:19" x14ac:dyDescent="0.25">
      <c r="A9521">
        <v>100842336</v>
      </c>
      <c r="B9521" t="s">
        <v>21623</v>
      </c>
      <c r="C9521" t="s">
        <v>21624</v>
      </c>
      <c r="G9521" t="s">
        <v>21625</v>
      </c>
      <c r="H9521" t="s">
        <v>21626</v>
      </c>
      <c r="I9521" t="s">
        <v>52</v>
      </c>
      <c r="J9521">
        <v>32168</v>
      </c>
      <c r="K9521">
        <v>5346</v>
      </c>
      <c r="L9521" t="s">
        <v>23</v>
      </c>
      <c r="M9521" t="s">
        <v>21625</v>
      </c>
      <c r="N9521" t="s">
        <v>21626</v>
      </c>
      <c r="O9521" t="s">
        <v>52</v>
      </c>
      <c r="P9521">
        <v>32168</v>
      </c>
      <c r="Q9521">
        <v>5346</v>
      </c>
      <c r="R9521" t="s">
        <v>23</v>
      </c>
      <c r="S9521" s="1" t="s">
        <v>34218</v>
      </c>
    </row>
    <row r="9522" spans="1:19" x14ac:dyDescent="0.25">
      <c r="A9522">
        <v>100780010</v>
      </c>
      <c r="B9522" t="s">
        <v>21627</v>
      </c>
      <c r="C9522" t="s">
        <v>5868</v>
      </c>
      <c r="G9522" t="s">
        <v>21628</v>
      </c>
      <c r="H9522" t="s">
        <v>11711</v>
      </c>
      <c r="I9522" t="s">
        <v>446</v>
      </c>
      <c r="J9522">
        <v>27526</v>
      </c>
      <c r="K9522">
        <v>3406</v>
      </c>
      <c r="L9522" t="s">
        <v>23</v>
      </c>
      <c r="M9522" t="s">
        <v>21628</v>
      </c>
      <c r="N9522" t="s">
        <v>11711</v>
      </c>
      <c r="O9522" t="s">
        <v>446</v>
      </c>
      <c r="P9522">
        <v>27526</v>
      </c>
      <c r="Q9522">
        <v>3406</v>
      </c>
      <c r="R9522" t="s">
        <v>23</v>
      </c>
      <c r="S9522" s="1" t="s">
        <v>34218</v>
      </c>
    </row>
    <row r="9523" spans="1:19" x14ac:dyDescent="0.25">
      <c r="A9523">
        <v>101428123</v>
      </c>
      <c r="B9523" t="s">
        <v>21629</v>
      </c>
      <c r="C9523" t="s">
        <v>1658</v>
      </c>
      <c r="G9523" t="s">
        <v>21630</v>
      </c>
      <c r="H9523" t="s">
        <v>1649</v>
      </c>
      <c r="I9523" t="s">
        <v>22</v>
      </c>
      <c r="J9523">
        <v>93013</v>
      </c>
      <c r="L9523" t="s">
        <v>23</v>
      </c>
      <c r="M9523" t="s">
        <v>21630</v>
      </c>
      <c r="N9523" t="s">
        <v>1649</v>
      </c>
      <c r="O9523" t="s">
        <v>22</v>
      </c>
      <c r="P9523">
        <v>93013</v>
      </c>
      <c r="R9523" t="s">
        <v>23</v>
      </c>
      <c r="S9523" s="1" t="s">
        <v>34218</v>
      </c>
    </row>
    <row r="9524" spans="1:19" x14ac:dyDescent="0.25">
      <c r="A9524">
        <v>101306647</v>
      </c>
      <c r="B9524" t="s">
        <v>6788</v>
      </c>
      <c r="C9524" t="s">
        <v>1179</v>
      </c>
      <c r="G9524" t="s">
        <v>21631</v>
      </c>
      <c r="H9524" t="s">
        <v>3230</v>
      </c>
      <c r="I9524" t="s">
        <v>22</v>
      </c>
      <c r="J9524">
        <v>95959</v>
      </c>
      <c r="K9524">
        <v>9528</v>
      </c>
      <c r="L9524" t="s">
        <v>23</v>
      </c>
      <c r="M9524" t="s">
        <v>21631</v>
      </c>
      <c r="N9524" t="s">
        <v>3230</v>
      </c>
      <c r="O9524" t="s">
        <v>22</v>
      </c>
      <c r="P9524">
        <v>95959</v>
      </c>
      <c r="Q9524">
        <v>9528</v>
      </c>
      <c r="R9524" t="s">
        <v>23</v>
      </c>
      <c r="S9524" s="1" t="s">
        <v>34218</v>
      </c>
    </row>
    <row r="9525" spans="1:19" x14ac:dyDescent="0.25">
      <c r="A9525">
        <v>100543678</v>
      </c>
      <c r="B9525" t="s">
        <v>2376</v>
      </c>
      <c r="C9525" t="s">
        <v>252</v>
      </c>
      <c r="G9525" t="s">
        <v>21632</v>
      </c>
      <c r="H9525" t="s">
        <v>1229</v>
      </c>
      <c r="I9525" t="s">
        <v>38</v>
      </c>
      <c r="J9525">
        <v>78209</v>
      </c>
      <c r="K9525">
        <v>6004</v>
      </c>
      <c r="L9525" t="s">
        <v>23</v>
      </c>
      <c r="M9525" t="s">
        <v>21632</v>
      </c>
      <c r="N9525" t="s">
        <v>1229</v>
      </c>
      <c r="O9525" t="s">
        <v>38</v>
      </c>
      <c r="P9525">
        <v>78209</v>
      </c>
      <c r="Q9525">
        <v>6004</v>
      </c>
      <c r="R9525" t="s">
        <v>23</v>
      </c>
      <c r="S9525" s="1" t="s">
        <v>34218</v>
      </c>
    </row>
    <row r="9526" spans="1:19" x14ac:dyDescent="0.25">
      <c r="A9526">
        <v>101224170</v>
      </c>
      <c r="B9526" t="s">
        <v>21633</v>
      </c>
      <c r="C9526" t="s">
        <v>20355</v>
      </c>
      <c r="G9526" t="s">
        <v>21634</v>
      </c>
      <c r="H9526" t="s">
        <v>21635</v>
      </c>
      <c r="I9526" t="s">
        <v>84</v>
      </c>
      <c r="J9526">
        <v>98070</v>
      </c>
      <c r="K9526">
        <v>4961</v>
      </c>
      <c r="L9526" t="s">
        <v>23</v>
      </c>
      <c r="M9526" t="s">
        <v>21634</v>
      </c>
      <c r="N9526" t="s">
        <v>21635</v>
      </c>
      <c r="O9526" t="s">
        <v>84</v>
      </c>
      <c r="P9526">
        <v>98070</v>
      </c>
      <c r="Q9526">
        <v>4961</v>
      </c>
      <c r="R9526" t="s">
        <v>23</v>
      </c>
      <c r="S9526" s="1" t="s">
        <v>34218</v>
      </c>
    </row>
    <row r="9527" spans="1:19" x14ac:dyDescent="0.25">
      <c r="A9527">
        <v>101310119</v>
      </c>
      <c r="B9527" t="s">
        <v>3921</v>
      </c>
      <c r="C9527" t="s">
        <v>3350</v>
      </c>
      <c r="G9527" t="s">
        <v>21636</v>
      </c>
      <c r="H9527" t="s">
        <v>9036</v>
      </c>
      <c r="I9527" t="s">
        <v>117</v>
      </c>
      <c r="J9527">
        <v>14065</v>
      </c>
      <c r="K9527">
        <v>9788</v>
      </c>
      <c r="L9527" t="s">
        <v>23</v>
      </c>
      <c r="M9527" t="s">
        <v>21636</v>
      </c>
      <c r="N9527" t="s">
        <v>9036</v>
      </c>
      <c r="O9527" t="s">
        <v>117</v>
      </c>
      <c r="P9527">
        <v>14065</v>
      </c>
      <c r="Q9527">
        <v>9788</v>
      </c>
      <c r="R9527" t="s">
        <v>23</v>
      </c>
      <c r="S9527" s="1" t="s">
        <v>34218</v>
      </c>
    </row>
    <row r="9528" spans="1:19" x14ac:dyDescent="0.25">
      <c r="A9528">
        <v>100638533</v>
      </c>
      <c r="B9528" t="s">
        <v>14065</v>
      </c>
      <c r="C9528" t="s">
        <v>1208</v>
      </c>
      <c r="G9528" t="s">
        <v>21637</v>
      </c>
      <c r="H9528" t="s">
        <v>653</v>
      </c>
      <c r="I9528" t="s">
        <v>117</v>
      </c>
      <c r="J9528">
        <v>10024</v>
      </c>
      <c r="K9528">
        <v>1646</v>
      </c>
      <c r="L9528" t="s">
        <v>23</v>
      </c>
      <c r="M9528" t="s">
        <v>21637</v>
      </c>
      <c r="N9528" t="s">
        <v>653</v>
      </c>
      <c r="O9528" t="s">
        <v>117</v>
      </c>
      <c r="P9528">
        <v>10024</v>
      </c>
      <c r="Q9528">
        <v>1646</v>
      </c>
      <c r="R9528" t="s">
        <v>23</v>
      </c>
      <c r="S9528" s="1" t="s">
        <v>34218</v>
      </c>
    </row>
    <row r="9529" spans="1:19" x14ac:dyDescent="0.25">
      <c r="A9529">
        <v>101192071</v>
      </c>
      <c r="B9529" t="s">
        <v>10408</v>
      </c>
      <c r="C9529" t="s">
        <v>45</v>
      </c>
      <c r="G9529" t="s">
        <v>21638</v>
      </c>
      <c r="H9529" t="s">
        <v>12977</v>
      </c>
      <c r="I9529" t="s">
        <v>446</v>
      </c>
      <c r="J9529">
        <v>27529</v>
      </c>
      <c r="K9529">
        <v>4758</v>
      </c>
      <c r="L9529" t="s">
        <v>23</v>
      </c>
      <c r="M9529" t="s">
        <v>21638</v>
      </c>
      <c r="N9529" t="s">
        <v>12977</v>
      </c>
      <c r="O9529" t="s">
        <v>446</v>
      </c>
      <c r="P9529">
        <v>27529</v>
      </c>
      <c r="Q9529">
        <v>4758</v>
      </c>
      <c r="R9529" t="s">
        <v>23</v>
      </c>
      <c r="S9529" s="1" t="s">
        <v>34218</v>
      </c>
    </row>
    <row r="9530" spans="1:19" x14ac:dyDescent="0.25">
      <c r="A9530">
        <v>101469607</v>
      </c>
      <c r="B9530" t="s">
        <v>21639</v>
      </c>
      <c r="C9530" t="s">
        <v>2357</v>
      </c>
      <c r="G9530" t="s">
        <v>21640</v>
      </c>
      <c r="H9530" t="s">
        <v>21641</v>
      </c>
      <c r="I9530" t="s">
        <v>100</v>
      </c>
      <c r="J9530">
        <v>54245</v>
      </c>
      <c r="L9530" t="s">
        <v>23</v>
      </c>
      <c r="M9530" t="s">
        <v>21640</v>
      </c>
      <c r="N9530" t="s">
        <v>21641</v>
      </c>
      <c r="O9530" t="s">
        <v>100</v>
      </c>
      <c r="P9530">
        <v>54245</v>
      </c>
      <c r="R9530" t="s">
        <v>23</v>
      </c>
      <c r="S9530" s="1" t="s">
        <v>34218</v>
      </c>
    </row>
    <row r="9531" spans="1:19" x14ac:dyDescent="0.25">
      <c r="A9531">
        <v>101451505</v>
      </c>
      <c r="B9531" t="s">
        <v>21642</v>
      </c>
      <c r="C9531" t="s">
        <v>452</v>
      </c>
      <c r="G9531" t="s">
        <v>21643</v>
      </c>
      <c r="H9531" t="s">
        <v>21644</v>
      </c>
      <c r="I9531" t="s">
        <v>52</v>
      </c>
      <c r="J9531">
        <v>33922</v>
      </c>
      <c r="K9531">
        <v>2320</v>
      </c>
      <c r="L9531" t="s">
        <v>23</v>
      </c>
      <c r="M9531" t="s">
        <v>21643</v>
      </c>
      <c r="N9531" t="s">
        <v>21644</v>
      </c>
      <c r="O9531" t="s">
        <v>52</v>
      </c>
      <c r="P9531">
        <v>33922</v>
      </c>
      <c r="Q9531">
        <v>2320</v>
      </c>
      <c r="R9531" t="s">
        <v>23</v>
      </c>
      <c r="S9531" s="1" t="s">
        <v>34218</v>
      </c>
    </row>
    <row r="9532" spans="1:19" x14ac:dyDescent="0.25">
      <c r="A9532">
        <v>101290705</v>
      </c>
      <c r="B9532" t="s">
        <v>21645</v>
      </c>
      <c r="C9532" t="s">
        <v>21646</v>
      </c>
      <c r="G9532" t="s">
        <v>21647</v>
      </c>
      <c r="H9532" t="s">
        <v>2391</v>
      </c>
      <c r="I9532" t="s">
        <v>43</v>
      </c>
      <c r="J9532" t="s">
        <v>21648</v>
      </c>
      <c r="K9532">
        <v>7764</v>
      </c>
      <c r="L9532" t="s">
        <v>23</v>
      </c>
      <c r="M9532" t="s">
        <v>21647</v>
      </c>
      <c r="N9532" t="s">
        <v>2391</v>
      </c>
      <c r="O9532" t="s">
        <v>43</v>
      </c>
      <c r="P9532" t="s">
        <v>21648</v>
      </c>
      <c r="Q9532">
        <v>7764</v>
      </c>
      <c r="R9532" t="s">
        <v>23</v>
      </c>
      <c r="S9532" s="1" t="s">
        <v>34218</v>
      </c>
    </row>
    <row r="9533" spans="1:19" x14ac:dyDescent="0.25">
      <c r="A9533">
        <v>101299892</v>
      </c>
      <c r="B9533" t="s">
        <v>21649</v>
      </c>
      <c r="C9533" t="s">
        <v>123</v>
      </c>
      <c r="G9533" t="s">
        <v>21650</v>
      </c>
      <c r="H9533" t="s">
        <v>21651</v>
      </c>
      <c r="I9533" t="s">
        <v>135</v>
      </c>
      <c r="J9533" t="s">
        <v>21652</v>
      </c>
      <c r="K9533">
        <v>2513</v>
      </c>
      <c r="L9533" t="s">
        <v>23</v>
      </c>
      <c r="M9533" t="s">
        <v>21650</v>
      </c>
      <c r="N9533" t="s">
        <v>21651</v>
      </c>
      <c r="O9533" t="s">
        <v>135</v>
      </c>
      <c r="P9533" t="s">
        <v>21652</v>
      </c>
      <c r="Q9533">
        <v>2513</v>
      </c>
      <c r="R9533" t="s">
        <v>23</v>
      </c>
      <c r="S9533" s="1" t="s">
        <v>34218</v>
      </c>
    </row>
    <row r="9534" spans="1:19" x14ac:dyDescent="0.25">
      <c r="A9534">
        <v>101422067</v>
      </c>
      <c r="B9534" t="s">
        <v>21653</v>
      </c>
      <c r="C9534" t="s">
        <v>49</v>
      </c>
      <c r="G9534" t="s">
        <v>21654</v>
      </c>
      <c r="H9534" t="s">
        <v>125</v>
      </c>
      <c r="I9534" t="s">
        <v>126</v>
      </c>
      <c r="J9534" t="s">
        <v>21655</v>
      </c>
      <c r="K9534">
        <v>3072</v>
      </c>
      <c r="L9534" t="s">
        <v>23</v>
      </c>
      <c r="M9534" t="s">
        <v>21654</v>
      </c>
      <c r="N9534" t="s">
        <v>125</v>
      </c>
      <c r="O9534" t="s">
        <v>126</v>
      </c>
      <c r="P9534" t="s">
        <v>21655</v>
      </c>
      <c r="Q9534">
        <v>3072</v>
      </c>
      <c r="R9534" t="s">
        <v>23</v>
      </c>
      <c r="S9534" s="1" t="s">
        <v>34218</v>
      </c>
    </row>
    <row r="9535" spans="1:19" x14ac:dyDescent="0.25">
      <c r="A9535">
        <v>100639404</v>
      </c>
      <c r="B9535" t="s">
        <v>21656</v>
      </c>
      <c r="C9535" t="s">
        <v>13115</v>
      </c>
      <c r="G9535" t="s">
        <v>21657</v>
      </c>
      <c r="H9535" t="s">
        <v>4326</v>
      </c>
      <c r="I9535" t="s">
        <v>71</v>
      </c>
      <c r="J9535" t="s">
        <v>21658</v>
      </c>
      <c r="K9535">
        <v>1364</v>
      </c>
      <c r="L9535" t="s">
        <v>23</v>
      </c>
      <c r="M9535" t="s">
        <v>21657</v>
      </c>
      <c r="N9535" t="s">
        <v>4326</v>
      </c>
      <c r="O9535" t="s">
        <v>71</v>
      </c>
      <c r="P9535" t="s">
        <v>21658</v>
      </c>
      <c r="Q9535">
        <v>1364</v>
      </c>
      <c r="R9535" t="s">
        <v>23</v>
      </c>
      <c r="S9535" s="1" t="s">
        <v>34218</v>
      </c>
    </row>
    <row r="9536" spans="1:19" x14ac:dyDescent="0.25">
      <c r="A9536">
        <v>101228930</v>
      </c>
      <c r="B9536" t="s">
        <v>21659</v>
      </c>
      <c r="C9536" t="s">
        <v>838</v>
      </c>
      <c r="G9536" t="s">
        <v>21660</v>
      </c>
      <c r="H9536" t="s">
        <v>650</v>
      </c>
      <c r="I9536" t="s">
        <v>22</v>
      </c>
      <c r="J9536">
        <v>95864</v>
      </c>
      <c r="K9536">
        <v>7725</v>
      </c>
      <c r="L9536" t="s">
        <v>23</v>
      </c>
      <c r="M9536" t="s">
        <v>21660</v>
      </c>
      <c r="N9536" t="s">
        <v>650</v>
      </c>
      <c r="O9536" t="s">
        <v>22</v>
      </c>
      <c r="P9536">
        <v>95864</v>
      </c>
      <c r="Q9536">
        <v>7725</v>
      </c>
      <c r="R9536" t="s">
        <v>23</v>
      </c>
      <c r="S9536" s="1" t="s">
        <v>34218</v>
      </c>
    </row>
    <row r="9537" spans="1:19" x14ac:dyDescent="0.25">
      <c r="A9537">
        <v>100703100</v>
      </c>
      <c r="B9537" t="s">
        <v>21661</v>
      </c>
      <c r="C9537" t="s">
        <v>309</v>
      </c>
      <c r="G9537" t="s">
        <v>21662</v>
      </c>
      <c r="H9537" t="s">
        <v>650</v>
      </c>
      <c r="I9537" t="s">
        <v>22</v>
      </c>
      <c r="J9537">
        <v>95816</v>
      </c>
      <c r="K9537">
        <v>7233</v>
      </c>
      <c r="L9537" t="s">
        <v>23</v>
      </c>
      <c r="M9537" t="s">
        <v>21662</v>
      </c>
      <c r="N9537" t="s">
        <v>650</v>
      </c>
      <c r="O9537" t="s">
        <v>22</v>
      </c>
      <c r="P9537">
        <v>95816</v>
      </c>
      <c r="Q9537">
        <v>7233</v>
      </c>
      <c r="R9537" t="s">
        <v>23</v>
      </c>
      <c r="S9537" s="1" t="s">
        <v>34218</v>
      </c>
    </row>
    <row r="9538" spans="1:19" x14ac:dyDescent="0.25">
      <c r="A9538">
        <v>101329954</v>
      </c>
      <c r="B9538" t="s">
        <v>6384</v>
      </c>
      <c r="C9538" t="s">
        <v>1179</v>
      </c>
      <c r="G9538" t="s">
        <v>21663</v>
      </c>
      <c r="H9538" t="s">
        <v>4235</v>
      </c>
      <c r="I9538" t="s">
        <v>984</v>
      </c>
      <c r="J9538">
        <v>96828</v>
      </c>
      <c r="K9538">
        <v>687</v>
      </c>
      <c r="L9538" t="s">
        <v>23</v>
      </c>
      <c r="M9538" t="s">
        <v>21663</v>
      </c>
      <c r="N9538" t="s">
        <v>4235</v>
      </c>
      <c r="O9538" t="s">
        <v>984</v>
      </c>
      <c r="P9538">
        <v>96828</v>
      </c>
      <c r="Q9538">
        <v>687</v>
      </c>
      <c r="R9538" t="s">
        <v>23</v>
      </c>
      <c r="S9538" s="1" t="s">
        <v>34218</v>
      </c>
    </row>
    <row r="9539" spans="1:19" x14ac:dyDescent="0.25">
      <c r="A9539">
        <v>101469058</v>
      </c>
      <c r="B9539" t="s">
        <v>3746</v>
      </c>
      <c r="C9539" t="s">
        <v>18018</v>
      </c>
      <c r="G9539" t="s">
        <v>3748</v>
      </c>
      <c r="H9539" t="s">
        <v>1293</v>
      </c>
      <c r="I9539" t="s">
        <v>22</v>
      </c>
      <c r="J9539">
        <v>95062</v>
      </c>
      <c r="K9539">
        <v>2021</v>
      </c>
      <c r="L9539" t="s">
        <v>23</v>
      </c>
      <c r="M9539" t="s">
        <v>3748</v>
      </c>
      <c r="N9539" t="s">
        <v>1293</v>
      </c>
      <c r="O9539" t="s">
        <v>22</v>
      </c>
      <c r="P9539">
        <v>95062</v>
      </c>
      <c r="Q9539">
        <v>2021</v>
      </c>
      <c r="R9539" t="s">
        <v>23</v>
      </c>
      <c r="S9539" s="1" t="s">
        <v>34218</v>
      </c>
    </row>
    <row r="9540" spans="1:19" x14ac:dyDescent="0.25">
      <c r="A9540">
        <v>101253849</v>
      </c>
      <c r="B9540" t="s">
        <v>21480</v>
      </c>
      <c r="C9540" t="s">
        <v>281</v>
      </c>
      <c r="G9540" t="s">
        <v>21664</v>
      </c>
      <c r="H9540" t="s">
        <v>1857</v>
      </c>
      <c r="I9540" t="s">
        <v>702</v>
      </c>
      <c r="J9540">
        <v>89509</v>
      </c>
      <c r="K9540">
        <v>3735</v>
      </c>
      <c r="L9540" t="s">
        <v>23</v>
      </c>
      <c r="M9540" t="s">
        <v>21664</v>
      </c>
      <c r="N9540" t="s">
        <v>1857</v>
      </c>
      <c r="O9540" t="s">
        <v>702</v>
      </c>
      <c r="P9540">
        <v>89509</v>
      </c>
      <c r="Q9540">
        <v>3735</v>
      </c>
      <c r="R9540" t="s">
        <v>23</v>
      </c>
      <c r="S9540" s="1" t="s">
        <v>34218</v>
      </c>
    </row>
    <row r="9541" spans="1:19" x14ac:dyDescent="0.25">
      <c r="A9541">
        <v>101447198</v>
      </c>
      <c r="B9541" t="s">
        <v>21665</v>
      </c>
      <c r="C9541" t="s">
        <v>7286</v>
      </c>
      <c r="G9541" t="s">
        <v>21666</v>
      </c>
      <c r="H9541" t="s">
        <v>12284</v>
      </c>
      <c r="I9541" t="s">
        <v>52</v>
      </c>
      <c r="J9541">
        <v>32757</v>
      </c>
      <c r="K9541">
        <v>2415</v>
      </c>
      <c r="L9541" t="s">
        <v>23</v>
      </c>
      <c r="M9541" t="s">
        <v>21666</v>
      </c>
      <c r="N9541" t="s">
        <v>12284</v>
      </c>
      <c r="O9541" t="s">
        <v>52</v>
      </c>
      <c r="P9541">
        <v>32757</v>
      </c>
      <c r="Q9541">
        <v>2415</v>
      </c>
      <c r="R9541" t="s">
        <v>23</v>
      </c>
      <c r="S9541" s="1" t="s">
        <v>34218</v>
      </c>
    </row>
    <row r="9542" spans="1:19" x14ac:dyDescent="0.25">
      <c r="A9542">
        <v>101455264</v>
      </c>
      <c r="B9542" t="s">
        <v>21667</v>
      </c>
      <c r="C9542" t="s">
        <v>266</v>
      </c>
      <c r="G9542" t="s">
        <v>21668</v>
      </c>
      <c r="H9542" t="s">
        <v>21</v>
      </c>
      <c r="I9542" t="s">
        <v>22</v>
      </c>
      <c r="J9542">
        <v>95403</v>
      </c>
      <c r="K9542">
        <v>5766</v>
      </c>
      <c r="L9542" t="s">
        <v>23</v>
      </c>
      <c r="M9542" t="s">
        <v>21668</v>
      </c>
      <c r="N9542" t="s">
        <v>21</v>
      </c>
      <c r="O9542" t="s">
        <v>22</v>
      </c>
      <c r="P9542">
        <v>95403</v>
      </c>
      <c r="Q9542">
        <v>5766</v>
      </c>
      <c r="R9542" t="s">
        <v>23</v>
      </c>
      <c r="S9542" s="1" t="s">
        <v>34218</v>
      </c>
    </row>
    <row r="9543" spans="1:19" x14ac:dyDescent="0.25">
      <c r="A9543">
        <v>101455094</v>
      </c>
      <c r="B9543" t="s">
        <v>3386</v>
      </c>
      <c r="C9543" t="s">
        <v>579</v>
      </c>
      <c r="G9543" t="s">
        <v>21669</v>
      </c>
      <c r="H9543" t="s">
        <v>9603</v>
      </c>
      <c r="I9543" t="s">
        <v>161</v>
      </c>
      <c r="J9543">
        <v>6090</v>
      </c>
      <c r="K9543">
        <v>1509</v>
      </c>
      <c r="L9543" t="s">
        <v>23</v>
      </c>
      <c r="M9543" t="s">
        <v>21669</v>
      </c>
      <c r="N9543" t="s">
        <v>9603</v>
      </c>
      <c r="O9543" t="s">
        <v>161</v>
      </c>
      <c r="P9543">
        <v>6090</v>
      </c>
      <c r="Q9543">
        <v>1509</v>
      </c>
      <c r="R9543" t="s">
        <v>23</v>
      </c>
      <c r="S9543" s="1" t="s">
        <v>34218</v>
      </c>
    </row>
    <row r="9544" spans="1:19" x14ac:dyDescent="0.25">
      <c r="A9544">
        <v>100614031</v>
      </c>
      <c r="B9544" t="s">
        <v>4315</v>
      </c>
      <c r="C9544" t="s">
        <v>21670</v>
      </c>
      <c r="G9544" t="s">
        <v>21671</v>
      </c>
      <c r="H9544" t="s">
        <v>21672</v>
      </c>
      <c r="I9544" t="s">
        <v>84</v>
      </c>
      <c r="J9544">
        <v>98392</v>
      </c>
      <c r="K9544">
        <v>9765</v>
      </c>
      <c r="L9544" t="s">
        <v>23</v>
      </c>
      <c r="M9544" t="s">
        <v>21671</v>
      </c>
      <c r="N9544" t="s">
        <v>21672</v>
      </c>
      <c r="O9544" t="s">
        <v>84</v>
      </c>
      <c r="P9544">
        <v>98392</v>
      </c>
      <c r="Q9544">
        <v>9765</v>
      </c>
      <c r="R9544" t="s">
        <v>23</v>
      </c>
      <c r="S9544" s="1" t="s">
        <v>34218</v>
      </c>
    </row>
    <row r="9545" spans="1:19" x14ac:dyDescent="0.25">
      <c r="A9545">
        <v>101331421</v>
      </c>
      <c r="B9545" t="s">
        <v>2032</v>
      </c>
      <c r="C9545" t="s">
        <v>274</v>
      </c>
      <c r="G9545" t="s">
        <v>21673</v>
      </c>
      <c r="H9545" t="s">
        <v>5471</v>
      </c>
      <c r="I9545" t="s">
        <v>255</v>
      </c>
      <c r="J9545">
        <v>23112</v>
      </c>
      <c r="K9545">
        <v>4624</v>
      </c>
      <c r="L9545" t="s">
        <v>23</v>
      </c>
      <c r="M9545" t="s">
        <v>21673</v>
      </c>
      <c r="N9545" t="s">
        <v>5471</v>
      </c>
      <c r="O9545" t="s">
        <v>255</v>
      </c>
      <c r="P9545">
        <v>23112</v>
      </c>
      <c r="Q9545">
        <v>4624</v>
      </c>
      <c r="R9545" t="s">
        <v>23</v>
      </c>
      <c r="S9545" s="1" t="s">
        <v>34218</v>
      </c>
    </row>
    <row r="9546" spans="1:19" x14ac:dyDescent="0.25">
      <c r="A9546">
        <v>101334090</v>
      </c>
      <c r="B9546" t="s">
        <v>4064</v>
      </c>
      <c r="C9546" t="s">
        <v>21674</v>
      </c>
      <c r="F9546" t="str">
        <f>"3154306991"</f>
        <v>3154306991</v>
      </c>
      <c r="G9546" t="s">
        <v>21675</v>
      </c>
      <c r="H9546" t="s">
        <v>2091</v>
      </c>
      <c r="I9546" t="s">
        <v>117</v>
      </c>
      <c r="J9546">
        <v>13212</v>
      </c>
      <c r="K9546">
        <v>3507</v>
      </c>
      <c r="L9546" t="s">
        <v>23</v>
      </c>
      <c r="M9546" t="s">
        <v>21675</v>
      </c>
      <c r="N9546" t="s">
        <v>2091</v>
      </c>
      <c r="O9546" t="s">
        <v>117</v>
      </c>
      <c r="P9546">
        <v>13212</v>
      </c>
      <c r="Q9546">
        <v>3507</v>
      </c>
      <c r="R9546" t="s">
        <v>23</v>
      </c>
      <c r="S9546" s="1" t="s">
        <v>34218</v>
      </c>
    </row>
    <row r="9547" spans="1:19" x14ac:dyDescent="0.25">
      <c r="A9547">
        <v>101328400</v>
      </c>
      <c r="B9547" t="s">
        <v>1049</v>
      </c>
      <c r="C9547" t="s">
        <v>387</v>
      </c>
      <c r="G9547" t="s">
        <v>21676</v>
      </c>
      <c r="H9547" t="s">
        <v>688</v>
      </c>
      <c r="I9547" t="s">
        <v>117</v>
      </c>
      <c r="J9547">
        <v>14620</v>
      </c>
      <c r="K9547">
        <v>3106</v>
      </c>
      <c r="L9547" t="s">
        <v>23</v>
      </c>
      <c r="M9547" t="s">
        <v>21676</v>
      </c>
      <c r="N9547" t="s">
        <v>688</v>
      </c>
      <c r="O9547" t="s">
        <v>117</v>
      </c>
      <c r="P9547">
        <v>14620</v>
      </c>
      <c r="Q9547">
        <v>3106</v>
      </c>
      <c r="R9547" t="s">
        <v>23</v>
      </c>
      <c r="S9547" s="1" t="s">
        <v>34218</v>
      </c>
    </row>
    <row r="9548" spans="1:19" x14ac:dyDescent="0.25">
      <c r="A9548">
        <v>101337477</v>
      </c>
      <c r="B9548" t="s">
        <v>3956</v>
      </c>
      <c r="C9548" t="s">
        <v>21677</v>
      </c>
      <c r="G9548" t="s">
        <v>21678</v>
      </c>
      <c r="H9548" t="s">
        <v>2309</v>
      </c>
      <c r="I9548" t="s">
        <v>446</v>
      </c>
      <c r="J9548">
        <v>28403</v>
      </c>
      <c r="K9548">
        <v>4030</v>
      </c>
      <c r="L9548" t="s">
        <v>23</v>
      </c>
      <c r="M9548" t="s">
        <v>21678</v>
      </c>
      <c r="N9548" t="s">
        <v>2309</v>
      </c>
      <c r="O9548" t="s">
        <v>446</v>
      </c>
      <c r="P9548">
        <v>28403</v>
      </c>
      <c r="Q9548">
        <v>4030</v>
      </c>
      <c r="R9548" t="s">
        <v>23</v>
      </c>
      <c r="S9548" s="1" t="s">
        <v>34218</v>
      </c>
    </row>
    <row r="9549" spans="1:19" x14ac:dyDescent="0.25">
      <c r="A9549">
        <v>101339124</v>
      </c>
      <c r="B9549" t="s">
        <v>21679</v>
      </c>
      <c r="C9549" t="s">
        <v>21680</v>
      </c>
      <c r="G9549" t="s">
        <v>21681</v>
      </c>
      <c r="H9549" t="s">
        <v>481</v>
      </c>
      <c r="I9549" t="s">
        <v>22</v>
      </c>
      <c r="J9549">
        <v>95131</v>
      </c>
      <c r="K9549">
        <v>2830</v>
      </c>
      <c r="L9549" t="s">
        <v>23</v>
      </c>
      <c r="M9549" t="s">
        <v>21681</v>
      </c>
      <c r="N9549" t="s">
        <v>481</v>
      </c>
      <c r="O9549" t="s">
        <v>22</v>
      </c>
      <c r="P9549">
        <v>95131</v>
      </c>
      <c r="Q9549">
        <v>2830</v>
      </c>
      <c r="R9549" t="s">
        <v>23</v>
      </c>
      <c r="S9549" s="1" t="s">
        <v>34218</v>
      </c>
    </row>
    <row r="9550" spans="1:19" x14ac:dyDescent="0.25">
      <c r="A9550">
        <v>101336156</v>
      </c>
      <c r="B9550" t="s">
        <v>2349</v>
      </c>
      <c r="C9550" t="s">
        <v>21682</v>
      </c>
      <c r="G9550" t="s">
        <v>21683</v>
      </c>
      <c r="H9550" t="s">
        <v>21684</v>
      </c>
      <c r="I9550" t="s">
        <v>148</v>
      </c>
      <c r="J9550">
        <v>20860</v>
      </c>
      <c r="K9550">
        <v>1266</v>
      </c>
      <c r="L9550" t="s">
        <v>23</v>
      </c>
      <c r="M9550" t="s">
        <v>21683</v>
      </c>
      <c r="N9550" t="s">
        <v>21684</v>
      </c>
      <c r="O9550" t="s">
        <v>148</v>
      </c>
      <c r="P9550">
        <v>20860</v>
      </c>
      <c r="Q9550">
        <v>1266</v>
      </c>
      <c r="R9550" t="s">
        <v>23</v>
      </c>
      <c r="S9550" s="1" t="s">
        <v>34218</v>
      </c>
    </row>
    <row r="9551" spans="1:19" x14ac:dyDescent="0.25">
      <c r="A9551">
        <v>101480350</v>
      </c>
      <c r="B9551" t="s">
        <v>21685</v>
      </c>
      <c r="C9551" t="s">
        <v>613</v>
      </c>
      <c r="G9551" t="s">
        <v>21686</v>
      </c>
      <c r="H9551" t="s">
        <v>10416</v>
      </c>
      <c r="I9551" t="s">
        <v>84</v>
      </c>
      <c r="J9551">
        <v>98371</v>
      </c>
      <c r="K9551">
        <v>2231</v>
      </c>
      <c r="L9551" t="s">
        <v>23</v>
      </c>
      <c r="M9551" t="s">
        <v>21686</v>
      </c>
      <c r="N9551" t="s">
        <v>10416</v>
      </c>
      <c r="O9551" t="s">
        <v>84</v>
      </c>
      <c r="P9551">
        <v>98371</v>
      </c>
      <c r="Q9551">
        <v>2231</v>
      </c>
      <c r="R9551" t="s">
        <v>23</v>
      </c>
      <c r="S9551" s="1" t="s">
        <v>34218</v>
      </c>
    </row>
    <row r="9552" spans="1:19" x14ac:dyDescent="0.25">
      <c r="A9552">
        <v>101480365</v>
      </c>
      <c r="B9552" t="s">
        <v>21687</v>
      </c>
      <c r="C9552" t="s">
        <v>770</v>
      </c>
      <c r="G9552" t="s">
        <v>21688</v>
      </c>
      <c r="H9552" t="s">
        <v>4326</v>
      </c>
      <c r="I9552" t="s">
        <v>84</v>
      </c>
      <c r="J9552">
        <v>98498</v>
      </c>
      <c r="K9552">
        <v>4653</v>
      </c>
      <c r="L9552" t="s">
        <v>23</v>
      </c>
      <c r="M9552" t="s">
        <v>21688</v>
      </c>
      <c r="N9552" t="s">
        <v>4326</v>
      </c>
      <c r="O9552" t="s">
        <v>84</v>
      </c>
      <c r="P9552">
        <v>98498</v>
      </c>
      <c r="Q9552">
        <v>4653</v>
      </c>
      <c r="R9552" t="s">
        <v>23</v>
      </c>
      <c r="S9552" s="1" t="s">
        <v>34218</v>
      </c>
    </row>
    <row r="9553" spans="1:19" x14ac:dyDescent="0.25">
      <c r="A9553">
        <v>101480422</v>
      </c>
      <c r="B9553" t="s">
        <v>9171</v>
      </c>
      <c r="C9553" t="s">
        <v>4956</v>
      </c>
      <c r="G9553" t="s">
        <v>21689</v>
      </c>
      <c r="H9553" t="s">
        <v>1439</v>
      </c>
      <c r="I9553" t="s">
        <v>365</v>
      </c>
      <c r="J9553">
        <v>85741</v>
      </c>
      <c r="K9553">
        <v>3356</v>
      </c>
      <c r="L9553" t="s">
        <v>23</v>
      </c>
      <c r="M9553" t="s">
        <v>21689</v>
      </c>
      <c r="N9553" t="s">
        <v>1439</v>
      </c>
      <c r="O9553" t="s">
        <v>365</v>
      </c>
      <c r="P9553">
        <v>85741</v>
      </c>
      <c r="Q9553">
        <v>3356</v>
      </c>
      <c r="R9553" t="s">
        <v>23</v>
      </c>
      <c r="S9553" s="1" t="s">
        <v>34218</v>
      </c>
    </row>
    <row r="9554" spans="1:19" x14ac:dyDescent="0.25">
      <c r="A9554">
        <v>101451578</v>
      </c>
      <c r="B9554" t="s">
        <v>21690</v>
      </c>
      <c r="C9554" t="s">
        <v>252</v>
      </c>
      <c r="G9554" t="s">
        <v>12258</v>
      </c>
      <c r="H9554" t="s">
        <v>1877</v>
      </c>
      <c r="I9554" t="s">
        <v>43</v>
      </c>
      <c r="J9554">
        <v>97301</v>
      </c>
      <c r="K9554">
        <v>2547</v>
      </c>
      <c r="L9554" t="s">
        <v>23</v>
      </c>
      <c r="M9554" t="s">
        <v>12258</v>
      </c>
      <c r="N9554" t="s">
        <v>1877</v>
      </c>
      <c r="O9554" t="s">
        <v>43</v>
      </c>
      <c r="P9554">
        <v>97301</v>
      </c>
      <c r="Q9554">
        <v>2547</v>
      </c>
      <c r="R9554" t="s">
        <v>23</v>
      </c>
      <c r="S9554" s="1" t="s">
        <v>34218</v>
      </c>
    </row>
    <row r="9555" spans="1:19" x14ac:dyDescent="0.25">
      <c r="A9555">
        <v>101340133</v>
      </c>
      <c r="B9555" t="s">
        <v>21691</v>
      </c>
      <c r="C9555" t="s">
        <v>10896</v>
      </c>
      <c r="G9555" t="s">
        <v>21692</v>
      </c>
      <c r="H9555" t="s">
        <v>855</v>
      </c>
      <c r="I9555" t="s">
        <v>84</v>
      </c>
      <c r="J9555">
        <v>98368</v>
      </c>
      <c r="K9555">
        <v>9790</v>
      </c>
      <c r="L9555" t="s">
        <v>23</v>
      </c>
      <c r="M9555" t="s">
        <v>21692</v>
      </c>
      <c r="N9555" t="s">
        <v>855</v>
      </c>
      <c r="O9555" t="s">
        <v>84</v>
      </c>
      <c r="P9555">
        <v>98368</v>
      </c>
      <c r="Q9555">
        <v>9790</v>
      </c>
      <c r="R9555" t="s">
        <v>23</v>
      </c>
      <c r="S9555" s="1" t="s">
        <v>34218</v>
      </c>
    </row>
    <row r="9556" spans="1:19" x14ac:dyDescent="0.25">
      <c r="A9556">
        <v>101480469</v>
      </c>
      <c r="B9556" t="s">
        <v>14192</v>
      </c>
      <c r="C9556" t="s">
        <v>4046</v>
      </c>
      <c r="G9556" t="s">
        <v>21693</v>
      </c>
      <c r="H9556" t="s">
        <v>1614</v>
      </c>
      <c r="I9556" t="s">
        <v>22</v>
      </c>
      <c r="J9556">
        <v>92054</v>
      </c>
      <c r="K9556">
        <v>3530</v>
      </c>
      <c r="L9556" t="s">
        <v>23</v>
      </c>
      <c r="M9556" t="s">
        <v>21693</v>
      </c>
      <c r="N9556" t="s">
        <v>1614</v>
      </c>
      <c r="O9556" t="s">
        <v>22</v>
      </c>
      <c r="P9556">
        <v>92054</v>
      </c>
      <c r="Q9556">
        <v>3530</v>
      </c>
      <c r="R9556" t="s">
        <v>23</v>
      </c>
      <c r="S9556" s="1" t="s">
        <v>34218</v>
      </c>
    </row>
    <row r="9557" spans="1:19" x14ac:dyDescent="0.25">
      <c r="A9557">
        <v>101112013</v>
      </c>
      <c r="B9557" t="s">
        <v>21694</v>
      </c>
      <c r="C9557" t="s">
        <v>21695</v>
      </c>
      <c r="G9557" t="s">
        <v>21696</v>
      </c>
      <c r="H9557" t="s">
        <v>18925</v>
      </c>
      <c r="I9557" t="s">
        <v>38</v>
      </c>
      <c r="J9557">
        <v>79830</v>
      </c>
      <c r="L9557" t="s">
        <v>23</v>
      </c>
      <c r="M9557" t="s">
        <v>21696</v>
      </c>
      <c r="N9557" t="s">
        <v>18925</v>
      </c>
      <c r="O9557" t="s">
        <v>38</v>
      </c>
      <c r="P9557">
        <v>79830</v>
      </c>
      <c r="R9557" t="s">
        <v>23</v>
      </c>
      <c r="S9557" s="1" t="s">
        <v>34218</v>
      </c>
    </row>
    <row r="9558" spans="1:19" x14ac:dyDescent="0.25">
      <c r="A9558">
        <v>101480472</v>
      </c>
      <c r="B9558" t="s">
        <v>21697</v>
      </c>
      <c r="C9558" t="s">
        <v>167</v>
      </c>
      <c r="G9558" t="s">
        <v>21698</v>
      </c>
      <c r="H9558" t="s">
        <v>1086</v>
      </c>
      <c r="I9558" t="s">
        <v>140</v>
      </c>
      <c r="J9558">
        <v>48813</v>
      </c>
      <c r="K9558">
        <v>8636</v>
      </c>
      <c r="L9558" t="s">
        <v>23</v>
      </c>
      <c r="M9558" t="s">
        <v>21698</v>
      </c>
      <c r="N9558" t="s">
        <v>1086</v>
      </c>
      <c r="O9558" t="s">
        <v>140</v>
      </c>
      <c r="P9558">
        <v>48813</v>
      </c>
      <c r="Q9558">
        <v>8636</v>
      </c>
      <c r="R9558" t="s">
        <v>23</v>
      </c>
      <c r="S9558" s="1" t="s">
        <v>34218</v>
      </c>
    </row>
    <row r="9559" spans="1:19" x14ac:dyDescent="0.25">
      <c r="A9559">
        <v>101227679</v>
      </c>
      <c r="B9559" t="s">
        <v>1626</v>
      </c>
      <c r="C9559" t="s">
        <v>1157</v>
      </c>
      <c r="F9559" t="str">
        <f>"3362895646"</f>
        <v>3362895646</v>
      </c>
      <c r="G9559" t="s">
        <v>21699</v>
      </c>
      <c r="H9559" t="s">
        <v>12564</v>
      </c>
      <c r="I9559" t="s">
        <v>446</v>
      </c>
      <c r="J9559">
        <v>27407</v>
      </c>
      <c r="L9559" t="s">
        <v>23</v>
      </c>
      <c r="M9559" t="s">
        <v>21699</v>
      </c>
      <c r="N9559" t="s">
        <v>12564</v>
      </c>
      <c r="O9559" t="s">
        <v>446</v>
      </c>
      <c r="P9559">
        <v>27407</v>
      </c>
      <c r="R9559" t="s">
        <v>23</v>
      </c>
      <c r="S9559" s="1" t="s">
        <v>34218</v>
      </c>
    </row>
    <row r="9560" spans="1:19" x14ac:dyDescent="0.25">
      <c r="A9560">
        <v>101286957</v>
      </c>
      <c r="B9560" t="s">
        <v>21700</v>
      </c>
      <c r="C9560" t="s">
        <v>6531</v>
      </c>
      <c r="G9560" t="s">
        <v>21701</v>
      </c>
      <c r="H9560" t="s">
        <v>344</v>
      </c>
      <c r="I9560" t="s">
        <v>28</v>
      </c>
      <c r="J9560">
        <v>30075</v>
      </c>
      <c r="K9560">
        <v>1765</v>
      </c>
      <c r="L9560" t="s">
        <v>23</v>
      </c>
      <c r="M9560" t="s">
        <v>21701</v>
      </c>
      <c r="N9560" t="s">
        <v>344</v>
      </c>
      <c r="O9560" t="s">
        <v>28</v>
      </c>
      <c r="P9560">
        <v>30075</v>
      </c>
      <c r="Q9560">
        <v>1765</v>
      </c>
      <c r="R9560" t="s">
        <v>23</v>
      </c>
      <c r="S9560" s="1" t="s">
        <v>34218</v>
      </c>
    </row>
    <row r="9561" spans="1:19" x14ac:dyDescent="0.25">
      <c r="A9561">
        <v>101220754</v>
      </c>
      <c r="B9561" t="s">
        <v>1007</v>
      </c>
      <c r="C9561" t="s">
        <v>4435</v>
      </c>
      <c r="G9561" t="s">
        <v>21702</v>
      </c>
      <c r="H9561" t="s">
        <v>21703</v>
      </c>
      <c r="I9561" t="s">
        <v>100</v>
      </c>
      <c r="J9561" t="s">
        <v>21704</v>
      </c>
      <c r="K9561">
        <v>4824</v>
      </c>
      <c r="L9561" t="s">
        <v>23</v>
      </c>
      <c r="M9561" t="s">
        <v>21702</v>
      </c>
      <c r="N9561" t="s">
        <v>21703</v>
      </c>
      <c r="O9561" t="s">
        <v>100</v>
      </c>
      <c r="P9561" t="s">
        <v>21704</v>
      </c>
      <c r="Q9561">
        <v>4824</v>
      </c>
      <c r="R9561" t="s">
        <v>23</v>
      </c>
      <c r="S9561" s="1" t="s">
        <v>34218</v>
      </c>
    </row>
    <row r="9562" spans="1:19" x14ac:dyDescent="0.25">
      <c r="A9562">
        <v>101409675</v>
      </c>
      <c r="B9562" t="s">
        <v>21705</v>
      </c>
      <c r="C9562" t="s">
        <v>216</v>
      </c>
      <c r="G9562" t="s">
        <v>21706</v>
      </c>
      <c r="H9562" t="s">
        <v>2139</v>
      </c>
      <c r="I9562" t="s">
        <v>135</v>
      </c>
      <c r="J9562">
        <v>60062</v>
      </c>
      <c r="K9562">
        <v>3541</v>
      </c>
      <c r="L9562" t="s">
        <v>23</v>
      </c>
      <c r="M9562" t="s">
        <v>21706</v>
      </c>
      <c r="N9562" t="s">
        <v>2139</v>
      </c>
      <c r="O9562" t="s">
        <v>135</v>
      </c>
      <c r="P9562">
        <v>60062</v>
      </c>
      <c r="Q9562">
        <v>3541</v>
      </c>
      <c r="R9562" t="s">
        <v>23</v>
      </c>
      <c r="S9562" s="1" t="s">
        <v>34218</v>
      </c>
    </row>
    <row r="9563" spans="1:19" x14ac:dyDescent="0.25">
      <c r="A9563">
        <v>100753219</v>
      </c>
      <c r="B9563" t="s">
        <v>21707</v>
      </c>
      <c r="C9563" t="s">
        <v>1208</v>
      </c>
      <c r="G9563" t="s">
        <v>21708</v>
      </c>
      <c r="H9563" t="s">
        <v>1787</v>
      </c>
      <c r="I9563" t="s">
        <v>702</v>
      </c>
      <c r="J9563">
        <v>89141</v>
      </c>
      <c r="K9563">
        <v>3988</v>
      </c>
      <c r="L9563" t="s">
        <v>23</v>
      </c>
      <c r="M9563" t="s">
        <v>21708</v>
      </c>
      <c r="N9563" t="s">
        <v>1787</v>
      </c>
      <c r="O9563" t="s">
        <v>702</v>
      </c>
      <c r="P9563">
        <v>89141</v>
      </c>
      <c r="Q9563">
        <v>3988</v>
      </c>
      <c r="R9563" t="s">
        <v>23</v>
      </c>
      <c r="S9563" s="1" t="s">
        <v>34218</v>
      </c>
    </row>
    <row r="9564" spans="1:19" x14ac:dyDescent="0.25">
      <c r="A9564">
        <v>101471838</v>
      </c>
      <c r="B9564" t="s">
        <v>21709</v>
      </c>
      <c r="C9564" t="s">
        <v>3843</v>
      </c>
      <c r="G9564" t="s">
        <v>21710</v>
      </c>
      <c r="H9564" t="s">
        <v>13808</v>
      </c>
      <c r="I9564" t="s">
        <v>135</v>
      </c>
      <c r="J9564">
        <v>60053</v>
      </c>
      <c r="K9564">
        <v>2936</v>
      </c>
      <c r="L9564" t="s">
        <v>23</v>
      </c>
      <c r="M9564" t="s">
        <v>21710</v>
      </c>
      <c r="N9564" t="s">
        <v>13808</v>
      </c>
      <c r="O9564" t="s">
        <v>135</v>
      </c>
      <c r="P9564">
        <v>60053</v>
      </c>
      <c r="Q9564">
        <v>2936</v>
      </c>
      <c r="R9564" t="s">
        <v>23</v>
      </c>
      <c r="S9564" s="1" t="s">
        <v>34218</v>
      </c>
    </row>
    <row r="9565" spans="1:19" x14ac:dyDescent="0.25">
      <c r="A9565">
        <v>101471850</v>
      </c>
      <c r="B9565" t="s">
        <v>21711</v>
      </c>
      <c r="C9565" t="s">
        <v>3828</v>
      </c>
      <c r="G9565" t="s">
        <v>9904</v>
      </c>
      <c r="H9565" t="s">
        <v>21712</v>
      </c>
      <c r="I9565" t="s">
        <v>446</v>
      </c>
      <c r="J9565">
        <v>27361</v>
      </c>
      <c r="K9565">
        <v>42</v>
      </c>
      <c r="L9565" t="s">
        <v>23</v>
      </c>
      <c r="M9565" t="s">
        <v>9904</v>
      </c>
      <c r="N9565" t="s">
        <v>21712</v>
      </c>
      <c r="O9565" t="s">
        <v>446</v>
      </c>
      <c r="P9565">
        <v>27361</v>
      </c>
      <c r="Q9565">
        <v>42</v>
      </c>
      <c r="R9565" t="s">
        <v>23</v>
      </c>
      <c r="S9565" s="1" t="s">
        <v>34218</v>
      </c>
    </row>
    <row r="9566" spans="1:19" x14ac:dyDescent="0.25">
      <c r="A9566">
        <v>101420171</v>
      </c>
      <c r="B9566" t="s">
        <v>14684</v>
      </c>
      <c r="C9566" t="s">
        <v>739</v>
      </c>
      <c r="G9566" t="s">
        <v>21713</v>
      </c>
      <c r="H9566" t="s">
        <v>299</v>
      </c>
      <c r="I9566" t="s">
        <v>22</v>
      </c>
      <c r="J9566" t="s">
        <v>21714</v>
      </c>
      <c r="K9566">
        <v>3071</v>
      </c>
      <c r="L9566" t="s">
        <v>23</v>
      </c>
      <c r="M9566" t="s">
        <v>21713</v>
      </c>
      <c r="N9566" t="s">
        <v>299</v>
      </c>
      <c r="O9566" t="s">
        <v>22</v>
      </c>
      <c r="P9566" t="s">
        <v>21714</v>
      </c>
      <c r="Q9566">
        <v>3071</v>
      </c>
      <c r="R9566" t="s">
        <v>23</v>
      </c>
      <c r="S9566" s="1" t="s">
        <v>34218</v>
      </c>
    </row>
    <row r="9567" spans="1:19" x14ac:dyDescent="0.25">
      <c r="A9567">
        <v>101320878</v>
      </c>
      <c r="B9567" t="s">
        <v>21715</v>
      </c>
      <c r="C9567" t="s">
        <v>4140</v>
      </c>
      <c r="G9567" t="s">
        <v>18090</v>
      </c>
      <c r="H9567" t="s">
        <v>21716</v>
      </c>
      <c r="I9567" t="s">
        <v>140</v>
      </c>
      <c r="J9567" t="s">
        <v>21717</v>
      </c>
      <c r="K9567">
        <v>252</v>
      </c>
      <c r="L9567" t="s">
        <v>23</v>
      </c>
      <c r="M9567" t="s">
        <v>18090</v>
      </c>
      <c r="N9567" t="s">
        <v>21716</v>
      </c>
      <c r="O9567" t="s">
        <v>140</v>
      </c>
      <c r="P9567" t="s">
        <v>21717</v>
      </c>
      <c r="Q9567">
        <v>252</v>
      </c>
      <c r="R9567" t="s">
        <v>23</v>
      </c>
      <c r="S9567" s="1" t="s">
        <v>34218</v>
      </c>
    </row>
    <row r="9568" spans="1:19" x14ac:dyDescent="0.25">
      <c r="A9568">
        <v>101422367</v>
      </c>
      <c r="B9568" t="s">
        <v>11551</v>
      </c>
      <c r="C9568" t="s">
        <v>114</v>
      </c>
      <c r="G9568" t="s">
        <v>21718</v>
      </c>
      <c r="H9568" t="s">
        <v>3473</v>
      </c>
      <c r="I9568" t="s">
        <v>161</v>
      </c>
      <c r="J9568" t="s">
        <v>21719</v>
      </c>
      <c r="K9568">
        <v>3805</v>
      </c>
      <c r="L9568" t="s">
        <v>23</v>
      </c>
      <c r="M9568" t="s">
        <v>21718</v>
      </c>
      <c r="N9568" t="s">
        <v>3473</v>
      </c>
      <c r="O9568" t="s">
        <v>161</v>
      </c>
      <c r="P9568" t="s">
        <v>21719</v>
      </c>
      <c r="Q9568">
        <v>3805</v>
      </c>
      <c r="R9568" t="s">
        <v>23</v>
      </c>
      <c r="S9568" s="1" t="s">
        <v>34218</v>
      </c>
    </row>
    <row r="9569" spans="1:19" x14ac:dyDescent="0.25">
      <c r="A9569">
        <v>100898065</v>
      </c>
      <c r="B9569" t="s">
        <v>1500</v>
      </c>
      <c r="C9569" t="s">
        <v>1479</v>
      </c>
      <c r="G9569" t="s">
        <v>21720</v>
      </c>
      <c r="H9569" t="s">
        <v>9968</v>
      </c>
      <c r="I9569" t="s">
        <v>236</v>
      </c>
      <c r="J9569" t="s">
        <v>21721</v>
      </c>
      <c r="K9569">
        <v>241</v>
      </c>
      <c r="L9569" t="s">
        <v>23</v>
      </c>
      <c r="M9569" t="s">
        <v>21720</v>
      </c>
      <c r="N9569" t="s">
        <v>9968</v>
      </c>
      <c r="O9569" t="s">
        <v>236</v>
      </c>
      <c r="P9569" t="s">
        <v>21721</v>
      </c>
      <c r="Q9569">
        <v>241</v>
      </c>
      <c r="R9569" t="s">
        <v>23</v>
      </c>
      <c r="S9569" s="1" t="s">
        <v>34218</v>
      </c>
    </row>
    <row r="9570" spans="1:19" x14ac:dyDescent="0.25">
      <c r="A9570">
        <v>101040985</v>
      </c>
      <c r="B9570" t="s">
        <v>21722</v>
      </c>
      <c r="C9570" t="s">
        <v>225</v>
      </c>
      <c r="G9570" t="s">
        <v>21723</v>
      </c>
      <c r="H9570" t="s">
        <v>3466</v>
      </c>
      <c r="I9570" t="s">
        <v>22</v>
      </c>
      <c r="J9570" t="s">
        <v>21724</v>
      </c>
      <c r="K9570">
        <v>329</v>
      </c>
      <c r="L9570" t="s">
        <v>23</v>
      </c>
      <c r="M9570" t="s">
        <v>21723</v>
      </c>
      <c r="N9570" t="s">
        <v>3466</v>
      </c>
      <c r="O9570" t="s">
        <v>22</v>
      </c>
      <c r="P9570" t="s">
        <v>21724</v>
      </c>
      <c r="Q9570">
        <v>329</v>
      </c>
      <c r="R9570" t="s">
        <v>23</v>
      </c>
      <c r="S9570" s="1" t="s">
        <v>34218</v>
      </c>
    </row>
    <row r="9571" spans="1:19" x14ac:dyDescent="0.25">
      <c r="A9571">
        <v>100804538</v>
      </c>
      <c r="B9571" t="s">
        <v>21725</v>
      </c>
      <c r="C9571" t="s">
        <v>4318</v>
      </c>
      <c r="G9571" t="s">
        <v>21726</v>
      </c>
      <c r="H9571" t="s">
        <v>2375</v>
      </c>
      <c r="I9571" t="s">
        <v>100</v>
      </c>
      <c r="J9571" t="s">
        <v>21727</v>
      </c>
      <c r="K9571">
        <v>1477</v>
      </c>
      <c r="L9571" t="s">
        <v>23</v>
      </c>
      <c r="M9571" t="s">
        <v>21726</v>
      </c>
      <c r="N9571" t="s">
        <v>2375</v>
      </c>
      <c r="O9571" t="s">
        <v>100</v>
      </c>
      <c r="P9571" t="s">
        <v>21727</v>
      </c>
      <c r="Q9571">
        <v>1477</v>
      </c>
      <c r="R9571" t="s">
        <v>23</v>
      </c>
      <c r="S9571" s="1" t="s">
        <v>34218</v>
      </c>
    </row>
    <row r="9572" spans="1:19" x14ac:dyDescent="0.25">
      <c r="A9572">
        <v>101415879</v>
      </c>
      <c r="B9572" t="s">
        <v>21728</v>
      </c>
      <c r="C9572" t="s">
        <v>1323</v>
      </c>
      <c r="G9572" t="s">
        <v>21729</v>
      </c>
      <c r="H9572" t="s">
        <v>1208</v>
      </c>
      <c r="I9572" t="s">
        <v>250</v>
      </c>
      <c r="J9572" t="s">
        <v>21730</v>
      </c>
      <c r="K9572">
        <v>2607</v>
      </c>
      <c r="L9572" t="s">
        <v>23</v>
      </c>
      <c r="M9572" t="s">
        <v>21729</v>
      </c>
      <c r="N9572" t="s">
        <v>1208</v>
      </c>
      <c r="O9572" t="s">
        <v>250</v>
      </c>
      <c r="P9572" t="s">
        <v>21730</v>
      </c>
      <c r="Q9572">
        <v>2607</v>
      </c>
      <c r="R9572" t="s">
        <v>23</v>
      </c>
      <c r="S9572" s="1" t="s">
        <v>34218</v>
      </c>
    </row>
    <row r="9573" spans="1:19" x14ac:dyDescent="0.25">
      <c r="A9573">
        <v>101307624</v>
      </c>
      <c r="B9573" t="s">
        <v>21731</v>
      </c>
      <c r="C9573" t="s">
        <v>5893</v>
      </c>
      <c r="G9573" t="s">
        <v>21732</v>
      </c>
      <c r="H9573" t="s">
        <v>2701</v>
      </c>
      <c r="I9573" t="s">
        <v>914</v>
      </c>
      <c r="J9573" t="s">
        <v>21733</v>
      </c>
      <c r="K9573">
        <v>1795</v>
      </c>
      <c r="L9573" t="s">
        <v>23</v>
      </c>
      <c r="M9573" t="s">
        <v>21732</v>
      </c>
      <c r="N9573" t="s">
        <v>2701</v>
      </c>
      <c r="O9573" t="s">
        <v>914</v>
      </c>
      <c r="P9573" t="s">
        <v>21733</v>
      </c>
      <c r="Q9573">
        <v>1795</v>
      </c>
      <c r="R9573" t="s">
        <v>23</v>
      </c>
      <c r="S9573" s="1" t="s">
        <v>34218</v>
      </c>
    </row>
    <row r="9574" spans="1:19" x14ac:dyDescent="0.25">
      <c r="A9574">
        <v>100588010</v>
      </c>
      <c r="B9574" t="s">
        <v>21734</v>
      </c>
      <c r="C9574" t="s">
        <v>21735</v>
      </c>
      <c r="G9574" t="s">
        <v>21736</v>
      </c>
      <c r="H9574" t="s">
        <v>653</v>
      </c>
      <c r="I9574" t="s">
        <v>117</v>
      </c>
      <c r="J9574" t="s">
        <v>21737</v>
      </c>
      <c r="K9574">
        <v>2066</v>
      </c>
      <c r="L9574" t="s">
        <v>23</v>
      </c>
      <c r="M9574" t="s">
        <v>21736</v>
      </c>
      <c r="N9574" t="s">
        <v>653</v>
      </c>
      <c r="O9574" t="s">
        <v>117</v>
      </c>
      <c r="P9574" t="s">
        <v>21737</v>
      </c>
      <c r="Q9574">
        <v>2066</v>
      </c>
      <c r="R9574" t="s">
        <v>23</v>
      </c>
      <c r="S9574" s="1" t="s">
        <v>34218</v>
      </c>
    </row>
    <row r="9575" spans="1:19" x14ac:dyDescent="0.25">
      <c r="A9575">
        <v>101256785</v>
      </c>
      <c r="B9575" t="s">
        <v>21738</v>
      </c>
      <c r="C9575" t="s">
        <v>5420</v>
      </c>
      <c r="G9575" t="s">
        <v>21739</v>
      </c>
      <c r="H9575" t="s">
        <v>3745</v>
      </c>
      <c r="I9575" t="s">
        <v>38</v>
      </c>
      <c r="J9575" t="s">
        <v>21740</v>
      </c>
      <c r="K9575">
        <v>6837</v>
      </c>
      <c r="L9575" t="s">
        <v>23</v>
      </c>
      <c r="M9575" t="s">
        <v>21739</v>
      </c>
      <c r="N9575" t="s">
        <v>3745</v>
      </c>
      <c r="O9575" t="s">
        <v>38</v>
      </c>
      <c r="P9575" t="s">
        <v>21740</v>
      </c>
      <c r="Q9575">
        <v>6837</v>
      </c>
      <c r="R9575" t="s">
        <v>23</v>
      </c>
      <c r="S9575" s="1" t="s">
        <v>34218</v>
      </c>
    </row>
    <row r="9576" spans="1:19" x14ac:dyDescent="0.25">
      <c r="A9576">
        <v>101357616</v>
      </c>
      <c r="B9576" t="s">
        <v>1800</v>
      </c>
      <c r="C9576" t="s">
        <v>1306</v>
      </c>
      <c r="G9576" t="s">
        <v>21741</v>
      </c>
      <c r="H9576" t="s">
        <v>276</v>
      </c>
      <c r="I9576" t="s">
        <v>62</v>
      </c>
      <c r="J9576" t="s">
        <v>21742</v>
      </c>
      <c r="K9576">
        <v>6604</v>
      </c>
      <c r="L9576" t="s">
        <v>23</v>
      </c>
      <c r="M9576" t="s">
        <v>21741</v>
      </c>
      <c r="N9576" t="s">
        <v>276</v>
      </c>
      <c r="O9576" t="s">
        <v>62</v>
      </c>
      <c r="P9576" t="s">
        <v>21742</v>
      </c>
      <c r="Q9576">
        <v>6604</v>
      </c>
      <c r="R9576" t="s">
        <v>23</v>
      </c>
      <c r="S9576" s="1" t="s">
        <v>34218</v>
      </c>
    </row>
    <row r="9577" spans="1:19" x14ac:dyDescent="0.25">
      <c r="A9577">
        <v>101443867</v>
      </c>
      <c r="B9577" t="s">
        <v>21743</v>
      </c>
      <c r="C9577" t="s">
        <v>2127</v>
      </c>
      <c r="G9577" t="s">
        <v>21744</v>
      </c>
      <c r="H9577" t="s">
        <v>296</v>
      </c>
      <c r="I9577" t="s">
        <v>52</v>
      </c>
      <c r="J9577" t="s">
        <v>21745</v>
      </c>
      <c r="K9577">
        <v>2036</v>
      </c>
      <c r="L9577" t="s">
        <v>23</v>
      </c>
      <c r="M9577" t="s">
        <v>21744</v>
      </c>
      <c r="N9577" t="s">
        <v>296</v>
      </c>
      <c r="O9577" t="s">
        <v>52</v>
      </c>
      <c r="P9577" t="s">
        <v>21745</v>
      </c>
      <c r="Q9577">
        <v>2036</v>
      </c>
      <c r="R9577" t="s">
        <v>23</v>
      </c>
      <c r="S9577" s="1" t="s">
        <v>34218</v>
      </c>
    </row>
    <row r="9578" spans="1:19" x14ac:dyDescent="0.25">
      <c r="A9578">
        <v>101320218</v>
      </c>
      <c r="B9578" t="s">
        <v>1164</v>
      </c>
      <c r="C9578" t="s">
        <v>718</v>
      </c>
      <c r="G9578" t="s">
        <v>21746</v>
      </c>
      <c r="H9578" t="s">
        <v>18282</v>
      </c>
      <c r="I9578" t="s">
        <v>135</v>
      </c>
      <c r="J9578" t="s">
        <v>21747</v>
      </c>
      <c r="K9578">
        <v>3016</v>
      </c>
      <c r="L9578" t="s">
        <v>23</v>
      </c>
      <c r="M9578" t="s">
        <v>21746</v>
      </c>
      <c r="N9578" t="s">
        <v>18282</v>
      </c>
      <c r="O9578" t="s">
        <v>135</v>
      </c>
      <c r="P9578" t="s">
        <v>21747</v>
      </c>
      <c r="Q9578">
        <v>3016</v>
      </c>
      <c r="R9578" t="s">
        <v>23</v>
      </c>
      <c r="S9578" s="1" t="s">
        <v>34218</v>
      </c>
    </row>
    <row r="9579" spans="1:19" x14ac:dyDescent="0.25">
      <c r="A9579">
        <v>100813135</v>
      </c>
      <c r="B9579" t="s">
        <v>21748</v>
      </c>
      <c r="C9579" t="s">
        <v>3993</v>
      </c>
      <c r="G9579" t="s">
        <v>21749</v>
      </c>
      <c r="H9579" t="s">
        <v>913</v>
      </c>
      <c r="I9579" t="s">
        <v>914</v>
      </c>
      <c r="J9579" t="s">
        <v>21750</v>
      </c>
      <c r="K9579">
        <v>2427</v>
      </c>
      <c r="L9579" t="s">
        <v>23</v>
      </c>
      <c r="M9579" t="s">
        <v>21749</v>
      </c>
      <c r="N9579" t="s">
        <v>913</v>
      </c>
      <c r="O9579" t="s">
        <v>914</v>
      </c>
      <c r="P9579" t="s">
        <v>21750</v>
      </c>
      <c r="Q9579">
        <v>2427</v>
      </c>
      <c r="R9579" t="s">
        <v>23</v>
      </c>
      <c r="S9579" s="1" t="s">
        <v>34218</v>
      </c>
    </row>
    <row r="9580" spans="1:19" x14ac:dyDescent="0.25">
      <c r="A9580">
        <v>101292715</v>
      </c>
      <c r="B9580" t="s">
        <v>9451</v>
      </c>
      <c r="C9580" t="s">
        <v>1036</v>
      </c>
      <c r="G9580" t="s">
        <v>21751</v>
      </c>
      <c r="H9580" t="s">
        <v>21752</v>
      </c>
      <c r="I9580" t="s">
        <v>187</v>
      </c>
      <c r="J9580" t="s">
        <v>21753</v>
      </c>
      <c r="K9580">
        <v>1114</v>
      </c>
      <c r="L9580" t="s">
        <v>23</v>
      </c>
      <c r="M9580" t="s">
        <v>21751</v>
      </c>
      <c r="N9580" t="s">
        <v>21752</v>
      </c>
      <c r="O9580" t="s">
        <v>187</v>
      </c>
      <c r="P9580" t="s">
        <v>21753</v>
      </c>
      <c r="Q9580">
        <v>1114</v>
      </c>
      <c r="R9580" t="s">
        <v>23</v>
      </c>
      <c r="S9580" s="1" t="s">
        <v>34218</v>
      </c>
    </row>
    <row r="9581" spans="1:19" x14ac:dyDescent="0.25">
      <c r="A9581">
        <v>101443885</v>
      </c>
      <c r="B9581" t="s">
        <v>21754</v>
      </c>
      <c r="C9581" t="s">
        <v>1506</v>
      </c>
      <c r="G9581" t="s">
        <v>21755</v>
      </c>
      <c r="H9581" t="s">
        <v>21756</v>
      </c>
      <c r="I9581" t="s">
        <v>28</v>
      </c>
      <c r="J9581" t="s">
        <v>21757</v>
      </c>
      <c r="K9581">
        <v>1569</v>
      </c>
      <c r="L9581" t="s">
        <v>23</v>
      </c>
      <c r="M9581" t="s">
        <v>21755</v>
      </c>
      <c r="N9581" t="s">
        <v>21756</v>
      </c>
      <c r="O9581" t="s">
        <v>28</v>
      </c>
      <c r="P9581" t="s">
        <v>21757</v>
      </c>
      <c r="Q9581">
        <v>1569</v>
      </c>
      <c r="R9581" t="s">
        <v>23</v>
      </c>
      <c r="S9581" s="1" t="s">
        <v>34218</v>
      </c>
    </row>
    <row r="9582" spans="1:19" x14ac:dyDescent="0.25">
      <c r="A9582">
        <v>100515821</v>
      </c>
      <c r="B9582" t="s">
        <v>21758</v>
      </c>
      <c r="C9582" t="s">
        <v>7237</v>
      </c>
      <c r="G9582" t="s">
        <v>21759</v>
      </c>
      <c r="H9582" t="s">
        <v>5428</v>
      </c>
      <c r="I9582" t="s">
        <v>446</v>
      </c>
      <c r="J9582" t="s">
        <v>21760</v>
      </c>
      <c r="K9582">
        <v>4341</v>
      </c>
      <c r="L9582" t="s">
        <v>23</v>
      </c>
      <c r="M9582" t="s">
        <v>21759</v>
      </c>
      <c r="N9582" t="s">
        <v>5428</v>
      </c>
      <c r="O9582" t="s">
        <v>446</v>
      </c>
      <c r="P9582" t="s">
        <v>21760</v>
      </c>
      <c r="Q9582">
        <v>4341</v>
      </c>
      <c r="R9582" t="s">
        <v>23</v>
      </c>
      <c r="S9582" s="1" t="s">
        <v>34218</v>
      </c>
    </row>
    <row r="9583" spans="1:19" x14ac:dyDescent="0.25">
      <c r="A9583">
        <v>101318963</v>
      </c>
      <c r="B9583" t="s">
        <v>21761</v>
      </c>
      <c r="C9583" t="s">
        <v>17914</v>
      </c>
      <c r="G9583" t="s">
        <v>21762</v>
      </c>
      <c r="H9583" t="s">
        <v>1048</v>
      </c>
      <c r="I9583" t="s">
        <v>914</v>
      </c>
      <c r="J9583" t="s">
        <v>21763</v>
      </c>
      <c r="K9583">
        <v>4175</v>
      </c>
      <c r="L9583" t="s">
        <v>23</v>
      </c>
      <c r="M9583" t="s">
        <v>21762</v>
      </c>
      <c r="N9583" t="s">
        <v>1048</v>
      </c>
      <c r="O9583" t="s">
        <v>914</v>
      </c>
      <c r="P9583" t="s">
        <v>21763</v>
      </c>
      <c r="Q9583">
        <v>4175</v>
      </c>
      <c r="R9583" t="s">
        <v>23</v>
      </c>
      <c r="S9583" s="1" t="s">
        <v>34218</v>
      </c>
    </row>
    <row r="9584" spans="1:19" x14ac:dyDescent="0.25">
      <c r="A9584">
        <v>101422288</v>
      </c>
      <c r="B9584" t="s">
        <v>4694</v>
      </c>
      <c r="C9584" t="s">
        <v>1581</v>
      </c>
      <c r="G9584" t="s">
        <v>13830</v>
      </c>
      <c r="H9584" t="s">
        <v>13831</v>
      </c>
      <c r="I9584" t="s">
        <v>250</v>
      </c>
      <c r="J9584" t="s">
        <v>21764</v>
      </c>
      <c r="K9584">
        <v>6120</v>
      </c>
      <c r="L9584" t="s">
        <v>23</v>
      </c>
      <c r="M9584" t="s">
        <v>13830</v>
      </c>
      <c r="N9584" t="s">
        <v>13831</v>
      </c>
      <c r="O9584" t="s">
        <v>250</v>
      </c>
      <c r="P9584" t="s">
        <v>21764</v>
      </c>
      <c r="Q9584">
        <v>6120</v>
      </c>
      <c r="R9584" t="s">
        <v>23</v>
      </c>
      <c r="S9584" s="1" t="s">
        <v>34218</v>
      </c>
    </row>
    <row r="9585" spans="1:19" x14ac:dyDescent="0.25">
      <c r="A9585">
        <v>101443987</v>
      </c>
      <c r="B9585" t="s">
        <v>20244</v>
      </c>
      <c r="C9585" t="s">
        <v>266</v>
      </c>
      <c r="G9585" t="s">
        <v>21765</v>
      </c>
      <c r="H9585" t="s">
        <v>2215</v>
      </c>
      <c r="I9585" t="s">
        <v>84</v>
      </c>
      <c r="J9585" t="s">
        <v>21766</v>
      </c>
      <c r="K9585">
        <v>8350</v>
      </c>
      <c r="L9585" t="s">
        <v>23</v>
      </c>
      <c r="M9585" t="s">
        <v>21765</v>
      </c>
      <c r="N9585" t="s">
        <v>2215</v>
      </c>
      <c r="O9585" t="s">
        <v>84</v>
      </c>
      <c r="P9585" t="s">
        <v>21766</v>
      </c>
      <c r="Q9585">
        <v>8350</v>
      </c>
      <c r="R9585" t="s">
        <v>23</v>
      </c>
      <c r="S9585" s="1" t="s">
        <v>34218</v>
      </c>
    </row>
    <row r="9586" spans="1:19" x14ac:dyDescent="0.25">
      <c r="A9586">
        <v>101393498</v>
      </c>
      <c r="B9586" t="s">
        <v>7290</v>
      </c>
      <c r="C9586" t="s">
        <v>410</v>
      </c>
      <c r="G9586" t="s">
        <v>21767</v>
      </c>
      <c r="H9586" t="s">
        <v>19494</v>
      </c>
      <c r="I9586" t="s">
        <v>57</v>
      </c>
      <c r="J9586" t="s">
        <v>21768</v>
      </c>
      <c r="K9586">
        <v>1145</v>
      </c>
      <c r="L9586" t="s">
        <v>23</v>
      </c>
      <c r="M9586" t="s">
        <v>21767</v>
      </c>
      <c r="N9586" t="s">
        <v>19494</v>
      </c>
      <c r="O9586" t="s">
        <v>57</v>
      </c>
      <c r="P9586" t="s">
        <v>21768</v>
      </c>
      <c r="Q9586">
        <v>1145</v>
      </c>
      <c r="R9586" t="s">
        <v>23</v>
      </c>
      <c r="S9586" s="1" t="s">
        <v>34218</v>
      </c>
    </row>
    <row r="9587" spans="1:19" x14ac:dyDescent="0.25">
      <c r="A9587">
        <v>100515438</v>
      </c>
      <c r="B9587" t="s">
        <v>21769</v>
      </c>
      <c r="C9587" t="s">
        <v>19</v>
      </c>
      <c r="G9587" t="s">
        <v>21770</v>
      </c>
      <c r="H9587" t="s">
        <v>5732</v>
      </c>
      <c r="I9587" t="s">
        <v>148</v>
      </c>
      <c r="J9587" t="s">
        <v>21771</v>
      </c>
      <c r="K9587">
        <v>1781</v>
      </c>
      <c r="L9587" t="s">
        <v>23</v>
      </c>
      <c r="M9587" t="s">
        <v>21770</v>
      </c>
      <c r="N9587" t="s">
        <v>5732</v>
      </c>
      <c r="O9587" t="s">
        <v>148</v>
      </c>
      <c r="P9587" t="s">
        <v>21771</v>
      </c>
      <c r="Q9587">
        <v>1781</v>
      </c>
      <c r="R9587" t="s">
        <v>23</v>
      </c>
      <c r="S9587" s="1" t="s">
        <v>34218</v>
      </c>
    </row>
    <row r="9588" spans="1:19" x14ac:dyDescent="0.25">
      <c r="A9588">
        <v>101444340</v>
      </c>
      <c r="B9588" t="s">
        <v>7316</v>
      </c>
      <c r="C9588" t="s">
        <v>274</v>
      </c>
      <c r="G9588" t="s">
        <v>7317</v>
      </c>
      <c r="H9588" t="s">
        <v>1439</v>
      </c>
      <c r="I9588" t="s">
        <v>365</v>
      </c>
      <c r="J9588" t="s">
        <v>21772</v>
      </c>
      <c r="K9588">
        <v>1792</v>
      </c>
      <c r="L9588" t="s">
        <v>23</v>
      </c>
      <c r="M9588" t="s">
        <v>7317</v>
      </c>
      <c r="N9588" t="s">
        <v>1439</v>
      </c>
      <c r="O9588" t="s">
        <v>365</v>
      </c>
      <c r="P9588" t="s">
        <v>21772</v>
      </c>
      <c r="Q9588">
        <v>1792</v>
      </c>
      <c r="R9588" t="s">
        <v>23</v>
      </c>
      <c r="S9588" s="1" t="s">
        <v>34218</v>
      </c>
    </row>
    <row r="9589" spans="1:19" x14ac:dyDescent="0.25">
      <c r="A9589">
        <v>100515771</v>
      </c>
      <c r="B9589" t="s">
        <v>20391</v>
      </c>
      <c r="C9589" t="s">
        <v>21773</v>
      </c>
      <c r="G9589" t="s">
        <v>20393</v>
      </c>
      <c r="H9589" t="s">
        <v>2091</v>
      </c>
      <c r="I9589" t="s">
        <v>117</v>
      </c>
      <c r="J9589" t="s">
        <v>21774</v>
      </c>
      <c r="K9589">
        <v>1537</v>
      </c>
      <c r="L9589" t="s">
        <v>23</v>
      </c>
      <c r="M9589" t="s">
        <v>20393</v>
      </c>
      <c r="N9589" t="s">
        <v>2091</v>
      </c>
      <c r="O9589" t="s">
        <v>117</v>
      </c>
      <c r="P9589" t="s">
        <v>21774</v>
      </c>
      <c r="Q9589">
        <v>1537</v>
      </c>
      <c r="R9589" t="s">
        <v>23</v>
      </c>
      <c r="S9589" s="1" t="s">
        <v>34218</v>
      </c>
    </row>
    <row r="9590" spans="1:19" x14ac:dyDescent="0.25">
      <c r="A9590">
        <v>101422126</v>
      </c>
      <c r="B9590" t="s">
        <v>12257</v>
      </c>
      <c r="C9590" t="s">
        <v>1859</v>
      </c>
      <c r="G9590" t="s">
        <v>11948</v>
      </c>
      <c r="H9590" t="s">
        <v>21775</v>
      </c>
      <c r="I9590" t="s">
        <v>307</v>
      </c>
      <c r="J9590" t="s">
        <v>21776</v>
      </c>
      <c r="K9590">
        <v>63</v>
      </c>
      <c r="L9590" t="s">
        <v>23</v>
      </c>
      <c r="M9590" t="s">
        <v>11948</v>
      </c>
      <c r="N9590" t="s">
        <v>21775</v>
      </c>
      <c r="O9590" t="s">
        <v>307</v>
      </c>
      <c r="P9590" t="s">
        <v>21776</v>
      </c>
      <c r="Q9590">
        <v>63</v>
      </c>
      <c r="R9590" t="s">
        <v>23</v>
      </c>
      <c r="S9590" s="1" t="s">
        <v>34218</v>
      </c>
    </row>
    <row r="9591" spans="1:19" x14ac:dyDescent="0.25">
      <c r="A9591">
        <v>101444385</v>
      </c>
      <c r="B9591" t="s">
        <v>21777</v>
      </c>
      <c r="C9591" t="s">
        <v>11308</v>
      </c>
      <c r="G9591" t="s">
        <v>21778</v>
      </c>
      <c r="H9591" t="s">
        <v>653</v>
      </c>
      <c r="I9591" t="s">
        <v>117</v>
      </c>
      <c r="J9591" t="s">
        <v>21779</v>
      </c>
      <c r="K9591">
        <v>5008</v>
      </c>
      <c r="L9591" t="s">
        <v>23</v>
      </c>
      <c r="M9591" t="s">
        <v>21778</v>
      </c>
      <c r="N9591" t="s">
        <v>653</v>
      </c>
      <c r="O9591" t="s">
        <v>117</v>
      </c>
      <c r="P9591" t="s">
        <v>21779</v>
      </c>
      <c r="Q9591">
        <v>5008</v>
      </c>
      <c r="R9591" t="s">
        <v>23</v>
      </c>
      <c r="S9591" s="1" t="s">
        <v>34218</v>
      </c>
    </row>
    <row r="9592" spans="1:19" x14ac:dyDescent="0.25">
      <c r="A9592">
        <v>101239614</v>
      </c>
      <c r="B9592" t="s">
        <v>21780</v>
      </c>
      <c r="C9592" t="s">
        <v>40</v>
      </c>
      <c r="G9592" t="s">
        <v>21781</v>
      </c>
      <c r="H9592" t="s">
        <v>21782</v>
      </c>
      <c r="I9592" t="s">
        <v>255</v>
      </c>
      <c r="J9592" t="s">
        <v>21783</v>
      </c>
      <c r="K9592">
        <v>9360</v>
      </c>
      <c r="L9592" t="s">
        <v>23</v>
      </c>
      <c r="M9592" t="s">
        <v>21781</v>
      </c>
      <c r="N9592" t="s">
        <v>21782</v>
      </c>
      <c r="O9592" t="s">
        <v>255</v>
      </c>
      <c r="P9592" t="s">
        <v>21783</v>
      </c>
      <c r="Q9592">
        <v>9360</v>
      </c>
      <c r="R9592" t="s">
        <v>23</v>
      </c>
      <c r="S9592" s="1" t="s">
        <v>34218</v>
      </c>
    </row>
    <row r="9593" spans="1:19" x14ac:dyDescent="0.25">
      <c r="A9593">
        <v>100960181</v>
      </c>
      <c r="B9593" t="s">
        <v>21784</v>
      </c>
      <c r="C9593" t="s">
        <v>5091</v>
      </c>
      <c r="G9593" t="s">
        <v>21785</v>
      </c>
      <c r="H9593" t="s">
        <v>1439</v>
      </c>
      <c r="I9593" t="s">
        <v>365</v>
      </c>
      <c r="J9593" t="s">
        <v>21786</v>
      </c>
      <c r="K9593">
        <v>2630</v>
      </c>
      <c r="L9593" t="s">
        <v>23</v>
      </c>
      <c r="M9593" t="s">
        <v>21785</v>
      </c>
      <c r="N9593" t="s">
        <v>1439</v>
      </c>
      <c r="O9593" t="s">
        <v>365</v>
      </c>
      <c r="P9593" t="s">
        <v>21786</v>
      </c>
      <c r="Q9593">
        <v>2630</v>
      </c>
      <c r="R9593" t="s">
        <v>23</v>
      </c>
      <c r="S9593" s="1" t="s">
        <v>34218</v>
      </c>
    </row>
    <row r="9594" spans="1:19" x14ac:dyDescent="0.25">
      <c r="A9594">
        <v>100979759</v>
      </c>
      <c r="B9594" t="s">
        <v>21787</v>
      </c>
      <c r="C9594" t="s">
        <v>13689</v>
      </c>
      <c r="G9594" t="s">
        <v>21788</v>
      </c>
      <c r="H9594" t="s">
        <v>3404</v>
      </c>
      <c r="I9594" t="s">
        <v>135</v>
      </c>
      <c r="J9594">
        <v>60056</v>
      </c>
      <c r="K9594">
        <v>1545</v>
      </c>
      <c r="L9594" t="s">
        <v>23</v>
      </c>
      <c r="M9594" t="s">
        <v>21788</v>
      </c>
      <c r="N9594" t="s">
        <v>3404</v>
      </c>
      <c r="O9594" t="s">
        <v>135</v>
      </c>
      <c r="P9594">
        <v>60056</v>
      </c>
      <c r="Q9594">
        <v>1545</v>
      </c>
      <c r="R9594" t="s">
        <v>23</v>
      </c>
      <c r="S9594" s="1" t="s">
        <v>34218</v>
      </c>
    </row>
    <row r="9595" spans="1:19" x14ac:dyDescent="0.25">
      <c r="A9595">
        <v>100984396</v>
      </c>
      <c r="B9595" t="s">
        <v>3650</v>
      </c>
      <c r="C9595" t="s">
        <v>102</v>
      </c>
      <c r="G9595" t="s">
        <v>21789</v>
      </c>
      <c r="H9595" t="s">
        <v>21790</v>
      </c>
      <c r="I9595" t="s">
        <v>140</v>
      </c>
      <c r="J9595">
        <v>49802</v>
      </c>
      <c r="K9595">
        <v>4320</v>
      </c>
      <c r="L9595" t="s">
        <v>23</v>
      </c>
      <c r="M9595" t="s">
        <v>21789</v>
      </c>
      <c r="N9595" t="s">
        <v>21790</v>
      </c>
      <c r="O9595" t="s">
        <v>140</v>
      </c>
      <c r="P9595">
        <v>49802</v>
      </c>
      <c r="Q9595">
        <v>4320</v>
      </c>
      <c r="R9595" t="s">
        <v>23</v>
      </c>
      <c r="S9595" s="1" t="s">
        <v>34218</v>
      </c>
    </row>
    <row r="9596" spans="1:19" x14ac:dyDescent="0.25">
      <c r="A9596">
        <v>100987536</v>
      </c>
      <c r="B9596" t="s">
        <v>21791</v>
      </c>
      <c r="C9596" t="s">
        <v>40</v>
      </c>
      <c r="G9596" t="s">
        <v>21792</v>
      </c>
      <c r="H9596" t="s">
        <v>2205</v>
      </c>
      <c r="I9596" t="s">
        <v>236</v>
      </c>
      <c r="J9596">
        <v>2631</v>
      </c>
      <c r="K9596">
        <v>2201</v>
      </c>
      <c r="L9596" t="s">
        <v>23</v>
      </c>
      <c r="M9596" t="s">
        <v>21792</v>
      </c>
      <c r="N9596" t="s">
        <v>2205</v>
      </c>
      <c r="O9596" t="s">
        <v>236</v>
      </c>
      <c r="P9596">
        <v>2631</v>
      </c>
      <c r="Q9596">
        <v>2201</v>
      </c>
      <c r="R9596" t="s">
        <v>23</v>
      </c>
      <c r="S9596" s="1" t="s">
        <v>34218</v>
      </c>
    </row>
    <row r="9597" spans="1:19" x14ac:dyDescent="0.25">
      <c r="A9597">
        <v>100992316</v>
      </c>
      <c r="B9597" t="s">
        <v>8051</v>
      </c>
      <c r="C9597" t="s">
        <v>217</v>
      </c>
      <c r="F9597" t="str">
        <f>"7166755545"</f>
        <v>7166755545</v>
      </c>
      <c r="G9597" t="s">
        <v>21793</v>
      </c>
      <c r="H9597" t="s">
        <v>21794</v>
      </c>
      <c r="I9597" t="s">
        <v>117</v>
      </c>
      <c r="J9597">
        <v>14224</v>
      </c>
      <c r="K9597">
        <v>3139</v>
      </c>
      <c r="L9597" t="s">
        <v>23</v>
      </c>
      <c r="M9597" t="s">
        <v>21793</v>
      </c>
      <c r="N9597" t="s">
        <v>21794</v>
      </c>
      <c r="O9597" t="s">
        <v>117</v>
      </c>
      <c r="P9597">
        <v>14224</v>
      </c>
      <c r="Q9597">
        <v>3139</v>
      </c>
      <c r="R9597" t="s">
        <v>23</v>
      </c>
      <c r="S9597" s="1" t="s">
        <v>34218</v>
      </c>
    </row>
    <row r="9598" spans="1:19" x14ac:dyDescent="0.25">
      <c r="A9598">
        <v>101175561</v>
      </c>
      <c r="B9598" t="s">
        <v>21795</v>
      </c>
      <c r="C9598" t="s">
        <v>286</v>
      </c>
      <c r="G9598" t="s">
        <v>21796</v>
      </c>
      <c r="H9598" t="s">
        <v>227</v>
      </c>
      <c r="I9598" t="s">
        <v>43</v>
      </c>
      <c r="J9598">
        <v>97203</v>
      </c>
      <c r="K9598">
        <v>2457</v>
      </c>
      <c r="L9598" t="s">
        <v>23</v>
      </c>
      <c r="M9598" t="s">
        <v>21796</v>
      </c>
      <c r="N9598" t="s">
        <v>227</v>
      </c>
      <c r="O9598" t="s">
        <v>43</v>
      </c>
      <c r="P9598">
        <v>97203</v>
      </c>
      <c r="Q9598">
        <v>2457</v>
      </c>
      <c r="R9598" t="s">
        <v>23</v>
      </c>
      <c r="S9598" s="1" t="s">
        <v>34218</v>
      </c>
    </row>
    <row r="9599" spans="1:19" x14ac:dyDescent="0.25">
      <c r="A9599">
        <v>101176957</v>
      </c>
      <c r="B9599" t="s">
        <v>225</v>
      </c>
      <c r="C9599" t="s">
        <v>1223</v>
      </c>
      <c r="G9599" t="s">
        <v>21797</v>
      </c>
      <c r="H9599" t="s">
        <v>37</v>
      </c>
      <c r="I9599" t="s">
        <v>38</v>
      </c>
      <c r="J9599">
        <v>78737</v>
      </c>
      <c r="K9599">
        <v>2829</v>
      </c>
      <c r="L9599" t="s">
        <v>23</v>
      </c>
      <c r="M9599" t="s">
        <v>21797</v>
      </c>
      <c r="N9599" t="s">
        <v>37</v>
      </c>
      <c r="O9599" t="s">
        <v>38</v>
      </c>
      <c r="P9599">
        <v>78737</v>
      </c>
      <c r="Q9599">
        <v>2829</v>
      </c>
      <c r="R9599" t="s">
        <v>23</v>
      </c>
      <c r="S9599" s="1" t="s">
        <v>34218</v>
      </c>
    </row>
    <row r="9600" spans="1:19" x14ac:dyDescent="0.25">
      <c r="A9600">
        <v>101175914</v>
      </c>
      <c r="B9600" t="s">
        <v>1463</v>
      </c>
      <c r="C9600" t="s">
        <v>2512</v>
      </c>
      <c r="G9600" t="s">
        <v>21798</v>
      </c>
      <c r="H9600" t="s">
        <v>11668</v>
      </c>
      <c r="I9600" t="s">
        <v>33</v>
      </c>
      <c r="J9600">
        <v>19038</v>
      </c>
      <c r="K9600">
        <v>2007</v>
      </c>
      <c r="L9600" t="s">
        <v>23</v>
      </c>
      <c r="M9600" t="s">
        <v>21798</v>
      </c>
      <c r="N9600" t="s">
        <v>11668</v>
      </c>
      <c r="O9600" t="s">
        <v>33</v>
      </c>
      <c r="P9600">
        <v>19038</v>
      </c>
      <c r="Q9600">
        <v>2007</v>
      </c>
      <c r="R9600" t="s">
        <v>23</v>
      </c>
      <c r="S9600" s="1" t="s">
        <v>34218</v>
      </c>
    </row>
    <row r="9601" spans="1:19" x14ac:dyDescent="0.25">
      <c r="A9601">
        <v>101175046</v>
      </c>
      <c r="B9601" t="s">
        <v>169</v>
      </c>
      <c r="C9601" t="s">
        <v>114</v>
      </c>
      <c r="G9601" t="s">
        <v>21799</v>
      </c>
      <c r="H9601" t="s">
        <v>653</v>
      </c>
      <c r="I9601" t="s">
        <v>117</v>
      </c>
      <c r="J9601">
        <v>10019</v>
      </c>
      <c r="K9601">
        <v>1140</v>
      </c>
      <c r="L9601" t="s">
        <v>23</v>
      </c>
      <c r="M9601" t="s">
        <v>21799</v>
      </c>
      <c r="N9601" t="s">
        <v>653</v>
      </c>
      <c r="O9601" t="s">
        <v>117</v>
      </c>
      <c r="P9601">
        <v>10019</v>
      </c>
      <c r="Q9601">
        <v>1140</v>
      </c>
      <c r="R9601" t="s">
        <v>23</v>
      </c>
      <c r="S9601" s="1" t="s">
        <v>34218</v>
      </c>
    </row>
    <row r="9602" spans="1:19" x14ac:dyDescent="0.25">
      <c r="A9602">
        <v>101182517</v>
      </c>
      <c r="B9602" t="s">
        <v>21800</v>
      </c>
      <c r="C9602" t="s">
        <v>21801</v>
      </c>
      <c r="G9602" t="s">
        <v>21802</v>
      </c>
      <c r="H9602" t="s">
        <v>152</v>
      </c>
      <c r="I9602" t="s">
        <v>153</v>
      </c>
      <c r="J9602">
        <v>70004</v>
      </c>
      <c r="K9602">
        <v>191</v>
      </c>
      <c r="L9602" t="s">
        <v>23</v>
      </c>
      <c r="M9602" t="s">
        <v>21802</v>
      </c>
      <c r="N9602" t="s">
        <v>152</v>
      </c>
      <c r="O9602" t="s">
        <v>153</v>
      </c>
      <c r="P9602">
        <v>70004</v>
      </c>
      <c r="Q9602">
        <v>191</v>
      </c>
      <c r="R9602" t="s">
        <v>23</v>
      </c>
      <c r="S9602" s="1" t="s">
        <v>34218</v>
      </c>
    </row>
    <row r="9603" spans="1:19" x14ac:dyDescent="0.25">
      <c r="A9603">
        <v>101182909</v>
      </c>
      <c r="B9603" t="s">
        <v>21803</v>
      </c>
      <c r="C9603" t="s">
        <v>571</v>
      </c>
      <c r="G9603" t="s">
        <v>21804</v>
      </c>
      <c r="H9603" t="s">
        <v>17428</v>
      </c>
      <c r="I9603" t="s">
        <v>117</v>
      </c>
      <c r="J9603">
        <v>10549</v>
      </c>
      <c r="K9603">
        <v>2908</v>
      </c>
      <c r="L9603" t="s">
        <v>23</v>
      </c>
      <c r="M9603" t="s">
        <v>21804</v>
      </c>
      <c r="N9603" t="s">
        <v>17428</v>
      </c>
      <c r="O9603" t="s">
        <v>117</v>
      </c>
      <c r="P9603">
        <v>10549</v>
      </c>
      <c r="Q9603">
        <v>2908</v>
      </c>
      <c r="R9603" t="s">
        <v>23</v>
      </c>
      <c r="S9603" s="1" t="s">
        <v>34218</v>
      </c>
    </row>
    <row r="9604" spans="1:19" x14ac:dyDescent="0.25">
      <c r="A9604">
        <v>101185443</v>
      </c>
      <c r="B9604" t="s">
        <v>668</v>
      </c>
      <c r="C9604" t="s">
        <v>4012</v>
      </c>
      <c r="G9604" t="s">
        <v>21805</v>
      </c>
      <c r="H9604" t="s">
        <v>11180</v>
      </c>
      <c r="I9604" t="s">
        <v>117</v>
      </c>
      <c r="J9604">
        <v>14127</v>
      </c>
      <c r="K9604">
        <v>1908</v>
      </c>
      <c r="L9604" t="s">
        <v>23</v>
      </c>
      <c r="M9604" t="s">
        <v>21805</v>
      </c>
      <c r="N9604" t="s">
        <v>11180</v>
      </c>
      <c r="O9604" t="s">
        <v>117</v>
      </c>
      <c r="P9604">
        <v>14127</v>
      </c>
      <c r="Q9604">
        <v>1908</v>
      </c>
      <c r="R9604" t="s">
        <v>23</v>
      </c>
      <c r="S9604" s="1" t="s">
        <v>34218</v>
      </c>
    </row>
    <row r="9605" spans="1:19" x14ac:dyDescent="0.25">
      <c r="A9605">
        <v>101187097</v>
      </c>
      <c r="B9605" t="s">
        <v>1792</v>
      </c>
      <c r="C9605" t="s">
        <v>627</v>
      </c>
      <c r="G9605" t="s">
        <v>21806</v>
      </c>
      <c r="H9605" t="s">
        <v>227</v>
      </c>
      <c r="I9605" t="s">
        <v>43</v>
      </c>
      <c r="J9605">
        <v>97221</v>
      </c>
      <c r="K9605">
        <v>2200</v>
      </c>
      <c r="L9605" t="s">
        <v>23</v>
      </c>
      <c r="M9605" t="s">
        <v>21806</v>
      </c>
      <c r="N9605" t="s">
        <v>227</v>
      </c>
      <c r="O9605" t="s">
        <v>43</v>
      </c>
      <c r="P9605">
        <v>97221</v>
      </c>
      <c r="Q9605">
        <v>2200</v>
      </c>
      <c r="R9605" t="s">
        <v>23</v>
      </c>
      <c r="S9605" s="1" t="s">
        <v>34218</v>
      </c>
    </row>
    <row r="9606" spans="1:19" x14ac:dyDescent="0.25">
      <c r="A9606">
        <v>101192639</v>
      </c>
      <c r="B9606" t="s">
        <v>21807</v>
      </c>
      <c r="C9606" t="s">
        <v>21808</v>
      </c>
      <c r="G9606" t="s">
        <v>21809</v>
      </c>
      <c r="H9606" t="s">
        <v>1431</v>
      </c>
      <c r="I9606" t="s">
        <v>639</v>
      </c>
      <c r="J9606">
        <v>87508</v>
      </c>
      <c r="K9606">
        <v>5923</v>
      </c>
      <c r="L9606" t="s">
        <v>23</v>
      </c>
      <c r="M9606" t="s">
        <v>21809</v>
      </c>
      <c r="N9606" t="s">
        <v>1431</v>
      </c>
      <c r="O9606" t="s">
        <v>639</v>
      </c>
      <c r="P9606">
        <v>87508</v>
      </c>
      <c r="Q9606">
        <v>5923</v>
      </c>
      <c r="R9606" t="s">
        <v>23</v>
      </c>
      <c r="S9606" s="1" t="s">
        <v>34218</v>
      </c>
    </row>
    <row r="9607" spans="1:19" x14ac:dyDescent="0.25">
      <c r="A9607">
        <v>101192758</v>
      </c>
      <c r="B9607" t="s">
        <v>21810</v>
      </c>
      <c r="C9607" t="s">
        <v>5599</v>
      </c>
      <c r="G9607" t="s">
        <v>21811</v>
      </c>
      <c r="H9607" t="s">
        <v>6848</v>
      </c>
      <c r="I9607" t="s">
        <v>22</v>
      </c>
      <c r="J9607">
        <v>94585</v>
      </c>
      <c r="K9607">
        <v>2457</v>
      </c>
      <c r="L9607" t="s">
        <v>23</v>
      </c>
      <c r="M9607" t="s">
        <v>21811</v>
      </c>
      <c r="N9607" t="s">
        <v>6848</v>
      </c>
      <c r="O9607" t="s">
        <v>22</v>
      </c>
      <c r="P9607">
        <v>94585</v>
      </c>
      <c r="Q9607">
        <v>2457</v>
      </c>
      <c r="R9607" t="s">
        <v>23</v>
      </c>
      <c r="S9607" s="1" t="s">
        <v>34218</v>
      </c>
    </row>
    <row r="9608" spans="1:19" x14ac:dyDescent="0.25">
      <c r="A9608">
        <v>101193950</v>
      </c>
      <c r="B9608" t="s">
        <v>21812</v>
      </c>
      <c r="C9608" t="s">
        <v>3482</v>
      </c>
      <c r="F9608" t="str">
        <f>"4176447592"</f>
        <v>4176447592</v>
      </c>
      <c r="G9608" t="s">
        <v>21813</v>
      </c>
      <c r="H9608" t="s">
        <v>21814</v>
      </c>
      <c r="I9608" t="s">
        <v>126</v>
      </c>
      <c r="J9608">
        <v>64763</v>
      </c>
      <c r="K9608">
        <v>213</v>
      </c>
      <c r="L9608" t="s">
        <v>23</v>
      </c>
      <c r="M9608" t="s">
        <v>21813</v>
      </c>
      <c r="N9608" t="s">
        <v>21814</v>
      </c>
      <c r="O9608" t="s">
        <v>126</v>
      </c>
      <c r="P9608">
        <v>64763</v>
      </c>
      <c r="Q9608">
        <v>213</v>
      </c>
      <c r="R9608" t="s">
        <v>23</v>
      </c>
      <c r="S9608" s="1" t="s">
        <v>34218</v>
      </c>
    </row>
    <row r="9609" spans="1:19" x14ac:dyDescent="0.25">
      <c r="A9609">
        <v>101192040</v>
      </c>
      <c r="B9609" t="s">
        <v>21815</v>
      </c>
      <c r="C9609" t="s">
        <v>2127</v>
      </c>
      <c r="G9609" t="s">
        <v>21816</v>
      </c>
      <c r="H9609" t="s">
        <v>9008</v>
      </c>
      <c r="I9609" t="s">
        <v>52</v>
      </c>
      <c r="J9609">
        <v>34606</v>
      </c>
      <c r="K9609">
        <v>3924</v>
      </c>
      <c r="L9609" t="s">
        <v>23</v>
      </c>
      <c r="M9609" t="s">
        <v>21816</v>
      </c>
      <c r="N9609" t="s">
        <v>9008</v>
      </c>
      <c r="O9609" t="s">
        <v>52</v>
      </c>
      <c r="P9609">
        <v>34606</v>
      </c>
      <c r="Q9609">
        <v>3924</v>
      </c>
      <c r="R9609" t="s">
        <v>23</v>
      </c>
      <c r="S9609" s="1" t="s">
        <v>34218</v>
      </c>
    </row>
    <row r="9610" spans="1:19" x14ac:dyDescent="0.25">
      <c r="A9610">
        <v>101198011</v>
      </c>
      <c r="B9610" t="s">
        <v>7032</v>
      </c>
      <c r="C9610" t="s">
        <v>664</v>
      </c>
      <c r="G9610" t="s">
        <v>21817</v>
      </c>
      <c r="H9610" t="s">
        <v>419</v>
      </c>
      <c r="I9610" t="s">
        <v>38</v>
      </c>
      <c r="J9610">
        <v>76140</v>
      </c>
      <c r="K9610">
        <v>8124</v>
      </c>
      <c r="L9610" t="s">
        <v>23</v>
      </c>
      <c r="M9610" t="s">
        <v>21817</v>
      </c>
      <c r="N9610" t="s">
        <v>419</v>
      </c>
      <c r="O9610" t="s">
        <v>38</v>
      </c>
      <c r="P9610">
        <v>76140</v>
      </c>
      <c r="Q9610">
        <v>8124</v>
      </c>
      <c r="R9610" t="s">
        <v>23</v>
      </c>
      <c r="S9610" s="1" t="s">
        <v>34218</v>
      </c>
    </row>
    <row r="9611" spans="1:19" x14ac:dyDescent="0.25">
      <c r="A9611">
        <v>101202435</v>
      </c>
      <c r="B9611" t="s">
        <v>1827</v>
      </c>
      <c r="C9611" t="s">
        <v>30</v>
      </c>
      <c r="G9611" t="s">
        <v>21818</v>
      </c>
      <c r="H9611" t="s">
        <v>15158</v>
      </c>
      <c r="I9611" t="s">
        <v>178</v>
      </c>
      <c r="J9611">
        <v>45701</v>
      </c>
      <c r="K9611">
        <v>9677</v>
      </c>
      <c r="L9611" t="s">
        <v>23</v>
      </c>
      <c r="M9611" t="s">
        <v>21818</v>
      </c>
      <c r="N9611" t="s">
        <v>15158</v>
      </c>
      <c r="O9611" t="s">
        <v>178</v>
      </c>
      <c r="P9611">
        <v>45701</v>
      </c>
      <c r="Q9611">
        <v>9677</v>
      </c>
      <c r="R9611" t="s">
        <v>23</v>
      </c>
      <c r="S9611" s="1" t="s">
        <v>34218</v>
      </c>
    </row>
    <row r="9612" spans="1:19" x14ac:dyDescent="0.25">
      <c r="A9612">
        <v>101202456</v>
      </c>
      <c r="B9612" t="s">
        <v>3696</v>
      </c>
      <c r="C9612" t="s">
        <v>1223</v>
      </c>
      <c r="G9612" t="s">
        <v>21819</v>
      </c>
      <c r="H9612" t="s">
        <v>21820</v>
      </c>
      <c r="I9612" t="s">
        <v>33</v>
      </c>
      <c r="J9612">
        <v>19002</v>
      </c>
      <c r="K9612">
        <v>2309</v>
      </c>
      <c r="L9612" t="s">
        <v>23</v>
      </c>
      <c r="M9612" t="s">
        <v>21819</v>
      </c>
      <c r="N9612" t="s">
        <v>21820</v>
      </c>
      <c r="O9612" t="s">
        <v>33</v>
      </c>
      <c r="P9612">
        <v>19002</v>
      </c>
      <c r="Q9612">
        <v>2309</v>
      </c>
      <c r="R9612" t="s">
        <v>23</v>
      </c>
      <c r="S9612" s="1" t="s">
        <v>34218</v>
      </c>
    </row>
    <row r="9613" spans="1:19" x14ac:dyDescent="0.25">
      <c r="A9613">
        <v>101088377</v>
      </c>
      <c r="B9613" t="s">
        <v>21821</v>
      </c>
      <c r="C9613" t="s">
        <v>286</v>
      </c>
      <c r="G9613" t="s">
        <v>21822</v>
      </c>
      <c r="H9613" t="s">
        <v>130</v>
      </c>
      <c r="I9613" t="s">
        <v>22</v>
      </c>
      <c r="J9613" t="s">
        <v>21823</v>
      </c>
      <c r="K9613">
        <v>3607</v>
      </c>
      <c r="L9613" t="s">
        <v>23</v>
      </c>
      <c r="M9613" t="s">
        <v>21822</v>
      </c>
      <c r="N9613" t="s">
        <v>130</v>
      </c>
      <c r="O9613" t="s">
        <v>22</v>
      </c>
      <c r="P9613" t="s">
        <v>21823</v>
      </c>
      <c r="Q9613">
        <v>3607</v>
      </c>
      <c r="R9613" t="s">
        <v>23</v>
      </c>
      <c r="S9613" s="1" t="s">
        <v>34218</v>
      </c>
    </row>
    <row r="9614" spans="1:19" x14ac:dyDescent="0.25">
      <c r="A9614">
        <v>101305834</v>
      </c>
      <c r="B9614" t="s">
        <v>21743</v>
      </c>
      <c r="C9614" t="s">
        <v>21824</v>
      </c>
      <c r="G9614" t="s">
        <v>21744</v>
      </c>
      <c r="H9614" t="s">
        <v>296</v>
      </c>
      <c r="I9614" t="s">
        <v>52</v>
      </c>
      <c r="J9614" t="s">
        <v>21745</v>
      </c>
      <c r="K9614">
        <v>2036</v>
      </c>
      <c r="L9614" t="s">
        <v>23</v>
      </c>
      <c r="M9614" t="s">
        <v>21744</v>
      </c>
      <c r="N9614" t="s">
        <v>296</v>
      </c>
      <c r="O9614" t="s">
        <v>52</v>
      </c>
      <c r="P9614" t="s">
        <v>21745</v>
      </c>
      <c r="Q9614">
        <v>2036</v>
      </c>
      <c r="R9614" t="s">
        <v>23</v>
      </c>
      <c r="S9614" s="1" t="s">
        <v>34218</v>
      </c>
    </row>
    <row r="9615" spans="1:19" x14ac:dyDescent="0.25">
      <c r="A9615">
        <v>100973281</v>
      </c>
      <c r="B9615" t="s">
        <v>21825</v>
      </c>
      <c r="C9615" t="s">
        <v>30</v>
      </c>
      <c r="G9615" t="s">
        <v>21826</v>
      </c>
      <c r="H9615" t="s">
        <v>21827</v>
      </c>
      <c r="I9615" t="s">
        <v>348</v>
      </c>
      <c r="J9615">
        <v>83822</v>
      </c>
      <c r="L9615" t="s">
        <v>23</v>
      </c>
      <c r="M9615" t="s">
        <v>21826</v>
      </c>
      <c r="N9615" t="s">
        <v>21827</v>
      </c>
      <c r="O9615" t="s">
        <v>348</v>
      </c>
      <c r="P9615">
        <v>83822</v>
      </c>
      <c r="R9615" t="s">
        <v>23</v>
      </c>
      <c r="S9615" s="1" t="s">
        <v>34218</v>
      </c>
    </row>
    <row r="9616" spans="1:19" x14ac:dyDescent="0.25">
      <c r="A9616">
        <v>101131828</v>
      </c>
      <c r="B9616" t="s">
        <v>1092</v>
      </c>
      <c r="C9616" t="s">
        <v>390</v>
      </c>
      <c r="G9616" t="s">
        <v>21828</v>
      </c>
      <c r="H9616" t="s">
        <v>21829</v>
      </c>
      <c r="I9616" t="s">
        <v>140</v>
      </c>
      <c r="J9616" t="s">
        <v>21830</v>
      </c>
      <c r="K9616">
        <v>2646</v>
      </c>
      <c r="L9616" t="s">
        <v>23</v>
      </c>
      <c r="M9616" t="s">
        <v>21828</v>
      </c>
      <c r="N9616" t="s">
        <v>21829</v>
      </c>
      <c r="O9616" t="s">
        <v>140</v>
      </c>
      <c r="P9616" t="s">
        <v>21830</v>
      </c>
      <c r="Q9616">
        <v>2646</v>
      </c>
      <c r="R9616" t="s">
        <v>23</v>
      </c>
      <c r="S9616" s="1" t="s">
        <v>34218</v>
      </c>
    </row>
    <row r="9617" spans="1:19" x14ac:dyDescent="0.25">
      <c r="A9617">
        <v>101412551</v>
      </c>
      <c r="B9617" t="s">
        <v>3893</v>
      </c>
      <c r="C9617" t="s">
        <v>5879</v>
      </c>
      <c r="G9617" t="s">
        <v>21831</v>
      </c>
      <c r="H9617" t="s">
        <v>66</v>
      </c>
      <c r="I9617" t="s">
        <v>22</v>
      </c>
      <c r="J9617" t="s">
        <v>21832</v>
      </c>
      <c r="K9617">
        <v>1602</v>
      </c>
      <c r="L9617" t="s">
        <v>23</v>
      </c>
      <c r="M9617" t="s">
        <v>21831</v>
      </c>
      <c r="N9617" t="s">
        <v>66</v>
      </c>
      <c r="O9617" t="s">
        <v>22</v>
      </c>
      <c r="P9617" t="s">
        <v>21832</v>
      </c>
      <c r="Q9617">
        <v>1602</v>
      </c>
      <c r="R9617" t="s">
        <v>23</v>
      </c>
      <c r="S9617" s="1" t="s">
        <v>34218</v>
      </c>
    </row>
    <row r="9618" spans="1:19" x14ac:dyDescent="0.25">
      <c r="A9618">
        <v>100750532</v>
      </c>
      <c r="B9618" t="s">
        <v>13336</v>
      </c>
      <c r="C9618" t="s">
        <v>966</v>
      </c>
      <c r="G9618" t="s">
        <v>21833</v>
      </c>
      <c r="H9618" t="s">
        <v>573</v>
      </c>
      <c r="I9618" t="s">
        <v>33</v>
      </c>
      <c r="J9618" t="s">
        <v>21834</v>
      </c>
      <c r="K9618">
        <v>3513</v>
      </c>
      <c r="L9618" t="s">
        <v>23</v>
      </c>
      <c r="M9618" t="s">
        <v>21833</v>
      </c>
      <c r="N9618" t="s">
        <v>573</v>
      </c>
      <c r="O9618" t="s">
        <v>33</v>
      </c>
      <c r="P9618" t="s">
        <v>21834</v>
      </c>
      <c r="Q9618">
        <v>3513</v>
      </c>
      <c r="R9618" t="s">
        <v>23</v>
      </c>
      <c r="S9618" s="1" t="s">
        <v>34218</v>
      </c>
    </row>
    <row r="9619" spans="1:19" x14ac:dyDescent="0.25">
      <c r="A9619">
        <v>100934263</v>
      </c>
      <c r="B9619" t="s">
        <v>21835</v>
      </c>
      <c r="C9619" t="s">
        <v>12846</v>
      </c>
      <c r="G9619" t="s">
        <v>21836</v>
      </c>
      <c r="H9619" t="s">
        <v>13314</v>
      </c>
      <c r="I9619" t="s">
        <v>140</v>
      </c>
      <c r="J9619" t="s">
        <v>21837</v>
      </c>
      <c r="K9619">
        <v>1375</v>
      </c>
      <c r="L9619" t="s">
        <v>23</v>
      </c>
      <c r="M9619" t="s">
        <v>21836</v>
      </c>
      <c r="N9619" t="s">
        <v>13314</v>
      </c>
      <c r="O9619" t="s">
        <v>140</v>
      </c>
      <c r="P9619" t="s">
        <v>21837</v>
      </c>
      <c r="Q9619">
        <v>1375</v>
      </c>
      <c r="R9619" t="s">
        <v>23</v>
      </c>
      <c r="S9619" s="1" t="s">
        <v>34218</v>
      </c>
    </row>
    <row r="9620" spans="1:19" x14ac:dyDescent="0.25">
      <c r="A9620">
        <v>101473439</v>
      </c>
      <c r="B9620" t="s">
        <v>21838</v>
      </c>
      <c r="C9620" t="s">
        <v>1429</v>
      </c>
      <c r="G9620" t="s">
        <v>21839</v>
      </c>
      <c r="H9620" t="s">
        <v>299</v>
      </c>
      <c r="I9620" t="s">
        <v>22</v>
      </c>
      <c r="J9620">
        <v>90210</v>
      </c>
      <c r="L9620" t="s">
        <v>23</v>
      </c>
      <c r="M9620" t="s">
        <v>21839</v>
      </c>
      <c r="N9620" t="s">
        <v>299</v>
      </c>
      <c r="O9620" t="s">
        <v>22</v>
      </c>
      <c r="P9620">
        <v>90210</v>
      </c>
      <c r="R9620" t="s">
        <v>23</v>
      </c>
      <c r="S9620" s="1" t="s">
        <v>34218</v>
      </c>
    </row>
    <row r="9621" spans="1:19" x14ac:dyDescent="0.25">
      <c r="A9621">
        <v>101473441</v>
      </c>
      <c r="B9621" t="s">
        <v>21840</v>
      </c>
      <c r="C9621" t="s">
        <v>509</v>
      </c>
      <c r="G9621" t="s">
        <v>21841</v>
      </c>
      <c r="H9621" t="s">
        <v>21265</v>
      </c>
      <c r="I9621" t="s">
        <v>1000</v>
      </c>
      <c r="J9621">
        <v>59901</v>
      </c>
      <c r="K9621">
        <v>2191</v>
      </c>
      <c r="L9621" t="s">
        <v>23</v>
      </c>
      <c r="M9621" t="s">
        <v>21841</v>
      </c>
      <c r="N9621" t="s">
        <v>21265</v>
      </c>
      <c r="O9621" t="s">
        <v>1000</v>
      </c>
      <c r="P9621">
        <v>59901</v>
      </c>
      <c r="Q9621">
        <v>2191</v>
      </c>
      <c r="R9621" t="s">
        <v>23</v>
      </c>
      <c r="S9621" s="1" t="s">
        <v>34218</v>
      </c>
    </row>
    <row r="9622" spans="1:19" x14ac:dyDescent="0.25">
      <c r="A9622">
        <v>101095667</v>
      </c>
      <c r="B9622" t="s">
        <v>12719</v>
      </c>
      <c r="C9622" t="s">
        <v>123</v>
      </c>
      <c r="G9622" t="s">
        <v>12720</v>
      </c>
      <c r="H9622" t="s">
        <v>1311</v>
      </c>
      <c r="I9622" t="s">
        <v>126</v>
      </c>
      <c r="J9622">
        <v>64093</v>
      </c>
      <c r="K9622">
        <v>7544</v>
      </c>
      <c r="L9622" t="s">
        <v>23</v>
      </c>
      <c r="M9622" t="s">
        <v>12720</v>
      </c>
      <c r="N9622" t="s">
        <v>1311</v>
      </c>
      <c r="O9622" t="s">
        <v>126</v>
      </c>
      <c r="P9622">
        <v>64093</v>
      </c>
      <c r="Q9622">
        <v>7544</v>
      </c>
      <c r="R9622" t="s">
        <v>23</v>
      </c>
      <c r="S9622" s="1" t="s">
        <v>34218</v>
      </c>
    </row>
    <row r="9623" spans="1:19" x14ac:dyDescent="0.25">
      <c r="A9623">
        <v>101419343</v>
      </c>
      <c r="B9623" t="s">
        <v>3592</v>
      </c>
      <c r="C9623" t="s">
        <v>40</v>
      </c>
      <c r="G9623" t="s">
        <v>21842</v>
      </c>
      <c r="H9623" t="s">
        <v>5040</v>
      </c>
      <c r="I9623" t="s">
        <v>241</v>
      </c>
      <c r="J9623">
        <v>66216</v>
      </c>
      <c r="L9623" t="s">
        <v>23</v>
      </c>
      <c r="M9623" t="s">
        <v>21842</v>
      </c>
      <c r="N9623" t="s">
        <v>5040</v>
      </c>
      <c r="O9623" t="s">
        <v>241</v>
      </c>
      <c r="P9623">
        <v>66216</v>
      </c>
      <c r="R9623" t="s">
        <v>23</v>
      </c>
      <c r="S9623" s="1" t="s">
        <v>34218</v>
      </c>
    </row>
    <row r="9624" spans="1:19" x14ac:dyDescent="0.25">
      <c r="A9624">
        <v>101432983</v>
      </c>
      <c r="B9624" t="s">
        <v>744</v>
      </c>
      <c r="C9624" t="s">
        <v>5274</v>
      </c>
      <c r="G9624" t="s">
        <v>21843</v>
      </c>
      <c r="H9624" t="s">
        <v>369</v>
      </c>
      <c r="I9624" t="s">
        <v>370</v>
      </c>
      <c r="J9624" t="s">
        <v>21844</v>
      </c>
      <c r="K9624">
        <v>5139</v>
      </c>
      <c r="L9624" t="s">
        <v>23</v>
      </c>
      <c r="M9624" t="s">
        <v>21843</v>
      </c>
      <c r="N9624" t="s">
        <v>369</v>
      </c>
      <c r="O9624" t="s">
        <v>370</v>
      </c>
      <c r="P9624" t="s">
        <v>21844</v>
      </c>
      <c r="Q9624">
        <v>5139</v>
      </c>
      <c r="R9624" t="s">
        <v>23</v>
      </c>
      <c r="S9624" s="1" t="s">
        <v>34218</v>
      </c>
    </row>
    <row r="9625" spans="1:19" x14ac:dyDescent="0.25">
      <c r="A9625">
        <v>101432287</v>
      </c>
      <c r="B9625" t="s">
        <v>3466</v>
      </c>
      <c r="C9625" t="s">
        <v>907</v>
      </c>
      <c r="G9625" t="s">
        <v>21845</v>
      </c>
      <c r="H9625" t="s">
        <v>21846</v>
      </c>
      <c r="I9625" t="s">
        <v>43</v>
      </c>
      <c r="J9625">
        <v>97070</v>
      </c>
      <c r="K9625">
        <v>8477</v>
      </c>
      <c r="L9625" t="s">
        <v>23</v>
      </c>
      <c r="M9625" t="s">
        <v>21845</v>
      </c>
      <c r="N9625" t="s">
        <v>21846</v>
      </c>
      <c r="O9625" t="s">
        <v>43</v>
      </c>
      <c r="P9625">
        <v>97070</v>
      </c>
      <c r="Q9625">
        <v>8477</v>
      </c>
      <c r="R9625" t="s">
        <v>23</v>
      </c>
      <c r="S9625" s="1" t="s">
        <v>34218</v>
      </c>
    </row>
    <row r="9626" spans="1:19" x14ac:dyDescent="0.25">
      <c r="A9626">
        <v>101315509</v>
      </c>
      <c r="B9626" t="s">
        <v>247</v>
      </c>
      <c r="C9626" t="s">
        <v>172</v>
      </c>
      <c r="G9626" t="s">
        <v>21847</v>
      </c>
      <c r="H9626" t="s">
        <v>1402</v>
      </c>
      <c r="I9626" t="s">
        <v>38</v>
      </c>
      <c r="J9626">
        <v>77068</v>
      </c>
      <c r="L9626" t="s">
        <v>23</v>
      </c>
      <c r="M9626" t="s">
        <v>21847</v>
      </c>
      <c r="N9626" t="s">
        <v>1402</v>
      </c>
      <c r="O9626" t="s">
        <v>38</v>
      </c>
      <c r="P9626">
        <v>77068</v>
      </c>
      <c r="R9626" t="s">
        <v>23</v>
      </c>
      <c r="S9626" s="1" t="s">
        <v>34218</v>
      </c>
    </row>
    <row r="9627" spans="1:19" x14ac:dyDescent="0.25">
      <c r="A9627">
        <v>101045983</v>
      </c>
      <c r="B9627" t="s">
        <v>4159</v>
      </c>
      <c r="C9627" t="s">
        <v>305</v>
      </c>
      <c r="G9627" t="s">
        <v>21848</v>
      </c>
      <c r="H9627" t="s">
        <v>4128</v>
      </c>
      <c r="I9627" t="s">
        <v>161</v>
      </c>
      <c r="J9627">
        <v>6412</v>
      </c>
      <c r="K9627">
        <v>1111</v>
      </c>
      <c r="L9627" t="s">
        <v>23</v>
      </c>
      <c r="M9627" t="s">
        <v>21848</v>
      </c>
      <c r="N9627" t="s">
        <v>4128</v>
      </c>
      <c r="O9627" t="s">
        <v>161</v>
      </c>
      <c r="P9627">
        <v>6412</v>
      </c>
      <c r="Q9627">
        <v>1111</v>
      </c>
      <c r="R9627" t="s">
        <v>23</v>
      </c>
      <c r="S9627" s="1" t="s">
        <v>34218</v>
      </c>
    </row>
    <row r="9628" spans="1:19" x14ac:dyDescent="0.25">
      <c r="A9628">
        <v>101287229</v>
      </c>
      <c r="B9628" t="s">
        <v>6495</v>
      </c>
      <c r="C9628" t="s">
        <v>21849</v>
      </c>
      <c r="G9628" t="s">
        <v>21850</v>
      </c>
      <c r="H9628" t="s">
        <v>11455</v>
      </c>
      <c r="I9628" t="s">
        <v>71</v>
      </c>
      <c r="J9628">
        <v>81201</v>
      </c>
      <c r="K9628">
        <v>2856</v>
      </c>
      <c r="L9628" t="s">
        <v>23</v>
      </c>
      <c r="M9628" t="s">
        <v>21850</v>
      </c>
      <c r="N9628" t="s">
        <v>11455</v>
      </c>
      <c r="O9628" t="s">
        <v>71</v>
      </c>
      <c r="P9628">
        <v>81201</v>
      </c>
      <c r="Q9628">
        <v>2856</v>
      </c>
      <c r="R9628" t="s">
        <v>23</v>
      </c>
      <c r="S9628" s="1" t="s">
        <v>34218</v>
      </c>
    </row>
    <row r="9629" spans="1:19" x14ac:dyDescent="0.25">
      <c r="A9629">
        <v>101453536</v>
      </c>
      <c r="B9629" t="s">
        <v>132</v>
      </c>
      <c r="C9629" t="s">
        <v>2127</v>
      </c>
      <c r="G9629" t="s">
        <v>21851</v>
      </c>
      <c r="H9629" t="s">
        <v>9456</v>
      </c>
      <c r="I9629" t="s">
        <v>178</v>
      </c>
      <c r="J9629">
        <v>45103</v>
      </c>
      <c r="K9629">
        <v>9650</v>
      </c>
      <c r="L9629" t="s">
        <v>23</v>
      </c>
      <c r="M9629" t="s">
        <v>21851</v>
      </c>
      <c r="N9629" t="s">
        <v>9456</v>
      </c>
      <c r="O9629" t="s">
        <v>178</v>
      </c>
      <c r="P9629">
        <v>45103</v>
      </c>
      <c r="Q9629">
        <v>9650</v>
      </c>
      <c r="R9629" t="s">
        <v>23</v>
      </c>
      <c r="S9629" s="1" t="s">
        <v>34218</v>
      </c>
    </row>
    <row r="9630" spans="1:19" x14ac:dyDescent="0.25">
      <c r="A9630">
        <v>101349530</v>
      </c>
      <c r="B9630" t="s">
        <v>21852</v>
      </c>
      <c r="C9630" t="s">
        <v>627</v>
      </c>
      <c r="G9630" t="s">
        <v>21853</v>
      </c>
      <c r="H9630" t="s">
        <v>134</v>
      </c>
      <c r="I9630" t="s">
        <v>135</v>
      </c>
      <c r="J9630">
        <v>60626</v>
      </c>
      <c r="K9630">
        <v>3813</v>
      </c>
      <c r="L9630" t="s">
        <v>23</v>
      </c>
      <c r="M9630" t="s">
        <v>21853</v>
      </c>
      <c r="N9630" t="s">
        <v>134</v>
      </c>
      <c r="O9630" t="s">
        <v>135</v>
      </c>
      <c r="P9630">
        <v>60626</v>
      </c>
      <c r="Q9630">
        <v>3813</v>
      </c>
      <c r="R9630" t="s">
        <v>23</v>
      </c>
      <c r="S9630" s="1" t="s">
        <v>34218</v>
      </c>
    </row>
    <row r="9631" spans="1:19" x14ac:dyDescent="0.25">
      <c r="A9631">
        <v>101269996</v>
      </c>
      <c r="B9631" t="s">
        <v>21854</v>
      </c>
      <c r="C9631" t="s">
        <v>2047</v>
      </c>
      <c r="G9631" t="s">
        <v>21855</v>
      </c>
      <c r="H9631" t="s">
        <v>27</v>
      </c>
      <c r="I9631" t="s">
        <v>28</v>
      </c>
      <c r="J9631">
        <v>30355</v>
      </c>
      <c r="K9631">
        <v>1655</v>
      </c>
      <c r="L9631" t="s">
        <v>23</v>
      </c>
      <c r="M9631" t="s">
        <v>21855</v>
      </c>
      <c r="N9631" t="s">
        <v>27</v>
      </c>
      <c r="O9631" t="s">
        <v>28</v>
      </c>
      <c r="P9631">
        <v>30355</v>
      </c>
      <c r="Q9631">
        <v>1655</v>
      </c>
      <c r="R9631" t="s">
        <v>23</v>
      </c>
      <c r="S9631" s="1" t="s">
        <v>34218</v>
      </c>
    </row>
    <row r="9632" spans="1:19" x14ac:dyDescent="0.25">
      <c r="A9632">
        <v>101311488</v>
      </c>
      <c r="B9632" t="s">
        <v>18570</v>
      </c>
      <c r="C9632" t="s">
        <v>1208</v>
      </c>
      <c r="G9632" t="s">
        <v>21856</v>
      </c>
      <c r="H9632" t="s">
        <v>11842</v>
      </c>
      <c r="I9632" t="s">
        <v>1482</v>
      </c>
      <c r="J9632">
        <v>29649</v>
      </c>
      <c r="K9632">
        <v>7937</v>
      </c>
      <c r="L9632" t="s">
        <v>23</v>
      </c>
      <c r="M9632" t="s">
        <v>21856</v>
      </c>
      <c r="N9632" t="s">
        <v>11842</v>
      </c>
      <c r="O9632" t="s">
        <v>1482</v>
      </c>
      <c r="P9632">
        <v>29649</v>
      </c>
      <c r="Q9632">
        <v>7937</v>
      </c>
      <c r="R9632" t="s">
        <v>23</v>
      </c>
      <c r="S9632" s="1" t="s">
        <v>34218</v>
      </c>
    </row>
    <row r="9633" spans="1:19" x14ac:dyDescent="0.25">
      <c r="A9633">
        <v>100969985</v>
      </c>
      <c r="B9633" t="s">
        <v>21857</v>
      </c>
      <c r="C9633" t="s">
        <v>1141</v>
      </c>
      <c r="G9633" t="s">
        <v>21858</v>
      </c>
      <c r="H9633" t="s">
        <v>134</v>
      </c>
      <c r="I9633" t="s">
        <v>135</v>
      </c>
      <c r="J9633">
        <v>60637</v>
      </c>
      <c r="K9633">
        <v>2040</v>
      </c>
      <c r="L9633" t="s">
        <v>23</v>
      </c>
      <c r="M9633" t="s">
        <v>21858</v>
      </c>
      <c r="N9633" t="s">
        <v>134</v>
      </c>
      <c r="O9633" t="s">
        <v>135</v>
      </c>
      <c r="P9633">
        <v>60637</v>
      </c>
      <c r="Q9633">
        <v>2040</v>
      </c>
      <c r="R9633" t="s">
        <v>23</v>
      </c>
      <c r="S9633" s="1" t="s">
        <v>34218</v>
      </c>
    </row>
    <row r="9634" spans="1:19" x14ac:dyDescent="0.25">
      <c r="A9634">
        <v>101277281</v>
      </c>
      <c r="B9634" t="s">
        <v>13531</v>
      </c>
      <c r="C9634" t="s">
        <v>554</v>
      </c>
      <c r="G9634" t="s">
        <v>21859</v>
      </c>
      <c r="H9634" t="s">
        <v>12586</v>
      </c>
      <c r="I9634" t="s">
        <v>1482</v>
      </c>
      <c r="J9634">
        <v>29142</v>
      </c>
      <c r="K9634">
        <v>9250</v>
      </c>
      <c r="L9634" t="s">
        <v>23</v>
      </c>
      <c r="M9634" t="s">
        <v>21859</v>
      </c>
      <c r="N9634" t="s">
        <v>12586</v>
      </c>
      <c r="O9634" t="s">
        <v>1482</v>
      </c>
      <c r="P9634">
        <v>29142</v>
      </c>
      <c r="Q9634">
        <v>9250</v>
      </c>
      <c r="R9634" t="s">
        <v>23</v>
      </c>
      <c r="S9634" s="1" t="s">
        <v>34218</v>
      </c>
    </row>
    <row r="9635" spans="1:19" x14ac:dyDescent="0.25">
      <c r="A9635">
        <v>101430908</v>
      </c>
      <c r="B9635" t="s">
        <v>3209</v>
      </c>
      <c r="C9635" t="s">
        <v>8782</v>
      </c>
      <c r="G9635" t="s">
        <v>21860</v>
      </c>
      <c r="H9635" t="s">
        <v>21861</v>
      </c>
      <c r="I9635" t="s">
        <v>135</v>
      </c>
      <c r="J9635">
        <v>62035</v>
      </c>
      <c r="K9635">
        <v>2679</v>
      </c>
      <c r="L9635" t="s">
        <v>23</v>
      </c>
      <c r="M9635" t="s">
        <v>21860</v>
      </c>
      <c r="N9635" t="s">
        <v>21861</v>
      </c>
      <c r="O9635" t="s">
        <v>135</v>
      </c>
      <c r="P9635">
        <v>62035</v>
      </c>
      <c r="Q9635">
        <v>2679</v>
      </c>
      <c r="R9635" t="s">
        <v>23</v>
      </c>
      <c r="S9635" s="1" t="s">
        <v>34218</v>
      </c>
    </row>
    <row r="9636" spans="1:19" x14ac:dyDescent="0.25">
      <c r="A9636">
        <v>101292453</v>
      </c>
      <c r="B9636" t="s">
        <v>4962</v>
      </c>
      <c r="C9636" t="s">
        <v>4218</v>
      </c>
      <c r="G9636" t="s">
        <v>21862</v>
      </c>
      <c r="H9636" t="s">
        <v>1787</v>
      </c>
      <c r="I9636" t="s">
        <v>639</v>
      </c>
      <c r="J9636">
        <v>87701</v>
      </c>
      <c r="K9636">
        <v>6216</v>
      </c>
      <c r="L9636" t="s">
        <v>23</v>
      </c>
      <c r="M9636" t="s">
        <v>21862</v>
      </c>
      <c r="N9636" t="s">
        <v>1787</v>
      </c>
      <c r="O9636" t="s">
        <v>639</v>
      </c>
      <c r="P9636">
        <v>87701</v>
      </c>
      <c r="Q9636">
        <v>6216</v>
      </c>
      <c r="R9636" t="s">
        <v>23</v>
      </c>
      <c r="S9636" s="1" t="s">
        <v>34218</v>
      </c>
    </row>
    <row r="9637" spans="1:19" x14ac:dyDescent="0.25">
      <c r="A9637">
        <v>101082534</v>
      </c>
      <c r="B9637" t="s">
        <v>21863</v>
      </c>
      <c r="C9637" t="s">
        <v>2343</v>
      </c>
      <c r="G9637">
        <v>94610</v>
      </c>
      <c r="H9637" t="s">
        <v>88</v>
      </c>
      <c r="I9637" t="s">
        <v>22</v>
      </c>
      <c r="J9637">
        <v>94610</v>
      </c>
      <c r="L9637" t="s">
        <v>23</v>
      </c>
      <c r="M9637">
        <v>94610</v>
      </c>
      <c r="N9637" t="s">
        <v>88</v>
      </c>
      <c r="O9637" t="s">
        <v>22</v>
      </c>
      <c r="P9637">
        <v>94610</v>
      </c>
      <c r="R9637" t="s">
        <v>23</v>
      </c>
      <c r="S9637" s="1" t="s">
        <v>34218</v>
      </c>
    </row>
    <row r="9638" spans="1:19" x14ac:dyDescent="0.25">
      <c r="A9638">
        <v>101415390</v>
      </c>
      <c r="B9638" t="s">
        <v>21864</v>
      </c>
      <c r="C9638" t="s">
        <v>5890</v>
      </c>
      <c r="G9638" t="s">
        <v>21865</v>
      </c>
      <c r="H9638" t="s">
        <v>1214</v>
      </c>
      <c r="I9638" t="s">
        <v>140</v>
      </c>
      <c r="J9638">
        <v>48312</v>
      </c>
      <c r="K9638">
        <v>3907</v>
      </c>
      <c r="L9638" t="s">
        <v>23</v>
      </c>
      <c r="M9638" t="s">
        <v>21865</v>
      </c>
      <c r="N9638" t="s">
        <v>1214</v>
      </c>
      <c r="O9638" t="s">
        <v>140</v>
      </c>
      <c r="P9638">
        <v>48312</v>
      </c>
      <c r="Q9638">
        <v>3907</v>
      </c>
      <c r="R9638" t="s">
        <v>23</v>
      </c>
      <c r="S9638" s="1" t="s">
        <v>34218</v>
      </c>
    </row>
    <row r="9639" spans="1:19" x14ac:dyDescent="0.25">
      <c r="A9639">
        <v>101234628</v>
      </c>
      <c r="B9639" t="s">
        <v>21866</v>
      </c>
      <c r="C9639" t="s">
        <v>30</v>
      </c>
      <c r="G9639" t="s">
        <v>21867</v>
      </c>
      <c r="H9639" t="s">
        <v>125</v>
      </c>
      <c r="I9639" t="s">
        <v>126</v>
      </c>
      <c r="J9639">
        <v>63132</v>
      </c>
      <c r="K9639">
        <v>2003</v>
      </c>
      <c r="L9639" t="s">
        <v>23</v>
      </c>
      <c r="M9639" t="s">
        <v>21867</v>
      </c>
      <c r="N9639" t="s">
        <v>125</v>
      </c>
      <c r="O9639" t="s">
        <v>126</v>
      </c>
      <c r="P9639">
        <v>63132</v>
      </c>
      <c r="Q9639">
        <v>2003</v>
      </c>
      <c r="R9639" t="s">
        <v>23</v>
      </c>
      <c r="S9639" s="1" t="s">
        <v>34218</v>
      </c>
    </row>
    <row r="9640" spans="1:19" x14ac:dyDescent="0.25">
      <c r="A9640">
        <v>101431352</v>
      </c>
      <c r="B9640" t="s">
        <v>21868</v>
      </c>
      <c r="C9640" t="s">
        <v>2343</v>
      </c>
      <c r="G9640" t="s">
        <v>21869</v>
      </c>
      <c r="H9640" t="s">
        <v>1166</v>
      </c>
      <c r="I9640" t="s">
        <v>178</v>
      </c>
      <c r="J9640">
        <v>43551</v>
      </c>
      <c r="K9640">
        <v>2939</v>
      </c>
      <c r="L9640" t="s">
        <v>23</v>
      </c>
      <c r="M9640" t="s">
        <v>21869</v>
      </c>
      <c r="N9640" t="s">
        <v>1166</v>
      </c>
      <c r="O9640" t="s">
        <v>178</v>
      </c>
      <c r="P9640">
        <v>43551</v>
      </c>
      <c r="Q9640">
        <v>2939</v>
      </c>
      <c r="R9640" t="s">
        <v>23</v>
      </c>
      <c r="S9640" s="1" t="s">
        <v>34218</v>
      </c>
    </row>
    <row r="9641" spans="1:19" x14ac:dyDescent="0.25">
      <c r="A9641">
        <v>101314759</v>
      </c>
      <c r="B9641" t="s">
        <v>2238</v>
      </c>
      <c r="C9641" t="s">
        <v>543</v>
      </c>
      <c r="G9641" t="s">
        <v>21870</v>
      </c>
      <c r="H9641" t="s">
        <v>976</v>
      </c>
      <c r="I9641" t="s">
        <v>140</v>
      </c>
      <c r="J9641">
        <v>48104</v>
      </c>
      <c r="K9641">
        <v>2826</v>
      </c>
      <c r="L9641" t="s">
        <v>23</v>
      </c>
      <c r="M9641" t="s">
        <v>21870</v>
      </c>
      <c r="N9641" t="s">
        <v>976</v>
      </c>
      <c r="O9641" t="s">
        <v>140</v>
      </c>
      <c r="P9641">
        <v>48104</v>
      </c>
      <c r="Q9641">
        <v>2826</v>
      </c>
      <c r="R9641" t="s">
        <v>23</v>
      </c>
      <c r="S9641" s="1" t="s">
        <v>34218</v>
      </c>
    </row>
    <row r="9642" spans="1:19" x14ac:dyDescent="0.25">
      <c r="A9642">
        <v>100747633</v>
      </c>
      <c r="B9642" t="s">
        <v>21871</v>
      </c>
      <c r="C9642" t="s">
        <v>2411</v>
      </c>
      <c r="G9642" t="s">
        <v>21872</v>
      </c>
      <c r="H9642" t="s">
        <v>12586</v>
      </c>
      <c r="I9642" t="s">
        <v>22</v>
      </c>
      <c r="J9642">
        <v>92071</v>
      </c>
      <c r="L9642" t="s">
        <v>23</v>
      </c>
      <c r="M9642" t="s">
        <v>21872</v>
      </c>
      <c r="N9642" t="s">
        <v>12586</v>
      </c>
      <c r="O9642" t="s">
        <v>22</v>
      </c>
      <c r="P9642">
        <v>92071</v>
      </c>
      <c r="R9642" t="s">
        <v>23</v>
      </c>
      <c r="S9642" s="1" t="s">
        <v>34218</v>
      </c>
    </row>
    <row r="9643" spans="1:19" x14ac:dyDescent="0.25">
      <c r="A9643">
        <v>100949559</v>
      </c>
      <c r="B9643" t="s">
        <v>13785</v>
      </c>
      <c r="C9643" t="s">
        <v>2790</v>
      </c>
      <c r="G9643" t="s">
        <v>21873</v>
      </c>
      <c r="H9643" t="s">
        <v>14321</v>
      </c>
      <c r="I9643" t="s">
        <v>52</v>
      </c>
      <c r="J9643">
        <v>33823</v>
      </c>
      <c r="K9643">
        <v>9247</v>
      </c>
      <c r="L9643" t="s">
        <v>23</v>
      </c>
      <c r="M9643" t="s">
        <v>21873</v>
      </c>
      <c r="N9643" t="s">
        <v>14321</v>
      </c>
      <c r="O9643" t="s">
        <v>52</v>
      </c>
      <c r="P9643">
        <v>33823</v>
      </c>
      <c r="Q9643">
        <v>9247</v>
      </c>
      <c r="R9643" t="s">
        <v>23</v>
      </c>
      <c r="S9643" s="1" t="s">
        <v>34218</v>
      </c>
    </row>
    <row r="9644" spans="1:19" x14ac:dyDescent="0.25">
      <c r="A9644">
        <v>101324789</v>
      </c>
      <c r="B9644" t="s">
        <v>21874</v>
      </c>
      <c r="C9644" t="s">
        <v>428</v>
      </c>
      <c r="G9644" t="s">
        <v>21875</v>
      </c>
      <c r="H9644" t="s">
        <v>653</v>
      </c>
      <c r="I9644" t="s">
        <v>117</v>
      </c>
      <c r="J9644">
        <v>10036</v>
      </c>
      <c r="K9644">
        <v>5402</v>
      </c>
      <c r="L9644" t="s">
        <v>23</v>
      </c>
      <c r="M9644" t="s">
        <v>21875</v>
      </c>
      <c r="N9644" t="s">
        <v>653</v>
      </c>
      <c r="O9644" t="s">
        <v>117</v>
      </c>
      <c r="P9644">
        <v>10036</v>
      </c>
      <c r="Q9644">
        <v>5402</v>
      </c>
      <c r="R9644" t="s">
        <v>23</v>
      </c>
      <c r="S9644" s="1" t="s">
        <v>34218</v>
      </c>
    </row>
    <row r="9645" spans="1:19" x14ac:dyDescent="0.25">
      <c r="A9645">
        <v>101457230</v>
      </c>
      <c r="B9645" t="s">
        <v>21876</v>
      </c>
      <c r="C9645" t="s">
        <v>2010</v>
      </c>
      <c r="G9645" t="s">
        <v>21877</v>
      </c>
      <c r="H9645" t="s">
        <v>19905</v>
      </c>
      <c r="I9645" t="s">
        <v>33</v>
      </c>
      <c r="J9645">
        <v>19341</v>
      </c>
      <c r="K9645">
        <v>2117</v>
      </c>
      <c r="L9645" t="s">
        <v>23</v>
      </c>
      <c r="M9645" t="s">
        <v>21877</v>
      </c>
      <c r="N9645" t="s">
        <v>19905</v>
      </c>
      <c r="O9645" t="s">
        <v>33</v>
      </c>
      <c r="P9645">
        <v>19341</v>
      </c>
      <c r="Q9645">
        <v>2117</v>
      </c>
      <c r="R9645" t="s">
        <v>23</v>
      </c>
      <c r="S9645" s="1" t="s">
        <v>34218</v>
      </c>
    </row>
    <row r="9646" spans="1:19" x14ac:dyDescent="0.25">
      <c r="A9646">
        <v>101440924</v>
      </c>
      <c r="B9646" t="s">
        <v>5558</v>
      </c>
      <c r="C9646" t="s">
        <v>6558</v>
      </c>
      <c r="G9646" t="s">
        <v>21878</v>
      </c>
      <c r="H9646" t="s">
        <v>4510</v>
      </c>
      <c r="I9646" t="s">
        <v>84</v>
      </c>
      <c r="J9646">
        <v>98204</v>
      </c>
      <c r="K9646">
        <v>4870</v>
      </c>
      <c r="L9646" t="s">
        <v>23</v>
      </c>
      <c r="M9646" t="s">
        <v>21878</v>
      </c>
      <c r="N9646" t="s">
        <v>4510</v>
      </c>
      <c r="O9646" t="s">
        <v>84</v>
      </c>
      <c r="P9646">
        <v>98204</v>
      </c>
      <c r="Q9646">
        <v>4870</v>
      </c>
      <c r="R9646" t="s">
        <v>23</v>
      </c>
      <c r="S9646" s="1" t="s">
        <v>34218</v>
      </c>
    </row>
    <row r="9647" spans="1:19" x14ac:dyDescent="0.25">
      <c r="A9647">
        <v>100778191</v>
      </c>
      <c r="B9647" t="s">
        <v>654</v>
      </c>
      <c r="C9647" t="s">
        <v>3954</v>
      </c>
      <c r="G9647" t="s">
        <v>21879</v>
      </c>
      <c r="H9647" t="s">
        <v>4127</v>
      </c>
      <c r="I9647" t="s">
        <v>71</v>
      </c>
      <c r="J9647">
        <v>80540</v>
      </c>
      <c r="L9647" t="s">
        <v>23</v>
      </c>
      <c r="M9647" t="s">
        <v>21879</v>
      </c>
      <c r="N9647" t="s">
        <v>4127</v>
      </c>
      <c r="O9647" t="s">
        <v>71</v>
      </c>
      <c r="P9647">
        <v>80540</v>
      </c>
      <c r="R9647" t="s">
        <v>23</v>
      </c>
      <c r="S9647" s="1" t="s">
        <v>34218</v>
      </c>
    </row>
    <row r="9648" spans="1:19" x14ac:dyDescent="0.25">
      <c r="A9648">
        <v>101224249</v>
      </c>
      <c r="B9648" t="s">
        <v>21880</v>
      </c>
      <c r="C9648" t="s">
        <v>3854</v>
      </c>
      <c r="G9648" t="s">
        <v>21881</v>
      </c>
      <c r="H9648" t="s">
        <v>3388</v>
      </c>
      <c r="I9648" t="s">
        <v>22</v>
      </c>
      <c r="J9648">
        <v>91730</v>
      </c>
      <c r="K9648">
        <v>6972</v>
      </c>
      <c r="L9648" t="s">
        <v>23</v>
      </c>
      <c r="M9648" t="s">
        <v>21881</v>
      </c>
      <c r="N9648" t="s">
        <v>3388</v>
      </c>
      <c r="O9648" t="s">
        <v>22</v>
      </c>
      <c r="P9648">
        <v>91730</v>
      </c>
      <c r="Q9648">
        <v>6972</v>
      </c>
      <c r="R9648" t="s">
        <v>23</v>
      </c>
      <c r="S9648" s="1" t="s">
        <v>34218</v>
      </c>
    </row>
    <row r="9649" spans="1:19" x14ac:dyDescent="0.25">
      <c r="A9649">
        <v>101430488</v>
      </c>
      <c r="B9649" t="s">
        <v>21882</v>
      </c>
      <c r="C9649" t="s">
        <v>1327</v>
      </c>
      <c r="G9649" t="s">
        <v>21883</v>
      </c>
      <c r="H9649" t="s">
        <v>5179</v>
      </c>
      <c r="I9649" t="s">
        <v>236</v>
      </c>
      <c r="J9649">
        <v>2144</v>
      </c>
      <c r="K9649">
        <v>2312</v>
      </c>
      <c r="L9649" t="s">
        <v>23</v>
      </c>
      <c r="M9649" t="s">
        <v>21883</v>
      </c>
      <c r="N9649" t="s">
        <v>5179</v>
      </c>
      <c r="O9649" t="s">
        <v>236</v>
      </c>
      <c r="P9649">
        <v>2144</v>
      </c>
      <c r="Q9649">
        <v>2312</v>
      </c>
      <c r="R9649" t="s">
        <v>23</v>
      </c>
      <c r="S9649" s="1" t="s">
        <v>34218</v>
      </c>
    </row>
    <row r="9650" spans="1:19" x14ac:dyDescent="0.25">
      <c r="A9650">
        <v>100818917</v>
      </c>
      <c r="B9650" t="s">
        <v>21884</v>
      </c>
      <c r="C9650" t="s">
        <v>1622</v>
      </c>
      <c r="G9650" t="s">
        <v>21885</v>
      </c>
      <c r="H9650" t="s">
        <v>88</v>
      </c>
      <c r="I9650" t="s">
        <v>22</v>
      </c>
      <c r="J9650">
        <v>94602</v>
      </c>
      <c r="K9650">
        <v>3936</v>
      </c>
      <c r="L9650" t="s">
        <v>23</v>
      </c>
      <c r="M9650" t="s">
        <v>21885</v>
      </c>
      <c r="N9650" t="s">
        <v>88</v>
      </c>
      <c r="O9650" t="s">
        <v>22</v>
      </c>
      <c r="P9650">
        <v>94602</v>
      </c>
      <c r="Q9650">
        <v>3936</v>
      </c>
      <c r="R9650" t="s">
        <v>23</v>
      </c>
      <c r="S9650" s="1" t="s">
        <v>34218</v>
      </c>
    </row>
    <row r="9651" spans="1:19" x14ac:dyDescent="0.25">
      <c r="A9651">
        <v>101296353</v>
      </c>
      <c r="B9651" t="s">
        <v>21886</v>
      </c>
      <c r="C9651" t="s">
        <v>2642</v>
      </c>
      <c r="G9651" t="s">
        <v>21887</v>
      </c>
      <c r="H9651" t="s">
        <v>2684</v>
      </c>
      <c r="I9651" t="s">
        <v>22</v>
      </c>
      <c r="J9651">
        <v>94903</v>
      </c>
      <c r="K9651">
        <v>3137</v>
      </c>
      <c r="L9651" t="s">
        <v>23</v>
      </c>
      <c r="M9651" t="s">
        <v>21887</v>
      </c>
      <c r="N9651" t="s">
        <v>2684</v>
      </c>
      <c r="O9651" t="s">
        <v>22</v>
      </c>
      <c r="P9651">
        <v>94903</v>
      </c>
      <c r="Q9651">
        <v>3137</v>
      </c>
      <c r="R9651" t="s">
        <v>23</v>
      </c>
      <c r="S9651" s="1" t="s">
        <v>34218</v>
      </c>
    </row>
    <row r="9652" spans="1:19" x14ac:dyDescent="0.25">
      <c r="A9652">
        <v>100975188</v>
      </c>
      <c r="B9652" t="s">
        <v>6356</v>
      </c>
      <c r="C9652" t="s">
        <v>329</v>
      </c>
      <c r="G9652" t="s">
        <v>21888</v>
      </c>
      <c r="H9652" t="s">
        <v>1086</v>
      </c>
      <c r="I9652" t="s">
        <v>446</v>
      </c>
      <c r="J9652">
        <v>28214</v>
      </c>
      <c r="L9652" t="s">
        <v>23</v>
      </c>
      <c r="M9652" t="s">
        <v>21888</v>
      </c>
      <c r="N9652" t="s">
        <v>1086</v>
      </c>
      <c r="O9652" t="s">
        <v>446</v>
      </c>
      <c r="P9652">
        <v>28214</v>
      </c>
      <c r="R9652" t="s">
        <v>23</v>
      </c>
      <c r="S9652" s="1" t="s">
        <v>34218</v>
      </c>
    </row>
    <row r="9653" spans="1:19" x14ac:dyDescent="0.25">
      <c r="A9653">
        <v>101175169</v>
      </c>
      <c r="B9653" t="s">
        <v>7741</v>
      </c>
      <c r="C9653" t="s">
        <v>1429</v>
      </c>
      <c r="G9653" t="s">
        <v>21889</v>
      </c>
      <c r="H9653" t="s">
        <v>1621</v>
      </c>
      <c r="I9653" t="s">
        <v>187</v>
      </c>
      <c r="J9653" t="s">
        <v>21890</v>
      </c>
      <c r="K9653">
        <v>3558</v>
      </c>
      <c r="L9653" t="s">
        <v>23</v>
      </c>
      <c r="M9653" t="s">
        <v>21889</v>
      </c>
      <c r="N9653" t="s">
        <v>1621</v>
      </c>
      <c r="O9653" t="s">
        <v>187</v>
      </c>
      <c r="P9653" t="s">
        <v>21890</v>
      </c>
      <c r="Q9653">
        <v>3558</v>
      </c>
      <c r="R9653" t="s">
        <v>23</v>
      </c>
      <c r="S9653" s="1" t="s">
        <v>34218</v>
      </c>
    </row>
    <row r="9654" spans="1:19" x14ac:dyDescent="0.25">
      <c r="A9654">
        <v>101348648</v>
      </c>
      <c r="B9654" t="s">
        <v>13114</v>
      </c>
      <c r="C9654" t="s">
        <v>21891</v>
      </c>
      <c r="G9654" t="s">
        <v>21892</v>
      </c>
      <c r="H9654" t="s">
        <v>6053</v>
      </c>
      <c r="I9654" t="s">
        <v>22</v>
      </c>
      <c r="J9654" t="s">
        <v>21893</v>
      </c>
      <c r="K9654">
        <v>1651</v>
      </c>
      <c r="L9654" t="s">
        <v>23</v>
      </c>
      <c r="M9654" t="s">
        <v>21892</v>
      </c>
      <c r="N9654" t="s">
        <v>6053</v>
      </c>
      <c r="O9654" t="s">
        <v>22</v>
      </c>
      <c r="P9654" t="s">
        <v>21893</v>
      </c>
      <c r="Q9654">
        <v>1651</v>
      </c>
      <c r="R9654" t="s">
        <v>23</v>
      </c>
      <c r="S9654" s="1" t="s">
        <v>34218</v>
      </c>
    </row>
    <row r="9655" spans="1:19" x14ac:dyDescent="0.25">
      <c r="A9655">
        <v>101164833</v>
      </c>
      <c r="B9655" t="s">
        <v>21894</v>
      </c>
      <c r="C9655" t="s">
        <v>274</v>
      </c>
      <c r="G9655" t="s">
        <v>21895</v>
      </c>
      <c r="H9655" t="s">
        <v>5023</v>
      </c>
      <c r="I9655" t="s">
        <v>22</v>
      </c>
      <c r="J9655">
        <v>95010</v>
      </c>
      <c r="L9655" t="s">
        <v>23</v>
      </c>
      <c r="M9655" t="s">
        <v>21895</v>
      </c>
      <c r="N9655" t="s">
        <v>5023</v>
      </c>
      <c r="O9655" t="s">
        <v>22</v>
      </c>
      <c r="P9655">
        <v>95010</v>
      </c>
      <c r="R9655" t="s">
        <v>23</v>
      </c>
      <c r="S9655" s="1" t="s">
        <v>34218</v>
      </c>
    </row>
    <row r="9656" spans="1:19" x14ac:dyDescent="0.25">
      <c r="A9656">
        <v>101379255</v>
      </c>
      <c r="B9656" t="s">
        <v>21896</v>
      </c>
      <c r="C9656" t="s">
        <v>18047</v>
      </c>
      <c r="G9656" t="s">
        <v>21897</v>
      </c>
      <c r="H9656" t="s">
        <v>357</v>
      </c>
      <c r="I9656" t="s">
        <v>33</v>
      </c>
      <c r="J9656">
        <v>16611</v>
      </c>
      <c r="L9656" t="s">
        <v>23</v>
      </c>
      <c r="M9656" t="s">
        <v>21897</v>
      </c>
      <c r="N9656" t="s">
        <v>357</v>
      </c>
      <c r="O9656" t="s">
        <v>33</v>
      </c>
      <c r="P9656">
        <v>16611</v>
      </c>
      <c r="R9656" t="s">
        <v>23</v>
      </c>
      <c r="S9656" s="1" t="s">
        <v>34218</v>
      </c>
    </row>
    <row r="9657" spans="1:19" x14ac:dyDescent="0.25">
      <c r="A9657">
        <v>101303047</v>
      </c>
      <c r="B9657" t="s">
        <v>3386</v>
      </c>
      <c r="C9657" t="s">
        <v>403</v>
      </c>
      <c r="G9657" t="s">
        <v>21898</v>
      </c>
      <c r="H9657" t="s">
        <v>638</v>
      </c>
      <c r="I9657" t="s">
        <v>639</v>
      </c>
      <c r="J9657" t="s">
        <v>21899</v>
      </c>
      <c r="K9657">
        <v>2737</v>
      </c>
      <c r="L9657" t="s">
        <v>23</v>
      </c>
      <c r="M9657" t="s">
        <v>21898</v>
      </c>
      <c r="N9657" t="s">
        <v>638</v>
      </c>
      <c r="O9657" t="s">
        <v>639</v>
      </c>
      <c r="P9657" t="s">
        <v>21899</v>
      </c>
      <c r="Q9657">
        <v>2737</v>
      </c>
      <c r="R9657" t="s">
        <v>23</v>
      </c>
      <c r="S9657" s="1" t="s">
        <v>34218</v>
      </c>
    </row>
    <row r="9658" spans="1:19" x14ac:dyDescent="0.25">
      <c r="A9658">
        <v>100809931</v>
      </c>
      <c r="B9658" t="s">
        <v>21900</v>
      </c>
      <c r="C9658" t="s">
        <v>387</v>
      </c>
      <c r="F9658" t="str">
        <f>"2107332474"</f>
        <v>2107332474</v>
      </c>
      <c r="G9658" t="s">
        <v>21901</v>
      </c>
      <c r="H9658" t="s">
        <v>1229</v>
      </c>
      <c r="I9658" t="s">
        <v>38</v>
      </c>
      <c r="J9658">
        <v>78233</v>
      </c>
      <c r="L9658" t="s">
        <v>23</v>
      </c>
      <c r="M9658" t="s">
        <v>21901</v>
      </c>
      <c r="N9658" t="s">
        <v>1229</v>
      </c>
      <c r="O9658" t="s">
        <v>38</v>
      </c>
      <c r="P9658">
        <v>78233</v>
      </c>
      <c r="R9658" t="s">
        <v>23</v>
      </c>
      <c r="S9658" s="1" t="s">
        <v>34218</v>
      </c>
    </row>
    <row r="9659" spans="1:19" x14ac:dyDescent="0.25">
      <c r="A9659">
        <v>101316721</v>
      </c>
      <c r="B9659" t="s">
        <v>15366</v>
      </c>
      <c r="C9659" t="s">
        <v>21902</v>
      </c>
      <c r="G9659" t="s">
        <v>21903</v>
      </c>
      <c r="H9659" t="s">
        <v>21904</v>
      </c>
      <c r="I9659" t="s">
        <v>52</v>
      </c>
      <c r="J9659" t="s">
        <v>21905</v>
      </c>
      <c r="K9659">
        <v>3213</v>
      </c>
      <c r="L9659" t="s">
        <v>23</v>
      </c>
      <c r="M9659" t="s">
        <v>21903</v>
      </c>
      <c r="N9659" t="s">
        <v>21904</v>
      </c>
      <c r="O9659" t="s">
        <v>52</v>
      </c>
      <c r="P9659" t="s">
        <v>21905</v>
      </c>
      <c r="Q9659">
        <v>3213</v>
      </c>
      <c r="R9659" t="s">
        <v>23</v>
      </c>
      <c r="S9659" s="1" t="s">
        <v>34218</v>
      </c>
    </row>
    <row r="9660" spans="1:19" x14ac:dyDescent="0.25">
      <c r="A9660">
        <v>101418765</v>
      </c>
      <c r="B9660" t="s">
        <v>21906</v>
      </c>
      <c r="C9660" t="s">
        <v>8203</v>
      </c>
      <c r="G9660" t="s">
        <v>21907</v>
      </c>
      <c r="H9660" t="s">
        <v>481</v>
      </c>
      <c r="I9660" t="s">
        <v>22</v>
      </c>
      <c r="J9660" t="s">
        <v>21908</v>
      </c>
      <c r="K9660">
        <v>1248</v>
      </c>
      <c r="L9660" t="s">
        <v>23</v>
      </c>
      <c r="M9660" t="s">
        <v>21907</v>
      </c>
      <c r="N9660" t="s">
        <v>481</v>
      </c>
      <c r="O9660" t="s">
        <v>22</v>
      </c>
      <c r="P9660" t="s">
        <v>21908</v>
      </c>
      <c r="Q9660">
        <v>1248</v>
      </c>
      <c r="R9660" t="s">
        <v>23</v>
      </c>
      <c r="S9660" s="1" t="s">
        <v>34218</v>
      </c>
    </row>
    <row r="9661" spans="1:19" x14ac:dyDescent="0.25">
      <c r="A9661">
        <v>101264064</v>
      </c>
      <c r="B9661" t="s">
        <v>16618</v>
      </c>
      <c r="C9661" t="s">
        <v>1153</v>
      </c>
      <c r="G9661" t="s">
        <v>21909</v>
      </c>
      <c r="H9661" t="s">
        <v>2809</v>
      </c>
      <c r="I9661" t="s">
        <v>135</v>
      </c>
      <c r="J9661" t="s">
        <v>21910</v>
      </c>
      <c r="K9661">
        <v>3406</v>
      </c>
      <c r="L9661" t="s">
        <v>23</v>
      </c>
      <c r="M9661" t="s">
        <v>21909</v>
      </c>
      <c r="N9661" t="s">
        <v>2809</v>
      </c>
      <c r="O9661" t="s">
        <v>135</v>
      </c>
      <c r="P9661" t="s">
        <v>21910</v>
      </c>
      <c r="Q9661">
        <v>3406</v>
      </c>
      <c r="R9661" t="s">
        <v>23</v>
      </c>
      <c r="S9661" s="1" t="s">
        <v>34218</v>
      </c>
    </row>
    <row r="9662" spans="1:19" x14ac:dyDescent="0.25">
      <c r="A9662">
        <v>100538877</v>
      </c>
      <c r="B9662" t="s">
        <v>12010</v>
      </c>
      <c r="C9662" t="s">
        <v>1933</v>
      </c>
      <c r="G9662" t="s">
        <v>21911</v>
      </c>
      <c r="H9662" t="s">
        <v>134</v>
      </c>
      <c r="I9662" t="s">
        <v>135</v>
      </c>
      <c r="J9662" t="s">
        <v>21912</v>
      </c>
      <c r="K9662">
        <v>3676</v>
      </c>
      <c r="L9662" t="s">
        <v>23</v>
      </c>
      <c r="M9662" t="s">
        <v>21911</v>
      </c>
      <c r="N9662" t="s">
        <v>134</v>
      </c>
      <c r="O9662" t="s">
        <v>135</v>
      </c>
      <c r="P9662" t="s">
        <v>21912</v>
      </c>
      <c r="Q9662">
        <v>3676</v>
      </c>
      <c r="R9662" t="s">
        <v>23</v>
      </c>
      <c r="S9662" s="1" t="s">
        <v>34218</v>
      </c>
    </row>
    <row r="9663" spans="1:19" x14ac:dyDescent="0.25">
      <c r="A9663">
        <v>100762002</v>
      </c>
      <c r="B9663" t="s">
        <v>1004</v>
      </c>
      <c r="C9663" t="s">
        <v>1327</v>
      </c>
      <c r="F9663" t="str">
        <f>"7735405596"</f>
        <v>7735405596</v>
      </c>
      <c r="G9663" t="s">
        <v>21913</v>
      </c>
      <c r="H9663" t="s">
        <v>134</v>
      </c>
      <c r="I9663" t="s">
        <v>135</v>
      </c>
      <c r="J9663" t="s">
        <v>21914</v>
      </c>
      <c r="K9663">
        <v>1337</v>
      </c>
      <c r="L9663" t="s">
        <v>23</v>
      </c>
      <c r="M9663" t="s">
        <v>21913</v>
      </c>
      <c r="N9663" t="s">
        <v>134</v>
      </c>
      <c r="O9663" t="s">
        <v>135</v>
      </c>
      <c r="P9663" t="s">
        <v>21914</v>
      </c>
      <c r="Q9663">
        <v>1337</v>
      </c>
      <c r="R9663" t="s">
        <v>23</v>
      </c>
      <c r="S9663" s="1" t="s">
        <v>34218</v>
      </c>
    </row>
    <row r="9664" spans="1:19" x14ac:dyDescent="0.25">
      <c r="A9664">
        <v>101280663</v>
      </c>
      <c r="B9664" t="s">
        <v>3857</v>
      </c>
      <c r="C9664" t="s">
        <v>21915</v>
      </c>
      <c r="G9664" t="s">
        <v>21916</v>
      </c>
      <c r="H9664" t="s">
        <v>17166</v>
      </c>
      <c r="I9664" t="s">
        <v>250</v>
      </c>
      <c r="J9664" t="s">
        <v>21917</v>
      </c>
      <c r="K9664">
        <v>3401</v>
      </c>
      <c r="L9664" t="s">
        <v>23</v>
      </c>
      <c r="M9664" t="s">
        <v>21916</v>
      </c>
      <c r="N9664" t="s">
        <v>17166</v>
      </c>
      <c r="O9664" t="s">
        <v>250</v>
      </c>
      <c r="P9664" t="s">
        <v>21917</v>
      </c>
      <c r="Q9664">
        <v>3401</v>
      </c>
      <c r="R9664" t="s">
        <v>23</v>
      </c>
      <c r="S9664" s="1" t="s">
        <v>34218</v>
      </c>
    </row>
    <row r="9665" spans="1:19" x14ac:dyDescent="0.25">
      <c r="A9665">
        <v>101088768</v>
      </c>
      <c r="B9665" t="s">
        <v>21918</v>
      </c>
      <c r="C9665" t="s">
        <v>1818</v>
      </c>
      <c r="G9665" t="s">
        <v>19282</v>
      </c>
      <c r="H9665" t="s">
        <v>10113</v>
      </c>
      <c r="I9665" t="s">
        <v>353</v>
      </c>
      <c r="J9665" t="s">
        <v>21919</v>
      </c>
      <c r="K9665">
        <v>5318</v>
      </c>
      <c r="L9665" t="s">
        <v>23</v>
      </c>
      <c r="M9665" t="s">
        <v>19282</v>
      </c>
      <c r="N9665" t="s">
        <v>10113</v>
      </c>
      <c r="O9665" t="s">
        <v>353</v>
      </c>
      <c r="P9665" t="s">
        <v>21919</v>
      </c>
      <c r="Q9665">
        <v>5318</v>
      </c>
      <c r="R9665" t="s">
        <v>23</v>
      </c>
      <c r="S9665" s="1" t="s">
        <v>34218</v>
      </c>
    </row>
    <row r="9666" spans="1:19" x14ac:dyDescent="0.25">
      <c r="A9666">
        <v>101242574</v>
      </c>
      <c r="B9666" t="s">
        <v>21920</v>
      </c>
      <c r="C9666" t="s">
        <v>1043</v>
      </c>
      <c r="G9666" t="s">
        <v>21921</v>
      </c>
      <c r="H9666" t="s">
        <v>21922</v>
      </c>
      <c r="I9666" t="s">
        <v>117</v>
      </c>
      <c r="J9666" t="s">
        <v>21923</v>
      </c>
      <c r="K9666">
        <v>6013</v>
      </c>
      <c r="L9666" t="s">
        <v>23</v>
      </c>
      <c r="M9666" t="s">
        <v>21921</v>
      </c>
      <c r="N9666" t="s">
        <v>21922</v>
      </c>
      <c r="O9666" t="s">
        <v>117</v>
      </c>
      <c r="P9666" t="s">
        <v>21923</v>
      </c>
      <c r="Q9666">
        <v>6013</v>
      </c>
      <c r="R9666" t="s">
        <v>23</v>
      </c>
      <c r="S9666" s="1" t="s">
        <v>34218</v>
      </c>
    </row>
    <row r="9667" spans="1:19" x14ac:dyDescent="0.25">
      <c r="A9667">
        <v>101419236</v>
      </c>
      <c r="B9667" t="s">
        <v>1889</v>
      </c>
      <c r="C9667" t="s">
        <v>172</v>
      </c>
      <c r="G9667" t="s">
        <v>21924</v>
      </c>
      <c r="H9667" t="s">
        <v>591</v>
      </c>
      <c r="I9667" t="s">
        <v>84</v>
      </c>
      <c r="J9667" t="s">
        <v>21925</v>
      </c>
      <c r="K9667">
        <v>1057</v>
      </c>
      <c r="L9667" t="s">
        <v>23</v>
      </c>
      <c r="M9667" t="s">
        <v>21924</v>
      </c>
      <c r="N9667" t="s">
        <v>591</v>
      </c>
      <c r="O9667" t="s">
        <v>84</v>
      </c>
      <c r="P9667" t="s">
        <v>21925</v>
      </c>
      <c r="Q9667">
        <v>1057</v>
      </c>
      <c r="R9667" t="s">
        <v>23</v>
      </c>
      <c r="S9667" s="1" t="s">
        <v>34218</v>
      </c>
    </row>
    <row r="9668" spans="1:19" x14ac:dyDescent="0.25">
      <c r="A9668">
        <v>100559008</v>
      </c>
      <c r="B9668" t="s">
        <v>21926</v>
      </c>
      <c r="C9668" t="s">
        <v>1669</v>
      </c>
      <c r="G9668" t="s">
        <v>21927</v>
      </c>
      <c r="H9668" t="s">
        <v>21928</v>
      </c>
      <c r="I9668" t="s">
        <v>100</v>
      </c>
      <c r="J9668" t="s">
        <v>21929</v>
      </c>
      <c r="K9668">
        <v>9496</v>
      </c>
      <c r="L9668" t="s">
        <v>23</v>
      </c>
      <c r="M9668" t="s">
        <v>21927</v>
      </c>
      <c r="N9668" t="s">
        <v>21928</v>
      </c>
      <c r="O9668" t="s">
        <v>100</v>
      </c>
      <c r="P9668" t="s">
        <v>21929</v>
      </c>
      <c r="Q9668">
        <v>9496</v>
      </c>
      <c r="R9668" t="s">
        <v>23</v>
      </c>
      <c r="S9668" s="1" t="s">
        <v>34218</v>
      </c>
    </row>
    <row r="9669" spans="1:19" x14ac:dyDescent="0.25">
      <c r="A9669">
        <v>100610649</v>
      </c>
      <c r="B9669" t="s">
        <v>21930</v>
      </c>
      <c r="C9669" t="s">
        <v>286</v>
      </c>
      <c r="G9669" t="s">
        <v>21931</v>
      </c>
      <c r="H9669" t="s">
        <v>6192</v>
      </c>
      <c r="I9669" t="s">
        <v>117</v>
      </c>
      <c r="J9669" t="s">
        <v>21932</v>
      </c>
      <c r="K9669">
        <v>1630</v>
      </c>
      <c r="L9669" t="s">
        <v>23</v>
      </c>
      <c r="M9669" t="s">
        <v>21931</v>
      </c>
      <c r="N9669" t="s">
        <v>6192</v>
      </c>
      <c r="O9669" t="s">
        <v>117</v>
      </c>
      <c r="P9669" t="s">
        <v>21932</v>
      </c>
      <c r="Q9669">
        <v>1630</v>
      </c>
      <c r="R9669" t="s">
        <v>23</v>
      </c>
      <c r="S9669" s="1" t="s">
        <v>34218</v>
      </c>
    </row>
    <row r="9670" spans="1:19" x14ac:dyDescent="0.25">
      <c r="A9670">
        <v>101279874</v>
      </c>
      <c r="B9670" t="s">
        <v>21933</v>
      </c>
      <c r="C9670" t="s">
        <v>1463</v>
      </c>
      <c r="G9670" t="s">
        <v>21934</v>
      </c>
      <c r="H9670" t="s">
        <v>240</v>
      </c>
      <c r="I9670" t="s">
        <v>241</v>
      </c>
      <c r="J9670" t="s">
        <v>21935</v>
      </c>
      <c r="K9670">
        <v>2648</v>
      </c>
      <c r="L9670" t="s">
        <v>23</v>
      </c>
      <c r="M9670" t="s">
        <v>21934</v>
      </c>
      <c r="N9670" t="s">
        <v>240</v>
      </c>
      <c r="O9670" t="s">
        <v>241</v>
      </c>
      <c r="P9670" t="s">
        <v>21935</v>
      </c>
      <c r="Q9670">
        <v>2648</v>
      </c>
      <c r="R9670" t="s">
        <v>23</v>
      </c>
      <c r="S9670" s="1" t="s">
        <v>34218</v>
      </c>
    </row>
    <row r="9671" spans="1:19" x14ac:dyDescent="0.25">
      <c r="A9671">
        <v>100878500</v>
      </c>
      <c r="B9671" t="s">
        <v>21936</v>
      </c>
      <c r="C9671" t="s">
        <v>644</v>
      </c>
      <c r="D9671" t="s">
        <v>636</v>
      </c>
      <c r="G9671" t="s">
        <v>21937</v>
      </c>
      <c r="H9671" t="s">
        <v>11424</v>
      </c>
      <c r="I9671" t="s">
        <v>187</v>
      </c>
      <c r="J9671" t="s">
        <v>21938</v>
      </c>
      <c r="K9671">
        <v>7963</v>
      </c>
      <c r="L9671" t="s">
        <v>23</v>
      </c>
      <c r="M9671" t="s">
        <v>21937</v>
      </c>
      <c r="N9671" t="s">
        <v>11424</v>
      </c>
      <c r="O9671" t="s">
        <v>187</v>
      </c>
      <c r="P9671" t="s">
        <v>21938</v>
      </c>
      <c r="Q9671">
        <v>7963</v>
      </c>
      <c r="R9671" t="s">
        <v>23</v>
      </c>
      <c r="S9671" s="1" t="s">
        <v>34218</v>
      </c>
    </row>
    <row r="9672" spans="1:19" x14ac:dyDescent="0.25">
      <c r="A9672">
        <v>101307826</v>
      </c>
      <c r="B9672" t="s">
        <v>21939</v>
      </c>
      <c r="C9672" t="s">
        <v>880</v>
      </c>
      <c r="G9672" t="s">
        <v>21940</v>
      </c>
      <c r="H9672" t="s">
        <v>6151</v>
      </c>
      <c r="I9672" t="s">
        <v>33</v>
      </c>
      <c r="J9672" t="s">
        <v>21941</v>
      </c>
      <c r="K9672">
        <v>4045</v>
      </c>
      <c r="L9672" t="s">
        <v>23</v>
      </c>
      <c r="M9672" t="s">
        <v>21940</v>
      </c>
      <c r="N9672" t="s">
        <v>6151</v>
      </c>
      <c r="O9672" t="s">
        <v>33</v>
      </c>
      <c r="P9672" t="s">
        <v>21941</v>
      </c>
      <c r="Q9672">
        <v>4045</v>
      </c>
      <c r="R9672" t="s">
        <v>23</v>
      </c>
      <c r="S9672" s="1" t="s">
        <v>34218</v>
      </c>
    </row>
    <row r="9673" spans="1:19" x14ac:dyDescent="0.25">
      <c r="A9673">
        <v>101284969</v>
      </c>
      <c r="B9673" t="s">
        <v>21942</v>
      </c>
      <c r="C9673" t="s">
        <v>21943</v>
      </c>
      <c r="G9673" t="s">
        <v>21944</v>
      </c>
      <c r="H9673" t="s">
        <v>6192</v>
      </c>
      <c r="I9673" t="s">
        <v>117</v>
      </c>
      <c r="J9673" t="s">
        <v>21945</v>
      </c>
      <c r="K9673">
        <v>5540</v>
      </c>
      <c r="L9673" t="s">
        <v>23</v>
      </c>
      <c r="M9673" t="s">
        <v>21944</v>
      </c>
      <c r="N9673" t="s">
        <v>6192</v>
      </c>
      <c r="O9673" t="s">
        <v>117</v>
      </c>
      <c r="P9673" t="s">
        <v>21945</v>
      </c>
      <c r="Q9673">
        <v>5540</v>
      </c>
      <c r="R9673" t="s">
        <v>23</v>
      </c>
      <c r="S9673" s="1" t="s">
        <v>34218</v>
      </c>
    </row>
    <row r="9674" spans="1:19" x14ac:dyDescent="0.25">
      <c r="A9674">
        <v>101101601</v>
      </c>
      <c r="B9674" t="s">
        <v>21946</v>
      </c>
      <c r="C9674" t="s">
        <v>1124</v>
      </c>
      <c r="G9674" t="s">
        <v>21947</v>
      </c>
      <c r="H9674" t="s">
        <v>3876</v>
      </c>
      <c r="I9674" t="s">
        <v>22</v>
      </c>
      <c r="J9674">
        <v>91401</v>
      </c>
      <c r="K9674">
        <v>1844</v>
      </c>
      <c r="L9674" t="s">
        <v>23</v>
      </c>
      <c r="M9674" t="s">
        <v>21947</v>
      </c>
      <c r="N9674" t="s">
        <v>3876</v>
      </c>
      <c r="O9674" t="s">
        <v>22</v>
      </c>
      <c r="P9674">
        <v>91401</v>
      </c>
      <c r="Q9674">
        <v>1844</v>
      </c>
      <c r="R9674" t="s">
        <v>23</v>
      </c>
      <c r="S9674" s="1" t="s">
        <v>34218</v>
      </c>
    </row>
    <row r="9675" spans="1:19" x14ac:dyDescent="0.25">
      <c r="A9675">
        <v>101232828</v>
      </c>
      <c r="B9675" t="s">
        <v>21948</v>
      </c>
      <c r="C9675" t="s">
        <v>8984</v>
      </c>
      <c r="G9675" t="s">
        <v>21949</v>
      </c>
      <c r="H9675" t="s">
        <v>21950</v>
      </c>
      <c r="I9675" t="s">
        <v>135</v>
      </c>
      <c r="J9675">
        <v>62677</v>
      </c>
      <c r="K9675">
        <v>3864</v>
      </c>
      <c r="L9675" t="s">
        <v>23</v>
      </c>
      <c r="M9675" t="s">
        <v>21949</v>
      </c>
      <c r="N9675" t="s">
        <v>21950</v>
      </c>
      <c r="O9675" t="s">
        <v>135</v>
      </c>
      <c r="P9675">
        <v>62677</v>
      </c>
      <c r="Q9675">
        <v>3864</v>
      </c>
      <c r="R9675" t="s">
        <v>23</v>
      </c>
      <c r="S9675" s="1" t="s">
        <v>34218</v>
      </c>
    </row>
    <row r="9676" spans="1:19" x14ac:dyDescent="0.25">
      <c r="A9676">
        <v>100761687</v>
      </c>
      <c r="B9676" t="s">
        <v>19460</v>
      </c>
      <c r="C9676" t="s">
        <v>11904</v>
      </c>
      <c r="G9676" t="s">
        <v>21951</v>
      </c>
      <c r="H9676" t="s">
        <v>1985</v>
      </c>
      <c r="I9676" t="s">
        <v>71</v>
      </c>
      <c r="J9676">
        <v>80906</v>
      </c>
      <c r="K9676">
        <v>4709</v>
      </c>
      <c r="L9676" t="s">
        <v>23</v>
      </c>
      <c r="M9676" t="s">
        <v>21951</v>
      </c>
      <c r="N9676" t="s">
        <v>1985</v>
      </c>
      <c r="O9676" t="s">
        <v>71</v>
      </c>
      <c r="P9676">
        <v>80906</v>
      </c>
      <c r="Q9676">
        <v>4709</v>
      </c>
      <c r="R9676" t="s">
        <v>23</v>
      </c>
      <c r="S9676" s="1" t="s">
        <v>34218</v>
      </c>
    </row>
    <row r="9677" spans="1:19" x14ac:dyDescent="0.25">
      <c r="A9677">
        <v>101419611</v>
      </c>
      <c r="B9677" t="s">
        <v>557</v>
      </c>
      <c r="C9677" t="s">
        <v>9950</v>
      </c>
      <c r="G9677" t="s">
        <v>21952</v>
      </c>
      <c r="H9677" t="s">
        <v>653</v>
      </c>
      <c r="I9677" t="s">
        <v>117</v>
      </c>
      <c r="J9677">
        <v>10021</v>
      </c>
      <c r="K9677">
        <v>5251</v>
      </c>
      <c r="L9677" t="s">
        <v>23</v>
      </c>
      <c r="M9677" t="s">
        <v>21952</v>
      </c>
      <c r="N9677" t="s">
        <v>653</v>
      </c>
      <c r="O9677" t="s">
        <v>117</v>
      </c>
      <c r="P9677">
        <v>10021</v>
      </c>
      <c r="Q9677">
        <v>5251</v>
      </c>
      <c r="R9677" t="s">
        <v>23</v>
      </c>
      <c r="S9677" s="1" t="s">
        <v>34218</v>
      </c>
    </row>
    <row r="9678" spans="1:19" x14ac:dyDescent="0.25">
      <c r="A9678">
        <v>101090951</v>
      </c>
      <c r="B9678" t="s">
        <v>21953</v>
      </c>
      <c r="C9678" t="s">
        <v>225</v>
      </c>
      <c r="F9678" t="str">
        <f>"2812057607"</f>
        <v>2812057607</v>
      </c>
      <c r="G9678" t="s">
        <v>21954</v>
      </c>
      <c r="H9678" t="s">
        <v>4429</v>
      </c>
      <c r="I9678" t="s">
        <v>38</v>
      </c>
      <c r="J9678">
        <v>75025</v>
      </c>
      <c r="K9678">
        <v>3844</v>
      </c>
      <c r="L9678" t="s">
        <v>23</v>
      </c>
      <c r="M9678" t="s">
        <v>21954</v>
      </c>
      <c r="N9678" t="s">
        <v>4429</v>
      </c>
      <c r="O9678" t="s">
        <v>38</v>
      </c>
      <c r="P9678">
        <v>75025</v>
      </c>
      <c r="Q9678">
        <v>3844</v>
      </c>
      <c r="R9678" t="s">
        <v>23</v>
      </c>
      <c r="S9678" s="1" t="s">
        <v>34218</v>
      </c>
    </row>
    <row r="9679" spans="1:19" x14ac:dyDescent="0.25">
      <c r="A9679">
        <v>101311081</v>
      </c>
      <c r="B9679" t="s">
        <v>21955</v>
      </c>
      <c r="C9679" t="s">
        <v>2235</v>
      </c>
      <c r="G9679" t="s">
        <v>21956</v>
      </c>
      <c r="H9679" t="s">
        <v>134</v>
      </c>
      <c r="I9679" t="s">
        <v>135</v>
      </c>
      <c r="J9679" t="s">
        <v>21957</v>
      </c>
      <c r="K9679">
        <v>3730</v>
      </c>
      <c r="L9679" t="s">
        <v>23</v>
      </c>
      <c r="M9679" t="s">
        <v>21956</v>
      </c>
      <c r="N9679" t="s">
        <v>134</v>
      </c>
      <c r="O9679" t="s">
        <v>135</v>
      </c>
      <c r="P9679" t="s">
        <v>21957</v>
      </c>
      <c r="Q9679">
        <v>3730</v>
      </c>
      <c r="R9679" t="s">
        <v>23</v>
      </c>
      <c r="S9679" s="1" t="s">
        <v>34218</v>
      </c>
    </row>
    <row r="9680" spans="1:19" x14ac:dyDescent="0.25">
      <c r="A9680">
        <v>101100914</v>
      </c>
      <c r="B9680" t="s">
        <v>858</v>
      </c>
      <c r="C9680" t="s">
        <v>636</v>
      </c>
      <c r="G9680" t="s">
        <v>21958</v>
      </c>
      <c r="H9680" t="s">
        <v>198</v>
      </c>
      <c r="I9680" t="s">
        <v>22</v>
      </c>
      <c r="J9680">
        <v>92104</v>
      </c>
      <c r="K9680">
        <v>1370</v>
      </c>
      <c r="L9680" t="s">
        <v>23</v>
      </c>
      <c r="M9680" t="s">
        <v>21958</v>
      </c>
      <c r="N9680" t="s">
        <v>198</v>
      </c>
      <c r="O9680" t="s">
        <v>22</v>
      </c>
      <c r="P9680">
        <v>92104</v>
      </c>
      <c r="Q9680">
        <v>1370</v>
      </c>
      <c r="R9680" t="s">
        <v>23</v>
      </c>
      <c r="S9680" s="1" t="s">
        <v>34218</v>
      </c>
    </row>
    <row r="9681" spans="1:19" x14ac:dyDescent="0.25">
      <c r="A9681">
        <v>101105158</v>
      </c>
      <c r="B9681" t="s">
        <v>1581</v>
      </c>
      <c r="C9681" t="s">
        <v>350</v>
      </c>
      <c r="G9681" t="s">
        <v>21959</v>
      </c>
      <c r="H9681" t="s">
        <v>17731</v>
      </c>
      <c r="I9681" t="s">
        <v>22</v>
      </c>
      <c r="J9681">
        <v>93446</v>
      </c>
      <c r="K9681">
        <v>1731</v>
      </c>
      <c r="L9681" t="s">
        <v>23</v>
      </c>
      <c r="M9681" t="s">
        <v>21959</v>
      </c>
      <c r="N9681" t="s">
        <v>17731</v>
      </c>
      <c r="O9681" t="s">
        <v>22</v>
      </c>
      <c r="P9681">
        <v>93446</v>
      </c>
      <c r="Q9681">
        <v>1731</v>
      </c>
      <c r="R9681" t="s">
        <v>23</v>
      </c>
      <c r="S9681" s="1" t="s">
        <v>34218</v>
      </c>
    </row>
    <row r="9682" spans="1:19" x14ac:dyDescent="0.25">
      <c r="A9682">
        <v>101106469</v>
      </c>
      <c r="B9682" t="s">
        <v>21960</v>
      </c>
      <c r="C9682" t="s">
        <v>21961</v>
      </c>
      <c r="G9682" t="s">
        <v>21962</v>
      </c>
      <c r="H9682" t="s">
        <v>5187</v>
      </c>
      <c r="I9682" t="s">
        <v>43</v>
      </c>
      <c r="J9682">
        <v>97431</v>
      </c>
      <c r="K9682">
        <v>9735</v>
      </c>
      <c r="L9682" t="s">
        <v>23</v>
      </c>
      <c r="M9682" t="s">
        <v>21962</v>
      </c>
      <c r="N9682" t="s">
        <v>5187</v>
      </c>
      <c r="O9682" t="s">
        <v>43</v>
      </c>
      <c r="P9682">
        <v>97431</v>
      </c>
      <c r="Q9682">
        <v>9735</v>
      </c>
      <c r="R9682" t="s">
        <v>23</v>
      </c>
      <c r="S9682" s="1" t="s">
        <v>34218</v>
      </c>
    </row>
    <row r="9683" spans="1:19" x14ac:dyDescent="0.25">
      <c r="A9683">
        <v>101096716</v>
      </c>
      <c r="B9683" t="s">
        <v>21963</v>
      </c>
      <c r="C9683" t="s">
        <v>535</v>
      </c>
      <c r="G9683" t="s">
        <v>21964</v>
      </c>
      <c r="H9683" t="s">
        <v>227</v>
      </c>
      <c r="I9683" t="s">
        <v>43</v>
      </c>
      <c r="J9683">
        <v>97214</v>
      </c>
      <c r="K9683">
        <v>4918</v>
      </c>
      <c r="L9683" t="s">
        <v>23</v>
      </c>
      <c r="M9683" t="s">
        <v>21964</v>
      </c>
      <c r="N9683" t="s">
        <v>227</v>
      </c>
      <c r="O9683" t="s">
        <v>43</v>
      </c>
      <c r="P9683">
        <v>97214</v>
      </c>
      <c r="Q9683">
        <v>4918</v>
      </c>
      <c r="R9683" t="s">
        <v>23</v>
      </c>
      <c r="S9683" s="1" t="s">
        <v>34218</v>
      </c>
    </row>
    <row r="9684" spans="1:19" x14ac:dyDescent="0.25">
      <c r="A9684">
        <v>101109336</v>
      </c>
      <c r="B9684" t="s">
        <v>3629</v>
      </c>
      <c r="C9684" t="s">
        <v>286</v>
      </c>
      <c r="G9684" t="s">
        <v>21965</v>
      </c>
      <c r="H9684" t="s">
        <v>1096</v>
      </c>
      <c r="I9684" t="s">
        <v>71</v>
      </c>
      <c r="J9684">
        <v>80027</v>
      </c>
      <c r="K9684">
        <v>1047</v>
      </c>
      <c r="L9684" t="s">
        <v>23</v>
      </c>
      <c r="M9684" t="s">
        <v>21965</v>
      </c>
      <c r="N9684" t="s">
        <v>1096</v>
      </c>
      <c r="O9684" t="s">
        <v>71</v>
      </c>
      <c r="P9684">
        <v>80027</v>
      </c>
      <c r="Q9684">
        <v>1047</v>
      </c>
      <c r="R9684" t="s">
        <v>23</v>
      </c>
      <c r="S9684" s="1" t="s">
        <v>34218</v>
      </c>
    </row>
    <row r="9685" spans="1:19" x14ac:dyDescent="0.25">
      <c r="A9685">
        <v>101113888</v>
      </c>
      <c r="B9685" t="s">
        <v>21966</v>
      </c>
      <c r="C9685" t="s">
        <v>3376</v>
      </c>
      <c r="G9685" t="s">
        <v>21967</v>
      </c>
      <c r="H9685" t="s">
        <v>11668</v>
      </c>
      <c r="I9685" t="s">
        <v>33</v>
      </c>
      <c r="J9685">
        <v>19038</v>
      </c>
      <c r="K9685">
        <v>3903</v>
      </c>
      <c r="L9685" t="s">
        <v>23</v>
      </c>
      <c r="M9685" t="s">
        <v>21967</v>
      </c>
      <c r="N9685" t="s">
        <v>11668</v>
      </c>
      <c r="O9685" t="s">
        <v>33</v>
      </c>
      <c r="P9685">
        <v>19038</v>
      </c>
      <c r="Q9685">
        <v>3903</v>
      </c>
      <c r="R9685" t="s">
        <v>23</v>
      </c>
      <c r="S9685" s="1" t="s">
        <v>34218</v>
      </c>
    </row>
    <row r="9686" spans="1:19" x14ac:dyDescent="0.25">
      <c r="A9686">
        <v>101112807</v>
      </c>
      <c r="B9686" t="s">
        <v>3109</v>
      </c>
      <c r="C9686" t="s">
        <v>4159</v>
      </c>
      <c r="F9686" t="str">
        <f>"6197569659"</f>
        <v>6197569659</v>
      </c>
      <c r="G9686" t="s">
        <v>21968</v>
      </c>
      <c r="H9686" t="s">
        <v>198</v>
      </c>
      <c r="I9686" t="s">
        <v>22</v>
      </c>
      <c r="J9686">
        <v>92115</v>
      </c>
      <c r="K9686">
        <v>3715</v>
      </c>
      <c r="L9686" t="s">
        <v>23</v>
      </c>
      <c r="M9686" t="s">
        <v>21968</v>
      </c>
      <c r="N9686" t="s">
        <v>198</v>
      </c>
      <c r="O9686" t="s">
        <v>22</v>
      </c>
      <c r="P9686">
        <v>92115</v>
      </c>
      <c r="Q9686">
        <v>3715</v>
      </c>
      <c r="R9686" t="s">
        <v>23</v>
      </c>
      <c r="S9686" s="1" t="s">
        <v>34218</v>
      </c>
    </row>
    <row r="9687" spans="1:19" x14ac:dyDescent="0.25">
      <c r="A9687">
        <v>101123921</v>
      </c>
      <c r="B9687" t="s">
        <v>21969</v>
      </c>
      <c r="C9687" t="s">
        <v>6169</v>
      </c>
      <c r="G9687" t="s">
        <v>21970</v>
      </c>
      <c r="H9687" t="s">
        <v>1100</v>
      </c>
      <c r="I9687" t="s">
        <v>84</v>
      </c>
      <c r="J9687">
        <v>98321</v>
      </c>
      <c r="K9687">
        <v>7414</v>
      </c>
      <c r="L9687" t="s">
        <v>23</v>
      </c>
      <c r="M9687" t="s">
        <v>21970</v>
      </c>
      <c r="N9687" t="s">
        <v>1100</v>
      </c>
      <c r="O9687" t="s">
        <v>84</v>
      </c>
      <c r="P9687">
        <v>98321</v>
      </c>
      <c r="Q9687">
        <v>7414</v>
      </c>
      <c r="R9687" t="s">
        <v>23</v>
      </c>
      <c r="S9687" s="1" t="s">
        <v>34218</v>
      </c>
    </row>
    <row r="9688" spans="1:19" x14ac:dyDescent="0.25">
      <c r="A9688">
        <v>101121420</v>
      </c>
      <c r="B9688" t="s">
        <v>21971</v>
      </c>
      <c r="C9688" t="s">
        <v>155</v>
      </c>
      <c r="F9688" t="str">
        <f>"4155849849"</f>
        <v>4155849849</v>
      </c>
      <c r="G9688" t="s">
        <v>21972</v>
      </c>
      <c r="H9688" t="s">
        <v>130</v>
      </c>
      <c r="I9688" t="s">
        <v>22</v>
      </c>
      <c r="J9688">
        <v>94112</v>
      </c>
      <c r="K9688">
        <v>2829</v>
      </c>
      <c r="L9688" t="s">
        <v>23</v>
      </c>
      <c r="M9688" t="s">
        <v>21972</v>
      </c>
      <c r="N9688" t="s">
        <v>130</v>
      </c>
      <c r="O9688" t="s">
        <v>22</v>
      </c>
      <c r="P9688">
        <v>94112</v>
      </c>
      <c r="Q9688">
        <v>2829</v>
      </c>
      <c r="R9688" t="s">
        <v>23</v>
      </c>
      <c r="S9688" s="1" t="s">
        <v>34218</v>
      </c>
    </row>
    <row r="9689" spans="1:19" x14ac:dyDescent="0.25">
      <c r="A9689">
        <v>101336499</v>
      </c>
      <c r="B9689" t="s">
        <v>465</v>
      </c>
      <c r="C9689" t="s">
        <v>367</v>
      </c>
      <c r="G9689" t="s">
        <v>21973</v>
      </c>
      <c r="H9689" t="s">
        <v>21974</v>
      </c>
      <c r="I9689" t="s">
        <v>135</v>
      </c>
      <c r="J9689">
        <v>60085</v>
      </c>
      <c r="K9689">
        <v>4469</v>
      </c>
      <c r="L9689" t="s">
        <v>23</v>
      </c>
      <c r="M9689" t="s">
        <v>21973</v>
      </c>
      <c r="N9689" t="s">
        <v>21974</v>
      </c>
      <c r="O9689" t="s">
        <v>135</v>
      </c>
      <c r="P9689">
        <v>60085</v>
      </c>
      <c r="Q9689">
        <v>4469</v>
      </c>
      <c r="R9689" t="s">
        <v>23</v>
      </c>
      <c r="S9689" s="1" t="s">
        <v>34218</v>
      </c>
    </row>
    <row r="9690" spans="1:19" x14ac:dyDescent="0.25">
      <c r="A9690">
        <v>101345701</v>
      </c>
      <c r="B9690" t="s">
        <v>21975</v>
      </c>
      <c r="C9690" t="s">
        <v>21976</v>
      </c>
      <c r="G9690" t="s">
        <v>21977</v>
      </c>
      <c r="H9690" t="s">
        <v>4893</v>
      </c>
      <c r="I9690" t="s">
        <v>22</v>
      </c>
      <c r="J9690">
        <v>94025</v>
      </c>
      <c r="K9690">
        <v>2343</v>
      </c>
      <c r="L9690" t="s">
        <v>23</v>
      </c>
      <c r="M9690" t="s">
        <v>21977</v>
      </c>
      <c r="N9690" t="s">
        <v>4893</v>
      </c>
      <c r="O9690" t="s">
        <v>22</v>
      </c>
      <c r="P9690">
        <v>94025</v>
      </c>
      <c r="Q9690">
        <v>2343</v>
      </c>
      <c r="R9690" t="s">
        <v>23</v>
      </c>
      <c r="S9690" s="1" t="s">
        <v>34218</v>
      </c>
    </row>
    <row r="9691" spans="1:19" x14ac:dyDescent="0.25">
      <c r="A9691">
        <v>101345931</v>
      </c>
      <c r="B9691" t="s">
        <v>21978</v>
      </c>
      <c r="C9691" t="s">
        <v>5283</v>
      </c>
      <c r="G9691" t="s">
        <v>21979</v>
      </c>
      <c r="H9691" t="s">
        <v>12065</v>
      </c>
      <c r="I9691" t="s">
        <v>135</v>
      </c>
      <c r="J9691">
        <v>61801</v>
      </c>
      <c r="K9691">
        <v>4903</v>
      </c>
      <c r="L9691" t="s">
        <v>23</v>
      </c>
      <c r="M9691" t="s">
        <v>21979</v>
      </c>
      <c r="N9691" t="s">
        <v>12065</v>
      </c>
      <c r="O9691" t="s">
        <v>135</v>
      </c>
      <c r="P9691">
        <v>61801</v>
      </c>
      <c r="Q9691">
        <v>4903</v>
      </c>
      <c r="R9691" t="s">
        <v>23</v>
      </c>
      <c r="S9691" s="1" t="s">
        <v>34218</v>
      </c>
    </row>
    <row r="9692" spans="1:19" x14ac:dyDescent="0.25">
      <c r="A9692">
        <v>101357335</v>
      </c>
      <c r="B9692" t="s">
        <v>2835</v>
      </c>
      <c r="C9692" t="s">
        <v>1384</v>
      </c>
      <c r="G9692" t="s">
        <v>21980</v>
      </c>
      <c r="H9692" t="s">
        <v>21981</v>
      </c>
      <c r="I9692" t="s">
        <v>565</v>
      </c>
      <c r="J9692">
        <v>50047</v>
      </c>
      <c r="K9692">
        <v>8764</v>
      </c>
      <c r="L9692" t="s">
        <v>23</v>
      </c>
      <c r="M9692" t="s">
        <v>21980</v>
      </c>
      <c r="N9692" t="s">
        <v>21981</v>
      </c>
      <c r="O9692" t="s">
        <v>565</v>
      </c>
      <c r="P9692">
        <v>50047</v>
      </c>
      <c r="Q9692">
        <v>8764</v>
      </c>
      <c r="R9692" t="s">
        <v>23</v>
      </c>
      <c r="S9692" s="1" t="s">
        <v>34218</v>
      </c>
    </row>
    <row r="9693" spans="1:19" x14ac:dyDescent="0.25">
      <c r="A9693">
        <v>101355938</v>
      </c>
      <c r="B9693" t="s">
        <v>21982</v>
      </c>
      <c r="C9693" t="s">
        <v>2151</v>
      </c>
      <c r="F9693" t="str">
        <f>"9499812174"</f>
        <v>9499812174</v>
      </c>
      <c r="G9693" t="s">
        <v>21983</v>
      </c>
      <c r="H9693" t="s">
        <v>10101</v>
      </c>
      <c r="I9693" t="s">
        <v>52</v>
      </c>
      <c r="J9693">
        <v>33914</v>
      </c>
      <c r="K9693">
        <v>6709</v>
      </c>
      <c r="L9693" t="s">
        <v>23</v>
      </c>
      <c r="M9693" t="s">
        <v>21983</v>
      </c>
      <c r="N9693" t="s">
        <v>10101</v>
      </c>
      <c r="O9693" t="s">
        <v>52</v>
      </c>
      <c r="P9693">
        <v>33914</v>
      </c>
      <c r="Q9693">
        <v>6709</v>
      </c>
      <c r="R9693" t="s">
        <v>23</v>
      </c>
      <c r="S9693" s="1" t="s">
        <v>34218</v>
      </c>
    </row>
    <row r="9694" spans="1:19" x14ac:dyDescent="0.25">
      <c r="A9694">
        <v>101353472</v>
      </c>
      <c r="B9694" t="s">
        <v>3749</v>
      </c>
      <c r="C9694" t="s">
        <v>1374</v>
      </c>
      <c r="G9694" t="s">
        <v>21984</v>
      </c>
      <c r="H9694" t="s">
        <v>434</v>
      </c>
      <c r="I9694" t="s">
        <v>22</v>
      </c>
      <c r="J9694">
        <v>92651</v>
      </c>
      <c r="K9694">
        <v>1337</v>
      </c>
      <c r="L9694" t="s">
        <v>23</v>
      </c>
      <c r="M9694" t="s">
        <v>21984</v>
      </c>
      <c r="N9694" t="s">
        <v>434</v>
      </c>
      <c r="O9694" t="s">
        <v>22</v>
      </c>
      <c r="P9694">
        <v>92651</v>
      </c>
      <c r="Q9694">
        <v>1337</v>
      </c>
      <c r="R9694" t="s">
        <v>23</v>
      </c>
      <c r="S9694" s="1" t="s">
        <v>34218</v>
      </c>
    </row>
    <row r="9695" spans="1:19" x14ac:dyDescent="0.25">
      <c r="A9695">
        <v>101356705</v>
      </c>
      <c r="B9695" t="s">
        <v>21985</v>
      </c>
      <c r="C9695" t="s">
        <v>21986</v>
      </c>
      <c r="G9695" t="s">
        <v>21987</v>
      </c>
      <c r="H9695" t="s">
        <v>20337</v>
      </c>
      <c r="I9695" t="s">
        <v>135</v>
      </c>
      <c r="J9695">
        <v>60010</v>
      </c>
      <c r="K9695">
        <v>3736</v>
      </c>
      <c r="L9695" t="s">
        <v>23</v>
      </c>
      <c r="M9695" t="s">
        <v>21987</v>
      </c>
      <c r="N9695" t="s">
        <v>20337</v>
      </c>
      <c r="O9695" t="s">
        <v>135</v>
      </c>
      <c r="P9695">
        <v>60010</v>
      </c>
      <c r="Q9695">
        <v>3736</v>
      </c>
      <c r="R9695" t="s">
        <v>23</v>
      </c>
      <c r="S9695" s="1" t="s">
        <v>34218</v>
      </c>
    </row>
    <row r="9696" spans="1:19" x14ac:dyDescent="0.25">
      <c r="A9696">
        <v>101350439</v>
      </c>
      <c r="B9696" t="s">
        <v>2486</v>
      </c>
      <c r="C9696" t="s">
        <v>1669</v>
      </c>
      <c r="G9696" t="s">
        <v>21988</v>
      </c>
      <c r="H9696" t="s">
        <v>1845</v>
      </c>
      <c r="I9696" t="s">
        <v>161</v>
      </c>
      <c r="J9696">
        <v>6488</v>
      </c>
      <c r="K9696">
        <v>2231</v>
      </c>
      <c r="L9696" t="s">
        <v>23</v>
      </c>
      <c r="M9696" t="s">
        <v>21988</v>
      </c>
      <c r="N9696" t="s">
        <v>1845</v>
      </c>
      <c r="O9696" t="s">
        <v>161</v>
      </c>
      <c r="P9696">
        <v>6488</v>
      </c>
      <c r="Q9696">
        <v>2231</v>
      </c>
      <c r="R9696" t="s">
        <v>23</v>
      </c>
      <c r="S9696" s="1" t="s">
        <v>34218</v>
      </c>
    </row>
    <row r="9697" spans="1:19" x14ac:dyDescent="0.25">
      <c r="A9697">
        <v>101365542</v>
      </c>
      <c r="B9697" t="s">
        <v>21989</v>
      </c>
      <c r="C9697" t="s">
        <v>1208</v>
      </c>
      <c r="F9697" t="str">
        <f>"2162515862"</f>
        <v>2162515862</v>
      </c>
      <c r="G9697" t="s">
        <v>21990</v>
      </c>
      <c r="H9697" t="s">
        <v>3373</v>
      </c>
      <c r="I9697" t="s">
        <v>178</v>
      </c>
      <c r="J9697">
        <v>44135</v>
      </c>
      <c r="K9697">
        <v>4230</v>
      </c>
      <c r="L9697" t="s">
        <v>23</v>
      </c>
      <c r="M9697" t="s">
        <v>21990</v>
      </c>
      <c r="N9697" t="s">
        <v>3373</v>
      </c>
      <c r="O9697" t="s">
        <v>178</v>
      </c>
      <c r="P9697">
        <v>44135</v>
      </c>
      <c r="Q9697">
        <v>4230</v>
      </c>
      <c r="R9697" t="s">
        <v>23</v>
      </c>
      <c r="S9697" s="1" t="s">
        <v>34218</v>
      </c>
    </row>
    <row r="9698" spans="1:19" x14ac:dyDescent="0.25">
      <c r="A9698">
        <v>101362088</v>
      </c>
      <c r="B9698" t="s">
        <v>3180</v>
      </c>
      <c r="C9698" t="s">
        <v>200</v>
      </c>
      <c r="G9698" t="s">
        <v>21991</v>
      </c>
      <c r="H9698" t="s">
        <v>1261</v>
      </c>
      <c r="I9698" t="s">
        <v>22</v>
      </c>
      <c r="J9698">
        <v>95501</v>
      </c>
      <c r="K9698">
        <v>4316</v>
      </c>
      <c r="L9698" t="s">
        <v>23</v>
      </c>
      <c r="M9698" t="s">
        <v>21991</v>
      </c>
      <c r="N9698" t="s">
        <v>1261</v>
      </c>
      <c r="O9698" t="s">
        <v>22</v>
      </c>
      <c r="P9698">
        <v>95501</v>
      </c>
      <c r="Q9698">
        <v>4316</v>
      </c>
      <c r="R9698" t="s">
        <v>23</v>
      </c>
      <c r="S9698" s="1" t="s">
        <v>34218</v>
      </c>
    </row>
    <row r="9699" spans="1:19" x14ac:dyDescent="0.25">
      <c r="A9699">
        <v>101364629</v>
      </c>
      <c r="B9699" t="s">
        <v>21992</v>
      </c>
      <c r="C9699" t="s">
        <v>90</v>
      </c>
      <c r="F9699" t="str">
        <f>"2693723345"</f>
        <v>2693723345</v>
      </c>
      <c r="G9699" t="s">
        <v>21993</v>
      </c>
      <c r="H9699" t="s">
        <v>12656</v>
      </c>
      <c r="I9699" t="s">
        <v>140</v>
      </c>
      <c r="J9699">
        <v>49009</v>
      </c>
      <c r="K9699">
        <v>2025</v>
      </c>
      <c r="L9699" t="s">
        <v>23</v>
      </c>
      <c r="M9699" t="s">
        <v>21993</v>
      </c>
      <c r="N9699" t="s">
        <v>12656</v>
      </c>
      <c r="O9699" t="s">
        <v>140</v>
      </c>
      <c r="P9699">
        <v>49009</v>
      </c>
      <c r="Q9699">
        <v>2025</v>
      </c>
      <c r="R9699" t="s">
        <v>23</v>
      </c>
      <c r="S9699" s="1" t="s">
        <v>34218</v>
      </c>
    </row>
    <row r="9700" spans="1:19" x14ac:dyDescent="0.25">
      <c r="A9700">
        <v>101373206</v>
      </c>
      <c r="B9700" t="s">
        <v>21994</v>
      </c>
      <c r="C9700" t="s">
        <v>498</v>
      </c>
      <c r="G9700" t="s">
        <v>20134</v>
      </c>
      <c r="H9700" t="s">
        <v>21995</v>
      </c>
      <c r="I9700" t="s">
        <v>353</v>
      </c>
      <c r="J9700">
        <v>3607</v>
      </c>
      <c r="K9700">
        <v>54</v>
      </c>
      <c r="L9700" t="s">
        <v>23</v>
      </c>
      <c r="M9700" t="s">
        <v>20134</v>
      </c>
      <c r="N9700" t="s">
        <v>21995</v>
      </c>
      <c r="O9700" t="s">
        <v>353</v>
      </c>
      <c r="P9700">
        <v>3607</v>
      </c>
      <c r="Q9700">
        <v>54</v>
      </c>
      <c r="R9700" t="s">
        <v>23</v>
      </c>
      <c r="S9700" s="1" t="s">
        <v>34218</v>
      </c>
    </row>
    <row r="9701" spans="1:19" x14ac:dyDescent="0.25">
      <c r="A9701">
        <v>101377420</v>
      </c>
      <c r="B9701" t="s">
        <v>21996</v>
      </c>
      <c r="C9701" t="s">
        <v>410</v>
      </c>
      <c r="G9701" t="s">
        <v>21997</v>
      </c>
      <c r="H9701" t="s">
        <v>8997</v>
      </c>
      <c r="I9701" t="s">
        <v>662</v>
      </c>
      <c r="J9701">
        <v>2906</v>
      </c>
      <c r="K9701">
        <v>3507</v>
      </c>
      <c r="L9701" t="s">
        <v>23</v>
      </c>
      <c r="M9701" t="s">
        <v>21997</v>
      </c>
      <c r="N9701" t="s">
        <v>8997</v>
      </c>
      <c r="O9701" t="s">
        <v>662</v>
      </c>
      <c r="P9701">
        <v>2906</v>
      </c>
      <c r="Q9701">
        <v>3507</v>
      </c>
      <c r="R9701" t="s">
        <v>23</v>
      </c>
      <c r="S9701" s="1" t="s">
        <v>34218</v>
      </c>
    </row>
    <row r="9702" spans="1:19" x14ac:dyDescent="0.25">
      <c r="A9702">
        <v>101446700</v>
      </c>
      <c r="B9702" t="s">
        <v>1807</v>
      </c>
      <c r="C9702" t="s">
        <v>483</v>
      </c>
      <c r="G9702" t="s">
        <v>21998</v>
      </c>
      <c r="H9702" t="s">
        <v>6525</v>
      </c>
      <c r="I9702" t="s">
        <v>702</v>
      </c>
      <c r="J9702">
        <v>89048</v>
      </c>
      <c r="K9702">
        <v>6361</v>
      </c>
      <c r="L9702" t="s">
        <v>23</v>
      </c>
      <c r="M9702" t="s">
        <v>21998</v>
      </c>
      <c r="N9702" t="s">
        <v>6525</v>
      </c>
      <c r="O9702" t="s">
        <v>702</v>
      </c>
      <c r="P9702">
        <v>89048</v>
      </c>
      <c r="Q9702">
        <v>6361</v>
      </c>
      <c r="R9702" t="s">
        <v>23</v>
      </c>
      <c r="S9702" s="1" t="s">
        <v>34218</v>
      </c>
    </row>
    <row r="9703" spans="1:19" x14ac:dyDescent="0.25">
      <c r="A9703">
        <v>101467195</v>
      </c>
      <c r="B9703" t="s">
        <v>21999</v>
      </c>
      <c r="C9703" t="s">
        <v>2463</v>
      </c>
      <c r="G9703" t="s">
        <v>22000</v>
      </c>
      <c r="H9703" t="s">
        <v>682</v>
      </c>
      <c r="I9703" t="s">
        <v>43</v>
      </c>
      <c r="J9703">
        <v>97535</v>
      </c>
      <c r="K9703">
        <v>7766</v>
      </c>
      <c r="L9703" t="s">
        <v>23</v>
      </c>
      <c r="M9703" t="s">
        <v>22000</v>
      </c>
      <c r="N9703" t="s">
        <v>682</v>
      </c>
      <c r="O9703" t="s">
        <v>43</v>
      </c>
      <c r="P9703">
        <v>97535</v>
      </c>
      <c r="Q9703">
        <v>7766</v>
      </c>
      <c r="R9703" t="s">
        <v>23</v>
      </c>
      <c r="S9703" s="1" t="s">
        <v>34218</v>
      </c>
    </row>
    <row r="9704" spans="1:19" x14ac:dyDescent="0.25">
      <c r="A9704">
        <v>101471293</v>
      </c>
      <c r="B9704" t="s">
        <v>826</v>
      </c>
      <c r="C9704" t="s">
        <v>432</v>
      </c>
      <c r="G9704" t="s">
        <v>22001</v>
      </c>
      <c r="H9704" t="s">
        <v>4493</v>
      </c>
      <c r="I9704" t="s">
        <v>43</v>
      </c>
      <c r="J9704">
        <v>97116</v>
      </c>
      <c r="K9704">
        <v>2138</v>
      </c>
      <c r="L9704" t="s">
        <v>23</v>
      </c>
      <c r="M9704" t="s">
        <v>22001</v>
      </c>
      <c r="N9704" t="s">
        <v>4493</v>
      </c>
      <c r="O9704" t="s">
        <v>43</v>
      </c>
      <c r="P9704">
        <v>97116</v>
      </c>
      <c r="Q9704">
        <v>2138</v>
      </c>
      <c r="R9704" t="s">
        <v>23</v>
      </c>
      <c r="S9704" s="1" t="s">
        <v>34218</v>
      </c>
    </row>
    <row r="9705" spans="1:19" x14ac:dyDescent="0.25">
      <c r="A9705">
        <v>101467225</v>
      </c>
      <c r="B9705" t="s">
        <v>22002</v>
      </c>
      <c r="C9705" t="s">
        <v>22003</v>
      </c>
      <c r="G9705" t="s">
        <v>22004</v>
      </c>
      <c r="H9705" t="s">
        <v>1193</v>
      </c>
      <c r="I9705" t="s">
        <v>126</v>
      </c>
      <c r="J9705">
        <v>63304</v>
      </c>
      <c r="K9705">
        <v>2318</v>
      </c>
      <c r="L9705" t="s">
        <v>23</v>
      </c>
      <c r="M9705" t="s">
        <v>22004</v>
      </c>
      <c r="N9705" t="s">
        <v>1193</v>
      </c>
      <c r="O9705" t="s">
        <v>126</v>
      </c>
      <c r="P9705">
        <v>63304</v>
      </c>
      <c r="Q9705">
        <v>2318</v>
      </c>
      <c r="R9705" t="s">
        <v>23</v>
      </c>
      <c r="S9705" s="1" t="s">
        <v>34218</v>
      </c>
    </row>
    <row r="9706" spans="1:19" x14ac:dyDescent="0.25">
      <c r="A9706">
        <v>101223513</v>
      </c>
      <c r="B9706" t="s">
        <v>22005</v>
      </c>
      <c r="C9706" t="s">
        <v>8637</v>
      </c>
      <c r="G9706" t="s">
        <v>22006</v>
      </c>
      <c r="H9706" t="s">
        <v>11512</v>
      </c>
      <c r="I9706" t="s">
        <v>255</v>
      </c>
      <c r="J9706">
        <v>23320</v>
      </c>
      <c r="K9706">
        <v>4992</v>
      </c>
      <c r="L9706" t="s">
        <v>23</v>
      </c>
      <c r="M9706" t="s">
        <v>22006</v>
      </c>
      <c r="N9706" t="s">
        <v>11512</v>
      </c>
      <c r="O9706" t="s">
        <v>255</v>
      </c>
      <c r="P9706">
        <v>23320</v>
      </c>
      <c r="Q9706">
        <v>4992</v>
      </c>
      <c r="R9706" t="s">
        <v>23</v>
      </c>
      <c r="S9706" s="1" t="s">
        <v>34218</v>
      </c>
    </row>
    <row r="9707" spans="1:19" x14ac:dyDescent="0.25">
      <c r="A9707">
        <v>101348562</v>
      </c>
      <c r="B9707" t="s">
        <v>22007</v>
      </c>
      <c r="C9707" t="s">
        <v>22008</v>
      </c>
      <c r="G9707" t="s">
        <v>22009</v>
      </c>
      <c r="H9707" t="s">
        <v>22010</v>
      </c>
      <c r="I9707" t="s">
        <v>38</v>
      </c>
      <c r="J9707">
        <v>75159</v>
      </c>
      <c r="K9707">
        <v>1215</v>
      </c>
      <c r="L9707" t="s">
        <v>23</v>
      </c>
      <c r="M9707" t="s">
        <v>22009</v>
      </c>
      <c r="N9707" t="s">
        <v>22010</v>
      </c>
      <c r="O9707" t="s">
        <v>38</v>
      </c>
      <c r="P9707">
        <v>75159</v>
      </c>
      <c r="Q9707">
        <v>1215</v>
      </c>
      <c r="R9707" t="s">
        <v>23</v>
      </c>
      <c r="S9707" s="1" t="s">
        <v>34218</v>
      </c>
    </row>
    <row r="9708" spans="1:19" x14ac:dyDescent="0.25">
      <c r="A9708">
        <v>100809889</v>
      </c>
      <c r="B9708" t="s">
        <v>22011</v>
      </c>
      <c r="C9708" t="s">
        <v>1429</v>
      </c>
      <c r="G9708" t="s">
        <v>22012</v>
      </c>
      <c r="H9708" t="s">
        <v>3608</v>
      </c>
      <c r="I9708" t="s">
        <v>140</v>
      </c>
      <c r="J9708">
        <v>49423</v>
      </c>
      <c r="K9708">
        <v>4411</v>
      </c>
      <c r="L9708" t="s">
        <v>23</v>
      </c>
      <c r="M9708" t="s">
        <v>22012</v>
      </c>
      <c r="N9708" t="s">
        <v>3608</v>
      </c>
      <c r="O9708" t="s">
        <v>140</v>
      </c>
      <c r="P9708">
        <v>49423</v>
      </c>
      <c r="Q9708">
        <v>4411</v>
      </c>
      <c r="R9708" t="s">
        <v>23</v>
      </c>
      <c r="S9708" s="1" t="s">
        <v>34218</v>
      </c>
    </row>
    <row r="9709" spans="1:19" x14ac:dyDescent="0.25">
      <c r="A9709">
        <v>101337559</v>
      </c>
      <c r="B9709" t="s">
        <v>22013</v>
      </c>
      <c r="C9709" t="s">
        <v>18386</v>
      </c>
      <c r="G9709" t="s">
        <v>22014</v>
      </c>
      <c r="H9709" t="s">
        <v>4481</v>
      </c>
      <c r="I9709" t="s">
        <v>22</v>
      </c>
      <c r="J9709">
        <v>94531</v>
      </c>
      <c r="K9709">
        <v>6334</v>
      </c>
      <c r="L9709" t="s">
        <v>23</v>
      </c>
      <c r="M9709" t="s">
        <v>22014</v>
      </c>
      <c r="N9709" t="s">
        <v>4481</v>
      </c>
      <c r="O9709" t="s">
        <v>22</v>
      </c>
      <c r="P9709">
        <v>94531</v>
      </c>
      <c r="Q9709">
        <v>6334</v>
      </c>
      <c r="R9709" t="s">
        <v>23</v>
      </c>
      <c r="S9709" s="1" t="s">
        <v>34218</v>
      </c>
    </row>
    <row r="9710" spans="1:19" x14ac:dyDescent="0.25">
      <c r="A9710">
        <v>100586579</v>
      </c>
      <c r="B9710" t="s">
        <v>22015</v>
      </c>
      <c r="C9710" t="s">
        <v>4046</v>
      </c>
      <c r="G9710" t="s">
        <v>22016</v>
      </c>
      <c r="H9710" t="s">
        <v>10374</v>
      </c>
      <c r="I9710" t="s">
        <v>236</v>
      </c>
      <c r="J9710">
        <v>2360</v>
      </c>
      <c r="K9710">
        <v>1146</v>
      </c>
      <c r="L9710" t="s">
        <v>23</v>
      </c>
      <c r="M9710" t="s">
        <v>22016</v>
      </c>
      <c r="N9710" t="s">
        <v>10374</v>
      </c>
      <c r="O9710" t="s">
        <v>236</v>
      </c>
      <c r="P9710">
        <v>2360</v>
      </c>
      <c r="Q9710">
        <v>1146</v>
      </c>
      <c r="R9710" t="s">
        <v>23</v>
      </c>
      <c r="S9710" s="1" t="s">
        <v>34218</v>
      </c>
    </row>
    <row r="9711" spans="1:19" x14ac:dyDescent="0.25">
      <c r="A9711">
        <v>101457326</v>
      </c>
      <c r="B9711" t="s">
        <v>22017</v>
      </c>
      <c r="C9711" t="s">
        <v>1859</v>
      </c>
      <c r="G9711" t="s">
        <v>22018</v>
      </c>
      <c r="H9711" t="s">
        <v>11842</v>
      </c>
      <c r="I9711" t="s">
        <v>57</v>
      </c>
      <c r="J9711">
        <v>46142</v>
      </c>
      <c r="L9711" t="s">
        <v>23</v>
      </c>
      <c r="M9711" t="s">
        <v>22018</v>
      </c>
      <c r="N9711" t="s">
        <v>11842</v>
      </c>
      <c r="O9711" t="s">
        <v>57</v>
      </c>
      <c r="P9711">
        <v>46142</v>
      </c>
      <c r="R9711" t="s">
        <v>23</v>
      </c>
      <c r="S9711" s="1" t="s">
        <v>34218</v>
      </c>
    </row>
    <row r="9712" spans="1:19" x14ac:dyDescent="0.25">
      <c r="A9712">
        <v>101457360</v>
      </c>
      <c r="B9712" t="s">
        <v>11830</v>
      </c>
      <c r="C9712" t="s">
        <v>403</v>
      </c>
      <c r="G9712" t="s">
        <v>22019</v>
      </c>
      <c r="H9712" t="s">
        <v>4514</v>
      </c>
      <c r="I9712" t="s">
        <v>2537</v>
      </c>
      <c r="J9712">
        <v>72703</v>
      </c>
      <c r="K9712">
        <v>2722</v>
      </c>
      <c r="L9712" t="s">
        <v>23</v>
      </c>
      <c r="M9712" t="s">
        <v>22019</v>
      </c>
      <c r="N9712" t="s">
        <v>4514</v>
      </c>
      <c r="O9712" t="s">
        <v>2537</v>
      </c>
      <c r="P9712">
        <v>72703</v>
      </c>
      <c r="Q9712">
        <v>2722</v>
      </c>
      <c r="R9712" t="s">
        <v>23</v>
      </c>
      <c r="S9712" s="1" t="s">
        <v>34218</v>
      </c>
    </row>
    <row r="9713" spans="1:19" x14ac:dyDescent="0.25">
      <c r="A9713">
        <v>101321926</v>
      </c>
      <c r="B9713" t="s">
        <v>22020</v>
      </c>
      <c r="C9713" t="s">
        <v>30</v>
      </c>
      <c r="G9713" t="s">
        <v>22021</v>
      </c>
      <c r="H9713" t="s">
        <v>496</v>
      </c>
      <c r="I9713" t="s">
        <v>22</v>
      </c>
      <c r="J9713">
        <v>94953</v>
      </c>
      <c r="K9713">
        <v>543</v>
      </c>
      <c r="L9713" t="s">
        <v>23</v>
      </c>
      <c r="M9713" t="s">
        <v>22021</v>
      </c>
      <c r="N9713" t="s">
        <v>496</v>
      </c>
      <c r="O9713" t="s">
        <v>22</v>
      </c>
      <c r="P9713">
        <v>94953</v>
      </c>
      <c r="Q9713">
        <v>543</v>
      </c>
      <c r="R9713" t="s">
        <v>23</v>
      </c>
      <c r="S9713" s="1" t="s">
        <v>34218</v>
      </c>
    </row>
    <row r="9714" spans="1:19" x14ac:dyDescent="0.25">
      <c r="A9714">
        <v>101457404</v>
      </c>
      <c r="B9714" t="s">
        <v>2061</v>
      </c>
      <c r="C9714" t="s">
        <v>7195</v>
      </c>
      <c r="G9714" t="s">
        <v>22022</v>
      </c>
      <c r="H9714" t="s">
        <v>653</v>
      </c>
      <c r="I9714" t="s">
        <v>117</v>
      </c>
      <c r="J9714">
        <v>10023</v>
      </c>
      <c r="K9714">
        <v>8004</v>
      </c>
      <c r="L9714" t="s">
        <v>23</v>
      </c>
      <c r="M9714" t="s">
        <v>22022</v>
      </c>
      <c r="N9714" t="s">
        <v>653</v>
      </c>
      <c r="O9714" t="s">
        <v>117</v>
      </c>
      <c r="P9714">
        <v>10023</v>
      </c>
      <c r="Q9714">
        <v>8004</v>
      </c>
      <c r="R9714" t="s">
        <v>23</v>
      </c>
      <c r="S9714" s="1" t="s">
        <v>34218</v>
      </c>
    </row>
    <row r="9715" spans="1:19" x14ac:dyDescent="0.25">
      <c r="A9715">
        <v>101423641</v>
      </c>
      <c r="B9715" t="s">
        <v>22023</v>
      </c>
      <c r="C9715" t="s">
        <v>387</v>
      </c>
      <c r="G9715" t="s">
        <v>22024</v>
      </c>
      <c r="H9715" t="s">
        <v>737</v>
      </c>
      <c r="I9715" t="s">
        <v>255</v>
      </c>
      <c r="J9715">
        <v>23464</v>
      </c>
      <c r="K9715">
        <v>1904</v>
      </c>
      <c r="L9715" t="s">
        <v>23</v>
      </c>
      <c r="M9715" t="s">
        <v>22024</v>
      </c>
      <c r="N9715" t="s">
        <v>737</v>
      </c>
      <c r="O9715" t="s">
        <v>255</v>
      </c>
      <c r="P9715">
        <v>23464</v>
      </c>
      <c r="Q9715">
        <v>1904</v>
      </c>
      <c r="R9715" t="s">
        <v>23</v>
      </c>
      <c r="S9715" s="1" t="s">
        <v>34218</v>
      </c>
    </row>
    <row r="9716" spans="1:19" x14ac:dyDescent="0.25">
      <c r="A9716">
        <v>101244991</v>
      </c>
      <c r="B9716" t="s">
        <v>22025</v>
      </c>
      <c r="C9716" t="s">
        <v>102</v>
      </c>
      <c r="G9716" t="s">
        <v>22026</v>
      </c>
      <c r="H9716" t="s">
        <v>22027</v>
      </c>
      <c r="I9716" t="s">
        <v>148</v>
      </c>
      <c r="J9716">
        <v>21917</v>
      </c>
      <c r="K9716">
        <v>1174</v>
      </c>
      <c r="L9716" t="s">
        <v>23</v>
      </c>
      <c r="M9716" t="s">
        <v>22026</v>
      </c>
      <c r="N9716" t="s">
        <v>22027</v>
      </c>
      <c r="O9716" t="s">
        <v>148</v>
      </c>
      <c r="P9716">
        <v>21917</v>
      </c>
      <c r="Q9716">
        <v>1174</v>
      </c>
      <c r="R9716" t="s">
        <v>23</v>
      </c>
      <c r="S9716" s="1" t="s">
        <v>34218</v>
      </c>
    </row>
    <row r="9717" spans="1:19" x14ac:dyDescent="0.25">
      <c r="A9717">
        <v>100515609</v>
      </c>
      <c r="B9717" t="s">
        <v>22028</v>
      </c>
      <c r="C9717" t="s">
        <v>1731</v>
      </c>
      <c r="G9717" t="s">
        <v>22029</v>
      </c>
      <c r="H9717" t="s">
        <v>299</v>
      </c>
      <c r="I9717" t="s">
        <v>22</v>
      </c>
      <c r="J9717">
        <v>90029</v>
      </c>
      <c r="K9717">
        <v>9398</v>
      </c>
      <c r="L9717" t="s">
        <v>23</v>
      </c>
      <c r="M9717" t="s">
        <v>22029</v>
      </c>
      <c r="N9717" t="s">
        <v>299</v>
      </c>
      <c r="O9717" t="s">
        <v>22</v>
      </c>
      <c r="P9717">
        <v>90029</v>
      </c>
      <c r="Q9717">
        <v>9398</v>
      </c>
      <c r="R9717" t="s">
        <v>23</v>
      </c>
      <c r="S9717" s="1" t="s">
        <v>34218</v>
      </c>
    </row>
    <row r="9718" spans="1:19" x14ac:dyDescent="0.25">
      <c r="A9718">
        <v>100966437</v>
      </c>
      <c r="B9718" t="s">
        <v>1698</v>
      </c>
      <c r="C9718" t="s">
        <v>45</v>
      </c>
      <c r="G9718" t="s">
        <v>22030</v>
      </c>
      <c r="H9718" t="s">
        <v>22031</v>
      </c>
      <c r="I9718" t="s">
        <v>1482</v>
      </c>
      <c r="J9718">
        <v>29565</v>
      </c>
      <c r="L9718" t="s">
        <v>23</v>
      </c>
      <c r="M9718" t="s">
        <v>22030</v>
      </c>
      <c r="N9718" t="s">
        <v>22031</v>
      </c>
      <c r="O9718" t="s">
        <v>1482</v>
      </c>
      <c r="P9718">
        <v>29565</v>
      </c>
      <c r="R9718" t="s">
        <v>23</v>
      </c>
      <c r="S9718" s="1" t="s">
        <v>34218</v>
      </c>
    </row>
    <row r="9719" spans="1:19" x14ac:dyDescent="0.25">
      <c r="A9719">
        <v>101457464</v>
      </c>
      <c r="B9719" t="s">
        <v>654</v>
      </c>
      <c r="C9719" t="s">
        <v>68</v>
      </c>
      <c r="G9719" t="s">
        <v>22032</v>
      </c>
      <c r="H9719" t="s">
        <v>3169</v>
      </c>
      <c r="I9719" t="s">
        <v>84</v>
      </c>
      <c r="J9719">
        <v>98404</v>
      </c>
      <c r="K9719">
        <v>2149</v>
      </c>
      <c r="L9719" t="s">
        <v>23</v>
      </c>
      <c r="M9719" t="s">
        <v>22032</v>
      </c>
      <c r="N9719" t="s">
        <v>3169</v>
      </c>
      <c r="O9719" t="s">
        <v>84</v>
      </c>
      <c r="P9719">
        <v>98404</v>
      </c>
      <c r="Q9719">
        <v>2149</v>
      </c>
      <c r="R9719" t="s">
        <v>23</v>
      </c>
      <c r="S9719" s="1" t="s">
        <v>34218</v>
      </c>
    </row>
    <row r="9720" spans="1:19" x14ac:dyDescent="0.25">
      <c r="A9720">
        <v>101296600</v>
      </c>
      <c r="B9720" t="s">
        <v>22033</v>
      </c>
      <c r="C9720" t="s">
        <v>90</v>
      </c>
      <c r="G9720" t="s">
        <v>22034</v>
      </c>
      <c r="H9720" t="s">
        <v>689</v>
      </c>
      <c r="I9720" t="s">
        <v>62</v>
      </c>
      <c r="J9720">
        <v>73072</v>
      </c>
      <c r="K9720">
        <v>5070</v>
      </c>
      <c r="L9720" t="s">
        <v>23</v>
      </c>
      <c r="M9720" t="s">
        <v>22034</v>
      </c>
      <c r="N9720" t="s">
        <v>689</v>
      </c>
      <c r="O9720" t="s">
        <v>62</v>
      </c>
      <c r="P9720">
        <v>73072</v>
      </c>
      <c r="Q9720">
        <v>5070</v>
      </c>
      <c r="R9720" t="s">
        <v>23</v>
      </c>
      <c r="S9720" s="1" t="s">
        <v>34218</v>
      </c>
    </row>
    <row r="9721" spans="1:19" x14ac:dyDescent="0.25">
      <c r="A9721">
        <v>101419518</v>
      </c>
      <c r="B9721" t="s">
        <v>7471</v>
      </c>
      <c r="C9721" t="s">
        <v>40</v>
      </c>
      <c r="G9721" t="s">
        <v>22035</v>
      </c>
      <c r="H9721" t="s">
        <v>496</v>
      </c>
      <c r="I9721" t="s">
        <v>22</v>
      </c>
      <c r="J9721">
        <v>94954</v>
      </c>
      <c r="K9721">
        <v>5873</v>
      </c>
      <c r="L9721" t="s">
        <v>23</v>
      </c>
      <c r="M9721" t="s">
        <v>22035</v>
      </c>
      <c r="N9721" t="s">
        <v>496</v>
      </c>
      <c r="O9721" t="s">
        <v>22</v>
      </c>
      <c r="P9721">
        <v>94954</v>
      </c>
      <c r="Q9721">
        <v>5873</v>
      </c>
      <c r="R9721" t="s">
        <v>23</v>
      </c>
      <c r="S9721" s="1" t="s">
        <v>34218</v>
      </c>
    </row>
    <row r="9722" spans="1:19" x14ac:dyDescent="0.25">
      <c r="A9722">
        <v>100650716</v>
      </c>
      <c r="B9722" t="s">
        <v>22036</v>
      </c>
      <c r="C9722" t="s">
        <v>3314</v>
      </c>
      <c r="G9722" t="s">
        <v>22037</v>
      </c>
      <c r="H9722" t="s">
        <v>3721</v>
      </c>
      <c r="I9722" t="s">
        <v>117</v>
      </c>
      <c r="J9722">
        <v>11021</v>
      </c>
      <c r="L9722" t="s">
        <v>23</v>
      </c>
      <c r="M9722" t="s">
        <v>22037</v>
      </c>
      <c r="N9722" t="s">
        <v>3721</v>
      </c>
      <c r="O9722" t="s">
        <v>117</v>
      </c>
      <c r="P9722">
        <v>11021</v>
      </c>
      <c r="R9722" t="s">
        <v>23</v>
      </c>
      <c r="S9722" s="1" t="s">
        <v>34218</v>
      </c>
    </row>
    <row r="9723" spans="1:19" x14ac:dyDescent="0.25">
      <c r="A9723">
        <v>101434812</v>
      </c>
      <c r="B9723" t="s">
        <v>256</v>
      </c>
      <c r="C9723" t="s">
        <v>21429</v>
      </c>
      <c r="G9723" t="s">
        <v>22038</v>
      </c>
      <c r="H9723" t="s">
        <v>5179</v>
      </c>
      <c r="I9723" t="s">
        <v>236</v>
      </c>
      <c r="J9723">
        <v>2145</v>
      </c>
      <c r="K9723">
        <v>3520</v>
      </c>
      <c r="L9723" t="s">
        <v>23</v>
      </c>
      <c r="M9723" t="s">
        <v>22038</v>
      </c>
      <c r="N9723" t="s">
        <v>5179</v>
      </c>
      <c r="O9723" t="s">
        <v>236</v>
      </c>
      <c r="P9723">
        <v>2145</v>
      </c>
      <c r="Q9723">
        <v>3520</v>
      </c>
      <c r="R9723" t="s">
        <v>23</v>
      </c>
      <c r="S9723" s="1" t="s">
        <v>34218</v>
      </c>
    </row>
    <row r="9724" spans="1:19" x14ac:dyDescent="0.25">
      <c r="A9724">
        <v>101430403</v>
      </c>
      <c r="B9724" t="s">
        <v>256</v>
      </c>
      <c r="C9724" t="s">
        <v>15603</v>
      </c>
      <c r="G9724" t="s">
        <v>22039</v>
      </c>
      <c r="H9724" t="s">
        <v>177</v>
      </c>
      <c r="I9724" t="s">
        <v>43</v>
      </c>
      <c r="J9724">
        <v>97520</v>
      </c>
      <c r="K9724">
        <v>1154</v>
      </c>
      <c r="L9724" t="s">
        <v>23</v>
      </c>
      <c r="M9724" t="s">
        <v>22039</v>
      </c>
      <c r="N9724" t="s">
        <v>177</v>
      </c>
      <c r="O9724" t="s">
        <v>43</v>
      </c>
      <c r="P9724">
        <v>97520</v>
      </c>
      <c r="Q9724">
        <v>1154</v>
      </c>
      <c r="R9724" t="s">
        <v>23</v>
      </c>
      <c r="S9724" s="1" t="s">
        <v>34218</v>
      </c>
    </row>
    <row r="9725" spans="1:19" x14ac:dyDescent="0.25">
      <c r="A9725">
        <v>101434955</v>
      </c>
      <c r="B9725" t="s">
        <v>22040</v>
      </c>
      <c r="C9725" t="s">
        <v>137</v>
      </c>
      <c r="G9725" t="s">
        <v>22041</v>
      </c>
      <c r="H9725" t="s">
        <v>22042</v>
      </c>
      <c r="I9725" t="s">
        <v>100</v>
      </c>
      <c r="J9725">
        <v>54001</v>
      </c>
      <c r="K9725">
        <v>1124</v>
      </c>
      <c r="L9725" t="s">
        <v>23</v>
      </c>
      <c r="M9725" t="s">
        <v>22041</v>
      </c>
      <c r="N9725" t="s">
        <v>22042</v>
      </c>
      <c r="O9725" t="s">
        <v>100</v>
      </c>
      <c r="P9725">
        <v>54001</v>
      </c>
      <c r="Q9725">
        <v>1124</v>
      </c>
      <c r="R9725" t="s">
        <v>23</v>
      </c>
      <c r="S9725" s="1" t="s">
        <v>34218</v>
      </c>
    </row>
    <row r="9726" spans="1:19" x14ac:dyDescent="0.25">
      <c r="A9726">
        <v>100737586</v>
      </c>
      <c r="B9726" t="s">
        <v>22043</v>
      </c>
      <c r="C9726" t="s">
        <v>4502</v>
      </c>
      <c r="G9726" t="s">
        <v>22044</v>
      </c>
      <c r="H9726" t="s">
        <v>2202</v>
      </c>
      <c r="I9726" t="s">
        <v>565</v>
      </c>
      <c r="J9726">
        <v>51106</v>
      </c>
      <c r="K9726">
        <v>3272</v>
      </c>
      <c r="L9726" t="s">
        <v>23</v>
      </c>
      <c r="M9726" t="s">
        <v>22044</v>
      </c>
      <c r="N9726" t="s">
        <v>2202</v>
      </c>
      <c r="O9726" t="s">
        <v>565</v>
      </c>
      <c r="P9726">
        <v>51106</v>
      </c>
      <c r="Q9726">
        <v>3272</v>
      </c>
      <c r="R9726" t="s">
        <v>23</v>
      </c>
      <c r="S9726" s="1" t="s">
        <v>34218</v>
      </c>
    </row>
    <row r="9727" spans="1:19" x14ac:dyDescent="0.25">
      <c r="A9727">
        <v>100638808</v>
      </c>
      <c r="B9727" t="s">
        <v>4471</v>
      </c>
      <c r="C9727" t="s">
        <v>1463</v>
      </c>
      <c r="G9727" t="s">
        <v>22045</v>
      </c>
      <c r="H9727" t="s">
        <v>2601</v>
      </c>
      <c r="I9727" t="s">
        <v>22</v>
      </c>
      <c r="J9727">
        <v>93940</v>
      </c>
      <c r="K9727">
        <v>1439</v>
      </c>
      <c r="L9727" t="s">
        <v>23</v>
      </c>
      <c r="M9727" t="s">
        <v>22045</v>
      </c>
      <c r="N9727" t="s">
        <v>2601</v>
      </c>
      <c r="O9727" t="s">
        <v>22</v>
      </c>
      <c r="P9727">
        <v>93940</v>
      </c>
      <c r="Q9727">
        <v>1439</v>
      </c>
      <c r="R9727" t="s">
        <v>23</v>
      </c>
      <c r="S9727" s="1" t="s">
        <v>34218</v>
      </c>
    </row>
    <row r="9728" spans="1:19" x14ac:dyDescent="0.25">
      <c r="A9728">
        <v>101281577</v>
      </c>
      <c r="B9728" t="s">
        <v>13577</v>
      </c>
      <c r="C9728" t="s">
        <v>803</v>
      </c>
      <c r="G9728" t="s">
        <v>22046</v>
      </c>
      <c r="H9728" t="s">
        <v>22047</v>
      </c>
      <c r="I9728" t="s">
        <v>236</v>
      </c>
      <c r="J9728">
        <v>2536</v>
      </c>
      <c r="K9728">
        <v>5054</v>
      </c>
      <c r="L9728" t="s">
        <v>23</v>
      </c>
      <c r="M9728" t="s">
        <v>22046</v>
      </c>
      <c r="N9728" t="s">
        <v>22047</v>
      </c>
      <c r="O9728" t="s">
        <v>236</v>
      </c>
      <c r="P9728">
        <v>2536</v>
      </c>
      <c r="Q9728">
        <v>5054</v>
      </c>
      <c r="R9728" t="s">
        <v>23</v>
      </c>
      <c r="S9728" s="1" t="s">
        <v>34218</v>
      </c>
    </row>
    <row r="9729" spans="1:19" x14ac:dyDescent="0.25">
      <c r="A9729">
        <v>101410377</v>
      </c>
      <c r="B9729" t="s">
        <v>21146</v>
      </c>
      <c r="C9729" t="s">
        <v>3058</v>
      </c>
      <c r="G9729" t="s">
        <v>22048</v>
      </c>
      <c r="H9729" t="s">
        <v>1748</v>
      </c>
      <c r="I9729" t="s">
        <v>236</v>
      </c>
      <c r="J9729">
        <v>2474</v>
      </c>
      <c r="K9729">
        <v>8518</v>
      </c>
      <c r="L9729" t="s">
        <v>23</v>
      </c>
      <c r="M9729" t="s">
        <v>22048</v>
      </c>
      <c r="N9729" t="s">
        <v>1748</v>
      </c>
      <c r="O9729" t="s">
        <v>236</v>
      </c>
      <c r="P9729">
        <v>2474</v>
      </c>
      <c r="Q9729">
        <v>8518</v>
      </c>
      <c r="R9729" t="s">
        <v>23</v>
      </c>
      <c r="S9729" s="1" t="s">
        <v>34218</v>
      </c>
    </row>
    <row r="9730" spans="1:19" x14ac:dyDescent="0.25">
      <c r="A9730">
        <v>101072275</v>
      </c>
      <c r="B9730" t="s">
        <v>22049</v>
      </c>
      <c r="C9730" t="s">
        <v>391</v>
      </c>
      <c r="G9730" t="s">
        <v>22050</v>
      </c>
      <c r="H9730" t="s">
        <v>3772</v>
      </c>
      <c r="I9730" t="s">
        <v>365</v>
      </c>
      <c r="J9730">
        <v>85614</v>
      </c>
      <c r="K9730">
        <v>2326</v>
      </c>
      <c r="L9730" t="s">
        <v>23</v>
      </c>
      <c r="M9730" t="s">
        <v>22050</v>
      </c>
      <c r="N9730" t="s">
        <v>3772</v>
      </c>
      <c r="O9730" t="s">
        <v>365</v>
      </c>
      <c r="P9730">
        <v>85614</v>
      </c>
      <c r="Q9730">
        <v>2326</v>
      </c>
      <c r="R9730" t="s">
        <v>23</v>
      </c>
      <c r="S9730" s="1" t="s">
        <v>34218</v>
      </c>
    </row>
    <row r="9731" spans="1:19" x14ac:dyDescent="0.25">
      <c r="A9731">
        <v>101433563</v>
      </c>
      <c r="B9731" t="s">
        <v>22051</v>
      </c>
      <c r="C9731" t="s">
        <v>410</v>
      </c>
      <c r="G9731" t="s">
        <v>22052</v>
      </c>
      <c r="H9731" t="s">
        <v>14725</v>
      </c>
      <c r="I9731" t="s">
        <v>117</v>
      </c>
      <c r="J9731">
        <v>13316</v>
      </c>
      <c r="K9731">
        <v>5739</v>
      </c>
      <c r="L9731" t="s">
        <v>23</v>
      </c>
      <c r="M9731" t="s">
        <v>22052</v>
      </c>
      <c r="N9731" t="s">
        <v>14725</v>
      </c>
      <c r="O9731" t="s">
        <v>117</v>
      </c>
      <c r="P9731">
        <v>13316</v>
      </c>
      <c r="Q9731">
        <v>5739</v>
      </c>
      <c r="R9731" t="s">
        <v>23</v>
      </c>
      <c r="S9731" s="1" t="s">
        <v>34218</v>
      </c>
    </row>
    <row r="9732" spans="1:19" x14ac:dyDescent="0.25">
      <c r="A9732">
        <v>100701366</v>
      </c>
      <c r="B9732" t="s">
        <v>16293</v>
      </c>
      <c r="C9732" t="s">
        <v>22053</v>
      </c>
      <c r="G9732" t="s">
        <v>22054</v>
      </c>
      <c r="H9732" t="s">
        <v>13574</v>
      </c>
      <c r="I9732" t="s">
        <v>33</v>
      </c>
      <c r="J9732">
        <v>15102</v>
      </c>
      <c r="K9732">
        <v>1874</v>
      </c>
      <c r="L9732" t="s">
        <v>23</v>
      </c>
      <c r="M9732" t="s">
        <v>22054</v>
      </c>
      <c r="N9732" t="s">
        <v>13574</v>
      </c>
      <c r="O9732" t="s">
        <v>33</v>
      </c>
      <c r="P9732">
        <v>15102</v>
      </c>
      <c r="Q9732">
        <v>1874</v>
      </c>
      <c r="R9732" t="s">
        <v>23</v>
      </c>
      <c r="S9732" s="1" t="s">
        <v>34218</v>
      </c>
    </row>
    <row r="9733" spans="1:19" x14ac:dyDescent="0.25">
      <c r="A9733">
        <v>101245018</v>
      </c>
      <c r="B9733" t="s">
        <v>22055</v>
      </c>
      <c r="C9733" t="s">
        <v>22056</v>
      </c>
      <c r="G9733" t="s">
        <v>22057</v>
      </c>
      <c r="H9733" t="s">
        <v>2231</v>
      </c>
      <c r="I9733" t="s">
        <v>22</v>
      </c>
      <c r="J9733">
        <v>91206</v>
      </c>
      <c r="K9733">
        <v>3126</v>
      </c>
      <c r="L9733" t="s">
        <v>23</v>
      </c>
      <c r="M9733" t="s">
        <v>22057</v>
      </c>
      <c r="N9733" t="s">
        <v>2231</v>
      </c>
      <c r="O9733" t="s">
        <v>22</v>
      </c>
      <c r="P9733">
        <v>91206</v>
      </c>
      <c r="Q9733">
        <v>3126</v>
      </c>
      <c r="R9733" t="s">
        <v>23</v>
      </c>
      <c r="S9733" s="1" t="s">
        <v>34218</v>
      </c>
    </row>
    <row r="9734" spans="1:19" x14ac:dyDescent="0.25">
      <c r="A9734">
        <v>101312357</v>
      </c>
      <c r="B9734" t="s">
        <v>9769</v>
      </c>
      <c r="C9734" t="s">
        <v>68</v>
      </c>
      <c r="G9734" t="s">
        <v>22058</v>
      </c>
      <c r="H9734" t="s">
        <v>8280</v>
      </c>
      <c r="I9734" t="s">
        <v>1097</v>
      </c>
      <c r="J9734">
        <v>40502</v>
      </c>
      <c r="K9734">
        <v>1514</v>
      </c>
      <c r="L9734" t="s">
        <v>23</v>
      </c>
      <c r="M9734" t="s">
        <v>22058</v>
      </c>
      <c r="N9734" t="s">
        <v>8280</v>
      </c>
      <c r="O9734" t="s">
        <v>1097</v>
      </c>
      <c r="P9734">
        <v>40502</v>
      </c>
      <c r="Q9734">
        <v>1514</v>
      </c>
      <c r="R9734" t="s">
        <v>23</v>
      </c>
      <c r="S9734" s="1" t="s">
        <v>34218</v>
      </c>
    </row>
    <row r="9735" spans="1:19" x14ac:dyDescent="0.25">
      <c r="A9735">
        <v>101217178</v>
      </c>
      <c r="B9735" t="s">
        <v>4003</v>
      </c>
      <c r="C9735" t="s">
        <v>1363</v>
      </c>
      <c r="G9735" t="s">
        <v>22059</v>
      </c>
      <c r="H9735" t="s">
        <v>2824</v>
      </c>
      <c r="I9735" t="s">
        <v>191</v>
      </c>
      <c r="J9735">
        <v>4092</v>
      </c>
      <c r="K9735">
        <v>2713</v>
      </c>
      <c r="L9735" t="s">
        <v>23</v>
      </c>
      <c r="M9735" t="s">
        <v>22059</v>
      </c>
      <c r="N9735" t="s">
        <v>2824</v>
      </c>
      <c r="O9735" t="s">
        <v>191</v>
      </c>
      <c r="P9735">
        <v>4092</v>
      </c>
      <c r="Q9735">
        <v>2713</v>
      </c>
      <c r="R9735" t="s">
        <v>23</v>
      </c>
      <c r="S9735" s="1" t="s">
        <v>34218</v>
      </c>
    </row>
    <row r="9736" spans="1:19" x14ac:dyDescent="0.25">
      <c r="A9736">
        <v>101219734</v>
      </c>
      <c r="B9736" t="s">
        <v>22060</v>
      </c>
      <c r="C9736" t="s">
        <v>3121</v>
      </c>
      <c r="G9736" t="s">
        <v>22061</v>
      </c>
      <c r="H9736" t="s">
        <v>227</v>
      </c>
      <c r="I9736" t="s">
        <v>43</v>
      </c>
      <c r="J9736">
        <v>97267</v>
      </c>
      <c r="K9736">
        <v>6924</v>
      </c>
      <c r="L9736" t="s">
        <v>23</v>
      </c>
      <c r="M9736" t="s">
        <v>22061</v>
      </c>
      <c r="N9736" t="s">
        <v>227</v>
      </c>
      <c r="O9736" t="s">
        <v>43</v>
      </c>
      <c r="P9736">
        <v>97267</v>
      </c>
      <c r="Q9736">
        <v>6924</v>
      </c>
      <c r="R9736" t="s">
        <v>23</v>
      </c>
      <c r="S9736" s="1" t="s">
        <v>34218</v>
      </c>
    </row>
    <row r="9737" spans="1:19" x14ac:dyDescent="0.25">
      <c r="A9737">
        <v>101220096</v>
      </c>
      <c r="B9737" t="s">
        <v>2080</v>
      </c>
      <c r="C9737" t="s">
        <v>2075</v>
      </c>
      <c r="G9737" t="s">
        <v>22062</v>
      </c>
      <c r="H9737" t="s">
        <v>88</v>
      </c>
      <c r="I9737" t="s">
        <v>22</v>
      </c>
      <c r="J9737">
        <v>94605</v>
      </c>
      <c r="K9737">
        <v>2107</v>
      </c>
      <c r="L9737" t="s">
        <v>23</v>
      </c>
      <c r="M9737" t="s">
        <v>22062</v>
      </c>
      <c r="N9737" t="s">
        <v>88</v>
      </c>
      <c r="O9737" t="s">
        <v>22</v>
      </c>
      <c r="P9737">
        <v>94605</v>
      </c>
      <c r="Q9737">
        <v>2107</v>
      </c>
      <c r="R9737" t="s">
        <v>23</v>
      </c>
      <c r="S9737" s="1" t="s">
        <v>34218</v>
      </c>
    </row>
    <row r="9738" spans="1:19" x14ac:dyDescent="0.25">
      <c r="A9738">
        <v>101227641</v>
      </c>
      <c r="B9738" t="s">
        <v>1970</v>
      </c>
      <c r="C9738" t="s">
        <v>894</v>
      </c>
      <c r="G9738" t="s">
        <v>22063</v>
      </c>
      <c r="H9738" t="s">
        <v>511</v>
      </c>
      <c r="I9738" t="s">
        <v>71</v>
      </c>
      <c r="J9738">
        <v>80516</v>
      </c>
      <c r="K9738">
        <v>6980</v>
      </c>
      <c r="L9738" t="s">
        <v>23</v>
      </c>
      <c r="M9738" t="s">
        <v>22063</v>
      </c>
      <c r="N9738" t="s">
        <v>511</v>
      </c>
      <c r="O9738" t="s">
        <v>71</v>
      </c>
      <c r="P9738">
        <v>80516</v>
      </c>
      <c r="Q9738">
        <v>6980</v>
      </c>
      <c r="R9738" t="s">
        <v>23</v>
      </c>
      <c r="S9738" s="1" t="s">
        <v>34218</v>
      </c>
    </row>
    <row r="9739" spans="1:19" x14ac:dyDescent="0.25">
      <c r="A9739">
        <v>101295193</v>
      </c>
      <c r="B9739" t="s">
        <v>22064</v>
      </c>
      <c r="C9739" t="s">
        <v>2518</v>
      </c>
      <c r="G9739" t="s">
        <v>22065</v>
      </c>
      <c r="H9739" t="s">
        <v>638</v>
      </c>
      <c r="I9739" t="s">
        <v>639</v>
      </c>
      <c r="J9739">
        <v>87123</v>
      </c>
      <c r="K9739">
        <v>2281</v>
      </c>
      <c r="L9739" t="s">
        <v>23</v>
      </c>
      <c r="M9739" t="s">
        <v>22065</v>
      </c>
      <c r="N9739" t="s">
        <v>638</v>
      </c>
      <c r="O9739" t="s">
        <v>639</v>
      </c>
      <c r="P9739">
        <v>87123</v>
      </c>
      <c r="Q9739">
        <v>2281</v>
      </c>
      <c r="R9739" t="s">
        <v>23</v>
      </c>
      <c r="S9739" s="1" t="s">
        <v>34218</v>
      </c>
    </row>
    <row r="9740" spans="1:19" x14ac:dyDescent="0.25">
      <c r="A9740">
        <v>101295188</v>
      </c>
      <c r="B9740" t="s">
        <v>14363</v>
      </c>
      <c r="C9740" t="s">
        <v>1285</v>
      </c>
      <c r="G9740" t="s">
        <v>22066</v>
      </c>
      <c r="H9740" t="s">
        <v>4199</v>
      </c>
      <c r="I9740" t="s">
        <v>71</v>
      </c>
      <c r="J9740">
        <v>80026</v>
      </c>
      <c r="K9740">
        <v>1053</v>
      </c>
      <c r="L9740" t="s">
        <v>23</v>
      </c>
      <c r="M9740" t="s">
        <v>22066</v>
      </c>
      <c r="N9740" t="s">
        <v>4199</v>
      </c>
      <c r="O9740" t="s">
        <v>71</v>
      </c>
      <c r="P9740">
        <v>80026</v>
      </c>
      <c r="Q9740">
        <v>1053</v>
      </c>
      <c r="R9740" t="s">
        <v>23</v>
      </c>
      <c r="S9740" s="1" t="s">
        <v>34218</v>
      </c>
    </row>
    <row r="9741" spans="1:19" x14ac:dyDescent="0.25">
      <c r="A9741">
        <v>101295253</v>
      </c>
      <c r="B9741" t="s">
        <v>6810</v>
      </c>
      <c r="C9741" t="s">
        <v>1043</v>
      </c>
      <c r="G9741" t="s">
        <v>22067</v>
      </c>
      <c r="H9741" t="s">
        <v>2890</v>
      </c>
      <c r="I9741" t="s">
        <v>307</v>
      </c>
      <c r="J9741">
        <v>5765</v>
      </c>
      <c r="K9741">
        <v>1106</v>
      </c>
      <c r="L9741" t="s">
        <v>23</v>
      </c>
      <c r="M9741" t="s">
        <v>22067</v>
      </c>
      <c r="N9741" t="s">
        <v>2890</v>
      </c>
      <c r="O9741" t="s">
        <v>307</v>
      </c>
      <c r="P9741">
        <v>5765</v>
      </c>
      <c r="Q9741">
        <v>1106</v>
      </c>
      <c r="R9741" t="s">
        <v>23</v>
      </c>
      <c r="S9741" s="1" t="s">
        <v>34218</v>
      </c>
    </row>
    <row r="9742" spans="1:19" x14ac:dyDescent="0.25">
      <c r="A9742">
        <v>101297795</v>
      </c>
      <c r="B9742" t="s">
        <v>22068</v>
      </c>
      <c r="C9742" t="s">
        <v>1581</v>
      </c>
      <c r="F9742" t="str">
        <f>"2488894764"</f>
        <v>2488894764</v>
      </c>
      <c r="G9742" t="s">
        <v>22069</v>
      </c>
      <c r="H9742" t="s">
        <v>3243</v>
      </c>
      <c r="I9742" t="s">
        <v>140</v>
      </c>
      <c r="J9742">
        <v>48357</v>
      </c>
      <c r="K9742">
        <v>2152</v>
      </c>
      <c r="L9742" t="s">
        <v>23</v>
      </c>
      <c r="M9742" t="s">
        <v>22069</v>
      </c>
      <c r="N9742" t="s">
        <v>3243</v>
      </c>
      <c r="O9742" t="s">
        <v>140</v>
      </c>
      <c r="P9742">
        <v>48357</v>
      </c>
      <c r="Q9742">
        <v>2152</v>
      </c>
      <c r="R9742" t="s">
        <v>23</v>
      </c>
      <c r="S9742" s="1" t="s">
        <v>34218</v>
      </c>
    </row>
    <row r="9743" spans="1:19" x14ac:dyDescent="0.25">
      <c r="A9743">
        <v>101294251</v>
      </c>
      <c r="B9743" t="s">
        <v>22070</v>
      </c>
      <c r="C9743" t="s">
        <v>30</v>
      </c>
      <c r="G9743" t="s">
        <v>22071</v>
      </c>
      <c r="H9743" t="s">
        <v>5738</v>
      </c>
      <c r="I9743" t="s">
        <v>135</v>
      </c>
      <c r="J9743">
        <v>60076</v>
      </c>
      <c r="K9743">
        <v>3836</v>
      </c>
      <c r="L9743" t="s">
        <v>23</v>
      </c>
      <c r="M9743" t="s">
        <v>22071</v>
      </c>
      <c r="N9743" t="s">
        <v>5738</v>
      </c>
      <c r="O9743" t="s">
        <v>135</v>
      </c>
      <c r="P9743">
        <v>60076</v>
      </c>
      <c r="Q9743">
        <v>3836</v>
      </c>
      <c r="R9743" t="s">
        <v>23</v>
      </c>
      <c r="S9743" s="1" t="s">
        <v>34218</v>
      </c>
    </row>
    <row r="9744" spans="1:19" x14ac:dyDescent="0.25">
      <c r="A9744">
        <v>101295863</v>
      </c>
      <c r="B9744" t="s">
        <v>22072</v>
      </c>
      <c r="C9744" t="s">
        <v>180</v>
      </c>
      <c r="G9744" t="s">
        <v>22073</v>
      </c>
      <c r="H9744" t="s">
        <v>4583</v>
      </c>
      <c r="I9744" t="s">
        <v>236</v>
      </c>
      <c r="J9744">
        <v>1754</v>
      </c>
      <c r="K9744">
        <v>1739</v>
      </c>
      <c r="L9744" t="s">
        <v>23</v>
      </c>
      <c r="M9744" t="s">
        <v>22073</v>
      </c>
      <c r="N9744" t="s">
        <v>4583</v>
      </c>
      <c r="O9744" t="s">
        <v>236</v>
      </c>
      <c r="P9744">
        <v>1754</v>
      </c>
      <c r="Q9744">
        <v>1739</v>
      </c>
      <c r="R9744" t="s">
        <v>23</v>
      </c>
      <c r="S9744" s="1" t="s">
        <v>34218</v>
      </c>
    </row>
    <row r="9745" spans="1:19" x14ac:dyDescent="0.25">
      <c r="A9745">
        <v>101299669</v>
      </c>
      <c r="B9745" t="s">
        <v>22074</v>
      </c>
      <c r="C9745" t="s">
        <v>18574</v>
      </c>
      <c r="G9745" t="s">
        <v>22075</v>
      </c>
      <c r="H9745" t="s">
        <v>17035</v>
      </c>
      <c r="I9745" t="s">
        <v>100</v>
      </c>
      <c r="J9745">
        <v>54494</v>
      </c>
      <c r="K9745">
        <v>9452</v>
      </c>
      <c r="L9745" t="s">
        <v>23</v>
      </c>
      <c r="M9745" t="s">
        <v>22075</v>
      </c>
      <c r="N9745" t="s">
        <v>17035</v>
      </c>
      <c r="O9745" t="s">
        <v>100</v>
      </c>
      <c r="P9745">
        <v>54494</v>
      </c>
      <c r="Q9745">
        <v>9452</v>
      </c>
      <c r="R9745" t="s">
        <v>23</v>
      </c>
      <c r="S9745" s="1" t="s">
        <v>34218</v>
      </c>
    </row>
    <row r="9746" spans="1:19" x14ac:dyDescent="0.25">
      <c r="A9746">
        <v>101296771</v>
      </c>
      <c r="B9746" t="s">
        <v>22076</v>
      </c>
      <c r="C9746" t="s">
        <v>247</v>
      </c>
      <c r="G9746" t="s">
        <v>22077</v>
      </c>
      <c r="H9746" t="s">
        <v>11379</v>
      </c>
      <c r="I9746" t="s">
        <v>2566</v>
      </c>
      <c r="J9746">
        <v>99507</v>
      </c>
      <c r="K9746">
        <v>2885</v>
      </c>
      <c r="L9746" t="s">
        <v>23</v>
      </c>
      <c r="M9746" t="s">
        <v>22077</v>
      </c>
      <c r="N9746" t="s">
        <v>11379</v>
      </c>
      <c r="O9746" t="s">
        <v>2566</v>
      </c>
      <c r="P9746">
        <v>99507</v>
      </c>
      <c r="Q9746">
        <v>2885</v>
      </c>
      <c r="R9746" t="s">
        <v>23</v>
      </c>
      <c r="S9746" s="1" t="s">
        <v>34218</v>
      </c>
    </row>
    <row r="9747" spans="1:19" x14ac:dyDescent="0.25">
      <c r="A9747">
        <v>101303341</v>
      </c>
      <c r="B9747" t="s">
        <v>22078</v>
      </c>
      <c r="C9747" t="s">
        <v>436</v>
      </c>
      <c r="G9747" t="s">
        <v>22079</v>
      </c>
      <c r="H9747" t="s">
        <v>9013</v>
      </c>
      <c r="I9747" t="s">
        <v>38</v>
      </c>
      <c r="J9747">
        <v>75401</v>
      </c>
      <c r="K9747">
        <v>7507</v>
      </c>
      <c r="L9747" t="s">
        <v>23</v>
      </c>
      <c r="M9747" t="s">
        <v>22079</v>
      </c>
      <c r="N9747" t="s">
        <v>9013</v>
      </c>
      <c r="O9747" t="s">
        <v>38</v>
      </c>
      <c r="P9747">
        <v>75401</v>
      </c>
      <c r="Q9747">
        <v>7507</v>
      </c>
      <c r="R9747" t="s">
        <v>23</v>
      </c>
      <c r="S9747" s="1" t="s">
        <v>34218</v>
      </c>
    </row>
    <row r="9748" spans="1:19" x14ac:dyDescent="0.25">
      <c r="A9748">
        <v>100906776</v>
      </c>
      <c r="B9748" t="s">
        <v>1057</v>
      </c>
      <c r="C9748" t="s">
        <v>286</v>
      </c>
      <c r="G9748" t="s">
        <v>22080</v>
      </c>
      <c r="H9748" t="s">
        <v>2668</v>
      </c>
      <c r="I9748" t="s">
        <v>22</v>
      </c>
      <c r="J9748">
        <v>95051</v>
      </c>
      <c r="L9748" t="s">
        <v>23</v>
      </c>
      <c r="M9748" t="s">
        <v>22080</v>
      </c>
      <c r="N9748" t="s">
        <v>2668</v>
      </c>
      <c r="O9748" t="s">
        <v>22</v>
      </c>
      <c r="P9748">
        <v>95051</v>
      </c>
      <c r="R9748" t="s">
        <v>23</v>
      </c>
      <c r="S9748" s="1" t="s">
        <v>34218</v>
      </c>
    </row>
    <row r="9749" spans="1:19" x14ac:dyDescent="0.25">
      <c r="A9749">
        <v>101320076</v>
      </c>
      <c r="B9749" t="s">
        <v>14980</v>
      </c>
      <c r="C9749" t="s">
        <v>2235</v>
      </c>
      <c r="G9749" t="s">
        <v>22081</v>
      </c>
      <c r="H9749" t="s">
        <v>4611</v>
      </c>
      <c r="I9749" t="s">
        <v>135</v>
      </c>
      <c r="J9749">
        <v>60137</v>
      </c>
      <c r="K9749">
        <v>4619</v>
      </c>
      <c r="L9749" t="s">
        <v>23</v>
      </c>
      <c r="M9749" t="s">
        <v>22081</v>
      </c>
      <c r="N9749" t="s">
        <v>4611</v>
      </c>
      <c r="O9749" t="s">
        <v>135</v>
      </c>
      <c r="P9749">
        <v>60137</v>
      </c>
      <c r="Q9749">
        <v>4619</v>
      </c>
      <c r="R9749" t="s">
        <v>23</v>
      </c>
      <c r="S9749" s="1" t="s">
        <v>34218</v>
      </c>
    </row>
    <row r="9750" spans="1:19" x14ac:dyDescent="0.25">
      <c r="A9750">
        <v>101456764</v>
      </c>
      <c r="B9750" t="s">
        <v>2479</v>
      </c>
      <c r="C9750" t="s">
        <v>874</v>
      </c>
      <c r="G9750" t="s">
        <v>22082</v>
      </c>
      <c r="H9750" t="s">
        <v>22083</v>
      </c>
      <c r="I9750" t="s">
        <v>236</v>
      </c>
      <c r="J9750">
        <v>1013</v>
      </c>
      <c r="K9750">
        <v>1329</v>
      </c>
      <c r="L9750" t="s">
        <v>23</v>
      </c>
      <c r="M9750" t="s">
        <v>22082</v>
      </c>
      <c r="N9750" t="s">
        <v>22083</v>
      </c>
      <c r="O9750" t="s">
        <v>236</v>
      </c>
      <c r="P9750">
        <v>1013</v>
      </c>
      <c r="Q9750">
        <v>1329</v>
      </c>
      <c r="R9750" t="s">
        <v>23</v>
      </c>
      <c r="S9750" s="1" t="s">
        <v>34218</v>
      </c>
    </row>
    <row r="9751" spans="1:19" x14ac:dyDescent="0.25">
      <c r="A9751">
        <v>101456768</v>
      </c>
      <c r="B9751" t="s">
        <v>22084</v>
      </c>
      <c r="C9751" t="s">
        <v>22085</v>
      </c>
      <c r="G9751" t="s">
        <v>22086</v>
      </c>
      <c r="H9751" t="s">
        <v>7166</v>
      </c>
      <c r="I9751" t="s">
        <v>250</v>
      </c>
      <c r="J9751">
        <v>8721</v>
      </c>
      <c r="K9751">
        <v>3228</v>
      </c>
      <c r="L9751" t="s">
        <v>23</v>
      </c>
      <c r="M9751" t="s">
        <v>22086</v>
      </c>
      <c r="N9751" t="s">
        <v>7166</v>
      </c>
      <c r="O9751" t="s">
        <v>250</v>
      </c>
      <c r="P9751">
        <v>8721</v>
      </c>
      <c r="Q9751">
        <v>3228</v>
      </c>
      <c r="R9751" t="s">
        <v>23</v>
      </c>
      <c r="S9751" s="1" t="s">
        <v>34218</v>
      </c>
    </row>
    <row r="9752" spans="1:19" x14ac:dyDescent="0.25">
      <c r="A9752">
        <v>101445503</v>
      </c>
      <c r="B9752" t="s">
        <v>2287</v>
      </c>
      <c r="C9752" t="s">
        <v>22087</v>
      </c>
      <c r="G9752" t="s">
        <v>22088</v>
      </c>
      <c r="H9752" t="s">
        <v>1052</v>
      </c>
      <c r="I9752" t="s">
        <v>22</v>
      </c>
      <c r="J9752">
        <v>94706</v>
      </c>
      <c r="K9752">
        <v>1525</v>
      </c>
      <c r="L9752" t="s">
        <v>23</v>
      </c>
      <c r="M9752" t="s">
        <v>22088</v>
      </c>
      <c r="N9752" t="s">
        <v>1052</v>
      </c>
      <c r="O9752" t="s">
        <v>22</v>
      </c>
      <c r="P9752">
        <v>94706</v>
      </c>
      <c r="Q9752">
        <v>1525</v>
      </c>
      <c r="R9752" t="s">
        <v>23</v>
      </c>
      <c r="S9752" s="1" t="s">
        <v>34218</v>
      </c>
    </row>
    <row r="9753" spans="1:19" x14ac:dyDescent="0.25">
      <c r="A9753">
        <v>100905984</v>
      </c>
      <c r="B9753" t="s">
        <v>22089</v>
      </c>
      <c r="C9753" t="s">
        <v>22090</v>
      </c>
      <c r="G9753" t="s">
        <v>22091</v>
      </c>
      <c r="H9753" t="s">
        <v>3363</v>
      </c>
      <c r="I9753" t="s">
        <v>33</v>
      </c>
      <c r="J9753">
        <v>15241</v>
      </c>
      <c r="K9753">
        <v>3316</v>
      </c>
      <c r="L9753" t="s">
        <v>23</v>
      </c>
      <c r="M9753" t="s">
        <v>22091</v>
      </c>
      <c r="N9753" t="s">
        <v>3363</v>
      </c>
      <c r="O9753" t="s">
        <v>33</v>
      </c>
      <c r="P9753">
        <v>15241</v>
      </c>
      <c r="Q9753">
        <v>3316</v>
      </c>
      <c r="R9753" t="s">
        <v>23</v>
      </c>
      <c r="S9753" s="1" t="s">
        <v>34218</v>
      </c>
    </row>
    <row r="9754" spans="1:19" x14ac:dyDescent="0.25">
      <c r="A9754">
        <v>100710217</v>
      </c>
      <c r="B9754" t="s">
        <v>22092</v>
      </c>
      <c r="C9754" t="s">
        <v>22092</v>
      </c>
      <c r="G9754" t="s">
        <v>22093</v>
      </c>
      <c r="H9754" t="s">
        <v>8296</v>
      </c>
      <c r="I9754" t="s">
        <v>984</v>
      </c>
      <c r="J9754">
        <v>96753</v>
      </c>
      <c r="K9754">
        <v>8990</v>
      </c>
      <c r="L9754" t="s">
        <v>23</v>
      </c>
      <c r="M9754" t="s">
        <v>22093</v>
      </c>
      <c r="N9754" t="s">
        <v>8296</v>
      </c>
      <c r="O9754" t="s">
        <v>984</v>
      </c>
      <c r="P9754">
        <v>96753</v>
      </c>
      <c r="Q9754">
        <v>8990</v>
      </c>
      <c r="R9754" t="s">
        <v>23</v>
      </c>
      <c r="S9754" s="1" t="s">
        <v>34218</v>
      </c>
    </row>
    <row r="9755" spans="1:19" x14ac:dyDescent="0.25">
      <c r="A9755">
        <v>101456837</v>
      </c>
      <c r="B9755" t="s">
        <v>22094</v>
      </c>
      <c r="C9755" t="s">
        <v>579</v>
      </c>
      <c r="G9755" t="s">
        <v>22095</v>
      </c>
      <c r="H9755" t="s">
        <v>423</v>
      </c>
      <c r="I9755" t="s">
        <v>71</v>
      </c>
      <c r="J9755">
        <v>80301</v>
      </c>
      <c r="K9755">
        <v>6077</v>
      </c>
      <c r="L9755" t="s">
        <v>23</v>
      </c>
      <c r="M9755" t="s">
        <v>22095</v>
      </c>
      <c r="N9755" t="s">
        <v>423</v>
      </c>
      <c r="O9755" t="s">
        <v>71</v>
      </c>
      <c r="P9755">
        <v>80301</v>
      </c>
      <c r="Q9755">
        <v>6077</v>
      </c>
      <c r="R9755" t="s">
        <v>23</v>
      </c>
      <c r="S9755" s="1" t="s">
        <v>34218</v>
      </c>
    </row>
    <row r="9756" spans="1:19" x14ac:dyDescent="0.25">
      <c r="A9756">
        <v>101413664</v>
      </c>
      <c r="B9756" t="s">
        <v>22096</v>
      </c>
      <c r="C9756" t="s">
        <v>1050</v>
      </c>
      <c r="G9756" t="s">
        <v>22097</v>
      </c>
      <c r="H9756" t="s">
        <v>2375</v>
      </c>
      <c r="I9756" t="s">
        <v>161</v>
      </c>
      <c r="J9756">
        <v>6443</v>
      </c>
      <c r="K9756">
        <v>2904</v>
      </c>
      <c r="L9756" t="s">
        <v>23</v>
      </c>
      <c r="M9756" t="s">
        <v>22097</v>
      </c>
      <c r="N9756" t="s">
        <v>2375</v>
      </c>
      <c r="O9756" t="s">
        <v>161</v>
      </c>
      <c r="P9756">
        <v>6443</v>
      </c>
      <c r="Q9756">
        <v>2904</v>
      </c>
      <c r="R9756" t="s">
        <v>23</v>
      </c>
      <c r="S9756" s="1" t="s">
        <v>34218</v>
      </c>
    </row>
    <row r="9757" spans="1:19" x14ac:dyDescent="0.25">
      <c r="A9757">
        <v>101332559</v>
      </c>
      <c r="B9757" t="s">
        <v>3798</v>
      </c>
      <c r="C9757" t="s">
        <v>22098</v>
      </c>
      <c r="G9757" t="s">
        <v>22099</v>
      </c>
      <c r="H9757" t="s">
        <v>22100</v>
      </c>
      <c r="I9757" t="s">
        <v>2537</v>
      </c>
      <c r="J9757">
        <v>71730</v>
      </c>
      <c r="K9757">
        <v>4272</v>
      </c>
      <c r="L9757" t="s">
        <v>23</v>
      </c>
      <c r="M9757" t="s">
        <v>22099</v>
      </c>
      <c r="N9757" t="s">
        <v>22100</v>
      </c>
      <c r="O9757" t="s">
        <v>2537</v>
      </c>
      <c r="P9757">
        <v>71730</v>
      </c>
      <c r="Q9757">
        <v>4272</v>
      </c>
      <c r="R9757" t="s">
        <v>23</v>
      </c>
      <c r="S9757" s="1" t="s">
        <v>34218</v>
      </c>
    </row>
    <row r="9758" spans="1:19" x14ac:dyDescent="0.25">
      <c r="A9758">
        <v>100841990</v>
      </c>
      <c r="B9758" t="s">
        <v>22101</v>
      </c>
      <c r="C9758" t="s">
        <v>5507</v>
      </c>
      <c r="F9758" t="str">
        <f>"9074561245"</f>
        <v>9074561245</v>
      </c>
      <c r="G9758" t="s">
        <v>22102</v>
      </c>
      <c r="H9758" t="s">
        <v>7214</v>
      </c>
      <c r="I9758" t="s">
        <v>2566</v>
      </c>
      <c r="J9758">
        <v>99709</v>
      </c>
      <c r="K9758">
        <v>3316</v>
      </c>
      <c r="L9758" t="s">
        <v>23</v>
      </c>
      <c r="M9758" t="s">
        <v>22102</v>
      </c>
      <c r="N9758" t="s">
        <v>7214</v>
      </c>
      <c r="O9758" t="s">
        <v>2566</v>
      </c>
      <c r="P9758">
        <v>99709</v>
      </c>
      <c r="Q9758">
        <v>3316</v>
      </c>
      <c r="R9758" t="s">
        <v>23</v>
      </c>
      <c r="S9758" s="1" t="s">
        <v>34218</v>
      </c>
    </row>
    <row r="9759" spans="1:19" x14ac:dyDescent="0.25">
      <c r="A9759">
        <v>101427595</v>
      </c>
      <c r="B9759" t="s">
        <v>22103</v>
      </c>
      <c r="C9759" t="s">
        <v>4502</v>
      </c>
      <c r="G9759" t="s">
        <v>22104</v>
      </c>
      <c r="H9759" t="s">
        <v>227</v>
      </c>
      <c r="I9759" t="s">
        <v>43</v>
      </c>
      <c r="J9759">
        <v>97229</v>
      </c>
      <c r="K9759">
        <v>3427</v>
      </c>
      <c r="L9759" t="s">
        <v>23</v>
      </c>
      <c r="M9759" t="s">
        <v>22104</v>
      </c>
      <c r="N9759" t="s">
        <v>227</v>
      </c>
      <c r="O9759" t="s">
        <v>43</v>
      </c>
      <c r="P9759">
        <v>97229</v>
      </c>
      <c r="Q9759">
        <v>3427</v>
      </c>
      <c r="R9759" t="s">
        <v>23</v>
      </c>
      <c r="S9759" s="1" t="s">
        <v>34218</v>
      </c>
    </row>
    <row r="9760" spans="1:19" x14ac:dyDescent="0.25">
      <c r="A9760">
        <v>101321999</v>
      </c>
      <c r="B9760" t="s">
        <v>15373</v>
      </c>
      <c r="C9760" t="s">
        <v>6450</v>
      </c>
      <c r="G9760" t="s">
        <v>22105</v>
      </c>
      <c r="H9760" t="s">
        <v>22106</v>
      </c>
      <c r="I9760" t="s">
        <v>71</v>
      </c>
      <c r="J9760">
        <v>80603</v>
      </c>
      <c r="K9760">
        <v>7215</v>
      </c>
      <c r="L9760" t="s">
        <v>23</v>
      </c>
      <c r="M9760" t="s">
        <v>22105</v>
      </c>
      <c r="N9760" t="s">
        <v>22106</v>
      </c>
      <c r="O9760" t="s">
        <v>71</v>
      </c>
      <c r="P9760">
        <v>80603</v>
      </c>
      <c r="Q9760">
        <v>7215</v>
      </c>
      <c r="R9760" t="s">
        <v>23</v>
      </c>
      <c r="S9760" s="1" t="s">
        <v>34218</v>
      </c>
    </row>
    <row r="9761" spans="1:19" x14ac:dyDescent="0.25">
      <c r="A9761">
        <v>101456907</v>
      </c>
      <c r="B9761" t="s">
        <v>22107</v>
      </c>
      <c r="C9761" t="s">
        <v>579</v>
      </c>
      <c r="G9761" t="s">
        <v>22108</v>
      </c>
      <c r="H9761" t="s">
        <v>1628</v>
      </c>
      <c r="I9761" t="s">
        <v>250</v>
      </c>
      <c r="J9761">
        <v>7039</v>
      </c>
      <c r="K9761">
        <v>2110</v>
      </c>
      <c r="L9761" t="s">
        <v>23</v>
      </c>
      <c r="M9761" t="s">
        <v>22108</v>
      </c>
      <c r="N9761" t="s">
        <v>1628</v>
      </c>
      <c r="O9761" t="s">
        <v>250</v>
      </c>
      <c r="P9761">
        <v>7039</v>
      </c>
      <c r="Q9761">
        <v>2110</v>
      </c>
      <c r="R9761" t="s">
        <v>23</v>
      </c>
      <c r="S9761" s="1" t="s">
        <v>34218</v>
      </c>
    </row>
    <row r="9762" spans="1:19" x14ac:dyDescent="0.25">
      <c r="A9762">
        <v>101420514</v>
      </c>
      <c r="B9762" t="s">
        <v>465</v>
      </c>
      <c r="C9762" t="s">
        <v>22109</v>
      </c>
      <c r="G9762" t="s">
        <v>22110</v>
      </c>
      <c r="H9762" t="s">
        <v>1780</v>
      </c>
      <c r="I9762" t="s">
        <v>22</v>
      </c>
      <c r="J9762">
        <v>92024</v>
      </c>
      <c r="K9762">
        <v>5446</v>
      </c>
      <c r="L9762" t="s">
        <v>23</v>
      </c>
      <c r="M9762" t="s">
        <v>22110</v>
      </c>
      <c r="N9762" t="s">
        <v>1780</v>
      </c>
      <c r="O9762" t="s">
        <v>22</v>
      </c>
      <c r="P9762">
        <v>92024</v>
      </c>
      <c r="Q9762">
        <v>5446</v>
      </c>
      <c r="R9762" t="s">
        <v>23</v>
      </c>
      <c r="S9762" s="1" t="s">
        <v>34218</v>
      </c>
    </row>
    <row r="9763" spans="1:19" x14ac:dyDescent="0.25">
      <c r="A9763">
        <v>100565354</v>
      </c>
      <c r="B9763" t="s">
        <v>22111</v>
      </c>
      <c r="C9763" t="s">
        <v>22112</v>
      </c>
      <c r="G9763" t="s">
        <v>22113</v>
      </c>
      <c r="H9763" t="s">
        <v>4326</v>
      </c>
      <c r="I9763" t="s">
        <v>22</v>
      </c>
      <c r="J9763">
        <v>90715</v>
      </c>
      <c r="L9763" t="s">
        <v>23</v>
      </c>
      <c r="M9763" t="s">
        <v>22113</v>
      </c>
      <c r="N9763" t="s">
        <v>4326</v>
      </c>
      <c r="O9763" t="s">
        <v>22</v>
      </c>
      <c r="P9763">
        <v>90715</v>
      </c>
      <c r="R9763" t="s">
        <v>23</v>
      </c>
      <c r="S9763" s="1" t="s">
        <v>34218</v>
      </c>
    </row>
    <row r="9764" spans="1:19" x14ac:dyDescent="0.25">
      <c r="A9764">
        <v>101313274</v>
      </c>
      <c r="B9764" t="s">
        <v>22114</v>
      </c>
      <c r="C9764" t="s">
        <v>22115</v>
      </c>
      <c r="G9764" t="s">
        <v>22116</v>
      </c>
      <c r="H9764" t="s">
        <v>6979</v>
      </c>
      <c r="I9764" t="s">
        <v>33</v>
      </c>
      <c r="J9764">
        <v>15136</v>
      </c>
      <c r="K9764">
        <v>1564</v>
      </c>
      <c r="L9764" t="s">
        <v>23</v>
      </c>
      <c r="M9764" t="s">
        <v>22116</v>
      </c>
      <c r="N9764" t="s">
        <v>6979</v>
      </c>
      <c r="O9764" t="s">
        <v>33</v>
      </c>
      <c r="P9764">
        <v>15136</v>
      </c>
      <c r="Q9764">
        <v>1564</v>
      </c>
      <c r="R9764" t="s">
        <v>23</v>
      </c>
      <c r="S9764" s="1" t="s">
        <v>34218</v>
      </c>
    </row>
    <row r="9765" spans="1:19" x14ac:dyDescent="0.25">
      <c r="A9765">
        <v>101403215</v>
      </c>
      <c r="B9765" t="s">
        <v>6354</v>
      </c>
      <c r="C9765" t="s">
        <v>2010</v>
      </c>
      <c r="G9765" t="s">
        <v>22117</v>
      </c>
      <c r="H9765" t="s">
        <v>2749</v>
      </c>
      <c r="I9765" t="s">
        <v>191</v>
      </c>
      <c r="J9765">
        <v>4011</v>
      </c>
      <c r="K9765">
        <v>9137</v>
      </c>
      <c r="L9765" t="s">
        <v>23</v>
      </c>
      <c r="M9765" t="s">
        <v>22117</v>
      </c>
      <c r="N9765" t="s">
        <v>2749</v>
      </c>
      <c r="O9765" t="s">
        <v>191</v>
      </c>
      <c r="P9765">
        <v>4011</v>
      </c>
      <c r="Q9765">
        <v>9137</v>
      </c>
      <c r="R9765" t="s">
        <v>23</v>
      </c>
      <c r="S9765" s="1" t="s">
        <v>34218</v>
      </c>
    </row>
    <row r="9766" spans="1:19" x14ac:dyDescent="0.25">
      <c r="A9766">
        <v>100524741</v>
      </c>
      <c r="B9766" t="s">
        <v>22118</v>
      </c>
      <c r="C9766" t="s">
        <v>22119</v>
      </c>
      <c r="G9766" t="s">
        <v>22120</v>
      </c>
      <c r="H9766" t="s">
        <v>3815</v>
      </c>
      <c r="I9766" t="s">
        <v>22</v>
      </c>
      <c r="J9766">
        <v>94960</v>
      </c>
      <c r="K9766">
        <v>1435</v>
      </c>
      <c r="L9766" t="s">
        <v>23</v>
      </c>
      <c r="M9766" t="s">
        <v>22120</v>
      </c>
      <c r="N9766" t="s">
        <v>3815</v>
      </c>
      <c r="O9766" t="s">
        <v>22</v>
      </c>
      <c r="P9766">
        <v>94960</v>
      </c>
      <c r="Q9766">
        <v>1435</v>
      </c>
      <c r="R9766" t="s">
        <v>23</v>
      </c>
      <c r="S9766" s="1" t="s">
        <v>34218</v>
      </c>
    </row>
    <row r="9767" spans="1:19" x14ac:dyDescent="0.25">
      <c r="A9767">
        <v>101175043</v>
      </c>
      <c r="B9767" t="s">
        <v>683</v>
      </c>
      <c r="C9767" t="s">
        <v>13429</v>
      </c>
      <c r="G9767" t="s">
        <v>20050</v>
      </c>
      <c r="H9767" t="s">
        <v>2335</v>
      </c>
      <c r="I9767" t="s">
        <v>22</v>
      </c>
      <c r="J9767">
        <v>92650</v>
      </c>
      <c r="K9767">
        <v>1</v>
      </c>
      <c r="L9767" t="s">
        <v>23</v>
      </c>
      <c r="M9767" t="s">
        <v>20050</v>
      </c>
      <c r="N9767" t="s">
        <v>2335</v>
      </c>
      <c r="O9767" t="s">
        <v>22</v>
      </c>
      <c r="P9767">
        <v>92650</v>
      </c>
      <c r="Q9767">
        <v>1</v>
      </c>
      <c r="R9767" t="s">
        <v>23</v>
      </c>
      <c r="S9767" s="1" t="s">
        <v>34218</v>
      </c>
    </row>
    <row r="9768" spans="1:19" x14ac:dyDescent="0.25">
      <c r="A9768">
        <v>101304814</v>
      </c>
      <c r="B9768" t="s">
        <v>1174</v>
      </c>
      <c r="C9768" t="s">
        <v>1484</v>
      </c>
      <c r="G9768" t="s">
        <v>22121</v>
      </c>
      <c r="H9768" t="s">
        <v>1452</v>
      </c>
      <c r="I9768" t="s">
        <v>43</v>
      </c>
      <c r="J9768">
        <v>97405</v>
      </c>
      <c r="K9768">
        <v>1325</v>
      </c>
      <c r="L9768" t="s">
        <v>23</v>
      </c>
      <c r="M9768" t="s">
        <v>22121</v>
      </c>
      <c r="N9768" t="s">
        <v>1452</v>
      </c>
      <c r="O9768" t="s">
        <v>43</v>
      </c>
      <c r="P9768">
        <v>97405</v>
      </c>
      <c r="Q9768">
        <v>1325</v>
      </c>
      <c r="R9768" t="s">
        <v>23</v>
      </c>
      <c r="S9768" s="1" t="s">
        <v>34218</v>
      </c>
    </row>
    <row r="9769" spans="1:19" x14ac:dyDescent="0.25">
      <c r="A9769">
        <v>101140075</v>
      </c>
      <c r="B9769" t="s">
        <v>22122</v>
      </c>
      <c r="C9769" t="s">
        <v>970</v>
      </c>
      <c r="G9769" t="s">
        <v>22123</v>
      </c>
      <c r="H9769" t="s">
        <v>1439</v>
      </c>
      <c r="I9769" t="s">
        <v>365</v>
      </c>
      <c r="J9769">
        <v>85711</v>
      </c>
      <c r="L9769" t="s">
        <v>23</v>
      </c>
      <c r="M9769" t="s">
        <v>22123</v>
      </c>
      <c r="N9769" t="s">
        <v>1439</v>
      </c>
      <c r="O9769" t="s">
        <v>365</v>
      </c>
      <c r="P9769">
        <v>85711</v>
      </c>
      <c r="R9769" t="s">
        <v>23</v>
      </c>
      <c r="S9769" s="1" t="s">
        <v>34218</v>
      </c>
    </row>
    <row r="9770" spans="1:19" x14ac:dyDescent="0.25">
      <c r="A9770">
        <v>101131457</v>
      </c>
      <c r="B9770" t="s">
        <v>22124</v>
      </c>
      <c r="C9770" t="s">
        <v>1208</v>
      </c>
      <c r="G9770" t="s">
        <v>22125</v>
      </c>
      <c r="H9770" t="s">
        <v>1196</v>
      </c>
      <c r="I9770" t="s">
        <v>52</v>
      </c>
      <c r="J9770">
        <v>32312</v>
      </c>
      <c r="K9770">
        <v>1459</v>
      </c>
      <c r="L9770" t="s">
        <v>23</v>
      </c>
      <c r="M9770" t="s">
        <v>22125</v>
      </c>
      <c r="N9770" t="s">
        <v>1196</v>
      </c>
      <c r="O9770" t="s">
        <v>52</v>
      </c>
      <c r="P9770">
        <v>32312</v>
      </c>
      <c r="Q9770">
        <v>1459</v>
      </c>
      <c r="R9770" t="s">
        <v>23</v>
      </c>
      <c r="S9770" s="1" t="s">
        <v>34218</v>
      </c>
    </row>
    <row r="9771" spans="1:19" x14ac:dyDescent="0.25">
      <c r="A9771">
        <v>101136926</v>
      </c>
      <c r="B9771" t="s">
        <v>15805</v>
      </c>
      <c r="C9771" t="s">
        <v>22126</v>
      </c>
      <c r="G9771" t="s">
        <v>22127</v>
      </c>
      <c r="H9771" t="s">
        <v>1877</v>
      </c>
      <c r="I9771" t="s">
        <v>255</v>
      </c>
      <c r="J9771">
        <v>24153</v>
      </c>
      <c r="K9771">
        <v>6263</v>
      </c>
      <c r="L9771" t="s">
        <v>23</v>
      </c>
      <c r="M9771" t="s">
        <v>22127</v>
      </c>
      <c r="N9771" t="s">
        <v>1877</v>
      </c>
      <c r="O9771" t="s">
        <v>255</v>
      </c>
      <c r="P9771">
        <v>24153</v>
      </c>
      <c r="Q9771">
        <v>6263</v>
      </c>
      <c r="R9771" t="s">
        <v>23</v>
      </c>
      <c r="S9771" s="1" t="s">
        <v>34218</v>
      </c>
    </row>
    <row r="9772" spans="1:19" x14ac:dyDescent="0.25">
      <c r="A9772">
        <v>101134247</v>
      </c>
      <c r="B9772" t="s">
        <v>17571</v>
      </c>
      <c r="C9772" t="s">
        <v>119</v>
      </c>
      <c r="G9772" t="s">
        <v>22128</v>
      </c>
      <c r="H9772" t="s">
        <v>14090</v>
      </c>
      <c r="I9772" t="s">
        <v>135</v>
      </c>
      <c r="J9772">
        <v>60004</v>
      </c>
      <c r="K9772">
        <v>2805</v>
      </c>
      <c r="L9772" t="s">
        <v>23</v>
      </c>
      <c r="M9772" t="s">
        <v>22128</v>
      </c>
      <c r="N9772" t="s">
        <v>14090</v>
      </c>
      <c r="O9772" t="s">
        <v>135</v>
      </c>
      <c r="P9772">
        <v>60004</v>
      </c>
      <c r="Q9772">
        <v>2805</v>
      </c>
      <c r="R9772" t="s">
        <v>23</v>
      </c>
      <c r="S9772" s="1" t="s">
        <v>34218</v>
      </c>
    </row>
    <row r="9773" spans="1:19" x14ac:dyDescent="0.25">
      <c r="A9773">
        <v>101134507</v>
      </c>
      <c r="B9773" t="s">
        <v>11343</v>
      </c>
      <c r="C9773" t="s">
        <v>9629</v>
      </c>
      <c r="G9773" t="s">
        <v>22129</v>
      </c>
      <c r="H9773" t="s">
        <v>11379</v>
      </c>
      <c r="I9773" t="s">
        <v>2566</v>
      </c>
      <c r="J9773">
        <v>99504</v>
      </c>
      <c r="K9773">
        <v>3724</v>
      </c>
      <c r="L9773" t="s">
        <v>23</v>
      </c>
      <c r="M9773" t="s">
        <v>22129</v>
      </c>
      <c r="N9773" t="s">
        <v>11379</v>
      </c>
      <c r="O9773" t="s">
        <v>2566</v>
      </c>
      <c r="P9773">
        <v>99504</v>
      </c>
      <c r="Q9773">
        <v>3724</v>
      </c>
      <c r="R9773" t="s">
        <v>23</v>
      </c>
      <c r="S9773" s="1" t="s">
        <v>34218</v>
      </c>
    </row>
    <row r="9774" spans="1:19" x14ac:dyDescent="0.25">
      <c r="A9774">
        <v>101133866</v>
      </c>
      <c r="B9774" t="s">
        <v>10134</v>
      </c>
      <c r="C9774" t="s">
        <v>2127</v>
      </c>
      <c r="G9774" t="s">
        <v>22130</v>
      </c>
      <c r="H9774" t="s">
        <v>20800</v>
      </c>
      <c r="I9774" t="s">
        <v>250</v>
      </c>
      <c r="J9774">
        <v>7843</v>
      </c>
      <c r="K9774">
        <v>1908</v>
      </c>
      <c r="L9774" t="s">
        <v>23</v>
      </c>
      <c r="M9774" t="s">
        <v>22130</v>
      </c>
      <c r="N9774" t="s">
        <v>20800</v>
      </c>
      <c r="O9774" t="s">
        <v>250</v>
      </c>
      <c r="P9774">
        <v>7843</v>
      </c>
      <c r="Q9774">
        <v>1908</v>
      </c>
      <c r="R9774" t="s">
        <v>23</v>
      </c>
      <c r="S9774" s="1" t="s">
        <v>34218</v>
      </c>
    </row>
    <row r="9775" spans="1:19" x14ac:dyDescent="0.25">
      <c r="A9775">
        <v>101145446</v>
      </c>
      <c r="B9775" t="s">
        <v>22131</v>
      </c>
      <c r="C9775" t="s">
        <v>274</v>
      </c>
      <c r="G9775" t="s">
        <v>22132</v>
      </c>
      <c r="H9775" t="s">
        <v>1514</v>
      </c>
      <c r="I9775" t="s">
        <v>84</v>
      </c>
      <c r="J9775">
        <v>98520</v>
      </c>
      <c r="K9775">
        <v>9624</v>
      </c>
      <c r="L9775" t="s">
        <v>23</v>
      </c>
      <c r="M9775" t="s">
        <v>22132</v>
      </c>
      <c r="N9775" t="s">
        <v>1514</v>
      </c>
      <c r="O9775" t="s">
        <v>84</v>
      </c>
      <c r="P9775">
        <v>98520</v>
      </c>
      <c r="Q9775">
        <v>9624</v>
      </c>
      <c r="R9775" t="s">
        <v>23</v>
      </c>
      <c r="S9775" s="1" t="s">
        <v>34218</v>
      </c>
    </row>
    <row r="9776" spans="1:19" x14ac:dyDescent="0.25">
      <c r="A9776">
        <v>101147873</v>
      </c>
      <c r="B9776" t="s">
        <v>22133</v>
      </c>
      <c r="C9776" t="s">
        <v>3357</v>
      </c>
      <c r="G9776" t="s">
        <v>22134</v>
      </c>
      <c r="H9776" t="s">
        <v>22135</v>
      </c>
      <c r="I9776" t="s">
        <v>52</v>
      </c>
      <c r="J9776">
        <v>33825</v>
      </c>
      <c r="K9776">
        <v>9368</v>
      </c>
      <c r="L9776" t="s">
        <v>23</v>
      </c>
      <c r="M9776" t="s">
        <v>22134</v>
      </c>
      <c r="N9776" t="s">
        <v>22135</v>
      </c>
      <c r="O9776" t="s">
        <v>52</v>
      </c>
      <c r="P9776">
        <v>33825</v>
      </c>
      <c r="Q9776">
        <v>9368</v>
      </c>
      <c r="R9776" t="s">
        <v>23</v>
      </c>
      <c r="S9776" s="1" t="s">
        <v>34218</v>
      </c>
    </row>
    <row r="9777" spans="1:19" x14ac:dyDescent="0.25">
      <c r="A9777">
        <v>101382862</v>
      </c>
      <c r="B9777" t="s">
        <v>9120</v>
      </c>
      <c r="C9777" t="s">
        <v>1212</v>
      </c>
      <c r="G9777" t="s">
        <v>9121</v>
      </c>
      <c r="H9777" t="s">
        <v>9122</v>
      </c>
      <c r="I9777" t="s">
        <v>702</v>
      </c>
      <c r="J9777">
        <v>89701</v>
      </c>
      <c r="K9777">
        <v>4896</v>
      </c>
      <c r="L9777" t="s">
        <v>23</v>
      </c>
      <c r="M9777" t="s">
        <v>9121</v>
      </c>
      <c r="N9777" t="s">
        <v>9122</v>
      </c>
      <c r="O9777" t="s">
        <v>702</v>
      </c>
      <c r="P9777">
        <v>89701</v>
      </c>
      <c r="Q9777">
        <v>4896</v>
      </c>
      <c r="R9777" t="s">
        <v>23</v>
      </c>
      <c r="S9777" s="1" t="s">
        <v>34218</v>
      </c>
    </row>
    <row r="9778" spans="1:19" x14ac:dyDescent="0.25">
      <c r="A9778">
        <v>101396893</v>
      </c>
      <c r="B9778" t="s">
        <v>7568</v>
      </c>
      <c r="C9778" t="s">
        <v>2463</v>
      </c>
      <c r="G9778" t="s">
        <v>22136</v>
      </c>
      <c r="H9778" t="s">
        <v>3270</v>
      </c>
      <c r="I9778" t="s">
        <v>348</v>
      </c>
      <c r="J9778">
        <v>83702</v>
      </c>
      <c r="K9778">
        <v>1218</v>
      </c>
      <c r="L9778" t="s">
        <v>23</v>
      </c>
      <c r="M9778" t="s">
        <v>22136</v>
      </c>
      <c r="N9778" t="s">
        <v>3270</v>
      </c>
      <c r="O9778" t="s">
        <v>348</v>
      </c>
      <c r="P9778">
        <v>83702</v>
      </c>
      <c r="Q9778">
        <v>1218</v>
      </c>
      <c r="R9778" t="s">
        <v>23</v>
      </c>
      <c r="S9778" s="1" t="s">
        <v>34218</v>
      </c>
    </row>
    <row r="9779" spans="1:19" x14ac:dyDescent="0.25">
      <c r="A9779">
        <v>101402343</v>
      </c>
      <c r="B9779" t="s">
        <v>22137</v>
      </c>
      <c r="C9779" t="s">
        <v>1623</v>
      </c>
      <c r="G9779" t="s">
        <v>22138</v>
      </c>
      <c r="H9779" t="s">
        <v>869</v>
      </c>
      <c r="I9779" t="s">
        <v>52</v>
      </c>
      <c r="J9779">
        <v>33156</v>
      </c>
      <c r="K9779">
        <v>4667</v>
      </c>
      <c r="L9779" t="s">
        <v>23</v>
      </c>
      <c r="M9779" t="s">
        <v>22138</v>
      </c>
      <c r="N9779" t="s">
        <v>869</v>
      </c>
      <c r="O9779" t="s">
        <v>52</v>
      </c>
      <c r="P9779">
        <v>33156</v>
      </c>
      <c r="Q9779">
        <v>4667</v>
      </c>
      <c r="R9779" t="s">
        <v>23</v>
      </c>
      <c r="S9779" s="1" t="s">
        <v>34218</v>
      </c>
    </row>
    <row r="9780" spans="1:19" x14ac:dyDescent="0.25">
      <c r="A9780">
        <v>101405345</v>
      </c>
      <c r="B9780" t="s">
        <v>22139</v>
      </c>
      <c r="C9780" t="s">
        <v>1382</v>
      </c>
      <c r="G9780" t="s">
        <v>22140</v>
      </c>
      <c r="H9780" t="s">
        <v>2086</v>
      </c>
      <c r="I9780" t="s">
        <v>178</v>
      </c>
      <c r="J9780">
        <v>45255</v>
      </c>
      <c r="K9780">
        <v>3016</v>
      </c>
      <c r="L9780" t="s">
        <v>23</v>
      </c>
      <c r="M9780" t="s">
        <v>22140</v>
      </c>
      <c r="N9780" t="s">
        <v>2086</v>
      </c>
      <c r="O9780" t="s">
        <v>178</v>
      </c>
      <c r="P9780">
        <v>45255</v>
      </c>
      <c r="Q9780">
        <v>3016</v>
      </c>
      <c r="R9780" t="s">
        <v>23</v>
      </c>
      <c r="S9780" s="1" t="s">
        <v>34218</v>
      </c>
    </row>
    <row r="9781" spans="1:19" x14ac:dyDescent="0.25">
      <c r="A9781">
        <v>101410351</v>
      </c>
      <c r="B9781" t="s">
        <v>22141</v>
      </c>
      <c r="C9781" t="s">
        <v>22142</v>
      </c>
      <c r="G9781" t="s">
        <v>22143</v>
      </c>
      <c r="H9781" t="s">
        <v>11112</v>
      </c>
      <c r="I9781" t="s">
        <v>140</v>
      </c>
      <c r="J9781">
        <v>48316</v>
      </c>
      <c r="K9781">
        <v>6338</v>
      </c>
      <c r="L9781" t="s">
        <v>23</v>
      </c>
      <c r="M9781" t="s">
        <v>22143</v>
      </c>
      <c r="N9781" t="s">
        <v>11112</v>
      </c>
      <c r="O9781" t="s">
        <v>140</v>
      </c>
      <c r="P9781">
        <v>48316</v>
      </c>
      <c r="Q9781">
        <v>6338</v>
      </c>
      <c r="R9781" t="s">
        <v>23</v>
      </c>
      <c r="S9781" s="1" t="s">
        <v>34218</v>
      </c>
    </row>
    <row r="9782" spans="1:19" x14ac:dyDescent="0.25">
      <c r="A9782">
        <v>101413473</v>
      </c>
      <c r="B9782" t="s">
        <v>865</v>
      </c>
      <c r="C9782" t="s">
        <v>123</v>
      </c>
      <c r="G9782" t="s">
        <v>22144</v>
      </c>
      <c r="H9782" t="s">
        <v>653</v>
      </c>
      <c r="I9782" t="s">
        <v>117</v>
      </c>
      <c r="J9782">
        <v>10016</v>
      </c>
      <c r="K9782">
        <v>3892</v>
      </c>
      <c r="L9782" t="s">
        <v>23</v>
      </c>
      <c r="M9782" t="s">
        <v>22144</v>
      </c>
      <c r="N9782" t="s">
        <v>653</v>
      </c>
      <c r="O9782" t="s">
        <v>117</v>
      </c>
      <c r="P9782">
        <v>10016</v>
      </c>
      <c r="Q9782">
        <v>3892</v>
      </c>
      <c r="R9782" t="s">
        <v>23</v>
      </c>
      <c r="S9782" s="1" t="s">
        <v>34218</v>
      </c>
    </row>
    <row r="9783" spans="1:19" x14ac:dyDescent="0.25">
      <c r="A9783">
        <v>101413522</v>
      </c>
      <c r="B9783" t="s">
        <v>1370</v>
      </c>
      <c r="C9783" t="s">
        <v>2781</v>
      </c>
      <c r="G9783" t="s">
        <v>22145</v>
      </c>
      <c r="H9783" t="s">
        <v>22146</v>
      </c>
      <c r="I9783" t="s">
        <v>1226</v>
      </c>
      <c r="J9783">
        <v>38671</v>
      </c>
      <c r="K9783">
        <v>8826</v>
      </c>
      <c r="L9783" t="s">
        <v>23</v>
      </c>
      <c r="M9783" t="s">
        <v>22145</v>
      </c>
      <c r="N9783" t="s">
        <v>22146</v>
      </c>
      <c r="O9783" t="s">
        <v>1226</v>
      </c>
      <c r="P9783">
        <v>38671</v>
      </c>
      <c r="Q9783">
        <v>8826</v>
      </c>
      <c r="R9783" t="s">
        <v>23</v>
      </c>
      <c r="S9783" s="1" t="s">
        <v>34218</v>
      </c>
    </row>
    <row r="9784" spans="1:19" x14ac:dyDescent="0.25">
      <c r="A9784">
        <v>101406330</v>
      </c>
      <c r="B9784" t="s">
        <v>22147</v>
      </c>
      <c r="C9784" t="s">
        <v>16085</v>
      </c>
      <c r="G9784" t="s">
        <v>22148</v>
      </c>
      <c r="H9784" t="s">
        <v>22149</v>
      </c>
      <c r="I9784" t="s">
        <v>28</v>
      </c>
      <c r="J9784">
        <v>30043</v>
      </c>
      <c r="K9784">
        <v>3651</v>
      </c>
      <c r="L9784" t="s">
        <v>23</v>
      </c>
      <c r="M9784" t="s">
        <v>22148</v>
      </c>
      <c r="N9784" t="s">
        <v>22149</v>
      </c>
      <c r="O9784" t="s">
        <v>28</v>
      </c>
      <c r="P9784">
        <v>30043</v>
      </c>
      <c r="Q9784">
        <v>3651</v>
      </c>
      <c r="R9784" t="s">
        <v>23</v>
      </c>
      <c r="S9784" s="1" t="s">
        <v>34218</v>
      </c>
    </row>
    <row r="9785" spans="1:19" x14ac:dyDescent="0.25">
      <c r="A9785">
        <v>101409559</v>
      </c>
      <c r="B9785" t="s">
        <v>22150</v>
      </c>
      <c r="C9785" t="s">
        <v>579</v>
      </c>
      <c r="G9785" t="s">
        <v>22151</v>
      </c>
      <c r="H9785" t="s">
        <v>7214</v>
      </c>
      <c r="I9785" t="s">
        <v>2566</v>
      </c>
      <c r="J9785">
        <v>99712</v>
      </c>
      <c r="K9785">
        <v>1025</v>
      </c>
      <c r="L9785" t="s">
        <v>23</v>
      </c>
      <c r="M9785" t="s">
        <v>22151</v>
      </c>
      <c r="N9785" t="s">
        <v>7214</v>
      </c>
      <c r="O9785" t="s">
        <v>2566</v>
      </c>
      <c r="P9785">
        <v>99712</v>
      </c>
      <c r="Q9785">
        <v>1025</v>
      </c>
      <c r="R9785" t="s">
        <v>23</v>
      </c>
      <c r="S9785" s="1" t="s">
        <v>34218</v>
      </c>
    </row>
    <row r="9786" spans="1:19" x14ac:dyDescent="0.25">
      <c r="A9786">
        <v>101410790</v>
      </c>
      <c r="B9786" t="s">
        <v>22152</v>
      </c>
      <c r="C9786" t="s">
        <v>1107</v>
      </c>
      <c r="F9786" t="str">
        <f>"8024726070"</f>
        <v>8024726070</v>
      </c>
      <c r="G9786" t="s">
        <v>22153</v>
      </c>
      <c r="H9786" t="s">
        <v>20548</v>
      </c>
      <c r="I9786" t="s">
        <v>307</v>
      </c>
      <c r="J9786">
        <v>5843</v>
      </c>
      <c r="K9786">
        <v>9616</v>
      </c>
      <c r="L9786" t="s">
        <v>23</v>
      </c>
      <c r="M9786" t="s">
        <v>22153</v>
      </c>
      <c r="N9786" t="s">
        <v>20548</v>
      </c>
      <c r="O9786" t="s">
        <v>307</v>
      </c>
      <c r="P9786">
        <v>5843</v>
      </c>
      <c r="Q9786">
        <v>9616</v>
      </c>
      <c r="R9786" t="s">
        <v>23</v>
      </c>
      <c r="S9786" s="1" t="s">
        <v>34218</v>
      </c>
    </row>
    <row r="9787" spans="1:19" x14ac:dyDescent="0.25">
      <c r="A9787">
        <v>101465071</v>
      </c>
      <c r="B9787" t="s">
        <v>14897</v>
      </c>
      <c r="C9787" t="s">
        <v>19953</v>
      </c>
      <c r="G9787" t="s">
        <v>22154</v>
      </c>
      <c r="H9787" t="s">
        <v>22155</v>
      </c>
      <c r="I9787" t="s">
        <v>33</v>
      </c>
      <c r="J9787">
        <v>19510</v>
      </c>
      <c r="K9787">
        <v>9305</v>
      </c>
      <c r="L9787" t="s">
        <v>23</v>
      </c>
      <c r="M9787" t="s">
        <v>22154</v>
      </c>
      <c r="N9787" t="s">
        <v>22155</v>
      </c>
      <c r="O9787" t="s">
        <v>33</v>
      </c>
      <c r="P9787">
        <v>19510</v>
      </c>
      <c r="Q9787">
        <v>9305</v>
      </c>
      <c r="R9787" t="s">
        <v>23</v>
      </c>
      <c r="S9787" s="1" t="s">
        <v>34218</v>
      </c>
    </row>
    <row r="9788" spans="1:19" x14ac:dyDescent="0.25">
      <c r="A9788">
        <v>101468820</v>
      </c>
      <c r="B9788" t="s">
        <v>22156</v>
      </c>
      <c r="C9788" t="s">
        <v>22157</v>
      </c>
      <c r="G9788" t="s">
        <v>22158</v>
      </c>
      <c r="H9788" t="s">
        <v>2253</v>
      </c>
      <c r="I9788" t="s">
        <v>236</v>
      </c>
      <c r="J9788">
        <v>1469</v>
      </c>
      <c r="K9788">
        <v>1357</v>
      </c>
      <c r="L9788" t="s">
        <v>23</v>
      </c>
      <c r="M9788" t="s">
        <v>22158</v>
      </c>
      <c r="N9788" t="s">
        <v>2253</v>
      </c>
      <c r="O9788" t="s">
        <v>236</v>
      </c>
      <c r="P9788">
        <v>1469</v>
      </c>
      <c r="Q9788">
        <v>1357</v>
      </c>
      <c r="R9788" t="s">
        <v>23</v>
      </c>
      <c r="S9788" s="1" t="s">
        <v>34218</v>
      </c>
    </row>
    <row r="9789" spans="1:19" x14ac:dyDescent="0.25">
      <c r="A9789">
        <v>101223591</v>
      </c>
      <c r="B9789" t="s">
        <v>22159</v>
      </c>
      <c r="C9789" t="s">
        <v>1558</v>
      </c>
      <c r="G9789" t="s">
        <v>22160</v>
      </c>
      <c r="H9789" t="s">
        <v>1439</v>
      </c>
      <c r="I9789" t="s">
        <v>365</v>
      </c>
      <c r="J9789">
        <v>85745</v>
      </c>
      <c r="K9789">
        <v>9686</v>
      </c>
      <c r="L9789" t="s">
        <v>23</v>
      </c>
      <c r="M9789" t="s">
        <v>22160</v>
      </c>
      <c r="N9789" t="s">
        <v>1439</v>
      </c>
      <c r="O9789" t="s">
        <v>365</v>
      </c>
      <c r="P9789">
        <v>85745</v>
      </c>
      <c r="Q9789">
        <v>9686</v>
      </c>
      <c r="R9789" t="s">
        <v>23</v>
      </c>
      <c r="S9789" s="1" t="s">
        <v>34218</v>
      </c>
    </row>
    <row r="9790" spans="1:19" x14ac:dyDescent="0.25">
      <c r="A9790">
        <v>101196144</v>
      </c>
      <c r="B9790" t="s">
        <v>22161</v>
      </c>
      <c r="C9790" t="s">
        <v>1422</v>
      </c>
      <c r="G9790" t="s">
        <v>22162</v>
      </c>
      <c r="H9790" t="s">
        <v>22163</v>
      </c>
      <c r="I9790" t="s">
        <v>178</v>
      </c>
      <c r="J9790">
        <v>44024</v>
      </c>
      <c r="K9790">
        <v>8522</v>
      </c>
      <c r="L9790" t="s">
        <v>23</v>
      </c>
      <c r="M9790" t="s">
        <v>22162</v>
      </c>
      <c r="N9790" t="s">
        <v>22163</v>
      </c>
      <c r="O9790" t="s">
        <v>178</v>
      </c>
      <c r="P9790">
        <v>44024</v>
      </c>
      <c r="Q9790">
        <v>8522</v>
      </c>
      <c r="R9790" t="s">
        <v>23</v>
      </c>
      <c r="S9790" s="1" t="s">
        <v>34218</v>
      </c>
    </row>
    <row r="9791" spans="1:19" x14ac:dyDescent="0.25">
      <c r="A9791">
        <v>101468381</v>
      </c>
      <c r="B9791" t="s">
        <v>22164</v>
      </c>
      <c r="C9791" t="s">
        <v>6572</v>
      </c>
      <c r="G9791" t="s">
        <v>22165</v>
      </c>
      <c r="H9791" t="s">
        <v>22166</v>
      </c>
      <c r="I9791" t="s">
        <v>250</v>
      </c>
      <c r="J9791">
        <v>8902</v>
      </c>
      <c r="K9791">
        <v>1093</v>
      </c>
      <c r="L9791" t="s">
        <v>23</v>
      </c>
      <c r="M9791" t="s">
        <v>22165</v>
      </c>
      <c r="N9791" t="s">
        <v>22166</v>
      </c>
      <c r="O9791" t="s">
        <v>250</v>
      </c>
      <c r="P9791">
        <v>8902</v>
      </c>
      <c r="Q9791">
        <v>1093</v>
      </c>
      <c r="R9791" t="s">
        <v>23</v>
      </c>
      <c r="S9791" s="1" t="s">
        <v>34218</v>
      </c>
    </row>
    <row r="9792" spans="1:19" x14ac:dyDescent="0.25">
      <c r="A9792">
        <v>101001579</v>
      </c>
      <c r="B9792" t="s">
        <v>7367</v>
      </c>
      <c r="C9792" t="s">
        <v>5806</v>
      </c>
      <c r="G9792">
        <v>53716</v>
      </c>
      <c r="H9792" t="s">
        <v>2375</v>
      </c>
      <c r="I9792" t="s">
        <v>100</v>
      </c>
      <c r="J9792">
        <v>53716</v>
      </c>
      <c r="L9792" t="s">
        <v>23</v>
      </c>
      <c r="M9792">
        <v>53716</v>
      </c>
      <c r="N9792" t="s">
        <v>2375</v>
      </c>
      <c r="O9792" t="s">
        <v>100</v>
      </c>
      <c r="P9792">
        <v>53716</v>
      </c>
      <c r="R9792" t="s">
        <v>23</v>
      </c>
      <c r="S9792" s="1" t="s">
        <v>34218</v>
      </c>
    </row>
    <row r="9793" spans="1:19" x14ac:dyDescent="0.25">
      <c r="A9793">
        <v>101465500</v>
      </c>
      <c r="B9793" t="s">
        <v>22167</v>
      </c>
      <c r="C9793" t="s">
        <v>22168</v>
      </c>
      <c r="G9793" t="s">
        <v>22169</v>
      </c>
      <c r="H9793" t="s">
        <v>22170</v>
      </c>
      <c r="I9793" t="s">
        <v>38</v>
      </c>
      <c r="J9793">
        <v>76703</v>
      </c>
      <c r="K9793">
        <v>4200</v>
      </c>
      <c r="L9793" t="s">
        <v>23</v>
      </c>
      <c r="M9793" t="s">
        <v>22169</v>
      </c>
      <c r="N9793" t="s">
        <v>22170</v>
      </c>
      <c r="O9793" t="s">
        <v>38</v>
      </c>
      <c r="P9793">
        <v>76703</v>
      </c>
      <c r="Q9793">
        <v>4200</v>
      </c>
      <c r="R9793" t="s">
        <v>23</v>
      </c>
      <c r="S9793" s="1" t="s">
        <v>34218</v>
      </c>
    </row>
    <row r="9794" spans="1:19" x14ac:dyDescent="0.25">
      <c r="A9794">
        <v>101269652</v>
      </c>
      <c r="B9794" t="s">
        <v>22171</v>
      </c>
      <c r="C9794" t="s">
        <v>2701</v>
      </c>
      <c r="G9794" t="s">
        <v>22172</v>
      </c>
      <c r="H9794" t="s">
        <v>20869</v>
      </c>
      <c r="I9794" t="s">
        <v>135</v>
      </c>
      <c r="J9794">
        <v>60073</v>
      </c>
      <c r="K9794">
        <v>5254</v>
      </c>
      <c r="L9794" t="s">
        <v>23</v>
      </c>
      <c r="M9794" t="s">
        <v>22172</v>
      </c>
      <c r="N9794" t="s">
        <v>20869</v>
      </c>
      <c r="O9794" t="s">
        <v>135</v>
      </c>
      <c r="P9794">
        <v>60073</v>
      </c>
      <c r="Q9794">
        <v>5254</v>
      </c>
      <c r="R9794" t="s">
        <v>23</v>
      </c>
      <c r="S9794" s="1" t="s">
        <v>34218</v>
      </c>
    </row>
    <row r="9795" spans="1:19" x14ac:dyDescent="0.25">
      <c r="A9795">
        <v>101418527</v>
      </c>
      <c r="B9795" t="s">
        <v>5118</v>
      </c>
      <c r="C9795" t="s">
        <v>1327</v>
      </c>
      <c r="G9795" t="s">
        <v>22173</v>
      </c>
      <c r="H9795" t="s">
        <v>22174</v>
      </c>
      <c r="I9795" t="s">
        <v>33</v>
      </c>
      <c r="J9795">
        <v>17236</v>
      </c>
      <c r="K9795">
        <v>1747</v>
      </c>
      <c r="L9795" t="s">
        <v>23</v>
      </c>
      <c r="M9795" t="s">
        <v>22173</v>
      </c>
      <c r="N9795" t="s">
        <v>22174</v>
      </c>
      <c r="O9795" t="s">
        <v>33</v>
      </c>
      <c r="P9795">
        <v>17236</v>
      </c>
      <c r="Q9795">
        <v>1747</v>
      </c>
      <c r="R9795" t="s">
        <v>23</v>
      </c>
      <c r="S9795" s="1" t="s">
        <v>34218</v>
      </c>
    </row>
    <row r="9796" spans="1:19" x14ac:dyDescent="0.25">
      <c r="A9796">
        <v>101253305</v>
      </c>
      <c r="B9796" t="s">
        <v>2891</v>
      </c>
      <c r="C9796" t="s">
        <v>911</v>
      </c>
      <c r="G9796" t="s">
        <v>22175</v>
      </c>
      <c r="H9796" t="s">
        <v>83</v>
      </c>
      <c r="I9796" t="s">
        <v>84</v>
      </c>
      <c r="J9796">
        <v>98221</v>
      </c>
      <c r="K9796">
        <v>8943</v>
      </c>
      <c r="L9796" t="s">
        <v>23</v>
      </c>
      <c r="M9796" t="s">
        <v>22175</v>
      </c>
      <c r="N9796" t="s">
        <v>83</v>
      </c>
      <c r="O9796" t="s">
        <v>84</v>
      </c>
      <c r="P9796">
        <v>98221</v>
      </c>
      <c r="Q9796">
        <v>8943</v>
      </c>
      <c r="R9796" t="s">
        <v>23</v>
      </c>
      <c r="S9796" s="1" t="s">
        <v>34218</v>
      </c>
    </row>
    <row r="9797" spans="1:19" x14ac:dyDescent="0.25">
      <c r="A9797">
        <v>100960183</v>
      </c>
      <c r="B9797" t="s">
        <v>22176</v>
      </c>
      <c r="C9797" t="s">
        <v>1107</v>
      </c>
      <c r="G9797" t="s">
        <v>22177</v>
      </c>
      <c r="H9797" t="s">
        <v>19907</v>
      </c>
      <c r="I9797" t="s">
        <v>117</v>
      </c>
      <c r="J9797">
        <v>11104</v>
      </c>
      <c r="K9797">
        <v>3667</v>
      </c>
      <c r="L9797" t="s">
        <v>23</v>
      </c>
      <c r="M9797" t="s">
        <v>22177</v>
      </c>
      <c r="N9797" t="s">
        <v>19907</v>
      </c>
      <c r="O9797" t="s">
        <v>117</v>
      </c>
      <c r="P9797">
        <v>11104</v>
      </c>
      <c r="Q9797">
        <v>3667</v>
      </c>
      <c r="R9797" t="s">
        <v>23</v>
      </c>
      <c r="S9797" s="1" t="s">
        <v>34218</v>
      </c>
    </row>
    <row r="9798" spans="1:19" x14ac:dyDescent="0.25">
      <c r="A9798">
        <v>101358475</v>
      </c>
      <c r="B9798" t="s">
        <v>22178</v>
      </c>
      <c r="C9798" t="s">
        <v>22179</v>
      </c>
      <c r="G9798" t="s">
        <v>22180</v>
      </c>
      <c r="H9798" t="s">
        <v>22181</v>
      </c>
      <c r="I9798" t="s">
        <v>117</v>
      </c>
      <c r="J9798">
        <v>12533</v>
      </c>
      <c r="K9798">
        <v>7218</v>
      </c>
      <c r="L9798" t="s">
        <v>23</v>
      </c>
      <c r="M9798" t="s">
        <v>22180</v>
      </c>
      <c r="N9798" t="s">
        <v>22181</v>
      </c>
      <c r="O9798" t="s">
        <v>117</v>
      </c>
      <c r="P9798">
        <v>12533</v>
      </c>
      <c r="Q9798">
        <v>7218</v>
      </c>
      <c r="R9798" t="s">
        <v>23</v>
      </c>
      <c r="S9798" s="1" t="s">
        <v>34218</v>
      </c>
    </row>
    <row r="9799" spans="1:19" x14ac:dyDescent="0.25">
      <c r="A9799">
        <v>101295039</v>
      </c>
      <c r="B9799" t="s">
        <v>22182</v>
      </c>
      <c r="C9799" t="s">
        <v>6666</v>
      </c>
      <c r="G9799" t="s">
        <v>22183</v>
      </c>
      <c r="H9799" t="s">
        <v>311</v>
      </c>
      <c r="I9799" t="s">
        <v>117</v>
      </c>
      <c r="J9799" t="s">
        <v>22184</v>
      </c>
      <c r="K9799">
        <v>1922</v>
      </c>
      <c r="L9799" t="s">
        <v>23</v>
      </c>
      <c r="M9799" t="s">
        <v>22183</v>
      </c>
      <c r="N9799" t="s">
        <v>311</v>
      </c>
      <c r="O9799" t="s">
        <v>117</v>
      </c>
      <c r="P9799" t="s">
        <v>22184</v>
      </c>
      <c r="Q9799">
        <v>1922</v>
      </c>
      <c r="R9799" t="s">
        <v>23</v>
      </c>
      <c r="S9799" s="1" t="s">
        <v>34218</v>
      </c>
    </row>
    <row r="9800" spans="1:19" x14ac:dyDescent="0.25">
      <c r="A9800">
        <v>101293290</v>
      </c>
      <c r="B9800" t="s">
        <v>966</v>
      </c>
      <c r="C9800" t="s">
        <v>1555</v>
      </c>
      <c r="G9800" t="s">
        <v>22185</v>
      </c>
      <c r="H9800" t="s">
        <v>12413</v>
      </c>
      <c r="I9800" t="s">
        <v>565</v>
      </c>
      <c r="J9800" t="s">
        <v>22186</v>
      </c>
      <c r="K9800">
        <v>3232</v>
      </c>
      <c r="L9800" t="s">
        <v>23</v>
      </c>
      <c r="M9800" t="s">
        <v>22185</v>
      </c>
      <c r="N9800" t="s">
        <v>12413</v>
      </c>
      <c r="O9800" t="s">
        <v>565</v>
      </c>
      <c r="P9800" t="s">
        <v>22186</v>
      </c>
      <c r="Q9800">
        <v>3232</v>
      </c>
      <c r="R9800" t="s">
        <v>23</v>
      </c>
      <c r="S9800" s="1" t="s">
        <v>34218</v>
      </c>
    </row>
    <row r="9801" spans="1:19" x14ac:dyDescent="0.25">
      <c r="A9801">
        <v>101273955</v>
      </c>
      <c r="B9801" t="s">
        <v>22187</v>
      </c>
      <c r="C9801" t="s">
        <v>6481</v>
      </c>
      <c r="G9801" t="s">
        <v>22188</v>
      </c>
      <c r="H9801" t="s">
        <v>2375</v>
      </c>
      <c r="I9801" t="s">
        <v>52</v>
      </c>
      <c r="J9801" t="s">
        <v>22189</v>
      </c>
      <c r="K9801">
        <v>1606</v>
      </c>
      <c r="L9801" t="s">
        <v>23</v>
      </c>
      <c r="M9801" t="s">
        <v>22188</v>
      </c>
      <c r="N9801" t="s">
        <v>2375</v>
      </c>
      <c r="O9801" t="s">
        <v>52</v>
      </c>
      <c r="P9801" t="s">
        <v>22189</v>
      </c>
      <c r="Q9801">
        <v>1606</v>
      </c>
      <c r="R9801" t="s">
        <v>23</v>
      </c>
      <c r="S9801" s="1" t="s">
        <v>34218</v>
      </c>
    </row>
    <row r="9802" spans="1:19" x14ac:dyDescent="0.25">
      <c r="A9802">
        <v>101256399</v>
      </c>
      <c r="B9802" t="s">
        <v>22190</v>
      </c>
      <c r="C9802" t="s">
        <v>90</v>
      </c>
      <c r="G9802" t="s">
        <v>22191</v>
      </c>
      <c r="H9802" t="s">
        <v>412</v>
      </c>
      <c r="I9802" t="s">
        <v>117</v>
      </c>
      <c r="J9802" t="s">
        <v>22192</v>
      </c>
      <c r="K9802">
        <v>5102</v>
      </c>
      <c r="L9802" t="s">
        <v>23</v>
      </c>
      <c r="M9802" t="s">
        <v>22191</v>
      </c>
      <c r="N9802" t="s">
        <v>412</v>
      </c>
      <c r="O9802" t="s">
        <v>117</v>
      </c>
      <c r="P9802" t="s">
        <v>22192</v>
      </c>
      <c r="Q9802">
        <v>5102</v>
      </c>
      <c r="R9802" t="s">
        <v>23</v>
      </c>
      <c r="S9802" s="1" t="s">
        <v>34218</v>
      </c>
    </row>
    <row r="9803" spans="1:19" x14ac:dyDescent="0.25">
      <c r="A9803">
        <v>101314460</v>
      </c>
      <c r="B9803" t="s">
        <v>800</v>
      </c>
      <c r="C9803" t="s">
        <v>1069</v>
      </c>
      <c r="G9803" t="s">
        <v>22193</v>
      </c>
      <c r="H9803" t="s">
        <v>9237</v>
      </c>
      <c r="I9803" t="s">
        <v>353</v>
      </c>
      <c r="J9803" t="s">
        <v>22194</v>
      </c>
      <c r="K9803">
        <v>5704</v>
      </c>
      <c r="L9803" t="s">
        <v>23</v>
      </c>
      <c r="M9803" t="s">
        <v>22193</v>
      </c>
      <c r="N9803" t="s">
        <v>9237</v>
      </c>
      <c r="O9803" t="s">
        <v>353</v>
      </c>
      <c r="P9803" t="s">
        <v>22194</v>
      </c>
      <c r="Q9803">
        <v>5704</v>
      </c>
      <c r="R9803" t="s">
        <v>23</v>
      </c>
      <c r="S9803" s="1" t="s">
        <v>34218</v>
      </c>
    </row>
    <row r="9804" spans="1:19" x14ac:dyDescent="0.25">
      <c r="A9804">
        <v>100794289</v>
      </c>
      <c r="B9804" t="s">
        <v>1164</v>
      </c>
      <c r="C9804" t="s">
        <v>1218</v>
      </c>
      <c r="G9804" t="s">
        <v>22195</v>
      </c>
      <c r="H9804" t="s">
        <v>19237</v>
      </c>
      <c r="I9804" t="s">
        <v>187</v>
      </c>
      <c r="J9804" t="s">
        <v>22196</v>
      </c>
      <c r="K9804">
        <v>1454</v>
      </c>
      <c r="L9804" t="s">
        <v>23</v>
      </c>
      <c r="M9804" t="s">
        <v>22195</v>
      </c>
      <c r="N9804" t="s">
        <v>19237</v>
      </c>
      <c r="O9804" t="s">
        <v>187</v>
      </c>
      <c r="P9804" t="s">
        <v>22196</v>
      </c>
      <c r="Q9804">
        <v>1454</v>
      </c>
      <c r="R9804" t="s">
        <v>23</v>
      </c>
      <c r="S9804" s="1" t="s">
        <v>34218</v>
      </c>
    </row>
    <row r="9805" spans="1:19" x14ac:dyDescent="0.25">
      <c r="A9805">
        <v>101297513</v>
      </c>
      <c r="B9805" t="s">
        <v>22197</v>
      </c>
      <c r="C9805" t="s">
        <v>571</v>
      </c>
      <c r="G9805" t="s">
        <v>22198</v>
      </c>
      <c r="H9805" t="s">
        <v>22199</v>
      </c>
      <c r="I9805" t="s">
        <v>191</v>
      </c>
      <c r="J9805">
        <v>4107</v>
      </c>
      <c r="L9805" t="s">
        <v>23</v>
      </c>
      <c r="M9805" t="s">
        <v>22198</v>
      </c>
      <c r="N9805" t="s">
        <v>22199</v>
      </c>
      <c r="O9805" t="s">
        <v>191</v>
      </c>
      <c r="P9805">
        <v>4107</v>
      </c>
      <c r="R9805" t="s">
        <v>23</v>
      </c>
      <c r="S9805" s="1" t="s">
        <v>34218</v>
      </c>
    </row>
    <row r="9806" spans="1:19" x14ac:dyDescent="0.25">
      <c r="A9806">
        <v>101421763</v>
      </c>
      <c r="B9806" t="s">
        <v>14182</v>
      </c>
      <c r="C9806" t="s">
        <v>11308</v>
      </c>
      <c r="G9806" t="s">
        <v>22200</v>
      </c>
      <c r="H9806" t="s">
        <v>3604</v>
      </c>
      <c r="I9806" t="s">
        <v>140</v>
      </c>
      <c r="J9806" t="s">
        <v>22201</v>
      </c>
      <c r="K9806">
        <v>1504</v>
      </c>
      <c r="L9806" t="s">
        <v>23</v>
      </c>
      <c r="M9806" t="s">
        <v>22200</v>
      </c>
      <c r="N9806" t="s">
        <v>3604</v>
      </c>
      <c r="O9806" t="s">
        <v>140</v>
      </c>
      <c r="P9806" t="s">
        <v>22201</v>
      </c>
      <c r="Q9806">
        <v>1504</v>
      </c>
      <c r="R9806" t="s">
        <v>23</v>
      </c>
      <c r="S9806" s="1" t="s">
        <v>34218</v>
      </c>
    </row>
    <row r="9807" spans="1:19" x14ac:dyDescent="0.25">
      <c r="A9807">
        <v>101338744</v>
      </c>
      <c r="B9807" t="s">
        <v>22202</v>
      </c>
      <c r="C9807" t="s">
        <v>40</v>
      </c>
      <c r="G9807" t="s">
        <v>22203</v>
      </c>
      <c r="H9807" t="s">
        <v>2910</v>
      </c>
      <c r="I9807" t="s">
        <v>52</v>
      </c>
      <c r="J9807">
        <v>34239</v>
      </c>
      <c r="K9807">
        <v>2101</v>
      </c>
      <c r="L9807" t="s">
        <v>23</v>
      </c>
      <c r="M9807" t="s">
        <v>22203</v>
      </c>
      <c r="N9807" t="s">
        <v>2910</v>
      </c>
      <c r="O9807" t="s">
        <v>52</v>
      </c>
      <c r="P9807">
        <v>34239</v>
      </c>
      <c r="Q9807">
        <v>2101</v>
      </c>
      <c r="R9807" t="s">
        <v>23</v>
      </c>
      <c r="S9807" s="1" t="s">
        <v>34218</v>
      </c>
    </row>
    <row r="9808" spans="1:19" x14ac:dyDescent="0.25">
      <c r="A9808">
        <v>101445387</v>
      </c>
      <c r="B9808" t="s">
        <v>22204</v>
      </c>
      <c r="C9808" t="s">
        <v>10868</v>
      </c>
      <c r="G9808" t="s">
        <v>22205</v>
      </c>
      <c r="H9808" t="s">
        <v>1754</v>
      </c>
      <c r="I9808" t="s">
        <v>135</v>
      </c>
      <c r="J9808">
        <v>60202</v>
      </c>
      <c r="K9808">
        <v>1250</v>
      </c>
      <c r="L9808" t="s">
        <v>23</v>
      </c>
      <c r="M9808" t="s">
        <v>22205</v>
      </c>
      <c r="N9808" t="s">
        <v>1754</v>
      </c>
      <c r="O9808" t="s">
        <v>135</v>
      </c>
      <c r="P9808">
        <v>60202</v>
      </c>
      <c r="Q9808">
        <v>1250</v>
      </c>
      <c r="R9808" t="s">
        <v>23</v>
      </c>
      <c r="S9808" s="1" t="s">
        <v>34218</v>
      </c>
    </row>
    <row r="9809" spans="1:19" x14ac:dyDescent="0.25">
      <c r="A9809">
        <v>100940109</v>
      </c>
      <c r="B9809" t="s">
        <v>3290</v>
      </c>
      <c r="C9809" t="s">
        <v>475</v>
      </c>
      <c r="G9809" t="s">
        <v>22206</v>
      </c>
      <c r="H9809" t="s">
        <v>22207</v>
      </c>
      <c r="I9809" t="s">
        <v>71</v>
      </c>
      <c r="J9809">
        <v>80513</v>
      </c>
      <c r="K9809">
        <v>1234</v>
      </c>
      <c r="L9809" t="s">
        <v>23</v>
      </c>
      <c r="M9809" t="s">
        <v>22206</v>
      </c>
      <c r="N9809" t="s">
        <v>22207</v>
      </c>
      <c r="O9809" t="s">
        <v>71</v>
      </c>
      <c r="P9809">
        <v>80513</v>
      </c>
      <c r="Q9809">
        <v>1234</v>
      </c>
      <c r="R9809" t="s">
        <v>23</v>
      </c>
      <c r="S9809" s="1" t="s">
        <v>34218</v>
      </c>
    </row>
    <row r="9810" spans="1:19" x14ac:dyDescent="0.25">
      <c r="A9810">
        <v>101351519</v>
      </c>
      <c r="B9810" t="s">
        <v>22208</v>
      </c>
      <c r="C9810" t="s">
        <v>22209</v>
      </c>
      <c r="G9810" t="s">
        <v>22210</v>
      </c>
      <c r="H9810" t="s">
        <v>1402</v>
      </c>
      <c r="I9810" t="s">
        <v>38</v>
      </c>
      <c r="J9810">
        <v>77088</v>
      </c>
      <c r="K9810">
        <v>4104</v>
      </c>
      <c r="L9810" t="s">
        <v>23</v>
      </c>
      <c r="M9810" t="s">
        <v>22210</v>
      </c>
      <c r="N9810" t="s">
        <v>1402</v>
      </c>
      <c r="O9810" t="s">
        <v>38</v>
      </c>
      <c r="P9810">
        <v>77088</v>
      </c>
      <c r="Q9810">
        <v>4104</v>
      </c>
      <c r="R9810" t="s">
        <v>23</v>
      </c>
      <c r="S9810" s="1" t="s">
        <v>34218</v>
      </c>
    </row>
    <row r="9811" spans="1:19" x14ac:dyDescent="0.25">
      <c r="A9811">
        <v>101446774</v>
      </c>
      <c r="B9811" t="s">
        <v>22211</v>
      </c>
      <c r="C9811" t="s">
        <v>571</v>
      </c>
      <c r="G9811" t="s">
        <v>22212</v>
      </c>
      <c r="H9811" t="s">
        <v>12221</v>
      </c>
      <c r="I9811" t="s">
        <v>22</v>
      </c>
      <c r="J9811">
        <v>92629</v>
      </c>
      <c r="K9811">
        <v>2600</v>
      </c>
      <c r="L9811" t="s">
        <v>23</v>
      </c>
      <c r="M9811" t="s">
        <v>22212</v>
      </c>
      <c r="N9811" t="s">
        <v>12221</v>
      </c>
      <c r="O9811" t="s">
        <v>22</v>
      </c>
      <c r="P9811">
        <v>92629</v>
      </c>
      <c r="Q9811">
        <v>2600</v>
      </c>
      <c r="R9811" t="s">
        <v>23</v>
      </c>
      <c r="S9811" s="1" t="s">
        <v>34218</v>
      </c>
    </row>
    <row r="9812" spans="1:19" x14ac:dyDescent="0.25">
      <c r="A9812">
        <v>101427416</v>
      </c>
      <c r="B9812" t="s">
        <v>22213</v>
      </c>
      <c r="C9812" t="s">
        <v>579</v>
      </c>
      <c r="G9812" t="s">
        <v>22214</v>
      </c>
      <c r="H9812" t="s">
        <v>4247</v>
      </c>
      <c r="I9812" t="s">
        <v>33</v>
      </c>
      <c r="J9812">
        <v>19067</v>
      </c>
      <c r="K9812">
        <v>2720</v>
      </c>
      <c r="L9812" t="s">
        <v>23</v>
      </c>
      <c r="M9812" t="s">
        <v>22214</v>
      </c>
      <c r="N9812" t="s">
        <v>4247</v>
      </c>
      <c r="O9812" t="s">
        <v>33</v>
      </c>
      <c r="P9812">
        <v>19067</v>
      </c>
      <c r="Q9812">
        <v>2720</v>
      </c>
      <c r="R9812" t="s">
        <v>23</v>
      </c>
      <c r="S9812" s="1" t="s">
        <v>34218</v>
      </c>
    </row>
    <row r="9813" spans="1:19" x14ac:dyDescent="0.25">
      <c r="A9813">
        <v>100536988</v>
      </c>
      <c r="B9813" t="s">
        <v>3705</v>
      </c>
      <c r="C9813" t="s">
        <v>10596</v>
      </c>
      <c r="G9813" t="s">
        <v>22215</v>
      </c>
      <c r="H9813" t="s">
        <v>7846</v>
      </c>
      <c r="I9813" t="s">
        <v>22</v>
      </c>
      <c r="J9813">
        <v>95482</v>
      </c>
      <c r="K9813">
        <v>178</v>
      </c>
      <c r="L9813" t="s">
        <v>23</v>
      </c>
      <c r="M9813" t="s">
        <v>22215</v>
      </c>
      <c r="N9813" t="s">
        <v>7846</v>
      </c>
      <c r="O9813" t="s">
        <v>22</v>
      </c>
      <c r="P9813">
        <v>95482</v>
      </c>
      <c r="Q9813">
        <v>178</v>
      </c>
      <c r="R9813" t="s">
        <v>23</v>
      </c>
      <c r="S9813" s="1" t="s">
        <v>34218</v>
      </c>
    </row>
    <row r="9814" spans="1:19" x14ac:dyDescent="0.25">
      <c r="A9814">
        <v>101446813</v>
      </c>
      <c r="B9814" t="s">
        <v>22216</v>
      </c>
      <c r="C9814" t="s">
        <v>22217</v>
      </c>
      <c r="G9814" t="s">
        <v>22218</v>
      </c>
      <c r="H9814" t="s">
        <v>9375</v>
      </c>
      <c r="I9814" t="s">
        <v>52</v>
      </c>
      <c r="J9814">
        <v>32952</v>
      </c>
      <c r="K9814">
        <v>5806</v>
      </c>
      <c r="L9814" t="s">
        <v>23</v>
      </c>
      <c r="M9814" t="s">
        <v>22218</v>
      </c>
      <c r="N9814" t="s">
        <v>9375</v>
      </c>
      <c r="O9814" t="s">
        <v>52</v>
      </c>
      <c r="P9814">
        <v>32952</v>
      </c>
      <c r="Q9814">
        <v>5806</v>
      </c>
      <c r="R9814" t="s">
        <v>23</v>
      </c>
      <c r="S9814" s="1" t="s">
        <v>34218</v>
      </c>
    </row>
    <row r="9815" spans="1:19" x14ac:dyDescent="0.25">
      <c r="A9815">
        <v>101344034</v>
      </c>
      <c r="B9815" t="s">
        <v>22219</v>
      </c>
      <c r="C9815" t="s">
        <v>22220</v>
      </c>
      <c r="G9815" t="s">
        <v>22221</v>
      </c>
      <c r="H9815" t="s">
        <v>22222</v>
      </c>
      <c r="I9815" t="s">
        <v>135</v>
      </c>
      <c r="J9815">
        <v>60107</v>
      </c>
      <c r="K9815">
        <v>3063</v>
      </c>
      <c r="L9815" t="s">
        <v>23</v>
      </c>
      <c r="M9815" t="s">
        <v>22221</v>
      </c>
      <c r="N9815" t="s">
        <v>22222</v>
      </c>
      <c r="O9815" t="s">
        <v>135</v>
      </c>
      <c r="P9815">
        <v>60107</v>
      </c>
      <c r="Q9815">
        <v>3063</v>
      </c>
      <c r="R9815" t="s">
        <v>23</v>
      </c>
      <c r="S9815" s="1" t="s">
        <v>34218</v>
      </c>
    </row>
    <row r="9816" spans="1:19" x14ac:dyDescent="0.25">
      <c r="A9816">
        <v>101446942</v>
      </c>
      <c r="B9816" t="s">
        <v>3956</v>
      </c>
      <c r="C9816" t="s">
        <v>2044</v>
      </c>
      <c r="G9816" t="s">
        <v>22223</v>
      </c>
      <c r="H9816" t="s">
        <v>22224</v>
      </c>
      <c r="I9816" t="s">
        <v>236</v>
      </c>
      <c r="J9816">
        <v>2191</v>
      </c>
      <c r="K9816">
        <v>1422</v>
      </c>
      <c r="L9816" t="s">
        <v>23</v>
      </c>
      <c r="M9816" t="s">
        <v>22223</v>
      </c>
      <c r="N9816" t="s">
        <v>22224</v>
      </c>
      <c r="O9816" t="s">
        <v>236</v>
      </c>
      <c r="P9816">
        <v>2191</v>
      </c>
      <c r="Q9816">
        <v>1422</v>
      </c>
      <c r="R9816" t="s">
        <v>23</v>
      </c>
      <c r="S9816" s="1" t="s">
        <v>34218</v>
      </c>
    </row>
    <row r="9817" spans="1:19" x14ac:dyDescent="0.25">
      <c r="A9817">
        <v>101447593</v>
      </c>
      <c r="B9817" t="s">
        <v>18696</v>
      </c>
      <c r="C9817" t="s">
        <v>6315</v>
      </c>
      <c r="G9817" t="s">
        <v>22225</v>
      </c>
      <c r="H9817" t="s">
        <v>2684</v>
      </c>
      <c r="I9817" t="s">
        <v>22</v>
      </c>
      <c r="J9817">
        <v>94901</v>
      </c>
      <c r="K9817">
        <v>1787</v>
      </c>
      <c r="L9817" t="s">
        <v>23</v>
      </c>
      <c r="M9817" t="s">
        <v>22225</v>
      </c>
      <c r="N9817" t="s">
        <v>2684</v>
      </c>
      <c r="O9817" t="s">
        <v>22</v>
      </c>
      <c r="P9817">
        <v>94901</v>
      </c>
      <c r="Q9817">
        <v>1787</v>
      </c>
      <c r="R9817" t="s">
        <v>23</v>
      </c>
      <c r="S9817" s="1" t="s">
        <v>34218</v>
      </c>
    </row>
    <row r="9818" spans="1:19" x14ac:dyDescent="0.25">
      <c r="A9818">
        <v>101431641</v>
      </c>
      <c r="B9818" t="s">
        <v>22226</v>
      </c>
      <c r="C9818" t="s">
        <v>763</v>
      </c>
      <c r="G9818" t="s">
        <v>22227</v>
      </c>
      <c r="H9818" t="s">
        <v>6781</v>
      </c>
      <c r="I9818" t="s">
        <v>33</v>
      </c>
      <c r="J9818">
        <v>19083</v>
      </c>
      <c r="K9818">
        <v>1811</v>
      </c>
      <c r="L9818" t="s">
        <v>23</v>
      </c>
      <c r="M9818" t="s">
        <v>22227</v>
      </c>
      <c r="N9818" t="s">
        <v>6781</v>
      </c>
      <c r="O9818" t="s">
        <v>33</v>
      </c>
      <c r="P9818">
        <v>19083</v>
      </c>
      <c r="Q9818">
        <v>1811</v>
      </c>
      <c r="R9818" t="s">
        <v>23</v>
      </c>
      <c r="S9818" s="1" t="s">
        <v>34218</v>
      </c>
    </row>
    <row r="9819" spans="1:19" x14ac:dyDescent="0.25">
      <c r="A9819">
        <v>101447647</v>
      </c>
      <c r="B9819" t="s">
        <v>734</v>
      </c>
      <c r="C9819" t="s">
        <v>617</v>
      </c>
      <c r="G9819" t="s">
        <v>22228</v>
      </c>
      <c r="H9819" t="s">
        <v>653</v>
      </c>
      <c r="I9819" t="s">
        <v>117</v>
      </c>
      <c r="J9819">
        <v>10003</v>
      </c>
      <c r="K9819">
        <v>5944</v>
      </c>
      <c r="L9819" t="s">
        <v>23</v>
      </c>
      <c r="M9819" t="s">
        <v>22228</v>
      </c>
      <c r="N9819" t="s">
        <v>653</v>
      </c>
      <c r="O9819" t="s">
        <v>117</v>
      </c>
      <c r="P9819">
        <v>10003</v>
      </c>
      <c r="Q9819">
        <v>5944</v>
      </c>
      <c r="R9819" t="s">
        <v>23</v>
      </c>
      <c r="S9819" s="1" t="s">
        <v>34218</v>
      </c>
    </row>
    <row r="9820" spans="1:19" x14ac:dyDescent="0.25">
      <c r="A9820">
        <v>101224733</v>
      </c>
      <c r="B9820" t="s">
        <v>22229</v>
      </c>
      <c r="C9820" t="s">
        <v>959</v>
      </c>
      <c r="G9820" t="s">
        <v>22230</v>
      </c>
      <c r="H9820" t="s">
        <v>688</v>
      </c>
      <c r="I9820" t="s">
        <v>117</v>
      </c>
      <c r="J9820">
        <v>14611</v>
      </c>
      <c r="K9820">
        <v>3935</v>
      </c>
      <c r="L9820" t="s">
        <v>23</v>
      </c>
      <c r="M9820" t="s">
        <v>22230</v>
      </c>
      <c r="N9820" t="s">
        <v>688</v>
      </c>
      <c r="O9820" t="s">
        <v>117</v>
      </c>
      <c r="P9820">
        <v>14611</v>
      </c>
      <c r="Q9820">
        <v>3935</v>
      </c>
      <c r="R9820" t="s">
        <v>23</v>
      </c>
      <c r="S9820" s="1" t="s">
        <v>34218</v>
      </c>
    </row>
    <row r="9821" spans="1:19" x14ac:dyDescent="0.25">
      <c r="A9821">
        <v>101290700</v>
      </c>
      <c r="B9821" t="s">
        <v>22231</v>
      </c>
      <c r="C9821" t="s">
        <v>21496</v>
      </c>
      <c r="G9821" t="s">
        <v>22232</v>
      </c>
      <c r="H9821" t="s">
        <v>22233</v>
      </c>
      <c r="I9821" t="s">
        <v>22</v>
      </c>
      <c r="J9821">
        <v>93561</v>
      </c>
      <c r="K9821">
        <v>9670</v>
      </c>
      <c r="L9821" t="s">
        <v>23</v>
      </c>
      <c r="M9821" t="s">
        <v>22232</v>
      </c>
      <c r="N9821" t="s">
        <v>22233</v>
      </c>
      <c r="O9821" t="s">
        <v>22</v>
      </c>
      <c r="P9821">
        <v>93561</v>
      </c>
      <c r="Q9821">
        <v>9670</v>
      </c>
      <c r="R9821" t="s">
        <v>23</v>
      </c>
      <c r="S9821" s="1" t="s">
        <v>34218</v>
      </c>
    </row>
    <row r="9822" spans="1:19" x14ac:dyDescent="0.25">
      <c r="A9822">
        <v>101432408</v>
      </c>
      <c r="B9822" t="s">
        <v>22234</v>
      </c>
      <c r="C9822" t="s">
        <v>644</v>
      </c>
      <c r="G9822" t="s">
        <v>22235</v>
      </c>
      <c r="H9822" t="s">
        <v>6171</v>
      </c>
      <c r="I9822" t="s">
        <v>255</v>
      </c>
      <c r="J9822">
        <v>23228</v>
      </c>
      <c r="K9822">
        <v>6017</v>
      </c>
      <c r="L9822" t="s">
        <v>23</v>
      </c>
      <c r="M9822" t="s">
        <v>22235</v>
      </c>
      <c r="N9822" t="s">
        <v>6171</v>
      </c>
      <c r="O9822" t="s">
        <v>255</v>
      </c>
      <c r="P9822">
        <v>23228</v>
      </c>
      <c r="Q9822">
        <v>6017</v>
      </c>
      <c r="R9822" t="s">
        <v>23</v>
      </c>
      <c r="S9822" s="1" t="s">
        <v>34218</v>
      </c>
    </row>
    <row r="9823" spans="1:19" x14ac:dyDescent="0.25">
      <c r="A9823">
        <v>101061112</v>
      </c>
      <c r="B9823" t="s">
        <v>4064</v>
      </c>
      <c r="C9823" t="s">
        <v>4359</v>
      </c>
      <c r="G9823" t="s">
        <v>22236</v>
      </c>
      <c r="H9823" t="s">
        <v>653</v>
      </c>
      <c r="I9823" t="s">
        <v>117</v>
      </c>
      <c r="J9823">
        <v>10016</v>
      </c>
      <c r="K9823">
        <v>8291</v>
      </c>
      <c r="L9823" t="s">
        <v>23</v>
      </c>
      <c r="M9823" t="s">
        <v>22236</v>
      </c>
      <c r="N9823" t="s">
        <v>653</v>
      </c>
      <c r="O9823" t="s">
        <v>117</v>
      </c>
      <c r="P9823">
        <v>10016</v>
      </c>
      <c r="Q9823">
        <v>8291</v>
      </c>
      <c r="R9823" t="s">
        <v>23</v>
      </c>
      <c r="S9823" s="1" t="s">
        <v>34218</v>
      </c>
    </row>
    <row r="9824" spans="1:19" x14ac:dyDescent="0.25">
      <c r="A9824">
        <v>101451157</v>
      </c>
      <c r="B9824" t="s">
        <v>22237</v>
      </c>
      <c r="C9824" t="s">
        <v>180</v>
      </c>
      <c r="G9824" t="s">
        <v>22238</v>
      </c>
      <c r="H9824" t="s">
        <v>6390</v>
      </c>
      <c r="I9824" t="s">
        <v>236</v>
      </c>
      <c r="J9824">
        <v>1844</v>
      </c>
      <c r="K9824">
        <v>2229</v>
      </c>
      <c r="L9824" t="s">
        <v>23</v>
      </c>
      <c r="M9824" t="s">
        <v>22238</v>
      </c>
      <c r="N9824" t="s">
        <v>6390</v>
      </c>
      <c r="O9824" t="s">
        <v>236</v>
      </c>
      <c r="P9824">
        <v>1844</v>
      </c>
      <c r="Q9824">
        <v>2229</v>
      </c>
      <c r="R9824" t="s">
        <v>23</v>
      </c>
      <c r="S9824" s="1" t="s">
        <v>34218</v>
      </c>
    </row>
    <row r="9825" spans="1:19" x14ac:dyDescent="0.25">
      <c r="A9825">
        <v>100732891</v>
      </c>
      <c r="B9825" t="s">
        <v>22239</v>
      </c>
      <c r="C9825" t="s">
        <v>270</v>
      </c>
      <c r="G9825" t="s">
        <v>22240</v>
      </c>
      <c r="H9825" t="s">
        <v>8383</v>
      </c>
      <c r="I9825" t="s">
        <v>117</v>
      </c>
      <c r="J9825">
        <v>11598</v>
      </c>
      <c r="L9825" t="s">
        <v>23</v>
      </c>
      <c r="M9825" t="s">
        <v>22240</v>
      </c>
      <c r="N9825" t="s">
        <v>8383</v>
      </c>
      <c r="O9825" t="s">
        <v>117</v>
      </c>
      <c r="P9825">
        <v>11598</v>
      </c>
      <c r="R9825" t="s">
        <v>23</v>
      </c>
      <c r="S9825" s="1" t="s">
        <v>34218</v>
      </c>
    </row>
    <row r="9826" spans="1:19" x14ac:dyDescent="0.25">
      <c r="A9826">
        <v>100819442</v>
      </c>
      <c r="B9826" t="s">
        <v>22241</v>
      </c>
      <c r="C9826" t="s">
        <v>613</v>
      </c>
      <c r="G9826" t="s">
        <v>22242</v>
      </c>
      <c r="H9826" t="s">
        <v>653</v>
      </c>
      <c r="I9826" t="s">
        <v>117</v>
      </c>
      <c r="J9826">
        <v>10025</v>
      </c>
      <c r="K9826">
        <v>6120</v>
      </c>
      <c r="L9826" t="s">
        <v>23</v>
      </c>
      <c r="M9826" t="s">
        <v>22242</v>
      </c>
      <c r="N9826" t="s">
        <v>653</v>
      </c>
      <c r="O9826" t="s">
        <v>117</v>
      </c>
      <c r="P9826">
        <v>10025</v>
      </c>
      <c r="Q9826">
        <v>6120</v>
      </c>
      <c r="R9826" t="s">
        <v>23</v>
      </c>
      <c r="S9826" s="1" t="s">
        <v>34218</v>
      </c>
    </row>
    <row r="9827" spans="1:19" x14ac:dyDescent="0.25">
      <c r="A9827">
        <v>101292383</v>
      </c>
      <c r="B9827" t="s">
        <v>10104</v>
      </c>
      <c r="C9827" t="s">
        <v>2127</v>
      </c>
      <c r="G9827" t="s">
        <v>22243</v>
      </c>
      <c r="H9827" t="s">
        <v>22244</v>
      </c>
      <c r="I9827" t="s">
        <v>250</v>
      </c>
      <c r="J9827">
        <v>7922</v>
      </c>
      <c r="K9827">
        <v>1279</v>
      </c>
      <c r="L9827" t="s">
        <v>23</v>
      </c>
      <c r="M9827" t="s">
        <v>22243</v>
      </c>
      <c r="N9827" t="s">
        <v>22244</v>
      </c>
      <c r="O9827" t="s">
        <v>250</v>
      </c>
      <c r="P9827">
        <v>7922</v>
      </c>
      <c r="Q9827">
        <v>1279</v>
      </c>
      <c r="R9827" t="s">
        <v>23</v>
      </c>
      <c r="S9827" s="1" t="s">
        <v>34218</v>
      </c>
    </row>
    <row r="9828" spans="1:19" x14ac:dyDescent="0.25">
      <c r="A9828">
        <v>100863877</v>
      </c>
      <c r="B9828" t="s">
        <v>22245</v>
      </c>
      <c r="C9828" t="s">
        <v>1036</v>
      </c>
      <c r="G9828" t="s">
        <v>22246</v>
      </c>
      <c r="H9828" t="s">
        <v>12592</v>
      </c>
      <c r="I9828" t="s">
        <v>52</v>
      </c>
      <c r="J9828">
        <v>33702</v>
      </c>
      <c r="K9828">
        <v>6424</v>
      </c>
      <c r="L9828" t="s">
        <v>23</v>
      </c>
      <c r="M9828" t="s">
        <v>22246</v>
      </c>
      <c r="N9828" t="s">
        <v>12592</v>
      </c>
      <c r="O9828" t="s">
        <v>52</v>
      </c>
      <c r="P9828">
        <v>33702</v>
      </c>
      <c r="Q9828">
        <v>6424</v>
      </c>
      <c r="R9828" t="s">
        <v>23</v>
      </c>
      <c r="S9828" s="1" t="s">
        <v>34218</v>
      </c>
    </row>
    <row r="9829" spans="1:19" x14ac:dyDescent="0.25">
      <c r="A9829">
        <v>101421608</v>
      </c>
      <c r="B9829" t="s">
        <v>654</v>
      </c>
      <c r="C9829" t="s">
        <v>1647</v>
      </c>
      <c r="G9829" t="s">
        <v>22247</v>
      </c>
      <c r="H9829" t="s">
        <v>605</v>
      </c>
      <c r="I9829" t="s">
        <v>22</v>
      </c>
      <c r="J9829">
        <v>91436</v>
      </c>
      <c r="K9829">
        <v>1541</v>
      </c>
      <c r="L9829" t="s">
        <v>23</v>
      </c>
      <c r="M9829" t="s">
        <v>22247</v>
      </c>
      <c r="N9829" t="s">
        <v>605</v>
      </c>
      <c r="O9829" t="s">
        <v>22</v>
      </c>
      <c r="P9829">
        <v>91436</v>
      </c>
      <c r="Q9829">
        <v>1541</v>
      </c>
      <c r="R9829" t="s">
        <v>23</v>
      </c>
      <c r="S9829" s="1" t="s">
        <v>34218</v>
      </c>
    </row>
    <row r="9830" spans="1:19" x14ac:dyDescent="0.25">
      <c r="A9830">
        <v>101468985</v>
      </c>
      <c r="B9830" t="s">
        <v>22248</v>
      </c>
      <c r="C9830" t="s">
        <v>2057</v>
      </c>
      <c r="G9830" t="s">
        <v>22249</v>
      </c>
      <c r="H9830" t="s">
        <v>899</v>
      </c>
      <c r="I9830" t="s">
        <v>135</v>
      </c>
      <c r="J9830">
        <v>60491</v>
      </c>
      <c r="K9830">
        <v>6627</v>
      </c>
      <c r="L9830" t="s">
        <v>23</v>
      </c>
      <c r="M9830" t="s">
        <v>22249</v>
      </c>
      <c r="N9830" t="s">
        <v>899</v>
      </c>
      <c r="O9830" t="s">
        <v>135</v>
      </c>
      <c r="P9830">
        <v>60491</v>
      </c>
      <c r="Q9830">
        <v>6627</v>
      </c>
      <c r="R9830" t="s">
        <v>23</v>
      </c>
      <c r="S9830" s="1" t="s">
        <v>34218</v>
      </c>
    </row>
    <row r="9831" spans="1:19" x14ac:dyDescent="0.25">
      <c r="A9831">
        <v>101466497</v>
      </c>
      <c r="B9831" t="s">
        <v>22250</v>
      </c>
      <c r="C9831" t="s">
        <v>3708</v>
      </c>
      <c r="G9831" t="s">
        <v>22251</v>
      </c>
      <c r="H9831" t="s">
        <v>1308</v>
      </c>
      <c r="I9831" t="s">
        <v>117</v>
      </c>
      <c r="J9831">
        <v>13903</v>
      </c>
      <c r="K9831">
        <v>6517</v>
      </c>
      <c r="L9831" t="s">
        <v>23</v>
      </c>
      <c r="M9831" t="s">
        <v>22251</v>
      </c>
      <c r="N9831" t="s">
        <v>1308</v>
      </c>
      <c r="O9831" t="s">
        <v>117</v>
      </c>
      <c r="P9831">
        <v>13903</v>
      </c>
      <c r="Q9831">
        <v>6517</v>
      </c>
      <c r="R9831" t="s">
        <v>23</v>
      </c>
      <c r="S9831" s="1" t="s">
        <v>34218</v>
      </c>
    </row>
    <row r="9832" spans="1:19" x14ac:dyDescent="0.25">
      <c r="A9832">
        <v>101087185</v>
      </c>
      <c r="B9832" t="s">
        <v>22114</v>
      </c>
      <c r="C9832" t="s">
        <v>367</v>
      </c>
      <c r="G9832" t="s">
        <v>22252</v>
      </c>
      <c r="H9832" t="s">
        <v>22253</v>
      </c>
      <c r="I9832" t="s">
        <v>140</v>
      </c>
      <c r="J9832">
        <v>48840</v>
      </c>
      <c r="K9832">
        <v>8441</v>
      </c>
      <c r="L9832" t="s">
        <v>23</v>
      </c>
      <c r="M9832" t="s">
        <v>22252</v>
      </c>
      <c r="N9832" t="s">
        <v>22253</v>
      </c>
      <c r="O9832" t="s">
        <v>140</v>
      </c>
      <c r="P9832">
        <v>48840</v>
      </c>
      <c r="Q9832">
        <v>8441</v>
      </c>
      <c r="R9832" t="s">
        <v>23</v>
      </c>
      <c r="S9832" s="1" t="s">
        <v>34218</v>
      </c>
    </row>
    <row r="9833" spans="1:19" x14ac:dyDescent="0.25">
      <c r="A9833">
        <v>101088409</v>
      </c>
      <c r="B9833" t="s">
        <v>22254</v>
      </c>
      <c r="C9833" t="s">
        <v>290</v>
      </c>
      <c r="F9833" t="str">
        <f>"7078457835"</f>
        <v>7078457835</v>
      </c>
      <c r="G9833" t="s">
        <v>9669</v>
      </c>
      <c r="H9833" t="s">
        <v>22255</v>
      </c>
      <c r="I9833" t="s">
        <v>22</v>
      </c>
      <c r="J9833">
        <v>95571</v>
      </c>
      <c r="K9833">
        <v>11</v>
      </c>
      <c r="L9833" t="s">
        <v>23</v>
      </c>
      <c r="M9833" t="s">
        <v>9669</v>
      </c>
      <c r="N9833" t="s">
        <v>22255</v>
      </c>
      <c r="O9833" t="s">
        <v>22</v>
      </c>
      <c r="P9833">
        <v>95571</v>
      </c>
      <c r="Q9833">
        <v>11</v>
      </c>
      <c r="R9833" t="s">
        <v>23</v>
      </c>
      <c r="S9833" s="1" t="s">
        <v>34218</v>
      </c>
    </row>
    <row r="9834" spans="1:19" x14ac:dyDescent="0.25">
      <c r="A9834">
        <v>101089384</v>
      </c>
      <c r="B9834" t="s">
        <v>22256</v>
      </c>
      <c r="C9834" t="s">
        <v>641</v>
      </c>
      <c r="G9834" t="s">
        <v>22257</v>
      </c>
      <c r="H9834" t="s">
        <v>1877</v>
      </c>
      <c r="I9834" t="s">
        <v>161</v>
      </c>
      <c r="J9834">
        <v>6420</v>
      </c>
      <c r="K9834">
        <v>4113</v>
      </c>
      <c r="L9834" t="s">
        <v>23</v>
      </c>
      <c r="M9834" t="s">
        <v>22257</v>
      </c>
      <c r="N9834" t="s">
        <v>1877</v>
      </c>
      <c r="O9834" t="s">
        <v>161</v>
      </c>
      <c r="P9834">
        <v>6420</v>
      </c>
      <c r="Q9834">
        <v>4113</v>
      </c>
      <c r="R9834" t="s">
        <v>23</v>
      </c>
      <c r="S9834" s="1" t="s">
        <v>34218</v>
      </c>
    </row>
    <row r="9835" spans="1:19" x14ac:dyDescent="0.25">
      <c r="A9835">
        <v>101091462</v>
      </c>
      <c r="B9835" t="s">
        <v>3187</v>
      </c>
      <c r="C9835" t="s">
        <v>4856</v>
      </c>
      <c r="G9835" t="s">
        <v>22258</v>
      </c>
      <c r="H9835" t="s">
        <v>2910</v>
      </c>
      <c r="I9835" t="s">
        <v>52</v>
      </c>
      <c r="J9835">
        <v>34230</v>
      </c>
      <c r="K9835">
        <v>1148</v>
      </c>
      <c r="L9835" t="s">
        <v>23</v>
      </c>
      <c r="M9835" t="s">
        <v>22258</v>
      </c>
      <c r="N9835" t="s">
        <v>2910</v>
      </c>
      <c r="O9835" t="s">
        <v>52</v>
      </c>
      <c r="P9835">
        <v>34230</v>
      </c>
      <c r="Q9835">
        <v>1148</v>
      </c>
      <c r="R9835" t="s">
        <v>23</v>
      </c>
      <c r="S9835" s="1" t="s">
        <v>34218</v>
      </c>
    </row>
    <row r="9836" spans="1:19" x14ac:dyDescent="0.25">
      <c r="A9836">
        <v>101097996</v>
      </c>
      <c r="B9836" t="s">
        <v>22259</v>
      </c>
      <c r="C9836" t="s">
        <v>1069</v>
      </c>
      <c r="G9836" t="s">
        <v>22260</v>
      </c>
      <c r="H9836" t="s">
        <v>2662</v>
      </c>
      <c r="I9836" t="s">
        <v>100</v>
      </c>
      <c r="J9836">
        <v>53188</v>
      </c>
      <c r="K9836">
        <v>5968</v>
      </c>
      <c r="L9836" t="s">
        <v>23</v>
      </c>
      <c r="M9836" t="s">
        <v>22260</v>
      </c>
      <c r="N9836" t="s">
        <v>2662</v>
      </c>
      <c r="O9836" t="s">
        <v>100</v>
      </c>
      <c r="P9836">
        <v>53188</v>
      </c>
      <c r="Q9836">
        <v>5968</v>
      </c>
      <c r="R9836" t="s">
        <v>23</v>
      </c>
      <c r="S9836" s="1" t="s">
        <v>34218</v>
      </c>
    </row>
    <row r="9837" spans="1:19" x14ac:dyDescent="0.25">
      <c r="A9837">
        <v>101305011</v>
      </c>
      <c r="B9837" t="s">
        <v>22261</v>
      </c>
      <c r="C9837" t="s">
        <v>1153</v>
      </c>
      <c r="G9837" t="s">
        <v>22262</v>
      </c>
      <c r="H9837" t="s">
        <v>22263</v>
      </c>
      <c r="I9837" t="s">
        <v>52</v>
      </c>
      <c r="J9837">
        <v>33573</v>
      </c>
      <c r="K9837">
        <v>5453</v>
      </c>
      <c r="L9837" t="s">
        <v>23</v>
      </c>
      <c r="M9837" t="s">
        <v>22262</v>
      </c>
      <c r="N9837" t="s">
        <v>22263</v>
      </c>
      <c r="O9837" t="s">
        <v>52</v>
      </c>
      <c r="P9837">
        <v>33573</v>
      </c>
      <c r="Q9837">
        <v>5453</v>
      </c>
      <c r="R9837" t="s">
        <v>23</v>
      </c>
      <c r="S9837" s="1" t="s">
        <v>34218</v>
      </c>
    </row>
    <row r="9838" spans="1:19" x14ac:dyDescent="0.25">
      <c r="A9838">
        <v>101309528</v>
      </c>
      <c r="B9838" t="s">
        <v>14897</v>
      </c>
      <c r="C9838" t="s">
        <v>2515</v>
      </c>
      <c r="G9838" t="s">
        <v>22264</v>
      </c>
      <c r="H9838" t="s">
        <v>15819</v>
      </c>
      <c r="I9838" t="s">
        <v>33</v>
      </c>
      <c r="J9838">
        <v>19438</v>
      </c>
      <c r="K9838">
        <v>1658</v>
      </c>
      <c r="L9838" t="s">
        <v>23</v>
      </c>
      <c r="M9838" t="s">
        <v>22264</v>
      </c>
      <c r="N9838" t="s">
        <v>15819</v>
      </c>
      <c r="O9838" t="s">
        <v>33</v>
      </c>
      <c r="P9838">
        <v>19438</v>
      </c>
      <c r="Q9838">
        <v>1658</v>
      </c>
      <c r="R9838" t="s">
        <v>23</v>
      </c>
      <c r="S9838" s="1" t="s">
        <v>34218</v>
      </c>
    </row>
    <row r="9839" spans="1:19" x14ac:dyDescent="0.25">
      <c r="A9839">
        <v>101305752</v>
      </c>
      <c r="B9839" t="s">
        <v>22265</v>
      </c>
      <c r="C9839" t="s">
        <v>1669</v>
      </c>
      <c r="G9839" t="s">
        <v>22266</v>
      </c>
      <c r="H9839" t="s">
        <v>2894</v>
      </c>
      <c r="I9839" t="s">
        <v>178</v>
      </c>
      <c r="J9839">
        <v>43620</v>
      </c>
      <c r="K9839">
        <v>1520</v>
      </c>
      <c r="L9839" t="s">
        <v>23</v>
      </c>
      <c r="M9839" t="s">
        <v>22266</v>
      </c>
      <c r="N9839" t="s">
        <v>2894</v>
      </c>
      <c r="O9839" t="s">
        <v>178</v>
      </c>
      <c r="P9839">
        <v>43620</v>
      </c>
      <c r="Q9839">
        <v>1520</v>
      </c>
      <c r="R9839" t="s">
        <v>23</v>
      </c>
      <c r="S9839" s="1" t="s">
        <v>34218</v>
      </c>
    </row>
    <row r="9840" spans="1:19" x14ac:dyDescent="0.25">
      <c r="A9840">
        <v>101302173</v>
      </c>
      <c r="B9840" t="s">
        <v>22267</v>
      </c>
      <c r="C9840" t="s">
        <v>367</v>
      </c>
      <c r="G9840" t="s">
        <v>22268</v>
      </c>
      <c r="H9840" t="s">
        <v>9796</v>
      </c>
      <c r="I9840" t="s">
        <v>203</v>
      </c>
      <c r="J9840">
        <v>82009</v>
      </c>
      <c r="K9840">
        <v>9003</v>
      </c>
      <c r="L9840" t="s">
        <v>23</v>
      </c>
      <c r="M9840" t="s">
        <v>22268</v>
      </c>
      <c r="N9840" t="s">
        <v>9796</v>
      </c>
      <c r="O9840" t="s">
        <v>203</v>
      </c>
      <c r="P9840">
        <v>82009</v>
      </c>
      <c r="Q9840">
        <v>9003</v>
      </c>
      <c r="R9840" t="s">
        <v>23</v>
      </c>
      <c r="S9840" s="1" t="s">
        <v>34218</v>
      </c>
    </row>
    <row r="9841" spans="1:19" x14ac:dyDescent="0.25">
      <c r="A9841">
        <v>101310593</v>
      </c>
      <c r="B9841" t="s">
        <v>22269</v>
      </c>
      <c r="C9841" t="s">
        <v>1549</v>
      </c>
      <c r="G9841" t="s">
        <v>22270</v>
      </c>
      <c r="H9841" t="s">
        <v>22271</v>
      </c>
      <c r="I9841" t="s">
        <v>140</v>
      </c>
      <c r="J9841">
        <v>49738</v>
      </c>
      <c r="K9841">
        <v>1133</v>
      </c>
      <c r="L9841" t="s">
        <v>23</v>
      </c>
      <c r="M9841" t="s">
        <v>22270</v>
      </c>
      <c r="N9841" t="s">
        <v>22271</v>
      </c>
      <c r="O9841" t="s">
        <v>140</v>
      </c>
      <c r="P9841">
        <v>49738</v>
      </c>
      <c r="Q9841">
        <v>1133</v>
      </c>
      <c r="R9841" t="s">
        <v>23</v>
      </c>
      <c r="S9841" s="1" t="s">
        <v>34218</v>
      </c>
    </row>
    <row r="9842" spans="1:19" x14ac:dyDescent="0.25">
      <c r="A9842">
        <v>101311159</v>
      </c>
      <c r="B9842" t="s">
        <v>22272</v>
      </c>
      <c r="C9842" t="s">
        <v>16777</v>
      </c>
      <c r="G9842" t="s">
        <v>22273</v>
      </c>
      <c r="H9842" t="s">
        <v>1787</v>
      </c>
      <c r="I9842" t="s">
        <v>702</v>
      </c>
      <c r="J9842">
        <v>89138</v>
      </c>
      <c r="K9842">
        <v>1108</v>
      </c>
      <c r="L9842" t="s">
        <v>23</v>
      </c>
      <c r="M9842" t="s">
        <v>22273</v>
      </c>
      <c r="N9842" t="s">
        <v>1787</v>
      </c>
      <c r="O9842" t="s">
        <v>702</v>
      </c>
      <c r="P9842">
        <v>89138</v>
      </c>
      <c r="Q9842">
        <v>1108</v>
      </c>
      <c r="R9842" t="s">
        <v>23</v>
      </c>
      <c r="S9842" s="1" t="s">
        <v>34218</v>
      </c>
    </row>
    <row r="9843" spans="1:19" x14ac:dyDescent="0.25">
      <c r="A9843">
        <v>101309873</v>
      </c>
      <c r="B9843" t="s">
        <v>22274</v>
      </c>
      <c r="C9843" t="s">
        <v>4502</v>
      </c>
      <c r="G9843" t="s">
        <v>22275</v>
      </c>
      <c r="H9843" t="s">
        <v>12543</v>
      </c>
      <c r="I9843" t="s">
        <v>148</v>
      </c>
      <c r="J9843">
        <v>20716</v>
      </c>
      <c r="K9843">
        <v>1052</v>
      </c>
      <c r="L9843" t="s">
        <v>23</v>
      </c>
      <c r="M9843" t="s">
        <v>22275</v>
      </c>
      <c r="N9843" t="s">
        <v>12543</v>
      </c>
      <c r="O9843" t="s">
        <v>148</v>
      </c>
      <c r="P9843">
        <v>20716</v>
      </c>
      <c r="Q9843">
        <v>1052</v>
      </c>
      <c r="R9843" t="s">
        <v>23</v>
      </c>
      <c r="S9843" s="1" t="s">
        <v>34218</v>
      </c>
    </row>
    <row r="9844" spans="1:19" x14ac:dyDescent="0.25">
      <c r="A9844">
        <v>101311316</v>
      </c>
      <c r="B9844" t="s">
        <v>22276</v>
      </c>
      <c r="C9844" t="s">
        <v>2892</v>
      </c>
      <c r="G9844" t="s">
        <v>22277</v>
      </c>
      <c r="H9844" t="s">
        <v>653</v>
      </c>
      <c r="I9844" t="s">
        <v>117</v>
      </c>
      <c r="J9844">
        <v>10014</v>
      </c>
      <c r="K9844">
        <v>5150</v>
      </c>
      <c r="L9844" t="s">
        <v>23</v>
      </c>
      <c r="M9844" t="s">
        <v>22277</v>
      </c>
      <c r="N9844" t="s">
        <v>653</v>
      </c>
      <c r="O9844" t="s">
        <v>117</v>
      </c>
      <c r="P9844">
        <v>10014</v>
      </c>
      <c r="Q9844">
        <v>5150</v>
      </c>
      <c r="R9844" t="s">
        <v>23</v>
      </c>
      <c r="S9844" s="1" t="s">
        <v>34218</v>
      </c>
    </row>
    <row r="9845" spans="1:19" x14ac:dyDescent="0.25">
      <c r="A9845">
        <v>101311366</v>
      </c>
      <c r="B9845" t="s">
        <v>8550</v>
      </c>
      <c r="C9845" t="s">
        <v>1043</v>
      </c>
      <c r="G9845" t="s">
        <v>22278</v>
      </c>
      <c r="H9845" t="s">
        <v>22279</v>
      </c>
      <c r="I9845" t="s">
        <v>250</v>
      </c>
      <c r="J9845">
        <v>7458</v>
      </c>
      <c r="K9845">
        <v>2002</v>
      </c>
      <c r="L9845" t="s">
        <v>23</v>
      </c>
      <c r="M9845" t="s">
        <v>22278</v>
      </c>
      <c r="N9845" t="s">
        <v>22279</v>
      </c>
      <c r="O9845" t="s">
        <v>250</v>
      </c>
      <c r="P9845">
        <v>7458</v>
      </c>
      <c r="Q9845">
        <v>2002</v>
      </c>
      <c r="R9845" t="s">
        <v>23</v>
      </c>
      <c r="S9845" s="1" t="s">
        <v>34218</v>
      </c>
    </row>
    <row r="9846" spans="1:19" x14ac:dyDescent="0.25">
      <c r="A9846">
        <v>101320948</v>
      </c>
      <c r="B9846" t="s">
        <v>22280</v>
      </c>
      <c r="C9846" t="s">
        <v>22281</v>
      </c>
      <c r="G9846" t="s">
        <v>22282</v>
      </c>
      <c r="H9846" t="s">
        <v>1806</v>
      </c>
      <c r="I9846" t="s">
        <v>639</v>
      </c>
      <c r="J9846">
        <v>88061</v>
      </c>
      <c r="K9846">
        <v>4877</v>
      </c>
      <c r="L9846" t="s">
        <v>23</v>
      </c>
      <c r="M9846" t="s">
        <v>22282</v>
      </c>
      <c r="N9846" t="s">
        <v>1806</v>
      </c>
      <c r="O9846" t="s">
        <v>639</v>
      </c>
      <c r="P9846">
        <v>88061</v>
      </c>
      <c r="Q9846">
        <v>4877</v>
      </c>
      <c r="R9846" t="s">
        <v>23</v>
      </c>
      <c r="S9846" s="1" t="s">
        <v>34218</v>
      </c>
    </row>
    <row r="9847" spans="1:19" x14ac:dyDescent="0.25">
      <c r="A9847">
        <v>101325951</v>
      </c>
      <c r="B9847" t="s">
        <v>3828</v>
      </c>
      <c r="C9847" t="s">
        <v>490</v>
      </c>
      <c r="G9847" t="s">
        <v>22283</v>
      </c>
      <c r="H9847" t="s">
        <v>1765</v>
      </c>
      <c r="I9847" t="s">
        <v>84</v>
      </c>
      <c r="J9847">
        <v>98506</v>
      </c>
      <c r="K9847">
        <v>5373</v>
      </c>
      <c r="L9847" t="s">
        <v>23</v>
      </c>
      <c r="M9847" t="s">
        <v>22283</v>
      </c>
      <c r="N9847" t="s">
        <v>1765</v>
      </c>
      <c r="O9847" t="s">
        <v>84</v>
      </c>
      <c r="P9847">
        <v>98506</v>
      </c>
      <c r="Q9847">
        <v>5373</v>
      </c>
      <c r="R9847" t="s">
        <v>23</v>
      </c>
      <c r="S9847" s="1" t="s">
        <v>34218</v>
      </c>
    </row>
    <row r="9848" spans="1:19" x14ac:dyDescent="0.25">
      <c r="A9848">
        <v>101313332</v>
      </c>
      <c r="B9848" t="s">
        <v>15213</v>
      </c>
      <c r="C9848" t="s">
        <v>1107</v>
      </c>
      <c r="F9848" t="str">
        <f>"5188851980"</f>
        <v>5188851980</v>
      </c>
      <c r="G9848" t="s">
        <v>22284</v>
      </c>
      <c r="H9848" t="s">
        <v>6324</v>
      </c>
      <c r="I9848" t="s">
        <v>117</v>
      </c>
      <c r="J9848">
        <v>12020</v>
      </c>
      <c r="K9848">
        <v>3807</v>
      </c>
      <c r="L9848" t="s">
        <v>23</v>
      </c>
      <c r="M9848" t="s">
        <v>22284</v>
      </c>
      <c r="N9848" t="s">
        <v>6324</v>
      </c>
      <c r="O9848" t="s">
        <v>117</v>
      </c>
      <c r="P9848">
        <v>12020</v>
      </c>
      <c r="Q9848">
        <v>3807</v>
      </c>
      <c r="R9848" t="s">
        <v>23</v>
      </c>
      <c r="S9848" s="1" t="s">
        <v>34218</v>
      </c>
    </row>
    <row r="9849" spans="1:19" x14ac:dyDescent="0.25">
      <c r="A9849">
        <v>101328816</v>
      </c>
      <c r="B9849" t="s">
        <v>1800</v>
      </c>
      <c r="C9849" t="s">
        <v>3817</v>
      </c>
      <c r="F9849" t="str">
        <f>"7078360516"</f>
        <v>7078360516</v>
      </c>
      <c r="G9849" t="s">
        <v>22285</v>
      </c>
      <c r="H9849" t="s">
        <v>4486</v>
      </c>
      <c r="I9849" t="s">
        <v>22</v>
      </c>
      <c r="J9849">
        <v>95492</v>
      </c>
      <c r="K9849">
        <v>7924</v>
      </c>
      <c r="L9849" t="s">
        <v>23</v>
      </c>
      <c r="M9849" t="s">
        <v>22285</v>
      </c>
      <c r="N9849" t="s">
        <v>4486</v>
      </c>
      <c r="O9849" t="s">
        <v>22</v>
      </c>
      <c r="P9849">
        <v>95492</v>
      </c>
      <c r="Q9849">
        <v>7924</v>
      </c>
      <c r="R9849" t="s">
        <v>23</v>
      </c>
      <c r="S9849" s="1" t="s">
        <v>34218</v>
      </c>
    </row>
    <row r="9850" spans="1:19" x14ac:dyDescent="0.25">
      <c r="A9850">
        <v>101327493</v>
      </c>
      <c r="B9850" t="s">
        <v>22286</v>
      </c>
      <c r="C9850" t="s">
        <v>132</v>
      </c>
      <c r="G9850" t="s">
        <v>22287</v>
      </c>
      <c r="H9850" t="s">
        <v>3680</v>
      </c>
      <c r="I9850" t="s">
        <v>161</v>
      </c>
      <c r="J9850">
        <v>6825</v>
      </c>
      <c r="K9850">
        <v>4159</v>
      </c>
      <c r="L9850" t="s">
        <v>23</v>
      </c>
      <c r="M9850" t="s">
        <v>22287</v>
      </c>
      <c r="N9850" t="s">
        <v>3680</v>
      </c>
      <c r="O9850" t="s">
        <v>161</v>
      </c>
      <c r="P9850">
        <v>6825</v>
      </c>
      <c r="Q9850">
        <v>4159</v>
      </c>
      <c r="R9850" t="s">
        <v>23</v>
      </c>
      <c r="S9850" s="1" t="s">
        <v>34218</v>
      </c>
    </row>
    <row r="9851" spans="1:19" x14ac:dyDescent="0.25">
      <c r="A9851">
        <v>101333986</v>
      </c>
      <c r="B9851" t="s">
        <v>9390</v>
      </c>
      <c r="C9851" t="s">
        <v>997</v>
      </c>
      <c r="G9851" t="s">
        <v>9392</v>
      </c>
      <c r="H9851" t="s">
        <v>1229</v>
      </c>
      <c r="I9851" t="s">
        <v>38</v>
      </c>
      <c r="J9851">
        <v>78203</v>
      </c>
      <c r="K9851">
        <v>2027</v>
      </c>
      <c r="L9851" t="s">
        <v>23</v>
      </c>
      <c r="M9851" t="s">
        <v>9392</v>
      </c>
      <c r="N9851" t="s">
        <v>1229</v>
      </c>
      <c r="O9851" t="s">
        <v>38</v>
      </c>
      <c r="P9851">
        <v>78203</v>
      </c>
      <c r="Q9851">
        <v>2027</v>
      </c>
      <c r="R9851" t="s">
        <v>23</v>
      </c>
      <c r="S9851" s="1" t="s">
        <v>34218</v>
      </c>
    </row>
    <row r="9852" spans="1:19" x14ac:dyDescent="0.25">
      <c r="A9852">
        <v>101334102</v>
      </c>
      <c r="B9852" t="s">
        <v>22288</v>
      </c>
      <c r="C9852" t="s">
        <v>114</v>
      </c>
      <c r="G9852" t="s">
        <v>22289</v>
      </c>
      <c r="H9852" t="s">
        <v>2859</v>
      </c>
      <c r="I9852" t="s">
        <v>33</v>
      </c>
      <c r="J9852">
        <v>19606</v>
      </c>
      <c r="K9852">
        <v>3370</v>
      </c>
      <c r="L9852" t="s">
        <v>23</v>
      </c>
      <c r="M9852" t="s">
        <v>22289</v>
      </c>
      <c r="N9852" t="s">
        <v>2859</v>
      </c>
      <c r="O9852" t="s">
        <v>33</v>
      </c>
      <c r="P9852">
        <v>19606</v>
      </c>
      <c r="Q9852">
        <v>3370</v>
      </c>
      <c r="R9852" t="s">
        <v>23</v>
      </c>
      <c r="S9852" s="1" t="s">
        <v>34218</v>
      </c>
    </row>
    <row r="9853" spans="1:19" x14ac:dyDescent="0.25">
      <c r="A9853">
        <v>101331669</v>
      </c>
      <c r="B9853" t="s">
        <v>15174</v>
      </c>
      <c r="C9853" t="s">
        <v>1444</v>
      </c>
      <c r="G9853" t="s">
        <v>22290</v>
      </c>
      <c r="H9853" t="s">
        <v>653</v>
      </c>
      <c r="I9853" t="s">
        <v>117</v>
      </c>
      <c r="J9853">
        <v>10009</v>
      </c>
      <c r="K9853">
        <v>6240</v>
      </c>
      <c r="L9853" t="s">
        <v>23</v>
      </c>
      <c r="M9853" t="s">
        <v>22290</v>
      </c>
      <c r="N9853" t="s">
        <v>653</v>
      </c>
      <c r="O9853" t="s">
        <v>117</v>
      </c>
      <c r="P9853">
        <v>10009</v>
      </c>
      <c r="Q9853">
        <v>6240</v>
      </c>
      <c r="R9853" t="s">
        <v>23</v>
      </c>
      <c r="S9853" s="1" t="s">
        <v>34218</v>
      </c>
    </row>
    <row r="9854" spans="1:19" x14ac:dyDescent="0.25">
      <c r="A9854">
        <v>101338496</v>
      </c>
      <c r="B9854" t="s">
        <v>22291</v>
      </c>
      <c r="C9854" t="s">
        <v>803</v>
      </c>
      <c r="G9854" t="s">
        <v>22292</v>
      </c>
      <c r="H9854" t="s">
        <v>461</v>
      </c>
      <c r="I9854" t="s">
        <v>161</v>
      </c>
      <c r="J9854">
        <v>6878</v>
      </c>
      <c r="K9854">
        <v>2109</v>
      </c>
      <c r="L9854" t="s">
        <v>23</v>
      </c>
      <c r="M9854" t="s">
        <v>22292</v>
      </c>
      <c r="N9854" t="s">
        <v>461</v>
      </c>
      <c r="O9854" t="s">
        <v>161</v>
      </c>
      <c r="P9854">
        <v>6878</v>
      </c>
      <c r="Q9854">
        <v>2109</v>
      </c>
      <c r="R9854" t="s">
        <v>23</v>
      </c>
      <c r="S9854" s="1" t="s">
        <v>34218</v>
      </c>
    </row>
    <row r="9855" spans="1:19" x14ac:dyDescent="0.25">
      <c r="A9855">
        <v>101338661</v>
      </c>
      <c r="B9855" t="s">
        <v>11066</v>
      </c>
      <c r="C9855" t="s">
        <v>193</v>
      </c>
      <c r="G9855" t="s">
        <v>22293</v>
      </c>
      <c r="H9855" t="s">
        <v>5753</v>
      </c>
      <c r="I9855" t="s">
        <v>250</v>
      </c>
      <c r="J9855">
        <v>7869</v>
      </c>
      <c r="K9855">
        <v>1215</v>
      </c>
      <c r="L9855" t="s">
        <v>23</v>
      </c>
      <c r="M9855" t="s">
        <v>22293</v>
      </c>
      <c r="N9855" t="s">
        <v>5753</v>
      </c>
      <c r="O9855" t="s">
        <v>250</v>
      </c>
      <c r="P9855">
        <v>7869</v>
      </c>
      <c r="Q9855">
        <v>1215</v>
      </c>
      <c r="R9855" t="s">
        <v>23</v>
      </c>
      <c r="S9855" s="1" t="s">
        <v>34218</v>
      </c>
    </row>
    <row r="9856" spans="1:19" x14ac:dyDescent="0.25">
      <c r="A9856">
        <v>101310683</v>
      </c>
      <c r="B9856" t="s">
        <v>34</v>
      </c>
      <c r="C9856" t="s">
        <v>5435</v>
      </c>
      <c r="G9856" t="s">
        <v>22294</v>
      </c>
      <c r="H9856" t="s">
        <v>296</v>
      </c>
      <c r="I9856" t="s">
        <v>52</v>
      </c>
      <c r="J9856" t="s">
        <v>22295</v>
      </c>
      <c r="K9856">
        <v>4046</v>
      </c>
      <c r="L9856" t="s">
        <v>23</v>
      </c>
      <c r="M9856" t="s">
        <v>22294</v>
      </c>
      <c r="N9856" t="s">
        <v>296</v>
      </c>
      <c r="O9856" t="s">
        <v>52</v>
      </c>
      <c r="P9856" t="s">
        <v>22295</v>
      </c>
      <c r="Q9856">
        <v>4046</v>
      </c>
      <c r="R9856" t="s">
        <v>23</v>
      </c>
      <c r="S9856" s="1" t="s">
        <v>34218</v>
      </c>
    </row>
    <row r="9857" spans="1:19" x14ac:dyDescent="0.25">
      <c r="A9857">
        <v>100829099</v>
      </c>
      <c r="B9857" t="s">
        <v>22296</v>
      </c>
      <c r="C9857" t="s">
        <v>22297</v>
      </c>
      <c r="G9857" t="s">
        <v>22298</v>
      </c>
      <c r="H9857" t="s">
        <v>761</v>
      </c>
      <c r="I9857" t="s">
        <v>22</v>
      </c>
      <c r="J9857" t="s">
        <v>22299</v>
      </c>
      <c r="K9857">
        <v>1721</v>
      </c>
      <c r="L9857" t="s">
        <v>23</v>
      </c>
      <c r="M9857" t="s">
        <v>22298</v>
      </c>
      <c r="N9857" t="s">
        <v>761</v>
      </c>
      <c r="O9857" t="s">
        <v>22</v>
      </c>
      <c r="P9857" t="s">
        <v>22299</v>
      </c>
      <c r="Q9857">
        <v>1721</v>
      </c>
      <c r="R9857" t="s">
        <v>23</v>
      </c>
      <c r="S9857" s="1" t="s">
        <v>34218</v>
      </c>
    </row>
    <row r="9858" spans="1:19" x14ac:dyDescent="0.25">
      <c r="A9858">
        <v>100699824</v>
      </c>
      <c r="B9858" t="s">
        <v>6376</v>
      </c>
      <c r="C9858" t="s">
        <v>5893</v>
      </c>
      <c r="G9858" t="s">
        <v>22300</v>
      </c>
      <c r="H9858" t="s">
        <v>13596</v>
      </c>
      <c r="I9858" t="s">
        <v>28</v>
      </c>
      <c r="J9858" t="s">
        <v>22301</v>
      </c>
      <c r="K9858">
        <v>1550</v>
      </c>
      <c r="L9858" t="s">
        <v>23</v>
      </c>
      <c r="M9858" t="s">
        <v>22300</v>
      </c>
      <c r="N9858" t="s">
        <v>13596</v>
      </c>
      <c r="O9858" t="s">
        <v>28</v>
      </c>
      <c r="P9858" t="s">
        <v>22301</v>
      </c>
      <c r="Q9858">
        <v>1550</v>
      </c>
      <c r="R9858" t="s">
        <v>23</v>
      </c>
      <c r="S9858" s="1" t="s">
        <v>34218</v>
      </c>
    </row>
    <row r="9859" spans="1:19" x14ac:dyDescent="0.25">
      <c r="A9859">
        <v>101274595</v>
      </c>
      <c r="B9859" t="s">
        <v>22302</v>
      </c>
      <c r="C9859" t="s">
        <v>617</v>
      </c>
      <c r="G9859" t="s">
        <v>22303</v>
      </c>
      <c r="H9859" t="s">
        <v>3262</v>
      </c>
      <c r="I9859" t="s">
        <v>52</v>
      </c>
      <c r="J9859" t="s">
        <v>22304</v>
      </c>
      <c r="K9859">
        <v>8264</v>
      </c>
      <c r="L9859" t="s">
        <v>23</v>
      </c>
      <c r="M9859" t="s">
        <v>22303</v>
      </c>
      <c r="N9859" t="s">
        <v>3262</v>
      </c>
      <c r="O9859" t="s">
        <v>52</v>
      </c>
      <c r="P9859" t="s">
        <v>22304</v>
      </c>
      <c r="Q9859">
        <v>8264</v>
      </c>
      <c r="R9859" t="s">
        <v>23</v>
      </c>
      <c r="S9859" s="1" t="s">
        <v>34218</v>
      </c>
    </row>
    <row r="9860" spans="1:19" x14ac:dyDescent="0.25">
      <c r="A9860">
        <v>101377373</v>
      </c>
      <c r="B9860" t="s">
        <v>2176</v>
      </c>
      <c r="C9860" t="s">
        <v>1602</v>
      </c>
      <c r="G9860" t="s">
        <v>22305</v>
      </c>
      <c r="H9860" t="s">
        <v>2530</v>
      </c>
      <c r="I9860" t="s">
        <v>236</v>
      </c>
      <c r="J9860" t="s">
        <v>22306</v>
      </c>
      <c r="K9860">
        <v>4814</v>
      </c>
      <c r="L9860" t="s">
        <v>23</v>
      </c>
      <c r="M9860" t="s">
        <v>22305</v>
      </c>
      <c r="N9860" t="s">
        <v>2530</v>
      </c>
      <c r="O9860" t="s">
        <v>236</v>
      </c>
      <c r="P9860" t="s">
        <v>22306</v>
      </c>
      <c r="Q9860">
        <v>4814</v>
      </c>
      <c r="R9860" t="s">
        <v>23</v>
      </c>
      <c r="S9860" s="1" t="s">
        <v>34218</v>
      </c>
    </row>
    <row r="9861" spans="1:19" x14ac:dyDescent="0.25">
      <c r="A9861">
        <v>101096736</v>
      </c>
      <c r="B9861" t="s">
        <v>16416</v>
      </c>
      <c r="C9861" t="s">
        <v>301</v>
      </c>
      <c r="G9861" t="s">
        <v>22307</v>
      </c>
      <c r="H9861" t="s">
        <v>653</v>
      </c>
      <c r="I9861" t="s">
        <v>117</v>
      </c>
      <c r="J9861" t="s">
        <v>22308</v>
      </c>
      <c r="K9861">
        <v>100</v>
      </c>
      <c r="L9861" t="s">
        <v>23</v>
      </c>
      <c r="M9861" t="s">
        <v>22307</v>
      </c>
      <c r="N9861" t="s">
        <v>653</v>
      </c>
      <c r="O9861" t="s">
        <v>117</v>
      </c>
      <c r="P9861" t="s">
        <v>22308</v>
      </c>
      <c r="Q9861">
        <v>100</v>
      </c>
      <c r="R9861" t="s">
        <v>23</v>
      </c>
      <c r="S9861" s="1" t="s">
        <v>34218</v>
      </c>
    </row>
    <row r="9862" spans="1:19" x14ac:dyDescent="0.25">
      <c r="A9862">
        <v>101293897</v>
      </c>
      <c r="B9862" t="s">
        <v>19290</v>
      </c>
      <c r="C9862" t="s">
        <v>907</v>
      </c>
      <c r="G9862" t="s">
        <v>22309</v>
      </c>
      <c r="H9862" t="s">
        <v>1439</v>
      </c>
      <c r="I9862" t="s">
        <v>365</v>
      </c>
      <c r="J9862" t="s">
        <v>22310</v>
      </c>
      <c r="K9862">
        <v>9654</v>
      </c>
      <c r="L9862" t="s">
        <v>23</v>
      </c>
      <c r="M9862" t="s">
        <v>22309</v>
      </c>
      <c r="N9862" t="s">
        <v>1439</v>
      </c>
      <c r="O9862" t="s">
        <v>365</v>
      </c>
      <c r="P9862" t="s">
        <v>22310</v>
      </c>
      <c r="Q9862">
        <v>9654</v>
      </c>
      <c r="R9862" t="s">
        <v>23</v>
      </c>
      <c r="S9862" s="1" t="s">
        <v>34218</v>
      </c>
    </row>
    <row r="9863" spans="1:19" x14ac:dyDescent="0.25">
      <c r="A9863">
        <v>100637261</v>
      </c>
      <c r="B9863" t="s">
        <v>22311</v>
      </c>
      <c r="C9863" t="s">
        <v>102</v>
      </c>
      <c r="G9863" t="s">
        <v>22312</v>
      </c>
      <c r="H9863" t="s">
        <v>1096</v>
      </c>
      <c r="I9863" t="s">
        <v>71</v>
      </c>
      <c r="J9863">
        <v>80027</v>
      </c>
      <c r="L9863" t="s">
        <v>23</v>
      </c>
      <c r="M9863" t="s">
        <v>22312</v>
      </c>
      <c r="N9863" t="s">
        <v>1096</v>
      </c>
      <c r="O9863" t="s">
        <v>71</v>
      </c>
      <c r="P9863">
        <v>80027</v>
      </c>
      <c r="R9863" t="s">
        <v>23</v>
      </c>
      <c r="S9863" s="1" t="s">
        <v>34218</v>
      </c>
    </row>
    <row r="9864" spans="1:19" x14ac:dyDescent="0.25">
      <c r="A9864">
        <v>100632362</v>
      </c>
      <c r="B9864" t="s">
        <v>8656</v>
      </c>
      <c r="C9864" t="s">
        <v>2010</v>
      </c>
      <c r="G9864" t="s">
        <v>22313</v>
      </c>
      <c r="H9864" t="s">
        <v>380</v>
      </c>
      <c r="I9864" t="s">
        <v>38</v>
      </c>
      <c r="J9864" t="s">
        <v>22314</v>
      </c>
      <c r="K9864">
        <v>3710</v>
      </c>
      <c r="L9864" t="s">
        <v>23</v>
      </c>
      <c r="M9864" t="s">
        <v>22313</v>
      </c>
      <c r="N9864" t="s">
        <v>380</v>
      </c>
      <c r="O9864" t="s">
        <v>38</v>
      </c>
      <c r="P9864" t="s">
        <v>22314</v>
      </c>
      <c r="Q9864">
        <v>3710</v>
      </c>
      <c r="R9864" t="s">
        <v>23</v>
      </c>
      <c r="S9864" s="1" t="s">
        <v>34218</v>
      </c>
    </row>
    <row r="9865" spans="1:19" x14ac:dyDescent="0.25">
      <c r="A9865">
        <v>100816130</v>
      </c>
      <c r="B9865" t="s">
        <v>744</v>
      </c>
      <c r="C9865" t="s">
        <v>4136</v>
      </c>
      <c r="F9865" t="str">
        <f>"6317445031"</f>
        <v>6317445031</v>
      </c>
      <c r="G9865" t="s">
        <v>22315</v>
      </c>
      <c r="H9865" t="s">
        <v>13192</v>
      </c>
      <c r="I9865" t="s">
        <v>117</v>
      </c>
      <c r="J9865" t="s">
        <v>22316</v>
      </c>
      <c r="K9865">
        <v>4012</v>
      </c>
      <c r="L9865" t="s">
        <v>23</v>
      </c>
      <c r="M9865" t="s">
        <v>22315</v>
      </c>
      <c r="N9865" t="s">
        <v>13192</v>
      </c>
      <c r="O9865" t="s">
        <v>117</v>
      </c>
      <c r="P9865" t="s">
        <v>22316</v>
      </c>
      <c r="Q9865">
        <v>4012</v>
      </c>
      <c r="R9865" t="s">
        <v>23</v>
      </c>
      <c r="S9865" s="1" t="s">
        <v>34218</v>
      </c>
    </row>
    <row r="9866" spans="1:19" x14ac:dyDescent="0.25">
      <c r="A9866">
        <v>101416625</v>
      </c>
      <c r="B9866" t="s">
        <v>13047</v>
      </c>
      <c r="C9866" t="s">
        <v>290</v>
      </c>
      <c r="G9866" t="s">
        <v>22317</v>
      </c>
      <c r="H9866" t="s">
        <v>3794</v>
      </c>
      <c r="I9866" t="s">
        <v>22</v>
      </c>
      <c r="J9866" t="s">
        <v>22318</v>
      </c>
      <c r="K9866">
        <v>3934</v>
      </c>
      <c r="L9866" t="s">
        <v>23</v>
      </c>
      <c r="M9866" t="s">
        <v>22317</v>
      </c>
      <c r="N9866" t="s">
        <v>3794</v>
      </c>
      <c r="O9866" t="s">
        <v>22</v>
      </c>
      <c r="P9866" t="s">
        <v>22318</v>
      </c>
      <c r="Q9866">
        <v>3934</v>
      </c>
      <c r="R9866" t="s">
        <v>23</v>
      </c>
      <c r="S9866" s="1" t="s">
        <v>34218</v>
      </c>
    </row>
    <row r="9867" spans="1:19" x14ac:dyDescent="0.25">
      <c r="A9867">
        <v>101269694</v>
      </c>
      <c r="B9867" t="s">
        <v>22319</v>
      </c>
      <c r="C9867" t="s">
        <v>11904</v>
      </c>
      <c r="G9867" t="s">
        <v>22320</v>
      </c>
      <c r="H9867" t="s">
        <v>22321</v>
      </c>
      <c r="I9867" t="s">
        <v>33</v>
      </c>
      <c r="J9867" t="s">
        <v>22322</v>
      </c>
      <c r="K9867">
        <v>1873</v>
      </c>
      <c r="L9867" t="s">
        <v>23</v>
      </c>
      <c r="M9867" t="s">
        <v>22320</v>
      </c>
      <c r="N9867" t="s">
        <v>22321</v>
      </c>
      <c r="O9867" t="s">
        <v>33</v>
      </c>
      <c r="P9867" t="s">
        <v>22322</v>
      </c>
      <c r="Q9867">
        <v>1873</v>
      </c>
      <c r="R9867" t="s">
        <v>23</v>
      </c>
      <c r="S9867" s="1" t="s">
        <v>34218</v>
      </c>
    </row>
    <row r="9868" spans="1:19" x14ac:dyDescent="0.25">
      <c r="A9868">
        <v>101271478</v>
      </c>
      <c r="B9868" t="s">
        <v>1010</v>
      </c>
      <c r="C9868" t="s">
        <v>865</v>
      </c>
      <c r="G9868" t="s">
        <v>22323</v>
      </c>
      <c r="H9868" t="s">
        <v>1579</v>
      </c>
      <c r="I9868" t="s">
        <v>71</v>
      </c>
      <c r="J9868" t="s">
        <v>22324</v>
      </c>
      <c r="K9868">
        <v>3770</v>
      </c>
      <c r="L9868" t="s">
        <v>23</v>
      </c>
      <c r="M9868" t="s">
        <v>22323</v>
      </c>
      <c r="N9868" t="s">
        <v>1579</v>
      </c>
      <c r="O9868" t="s">
        <v>71</v>
      </c>
      <c r="P9868" t="s">
        <v>22324</v>
      </c>
      <c r="Q9868">
        <v>3770</v>
      </c>
      <c r="R9868" t="s">
        <v>23</v>
      </c>
      <c r="S9868" s="1" t="s">
        <v>34218</v>
      </c>
    </row>
    <row r="9869" spans="1:19" x14ac:dyDescent="0.25">
      <c r="A9869">
        <v>101314823</v>
      </c>
      <c r="B9869" t="s">
        <v>14326</v>
      </c>
      <c r="C9869" t="s">
        <v>15328</v>
      </c>
      <c r="G9869" t="s">
        <v>22325</v>
      </c>
      <c r="H9869" t="s">
        <v>1060</v>
      </c>
      <c r="I9869" t="s">
        <v>22</v>
      </c>
      <c r="J9869" t="s">
        <v>22326</v>
      </c>
      <c r="K9869">
        <v>7978</v>
      </c>
      <c r="L9869" t="s">
        <v>23</v>
      </c>
      <c r="M9869" t="s">
        <v>22325</v>
      </c>
      <c r="N9869" t="s">
        <v>1060</v>
      </c>
      <c r="O9869" t="s">
        <v>22</v>
      </c>
      <c r="P9869" t="s">
        <v>22326</v>
      </c>
      <c r="Q9869">
        <v>7978</v>
      </c>
      <c r="R9869" t="s">
        <v>23</v>
      </c>
      <c r="S9869" s="1" t="s">
        <v>34218</v>
      </c>
    </row>
    <row r="9870" spans="1:19" x14ac:dyDescent="0.25">
      <c r="A9870">
        <v>101322504</v>
      </c>
      <c r="B9870" t="s">
        <v>22327</v>
      </c>
      <c r="C9870" t="s">
        <v>2509</v>
      </c>
      <c r="G9870" t="s">
        <v>22328</v>
      </c>
      <c r="H9870" t="s">
        <v>8253</v>
      </c>
      <c r="I9870" t="s">
        <v>348</v>
      </c>
      <c r="J9870" t="s">
        <v>22329</v>
      </c>
      <c r="K9870">
        <v>9341</v>
      </c>
      <c r="L9870" t="s">
        <v>23</v>
      </c>
      <c r="M9870" t="s">
        <v>22328</v>
      </c>
      <c r="N9870" t="s">
        <v>8253</v>
      </c>
      <c r="O9870" t="s">
        <v>348</v>
      </c>
      <c r="P9870" t="s">
        <v>22329</v>
      </c>
      <c r="Q9870">
        <v>9341</v>
      </c>
      <c r="R9870" t="s">
        <v>23</v>
      </c>
      <c r="S9870" s="1" t="s">
        <v>34218</v>
      </c>
    </row>
    <row r="9871" spans="1:19" x14ac:dyDescent="0.25">
      <c r="A9871">
        <v>101418616</v>
      </c>
      <c r="B9871" t="s">
        <v>22330</v>
      </c>
      <c r="C9871" t="s">
        <v>7358</v>
      </c>
      <c r="G9871" t="s">
        <v>22331</v>
      </c>
      <c r="H9871" t="s">
        <v>2640</v>
      </c>
      <c r="I9871" t="s">
        <v>52</v>
      </c>
      <c r="J9871" t="s">
        <v>22332</v>
      </c>
      <c r="K9871">
        <v>3403</v>
      </c>
      <c r="L9871" t="s">
        <v>23</v>
      </c>
      <c r="M9871" t="s">
        <v>22331</v>
      </c>
      <c r="N9871" t="s">
        <v>2640</v>
      </c>
      <c r="O9871" t="s">
        <v>52</v>
      </c>
      <c r="P9871" t="s">
        <v>22332</v>
      </c>
      <c r="Q9871">
        <v>3403</v>
      </c>
      <c r="R9871" t="s">
        <v>23</v>
      </c>
      <c r="S9871" s="1" t="s">
        <v>34218</v>
      </c>
    </row>
    <row r="9872" spans="1:19" x14ac:dyDescent="0.25">
      <c r="A9872">
        <v>100814536</v>
      </c>
      <c r="B9872" t="s">
        <v>22333</v>
      </c>
      <c r="C9872" t="s">
        <v>1036</v>
      </c>
      <c r="G9872" t="s">
        <v>22334</v>
      </c>
      <c r="H9872" t="s">
        <v>6611</v>
      </c>
      <c r="I9872" t="s">
        <v>22</v>
      </c>
      <c r="J9872">
        <v>94904</v>
      </c>
      <c r="K9872">
        <v>1232</v>
      </c>
      <c r="L9872" t="s">
        <v>23</v>
      </c>
      <c r="M9872" t="s">
        <v>22334</v>
      </c>
      <c r="N9872" t="s">
        <v>6611</v>
      </c>
      <c r="O9872" t="s">
        <v>22</v>
      </c>
      <c r="P9872">
        <v>94904</v>
      </c>
      <c r="Q9872">
        <v>1232</v>
      </c>
      <c r="R9872" t="s">
        <v>23</v>
      </c>
      <c r="S9872" s="1" t="s">
        <v>34218</v>
      </c>
    </row>
    <row r="9873" spans="1:19" x14ac:dyDescent="0.25">
      <c r="A9873">
        <v>101415890</v>
      </c>
      <c r="B9873" t="s">
        <v>22335</v>
      </c>
      <c r="C9873" t="s">
        <v>313</v>
      </c>
      <c r="G9873" t="s">
        <v>22336</v>
      </c>
      <c r="H9873" t="s">
        <v>1600</v>
      </c>
      <c r="I9873" t="s">
        <v>28</v>
      </c>
      <c r="J9873">
        <v>30068</v>
      </c>
      <c r="K9873">
        <v>2826</v>
      </c>
      <c r="L9873" t="s">
        <v>23</v>
      </c>
      <c r="M9873" t="s">
        <v>22336</v>
      </c>
      <c r="N9873" t="s">
        <v>1600</v>
      </c>
      <c r="O9873" t="s">
        <v>28</v>
      </c>
      <c r="P9873">
        <v>30068</v>
      </c>
      <c r="Q9873">
        <v>2826</v>
      </c>
      <c r="R9873" t="s">
        <v>23</v>
      </c>
      <c r="S9873" s="1" t="s">
        <v>34218</v>
      </c>
    </row>
    <row r="9874" spans="1:19" x14ac:dyDescent="0.25">
      <c r="A9874">
        <v>100556552</v>
      </c>
      <c r="B9874" t="s">
        <v>2248</v>
      </c>
      <c r="C9874" t="s">
        <v>1153</v>
      </c>
      <c r="G9874" t="s">
        <v>22337</v>
      </c>
      <c r="H9874" t="s">
        <v>22338</v>
      </c>
      <c r="I9874" t="s">
        <v>307</v>
      </c>
      <c r="J9874" t="s">
        <v>22339</v>
      </c>
      <c r="K9874">
        <v>87</v>
      </c>
      <c r="L9874" t="s">
        <v>23</v>
      </c>
      <c r="M9874" t="s">
        <v>22337</v>
      </c>
      <c r="N9874" t="s">
        <v>22338</v>
      </c>
      <c r="O9874" t="s">
        <v>307</v>
      </c>
      <c r="P9874" t="s">
        <v>22339</v>
      </c>
      <c r="Q9874">
        <v>87</v>
      </c>
      <c r="R9874" t="s">
        <v>23</v>
      </c>
      <c r="S9874" s="1" t="s">
        <v>34218</v>
      </c>
    </row>
    <row r="9875" spans="1:19" x14ac:dyDescent="0.25">
      <c r="A9875">
        <v>101420369</v>
      </c>
      <c r="B9875" t="s">
        <v>22340</v>
      </c>
      <c r="C9875" t="s">
        <v>14978</v>
      </c>
      <c r="G9875" t="s">
        <v>22341</v>
      </c>
      <c r="H9875" t="s">
        <v>4208</v>
      </c>
      <c r="I9875" t="s">
        <v>22</v>
      </c>
      <c r="J9875">
        <v>92656</v>
      </c>
      <c r="K9875">
        <v>3029</v>
      </c>
      <c r="L9875" t="s">
        <v>23</v>
      </c>
      <c r="M9875" t="s">
        <v>22341</v>
      </c>
      <c r="N9875" t="s">
        <v>4208</v>
      </c>
      <c r="O9875" t="s">
        <v>22</v>
      </c>
      <c r="P9875">
        <v>92656</v>
      </c>
      <c r="Q9875">
        <v>3029</v>
      </c>
      <c r="R9875" t="s">
        <v>23</v>
      </c>
      <c r="S9875" s="1" t="s">
        <v>34218</v>
      </c>
    </row>
    <row r="9876" spans="1:19" x14ac:dyDescent="0.25">
      <c r="A9876">
        <v>101397305</v>
      </c>
      <c r="B9876" t="s">
        <v>22342</v>
      </c>
      <c r="C9876" t="s">
        <v>2576</v>
      </c>
      <c r="G9876" t="s">
        <v>22343</v>
      </c>
      <c r="H9876" t="s">
        <v>653</v>
      </c>
      <c r="I9876" t="s">
        <v>117</v>
      </c>
      <c r="J9876">
        <v>10023</v>
      </c>
      <c r="K9876">
        <v>3402</v>
      </c>
      <c r="L9876" t="s">
        <v>23</v>
      </c>
      <c r="M9876" t="s">
        <v>22343</v>
      </c>
      <c r="N9876" t="s">
        <v>653</v>
      </c>
      <c r="O9876" t="s">
        <v>117</v>
      </c>
      <c r="P9876">
        <v>10023</v>
      </c>
      <c r="Q9876">
        <v>3402</v>
      </c>
      <c r="R9876" t="s">
        <v>23</v>
      </c>
      <c r="S9876" s="1" t="s">
        <v>34218</v>
      </c>
    </row>
    <row r="9877" spans="1:19" x14ac:dyDescent="0.25">
      <c r="A9877">
        <v>101235538</v>
      </c>
      <c r="B9877" t="s">
        <v>22344</v>
      </c>
      <c r="C9877" t="s">
        <v>22345</v>
      </c>
      <c r="G9877" t="s">
        <v>22346</v>
      </c>
      <c r="H9877" t="s">
        <v>22347</v>
      </c>
      <c r="I9877" t="s">
        <v>84</v>
      </c>
      <c r="J9877">
        <v>98036</v>
      </c>
      <c r="K9877">
        <v>8029</v>
      </c>
      <c r="L9877" t="s">
        <v>23</v>
      </c>
      <c r="M9877" t="s">
        <v>22346</v>
      </c>
      <c r="N9877" t="s">
        <v>22347</v>
      </c>
      <c r="O9877" t="s">
        <v>84</v>
      </c>
      <c r="P9877">
        <v>98036</v>
      </c>
      <c r="Q9877">
        <v>8029</v>
      </c>
      <c r="R9877" t="s">
        <v>23</v>
      </c>
      <c r="S9877" s="1" t="s">
        <v>34218</v>
      </c>
    </row>
    <row r="9878" spans="1:19" x14ac:dyDescent="0.25">
      <c r="A9878">
        <v>101479081</v>
      </c>
      <c r="B9878" t="s">
        <v>22348</v>
      </c>
      <c r="C9878" t="s">
        <v>1161</v>
      </c>
      <c r="G9878" t="s">
        <v>22349</v>
      </c>
      <c r="H9878" t="s">
        <v>650</v>
      </c>
      <c r="I9878" t="s">
        <v>22</v>
      </c>
      <c r="J9878">
        <v>95819</v>
      </c>
      <c r="K9878">
        <v>2023</v>
      </c>
      <c r="L9878" t="s">
        <v>23</v>
      </c>
      <c r="M9878" t="s">
        <v>22349</v>
      </c>
      <c r="N9878" t="s">
        <v>650</v>
      </c>
      <c r="O9878" t="s">
        <v>22</v>
      </c>
      <c r="P9878">
        <v>95819</v>
      </c>
      <c r="Q9878">
        <v>2023</v>
      </c>
      <c r="R9878" t="s">
        <v>23</v>
      </c>
      <c r="S9878" s="1" t="s">
        <v>34218</v>
      </c>
    </row>
    <row r="9879" spans="1:19" x14ac:dyDescent="0.25">
      <c r="A9879">
        <v>101479198</v>
      </c>
      <c r="B9879" t="s">
        <v>6555</v>
      </c>
      <c r="C9879" t="s">
        <v>2044</v>
      </c>
      <c r="G9879" t="s">
        <v>22350</v>
      </c>
      <c r="H9879" t="s">
        <v>11586</v>
      </c>
      <c r="I9879" t="s">
        <v>22</v>
      </c>
      <c r="J9879">
        <v>94928</v>
      </c>
      <c r="K9879">
        <v>3644</v>
      </c>
      <c r="L9879" t="s">
        <v>23</v>
      </c>
      <c r="M9879" t="s">
        <v>22350</v>
      </c>
      <c r="N9879" t="s">
        <v>11586</v>
      </c>
      <c r="O9879" t="s">
        <v>22</v>
      </c>
      <c r="P9879">
        <v>94928</v>
      </c>
      <c r="Q9879">
        <v>3644</v>
      </c>
      <c r="R9879" t="s">
        <v>23</v>
      </c>
      <c r="S9879" s="1" t="s">
        <v>34218</v>
      </c>
    </row>
    <row r="9880" spans="1:19" x14ac:dyDescent="0.25">
      <c r="A9880">
        <v>101479202</v>
      </c>
      <c r="B9880" t="s">
        <v>22351</v>
      </c>
      <c r="C9880" t="s">
        <v>1887</v>
      </c>
      <c r="G9880" t="s">
        <v>22352</v>
      </c>
      <c r="H9880" t="s">
        <v>1535</v>
      </c>
      <c r="I9880" t="s">
        <v>22</v>
      </c>
      <c r="J9880">
        <v>94941</v>
      </c>
      <c r="K9880">
        <v>4114</v>
      </c>
      <c r="L9880" t="s">
        <v>23</v>
      </c>
      <c r="M9880" t="s">
        <v>22352</v>
      </c>
      <c r="N9880" t="s">
        <v>1535</v>
      </c>
      <c r="O9880" t="s">
        <v>22</v>
      </c>
      <c r="P9880">
        <v>94941</v>
      </c>
      <c r="Q9880">
        <v>4114</v>
      </c>
      <c r="R9880" t="s">
        <v>23</v>
      </c>
      <c r="S9880" s="1" t="s">
        <v>34218</v>
      </c>
    </row>
    <row r="9881" spans="1:19" x14ac:dyDescent="0.25">
      <c r="A9881">
        <v>101479234</v>
      </c>
      <c r="B9881" t="s">
        <v>22020</v>
      </c>
      <c r="C9881" t="s">
        <v>252</v>
      </c>
      <c r="G9881" t="s">
        <v>22353</v>
      </c>
      <c r="H9881" t="s">
        <v>1293</v>
      </c>
      <c r="I9881" t="s">
        <v>22</v>
      </c>
      <c r="J9881">
        <v>95060</v>
      </c>
      <c r="K9881">
        <v>2971</v>
      </c>
      <c r="L9881" t="s">
        <v>23</v>
      </c>
      <c r="M9881" t="s">
        <v>22353</v>
      </c>
      <c r="N9881" t="s">
        <v>1293</v>
      </c>
      <c r="O9881" t="s">
        <v>22</v>
      </c>
      <c r="P9881">
        <v>95060</v>
      </c>
      <c r="Q9881">
        <v>2971</v>
      </c>
      <c r="R9881" t="s">
        <v>23</v>
      </c>
      <c r="S9881" s="1" t="s">
        <v>34218</v>
      </c>
    </row>
    <row r="9882" spans="1:19" x14ac:dyDescent="0.25">
      <c r="A9882">
        <v>101479266</v>
      </c>
      <c r="B9882" t="s">
        <v>22354</v>
      </c>
      <c r="C9882" t="s">
        <v>22355</v>
      </c>
      <c r="G9882" t="s">
        <v>22356</v>
      </c>
      <c r="H9882" t="s">
        <v>481</v>
      </c>
      <c r="I9882" t="s">
        <v>22</v>
      </c>
      <c r="J9882">
        <v>95148</v>
      </c>
      <c r="K9882">
        <v>2537</v>
      </c>
      <c r="L9882" t="s">
        <v>23</v>
      </c>
      <c r="M9882" t="s">
        <v>22356</v>
      </c>
      <c r="N9882" t="s">
        <v>481</v>
      </c>
      <c r="O9882" t="s">
        <v>22</v>
      </c>
      <c r="P9882">
        <v>95148</v>
      </c>
      <c r="Q9882">
        <v>2537</v>
      </c>
      <c r="R9882" t="s">
        <v>23</v>
      </c>
      <c r="S9882" s="1" t="s">
        <v>34218</v>
      </c>
    </row>
    <row r="9883" spans="1:19" x14ac:dyDescent="0.25">
      <c r="A9883">
        <v>101479384</v>
      </c>
      <c r="B9883" t="s">
        <v>14192</v>
      </c>
      <c r="C9883" t="s">
        <v>4046</v>
      </c>
      <c r="G9883" t="s">
        <v>21693</v>
      </c>
      <c r="H9883" t="s">
        <v>1614</v>
      </c>
      <c r="I9883" t="s">
        <v>22</v>
      </c>
      <c r="J9883">
        <v>92054</v>
      </c>
      <c r="K9883">
        <v>3530</v>
      </c>
      <c r="L9883" t="s">
        <v>23</v>
      </c>
      <c r="M9883" t="s">
        <v>21693</v>
      </c>
      <c r="N9883" t="s">
        <v>1614</v>
      </c>
      <c r="O9883" t="s">
        <v>22</v>
      </c>
      <c r="P9883">
        <v>92054</v>
      </c>
      <c r="Q9883">
        <v>3530</v>
      </c>
      <c r="R9883" t="s">
        <v>23</v>
      </c>
      <c r="S9883" s="1" t="s">
        <v>34218</v>
      </c>
    </row>
    <row r="9884" spans="1:19" x14ac:dyDescent="0.25">
      <c r="A9884">
        <v>101292777</v>
      </c>
      <c r="B9884" t="s">
        <v>22357</v>
      </c>
      <c r="C9884" t="s">
        <v>2938</v>
      </c>
      <c r="G9884" t="s">
        <v>22358</v>
      </c>
      <c r="H9884" t="s">
        <v>682</v>
      </c>
      <c r="I9884" t="s">
        <v>365</v>
      </c>
      <c r="J9884">
        <v>85024</v>
      </c>
      <c r="K9884">
        <v>8650</v>
      </c>
      <c r="L9884" t="s">
        <v>23</v>
      </c>
      <c r="M9884" t="s">
        <v>22358</v>
      </c>
      <c r="N9884" t="s">
        <v>682</v>
      </c>
      <c r="O9884" t="s">
        <v>365</v>
      </c>
      <c r="P9884">
        <v>85024</v>
      </c>
      <c r="Q9884">
        <v>8650</v>
      </c>
      <c r="R9884" t="s">
        <v>23</v>
      </c>
      <c r="S9884" s="1" t="s">
        <v>34218</v>
      </c>
    </row>
    <row r="9885" spans="1:19" x14ac:dyDescent="0.25">
      <c r="A9885">
        <v>101257233</v>
      </c>
      <c r="B9885" t="s">
        <v>22359</v>
      </c>
      <c r="C9885" t="s">
        <v>1161</v>
      </c>
      <c r="G9885" t="s">
        <v>22360</v>
      </c>
      <c r="H9885" t="s">
        <v>8649</v>
      </c>
      <c r="I9885" t="s">
        <v>250</v>
      </c>
      <c r="J9885">
        <v>7020</v>
      </c>
      <c r="K9885">
        <v>1550</v>
      </c>
      <c r="L9885" t="s">
        <v>23</v>
      </c>
      <c r="M9885" t="s">
        <v>22360</v>
      </c>
      <c r="N9885" t="s">
        <v>8649</v>
      </c>
      <c r="O9885" t="s">
        <v>250</v>
      </c>
      <c r="P9885">
        <v>7020</v>
      </c>
      <c r="Q9885">
        <v>1550</v>
      </c>
      <c r="R9885" t="s">
        <v>23</v>
      </c>
      <c r="S9885" s="1" t="s">
        <v>34218</v>
      </c>
    </row>
    <row r="9886" spans="1:19" x14ac:dyDescent="0.25">
      <c r="A9886">
        <v>101220791</v>
      </c>
      <c r="B9886" t="s">
        <v>22361</v>
      </c>
      <c r="C9886" t="s">
        <v>1376</v>
      </c>
      <c r="G9886" t="s">
        <v>22362</v>
      </c>
      <c r="H9886" t="s">
        <v>3689</v>
      </c>
      <c r="I9886" t="s">
        <v>250</v>
      </c>
      <c r="J9886">
        <v>7013</v>
      </c>
      <c r="K9886">
        <v>2337</v>
      </c>
      <c r="L9886" t="s">
        <v>23</v>
      </c>
      <c r="M9886" t="s">
        <v>22362</v>
      </c>
      <c r="N9886" t="s">
        <v>3689</v>
      </c>
      <c r="O9886" t="s">
        <v>250</v>
      </c>
      <c r="P9886">
        <v>7013</v>
      </c>
      <c r="Q9886">
        <v>2337</v>
      </c>
      <c r="R9886" t="s">
        <v>23</v>
      </c>
      <c r="S9886" s="1" t="s">
        <v>34218</v>
      </c>
    </row>
    <row r="9887" spans="1:19" x14ac:dyDescent="0.25">
      <c r="A9887">
        <v>101467918</v>
      </c>
      <c r="B9887" t="s">
        <v>2130</v>
      </c>
      <c r="C9887" t="s">
        <v>554</v>
      </c>
      <c r="G9887" t="s">
        <v>22363</v>
      </c>
      <c r="H9887" t="s">
        <v>22364</v>
      </c>
      <c r="I9887" t="s">
        <v>38</v>
      </c>
      <c r="J9887">
        <v>76118</v>
      </c>
      <c r="K9887">
        <v>5119</v>
      </c>
      <c r="L9887" t="s">
        <v>23</v>
      </c>
      <c r="M9887" t="s">
        <v>22363</v>
      </c>
      <c r="N9887" t="s">
        <v>22364</v>
      </c>
      <c r="O9887" t="s">
        <v>38</v>
      </c>
      <c r="P9887">
        <v>76118</v>
      </c>
      <c r="Q9887">
        <v>5119</v>
      </c>
      <c r="R9887" t="s">
        <v>23</v>
      </c>
      <c r="S9887" s="1" t="s">
        <v>34218</v>
      </c>
    </row>
    <row r="9888" spans="1:19" x14ac:dyDescent="0.25">
      <c r="A9888">
        <v>101328683</v>
      </c>
      <c r="B9888" t="s">
        <v>22365</v>
      </c>
      <c r="C9888" t="s">
        <v>22366</v>
      </c>
      <c r="F9888" t="str">
        <f>"3023994094"</f>
        <v>3023994094</v>
      </c>
      <c r="G9888" t="s">
        <v>22367</v>
      </c>
      <c r="H9888" t="s">
        <v>376</v>
      </c>
      <c r="I9888" t="s">
        <v>2310</v>
      </c>
      <c r="J9888">
        <v>19977</v>
      </c>
      <c r="K9888">
        <v>5253</v>
      </c>
      <c r="L9888" t="s">
        <v>23</v>
      </c>
      <c r="M9888" t="s">
        <v>22367</v>
      </c>
      <c r="N9888" t="s">
        <v>376</v>
      </c>
      <c r="O9888" t="s">
        <v>2310</v>
      </c>
      <c r="P9888">
        <v>19977</v>
      </c>
      <c r="Q9888">
        <v>5253</v>
      </c>
      <c r="R9888" t="s">
        <v>23</v>
      </c>
      <c r="S9888" s="1" t="s">
        <v>34218</v>
      </c>
    </row>
    <row r="9889" spans="1:19" x14ac:dyDescent="0.25">
      <c r="A9889">
        <v>101429173</v>
      </c>
      <c r="B9889" t="s">
        <v>2223</v>
      </c>
      <c r="C9889" t="s">
        <v>22368</v>
      </c>
      <c r="G9889" t="s">
        <v>22369</v>
      </c>
      <c r="H9889" t="s">
        <v>638</v>
      </c>
      <c r="I9889" t="s">
        <v>639</v>
      </c>
      <c r="J9889">
        <v>87109</v>
      </c>
      <c r="L9889" t="s">
        <v>23</v>
      </c>
      <c r="M9889" t="s">
        <v>22369</v>
      </c>
      <c r="N9889" t="s">
        <v>638</v>
      </c>
      <c r="O9889" t="s">
        <v>639</v>
      </c>
      <c r="P9889">
        <v>87109</v>
      </c>
      <c r="R9889" t="s">
        <v>23</v>
      </c>
      <c r="S9889" s="1" t="s">
        <v>34218</v>
      </c>
    </row>
    <row r="9890" spans="1:19" x14ac:dyDescent="0.25">
      <c r="A9890">
        <v>101292289</v>
      </c>
      <c r="B9890" t="s">
        <v>13161</v>
      </c>
      <c r="C9890" t="s">
        <v>810</v>
      </c>
      <c r="G9890" t="s">
        <v>22370</v>
      </c>
      <c r="H9890" t="s">
        <v>22371</v>
      </c>
      <c r="I9890" t="s">
        <v>565</v>
      </c>
      <c r="J9890" t="s">
        <v>22372</v>
      </c>
      <c r="K9890">
        <v>8427</v>
      </c>
      <c r="L9890" t="s">
        <v>23</v>
      </c>
      <c r="M9890" t="s">
        <v>22370</v>
      </c>
      <c r="N9890" t="s">
        <v>22371</v>
      </c>
      <c r="O9890" t="s">
        <v>565</v>
      </c>
      <c r="P9890" t="s">
        <v>22372</v>
      </c>
      <c r="Q9890">
        <v>8427</v>
      </c>
      <c r="R9890" t="s">
        <v>23</v>
      </c>
      <c r="S9890" s="1" t="s">
        <v>34218</v>
      </c>
    </row>
    <row r="9891" spans="1:19" x14ac:dyDescent="0.25">
      <c r="A9891">
        <v>101412732</v>
      </c>
      <c r="B9891" t="s">
        <v>11058</v>
      </c>
      <c r="C9891" t="s">
        <v>22373</v>
      </c>
      <c r="G9891" t="s">
        <v>22374</v>
      </c>
      <c r="H9891" t="s">
        <v>22375</v>
      </c>
      <c r="I9891" t="s">
        <v>241</v>
      </c>
      <c r="J9891">
        <v>67005</v>
      </c>
      <c r="L9891" t="s">
        <v>23</v>
      </c>
      <c r="M9891" t="s">
        <v>22374</v>
      </c>
      <c r="N9891" t="s">
        <v>22375</v>
      </c>
      <c r="O9891" t="s">
        <v>241</v>
      </c>
      <c r="P9891">
        <v>67005</v>
      </c>
      <c r="R9891" t="s">
        <v>23</v>
      </c>
      <c r="S9891" s="1" t="s">
        <v>34218</v>
      </c>
    </row>
    <row r="9892" spans="1:19" x14ac:dyDescent="0.25">
      <c r="A9892">
        <v>101448319</v>
      </c>
      <c r="B9892" t="s">
        <v>22376</v>
      </c>
      <c r="C9892" t="s">
        <v>5599</v>
      </c>
      <c r="G9892" t="s">
        <v>22377</v>
      </c>
      <c r="H9892" t="s">
        <v>1857</v>
      </c>
      <c r="I9892" t="s">
        <v>702</v>
      </c>
      <c r="J9892">
        <v>89523</v>
      </c>
      <c r="K9892">
        <v>2139</v>
      </c>
      <c r="L9892" t="s">
        <v>23</v>
      </c>
      <c r="M9892" t="s">
        <v>22377</v>
      </c>
      <c r="N9892" t="s">
        <v>1857</v>
      </c>
      <c r="O9892" t="s">
        <v>702</v>
      </c>
      <c r="P9892">
        <v>89523</v>
      </c>
      <c r="Q9892">
        <v>2139</v>
      </c>
      <c r="R9892" t="s">
        <v>23</v>
      </c>
      <c r="S9892" s="1" t="s">
        <v>34218</v>
      </c>
    </row>
    <row r="9893" spans="1:19" x14ac:dyDescent="0.25">
      <c r="A9893">
        <v>101345152</v>
      </c>
      <c r="B9893" t="s">
        <v>22378</v>
      </c>
      <c r="C9893" t="s">
        <v>8852</v>
      </c>
      <c r="G9893" t="s">
        <v>22379</v>
      </c>
      <c r="H9893" t="s">
        <v>22380</v>
      </c>
      <c r="I9893" t="s">
        <v>178</v>
      </c>
      <c r="J9893">
        <v>44449</v>
      </c>
      <c r="K9893">
        <v>9774</v>
      </c>
      <c r="L9893" t="s">
        <v>23</v>
      </c>
      <c r="M9893" t="s">
        <v>22379</v>
      </c>
      <c r="N9893" t="s">
        <v>22380</v>
      </c>
      <c r="O9893" t="s">
        <v>178</v>
      </c>
      <c r="P9893">
        <v>44449</v>
      </c>
      <c r="Q9893">
        <v>9774</v>
      </c>
      <c r="R9893" t="s">
        <v>23</v>
      </c>
      <c r="S9893" s="1" t="s">
        <v>34218</v>
      </c>
    </row>
    <row r="9894" spans="1:19" x14ac:dyDescent="0.25">
      <c r="A9894">
        <v>100704415</v>
      </c>
      <c r="B9894" t="s">
        <v>22381</v>
      </c>
      <c r="C9894" t="s">
        <v>22382</v>
      </c>
      <c r="G9894" t="s">
        <v>22383</v>
      </c>
      <c r="H9894" t="s">
        <v>19686</v>
      </c>
      <c r="I9894" t="s">
        <v>100</v>
      </c>
      <c r="J9894">
        <v>53916</v>
      </c>
      <c r="K9894">
        <v>9733</v>
      </c>
      <c r="L9894" t="s">
        <v>23</v>
      </c>
      <c r="M9894" t="s">
        <v>22383</v>
      </c>
      <c r="N9894" t="s">
        <v>19686</v>
      </c>
      <c r="O9894" t="s">
        <v>100</v>
      </c>
      <c r="P9894">
        <v>53916</v>
      </c>
      <c r="Q9894">
        <v>9733</v>
      </c>
      <c r="R9894" t="s">
        <v>23</v>
      </c>
      <c r="S9894" s="1" t="s">
        <v>34218</v>
      </c>
    </row>
    <row r="9895" spans="1:19" x14ac:dyDescent="0.25">
      <c r="A9895">
        <v>101452998</v>
      </c>
      <c r="B9895" t="s">
        <v>22384</v>
      </c>
      <c r="C9895" t="s">
        <v>15302</v>
      </c>
      <c r="G9895" t="s">
        <v>22385</v>
      </c>
      <c r="H9895" t="s">
        <v>11625</v>
      </c>
      <c r="I9895" t="s">
        <v>353</v>
      </c>
      <c r="J9895">
        <v>3820</v>
      </c>
      <c r="K9895">
        <v>4369</v>
      </c>
      <c r="L9895" t="s">
        <v>23</v>
      </c>
      <c r="M9895" t="s">
        <v>22385</v>
      </c>
      <c r="N9895" t="s">
        <v>11625</v>
      </c>
      <c r="O9895" t="s">
        <v>353</v>
      </c>
      <c r="P9895">
        <v>3820</v>
      </c>
      <c r="Q9895">
        <v>4369</v>
      </c>
      <c r="R9895" t="s">
        <v>23</v>
      </c>
      <c r="S9895" s="1" t="s">
        <v>34218</v>
      </c>
    </row>
    <row r="9896" spans="1:19" x14ac:dyDescent="0.25">
      <c r="A9896">
        <v>100953568</v>
      </c>
      <c r="B9896" t="s">
        <v>9451</v>
      </c>
      <c r="C9896" t="s">
        <v>15399</v>
      </c>
      <c r="G9896" t="s">
        <v>22386</v>
      </c>
      <c r="H9896" t="s">
        <v>22387</v>
      </c>
      <c r="I9896" t="s">
        <v>140</v>
      </c>
      <c r="J9896">
        <v>48382</v>
      </c>
      <c r="K9896">
        <v>1879</v>
      </c>
      <c r="L9896" t="s">
        <v>23</v>
      </c>
      <c r="M9896" t="s">
        <v>22386</v>
      </c>
      <c r="N9896" t="s">
        <v>22387</v>
      </c>
      <c r="O9896" t="s">
        <v>140</v>
      </c>
      <c r="P9896">
        <v>48382</v>
      </c>
      <c r="Q9896">
        <v>1879</v>
      </c>
      <c r="R9896" t="s">
        <v>23</v>
      </c>
      <c r="S9896" s="1" t="s">
        <v>34218</v>
      </c>
    </row>
    <row r="9897" spans="1:19" x14ac:dyDescent="0.25">
      <c r="A9897">
        <v>100963948</v>
      </c>
      <c r="B9897" t="s">
        <v>1800</v>
      </c>
      <c r="C9897" t="s">
        <v>1350</v>
      </c>
      <c r="G9897" t="s">
        <v>22388</v>
      </c>
      <c r="H9897" t="s">
        <v>653</v>
      </c>
      <c r="I9897" t="s">
        <v>117</v>
      </c>
      <c r="J9897">
        <v>10038</v>
      </c>
      <c r="K9897">
        <v>2935</v>
      </c>
      <c r="L9897" t="s">
        <v>23</v>
      </c>
      <c r="M9897" t="s">
        <v>22388</v>
      </c>
      <c r="N9897" t="s">
        <v>653</v>
      </c>
      <c r="O9897" t="s">
        <v>117</v>
      </c>
      <c r="P9897">
        <v>10038</v>
      </c>
      <c r="Q9897">
        <v>2935</v>
      </c>
      <c r="R9897" t="s">
        <v>23</v>
      </c>
      <c r="S9897" s="1" t="s">
        <v>34218</v>
      </c>
    </row>
    <row r="9898" spans="1:19" x14ac:dyDescent="0.25">
      <c r="A9898">
        <v>101450193</v>
      </c>
      <c r="B9898" t="s">
        <v>22389</v>
      </c>
      <c r="C9898" t="s">
        <v>22390</v>
      </c>
      <c r="G9898" t="s">
        <v>22391</v>
      </c>
      <c r="H9898" t="s">
        <v>3625</v>
      </c>
      <c r="I9898" t="s">
        <v>22</v>
      </c>
      <c r="J9898">
        <v>95008</v>
      </c>
      <c r="K9898">
        <v>3739</v>
      </c>
      <c r="L9898" t="s">
        <v>23</v>
      </c>
      <c r="M9898" t="s">
        <v>22391</v>
      </c>
      <c r="N9898" t="s">
        <v>3625</v>
      </c>
      <c r="O9898" t="s">
        <v>22</v>
      </c>
      <c r="P9898">
        <v>95008</v>
      </c>
      <c r="Q9898">
        <v>3739</v>
      </c>
      <c r="R9898" t="s">
        <v>23</v>
      </c>
      <c r="S9898" s="1" t="s">
        <v>34218</v>
      </c>
    </row>
    <row r="9899" spans="1:19" x14ac:dyDescent="0.25">
      <c r="A9899">
        <v>100634985</v>
      </c>
      <c r="B9899" t="s">
        <v>22392</v>
      </c>
      <c r="C9899" t="s">
        <v>1107</v>
      </c>
      <c r="F9899" t="str">
        <f>"7203232063"</f>
        <v>7203232063</v>
      </c>
      <c r="G9899" t="s">
        <v>22393</v>
      </c>
      <c r="H9899" t="s">
        <v>19151</v>
      </c>
      <c r="I9899" t="s">
        <v>178</v>
      </c>
      <c r="J9899">
        <v>44116</v>
      </c>
      <c r="K9899">
        <v>835</v>
      </c>
      <c r="L9899" t="s">
        <v>23</v>
      </c>
      <c r="M9899" t="s">
        <v>22393</v>
      </c>
      <c r="N9899" t="s">
        <v>19151</v>
      </c>
      <c r="O9899" t="s">
        <v>178</v>
      </c>
      <c r="P9899">
        <v>44116</v>
      </c>
      <c r="Q9899">
        <v>835</v>
      </c>
      <c r="R9899" t="s">
        <v>23</v>
      </c>
      <c r="S9899" s="1" t="s">
        <v>34218</v>
      </c>
    </row>
    <row r="9900" spans="1:19" x14ac:dyDescent="0.25">
      <c r="A9900">
        <v>101112048</v>
      </c>
      <c r="B9900" t="s">
        <v>22394</v>
      </c>
      <c r="C9900" t="s">
        <v>22395</v>
      </c>
      <c r="G9900" t="s">
        <v>22396</v>
      </c>
      <c r="H9900" t="s">
        <v>653</v>
      </c>
      <c r="I9900" t="s">
        <v>117</v>
      </c>
      <c r="J9900">
        <v>10065</v>
      </c>
      <c r="K9900">
        <v>6692</v>
      </c>
      <c r="L9900" t="s">
        <v>23</v>
      </c>
      <c r="M9900" t="s">
        <v>22396</v>
      </c>
      <c r="N9900" t="s">
        <v>653</v>
      </c>
      <c r="O9900" t="s">
        <v>117</v>
      </c>
      <c r="P9900">
        <v>10065</v>
      </c>
      <c r="Q9900">
        <v>6692</v>
      </c>
      <c r="R9900" t="s">
        <v>23</v>
      </c>
      <c r="S9900" s="1" t="s">
        <v>34218</v>
      </c>
    </row>
    <row r="9901" spans="1:19" x14ac:dyDescent="0.25">
      <c r="A9901">
        <v>100876667</v>
      </c>
      <c r="B9901" t="s">
        <v>7204</v>
      </c>
      <c r="C9901" t="s">
        <v>4673</v>
      </c>
      <c r="G9901" t="s">
        <v>22397</v>
      </c>
      <c r="H9901" t="s">
        <v>393</v>
      </c>
      <c r="I9901" t="s">
        <v>71</v>
      </c>
      <c r="J9901">
        <v>80247</v>
      </c>
      <c r="K9901">
        <v>1535</v>
      </c>
      <c r="L9901" t="s">
        <v>23</v>
      </c>
      <c r="M9901" t="s">
        <v>22397</v>
      </c>
      <c r="N9901" t="s">
        <v>393</v>
      </c>
      <c r="O9901" t="s">
        <v>71</v>
      </c>
      <c r="P9901">
        <v>80247</v>
      </c>
      <c r="Q9901">
        <v>1535</v>
      </c>
      <c r="R9901" t="s">
        <v>23</v>
      </c>
      <c r="S9901" s="1" t="s">
        <v>34218</v>
      </c>
    </row>
    <row r="9902" spans="1:19" x14ac:dyDescent="0.25">
      <c r="A9902">
        <v>101314069</v>
      </c>
      <c r="B9902" t="s">
        <v>22398</v>
      </c>
      <c r="C9902" t="s">
        <v>707</v>
      </c>
      <c r="G9902" t="s">
        <v>22399</v>
      </c>
      <c r="H9902" t="s">
        <v>22400</v>
      </c>
      <c r="I9902" t="s">
        <v>250</v>
      </c>
      <c r="J9902">
        <v>7750</v>
      </c>
      <c r="K9902">
        <v>1039</v>
      </c>
      <c r="L9902" t="s">
        <v>23</v>
      </c>
      <c r="M9902" t="s">
        <v>22399</v>
      </c>
      <c r="N9902" t="s">
        <v>22400</v>
      </c>
      <c r="O9902" t="s">
        <v>250</v>
      </c>
      <c r="P9902">
        <v>7750</v>
      </c>
      <c r="Q9902">
        <v>1039</v>
      </c>
      <c r="R9902" t="s">
        <v>23</v>
      </c>
      <c r="S9902" s="1" t="s">
        <v>34218</v>
      </c>
    </row>
    <row r="9903" spans="1:19" x14ac:dyDescent="0.25">
      <c r="A9903">
        <v>101467059</v>
      </c>
      <c r="B9903" t="s">
        <v>22401</v>
      </c>
      <c r="C9903" t="s">
        <v>2518</v>
      </c>
      <c r="G9903" t="s">
        <v>22402</v>
      </c>
      <c r="H9903" t="s">
        <v>22403</v>
      </c>
      <c r="I9903" t="s">
        <v>100</v>
      </c>
      <c r="J9903">
        <v>54017</v>
      </c>
      <c r="K9903">
        <v>1136</v>
      </c>
      <c r="L9903" t="s">
        <v>23</v>
      </c>
      <c r="M9903" t="s">
        <v>22402</v>
      </c>
      <c r="N9903" t="s">
        <v>22403</v>
      </c>
      <c r="O9903" t="s">
        <v>100</v>
      </c>
      <c r="P9903">
        <v>54017</v>
      </c>
      <c r="Q9903">
        <v>1136</v>
      </c>
      <c r="R9903" t="s">
        <v>23</v>
      </c>
      <c r="S9903" s="1" t="s">
        <v>34218</v>
      </c>
    </row>
    <row r="9904" spans="1:19" x14ac:dyDescent="0.25">
      <c r="A9904">
        <v>101472068</v>
      </c>
      <c r="B9904" t="s">
        <v>15708</v>
      </c>
      <c r="C9904" t="s">
        <v>49</v>
      </c>
      <c r="G9904" t="s">
        <v>15709</v>
      </c>
      <c r="H9904" t="s">
        <v>3466</v>
      </c>
      <c r="I9904" t="s">
        <v>22</v>
      </c>
      <c r="J9904">
        <v>94805</v>
      </c>
      <c r="K9904">
        <v>1223</v>
      </c>
      <c r="L9904" t="s">
        <v>23</v>
      </c>
      <c r="M9904" t="s">
        <v>15709</v>
      </c>
      <c r="N9904" t="s">
        <v>3466</v>
      </c>
      <c r="O9904" t="s">
        <v>22</v>
      </c>
      <c r="P9904">
        <v>94805</v>
      </c>
      <c r="Q9904">
        <v>1223</v>
      </c>
      <c r="R9904" t="s">
        <v>23</v>
      </c>
      <c r="S9904" s="1" t="s">
        <v>34218</v>
      </c>
    </row>
    <row r="9905" spans="1:19" x14ac:dyDescent="0.25">
      <c r="A9905">
        <v>101016627</v>
      </c>
      <c r="B9905" t="s">
        <v>22404</v>
      </c>
      <c r="C9905" t="s">
        <v>22405</v>
      </c>
      <c r="G9905" t="s">
        <v>22406</v>
      </c>
      <c r="H9905" t="s">
        <v>1459</v>
      </c>
      <c r="I9905" t="s">
        <v>250</v>
      </c>
      <c r="J9905">
        <v>7753</v>
      </c>
      <c r="K9905">
        <v>4524</v>
      </c>
      <c r="L9905" t="s">
        <v>23</v>
      </c>
      <c r="M9905" t="s">
        <v>22406</v>
      </c>
      <c r="N9905" t="s">
        <v>1459</v>
      </c>
      <c r="O9905" t="s">
        <v>250</v>
      </c>
      <c r="P9905">
        <v>7753</v>
      </c>
      <c r="Q9905">
        <v>4524</v>
      </c>
      <c r="R9905" t="s">
        <v>23</v>
      </c>
      <c r="S9905" s="1" t="s">
        <v>34218</v>
      </c>
    </row>
    <row r="9906" spans="1:19" x14ac:dyDescent="0.25">
      <c r="A9906">
        <v>101445198</v>
      </c>
      <c r="B9906" t="s">
        <v>22407</v>
      </c>
      <c r="C9906" t="s">
        <v>3482</v>
      </c>
      <c r="G9906" t="s">
        <v>22408</v>
      </c>
      <c r="H9906" t="s">
        <v>227</v>
      </c>
      <c r="I9906" t="s">
        <v>43</v>
      </c>
      <c r="J9906">
        <v>97201</v>
      </c>
      <c r="K9906">
        <v>5165</v>
      </c>
      <c r="L9906" t="s">
        <v>23</v>
      </c>
      <c r="M9906" t="s">
        <v>22408</v>
      </c>
      <c r="N9906" t="s">
        <v>227</v>
      </c>
      <c r="O9906" t="s">
        <v>43</v>
      </c>
      <c r="P9906">
        <v>97201</v>
      </c>
      <c r="Q9906">
        <v>5165</v>
      </c>
      <c r="R9906" t="s">
        <v>23</v>
      </c>
      <c r="S9906" s="1" t="s">
        <v>34218</v>
      </c>
    </row>
    <row r="9907" spans="1:19" x14ac:dyDescent="0.25">
      <c r="A9907">
        <v>100648556</v>
      </c>
      <c r="B9907" t="s">
        <v>744</v>
      </c>
      <c r="C9907" t="s">
        <v>1069</v>
      </c>
      <c r="G9907" t="s">
        <v>22409</v>
      </c>
      <c r="H9907" t="s">
        <v>3074</v>
      </c>
      <c r="I9907" t="s">
        <v>148</v>
      </c>
      <c r="J9907">
        <v>21286</v>
      </c>
      <c r="K9907">
        <v>3305</v>
      </c>
      <c r="L9907" t="s">
        <v>23</v>
      </c>
      <c r="M9907" t="s">
        <v>22409</v>
      </c>
      <c r="N9907" t="s">
        <v>3074</v>
      </c>
      <c r="O9907" t="s">
        <v>148</v>
      </c>
      <c r="P9907">
        <v>21286</v>
      </c>
      <c r="Q9907">
        <v>3305</v>
      </c>
      <c r="R9907" t="s">
        <v>23</v>
      </c>
      <c r="S9907" s="1" t="s">
        <v>34218</v>
      </c>
    </row>
    <row r="9908" spans="1:19" x14ac:dyDescent="0.25">
      <c r="A9908">
        <v>101246546</v>
      </c>
      <c r="B9908" t="s">
        <v>22410</v>
      </c>
      <c r="C9908" t="s">
        <v>350</v>
      </c>
      <c r="G9908" t="s">
        <v>22411</v>
      </c>
      <c r="H9908" t="s">
        <v>20139</v>
      </c>
      <c r="I9908" t="s">
        <v>38</v>
      </c>
      <c r="J9908">
        <v>78641</v>
      </c>
      <c r="K9908">
        <v>1756</v>
      </c>
      <c r="L9908" t="s">
        <v>23</v>
      </c>
      <c r="M9908" t="s">
        <v>22411</v>
      </c>
      <c r="N9908" t="s">
        <v>20139</v>
      </c>
      <c r="O9908" t="s">
        <v>38</v>
      </c>
      <c r="P9908">
        <v>78641</v>
      </c>
      <c r="Q9908">
        <v>1756</v>
      </c>
      <c r="R9908" t="s">
        <v>23</v>
      </c>
      <c r="S9908" s="1" t="s">
        <v>34218</v>
      </c>
    </row>
    <row r="9909" spans="1:19" x14ac:dyDescent="0.25">
      <c r="A9909">
        <v>101429281</v>
      </c>
      <c r="B9909" t="s">
        <v>22412</v>
      </c>
      <c r="C9909" t="s">
        <v>155</v>
      </c>
      <c r="G9909" t="s">
        <v>22413</v>
      </c>
      <c r="H9909" t="s">
        <v>1716</v>
      </c>
      <c r="I9909" t="s">
        <v>38</v>
      </c>
      <c r="J9909">
        <v>79912</v>
      </c>
      <c r="L9909" t="s">
        <v>23</v>
      </c>
      <c r="M9909" t="s">
        <v>22413</v>
      </c>
      <c r="N9909" t="s">
        <v>1716</v>
      </c>
      <c r="O9909" t="s">
        <v>38</v>
      </c>
      <c r="P9909">
        <v>79912</v>
      </c>
      <c r="R9909" t="s">
        <v>23</v>
      </c>
      <c r="S9909" s="1" t="s">
        <v>34218</v>
      </c>
    </row>
    <row r="9910" spans="1:19" x14ac:dyDescent="0.25">
      <c r="A9910">
        <v>101416721</v>
      </c>
      <c r="B9910" t="s">
        <v>13610</v>
      </c>
      <c r="C9910" t="s">
        <v>1906</v>
      </c>
      <c r="G9910" t="s">
        <v>22414</v>
      </c>
      <c r="H9910" t="s">
        <v>22415</v>
      </c>
      <c r="I9910" t="s">
        <v>140</v>
      </c>
      <c r="J9910" t="s">
        <v>22416</v>
      </c>
      <c r="K9910">
        <v>1873</v>
      </c>
      <c r="L9910" t="s">
        <v>23</v>
      </c>
      <c r="M9910" t="s">
        <v>22414</v>
      </c>
      <c r="N9910" t="s">
        <v>22415</v>
      </c>
      <c r="O9910" t="s">
        <v>140</v>
      </c>
      <c r="P9910" t="s">
        <v>22416</v>
      </c>
      <c r="Q9910">
        <v>1873</v>
      </c>
      <c r="R9910" t="s">
        <v>23</v>
      </c>
      <c r="S9910" s="1" t="s">
        <v>34218</v>
      </c>
    </row>
    <row r="9911" spans="1:19" x14ac:dyDescent="0.25">
      <c r="A9911">
        <v>101479403</v>
      </c>
      <c r="B9911" t="s">
        <v>6058</v>
      </c>
      <c r="C9911" t="s">
        <v>247</v>
      </c>
      <c r="G9911" t="s">
        <v>22417</v>
      </c>
      <c r="H9911" t="s">
        <v>360</v>
      </c>
      <c r="I9911" t="s">
        <v>22</v>
      </c>
      <c r="J9911">
        <v>94086</v>
      </c>
      <c r="K9911">
        <v>6324</v>
      </c>
      <c r="L9911" t="s">
        <v>23</v>
      </c>
      <c r="M9911" t="s">
        <v>22417</v>
      </c>
      <c r="N9911" t="s">
        <v>360</v>
      </c>
      <c r="O9911" t="s">
        <v>22</v>
      </c>
      <c r="P9911">
        <v>94086</v>
      </c>
      <c r="Q9911">
        <v>6324</v>
      </c>
      <c r="R9911" t="s">
        <v>23</v>
      </c>
      <c r="S9911" s="1" t="s">
        <v>34218</v>
      </c>
    </row>
    <row r="9912" spans="1:19" x14ac:dyDescent="0.25">
      <c r="A9912">
        <v>101479567</v>
      </c>
      <c r="B9912" t="s">
        <v>22418</v>
      </c>
      <c r="C9912" t="s">
        <v>90</v>
      </c>
      <c r="G9912" t="s">
        <v>22419</v>
      </c>
      <c r="H9912" t="s">
        <v>761</v>
      </c>
      <c r="I9912" t="s">
        <v>22</v>
      </c>
      <c r="J9912">
        <v>94521</v>
      </c>
      <c r="K9912">
        <v>3507</v>
      </c>
      <c r="L9912" t="s">
        <v>23</v>
      </c>
      <c r="M9912" t="s">
        <v>22419</v>
      </c>
      <c r="N9912" t="s">
        <v>761</v>
      </c>
      <c r="O9912" t="s">
        <v>22</v>
      </c>
      <c r="P9912">
        <v>94521</v>
      </c>
      <c r="Q9912">
        <v>3507</v>
      </c>
      <c r="R9912" t="s">
        <v>23</v>
      </c>
      <c r="S9912" s="1" t="s">
        <v>34218</v>
      </c>
    </row>
    <row r="9913" spans="1:19" x14ac:dyDescent="0.25">
      <c r="A9913">
        <v>101234657</v>
      </c>
      <c r="B9913" t="s">
        <v>22420</v>
      </c>
      <c r="C9913" t="s">
        <v>7569</v>
      </c>
      <c r="G9913" t="s">
        <v>22421</v>
      </c>
      <c r="H9913" t="s">
        <v>5428</v>
      </c>
      <c r="I9913" t="s">
        <v>446</v>
      </c>
      <c r="J9913" t="s">
        <v>22422</v>
      </c>
      <c r="K9913">
        <v>5582</v>
      </c>
      <c r="L9913" t="s">
        <v>23</v>
      </c>
      <c r="M9913" t="s">
        <v>22421</v>
      </c>
      <c r="N9913" t="s">
        <v>5428</v>
      </c>
      <c r="O9913" t="s">
        <v>446</v>
      </c>
      <c r="P9913" t="s">
        <v>22422</v>
      </c>
      <c r="Q9913">
        <v>5582</v>
      </c>
      <c r="R9913" t="s">
        <v>23</v>
      </c>
      <c r="S9913" s="1" t="s">
        <v>34218</v>
      </c>
    </row>
    <row r="9914" spans="1:19" x14ac:dyDescent="0.25">
      <c r="A9914">
        <v>100648343</v>
      </c>
      <c r="B9914" t="s">
        <v>22423</v>
      </c>
      <c r="C9914" t="s">
        <v>22424</v>
      </c>
      <c r="G9914" t="s">
        <v>22425</v>
      </c>
      <c r="H9914" t="s">
        <v>397</v>
      </c>
      <c r="I9914" t="s">
        <v>117</v>
      </c>
      <c r="J9914" t="s">
        <v>22426</v>
      </c>
      <c r="K9914">
        <v>2235</v>
      </c>
      <c r="L9914" t="s">
        <v>23</v>
      </c>
      <c r="M9914" t="s">
        <v>22425</v>
      </c>
      <c r="N9914" t="s">
        <v>397</v>
      </c>
      <c r="O9914" t="s">
        <v>117</v>
      </c>
      <c r="P9914" t="s">
        <v>22426</v>
      </c>
      <c r="Q9914">
        <v>2235</v>
      </c>
      <c r="R9914" t="s">
        <v>23</v>
      </c>
      <c r="S9914" s="1" t="s">
        <v>34218</v>
      </c>
    </row>
    <row r="9915" spans="1:19" x14ac:dyDescent="0.25">
      <c r="A9915">
        <v>100515993</v>
      </c>
      <c r="B9915" t="s">
        <v>1092</v>
      </c>
      <c r="C9915" t="s">
        <v>627</v>
      </c>
      <c r="G9915" t="s">
        <v>22427</v>
      </c>
      <c r="H9915" t="s">
        <v>13239</v>
      </c>
      <c r="I9915" t="s">
        <v>370</v>
      </c>
      <c r="J9915" t="s">
        <v>22428</v>
      </c>
      <c r="K9915">
        <v>4754</v>
      </c>
      <c r="L9915" t="s">
        <v>23</v>
      </c>
      <c r="M9915" t="s">
        <v>22427</v>
      </c>
      <c r="N9915" t="s">
        <v>13239</v>
      </c>
      <c r="O9915" t="s">
        <v>370</v>
      </c>
      <c r="P9915" t="s">
        <v>22428</v>
      </c>
      <c r="Q9915">
        <v>4754</v>
      </c>
      <c r="R9915" t="s">
        <v>23</v>
      </c>
      <c r="S9915" s="1" t="s">
        <v>34218</v>
      </c>
    </row>
    <row r="9916" spans="1:19" x14ac:dyDescent="0.25">
      <c r="A9916">
        <v>101347309</v>
      </c>
      <c r="B9916" t="s">
        <v>22429</v>
      </c>
      <c r="C9916" t="s">
        <v>2802</v>
      </c>
      <c r="G9916" t="s">
        <v>22430</v>
      </c>
      <c r="H9916" t="s">
        <v>688</v>
      </c>
      <c r="I9916" t="s">
        <v>117</v>
      </c>
      <c r="J9916" t="s">
        <v>22431</v>
      </c>
      <c r="K9916">
        <v>4337</v>
      </c>
      <c r="L9916" t="s">
        <v>23</v>
      </c>
      <c r="M9916" t="s">
        <v>22430</v>
      </c>
      <c r="N9916" t="s">
        <v>688</v>
      </c>
      <c r="O9916" t="s">
        <v>117</v>
      </c>
      <c r="P9916" t="s">
        <v>22431</v>
      </c>
      <c r="Q9916">
        <v>4337</v>
      </c>
      <c r="R9916" t="s">
        <v>23</v>
      </c>
      <c r="S9916" s="1" t="s">
        <v>34218</v>
      </c>
    </row>
    <row r="9917" spans="1:19" x14ac:dyDescent="0.25">
      <c r="A9917">
        <v>101299887</v>
      </c>
      <c r="B9917" t="s">
        <v>22432</v>
      </c>
      <c r="C9917" t="s">
        <v>4188</v>
      </c>
      <c r="G9917" t="s">
        <v>22433</v>
      </c>
      <c r="H9917" t="s">
        <v>6001</v>
      </c>
      <c r="I9917" t="s">
        <v>84</v>
      </c>
      <c r="J9917" t="s">
        <v>22434</v>
      </c>
      <c r="K9917">
        <v>8436</v>
      </c>
      <c r="L9917" t="s">
        <v>23</v>
      </c>
      <c r="M9917" t="s">
        <v>22433</v>
      </c>
      <c r="N9917" t="s">
        <v>6001</v>
      </c>
      <c r="O9917" t="s">
        <v>84</v>
      </c>
      <c r="P9917" t="s">
        <v>22434</v>
      </c>
      <c r="Q9917">
        <v>8436</v>
      </c>
      <c r="R9917" t="s">
        <v>23</v>
      </c>
      <c r="S9917" s="1" t="s">
        <v>34218</v>
      </c>
    </row>
    <row r="9918" spans="1:19" x14ac:dyDescent="0.25">
      <c r="A9918">
        <v>101279827</v>
      </c>
      <c r="B9918" t="s">
        <v>308</v>
      </c>
      <c r="C9918" t="s">
        <v>3704</v>
      </c>
      <c r="G9918" t="s">
        <v>22435</v>
      </c>
      <c r="H9918" t="s">
        <v>10626</v>
      </c>
      <c r="I9918" t="s">
        <v>71</v>
      </c>
      <c r="J9918">
        <v>80109</v>
      </c>
      <c r="K9918">
        <v>9631</v>
      </c>
      <c r="L9918" t="s">
        <v>23</v>
      </c>
      <c r="M9918" t="s">
        <v>22435</v>
      </c>
      <c r="N9918" t="s">
        <v>10626</v>
      </c>
      <c r="O9918" t="s">
        <v>71</v>
      </c>
      <c r="P9918">
        <v>80109</v>
      </c>
      <c r="Q9918">
        <v>9631</v>
      </c>
      <c r="R9918" t="s">
        <v>23</v>
      </c>
      <c r="S9918" s="1" t="s">
        <v>34218</v>
      </c>
    </row>
    <row r="9919" spans="1:19" x14ac:dyDescent="0.25">
      <c r="A9919">
        <v>101324689</v>
      </c>
      <c r="B9919" t="s">
        <v>22436</v>
      </c>
      <c r="C9919" t="s">
        <v>22437</v>
      </c>
      <c r="G9919" t="s">
        <v>22438</v>
      </c>
      <c r="H9919" t="s">
        <v>573</v>
      </c>
      <c r="I9919" t="s">
        <v>33</v>
      </c>
      <c r="J9919" t="s">
        <v>22439</v>
      </c>
      <c r="K9919">
        <v>3740</v>
      </c>
      <c r="L9919" t="s">
        <v>23</v>
      </c>
      <c r="M9919" t="s">
        <v>22438</v>
      </c>
      <c r="N9919" t="s">
        <v>573</v>
      </c>
      <c r="O9919" t="s">
        <v>33</v>
      </c>
      <c r="P9919" t="s">
        <v>22439</v>
      </c>
      <c r="Q9919">
        <v>3740</v>
      </c>
      <c r="R9919" t="s">
        <v>23</v>
      </c>
      <c r="S9919" s="1" t="s">
        <v>34218</v>
      </c>
    </row>
    <row r="9920" spans="1:19" x14ac:dyDescent="0.25">
      <c r="A9920">
        <v>101420322</v>
      </c>
      <c r="B9920" t="s">
        <v>22440</v>
      </c>
      <c r="C9920" t="s">
        <v>10802</v>
      </c>
      <c r="G9920" t="s">
        <v>22441</v>
      </c>
      <c r="H9920" t="s">
        <v>1052</v>
      </c>
      <c r="I9920" t="s">
        <v>43</v>
      </c>
      <c r="J9920">
        <v>97321</v>
      </c>
      <c r="K9920">
        <v>9339</v>
      </c>
      <c r="L9920" t="s">
        <v>23</v>
      </c>
      <c r="M9920" t="s">
        <v>22441</v>
      </c>
      <c r="N9920" t="s">
        <v>1052</v>
      </c>
      <c r="O9920" t="s">
        <v>43</v>
      </c>
      <c r="P9920">
        <v>97321</v>
      </c>
      <c r="Q9920">
        <v>9339</v>
      </c>
      <c r="R9920" t="s">
        <v>23</v>
      </c>
      <c r="S9920" s="1" t="s">
        <v>34218</v>
      </c>
    </row>
    <row r="9921" spans="1:19" x14ac:dyDescent="0.25">
      <c r="A9921">
        <v>101285156</v>
      </c>
      <c r="B9921" t="s">
        <v>4110</v>
      </c>
      <c r="C9921" t="s">
        <v>894</v>
      </c>
      <c r="G9921" t="s">
        <v>22442</v>
      </c>
      <c r="H9921" t="s">
        <v>20034</v>
      </c>
      <c r="I9921" t="s">
        <v>332</v>
      </c>
      <c r="J9921">
        <v>84060</v>
      </c>
      <c r="K9921">
        <v>7019</v>
      </c>
      <c r="L9921" t="s">
        <v>23</v>
      </c>
      <c r="M9921" t="s">
        <v>22442</v>
      </c>
      <c r="N9921" t="s">
        <v>20034</v>
      </c>
      <c r="O9921" t="s">
        <v>332</v>
      </c>
      <c r="P9921">
        <v>84060</v>
      </c>
      <c r="Q9921">
        <v>7019</v>
      </c>
      <c r="R9921" t="s">
        <v>23</v>
      </c>
      <c r="S9921" s="1" t="s">
        <v>34218</v>
      </c>
    </row>
    <row r="9922" spans="1:19" x14ac:dyDescent="0.25">
      <c r="A9922">
        <v>101045270</v>
      </c>
      <c r="B9922" t="s">
        <v>22443</v>
      </c>
      <c r="C9922" t="s">
        <v>4318</v>
      </c>
      <c r="G9922" t="s">
        <v>22444</v>
      </c>
      <c r="H9922" t="s">
        <v>1086</v>
      </c>
      <c r="I9922" t="s">
        <v>446</v>
      </c>
      <c r="J9922" t="s">
        <v>22445</v>
      </c>
      <c r="K9922">
        <v>6763</v>
      </c>
      <c r="L9922" t="s">
        <v>23</v>
      </c>
      <c r="M9922" t="s">
        <v>22444</v>
      </c>
      <c r="N9922" t="s">
        <v>1086</v>
      </c>
      <c r="O9922" t="s">
        <v>446</v>
      </c>
      <c r="P9922" t="s">
        <v>22445</v>
      </c>
      <c r="Q9922">
        <v>6763</v>
      </c>
      <c r="R9922" t="s">
        <v>23</v>
      </c>
      <c r="S9922" s="1" t="s">
        <v>34218</v>
      </c>
    </row>
    <row r="9923" spans="1:19" x14ac:dyDescent="0.25">
      <c r="A9923">
        <v>100771340</v>
      </c>
      <c r="B9923" t="s">
        <v>11601</v>
      </c>
      <c r="C9923" t="s">
        <v>410</v>
      </c>
      <c r="G9923" t="s">
        <v>22446</v>
      </c>
      <c r="H9923" t="s">
        <v>931</v>
      </c>
      <c r="I9923" t="s">
        <v>22</v>
      </c>
      <c r="J9923" t="s">
        <v>22447</v>
      </c>
      <c r="K9923">
        <v>9537</v>
      </c>
      <c r="L9923" t="s">
        <v>23</v>
      </c>
      <c r="M9923" t="s">
        <v>22446</v>
      </c>
      <c r="N9923" t="s">
        <v>931</v>
      </c>
      <c r="O9923" t="s">
        <v>22</v>
      </c>
      <c r="P9923" t="s">
        <v>22447</v>
      </c>
      <c r="Q9923">
        <v>9537</v>
      </c>
      <c r="R9923" t="s">
        <v>23</v>
      </c>
      <c r="S9923" s="1" t="s">
        <v>34218</v>
      </c>
    </row>
    <row r="9924" spans="1:19" x14ac:dyDescent="0.25">
      <c r="A9924">
        <v>101127894</v>
      </c>
      <c r="B9924" t="s">
        <v>16293</v>
      </c>
      <c r="C9924" t="s">
        <v>90</v>
      </c>
      <c r="F9924" t="str">
        <f>"2155477096"</f>
        <v>2155477096</v>
      </c>
      <c r="G9924" t="s">
        <v>22448</v>
      </c>
      <c r="H9924" t="s">
        <v>14454</v>
      </c>
      <c r="I9924" t="s">
        <v>33</v>
      </c>
      <c r="J9924" t="s">
        <v>22449</v>
      </c>
      <c r="K9924">
        <v>2023</v>
      </c>
      <c r="L9924" t="s">
        <v>23</v>
      </c>
      <c r="M9924" t="s">
        <v>22448</v>
      </c>
      <c r="N9924" t="s">
        <v>14454</v>
      </c>
      <c r="O9924" t="s">
        <v>33</v>
      </c>
      <c r="P9924" t="s">
        <v>22449</v>
      </c>
      <c r="Q9924">
        <v>2023</v>
      </c>
      <c r="R9924" t="s">
        <v>23</v>
      </c>
      <c r="S9924" s="1" t="s">
        <v>34218</v>
      </c>
    </row>
    <row r="9925" spans="1:19" x14ac:dyDescent="0.25">
      <c r="A9925">
        <v>101419179</v>
      </c>
      <c r="B9925" t="s">
        <v>15365</v>
      </c>
      <c r="C9925" t="s">
        <v>1298</v>
      </c>
      <c r="G9925" t="s">
        <v>22450</v>
      </c>
      <c r="H9925" t="s">
        <v>15189</v>
      </c>
      <c r="I9925" t="s">
        <v>178</v>
      </c>
      <c r="J9925" t="s">
        <v>22451</v>
      </c>
      <c r="K9925">
        <v>2523</v>
      </c>
      <c r="L9925" t="s">
        <v>23</v>
      </c>
      <c r="M9925" t="s">
        <v>22450</v>
      </c>
      <c r="N9925" t="s">
        <v>15189</v>
      </c>
      <c r="O9925" t="s">
        <v>178</v>
      </c>
      <c r="P9925" t="s">
        <v>22451</v>
      </c>
      <c r="Q9925">
        <v>2523</v>
      </c>
      <c r="R9925" t="s">
        <v>23</v>
      </c>
      <c r="S9925" s="1" t="s">
        <v>34218</v>
      </c>
    </row>
    <row r="9926" spans="1:19" x14ac:dyDescent="0.25">
      <c r="A9926">
        <v>100520756</v>
      </c>
      <c r="B9926" t="s">
        <v>20230</v>
      </c>
      <c r="C9926" t="s">
        <v>2232</v>
      </c>
      <c r="F9926" t="str">
        <f>"3183241794"</f>
        <v>3183241794</v>
      </c>
      <c r="G9926" t="s">
        <v>22452</v>
      </c>
      <c r="H9926" t="s">
        <v>22453</v>
      </c>
      <c r="I9926" t="s">
        <v>153</v>
      </c>
      <c r="J9926" t="s">
        <v>22454</v>
      </c>
      <c r="K9926">
        <v>5372</v>
      </c>
      <c r="L9926" t="s">
        <v>23</v>
      </c>
      <c r="M9926" t="s">
        <v>22452</v>
      </c>
      <c r="N9926" t="s">
        <v>22453</v>
      </c>
      <c r="O9926" t="s">
        <v>153</v>
      </c>
      <c r="P9926" t="s">
        <v>22454</v>
      </c>
      <c r="Q9926">
        <v>5372</v>
      </c>
      <c r="R9926" t="s">
        <v>23</v>
      </c>
      <c r="S9926" s="1" t="s">
        <v>34218</v>
      </c>
    </row>
    <row r="9927" spans="1:19" x14ac:dyDescent="0.25">
      <c r="A9927">
        <v>101421523</v>
      </c>
      <c r="B9927" t="s">
        <v>22455</v>
      </c>
      <c r="C9927" t="s">
        <v>4188</v>
      </c>
      <c r="G9927" t="s">
        <v>22456</v>
      </c>
      <c r="H9927" t="s">
        <v>13601</v>
      </c>
      <c r="I9927" t="s">
        <v>140</v>
      </c>
      <c r="J9927">
        <v>48152</v>
      </c>
      <c r="K9927">
        <v>1419</v>
      </c>
      <c r="L9927" t="s">
        <v>23</v>
      </c>
      <c r="M9927" t="s">
        <v>22456</v>
      </c>
      <c r="N9927" t="s">
        <v>13601</v>
      </c>
      <c r="O9927" t="s">
        <v>140</v>
      </c>
      <c r="P9927">
        <v>48152</v>
      </c>
      <c r="Q9927">
        <v>1419</v>
      </c>
      <c r="R9927" t="s">
        <v>23</v>
      </c>
      <c r="S9927" s="1" t="s">
        <v>34218</v>
      </c>
    </row>
    <row r="9928" spans="1:19" x14ac:dyDescent="0.25">
      <c r="A9928">
        <v>101478478</v>
      </c>
      <c r="B9928" t="s">
        <v>9085</v>
      </c>
      <c r="C9928" t="s">
        <v>7569</v>
      </c>
      <c r="G9928" t="s">
        <v>22457</v>
      </c>
      <c r="H9928" t="s">
        <v>1985</v>
      </c>
      <c r="I9928" t="s">
        <v>71</v>
      </c>
      <c r="J9928">
        <v>80909</v>
      </c>
      <c r="K9928">
        <v>4972</v>
      </c>
      <c r="L9928" t="s">
        <v>23</v>
      </c>
      <c r="M9928" t="s">
        <v>22457</v>
      </c>
      <c r="N9928" t="s">
        <v>1985</v>
      </c>
      <c r="O9928" t="s">
        <v>71</v>
      </c>
      <c r="P9928">
        <v>80909</v>
      </c>
      <c r="Q9928">
        <v>4972</v>
      </c>
      <c r="R9928" t="s">
        <v>23</v>
      </c>
      <c r="S9928" s="1" t="s">
        <v>34218</v>
      </c>
    </row>
    <row r="9929" spans="1:19" x14ac:dyDescent="0.25">
      <c r="A9929">
        <v>101478644</v>
      </c>
      <c r="B9929" t="s">
        <v>22458</v>
      </c>
      <c r="C9929" t="s">
        <v>290</v>
      </c>
      <c r="G9929" t="s">
        <v>22459</v>
      </c>
      <c r="H9929" t="s">
        <v>22460</v>
      </c>
      <c r="I9929" t="s">
        <v>38</v>
      </c>
      <c r="J9929">
        <v>79852</v>
      </c>
      <c r="L9929" t="s">
        <v>23</v>
      </c>
      <c r="M9929" t="s">
        <v>22459</v>
      </c>
      <c r="N9929" t="s">
        <v>22460</v>
      </c>
      <c r="O9929" t="s">
        <v>38</v>
      </c>
      <c r="P9929">
        <v>79852</v>
      </c>
      <c r="R9929" t="s">
        <v>23</v>
      </c>
      <c r="S9929" s="1" t="s">
        <v>34218</v>
      </c>
    </row>
    <row r="9930" spans="1:19" x14ac:dyDescent="0.25">
      <c r="A9930">
        <v>101478712</v>
      </c>
      <c r="B9930" t="s">
        <v>22461</v>
      </c>
      <c r="C9930" t="s">
        <v>3482</v>
      </c>
      <c r="G9930" t="s">
        <v>22462</v>
      </c>
      <c r="H9930" t="s">
        <v>47</v>
      </c>
      <c r="I9930" t="s">
        <v>43</v>
      </c>
      <c r="J9930">
        <v>97504</v>
      </c>
      <c r="K9930">
        <v>4510</v>
      </c>
      <c r="L9930" t="s">
        <v>23</v>
      </c>
      <c r="M9930" t="s">
        <v>22462</v>
      </c>
      <c r="N9930" t="s">
        <v>47</v>
      </c>
      <c r="O9930" t="s">
        <v>43</v>
      </c>
      <c r="P9930">
        <v>97504</v>
      </c>
      <c r="Q9930">
        <v>4510</v>
      </c>
      <c r="R9930" t="s">
        <v>23</v>
      </c>
      <c r="S9930" s="1" t="s">
        <v>34218</v>
      </c>
    </row>
    <row r="9931" spans="1:19" x14ac:dyDescent="0.25">
      <c r="A9931">
        <v>101478721</v>
      </c>
      <c r="B9931" t="s">
        <v>22463</v>
      </c>
      <c r="C9931" t="s">
        <v>22464</v>
      </c>
      <c r="G9931" t="s">
        <v>22465</v>
      </c>
      <c r="H9931" t="s">
        <v>458</v>
      </c>
      <c r="I9931" t="s">
        <v>43</v>
      </c>
      <c r="J9931">
        <v>97527</v>
      </c>
      <c r="K9931">
        <v>5374</v>
      </c>
      <c r="L9931" t="s">
        <v>23</v>
      </c>
      <c r="M9931" t="s">
        <v>22465</v>
      </c>
      <c r="N9931" t="s">
        <v>458</v>
      </c>
      <c r="O9931" t="s">
        <v>43</v>
      </c>
      <c r="P9931">
        <v>97527</v>
      </c>
      <c r="Q9931">
        <v>5374</v>
      </c>
      <c r="R9931" t="s">
        <v>23</v>
      </c>
      <c r="S9931" s="1" t="s">
        <v>34218</v>
      </c>
    </row>
    <row r="9932" spans="1:19" x14ac:dyDescent="0.25">
      <c r="A9932">
        <v>101478776</v>
      </c>
      <c r="B9932" t="s">
        <v>22466</v>
      </c>
      <c r="C9932" t="s">
        <v>4046</v>
      </c>
      <c r="G9932" t="s">
        <v>22467</v>
      </c>
      <c r="H9932" t="s">
        <v>7994</v>
      </c>
      <c r="I9932" t="s">
        <v>84</v>
      </c>
      <c r="J9932">
        <v>98087</v>
      </c>
      <c r="K9932">
        <v>3117</v>
      </c>
      <c r="L9932" t="s">
        <v>23</v>
      </c>
      <c r="M9932" t="s">
        <v>22467</v>
      </c>
      <c r="N9932" t="s">
        <v>7994</v>
      </c>
      <c r="O9932" t="s">
        <v>84</v>
      </c>
      <c r="P9932">
        <v>98087</v>
      </c>
      <c r="Q9932">
        <v>3117</v>
      </c>
      <c r="R9932" t="s">
        <v>23</v>
      </c>
      <c r="S9932" s="1" t="s">
        <v>34218</v>
      </c>
    </row>
    <row r="9933" spans="1:19" x14ac:dyDescent="0.25">
      <c r="A9933">
        <v>101478985</v>
      </c>
      <c r="B9933" t="s">
        <v>22468</v>
      </c>
      <c r="C9933" t="s">
        <v>286</v>
      </c>
      <c r="G9933" t="s">
        <v>22469</v>
      </c>
      <c r="H9933" t="s">
        <v>10008</v>
      </c>
      <c r="I9933" t="s">
        <v>22</v>
      </c>
      <c r="J9933">
        <v>95446</v>
      </c>
      <c r="K9933">
        <v>8806</v>
      </c>
      <c r="L9933" t="s">
        <v>23</v>
      </c>
      <c r="M9933" t="s">
        <v>22469</v>
      </c>
      <c r="N9933" t="s">
        <v>10008</v>
      </c>
      <c r="O9933" t="s">
        <v>22</v>
      </c>
      <c r="P9933">
        <v>95446</v>
      </c>
      <c r="Q9933">
        <v>8806</v>
      </c>
      <c r="R9933" t="s">
        <v>23</v>
      </c>
      <c r="S9933" s="1" t="s">
        <v>34218</v>
      </c>
    </row>
    <row r="9934" spans="1:19" x14ac:dyDescent="0.25">
      <c r="A9934">
        <v>101479019</v>
      </c>
      <c r="B9934" t="s">
        <v>22470</v>
      </c>
      <c r="C9934" t="s">
        <v>644</v>
      </c>
      <c r="G9934" t="s">
        <v>22471</v>
      </c>
      <c r="H9934" t="s">
        <v>10031</v>
      </c>
      <c r="I9934" t="s">
        <v>22</v>
      </c>
      <c r="J9934">
        <v>95521</v>
      </c>
      <c r="K9934">
        <v>6826</v>
      </c>
      <c r="L9934" t="s">
        <v>23</v>
      </c>
      <c r="M9934" t="s">
        <v>22471</v>
      </c>
      <c r="N9934" t="s">
        <v>10031</v>
      </c>
      <c r="O9934" t="s">
        <v>22</v>
      </c>
      <c r="P9934">
        <v>95521</v>
      </c>
      <c r="Q9934">
        <v>6826</v>
      </c>
      <c r="R9934" t="s">
        <v>23</v>
      </c>
      <c r="S9934" s="1" t="s">
        <v>34218</v>
      </c>
    </row>
    <row r="9935" spans="1:19" x14ac:dyDescent="0.25">
      <c r="A9935">
        <v>100840665</v>
      </c>
      <c r="B9935" t="s">
        <v>13589</v>
      </c>
      <c r="C9935" t="s">
        <v>1350</v>
      </c>
      <c r="H9935" t="s">
        <v>22472</v>
      </c>
      <c r="I9935" t="s">
        <v>2566</v>
      </c>
      <c r="J9935">
        <v>99654</v>
      </c>
      <c r="L9935" t="s">
        <v>23</v>
      </c>
      <c r="N9935" t="s">
        <v>22472</v>
      </c>
      <c r="O9935" t="s">
        <v>2566</v>
      </c>
      <c r="P9935">
        <v>99654</v>
      </c>
      <c r="R9935" t="s">
        <v>23</v>
      </c>
      <c r="S9935" s="1" t="s">
        <v>34218</v>
      </c>
    </row>
    <row r="9936" spans="1:19" x14ac:dyDescent="0.25">
      <c r="A9936">
        <v>101479114</v>
      </c>
      <c r="B9936" t="s">
        <v>22473</v>
      </c>
      <c r="C9936" t="s">
        <v>15768</v>
      </c>
      <c r="G9936" t="s">
        <v>22474</v>
      </c>
      <c r="H9936" t="s">
        <v>19996</v>
      </c>
      <c r="I9936" t="s">
        <v>22</v>
      </c>
      <c r="J9936">
        <v>96052</v>
      </c>
      <c r="K9936">
        <v>652</v>
      </c>
      <c r="L9936" t="s">
        <v>23</v>
      </c>
      <c r="M9936" t="s">
        <v>22474</v>
      </c>
      <c r="N9936" t="s">
        <v>19996</v>
      </c>
      <c r="O9936" t="s">
        <v>22</v>
      </c>
      <c r="P9936">
        <v>96052</v>
      </c>
      <c r="Q9936">
        <v>652</v>
      </c>
      <c r="R9936" t="s">
        <v>23</v>
      </c>
      <c r="S9936" s="1" t="s">
        <v>34218</v>
      </c>
    </row>
    <row r="9937" spans="1:19" x14ac:dyDescent="0.25">
      <c r="A9937">
        <v>101479189</v>
      </c>
      <c r="B9937" t="s">
        <v>22475</v>
      </c>
      <c r="C9937" t="s">
        <v>2547</v>
      </c>
      <c r="G9937" t="s">
        <v>22476</v>
      </c>
      <c r="H9937" t="s">
        <v>2684</v>
      </c>
      <c r="I9937" t="s">
        <v>22</v>
      </c>
      <c r="J9937">
        <v>94903</v>
      </c>
      <c r="K9937">
        <v>1206</v>
      </c>
      <c r="L9937" t="s">
        <v>23</v>
      </c>
      <c r="M9937" t="s">
        <v>22476</v>
      </c>
      <c r="N9937" t="s">
        <v>2684</v>
      </c>
      <c r="O9937" t="s">
        <v>22</v>
      </c>
      <c r="P9937">
        <v>94903</v>
      </c>
      <c r="Q9937">
        <v>1206</v>
      </c>
      <c r="R9937" t="s">
        <v>23</v>
      </c>
      <c r="S9937" s="1" t="s">
        <v>34218</v>
      </c>
    </row>
    <row r="9938" spans="1:19" x14ac:dyDescent="0.25">
      <c r="A9938">
        <v>101479246</v>
      </c>
      <c r="B9938" t="s">
        <v>1611</v>
      </c>
      <c r="C9938" t="s">
        <v>1208</v>
      </c>
      <c r="G9938" t="s">
        <v>22477</v>
      </c>
      <c r="H9938" t="s">
        <v>195</v>
      </c>
      <c r="I9938" t="s">
        <v>22</v>
      </c>
      <c r="J9938">
        <v>95073</v>
      </c>
      <c r="K9938">
        <v>2190</v>
      </c>
      <c r="L9938" t="s">
        <v>23</v>
      </c>
      <c r="M9938" t="s">
        <v>22477</v>
      </c>
      <c r="N9938" t="s">
        <v>195</v>
      </c>
      <c r="O9938" t="s">
        <v>22</v>
      </c>
      <c r="P9938">
        <v>95073</v>
      </c>
      <c r="Q9938">
        <v>2190</v>
      </c>
      <c r="R9938" t="s">
        <v>23</v>
      </c>
      <c r="S9938" s="1" t="s">
        <v>34218</v>
      </c>
    </row>
    <row r="9939" spans="1:19" x14ac:dyDescent="0.25">
      <c r="A9939">
        <v>101479378</v>
      </c>
      <c r="B9939" t="s">
        <v>22478</v>
      </c>
      <c r="C9939" t="s">
        <v>25</v>
      </c>
      <c r="G9939" t="s">
        <v>22479</v>
      </c>
      <c r="H9939" t="s">
        <v>1538</v>
      </c>
      <c r="I9939" t="s">
        <v>22</v>
      </c>
      <c r="J9939">
        <v>91423</v>
      </c>
      <c r="K9939">
        <v>1410</v>
      </c>
      <c r="L9939" t="s">
        <v>23</v>
      </c>
      <c r="M9939" t="s">
        <v>22479</v>
      </c>
      <c r="N9939" t="s">
        <v>1538</v>
      </c>
      <c r="O9939" t="s">
        <v>22</v>
      </c>
      <c r="P9939">
        <v>91423</v>
      </c>
      <c r="Q9939">
        <v>1410</v>
      </c>
      <c r="R9939" t="s">
        <v>23</v>
      </c>
      <c r="S9939" s="1" t="s">
        <v>34218</v>
      </c>
    </row>
    <row r="9940" spans="1:19" x14ac:dyDescent="0.25">
      <c r="A9940">
        <v>100656556</v>
      </c>
      <c r="B9940" t="s">
        <v>22480</v>
      </c>
      <c r="C9940" t="s">
        <v>575</v>
      </c>
      <c r="F9940" t="str">
        <f>"5417560386"</f>
        <v>5417560386</v>
      </c>
      <c r="H9940" t="s">
        <v>42</v>
      </c>
      <c r="I9940" t="s">
        <v>43</v>
      </c>
      <c r="J9940">
        <v>98459</v>
      </c>
      <c r="L9940" t="s">
        <v>23</v>
      </c>
      <c r="N9940" t="s">
        <v>42</v>
      </c>
      <c r="O9940" t="s">
        <v>43</v>
      </c>
      <c r="P9940">
        <v>98459</v>
      </c>
      <c r="R9940" t="s">
        <v>23</v>
      </c>
      <c r="S9940" s="1" t="s">
        <v>34218</v>
      </c>
    </row>
    <row r="9941" spans="1:19" x14ac:dyDescent="0.25">
      <c r="A9941">
        <v>101479586</v>
      </c>
      <c r="B9941" t="s">
        <v>2098</v>
      </c>
      <c r="C9941" t="s">
        <v>4828</v>
      </c>
      <c r="G9941" t="s">
        <v>22481</v>
      </c>
      <c r="H9941" t="s">
        <v>521</v>
      </c>
      <c r="I9941" t="s">
        <v>22</v>
      </c>
      <c r="J9941">
        <v>94545</v>
      </c>
      <c r="K9941">
        <v>4978</v>
      </c>
      <c r="L9941" t="s">
        <v>23</v>
      </c>
      <c r="M9941" t="s">
        <v>22481</v>
      </c>
      <c r="N9941" t="s">
        <v>521</v>
      </c>
      <c r="O9941" t="s">
        <v>22</v>
      </c>
      <c r="P9941">
        <v>94545</v>
      </c>
      <c r="Q9941">
        <v>4978</v>
      </c>
      <c r="R9941" t="s">
        <v>23</v>
      </c>
      <c r="S9941" s="1" t="s">
        <v>34218</v>
      </c>
    </row>
    <row r="9942" spans="1:19" x14ac:dyDescent="0.25">
      <c r="A9942">
        <v>100839877</v>
      </c>
      <c r="B9942" t="s">
        <v>22482</v>
      </c>
      <c r="C9942" t="s">
        <v>2052</v>
      </c>
      <c r="G9942" t="s">
        <v>22483</v>
      </c>
      <c r="H9942" t="s">
        <v>134</v>
      </c>
      <c r="I9942" t="s">
        <v>135</v>
      </c>
      <c r="J9942">
        <v>60655</v>
      </c>
      <c r="K9942">
        <v>2301</v>
      </c>
      <c r="L9942" t="s">
        <v>23</v>
      </c>
      <c r="M9942" t="s">
        <v>22483</v>
      </c>
      <c r="N9942" t="s">
        <v>134</v>
      </c>
      <c r="O9942" t="s">
        <v>135</v>
      </c>
      <c r="P9942">
        <v>60655</v>
      </c>
      <c r="Q9942">
        <v>2301</v>
      </c>
      <c r="R9942" t="s">
        <v>23</v>
      </c>
      <c r="S9942" s="1" t="s">
        <v>34218</v>
      </c>
    </row>
    <row r="9943" spans="1:19" x14ac:dyDescent="0.25">
      <c r="A9943">
        <v>101354009</v>
      </c>
      <c r="B9943" t="s">
        <v>15659</v>
      </c>
      <c r="C9943" t="s">
        <v>2411</v>
      </c>
      <c r="G9943" t="s">
        <v>22484</v>
      </c>
      <c r="H9943" t="s">
        <v>22485</v>
      </c>
      <c r="I9943" t="s">
        <v>52</v>
      </c>
      <c r="J9943">
        <v>32250</v>
      </c>
      <c r="K9943">
        <v>3167</v>
      </c>
      <c r="L9943" t="s">
        <v>23</v>
      </c>
      <c r="M9943" t="s">
        <v>22484</v>
      </c>
      <c r="N9943" t="s">
        <v>22485</v>
      </c>
      <c r="O9943" t="s">
        <v>52</v>
      </c>
      <c r="P9943">
        <v>32250</v>
      </c>
      <c r="Q9943">
        <v>3167</v>
      </c>
      <c r="R9943" t="s">
        <v>23</v>
      </c>
      <c r="S9943" s="1" t="s">
        <v>34218</v>
      </c>
    </row>
    <row r="9944" spans="1:19" x14ac:dyDescent="0.25">
      <c r="A9944">
        <v>101112886</v>
      </c>
      <c r="B9944" t="s">
        <v>2144</v>
      </c>
      <c r="C9944" t="s">
        <v>1582</v>
      </c>
      <c r="F9944" t="str">
        <f>"9109751673"</f>
        <v>9109751673</v>
      </c>
      <c r="G9944" t="s">
        <v>22486</v>
      </c>
      <c r="H9944" t="s">
        <v>22487</v>
      </c>
      <c r="I9944" t="s">
        <v>446</v>
      </c>
      <c r="J9944">
        <v>27376</v>
      </c>
      <c r="L9944" t="s">
        <v>23</v>
      </c>
      <c r="M9944" t="s">
        <v>22486</v>
      </c>
      <c r="N9944" t="s">
        <v>22487</v>
      </c>
      <c r="O9944" t="s">
        <v>446</v>
      </c>
      <c r="P9944">
        <v>27376</v>
      </c>
      <c r="R9944" t="s">
        <v>23</v>
      </c>
      <c r="S9944" s="1" t="s">
        <v>34218</v>
      </c>
    </row>
    <row r="9945" spans="1:19" x14ac:dyDescent="0.25">
      <c r="A9945">
        <v>101193085</v>
      </c>
      <c r="B9945" t="s">
        <v>22488</v>
      </c>
      <c r="C9945" t="s">
        <v>2518</v>
      </c>
      <c r="G9945" t="s">
        <v>22489</v>
      </c>
      <c r="H9945" t="s">
        <v>134</v>
      </c>
      <c r="I9945" t="s">
        <v>135</v>
      </c>
      <c r="J9945">
        <v>60608</v>
      </c>
      <c r="K9945">
        <v>1709</v>
      </c>
      <c r="L9945" t="s">
        <v>23</v>
      </c>
      <c r="M9945" t="s">
        <v>22489</v>
      </c>
      <c r="N9945" t="s">
        <v>134</v>
      </c>
      <c r="O9945" t="s">
        <v>135</v>
      </c>
      <c r="P9945">
        <v>60608</v>
      </c>
      <c r="Q9945">
        <v>1709</v>
      </c>
      <c r="R9945" t="s">
        <v>23</v>
      </c>
      <c r="S9945" s="1" t="s">
        <v>34218</v>
      </c>
    </row>
    <row r="9946" spans="1:19" x14ac:dyDescent="0.25">
      <c r="A9946">
        <v>101295489</v>
      </c>
      <c r="B9946" t="s">
        <v>16135</v>
      </c>
      <c r="C9946" t="s">
        <v>3326</v>
      </c>
      <c r="G9946" t="s">
        <v>22490</v>
      </c>
      <c r="H9946" t="s">
        <v>66</v>
      </c>
      <c r="I9946" t="s">
        <v>22</v>
      </c>
      <c r="J9946">
        <v>94704</v>
      </c>
      <c r="K9946">
        <v>2841</v>
      </c>
      <c r="L9946" t="s">
        <v>23</v>
      </c>
      <c r="M9946" t="s">
        <v>22490</v>
      </c>
      <c r="N9946" t="s">
        <v>66</v>
      </c>
      <c r="O9946" t="s">
        <v>22</v>
      </c>
      <c r="P9946">
        <v>94704</v>
      </c>
      <c r="Q9946">
        <v>2841</v>
      </c>
      <c r="R9946" t="s">
        <v>23</v>
      </c>
      <c r="S9946" s="1" t="s">
        <v>34218</v>
      </c>
    </row>
    <row r="9947" spans="1:19" x14ac:dyDescent="0.25">
      <c r="A9947">
        <v>101242509</v>
      </c>
      <c r="B9947" t="s">
        <v>2238</v>
      </c>
      <c r="C9947" t="s">
        <v>1416</v>
      </c>
      <c r="G9947" t="s">
        <v>22491</v>
      </c>
      <c r="H9947" t="s">
        <v>8055</v>
      </c>
      <c r="I9947" t="s">
        <v>191</v>
      </c>
      <c r="J9947">
        <v>4032</v>
      </c>
      <c r="K9947">
        <v>6315</v>
      </c>
      <c r="L9947" t="s">
        <v>23</v>
      </c>
      <c r="M9947" t="s">
        <v>22491</v>
      </c>
      <c r="N9947" t="s">
        <v>8055</v>
      </c>
      <c r="O9947" t="s">
        <v>191</v>
      </c>
      <c r="P9947">
        <v>4032</v>
      </c>
      <c r="Q9947">
        <v>6315</v>
      </c>
      <c r="R9947" t="s">
        <v>23</v>
      </c>
      <c r="S9947" s="1" t="s">
        <v>34218</v>
      </c>
    </row>
    <row r="9948" spans="1:19" x14ac:dyDescent="0.25">
      <c r="A9948">
        <v>100761927</v>
      </c>
      <c r="B9948" t="s">
        <v>22492</v>
      </c>
      <c r="C9948" t="s">
        <v>579</v>
      </c>
      <c r="G9948" t="s">
        <v>22493</v>
      </c>
      <c r="H9948" t="s">
        <v>6151</v>
      </c>
      <c r="I9948" t="s">
        <v>33</v>
      </c>
      <c r="J9948">
        <v>17603</v>
      </c>
      <c r="K9948">
        <v>2417</v>
      </c>
      <c r="L9948" t="s">
        <v>23</v>
      </c>
      <c r="M9948" t="s">
        <v>22493</v>
      </c>
      <c r="N9948" t="s">
        <v>6151</v>
      </c>
      <c r="O9948" t="s">
        <v>33</v>
      </c>
      <c r="P9948">
        <v>17603</v>
      </c>
      <c r="Q9948">
        <v>2417</v>
      </c>
      <c r="R9948" t="s">
        <v>23</v>
      </c>
      <c r="S9948" s="1" t="s">
        <v>34218</v>
      </c>
    </row>
    <row r="9949" spans="1:19" x14ac:dyDescent="0.25">
      <c r="A9949">
        <v>101271144</v>
      </c>
      <c r="B9949" t="s">
        <v>22494</v>
      </c>
      <c r="C9949" t="s">
        <v>644</v>
      </c>
      <c r="G9949" t="s">
        <v>22495</v>
      </c>
      <c r="H9949" t="s">
        <v>2205</v>
      </c>
      <c r="I9949" t="s">
        <v>236</v>
      </c>
      <c r="J9949">
        <v>2631</v>
      </c>
      <c r="K9949">
        <v>1851</v>
      </c>
      <c r="L9949" t="s">
        <v>23</v>
      </c>
      <c r="M9949" t="s">
        <v>22495</v>
      </c>
      <c r="N9949" t="s">
        <v>2205</v>
      </c>
      <c r="O9949" t="s">
        <v>236</v>
      </c>
      <c r="P9949">
        <v>2631</v>
      </c>
      <c r="Q9949">
        <v>1851</v>
      </c>
      <c r="R9949" t="s">
        <v>23</v>
      </c>
      <c r="S9949" s="1" t="s">
        <v>34218</v>
      </c>
    </row>
    <row r="9950" spans="1:19" x14ac:dyDescent="0.25">
      <c r="A9950">
        <v>101249200</v>
      </c>
      <c r="B9950" t="s">
        <v>10326</v>
      </c>
      <c r="C9950" t="s">
        <v>1555</v>
      </c>
      <c r="G9950" t="s">
        <v>22496</v>
      </c>
      <c r="H9950" t="s">
        <v>1439</v>
      </c>
      <c r="I9950" t="s">
        <v>365</v>
      </c>
      <c r="J9950">
        <v>85714</v>
      </c>
      <c r="K9950">
        <v>1103</v>
      </c>
      <c r="L9950" t="s">
        <v>23</v>
      </c>
      <c r="M9950" t="s">
        <v>22496</v>
      </c>
      <c r="N9950" t="s">
        <v>1439</v>
      </c>
      <c r="O9950" t="s">
        <v>365</v>
      </c>
      <c r="P9950">
        <v>85714</v>
      </c>
      <c r="Q9950">
        <v>1103</v>
      </c>
      <c r="R9950" t="s">
        <v>23</v>
      </c>
      <c r="S9950" s="1" t="s">
        <v>34218</v>
      </c>
    </row>
    <row r="9951" spans="1:19" x14ac:dyDescent="0.25">
      <c r="A9951">
        <v>101206755</v>
      </c>
      <c r="B9951" t="s">
        <v>22497</v>
      </c>
      <c r="C9951" t="s">
        <v>2642</v>
      </c>
      <c r="G9951" t="s">
        <v>22498</v>
      </c>
      <c r="H9951" t="s">
        <v>761</v>
      </c>
      <c r="I9951" t="s">
        <v>353</v>
      </c>
      <c r="J9951">
        <v>3301</v>
      </c>
      <c r="L9951" t="s">
        <v>23</v>
      </c>
      <c r="M9951" t="s">
        <v>22498</v>
      </c>
      <c r="N9951" t="s">
        <v>761</v>
      </c>
      <c r="O9951" t="s">
        <v>353</v>
      </c>
      <c r="P9951">
        <v>3301</v>
      </c>
      <c r="R9951" t="s">
        <v>23</v>
      </c>
      <c r="S9951" s="1" t="s">
        <v>34218</v>
      </c>
    </row>
    <row r="9952" spans="1:19" x14ac:dyDescent="0.25">
      <c r="A9952">
        <v>101446884</v>
      </c>
      <c r="B9952" t="s">
        <v>22499</v>
      </c>
      <c r="C9952" t="s">
        <v>12851</v>
      </c>
      <c r="G9952" t="s">
        <v>22500</v>
      </c>
      <c r="H9952" t="s">
        <v>22501</v>
      </c>
      <c r="I9952" t="s">
        <v>348</v>
      </c>
      <c r="J9952">
        <v>83401</v>
      </c>
      <c r="K9952">
        <v>4094</v>
      </c>
      <c r="L9952" t="s">
        <v>23</v>
      </c>
      <c r="M9952" t="s">
        <v>22500</v>
      </c>
      <c r="N9952" t="s">
        <v>22501</v>
      </c>
      <c r="O9952" t="s">
        <v>348</v>
      </c>
      <c r="P9952">
        <v>83401</v>
      </c>
      <c r="Q9952">
        <v>4094</v>
      </c>
      <c r="R9952" t="s">
        <v>23</v>
      </c>
      <c r="S9952" s="1" t="s">
        <v>34218</v>
      </c>
    </row>
    <row r="9953" spans="1:19" x14ac:dyDescent="0.25">
      <c r="A9953">
        <v>101473022</v>
      </c>
      <c r="B9953" t="s">
        <v>22502</v>
      </c>
      <c r="C9953" t="s">
        <v>494</v>
      </c>
      <c r="G9953" t="s">
        <v>22503</v>
      </c>
      <c r="H9953" t="s">
        <v>10089</v>
      </c>
      <c r="I9953" t="s">
        <v>984</v>
      </c>
      <c r="J9953">
        <v>96779</v>
      </c>
      <c r="L9953" t="s">
        <v>23</v>
      </c>
      <c r="M9953" t="s">
        <v>22503</v>
      </c>
      <c r="N9953" t="s">
        <v>10089</v>
      </c>
      <c r="O9953" t="s">
        <v>984</v>
      </c>
      <c r="P9953">
        <v>96779</v>
      </c>
      <c r="R9953" t="s">
        <v>23</v>
      </c>
      <c r="S9953" s="1" t="s">
        <v>34218</v>
      </c>
    </row>
    <row r="9954" spans="1:19" x14ac:dyDescent="0.25">
      <c r="A9954">
        <v>101256817</v>
      </c>
      <c r="B9954" t="s">
        <v>22504</v>
      </c>
      <c r="C9954" t="s">
        <v>1179</v>
      </c>
      <c r="G9954" t="s">
        <v>22505</v>
      </c>
      <c r="H9954" t="s">
        <v>6879</v>
      </c>
      <c r="I9954" t="s">
        <v>565</v>
      </c>
      <c r="J9954">
        <v>50315</v>
      </c>
      <c r="K9954">
        <v>3205</v>
      </c>
      <c r="L9954" t="s">
        <v>23</v>
      </c>
      <c r="M9954" t="s">
        <v>22505</v>
      </c>
      <c r="N9954" t="s">
        <v>6879</v>
      </c>
      <c r="O9954" t="s">
        <v>565</v>
      </c>
      <c r="P9954">
        <v>50315</v>
      </c>
      <c r="Q9954">
        <v>3205</v>
      </c>
      <c r="R9954" t="s">
        <v>23</v>
      </c>
      <c r="S9954" s="1" t="s">
        <v>34218</v>
      </c>
    </row>
    <row r="9955" spans="1:19" x14ac:dyDescent="0.25">
      <c r="A9955">
        <v>101437623</v>
      </c>
      <c r="B9955" t="s">
        <v>22506</v>
      </c>
      <c r="C9955" t="s">
        <v>3307</v>
      </c>
      <c r="G9955" t="s">
        <v>22507</v>
      </c>
      <c r="H9955" t="s">
        <v>8055</v>
      </c>
      <c r="I9955" t="s">
        <v>135</v>
      </c>
      <c r="J9955">
        <v>61032</v>
      </c>
      <c r="K9955">
        <v>3707</v>
      </c>
      <c r="L9955" t="s">
        <v>23</v>
      </c>
      <c r="M9955" t="s">
        <v>22507</v>
      </c>
      <c r="N9955" t="s">
        <v>8055</v>
      </c>
      <c r="O9955" t="s">
        <v>135</v>
      </c>
      <c r="P9955">
        <v>61032</v>
      </c>
      <c r="Q9955">
        <v>3707</v>
      </c>
      <c r="R9955" t="s">
        <v>23</v>
      </c>
      <c r="S9955" s="1" t="s">
        <v>34218</v>
      </c>
    </row>
    <row r="9956" spans="1:19" x14ac:dyDescent="0.25">
      <c r="A9956">
        <v>101309022</v>
      </c>
      <c r="B9956" t="s">
        <v>22508</v>
      </c>
      <c r="C9956" t="s">
        <v>25</v>
      </c>
      <c r="G9956" t="s">
        <v>22509</v>
      </c>
      <c r="H9956" t="s">
        <v>9134</v>
      </c>
      <c r="I9956" t="s">
        <v>33</v>
      </c>
      <c r="J9956">
        <v>18103</v>
      </c>
      <c r="K9956">
        <v>4710</v>
      </c>
      <c r="L9956" t="s">
        <v>23</v>
      </c>
      <c r="M9956" t="s">
        <v>22509</v>
      </c>
      <c r="N9956" t="s">
        <v>9134</v>
      </c>
      <c r="O9956" t="s">
        <v>33</v>
      </c>
      <c r="P9956">
        <v>18103</v>
      </c>
      <c r="Q9956">
        <v>4710</v>
      </c>
      <c r="R9956" t="s">
        <v>23</v>
      </c>
      <c r="S9956" s="1" t="s">
        <v>34218</v>
      </c>
    </row>
    <row r="9957" spans="1:19" x14ac:dyDescent="0.25">
      <c r="A9957">
        <v>101427578</v>
      </c>
      <c r="B9957" t="s">
        <v>3110</v>
      </c>
      <c r="C9957" t="s">
        <v>22510</v>
      </c>
      <c r="G9957" t="s">
        <v>22511</v>
      </c>
      <c r="H9957" t="s">
        <v>458</v>
      </c>
      <c r="I9957" t="s">
        <v>43</v>
      </c>
      <c r="J9957">
        <v>97526</v>
      </c>
      <c r="K9957">
        <v>9781</v>
      </c>
      <c r="L9957" t="s">
        <v>23</v>
      </c>
      <c r="M9957" t="s">
        <v>22511</v>
      </c>
      <c r="N9957" t="s">
        <v>458</v>
      </c>
      <c r="O9957" t="s">
        <v>43</v>
      </c>
      <c r="P9957">
        <v>97526</v>
      </c>
      <c r="Q9957">
        <v>9781</v>
      </c>
      <c r="R9957" t="s">
        <v>23</v>
      </c>
      <c r="S9957" s="1" t="s">
        <v>34218</v>
      </c>
    </row>
    <row r="9958" spans="1:19" x14ac:dyDescent="0.25">
      <c r="A9958">
        <v>101428179</v>
      </c>
      <c r="B9958" t="s">
        <v>3209</v>
      </c>
      <c r="C9958" t="s">
        <v>119</v>
      </c>
      <c r="G9958" t="s">
        <v>22512</v>
      </c>
      <c r="H9958" t="s">
        <v>9840</v>
      </c>
      <c r="I9958" t="s">
        <v>117</v>
      </c>
      <c r="J9958">
        <v>11102</v>
      </c>
      <c r="K9958">
        <v>3553</v>
      </c>
      <c r="L9958" t="s">
        <v>23</v>
      </c>
      <c r="M9958" t="s">
        <v>22512</v>
      </c>
      <c r="N9958" t="s">
        <v>9840</v>
      </c>
      <c r="O9958" t="s">
        <v>117</v>
      </c>
      <c r="P9958">
        <v>11102</v>
      </c>
      <c r="Q9958">
        <v>3553</v>
      </c>
      <c r="R9958" t="s">
        <v>23</v>
      </c>
      <c r="S9958" s="1" t="s">
        <v>34218</v>
      </c>
    </row>
    <row r="9959" spans="1:19" x14ac:dyDescent="0.25">
      <c r="A9959">
        <v>101360239</v>
      </c>
      <c r="B9959" t="s">
        <v>22513</v>
      </c>
      <c r="C9959" t="s">
        <v>2935</v>
      </c>
      <c r="G9959" t="s">
        <v>22514</v>
      </c>
      <c r="H9959" t="s">
        <v>15824</v>
      </c>
      <c r="I9959" t="s">
        <v>153</v>
      </c>
      <c r="J9959">
        <v>70072</v>
      </c>
      <c r="K9959">
        <v>6052</v>
      </c>
      <c r="L9959" t="s">
        <v>23</v>
      </c>
      <c r="M9959" t="s">
        <v>22514</v>
      </c>
      <c r="N9959" t="s">
        <v>15824</v>
      </c>
      <c r="O9959" t="s">
        <v>153</v>
      </c>
      <c r="P9959">
        <v>70072</v>
      </c>
      <c r="Q9959">
        <v>6052</v>
      </c>
      <c r="R9959" t="s">
        <v>23</v>
      </c>
      <c r="S9959" s="1" t="s">
        <v>34218</v>
      </c>
    </row>
    <row r="9960" spans="1:19" x14ac:dyDescent="0.25">
      <c r="A9960">
        <v>101426826</v>
      </c>
      <c r="B9960" t="s">
        <v>10753</v>
      </c>
      <c r="C9960" t="s">
        <v>1632</v>
      </c>
      <c r="G9960" t="s">
        <v>22515</v>
      </c>
      <c r="H9960" t="s">
        <v>22516</v>
      </c>
      <c r="I9960" t="s">
        <v>250</v>
      </c>
      <c r="J9960">
        <v>8889</v>
      </c>
      <c r="K9960">
        <v>3609</v>
      </c>
      <c r="L9960" t="s">
        <v>23</v>
      </c>
      <c r="M9960" t="s">
        <v>22515</v>
      </c>
      <c r="N9960" t="s">
        <v>22516</v>
      </c>
      <c r="O9960" t="s">
        <v>250</v>
      </c>
      <c r="P9960">
        <v>8889</v>
      </c>
      <c r="Q9960">
        <v>3609</v>
      </c>
      <c r="R9960" t="s">
        <v>23</v>
      </c>
      <c r="S9960" s="1" t="s">
        <v>34218</v>
      </c>
    </row>
    <row r="9961" spans="1:19" x14ac:dyDescent="0.25">
      <c r="A9961">
        <v>100764935</v>
      </c>
      <c r="B9961" t="s">
        <v>22517</v>
      </c>
      <c r="C9961" t="s">
        <v>22518</v>
      </c>
      <c r="G9961" t="s">
        <v>22519</v>
      </c>
      <c r="H9961" t="s">
        <v>299</v>
      </c>
      <c r="I9961" t="s">
        <v>22</v>
      </c>
      <c r="J9961">
        <v>90065</v>
      </c>
      <c r="K9961">
        <v>3955</v>
      </c>
      <c r="L9961" t="s">
        <v>23</v>
      </c>
      <c r="M9961" t="s">
        <v>22519</v>
      </c>
      <c r="N9961" t="s">
        <v>299</v>
      </c>
      <c r="O9961" t="s">
        <v>22</v>
      </c>
      <c r="P9961">
        <v>90065</v>
      </c>
      <c r="Q9961">
        <v>3955</v>
      </c>
      <c r="R9961" t="s">
        <v>23</v>
      </c>
      <c r="S9961" s="1" t="s">
        <v>34218</v>
      </c>
    </row>
    <row r="9962" spans="1:19" x14ac:dyDescent="0.25">
      <c r="A9962">
        <v>100897558</v>
      </c>
      <c r="B9962" t="s">
        <v>22520</v>
      </c>
      <c r="C9962" t="s">
        <v>1602</v>
      </c>
      <c r="G9962" t="s">
        <v>22521</v>
      </c>
      <c r="H9962" t="s">
        <v>12527</v>
      </c>
      <c r="I9962" t="s">
        <v>84</v>
      </c>
      <c r="J9962">
        <v>98271</v>
      </c>
      <c r="K9962">
        <v>6500</v>
      </c>
      <c r="L9962" t="s">
        <v>23</v>
      </c>
      <c r="M9962" t="s">
        <v>22521</v>
      </c>
      <c r="N9962" t="s">
        <v>12527</v>
      </c>
      <c r="O9962" t="s">
        <v>84</v>
      </c>
      <c r="P9962">
        <v>98271</v>
      </c>
      <c r="Q9962">
        <v>6500</v>
      </c>
      <c r="R9962" t="s">
        <v>23</v>
      </c>
      <c r="S9962" s="1" t="s">
        <v>34218</v>
      </c>
    </row>
    <row r="9963" spans="1:19" x14ac:dyDescent="0.25">
      <c r="A9963">
        <v>101149579</v>
      </c>
      <c r="B9963" t="s">
        <v>2709</v>
      </c>
      <c r="C9963" t="s">
        <v>22522</v>
      </c>
      <c r="G9963" t="s">
        <v>22523</v>
      </c>
      <c r="H9963" t="s">
        <v>10031</v>
      </c>
      <c r="I9963" t="s">
        <v>22</v>
      </c>
      <c r="J9963">
        <v>95521</v>
      </c>
      <c r="K9963">
        <v>5807</v>
      </c>
      <c r="L9963" t="s">
        <v>23</v>
      </c>
      <c r="M9963" t="s">
        <v>22523</v>
      </c>
      <c r="N9963" t="s">
        <v>10031</v>
      </c>
      <c r="O9963" t="s">
        <v>22</v>
      </c>
      <c r="P9963">
        <v>95521</v>
      </c>
      <c r="Q9963">
        <v>5807</v>
      </c>
      <c r="R9963" t="s">
        <v>23</v>
      </c>
      <c r="S9963" s="1" t="s">
        <v>34218</v>
      </c>
    </row>
    <row r="9964" spans="1:19" x14ac:dyDescent="0.25">
      <c r="A9964">
        <v>101469416</v>
      </c>
      <c r="B9964" t="s">
        <v>6417</v>
      </c>
      <c r="C9964" t="s">
        <v>102</v>
      </c>
      <c r="G9964" t="s">
        <v>22524</v>
      </c>
      <c r="H9964" t="s">
        <v>227</v>
      </c>
      <c r="I9964" t="s">
        <v>43</v>
      </c>
      <c r="J9964">
        <v>97219</v>
      </c>
      <c r="K9964">
        <v>8674</v>
      </c>
      <c r="L9964" t="s">
        <v>23</v>
      </c>
      <c r="M9964" t="s">
        <v>22524</v>
      </c>
      <c r="N9964" t="s">
        <v>227</v>
      </c>
      <c r="O9964" t="s">
        <v>43</v>
      </c>
      <c r="P9964">
        <v>97219</v>
      </c>
      <c r="Q9964">
        <v>8674</v>
      </c>
      <c r="R9964" t="s">
        <v>23</v>
      </c>
      <c r="S9964" s="1" t="s">
        <v>34218</v>
      </c>
    </row>
    <row r="9965" spans="1:19" x14ac:dyDescent="0.25">
      <c r="A9965">
        <v>101131682</v>
      </c>
      <c r="B9965" t="s">
        <v>22525</v>
      </c>
      <c r="C9965" t="s">
        <v>22526</v>
      </c>
      <c r="F9965" t="str">
        <f>"5555555555"</f>
        <v>5555555555</v>
      </c>
      <c r="G9965" t="s">
        <v>22527</v>
      </c>
      <c r="H9965" t="s">
        <v>11320</v>
      </c>
      <c r="I9965" t="s">
        <v>52</v>
      </c>
      <c r="J9965">
        <v>32571</v>
      </c>
      <c r="L9965" t="s">
        <v>23</v>
      </c>
      <c r="M9965" t="s">
        <v>22527</v>
      </c>
      <c r="N9965" t="s">
        <v>11320</v>
      </c>
      <c r="O9965" t="s">
        <v>52</v>
      </c>
      <c r="P9965">
        <v>32571</v>
      </c>
      <c r="R9965" t="s">
        <v>23</v>
      </c>
      <c r="S9965" s="1" t="s">
        <v>34218</v>
      </c>
    </row>
    <row r="9966" spans="1:19" x14ac:dyDescent="0.25">
      <c r="A9966">
        <v>101332514</v>
      </c>
      <c r="B9966" t="s">
        <v>4696</v>
      </c>
      <c r="C9966" t="s">
        <v>1933</v>
      </c>
      <c r="H9966" t="s">
        <v>419</v>
      </c>
      <c r="I9966" t="s">
        <v>38</v>
      </c>
      <c r="J9966">
        <v>76108</v>
      </c>
      <c r="L9966" t="s">
        <v>23</v>
      </c>
      <c r="N9966" t="s">
        <v>419</v>
      </c>
      <c r="O9966" t="s">
        <v>38</v>
      </c>
      <c r="P9966">
        <v>76108</v>
      </c>
      <c r="R9966" t="s">
        <v>23</v>
      </c>
      <c r="S9966" s="1" t="s">
        <v>34218</v>
      </c>
    </row>
    <row r="9967" spans="1:19" x14ac:dyDescent="0.25">
      <c r="A9967">
        <v>101036987</v>
      </c>
      <c r="B9967" t="s">
        <v>2586</v>
      </c>
      <c r="C9967" t="s">
        <v>2642</v>
      </c>
      <c r="G9967" t="s">
        <v>22528</v>
      </c>
      <c r="H9967" t="s">
        <v>22529</v>
      </c>
      <c r="I9967" t="s">
        <v>353</v>
      </c>
      <c r="J9967">
        <v>3266</v>
      </c>
      <c r="K9967">
        <v>3523</v>
      </c>
      <c r="L9967" t="s">
        <v>23</v>
      </c>
      <c r="M9967" t="s">
        <v>22528</v>
      </c>
      <c r="N9967" t="s">
        <v>22529</v>
      </c>
      <c r="O9967" t="s">
        <v>353</v>
      </c>
      <c r="P9967">
        <v>3266</v>
      </c>
      <c r="Q9967">
        <v>3523</v>
      </c>
      <c r="R9967" t="s">
        <v>23</v>
      </c>
      <c r="S9967" s="1" t="s">
        <v>34218</v>
      </c>
    </row>
    <row r="9968" spans="1:19" x14ac:dyDescent="0.25">
      <c r="A9968">
        <v>101472132</v>
      </c>
      <c r="B9968" t="s">
        <v>4165</v>
      </c>
      <c r="C9968" t="s">
        <v>22530</v>
      </c>
      <c r="G9968" t="s">
        <v>22531</v>
      </c>
      <c r="H9968" t="s">
        <v>3449</v>
      </c>
      <c r="I9968" t="s">
        <v>914</v>
      </c>
      <c r="J9968">
        <v>37763</v>
      </c>
      <c r="K9968">
        <v>2340</v>
      </c>
      <c r="L9968" t="s">
        <v>23</v>
      </c>
      <c r="M9968" t="s">
        <v>22531</v>
      </c>
      <c r="N9968" t="s">
        <v>3449</v>
      </c>
      <c r="O9968" t="s">
        <v>914</v>
      </c>
      <c r="P9968">
        <v>37763</v>
      </c>
      <c r="Q9968">
        <v>2340</v>
      </c>
      <c r="R9968" t="s">
        <v>23</v>
      </c>
      <c r="S9968" s="1" t="s">
        <v>34218</v>
      </c>
    </row>
    <row r="9969" spans="1:19" x14ac:dyDescent="0.25">
      <c r="A9969">
        <v>101318171</v>
      </c>
      <c r="B9969" t="s">
        <v>22532</v>
      </c>
      <c r="C9969" t="s">
        <v>40</v>
      </c>
      <c r="G9969" t="s">
        <v>22533</v>
      </c>
      <c r="H9969" t="s">
        <v>3847</v>
      </c>
      <c r="I9969" t="s">
        <v>22</v>
      </c>
      <c r="J9969">
        <v>92648</v>
      </c>
      <c r="K9969">
        <v>6034</v>
      </c>
      <c r="L9969" t="s">
        <v>23</v>
      </c>
      <c r="M9969" t="s">
        <v>22533</v>
      </c>
      <c r="N9969" t="s">
        <v>3847</v>
      </c>
      <c r="O9969" t="s">
        <v>22</v>
      </c>
      <c r="P9969">
        <v>92648</v>
      </c>
      <c r="Q9969">
        <v>6034</v>
      </c>
      <c r="R9969" t="s">
        <v>23</v>
      </c>
      <c r="S9969" s="1" t="s">
        <v>34218</v>
      </c>
    </row>
    <row r="9970" spans="1:19" x14ac:dyDescent="0.25">
      <c r="A9970">
        <v>100560418</v>
      </c>
      <c r="B9970" t="s">
        <v>5980</v>
      </c>
      <c r="C9970" t="s">
        <v>22534</v>
      </c>
      <c r="G9970" t="s">
        <v>7238</v>
      </c>
      <c r="H9970" t="s">
        <v>22535</v>
      </c>
      <c r="I9970" t="s">
        <v>187</v>
      </c>
      <c r="J9970">
        <v>55391</v>
      </c>
      <c r="L9970" t="s">
        <v>23</v>
      </c>
      <c r="M9970" t="s">
        <v>7238</v>
      </c>
      <c r="N9970" t="s">
        <v>22535</v>
      </c>
      <c r="O9970" t="s">
        <v>187</v>
      </c>
      <c r="P9970">
        <v>55391</v>
      </c>
      <c r="R9970" t="s">
        <v>23</v>
      </c>
      <c r="S9970" s="1" t="s">
        <v>34218</v>
      </c>
    </row>
    <row r="9971" spans="1:19" x14ac:dyDescent="0.25">
      <c r="A9971">
        <v>101333140</v>
      </c>
      <c r="B9971" t="s">
        <v>22536</v>
      </c>
      <c r="C9971" t="s">
        <v>14378</v>
      </c>
      <c r="G9971" t="s">
        <v>22537</v>
      </c>
      <c r="H9971" t="s">
        <v>5626</v>
      </c>
      <c r="I9971" t="s">
        <v>100</v>
      </c>
      <c r="J9971">
        <v>54304</v>
      </c>
      <c r="K9971">
        <v>5762</v>
      </c>
      <c r="L9971" t="s">
        <v>23</v>
      </c>
      <c r="M9971" t="s">
        <v>22537</v>
      </c>
      <c r="N9971" t="s">
        <v>5626</v>
      </c>
      <c r="O9971" t="s">
        <v>100</v>
      </c>
      <c r="P9971">
        <v>54304</v>
      </c>
      <c r="Q9971">
        <v>5762</v>
      </c>
      <c r="R9971" t="s">
        <v>23</v>
      </c>
      <c r="S9971" s="1" t="s">
        <v>34218</v>
      </c>
    </row>
    <row r="9972" spans="1:19" x14ac:dyDescent="0.25">
      <c r="A9972">
        <v>101469309</v>
      </c>
      <c r="B9972" t="s">
        <v>11399</v>
      </c>
      <c r="C9972" t="s">
        <v>22538</v>
      </c>
      <c r="G9972" t="s">
        <v>22539</v>
      </c>
      <c r="H9972" t="s">
        <v>638</v>
      </c>
      <c r="I9972" t="s">
        <v>639</v>
      </c>
      <c r="J9972">
        <v>87111</v>
      </c>
      <c r="K9972">
        <v>3536</v>
      </c>
      <c r="L9972" t="s">
        <v>23</v>
      </c>
      <c r="M9972" t="s">
        <v>22539</v>
      </c>
      <c r="N9972" t="s">
        <v>638</v>
      </c>
      <c r="O9972" t="s">
        <v>639</v>
      </c>
      <c r="P9972">
        <v>87111</v>
      </c>
      <c r="Q9972">
        <v>3536</v>
      </c>
      <c r="R9972" t="s">
        <v>23</v>
      </c>
      <c r="S9972" s="1" t="s">
        <v>34218</v>
      </c>
    </row>
    <row r="9973" spans="1:19" x14ac:dyDescent="0.25">
      <c r="A9973">
        <v>101466020</v>
      </c>
      <c r="B9973" t="s">
        <v>8253</v>
      </c>
      <c r="C9973" t="s">
        <v>1043</v>
      </c>
      <c r="G9973" t="s">
        <v>22540</v>
      </c>
      <c r="H9973" t="s">
        <v>22541</v>
      </c>
      <c r="I9973" t="s">
        <v>148</v>
      </c>
      <c r="J9973">
        <v>21057</v>
      </c>
      <c r="K9973">
        <v>9449</v>
      </c>
      <c r="L9973" t="s">
        <v>23</v>
      </c>
      <c r="M9973" t="s">
        <v>22540</v>
      </c>
      <c r="N9973" t="s">
        <v>22541</v>
      </c>
      <c r="O9973" t="s">
        <v>148</v>
      </c>
      <c r="P9973">
        <v>21057</v>
      </c>
      <c r="Q9973">
        <v>9449</v>
      </c>
      <c r="R9973" t="s">
        <v>23</v>
      </c>
      <c r="S9973" s="1" t="s">
        <v>34218</v>
      </c>
    </row>
    <row r="9974" spans="1:19" x14ac:dyDescent="0.25">
      <c r="A9974">
        <v>101093321</v>
      </c>
      <c r="B9974" t="s">
        <v>22542</v>
      </c>
      <c r="C9974" t="s">
        <v>40</v>
      </c>
      <c r="G9974" t="s">
        <v>22543</v>
      </c>
      <c r="H9974" t="s">
        <v>2375</v>
      </c>
      <c r="I9974" t="s">
        <v>100</v>
      </c>
      <c r="J9974">
        <v>53713</v>
      </c>
      <c r="K9974">
        <v>2774</v>
      </c>
      <c r="L9974" t="s">
        <v>23</v>
      </c>
      <c r="M9974" t="s">
        <v>22543</v>
      </c>
      <c r="N9974" t="s">
        <v>2375</v>
      </c>
      <c r="O9974" t="s">
        <v>100</v>
      </c>
      <c r="P9974">
        <v>53713</v>
      </c>
      <c r="Q9974">
        <v>2774</v>
      </c>
      <c r="R9974" t="s">
        <v>23</v>
      </c>
      <c r="S9974" s="1" t="s">
        <v>34218</v>
      </c>
    </row>
    <row r="9975" spans="1:19" x14ac:dyDescent="0.25">
      <c r="A9975">
        <v>101421781</v>
      </c>
      <c r="B9975" t="s">
        <v>5789</v>
      </c>
      <c r="C9975" t="s">
        <v>4488</v>
      </c>
      <c r="G9975" t="s">
        <v>22544</v>
      </c>
      <c r="H9975" t="s">
        <v>10826</v>
      </c>
      <c r="I9975" t="s">
        <v>33</v>
      </c>
      <c r="J9975">
        <v>19015</v>
      </c>
      <c r="K9975">
        <v>2153</v>
      </c>
      <c r="L9975" t="s">
        <v>23</v>
      </c>
      <c r="M9975" t="s">
        <v>22544</v>
      </c>
      <c r="N9975" t="s">
        <v>10826</v>
      </c>
      <c r="O9975" t="s">
        <v>33</v>
      </c>
      <c r="P9975">
        <v>19015</v>
      </c>
      <c r="Q9975">
        <v>2153</v>
      </c>
      <c r="R9975" t="s">
        <v>23</v>
      </c>
      <c r="S9975" s="1" t="s">
        <v>34218</v>
      </c>
    </row>
    <row r="9976" spans="1:19" x14ac:dyDescent="0.25">
      <c r="A9976">
        <v>101393460</v>
      </c>
      <c r="B9976" t="s">
        <v>14772</v>
      </c>
      <c r="C9976" t="s">
        <v>880</v>
      </c>
      <c r="G9976" t="s">
        <v>22545</v>
      </c>
      <c r="H9976" t="s">
        <v>3060</v>
      </c>
      <c r="I9976" t="s">
        <v>22</v>
      </c>
      <c r="J9976">
        <v>91786</v>
      </c>
      <c r="K9976">
        <v>6955</v>
      </c>
      <c r="L9976" t="s">
        <v>23</v>
      </c>
      <c r="M9976" t="s">
        <v>22545</v>
      </c>
      <c r="N9976" t="s">
        <v>3060</v>
      </c>
      <c r="O9976" t="s">
        <v>22</v>
      </c>
      <c r="P9976">
        <v>91786</v>
      </c>
      <c r="Q9976">
        <v>6955</v>
      </c>
      <c r="R9976" t="s">
        <v>23</v>
      </c>
      <c r="S9976" s="1" t="s">
        <v>34218</v>
      </c>
    </row>
    <row r="9977" spans="1:19" x14ac:dyDescent="0.25">
      <c r="A9977">
        <v>101472884</v>
      </c>
      <c r="B9977" t="s">
        <v>7019</v>
      </c>
      <c r="C9977" t="s">
        <v>1859</v>
      </c>
      <c r="G9977" t="s">
        <v>22546</v>
      </c>
      <c r="H9977" t="s">
        <v>17400</v>
      </c>
      <c r="I9977" t="s">
        <v>332</v>
      </c>
      <c r="J9977">
        <v>84601</v>
      </c>
      <c r="K9977">
        <v>5010</v>
      </c>
      <c r="L9977" t="s">
        <v>23</v>
      </c>
      <c r="M9977" t="s">
        <v>22546</v>
      </c>
      <c r="N9977" t="s">
        <v>17400</v>
      </c>
      <c r="O9977" t="s">
        <v>332</v>
      </c>
      <c r="P9977">
        <v>84601</v>
      </c>
      <c r="Q9977">
        <v>5010</v>
      </c>
      <c r="R9977" t="s">
        <v>23</v>
      </c>
      <c r="S9977" s="1" t="s">
        <v>34218</v>
      </c>
    </row>
    <row r="9978" spans="1:19" x14ac:dyDescent="0.25">
      <c r="A9978">
        <v>101291277</v>
      </c>
      <c r="B9978" t="s">
        <v>16838</v>
      </c>
      <c r="C9978" t="s">
        <v>22547</v>
      </c>
      <c r="G9978" t="s">
        <v>22548</v>
      </c>
      <c r="H9978" t="s">
        <v>1780</v>
      </c>
      <c r="I9978" t="s">
        <v>22</v>
      </c>
      <c r="J9978">
        <v>92024</v>
      </c>
      <c r="L9978" t="s">
        <v>23</v>
      </c>
      <c r="M9978" t="s">
        <v>22548</v>
      </c>
      <c r="N9978" t="s">
        <v>1780</v>
      </c>
      <c r="O9978" t="s">
        <v>22</v>
      </c>
      <c r="P9978">
        <v>92024</v>
      </c>
      <c r="R9978" t="s">
        <v>23</v>
      </c>
      <c r="S9978" s="1" t="s">
        <v>34218</v>
      </c>
    </row>
    <row r="9979" spans="1:19" x14ac:dyDescent="0.25">
      <c r="A9979">
        <v>101192855</v>
      </c>
      <c r="B9979" t="s">
        <v>22549</v>
      </c>
      <c r="C9979" t="s">
        <v>40</v>
      </c>
      <c r="G9979" t="s">
        <v>22550</v>
      </c>
      <c r="H9979" t="s">
        <v>5579</v>
      </c>
      <c r="I9979" t="s">
        <v>446</v>
      </c>
      <c r="J9979">
        <v>27103</v>
      </c>
      <c r="K9979">
        <v>6805</v>
      </c>
      <c r="L9979" t="s">
        <v>23</v>
      </c>
      <c r="M9979" t="s">
        <v>22550</v>
      </c>
      <c r="N9979" t="s">
        <v>5579</v>
      </c>
      <c r="O9979" t="s">
        <v>446</v>
      </c>
      <c r="P9979">
        <v>27103</v>
      </c>
      <c r="Q9979">
        <v>6805</v>
      </c>
      <c r="R9979" t="s">
        <v>23</v>
      </c>
      <c r="S9979" s="1" t="s">
        <v>34218</v>
      </c>
    </row>
    <row r="9980" spans="1:19" x14ac:dyDescent="0.25">
      <c r="A9980">
        <v>101466822</v>
      </c>
      <c r="B9980" t="s">
        <v>22551</v>
      </c>
      <c r="C9980" t="s">
        <v>403</v>
      </c>
      <c r="G9980" t="s">
        <v>22552</v>
      </c>
      <c r="H9980" t="s">
        <v>22553</v>
      </c>
      <c r="I9980" t="s">
        <v>446</v>
      </c>
      <c r="J9980">
        <v>27205</v>
      </c>
      <c r="K9980">
        <v>7218</v>
      </c>
      <c r="L9980" t="s">
        <v>23</v>
      </c>
      <c r="M9980" t="s">
        <v>22552</v>
      </c>
      <c r="N9980" t="s">
        <v>22553</v>
      </c>
      <c r="O9980" t="s">
        <v>446</v>
      </c>
      <c r="P9980">
        <v>27205</v>
      </c>
      <c r="Q9980">
        <v>7218</v>
      </c>
      <c r="R9980" t="s">
        <v>23</v>
      </c>
      <c r="S9980" s="1" t="s">
        <v>34218</v>
      </c>
    </row>
    <row r="9981" spans="1:19" x14ac:dyDescent="0.25">
      <c r="A9981">
        <v>101467871</v>
      </c>
      <c r="B9981" t="s">
        <v>6292</v>
      </c>
      <c r="C9981" t="s">
        <v>2343</v>
      </c>
      <c r="G9981" t="s">
        <v>22554</v>
      </c>
      <c r="H9981" t="s">
        <v>174</v>
      </c>
      <c r="I9981" t="s">
        <v>22</v>
      </c>
      <c r="J9981">
        <v>93109</v>
      </c>
      <c r="K9981">
        <v>1313</v>
      </c>
      <c r="L9981" t="s">
        <v>23</v>
      </c>
      <c r="M9981" t="s">
        <v>22554</v>
      </c>
      <c r="N9981" t="s">
        <v>174</v>
      </c>
      <c r="O9981" t="s">
        <v>22</v>
      </c>
      <c r="P9981">
        <v>93109</v>
      </c>
      <c r="Q9981">
        <v>1313</v>
      </c>
      <c r="R9981" t="s">
        <v>23</v>
      </c>
      <c r="S9981" s="1" t="s">
        <v>34218</v>
      </c>
    </row>
    <row r="9982" spans="1:19" x14ac:dyDescent="0.25">
      <c r="A9982">
        <v>101307225</v>
      </c>
      <c r="B9982" t="s">
        <v>22555</v>
      </c>
      <c r="C9982" t="s">
        <v>1363</v>
      </c>
      <c r="G9982" t="s">
        <v>22556</v>
      </c>
      <c r="H9982" t="s">
        <v>9717</v>
      </c>
      <c r="I9982" t="s">
        <v>52</v>
      </c>
      <c r="J9982">
        <v>32669</v>
      </c>
      <c r="K9982">
        <v>643</v>
      </c>
      <c r="L9982" t="s">
        <v>23</v>
      </c>
      <c r="M9982" t="s">
        <v>22556</v>
      </c>
      <c r="N9982" t="s">
        <v>9717</v>
      </c>
      <c r="O9982" t="s">
        <v>52</v>
      </c>
      <c r="P9982">
        <v>32669</v>
      </c>
      <c r="Q9982">
        <v>643</v>
      </c>
      <c r="R9982" t="s">
        <v>23</v>
      </c>
      <c r="S9982" s="1" t="s">
        <v>34218</v>
      </c>
    </row>
    <row r="9983" spans="1:19" x14ac:dyDescent="0.25">
      <c r="A9983">
        <v>101479413</v>
      </c>
      <c r="B9983" t="s">
        <v>1711</v>
      </c>
      <c r="C9983" t="s">
        <v>4427</v>
      </c>
      <c r="G9983" t="s">
        <v>22557</v>
      </c>
      <c r="H9983" t="s">
        <v>481</v>
      </c>
      <c r="I9983" t="s">
        <v>22</v>
      </c>
      <c r="J9983">
        <v>95116</v>
      </c>
      <c r="K9983">
        <v>4204</v>
      </c>
      <c r="L9983" t="s">
        <v>23</v>
      </c>
      <c r="M9983" t="s">
        <v>22557</v>
      </c>
      <c r="N9983" t="s">
        <v>481</v>
      </c>
      <c r="O9983" t="s">
        <v>22</v>
      </c>
      <c r="P9983">
        <v>95116</v>
      </c>
      <c r="Q9983">
        <v>4204</v>
      </c>
      <c r="R9983" t="s">
        <v>23</v>
      </c>
      <c r="S9983" s="1" t="s">
        <v>34218</v>
      </c>
    </row>
    <row r="9984" spans="1:19" x14ac:dyDescent="0.25">
      <c r="A9984">
        <v>101479481</v>
      </c>
      <c r="B9984" t="s">
        <v>22558</v>
      </c>
      <c r="C9984" t="s">
        <v>22559</v>
      </c>
      <c r="G9984" t="s">
        <v>22560</v>
      </c>
      <c r="H9984" t="s">
        <v>10387</v>
      </c>
      <c r="I9984" t="s">
        <v>22</v>
      </c>
      <c r="J9984">
        <v>94024</v>
      </c>
      <c r="L9984" t="s">
        <v>23</v>
      </c>
      <c r="M9984" t="s">
        <v>22560</v>
      </c>
      <c r="N9984" t="s">
        <v>10387</v>
      </c>
      <c r="O9984" t="s">
        <v>22</v>
      </c>
      <c r="P9984">
        <v>94024</v>
      </c>
      <c r="R9984" t="s">
        <v>23</v>
      </c>
      <c r="S9984" s="1" t="s">
        <v>34218</v>
      </c>
    </row>
    <row r="9985" spans="1:19" x14ac:dyDescent="0.25">
      <c r="A9985">
        <v>101479513</v>
      </c>
      <c r="B9985" t="s">
        <v>22561</v>
      </c>
      <c r="C9985" t="s">
        <v>6295</v>
      </c>
      <c r="G9985" t="s">
        <v>22562</v>
      </c>
      <c r="H9985" t="s">
        <v>130</v>
      </c>
      <c r="I9985" t="s">
        <v>22</v>
      </c>
      <c r="J9985">
        <v>94114</v>
      </c>
      <c r="K9985">
        <v>3134</v>
      </c>
      <c r="L9985" t="s">
        <v>23</v>
      </c>
      <c r="M9985" t="s">
        <v>22562</v>
      </c>
      <c r="N9985" t="s">
        <v>130</v>
      </c>
      <c r="O9985" t="s">
        <v>22</v>
      </c>
      <c r="P9985">
        <v>94114</v>
      </c>
      <c r="Q9985">
        <v>3134</v>
      </c>
      <c r="R9985" t="s">
        <v>23</v>
      </c>
      <c r="S9985" s="1" t="s">
        <v>34218</v>
      </c>
    </row>
    <row r="9986" spans="1:19" x14ac:dyDescent="0.25">
      <c r="A9986">
        <v>101479688</v>
      </c>
      <c r="B9986" t="s">
        <v>22563</v>
      </c>
      <c r="C9986" t="s">
        <v>12498</v>
      </c>
      <c r="G9986" t="s">
        <v>22564</v>
      </c>
      <c r="H9986" t="s">
        <v>22565</v>
      </c>
      <c r="I9986" t="s">
        <v>22</v>
      </c>
      <c r="J9986">
        <v>92694</v>
      </c>
      <c r="K9986">
        <v>1800</v>
      </c>
      <c r="L9986" t="s">
        <v>23</v>
      </c>
      <c r="M9986" t="s">
        <v>22564</v>
      </c>
      <c r="N9986" t="s">
        <v>22565</v>
      </c>
      <c r="O9986" t="s">
        <v>22</v>
      </c>
      <c r="P9986">
        <v>92694</v>
      </c>
      <c r="Q9986">
        <v>1800</v>
      </c>
      <c r="R9986" t="s">
        <v>23</v>
      </c>
      <c r="S9986" s="1" t="s">
        <v>34218</v>
      </c>
    </row>
    <row r="9987" spans="1:19" x14ac:dyDescent="0.25">
      <c r="A9987">
        <v>100814264</v>
      </c>
      <c r="B9987" t="s">
        <v>18722</v>
      </c>
      <c r="C9987" t="s">
        <v>2892</v>
      </c>
      <c r="G9987" t="s">
        <v>22566</v>
      </c>
      <c r="H9987" t="s">
        <v>1452</v>
      </c>
      <c r="I9987" t="s">
        <v>43</v>
      </c>
      <c r="J9987">
        <v>97405</v>
      </c>
      <c r="K9987">
        <v>3469</v>
      </c>
      <c r="L9987" t="s">
        <v>23</v>
      </c>
      <c r="M9987" t="s">
        <v>22566</v>
      </c>
      <c r="N9987" t="s">
        <v>1452</v>
      </c>
      <c r="O9987" t="s">
        <v>43</v>
      </c>
      <c r="P9987">
        <v>97405</v>
      </c>
      <c r="Q9987">
        <v>3469</v>
      </c>
      <c r="R9987" t="s">
        <v>23</v>
      </c>
      <c r="S9987" s="1" t="s">
        <v>34218</v>
      </c>
    </row>
    <row r="9988" spans="1:19" x14ac:dyDescent="0.25">
      <c r="A9988">
        <v>101300551</v>
      </c>
      <c r="B9988" t="s">
        <v>22567</v>
      </c>
      <c r="C9988" t="s">
        <v>123</v>
      </c>
      <c r="G9988" t="s">
        <v>22568</v>
      </c>
      <c r="H9988" t="s">
        <v>1787</v>
      </c>
      <c r="I9988" t="s">
        <v>702</v>
      </c>
      <c r="J9988">
        <v>89129</v>
      </c>
      <c r="K9988">
        <v>6216</v>
      </c>
      <c r="L9988" t="s">
        <v>23</v>
      </c>
      <c r="M9988" t="s">
        <v>22568</v>
      </c>
      <c r="N9988" t="s">
        <v>1787</v>
      </c>
      <c r="O9988" t="s">
        <v>702</v>
      </c>
      <c r="P9988">
        <v>89129</v>
      </c>
      <c r="Q9988">
        <v>6216</v>
      </c>
      <c r="R9988" t="s">
        <v>23</v>
      </c>
      <c r="S9988" s="1" t="s">
        <v>34218</v>
      </c>
    </row>
    <row r="9989" spans="1:19" x14ac:dyDescent="0.25">
      <c r="A9989">
        <v>101332676</v>
      </c>
      <c r="B9989" t="s">
        <v>2074</v>
      </c>
      <c r="C9989" t="s">
        <v>575</v>
      </c>
      <c r="G9989" t="s">
        <v>22569</v>
      </c>
      <c r="H9989" t="s">
        <v>6422</v>
      </c>
      <c r="I9989" t="s">
        <v>100</v>
      </c>
      <c r="J9989">
        <v>54901</v>
      </c>
      <c r="K9989">
        <v>1503</v>
      </c>
      <c r="L9989" t="s">
        <v>23</v>
      </c>
      <c r="M9989" t="s">
        <v>22569</v>
      </c>
      <c r="N9989" t="s">
        <v>6422</v>
      </c>
      <c r="O9989" t="s">
        <v>100</v>
      </c>
      <c r="P9989">
        <v>54901</v>
      </c>
      <c r="Q9989">
        <v>1503</v>
      </c>
      <c r="R9989" t="s">
        <v>23</v>
      </c>
      <c r="S9989" s="1" t="s">
        <v>34218</v>
      </c>
    </row>
    <row r="9990" spans="1:19" x14ac:dyDescent="0.25">
      <c r="A9990">
        <v>101457542</v>
      </c>
      <c r="B9990" t="s">
        <v>22570</v>
      </c>
      <c r="C9990" t="s">
        <v>49</v>
      </c>
      <c r="H9990" t="s">
        <v>22571</v>
      </c>
      <c r="I9990" t="s">
        <v>84</v>
      </c>
      <c r="J9990">
        <v>98371</v>
      </c>
      <c r="L9990" t="s">
        <v>23</v>
      </c>
      <c r="N9990" t="s">
        <v>22571</v>
      </c>
      <c r="O9990" t="s">
        <v>84</v>
      </c>
      <c r="P9990">
        <v>98371</v>
      </c>
      <c r="R9990" t="s">
        <v>23</v>
      </c>
      <c r="S9990" s="1" t="s">
        <v>34218</v>
      </c>
    </row>
    <row r="9991" spans="1:19" x14ac:dyDescent="0.25">
      <c r="A9991">
        <v>101469286</v>
      </c>
      <c r="B9991" t="s">
        <v>22572</v>
      </c>
      <c r="C9991" t="s">
        <v>1859</v>
      </c>
      <c r="H9991" t="s">
        <v>75</v>
      </c>
      <c r="I9991" t="s">
        <v>22</v>
      </c>
      <c r="J9991">
        <v>94558</v>
      </c>
      <c r="L9991" t="s">
        <v>23</v>
      </c>
      <c r="N9991" t="s">
        <v>75</v>
      </c>
      <c r="O9991" t="s">
        <v>22</v>
      </c>
      <c r="P9991">
        <v>94558</v>
      </c>
      <c r="R9991" t="s">
        <v>23</v>
      </c>
      <c r="S9991" s="1" t="s">
        <v>34218</v>
      </c>
    </row>
    <row r="9992" spans="1:19" x14ac:dyDescent="0.25">
      <c r="A9992">
        <v>101096614</v>
      </c>
      <c r="B9992" t="s">
        <v>8636</v>
      </c>
      <c r="C9992" t="s">
        <v>12345</v>
      </c>
      <c r="G9992" t="s">
        <v>22573</v>
      </c>
      <c r="H9992" t="s">
        <v>240</v>
      </c>
      <c r="I9992" t="s">
        <v>241</v>
      </c>
      <c r="J9992">
        <v>66207</v>
      </c>
      <c r="K9992">
        <v>3234</v>
      </c>
      <c r="L9992" t="s">
        <v>23</v>
      </c>
      <c r="M9992" t="s">
        <v>22573</v>
      </c>
      <c r="N9992" t="s">
        <v>240</v>
      </c>
      <c r="O9992" t="s">
        <v>241</v>
      </c>
      <c r="P9992">
        <v>66207</v>
      </c>
      <c r="Q9992">
        <v>3234</v>
      </c>
      <c r="R9992" t="s">
        <v>23</v>
      </c>
      <c r="S9992" s="1" t="s">
        <v>34218</v>
      </c>
    </row>
    <row r="9993" spans="1:19" x14ac:dyDescent="0.25">
      <c r="A9993">
        <v>101224195</v>
      </c>
      <c r="B9993" t="s">
        <v>744</v>
      </c>
      <c r="C9993" t="s">
        <v>907</v>
      </c>
      <c r="G9993" t="s">
        <v>22574</v>
      </c>
      <c r="H9993" t="s">
        <v>21981</v>
      </c>
      <c r="I9993" t="s">
        <v>236</v>
      </c>
      <c r="J9993">
        <v>1741</v>
      </c>
      <c r="K9993">
        <v>1022</v>
      </c>
      <c r="L9993" t="s">
        <v>23</v>
      </c>
      <c r="M9993" t="s">
        <v>22574</v>
      </c>
      <c r="N9993" t="s">
        <v>21981</v>
      </c>
      <c r="O9993" t="s">
        <v>236</v>
      </c>
      <c r="P9993">
        <v>1741</v>
      </c>
      <c r="Q9993">
        <v>1022</v>
      </c>
      <c r="R9993" t="s">
        <v>23</v>
      </c>
      <c r="S9993" s="1" t="s">
        <v>34218</v>
      </c>
    </row>
    <row r="9994" spans="1:19" x14ac:dyDescent="0.25">
      <c r="A9994">
        <v>100690179</v>
      </c>
      <c r="B9994" t="s">
        <v>22575</v>
      </c>
      <c r="C9994" t="s">
        <v>1533</v>
      </c>
      <c r="G9994" t="s">
        <v>22576</v>
      </c>
      <c r="H9994" t="s">
        <v>3485</v>
      </c>
      <c r="I9994" t="s">
        <v>38</v>
      </c>
      <c r="J9994">
        <v>78636</v>
      </c>
      <c r="K9994">
        <v>6</v>
      </c>
      <c r="L9994" t="s">
        <v>23</v>
      </c>
      <c r="M9994" t="s">
        <v>22576</v>
      </c>
      <c r="N9994" t="s">
        <v>3485</v>
      </c>
      <c r="O9994" t="s">
        <v>38</v>
      </c>
      <c r="P9994">
        <v>78636</v>
      </c>
      <c r="Q9994">
        <v>6</v>
      </c>
      <c r="R9994" t="s">
        <v>23</v>
      </c>
      <c r="S9994" s="1" t="s">
        <v>34218</v>
      </c>
    </row>
    <row r="9995" spans="1:19" x14ac:dyDescent="0.25">
      <c r="A9995">
        <v>101261817</v>
      </c>
      <c r="B9995" t="s">
        <v>3843</v>
      </c>
      <c r="C9995" t="s">
        <v>803</v>
      </c>
      <c r="G9995" t="s">
        <v>22577</v>
      </c>
      <c r="H9995" t="s">
        <v>3466</v>
      </c>
      <c r="I9995" t="s">
        <v>255</v>
      </c>
      <c r="J9995">
        <v>23229</v>
      </c>
      <c r="K9995">
        <v>5247</v>
      </c>
      <c r="L9995" t="s">
        <v>23</v>
      </c>
      <c r="M9995" t="s">
        <v>22577</v>
      </c>
      <c r="N9995" t="s">
        <v>3466</v>
      </c>
      <c r="O9995" t="s">
        <v>255</v>
      </c>
      <c r="P9995">
        <v>23229</v>
      </c>
      <c r="Q9995">
        <v>5247</v>
      </c>
      <c r="R9995" t="s">
        <v>23</v>
      </c>
      <c r="S9995" s="1" t="s">
        <v>34218</v>
      </c>
    </row>
    <row r="9996" spans="1:19" x14ac:dyDescent="0.25">
      <c r="A9996">
        <v>101467353</v>
      </c>
      <c r="B9996" t="s">
        <v>22578</v>
      </c>
      <c r="C9996" t="s">
        <v>22579</v>
      </c>
      <c r="G9996" t="s">
        <v>22580</v>
      </c>
      <c r="H9996" t="s">
        <v>5940</v>
      </c>
      <c r="I9996" t="s">
        <v>52</v>
      </c>
      <c r="J9996">
        <v>32605</v>
      </c>
      <c r="K9996">
        <v>2820</v>
      </c>
      <c r="L9996" t="s">
        <v>23</v>
      </c>
      <c r="M9996" t="s">
        <v>22580</v>
      </c>
      <c r="N9996" t="s">
        <v>5940</v>
      </c>
      <c r="O9996" t="s">
        <v>52</v>
      </c>
      <c r="P9996">
        <v>32605</v>
      </c>
      <c r="Q9996">
        <v>2820</v>
      </c>
      <c r="R9996" t="s">
        <v>23</v>
      </c>
      <c r="S9996" s="1" t="s">
        <v>34218</v>
      </c>
    </row>
    <row r="9997" spans="1:19" x14ac:dyDescent="0.25">
      <c r="A9997">
        <v>101466634</v>
      </c>
      <c r="B9997" t="s">
        <v>22581</v>
      </c>
      <c r="C9997" t="s">
        <v>10294</v>
      </c>
      <c r="G9997" t="s">
        <v>22582</v>
      </c>
      <c r="H9997" t="s">
        <v>2100</v>
      </c>
      <c r="I9997" t="s">
        <v>52</v>
      </c>
      <c r="J9997">
        <v>33322</v>
      </c>
      <c r="K9997">
        <v>3745</v>
      </c>
      <c r="L9997" t="s">
        <v>23</v>
      </c>
      <c r="M9997" t="s">
        <v>22582</v>
      </c>
      <c r="N9997" t="s">
        <v>2100</v>
      </c>
      <c r="O9997" t="s">
        <v>52</v>
      </c>
      <c r="P9997">
        <v>33322</v>
      </c>
      <c r="Q9997">
        <v>3745</v>
      </c>
      <c r="R9997" t="s">
        <v>23</v>
      </c>
      <c r="S9997" s="1" t="s">
        <v>34218</v>
      </c>
    </row>
    <row r="9998" spans="1:19" x14ac:dyDescent="0.25">
      <c r="A9998">
        <v>101331981</v>
      </c>
      <c r="B9998" t="s">
        <v>9646</v>
      </c>
      <c r="C9998" t="s">
        <v>1069</v>
      </c>
      <c r="G9998" t="s">
        <v>22583</v>
      </c>
      <c r="H9998" t="s">
        <v>299</v>
      </c>
      <c r="I9998" t="s">
        <v>22</v>
      </c>
      <c r="J9998">
        <v>90067</v>
      </c>
      <c r="K9998">
        <v>3323</v>
      </c>
      <c r="L9998" t="s">
        <v>23</v>
      </c>
      <c r="M9998" t="s">
        <v>22583</v>
      </c>
      <c r="N9998" t="s">
        <v>299</v>
      </c>
      <c r="O9998" t="s">
        <v>22</v>
      </c>
      <c r="P9998">
        <v>90067</v>
      </c>
      <c r="Q9998">
        <v>3323</v>
      </c>
      <c r="R9998" t="s">
        <v>23</v>
      </c>
      <c r="S9998" s="1" t="s">
        <v>34218</v>
      </c>
    </row>
    <row r="9999" spans="1:19" x14ac:dyDescent="0.25">
      <c r="A9999">
        <v>101258209</v>
      </c>
      <c r="B9999" t="s">
        <v>13475</v>
      </c>
      <c r="C9999" t="s">
        <v>1450</v>
      </c>
      <c r="G9999" t="s">
        <v>22584</v>
      </c>
      <c r="H9999" t="s">
        <v>10619</v>
      </c>
      <c r="I9999" t="s">
        <v>84</v>
      </c>
      <c r="J9999">
        <v>98155</v>
      </c>
      <c r="K9999">
        <v>5230</v>
      </c>
      <c r="L9999" t="s">
        <v>23</v>
      </c>
      <c r="M9999" t="s">
        <v>22584</v>
      </c>
      <c r="N9999" t="s">
        <v>10619</v>
      </c>
      <c r="O9999" t="s">
        <v>84</v>
      </c>
      <c r="P9999">
        <v>98155</v>
      </c>
      <c r="Q9999">
        <v>5230</v>
      </c>
      <c r="R9999" t="s">
        <v>23</v>
      </c>
      <c r="S9999" s="1" t="s">
        <v>34218</v>
      </c>
    </row>
    <row r="10000" spans="1:19" x14ac:dyDescent="0.25">
      <c r="A10000">
        <v>101441590</v>
      </c>
      <c r="B10000" t="s">
        <v>1330</v>
      </c>
      <c r="C10000" t="s">
        <v>1506</v>
      </c>
      <c r="G10000" t="s">
        <v>22585</v>
      </c>
      <c r="H10000" t="s">
        <v>2684</v>
      </c>
      <c r="I10000" t="s">
        <v>22</v>
      </c>
      <c r="J10000">
        <v>94912</v>
      </c>
      <c r="K10000">
        <v>442</v>
      </c>
      <c r="L10000" t="s">
        <v>23</v>
      </c>
      <c r="M10000" t="s">
        <v>22585</v>
      </c>
      <c r="N10000" t="s">
        <v>2684</v>
      </c>
      <c r="O10000" t="s">
        <v>22</v>
      </c>
      <c r="P10000">
        <v>94912</v>
      </c>
      <c r="Q10000">
        <v>442</v>
      </c>
      <c r="R10000" t="s">
        <v>23</v>
      </c>
      <c r="S10000" s="1" t="s">
        <v>34218</v>
      </c>
    </row>
    <row r="10001" spans="1:19" x14ac:dyDescent="0.25">
      <c r="A10001">
        <v>101371612</v>
      </c>
      <c r="B10001" t="s">
        <v>1800</v>
      </c>
      <c r="C10001" t="s">
        <v>4245</v>
      </c>
      <c r="G10001" t="s">
        <v>22586</v>
      </c>
      <c r="H10001" t="s">
        <v>130</v>
      </c>
      <c r="I10001" t="s">
        <v>22</v>
      </c>
      <c r="J10001">
        <v>94131</v>
      </c>
      <c r="K10001">
        <v>2020</v>
      </c>
      <c r="L10001" t="s">
        <v>23</v>
      </c>
      <c r="M10001" t="s">
        <v>22586</v>
      </c>
      <c r="N10001" t="s">
        <v>130</v>
      </c>
      <c r="O10001" t="s">
        <v>22</v>
      </c>
      <c r="P10001">
        <v>94131</v>
      </c>
      <c r="Q10001">
        <v>2020</v>
      </c>
      <c r="R10001" t="s">
        <v>23</v>
      </c>
      <c r="S10001" s="1" t="s">
        <v>34218</v>
      </c>
    </row>
    <row r="10002" spans="1:19" x14ac:dyDescent="0.25">
      <c r="A10002">
        <v>101466155</v>
      </c>
      <c r="B10002" t="s">
        <v>9348</v>
      </c>
      <c r="C10002" t="s">
        <v>123</v>
      </c>
      <c r="G10002" t="s">
        <v>22587</v>
      </c>
      <c r="H10002" t="s">
        <v>8215</v>
      </c>
      <c r="I10002" t="s">
        <v>22</v>
      </c>
      <c r="J10002">
        <v>92040</v>
      </c>
      <c r="K10002">
        <v>2037</v>
      </c>
      <c r="L10002" t="s">
        <v>23</v>
      </c>
      <c r="M10002" t="s">
        <v>22587</v>
      </c>
      <c r="N10002" t="s">
        <v>8215</v>
      </c>
      <c r="O10002" t="s">
        <v>22</v>
      </c>
      <c r="P10002">
        <v>92040</v>
      </c>
      <c r="Q10002">
        <v>2037</v>
      </c>
      <c r="R10002" t="s">
        <v>23</v>
      </c>
      <c r="S10002" s="1" t="s">
        <v>34218</v>
      </c>
    </row>
    <row r="10003" spans="1:19" x14ac:dyDescent="0.25">
      <c r="A10003">
        <v>100819836</v>
      </c>
      <c r="B10003" t="s">
        <v>1004</v>
      </c>
      <c r="C10003" t="s">
        <v>251</v>
      </c>
      <c r="F10003" t="str">
        <f>"8059682379"</f>
        <v>8059682379</v>
      </c>
      <c r="G10003" t="s">
        <v>22588</v>
      </c>
      <c r="H10003" t="s">
        <v>22589</v>
      </c>
      <c r="I10003" t="s">
        <v>22</v>
      </c>
      <c r="J10003">
        <v>93117</v>
      </c>
      <c r="K10003">
        <v>4904</v>
      </c>
      <c r="L10003" t="s">
        <v>23</v>
      </c>
      <c r="M10003" t="s">
        <v>22588</v>
      </c>
      <c r="N10003" t="s">
        <v>22589</v>
      </c>
      <c r="O10003" t="s">
        <v>22</v>
      </c>
      <c r="P10003">
        <v>93117</v>
      </c>
      <c r="Q10003">
        <v>4904</v>
      </c>
      <c r="R10003" t="s">
        <v>23</v>
      </c>
      <c r="S10003" s="1" t="s">
        <v>34218</v>
      </c>
    </row>
    <row r="10004" spans="1:19" x14ac:dyDescent="0.25">
      <c r="A10004">
        <v>101316475</v>
      </c>
      <c r="B10004" t="s">
        <v>5585</v>
      </c>
      <c r="C10004" t="s">
        <v>1327</v>
      </c>
      <c r="G10004" t="s">
        <v>22590</v>
      </c>
      <c r="H10004" t="s">
        <v>18883</v>
      </c>
      <c r="I10004" t="s">
        <v>43</v>
      </c>
      <c r="J10004">
        <v>97128</v>
      </c>
      <c r="K10004">
        <v>5792</v>
      </c>
      <c r="L10004" t="s">
        <v>23</v>
      </c>
      <c r="M10004" t="s">
        <v>22590</v>
      </c>
      <c r="N10004" t="s">
        <v>18883</v>
      </c>
      <c r="O10004" t="s">
        <v>43</v>
      </c>
      <c r="P10004">
        <v>97128</v>
      </c>
      <c r="Q10004">
        <v>5792</v>
      </c>
      <c r="R10004" t="s">
        <v>23</v>
      </c>
      <c r="S10004" s="1" t="s">
        <v>34218</v>
      </c>
    </row>
    <row r="10005" spans="1:19" x14ac:dyDescent="0.25">
      <c r="A10005">
        <v>101474329</v>
      </c>
      <c r="B10005" t="s">
        <v>7606</v>
      </c>
      <c r="C10005" t="s">
        <v>22591</v>
      </c>
      <c r="G10005" t="s">
        <v>22592</v>
      </c>
      <c r="H10005" t="s">
        <v>299</v>
      </c>
      <c r="I10005" t="s">
        <v>22</v>
      </c>
      <c r="J10005">
        <v>90036</v>
      </c>
      <c r="K10005">
        <v>2712</v>
      </c>
      <c r="L10005" t="s">
        <v>23</v>
      </c>
      <c r="M10005" t="s">
        <v>22592</v>
      </c>
      <c r="N10005" t="s">
        <v>299</v>
      </c>
      <c r="O10005" t="s">
        <v>22</v>
      </c>
      <c r="P10005">
        <v>90036</v>
      </c>
      <c r="Q10005">
        <v>2712</v>
      </c>
      <c r="R10005" t="s">
        <v>23</v>
      </c>
      <c r="S10005" s="1" t="s">
        <v>34218</v>
      </c>
    </row>
    <row r="10006" spans="1:19" x14ac:dyDescent="0.25">
      <c r="A10006">
        <v>101265568</v>
      </c>
      <c r="B10006" t="s">
        <v>1924</v>
      </c>
      <c r="C10006" t="s">
        <v>1669</v>
      </c>
      <c r="G10006" t="s">
        <v>22593</v>
      </c>
      <c r="H10006" t="s">
        <v>2910</v>
      </c>
      <c r="I10006" t="s">
        <v>52</v>
      </c>
      <c r="J10006">
        <v>34234</v>
      </c>
      <c r="K10006">
        <v>4008</v>
      </c>
      <c r="L10006" t="s">
        <v>23</v>
      </c>
      <c r="M10006" t="s">
        <v>22593</v>
      </c>
      <c r="N10006" t="s">
        <v>2910</v>
      </c>
      <c r="O10006" t="s">
        <v>52</v>
      </c>
      <c r="P10006">
        <v>34234</v>
      </c>
      <c r="Q10006">
        <v>4008</v>
      </c>
      <c r="R10006" t="s">
        <v>23</v>
      </c>
      <c r="S10006" s="1" t="s">
        <v>34218</v>
      </c>
    </row>
    <row r="10007" spans="1:19" x14ac:dyDescent="0.25">
      <c r="A10007">
        <v>100515694</v>
      </c>
      <c r="B10007" t="s">
        <v>22594</v>
      </c>
      <c r="C10007" t="s">
        <v>535</v>
      </c>
      <c r="G10007" t="s">
        <v>22595</v>
      </c>
      <c r="H10007" t="s">
        <v>650</v>
      </c>
      <c r="I10007" t="s">
        <v>22</v>
      </c>
      <c r="J10007">
        <v>95811</v>
      </c>
      <c r="K10007">
        <v>7105</v>
      </c>
      <c r="L10007" t="s">
        <v>23</v>
      </c>
      <c r="M10007" t="s">
        <v>22595</v>
      </c>
      <c r="N10007" t="s">
        <v>650</v>
      </c>
      <c r="O10007" t="s">
        <v>22</v>
      </c>
      <c r="P10007">
        <v>95811</v>
      </c>
      <c r="Q10007">
        <v>7105</v>
      </c>
      <c r="R10007" t="s">
        <v>23</v>
      </c>
      <c r="S10007" s="1" t="s">
        <v>34218</v>
      </c>
    </row>
    <row r="10008" spans="1:19" x14ac:dyDescent="0.25">
      <c r="A10008">
        <v>101439713</v>
      </c>
      <c r="B10008" t="s">
        <v>22596</v>
      </c>
      <c r="C10008" t="s">
        <v>22597</v>
      </c>
      <c r="G10008" t="s">
        <v>22598</v>
      </c>
      <c r="H10008" t="s">
        <v>1614</v>
      </c>
      <c r="I10008" t="s">
        <v>22</v>
      </c>
      <c r="J10008">
        <v>92058</v>
      </c>
      <c r="K10008">
        <v>2769</v>
      </c>
      <c r="L10008" t="s">
        <v>23</v>
      </c>
      <c r="M10008" t="s">
        <v>22598</v>
      </c>
      <c r="N10008" t="s">
        <v>1614</v>
      </c>
      <c r="O10008" t="s">
        <v>22</v>
      </c>
      <c r="P10008">
        <v>92058</v>
      </c>
      <c r="Q10008">
        <v>2769</v>
      </c>
      <c r="R10008" t="s">
        <v>23</v>
      </c>
      <c r="S10008" s="1" t="s">
        <v>34218</v>
      </c>
    </row>
    <row r="10009" spans="1:19" x14ac:dyDescent="0.25">
      <c r="A10009">
        <v>101450320</v>
      </c>
      <c r="B10009" t="s">
        <v>3992</v>
      </c>
      <c r="C10009" t="s">
        <v>2127</v>
      </c>
      <c r="G10009" t="s">
        <v>22599</v>
      </c>
      <c r="H10009" t="s">
        <v>3466</v>
      </c>
      <c r="I10009" t="s">
        <v>255</v>
      </c>
      <c r="J10009">
        <v>23235</v>
      </c>
      <c r="K10009">
        <v>2142</v>
      </c>
      <c r="L10009" t="s">
        <v>23</v>
      </c>
      <c r="M10009" t="s">
        <v>22599</v>
      </c>
      <c r="N10009" t="s">
        <v>3466</v>
      </c>
      <c r="O10009" t="s">
        <v>255</v>
      </c>
      <c r="P10009">
        <v>23235</v>
      </c>
      <c r="Q10009">
        <v>2142</v>
      </c>
      <c r="R10009" t="s">
        <v>23</v>
      </c>
      <c r="S10009" s="1" t="s">
        <v>34218</v>
      </c>
    </row>
    <row r="10010" spans="1:19" x14ac:dyDescent="0.25">
      <c r="A10010">
        <v>101249265</v>
      </c>
      <c r="B10010" t="s">
        <v>22600</v>
      </c>
      <c r="C10010" t="s">
        <v>1342</v>
      </c>
      <c r="G10010" t="s">
        <v>22601</v>
      </c>
      <c r="H10010" t="s">
        <v>465</v>
      </c>
      <c r="I10010" t="s">
        <v>365</v>
      </c>
      <c r="J10010">
        <v>86046</v>
      </c>
      <c r="K10010">
        <v>8866</v>
      </c>
      <c r="L10010" t="s">
        <v>23</v>
      </c>
      <c r="M10010" t="s">
        <v>22601</v>
      </c>
      <c r="N10010" t="s">
        <v>465</v>
      </c>
      <c r="O10010" t="s">
        <v>365</v>
      </c>
      <c r="P10010">
        <v>86046</v>
      </c>
      <c r="Q10010">
        <v>8866</v>
      </c>
      <c r="R10010" t="s">
        <v>23</v>
      </c>
      <c r="S10010" s="1" t="s">
        <v>34218</v>
      </c>
    </row>
    <row r="10011" spans="1:19" x14ac:dyDescent="0.25">
      <c r="A10011">
        <v>101211210</v>
      </c>
      <c r="B10011" t="s">
        <v>22602</v>
      </c>
      <c r="C10011" t="s">
        <v>803</v>
      </c>
      <c r="G10011" t="s">
        <v>22603</v>
      </c>
      <c r="H10011" t="s">
        <v>22604</v>
      </c>
      <c r="I10011" t="s">
        <v>140</v>
      </c>
      <c r="J10011">
        <v>48640</v>
      </c>
      <c r="K10011">
        <v>2155</v>
      </c>
      <c r="L10011" t="s">
        <v>23</v>
      </c>
      <c r="M10011" t="s">
        <v>22603</v>
      </c>
      <c r="N10011" t="s">
        <v>22604</v>
      </c>
      <c r="O10011" t="s">
        <v>140</v>
      </c>
      <c r="P10011">
        <v>48640</v>
      </c>
      <c r="Q10011">
        <v>2155</v>
      </c>
      <c r="R10011" t="s">
        <v>23</v>
      </c>
      <c r="S10011" s="1" t="s">
        <v>34218</v>
      </c>
    </row>
    <row r="10012" spans="1:19" x14ac:dyDescent="0.25">
      <c r="A10012">
        <v>100788273</v>
      </c>
      <c r="B10012" t="s">
        <v>216</v>
      </c>
      <c r="C10012" t="s">
        <v>4245</v>
      </c>
      <c r="G10012" t="s">
        <v>22605</v>
      </c>
      <c r="H10012" t="s">
        <v>17003</v>
      </c>
      <c r="I10012" t="s">
        <v>446</v>
      </c>
      <c r="J10012">
        <v>28787</v>
      </c>
      <c r="K10012">
        <v>9417</v>
      </c>
      <c r="L10012" t="s">
        <v>23</v>
      </c>
      <c r="M10012" t="s">
        <v>22605</v>
      </c>
      <c r="N10012" t="s">
        <v>17003</v>
      </c>
      <c r="O10012" t="s">
        <v>446</v>
      </c>
      <c r="P10012">
        <v>28787</v>
      </c>
      <c r="Q10012">
        <v>9417</v>
      </c>
      <c r="R10012" t="s">
        <v>23</v>
      </c>
      <c r="S10012" s="1" t="s">
        <v>34218</v>
      </c>
    </row>
    <row r="10013" spans="1:19" x14ac:dyDescent="0.25">
      <c r="A10013">
        <v>101109092</v>
      </c>
      <c r="B10013" t="s">
        <v>22606</v>
      </c>
      <c r="C10013" t="s">
        <v>15328</v>
      </c>
      <c r="G10013" t="s">
        <v>22607</v>
      </c>
      <c r="H10013" t="s">
        <v>177</v>
      </c>
      <c r="I10013" t="s">
        <v>43</v>
      </c>
      <c r="J10013">
        <v>97520</v>
      </c>
      <c r="K10013">
        <v>1446</v>
      </c>
      <c r="L10013" t="s">
        <v>23</v>
      </c>
      <c r="M10013" t="s">
        <v>22607</v>
      </c>
      <c r="N10013" t="s">
        <v>177</v>
      </c>
      <c r="O10013" t="s">
        <v>43</v>
      </c>
      <c r="P10013">
        <v>97520</v>
      </c>
      <c r="Q10013">
        <v>1446</v>
      </c>
      <c r="R10013" t="s">
        <v>23</v>
      </c>
      <c r="S10013" s="1" t="s">
        <v>34218</v>
      </c>
    </row>
    <row r="10014" spans="1:19" x14ac:dyDescent="0.25">
      <c r="A10014">
        <v>101474446</v>
      </c>
      <c r="B10014" t="s">
        <v>22608</v>
      </c>
      <c r="C10014" t="s">
        <v>225</v>
      </c>
      <c r="G10014" t="s">
        <v>22609</v>
      </c>
      <c r="H10014" t="s">
        <v>746</v>
      </c>
      <c r="I10014" t="s">
        <v>236</v>
      </c>
      <c r="J10014">
        <v>1108</v>
      </c>
      <c r="K10014">
        <v>2626</v>
      </c>
      <c r="L10014" t="s">
        <v>23</v>
      </c>
      <c r="M10014" t="s">
        <v>22609</v>
      </c>
      <c r="N10014" t="s">
        <v>746</v>
      </c>
      <c r="O10014" t="s">
        <v>236</v>
      </c>
      <c r="P10014">
        <v>1108</v>
      </c>
      <c r="Q10014">
        <v>2626</v>
      </c>
      <c r="R10014" t="s">
        <v>23</v>
      </c>
      <c r="S10014" s="1" t="s">
        <v>34218</v>
      </c>
    </row>
    <row r="10015" spans="1:19" x14ac:dyDescent="0.25">
      <c r="A10015">
        <v>100624977</v>
      </c>
      <c r="B10015" t="s">
        <v>416</v>
      </c>
      <c r="C10015" t="s">
        <v>2248</v>
      </c>
      <c r="G10015" t="s">
        <v>22610</v>
      </c>
      <c r="H10015" t="s">
        <v>139</v>
      </c>
      <c r="I10015" t="s">
        <v>28</v>
      </c>
      <c r="J10015" t="s">
        <v>22611</v>
      </c>
      <c r="K10015">
        <v>8328</v>
      </c>
      <c r="L10015" t="s">
        <v>23</v>
      </c>
      <c r="M10015" t="s">
        <v>22610</v>
      </c>
      <c r="N10015" t="s">
        <v>139</v>
      </c>
      <c r="O10015" t="s">
        <v>28</v>
      </c>
      <c r="P10015" t="s">
        <v>22611</v>
      </c>
      <c r="Q10015">
        <v>8328</v>
      </c>
      <c r="R10015" t="s">
        <v>23</v>
      </c>
      <c r="S10015" s="1" t="s">
        <v>34218</v>
      </c>
    </row>
    <row r="10016" spans="1:19" x14ac:dyDescent="0.25">
      <c r="A10016">
        <v>101182260</v>
      </c>
      <c r="B10016" t="s">
        <v>21371</v>
      </c>
      <c r="C10016" t="s">
        <v>505</v>
      </c>
      <c r="G10016" t="s">
        <v>22612</v>
      </c>
      <c r="H10016" t="s">
        <v>1431</v>
      </c>
      <c r="I10016" t="s">
        <v>639</v>
      </c>
      <c r="J10016" t="s">
        <v>22613</v>
      </c>
      <c r="K10016">
        <v>4887</v>
      </c>
      <c r="L10016" t="s">
        <v>23</v>
      </c>
      <c r="M10016" t="s">
        <v>22612</v>
      </c>
      <c r="N10016" t="s">
        <v>1431</v>
      </c>
      <c r="O10016" t="s">
        <v>639</v>
      </c>
      <c r="P10016" t="s">
        <v>22613</v>
      </c>
      <c r="Q10016">
        <v>4887</v>
      </c>
      <c r="R10016" t="s">
        <v>23</v>
      </c>
      <c r="S10016" s="1" t="s">
        <v>34218</v>
      </c>
    </row>
    <row r="10017" spans="1:19" x14ac:dyDescent="0.25">
      <c r="A10017">
        <v>101337408</v>
      </c>
      <c r="B10017" t="s">
        <v>162</v>
      </c>
      <c r="C10017" t="s">
        <v>11294</v>
      </c>
      <c r="G10017" t="s">
        <v>22614</v>
      </c>
      <c r="H10017" t="s">
        <v>8059</v>
      </c>
      <c r="I10017" t="s">
        <v>100</v>
      </c>
      <c r="J10017" t="s">
        <v>22615</v>
      </c>
      <c r="K10017">
        <v>7204</v>
      </c>
      <c r="L10017" t="s">
        <v>23</v>
      </c>
      <c r="M10017" t="s">
        <v>22614</v>
      </c>
      <c r="N10017" t="s">
        <v>8059</v>
      </c>
      <c r="O10017" t="s">
        <v>100</v>
      </c>
      <c r="P10017" t="s">
        <v>22615</v>
      </c>
      <c r="Q10017">
        <v>7204</v>
      </c>
      <c r="R10017" t="s">
        <v>23</v>
      </c>
      <c r="S10017" s="1" t="s">
        <v>34218</v>
      </c>
    </row>
    <row r="10018" spans="1:19" x14ac:dyDescent="0.25">
      <c r="A10018">
        <v>101322453</v>
      </c>
      <c r="B10018" t="s">
        <v>1986</v>
      </c>
      <c r="C10018" t="s">
        <v>1124</v>
      </c>
      <c r="G10018" t="s">
        <v>22616</v>
      </c>
      <c r="H10018" t="s">
        <v>22617</v>
      </c>
      <c r="I10018" t="s">
        <v>100</v>
      </c>
      <c r="J10018" t="s">
        <v>22618</v>
      </c>
      <c r="K10018">
        <v>9485</v>
      </c>
      <c r="L10018" t="s">
        <v>23</v>
      </c>
      <c r="M10018" t="s">
        <v>22616</v>
      </c>
      <c r="N10018" t="s">
        <v>22617</v>
      </c>
      <c r="O10018" t="s">
        <v>100</v>
      </c>
      <c r="P10018" t="s">
        <v>22618</v>
      </c>
      <c r="Q10018">
        <v>9485</v>
      </c>
      <c r="R10018" t="s">
        <v>23</v>
      </c>
      <c r="S10018" s="1" t="s">
        <v>34218</v>
      </c>
    </row>
    <row r="10019" spans="1:19" x14ac:dyDescent="0.25">
      <c r="A10019">
        <v>101359352</v>
      </c>
      <c r="B10019" t="s">
        <v>2080</v>
      </c>
      <c r="C10019" t="s">
        <v>49</v>
      </c>
      <c r="G10019" t="s">
        <v>22619</v>
      </c>
      <c r="H10019" t="s">
        <v>21160</v>
      </c>
      <c r="I10019" t="s">
        <v>22</v>
      </c>
      <c r="J10019" t="s">
        <v>22620</v>
      </c>
      <c r="K10019">
        <v>1538</v>
      </c>
      <c r="L10019" t="s">
        <v>23</v>
      </c>
      <c r="M10019" t="s">
        <v>22619</v>
      </c>
      <c r="N10019" t="s">
        <v>21160</v>
      </c>
      <c r="O10019" t="s">
        <v>22</v>
      </c>
      <c r="P10019" t="s">
        <v>22620</v>
      </c>
      <c r="Q10019">
        <v>1538</v>
      </c>
      <c r="R10019" t="s">
        <v>23</v>
      </c>
      <c r="S10019" s="1" t="s">
        <v>34218</v>
      </c>
    </row>
    <row r="10020" spans="1:19" x14ac:dyDescent="0.25">
      <c r="A10020">
        <v>101405423</v>
      </c>
      <c r="B10020" t="s">
        <v>22621</v>
      </c>
      <c r="C10020" t="s">
        <v>30</v>
      </c>
      <c r="G10020" t="s">
        <v>22622</v>
      </c>
      <c r="H10020" t="s">
        <v>4186</v>
      </c>
      <c r="I10020" t="s">
        <v>84</v>
      </c>
      <c r="J10020" t="s">
        <v>22623</v>
      </c>
      <c r="K10020">
        <v>3748</v>
      </c>
      <c r="L10020" t="s">
        <v>23</v>
      </c>
      <c r="M10020" t="s">
        <v>22622</v>
      </c>
      <c r="N10020" t="s">
        <v>4186</v>
      </c>
      <c r="O10020" t="s">
        <v>84</v>
      </c>
      <c r="P10020" t="s">
        <v>22623</v>
      </c>
      <c r="Q10020">
        <v>3748</v>
      </c>
      <c r="R10020" t="s">
        <v>23</v>
      </c>
      <c r="S10020" s="1" t="s">
        <v>34218</v>
      </c>
    </row>
    <row r="10021" spans="1:19" x14ac:dyDescent="0.25">
      <c r="A10021">
        <v>101113715</v>
      </c>
      <c r="B10021" t="s">
        <v>3992</v>
      </c>
      <c r="C10021" t="s">
        <v>286</v>
      </c>
      <c r="G10021" t="s">
        <v>21924</v>
      </c>
      <c r="H10021" t="s">
        <v>591</v>
      </c>
      <c r="I10021" t="s">
        <v>84</v>
      </c>
      <c r="J10021" t="s">
        <v>21925</v>
      </c>
      <c r="K10021">
        <v>1057</v>
      </c>
      <c r="L10021" t="s">
        <v>23</v>
      </c>
      <c r="M10021" t="s">
        <v>21924</v>
      </c>
      <c r="N10021" t="s">
        <v>591</v>
      </c>
      <c r="O10021" t="s">
        <v>84</v>
      </c>
      <c r="P10021" t="s">
        <v>21925</v>
      </c>
      <c r="Q10021">
        <v>1057</v>
      </c>
      <c r="R10021" t="s">
        <v>23</v>
      </c>
      <c r="S10021" s="1" t="s">
        <v>34218</v>
      </c>
    </row>
    <row r="10022" spans="1:19" x14ac:dyDescent="0.25">
      <c r="A10022">
        <v>101319806</v>
      </c>
      <c r="B10022" t="s">
        <v>8740</v>
      </c>
      <c r="C10022" t="s">
        <v>466</v>
      </c>
      <c r="G10022" t="s">
        <v>22624</v>
      </c>
      <c r="H10022" t="s">
        <v>2103</v>
      </c>
      <c r="I10022" t="s">
        <v>161</v>
      </c>
      <c r="J10022" t="s">
        <v>22625</v>
      </c>
      <c r="K10022">
        <v>4806</v>
      </c>
      <c r="L10022" t="s">
        <v>23</v>
      </c>
      <c r="M10022" t="s">
        <v>22624</v>
      </c>
      <c r="N10022" t="s">
        <v>2103</v>
      </c>
      <c r="O10022" t="s">
        <v>161</v>
      </c>
      <c r="P10022" t="s">
        <v>22625</v>
      </c>
      <c r="Q10022">
        <v>4806</v>
      </c>
      <c r="R10022" t="s">
        <v>23</v>
      </c>
      <c r="S10022" s="1" t="s">
        <v>34218</v>
      </c>
    </row>
    <row r="10023" spans="1:19" x14ac:dyDescent="0.25">
      <c r="A10023">
        <v>101406352</v>
      </c>
      <c r="B10023" t="s">
        <v>1581</v>
      </c>
      <c r="C10023" t="s">
        <v>200</v>
      </c>
      <c r="G10023" t="s">
        <v>22626</v>
      </c>
      <c r="H10023" t="s">
        <v>3808</v>
      </c>
      <c r="I10023" t="s">
        <v>22</v>
      </c>
      <c r="J10023" t="s">
        <v>22627</v>
      </c>
      <c r="K10023">
        <v>3757</v>
      </c>
      <c r="L10023" t="s">
        <v>23</v>
      </c>
      <c r="M10023" t="s">
        <v>22626</v>
      </c>
      <c r="N10023" t="s">
        <v>3808</v>
      </c>
      <c r="O10023" t="s">
        <v>22</v>
      </c>
      <c r="P10023" t="s">
        <v>22627</v>
      </c>
      <c r="Q10023">
        <v>3757</v>
      </c>
      <c r="R10023" t="s">
        <v>23</v>
      </c>
      <c r="S10023" s="1" t="s">
        <v>34218</v>
      </c>
    </row>
    <row r="10024" spans="1:19" x14ac:dyDescent="0.25">
      <c r="A10024">
        <v>101422364</v>
      </c>
      <c r="B10024" t="s">
        <v>1800</v>
      </c>
      <c r="C10024" t="s">
        <v>309</v>
      </c>
      <c r="G10024" t="s">
        <v>22628</v>
      </c>
      <c r="H10024" t="s">
        <v>2175</v>
      </c>
      <c r="I10024" t="s">
        <v>71</v>
      </c>
      <c r="J10024" t="s">
        <v>22629</v>
      </c>
      <c r="K10024">
        <v>3568</v>
      </c>
      <c r="L10024" t="s">
        <v>23</v>
      </c>
      <c r="M10024" t="s">
        <v>22628</v>
      </c>
      <c r="N10024" t="s">
        <v>2175</v>
      </c>
      <c r="O10024" t="s">
        <v>71</v>
      </c>
      <c r="P10024" t="s">
        <v>22629</v>
      </c>
      <c r="Q10024">
        <v>3568</v>
      </c>
      <c r="R10024" t="s">
        <v>23</v>
      </c>
      <c r="S10024" s="1" t="s">
        <v>34218</v>
      </c>
    </row>
    <row r="10025" spans="1:19" x14ac:dyDescent="0.25">
      <c r="A10025">
        <v>101422225</v>
      </c>
      <c r="B10025" t="s">
        <v>22630</v>
      </c>
      <c r="C10025" t="s">
        <v>6641</v>
      </c>
      <c r="G10025" t="s">
        <v>22631</v>
      </c>
      <c r="H10025" t="s">
        <v>3322</v>
      </c>
      <c r="I10025" t="s">
        <v>22</v>
      </c>
      <c r="J10025" t="s">
        <v>22632</v>
      </c>
      <c r="K10025">
        <v>9374</v>
      </c>
      <c r="L10025" t="s">
        <v>23</v>
      </c>
      <c r="M10025" t="s">
        <v>22631</v>
      </c>
      <c r="N10025" t="s">
        <v>3322</v>
      </c>
      <c r="O10025" t="s">
        <v>22</v>
      </c>
      <c r="P10025" t="s">
        <v>22632</v>
      </c>
      <c r="Q10025">
        <v>9374</v>
      </c>
      <c r="R10025" t="s">
        <v>23</v>
      </c>
      <c r="S10025" s="1" t="s">
        <v>34218</v>
      </c>
    </row>
    <row r="10026" spans="1:19" x14ac:dyDescent="0.25">
      <c r="A10026">
        <v>101443008</v>
      </c>
      <c r="B10026" t="s">
        <v>3462</v>
      </c>
      <c r="C10026" t="s">
        <v>1036</v>
      </c>
      <c r="G10026" t="s">
        <v>22633</v>
      </c>
      <c r="H10026" t="s">
        <v>336</v>
      </c>
      <c r="I10026" t="s">
        <v>255</v>
      </c>
      <c r="J10026">
        <v>22003</v>
      </c>
      <c r="K10026">
        <v>1849</v>
      </c>
      <c r="L10026" t="s">
        <v>23</v>
      </c>
      <c r="M10026" t="s">
        <v>22633</v>
      </c>
      <c r="N10026" t="s">
        <v>336</v>
      </c>
      <c r="O10026" t="s">
        <v>255</v>
      </c>
      <c r="P10026">
        <v>22003</v>
      </c>
      <c r="Q10026">
        <v>1849</v>
      </c>
      <c r="R10026" t="s">
        <v>23</v>
      </c>
      <c r="S10026" s="1" t="s">
        <v>34218</v>
      </c>
    </row>
    <row r="10027" spans="1:19" x14ac:dyDescent="0.25">
      <c r="A10027">
        <v>100680010</v>
      </c>
      <c r="B10027" t="s">
        <v>11801</v>
      </c>
      <c r="C10027" t="s">
        <v>22634</v>
      </c>
      <c r="G10027" t="s">
        <v>22635</v>
      </c>
      <c r="H10027" t="s">
        <v>22636</v>
      </c>
      <c r="I10027" t="s">
        <v>984</v>
      </c>
      <c r="J10027" t="s">
        <v>22637</v>
      </c>
      <c r="K10027">
        <v>4539</v>
      </c>
      <c r="L10027" t="s">
        <v>23</v>
      </c>
      <c r="M10027" t="s">
        <v>22635</v>
      </c>
      <c r="N10027" t="s">
        <v>22636</v>
      </c>
      <c r="O10027" t="s">
        <v>984</v>
      </c>
      <c r="P10027" t="s">
        <v>22637</v>
      </c>
      <c r="Q10027">
        <v>4539</v>
      </c>
      <c r="R10027" t="s">
        <v>23</v>
      </c>
      <c r="S10027" s="1" t="s">
        <v>34218</v>
      </c>
    </row>
    <row r="10028" spans="1:19" x14ac:dyDescent="0.25">
      <c r="A10028">
        <v>101123114</v>
      </c>
      <c r="B10028" t="s">
        <v>3583</v>
      </c>
      <c r="C10028" t="s">
        <v>22638</v>
      </c>
      <c r="G10028" t="s">
        <v>22639</v>
      </c>
      <c r="H10028" t="s">
        <v>22640</v>
      </c>
      <c r="I10028" t="s">
        <v>984</v>
      </c>
      <c r="J10028">
        <v>96765</v>
      </c>
      <c r="L10028" t="s">
        <v>23</v>
      </c>
      <c r="M10028" t="s">
        <v>22639</v>
      </c>
      <c r="N10028" t="s">
        <v>22640</v>
      </c>
      <c r="O10028" t="s">
        <v>984</v>
      </c>
      <c r="P10028">
        <v>96765</v>
      </c>
      <c r="R10028" t="s">
        <v>23</v>
      </c>
      <c r="S10028" s="1" t="s">
        <v>34218</v>
      </c>
    </row>
    <row r="10029" spans="1:19" x14ac:dyDescent="0.25">
      <c r="A10029">
        <v>101316524</v>
      </c>
      <c r="B10029" t="s">
        <v>1144</v>
      </c>
      <c r="C10029" t="s">
        <v>1671</v>
      </c>
      <c r="G10029" t="s">
        <v>22641</v>
      </c>
      <c r="H10029" t="s">
        <v>22642</v>
      </c>
      <c r="I10029" t="s">
        <v>250</v>
      </c>
      <c r="J10029">
        <v>8850</v>
      </c>
      <c r="K10029">
        <v>1548</v>
      </c>
      <c r="L10029" t="s">
        <v>23</v>
      </c>
      <c r="M10029" t="s">
        <v>22641</v>
      </c>
      <c r="N10029" t="s">
        <v>22642</v>
      </c>
      <c r="O10029" t="s">
        <v>250</v>
      </c>
      <c r="P10029">
        <v>8850</v>
      </c>
      <c r="Q10029">
        <v>1548</v>
      </c>
      <c r="R10029" t="s">
        <v>23</v>
      </c>
      <c r="S10029" s="1" t="s">
        <v>34218</v>
      </c>
    </row>
    <row r="10030" spans="1:19" x14ac:dyDescent="0.25">
      <c r="A10030">
        <v>100888212</v>
      </c>
      <c r="B10030" t="s">
        <v>9108</v>
      </c>
      <c r="C10030" t="s">
        <v>22643</v>
      </c>
      <c r="G10030" t="s">
        <v>22644</v>
      </c>
      <c r="H10030" t="s">
        <v>10043</v>
      </c>
      <c r="I10030" t="s">
        <v>2537</v>
      </c>
      <c r="J10030">
        <v>72209</v>
      </c>
      <c r="K10030">
        <v>5518</v>
      </c>
      <c r="L10030" t="s">
        <v>23</v>
      </c>
      <c r="M10030" t="s">
        <v>22644</v>
      </c>
      <c r="N10030" t="s">
        <v>10043</v>
      </c>
      <c r="O10030" t="s">
        <v>2537</v>
      </c>
      <c r="P10030">
        <v>72209</v>
      </c>
      <c r="Q10030">
        <v>5518</v>
      </c>
      <c r="R10030" t="s">
        <v>23</v>
      </c>
      <c r="S10030" s="1" t="s">
        <v>34218</v>
      </c>
    </row>
    <row r="10031" spans="1:19" x14ac:dyDescent="0.25">
      <c r="A10031">
        <v>101418959</v>
      </c>
      <c r="B10031" t="s">
        <v>14063</v>
      </c>
      <c r="C10031" t="s">
        <v>2010</v>
      </c>
      <c r="H10031" t="s">
        <v>1604</v>
      </c>
      <c r="I10031" t="s">
        <v>126</v>
      </c>
      <c r="J10031">
        <v>65270</v>
      </c>
      <c r="L10031" t="s">
        <v>23</v>
      </c>
      <c r="N10031" t="s">
        <v>1604</v>
      </c>
      <c r="O10031" t="s">
        <v>126</v>
      </c>
      <c r="P10031">
        <v>65270</v>
      </c>
      <c r="R10031" t="s">
        <v>23</v>
      </c>
      <c r="S10031" s="1" t="s">
        <v>34218</v>
      </c>
    </row>
    <row r="10032" spans="1:19" x14ac:dyDescent="0.25">
      <c r="A10032">
        <v>101286155</v>
      </c>
      <c r="B10032" t="s">
        <v>744</v>
      </c>
      <c r="C10032" t="s">
        <v>826</v>
      </c>
      <c r="H10032" t="s">
        <v>8603</v>
      </c>
      <c r="I10032" t="s">
        <v>22</v>
      </c>
      <c r="J10032">
        <v>93023</v>
      </c>
      <c r="L10032" t="s">
        <v>23</v>
      </c>
      <c r="N10032" t="s">
        <v>8603</v>
      </c>
      <c r="O10032" t="s">
        <v>22</v>
      </c>
      <c r="P10032">
        <v>93023</v>
      </c>
      <c r="R10032" t="s">
        <v>23</v>
      </c>
      <c r="S10032" s="1" t="s">
        <v>34218</v>
      </c>
    </row>
    <row r="10033" spans="1:19" x14ac:dyDescent="0.25">
      <c r="A10033">
        <v>101437380</v>
      </c>
      <c r="B10033" t="s">
        <v>22645</v>
      </c>
      <c r="C10033" t="s">
        <v>22646</v>
      </c>
      <c r="G10033" t="s">
        <v>22647</v>
      </c>
      <c r="H10033" t="s">
        <v>5353</v>
      </c>
      <c r="I10033" t="s">
        <v>353</v>
      </c>
      <c r="J10033">
        <v>3049</v>
      </c>
      <c r="K10033">
        <v>6221</v>
      </c>
      <c r="L10033" t="s">
        <v>23</v>
      </c>
      <c r="M10033" t="s">
        <v>22647</v>
      </c>
      <c r="N10033" t="s">
        <v>5353</v>
      </c>
      <c r="O10033" t="s">
        <v>353</v>
      </c>
      <c r="P10033">
        <v>3049</v>
      </c>
      <c r="Q10033">
        <v>6221</v>
      </c>
      <c r="R10033" t="s">
        <v>23</v>
      </c>
      <c r="S10033" s="1" t="s">
        <v>34218</v>
      </c>
    </row>
    <row r="10034" spans="1:19" x14ac:dyDescent="0.25">
      <c r="A10034">
        <v>101424029</v>
      </c>
      <c r="B10034" t="s">
        <v>4218</v>
      </c>
      <c r="C10034" t="s">
        <v>18162</v>
      </c>
      <c r="G10034" t="s">
        <v>22648</v>
      </c>
      <c r="H10034" t="s">
        <v>3768</v>
      </c>
      <c r="I10034" t="s">
        <v>22</v>
      </c>
      <c r="J10034">
        <v>94043</v>
      </c>
      <c r="K10034">
        <v>5274</v>
      </c>
      <c r="L10034" t="s">
        <v>23</v>
      </c>
      <c r="M10034" t="s">
        <v>22648</v>
      </c>
      <c r="N10034" t="s">
        <v>3768</v>
      </c>
      <c r="O10034" t="s">
        <v>22</v>
      </c>
      <c r="P10034">
        <v>94043</v>
      </c>
      <c r="Q10034">
        <v>5274</v>
      </c>
      <c r="R10034" t="s">
        <v>23</v>
      </c>
      <c r="S10034" s="1" t="s">
        <v>34218</v>
      </c>
    </row>
    <row r="10035" spans="1:19" x14ac:dyDescent="0.25">
      <c r="A10035">
        <v>101290201</v>
      </c>
      <c r="B10035" t="s">
        <v>22649</v>
      </c>
      <c r="C10035" t="s">
        <v>1212</v>
      </c>
      <c r="G10035" t="s">
        <v>22650</v>
      </c>
      <c r="H10035" t="s">
        <v>569</v>
      </c>
      <c r="I10035" t="s">
        <v>187</v>
      </c>
      <c r="J10035">
        <v>55404</v>
      </c>
      <c r="K10035">
        <v>1911</v>
      </c>
      <c r="L10035" t="s">
        <v>23</v>
      </c>
      <c r="M10035" t="s">
        <v>22650</v>
      </c>
      <c r="N10035" t="s">
        <v>569</v>
      </c>
      <c r="O10035" t="s">
        <v>187</v>
      </c>
      <c r="P10035">
        <v>55404</v>
      </c>
      <c r="Q10035">
        <v>1911</v>
      </c>
      <c r="R10035" t="s">
        <v>23</v>
      </c>
      <c r="S10035" s="1" t="s">
        <v>34218</v>
      </c>
    </row>
    <row r="10036" spans="1:19" x14ac:dyDescent="0.25">
      <c r="A10036">
        <v>101422976</v>
      </c>
      <c r="B10036" t="s">
        <v>22651</v>
      </c>
      <c r="C10036" t="s">
        <v>1036</v>
      </c>
      <c r="G10036" t="s">
        <v>22652</v>
      </c>
      <c r="H10036" t="s">
        <v>22653</v>
      </c>
      <c r="I10036" t="s">
        <v>52</v>
      </c>
      <c r="J10036">
        <v>33157</v>
      </c>
      <c r="K10036">
        <v>6320</v>
      </c>
      <c r="L10036" t="s">
        <v>23</v>
      </c>
      <c r="M10036" t="s">
        <v>22652</v>
      </c>
      <c r="N10036" t="s">
        <v>22653</v>
      </c>
      <c r="O10036" t="s">
        <v>52</v>
      </c>
      <c r="P10036">
        <v>33157</v>
      </c>
      <c r="Q10036">
        <v>6320</v>
      </c>
      <c r="R10036" t="s">
        <v>23</v>
      </c>
      <c r="S10036" s="1" t="s">
        <v>34218</v>
      </c>
    </row>
    <row r="10037" spans="1:19" x14ac:dyDescent="0.25">
      <c r="A10037">
        <v>101431989</v>
      </c>
      <c r="B10037" t="s">
        <v>22654</v>
      </c>
      <c r="C10037" t="s">
        <v>1327</v>
      </c>
      <c r="G10037" t="s">
        <v>22655</v>
      </c>
      <c r="H10037" t="s">
        <v>4527</v>
      </c>
      <c r="I10037" t="s">
        <v>1482</v>
      </c>
      <c r="J10037">
        <v>29745</v>
      </c>
      <c r="K10037">
        <v>5320</v>
      </c>
      <c r="L10037" t="s">
        <v>23</v>
      </c>
      <c r="M10037" t="s">
        <v>22655</v>
      </c>
      <c r="N10037" t="s">
        <v>4527</v>
      </c>
      <c r="O10037" t="s">
        <v>1482</v>
      </c>
      <c r="P10037">
        <v>29745</v>
      </c>
      <c r="Q10037">
        <v>5320</v>
      </c>
      <c r="R10037" t="s">
        <v>23</v>
      </c>
      <c r="S10037" s="1" t="s">
        <v>34218</v>
      </c>
    </row>
    <row r="10038" spans="1:19" x14ac:dyDescent="0.25">
      <c r="A10038">
        <v>101423871</v>
      </c>
      <c r="B10038" t="s">
        <v>2583</v>
      </c>
      <c r="C10038" t="s">
        <v>547</v>
      </c>
      <c r="G10038" t="s">
        <v>22656</v>
      </c>
      <c r="H10038" t="s">
        <v>1439</v>
      </c>
      <c r="I10038" t="s">
        <v>365</v>
      </c>
      <c r="J10038">
        <v>85746</v>
      </c>
      <c r="K10038">
        <v>9113</v>
      </c>
      <c r="L10038" t="s">
        <v>23</v>
      </c>
      <c r="M10038" t="s">
        <v>22656</v>
      </c>
      <c r="N10038" t="s">
        <v>1439</v>
      </c>
      <c r="O10038" t="s">
        <v>365</v>
      </c>
      <c r="P10038">
        <v>85746</v>
      </c>
      <c r="Q10038">
        <v>9113</v>
      </c>
      <c r="R10038" t="s">
        <v>23</v>
      </c>
      <c r="S10038" s="1" t="s">
        <v>34218</v>
      </c>
    </row>
    <row r="10039" spans="1:19" x14ac:dyDescent="0.25">
      <c r="A10039">
        <v>101447685</v>
      </c>
      <c r="B10039" t="s">
        <v>22657</v>
      </c>
      <c r="C10039" t="s">
        <v>1859</v>
      </c>
      <c r="G10039" t="s">
        <v>22658</v>
      </c>
      <c r="H10039" t="s">
        <v>380</v>
      </c>
      <c r="I10039" t="s">
        <v>38</v>
      </c>
      <c r="J10039">
        <v>75229</v>
      </c>
      <c r="K10039">
        <v>4027</v>
      </c>
      <c r="L10039" t="s">
        <v>23</v>
      </c>
      <c r="M10039" t="s">
        <v>22658</v>
      </c>
      <c r="N10039" t="s">
        <v>380</v>
      </c>
      <c r="O10039" t="s">
        <v>38</v>
      </c>
      <c r="P10039">
        <v>75229</v>
      </c>
      <c r="Q10039">
        <v>4027</v>
      </c>
      <c r="R10039" t="s">
        <v>23</v>
      </c>
      <c r="S10039" s="1" t="s">
        <v>34218</v>
      </c>
    </row>
    <row r="10040" spans="1:19" x14ac:dyDescent="0.25">
      <c r="A10040">
        <v>100857983</v>
      </c>
      <c r="B10040" t="s">
        <v>1187</v>
      </c>
      <c r="C10040" t="s">
        <v>1487</v>
      </c>
      <c r="G10040" t="s">
        <v>22659</v>
      </c>
      <c r="H10040" t="s">
        <v>22660</v>
      </c>
      <c r="I10040" t="s">
        <v>446</v>
      </c>
      <c r="J10040">
        <v>28782</v>
      </c>
      <c r="K10040">
        <v>8768</v>
      </c>
      <c r="L10040" t="s">
        <v>23</v>
      </c>
      <c r="M10040" t="s">
        <v>22659</v>
      </c>
      <c r="N10040" t="s">
        <v>22660</v>
      </c>
      <c r="O10040" t="s">
        <v>446</v>
      </c>
      <c r="P10040">
        <v>28782</v>
      </c>
      <c r="Q10040">
        <v>8768</v>
      </c>
      <c r="R10040" t="s">
        <v>23</v>
      </c>
      <c r="S10040" s="1" t="s">
        <v>34218</v>
      </c>
    </row>
    <row r="10041" spans="1:19" x14ac:dyDescent="0.25">
      <c r="A10041">
        <v>101221518</v>
      </c>
      <c r="B10041" t="s">
        <v>22661</v>
      </c>
      <c r="C10041" t="s">
        <v>22662</v>
      </c>
      <c r="G10041" t="s">
        <v>22663</v>
      </c>
      <c r="H10041" t="s">
        <v>569</v>
      </c>
      <c r="I10041" t="s">
        <v>187</v>
      </c>
      <c r="J10041">
        <v>55403</v>
      </c>
      <c r="K10041">
        <v>1123</v>
      </c>
      <c r="L10041" t="s">
        <v>23</v>
      </c>
      <c r="M10041" t="s">
        <v>22663</v>
      </c>
      <c r="N10041" t="s">
        <v>569</v>
      </c>
      <c r="O10041" t="s">
        <v>187</v>
      </c>
      <c r="P10041">
        <v>55403</v>
      </c>
      <c r="Q10041">
        <v>1123</v>
      </c>
      <c r="R10041" t="s">
        <v>23</v>
      </c>
      <c r="S10041" s="1" t="s">
        <v>34218</v>
      </c>
    </row>
    <row r="10042" spans="1:19" x14ac:dyDescent="0.25">
      <c r="A10042">
        <v>101431553</v>
      </c>
      <c r="B10042" t="s">
        <v>966</v>
      </c>
      <c r="C10042" t="s">
        <v>699</v>
      </c>
      <c r="G10042" t="s">
        <v>22664</v>
      </c>
      <c r="H10042" t="s">
        <v>1531</v>
      </c>
      <c r="I10042" t="s">
        <v>84</v>
      </c>
      <c r="J10042">
        <v>98133</v>
      </c>
      <c r="K10042">
        <v>8027</v>
      </c>
      <c r="L10042" t="s">
        <v>23</v>
      </c>
      <c r="M10042" t="s">
        <v>22664</v>
      </c>
      <c r="N10042" t="s">
        <v>1531</v>
      </c>
      <c r="O10042" t="s">
        <v>84</v>
      </c>
      <c r="P10042">
        <v>98133</v>
      </c>
      <c r="Q10042">
        <v>8027</v>
      </c>
      <c r="R10042" t="s">
        <v>23</v>
      </c>
      <c r="S10042" s="1" t="s">
        <v>34218</v>
      </c>
    </row>
    <row r="10043" spans="1:19" x14ac:dyDescent="0.25">
      <c r="A10043">
        <v>101472989</v>
      </c>
      <c r="B10043" t="s">
        <v>8467</v>
      </c>
      <c r="C10043" t="s">
        <v>11308</v>
      </c>
      <c r="G10043" t="s">
        <v>22665</v>
      </c>
      <c r="H10043" t="s">
        <v>3680</v>
      </c>
      <c r="I10043" t="s">
        <v>565</v>
      </c>
      <c r="J10043">
        <v>52556</v>
      </c>
      <c r="K10043">
        <v>2306</v>
      </c>
      <c r="L10043" t="s">
        <v>23</v>
      </c>
      <c r="M10043" t="s">
        <v>22665</v>
      </c>
      <c r="N10043" t="s">
        <v>3680</v>
      </c>
      <c r="O10043" t="s">
        <v>565</v>
      </c>
      <c r="P10043">
        <v>52556</v>
      </c>
      <c r="Q10043">
        <v>2306</v>
      </c>
      <c r="R10043" t="s">
        <v>23</v>
      </c>
      <c r="S10043" s="1" t="s">
        <v>34218</v>
      </c>
    </row>
    <row r="10044" spans="1:19" x14ac:dyDescent="0.25">
      <c r="A10044">
        <v>101344989</v>
      </c>
      <c r="B10044" t="s">
        <v>22666</v>
      </c>
      <c r="C10044" t="s">
        <v>3909</v>
      </c>
      <c r="G10044" t="s">
        <v>22667</v>
      </c>
      <c r="H10044" t="s">
        <v>2202</v>
      </c>
      <c r="I10044" t="s">
        <v>565</v>
      </c>
      <c r="J10044">
        <v>51104</v>
      </c>
      <c r="K10044">
        <v>1711</v>
      </c>
      <c r="L10044" t="s">
        <v>23</v>
      </c>
      <c r="M10044" t="s">
        <v>22667</v>
      </c>
      <c r="N10044" t="s">
        <v>2202</v>
      </c>
      <c r="O10044" t="s">
        <v>565</v>
      </c>
      <c r="P10044">
        <v>51104</v>
      </c>
      <c r="Q10044">
        <v>1711</v>
      </c>
      <c r="R10044" t="s">
        <v>23</v>
      </c>
      <c r="S10044" s="1" t="s">
        <v>34218</v>
      </c>
    </row>
    <row r="10045" spans="1:19" x14ac:dyDescent="0.25">
      <c r="A10045">
        <v>101271974</v>
      </c>
      <c r="B10045" t="s">
        <v>1175</v>
      </c>
      <c r="C10045" t="s">
        <v>3545</v>
      </c>
      <c r="G10045" t="s">
        <v>22668</v>
      </c>
      <c r="H10045" t="s">
        <v>1489</v>
      </c>
      <c r="I10045" t="s">
        <v>62</v>
      </c>
      <c r="J10045">
        <v>74128</v>
      </c>
      <c r="K10045">
        <v>2620</v>
      </c>
      <c r="L10045" t="s">
        <v>23</v>
      </c>
      <c r="M10045" t="s">
        <v>22668</v>
      </c>
      <c r="N10045" t="s">
        <v>1489</v>
      </c>
      <c r="O10045" t="s">
        <v>62</v>
      </c>
      <c r="P10045">
        <v>74128</v>
      </c>
      <c r="Q10045">
        <v>2620</v>
      </c>
      <c r="R10045" t="s">
        <v>23</v>
      </c>
      <c r="S10045" s="1" t="s">
        <v>34218</v>
      </c>
    </row>
    <row r="10046" spans="1:19" x14ac:dyDescent="0.25">
      <c r="A10046">
        <v>101292236</v>
      </c>
      <c r="B10046" t="s">
        <v>1335</v>
      </c>
      <c r="C10046" t="s">
        <v>1444</v>
      </c>
      <c r="G10046" t="s">
        <v>22669</v>
      </c>
      <c r="H10046" t="s">
        <v>18938</v>
      </c>
      <c r="I10046" t="s">
        <v>2537</v>
      </c>
      <c r="J10046">
        <v>72015</v>
      </c>
      <c r="K10046">
        <v>2602</v>
      </c>
      <c r="L10046" t="s">
        <v>23</v>
      </c>
      <c r="M10046" t="s">
        <v>22669</v>
      </c>
      <c r="N10046" t="s">
        <v>18938</v>
      </c>
      <c r="O10046" t="s">
        <v>2537</v>
      </c>
      <c r="P10046">
        <v>72015</v>
      </c>
      <c r="Q10046">
        <v>2602</v>
      </c>
      <c r="R10046" t="s">
        <v>23</v>
      </c>
      <c r="S10046" s="1" t="s">
        <v>34218</v>
      </c>
    </row>
    <row r="10047" spans="1:19" x14ac:dyDescent="0.25">
      <c r="A10047">
        <v>101346629</v>
      </c>
      <c r="B10047" t="s">
        <v>1569</v>
      </c>
      <c r="C10047" t="s">
        <v>180</v>
      </c>
      <c r="G10047" t="s">
        <v>22670</v>
      </c>
      <c r="H10047" t="s">
        <v>22671</v>
      </c>
      <c r="I10047" t="s">
        <v>117</v>
      </c>
      <c r="J10047">
        <v>13606</v>
      </c>
      <c r="K10047">
        <v>2188</v>
      </c>
      <c r="L10047" t="s">
        <v>23</v>
      </c>
      <c r="M10047" t="s">
        <v>22670</v>
      </c>
      <c r="N10047" t="s">
        <v>22671</v>
      </c>
      <c r="O10047" t="s">
        <v>117</v>
      </c>
      <c r="P10047">
        <v>13606</v>
      </c>
      <c r="Q10047">
        <v>2188</v>
      </c>
      <c r="R10047" t="s">
        <v>23</v>
      </c>
      <c r="S10047" s="1" t="s">
        <v>34218</v>
      </c>
    </row>
    <row r="10048" spans="1:19" x14ac:dyDescent="0.25">
      <c r="A10048">
        <v>101324875</v>
      </c>
      <c r="B10048" t="s">
        <v>4949</v>
      </c>
      <c r="C10048" t="s">
        <v>399</v>
      </c>
      <c r="G10048" t="s">
        <v>22672</v>
      </c>
      <c r="H10048" t="s">
        <v>1748</v>
      </c>
      <c r="I10048" t="s">
        <v>84</v>
      </c>
      <c r="J10048">
        <v>98223</v>
      </c>
      <c r="K10048">
        <v>7891</v>
      </c>
      <c r="L10048" t="s">
        <v>23</v>
      </c>
      <c r="M10048" t="s">
        <v>22672</v>
      </c>
      <c r="N10048" t="s">
        <v>1748</v>
      </c>
      <c r="O10048" t="s">
        <v>84</v>
      </c>
      <c r="P10048">
        <v>98223</v>
      </c>
      <c r="Q10048">
        <v>7891</v>
      </c>
      <c r="R10048" t="s">
        <v>23</v>
      </c>
      <c r="S10048" s="1" t="s">
        <v>34218</v>
      </c>
    </row>
    <row r="10049" spans="1:19" x14ac:dyDescent="0.25">
      <c r="A10049">
        <v>101265288</v>
      </c>
      <c r="B10049" t="s">
        <v>11709</v>
      </c>
      <c r="C10049" t="s">
        <v>1824</v>
      </c>
      <c r="G10049" t="s">
        <v>22673</v>
      </c>
      <c r="H10049" t="s">
        <v>14571</v>
      </c>
      <c r="I10049" t="s">
        <v>117</v>
      </c>
      <c r="J10049">
        <v>11790</v>
      </c>
      <c r="K10049">
        <v>1323</v>
      </c>
      <c r="L10049" t="s">
        <v>23</v>
      </c>
      <c r="M10049" t="s">
        <v>22673</v>
      </c>
      <c r="N10049" t="s">
        <v>14571</v>
      </c>
      <c r="O10049" t="s">
        <v>117</v>
      </c>
      <c r="P10049">
        <v>11790</v>
      </c>
      <c r="Q10049">
        <v>1323</v>
      </c>
      <c r="R10049" t="s">
        <v>23</v>
      </c>
      <c r="S10049" s="1" t="s">
        <v>34218</v>
      </c>
    </row>
    <row r="10050" spans="1:19" x14ac:dyDescent="0.25">
      <c r="A10050">
        <v>101276634</v>
      </c>
      <c r="B10050" t="s">
        <v>22674</v>
      </c>
      <c r="C10050" t="s">
        <v>155</v>
      </c>
      <c r="G10050" t="s">
        <v>22675</v>
      </c>
      <c r="H10050" t="s">
        <v>7002</v>
      </c>
      <c r="I10050" t="s">
        <v>117</v>
      </c>
      <c r="J10050">
        <v>11743</v>
      </c>
      <c r="K10050">
        <v>2066</v>
      </c>
      <c r="L10050" t="s">
        <v>23</v>
      </c>
      <c r="M10050" t="s">
        <v>22675</v>
      </c>
      <c r="N10050" t="s">
        <v>7002</v>
      </c>
      <c r="O10050" t="s">
        <v>117</v>
      </c>
      <c r="P10050">
        <v>11743</v>
      </c>
      <c r="Q10050">
        <v>2066</v>
      </c>
      <c r="R10050" t="s">
        <v>23</v>
      </c>
      <c r="S10050" s="1" t="s">
        <v>34218</v>
      </c>
    </row>
    <row r="10051" spans="1:19" x14ac:dyDescent="0.25">
      <c r="A10051">
        <v>101305970</v>
      </c>
      <c r="B10051" t="s">
        <v>22676</v>
      </c>
      <c r="C10051" t="s">
        <v>22677</v>
      </c>
      <c r="G10051" t="s">
        <v>22678</v>
      </c>
      <c r="H10051" t="s">
        <v>299</v>
      </c>
      <c r="I10051" t="s">
        <v>22</v>
      </c>
      <c r="J10051">
        <v>90066</v>
      </c>
      <c r="K10051">
        <v>5721</v>
      </c>
      <c r="L10051" t="s">
        <v>23</v>
      </c>
      <c r="M10051" t="s">
        <v>22678</v>
      </c>
      <c r="N10051" t="s">
        <v>299</v>
      </c>
      <c r="O10051" t="s">
        <v>22</v>
      </c>
      <c r="P10051">
        <v>90066</v>
      </c>
      <c r="Q10051">
        <v>5721</v>
      </c>
      <c r="R10051" t="s">
        <v>23</v>
      </c>
      <c r="S10051" s="1" t="s">
        <v>34218</v>
      </c>
    </row>
    <row r="10052" spans="1:19" x14ac:dyDescent="0.25">
      <c r="A10052">
        <v>100623745</v>
      </c>
      <c r="B10052" t="s">
        <v>9171</v>
      </c>
      <c r="C10052" t="s">
        <v>1306</v>
      </c>
      <c r="G10052" t="s">
        <v>22679</v>
      </c>
      <c r="H10052" t="s">
        <v>5870</v>
      </c>
      <c r="I10052" t="s">
        <v>236</v>
      </c>
      <c r="J10052">
        <v>2045</v>
      </c>
      <c r="K10052">
        <v>2358</v>
      </c>
      <c r="L10052" t="s">
        <v>23</v>
      </c>
      <c r="M10052" t="s">
        <v>22679</v>
      </c>
      <c r="N10052" t="s">
        <v>5870</v>
      </c>
      <c r="O10052" t="s">
        <v>236</v>
      </c>
      <c r="P10052">
        <v>2045</v>
      </c>
      <c r="Q10052">
        <v>2358</v>
      </c>
      <c r="R10052" t="s">
        <v>23</v>
      </c>
      <c r="S10052" s="1" t="s">
        <v>34218</v>
      </c>
    </row>
    <row r="10053" spans="1:19" x14ac:dyDescent="0.25">
      <c r="A10053">
        <v>101472113</v>
      </c>
      <c r="B10053" t="s">
        <v>22680</v>
      </c>
      <c r="C10053" t="s">
        <v>1327</v>
      </c>
      <c r="G10053" t="s">
        <v>22681</v>
      </c>
      <c r="H10053" t="s">
        <v>1604</v>
      </c>
      <c r="I10053" t="s">
        <v>126</v>
      </c>
      <c r="J10053">
        <v>65203</v>
      </c>
      <c r="K10053">
        <v>1203</v>
      </c>
      <c r="L10053" t="s">
        <v>23</v>
      </c>
      <c r="M10053" t="s">
        <v>22681</v>
      </c>
      <c r="N10053" t="s">
        <v>1604</v>
      </c>
      <c r="O10053" t="s">
        <v>126</v>
      </c>
      <c r="P10053">
        <v>65203</v>
      </c>
      <c r="Q10053">
        <v>1203</v>
      </c>
      <c r="R10053" t="s">
        <v>23</v>
      </c>
      <c r="S10053" s="1" t="s">
        <v>34218</v>
      </c>
    </row>
    <row r="10054" spans="1:19" x14ac:dyDescent="0.25">
      <c r="A10054">
        <v>101299903</v>
      </c>
      <c r="B10054" t="s">
        <v>1872</v>
      </c>
      <c r="C10054" t="s">
        <v>1327</v>
      </c>
      <c r="G10054" t="s">
        <v>22682</v>
      </c>
      <c r="H10054" t="s">
        <v>1293</v>
      </c>
      <c r="I10054" t="s">
        <v>22</v>
      </c>
      <c r="J10054">
        <v>95060</v>
      </c>
      <c r="K10054">
        <v>9784</v>
      </c>
      <c r="L10054" t="s">
        <v>23</v>
      </c>
      <c r="M10054" t="s">
        <v>22682</v>
      </c>
      <c r="N10054" t="s">
        <v>1293</v>
      </c>
      <c r="O10054" t="s">
        <v>22</v>
      </c>
      <c r="P10054">
        <v>95060</v>
      </c>
      <c r="Q10054">
        <v>9784</v>
      </c>
      <c r="R10054" t="s">
        <v>23</v>
      </c>
      <c r="S10054" s="1" t="s">
        <v>34218</v>
      </c>
    </row>
    <row r="10055" spans="1:19" x14ac:dyDescent="0.25">
      <c r="A10055">
        <v>101337457</v>
      </c>
      <c r="B10055" t="s">
        <v>22683</v>
      </c>
      <c r="C10055" t="s">
        <v>15371</v>
      </c>
      <c r="G10055" t="s">
        <v>22684</v>
      </c>
      <c r="H10055" t="s">
        <v>22685</v>
      </c>
      <c r="I10055" t="s">
        <v>446</v>
      </c>
      <c r="J10055">
        <v>27244</v>
      </c>
      <c r="K10055">
        <v>9518</v>
      </c>
      <c r="L10055" t="s">
        <v>23</v>
      </c>
      <c r="M10055" t="s">
        <v>22684</v>
      </c>
      <c r="N10055" t="s">
        <v>22685</v>
      </c>
      <c r="O10055" t="s">
        <v>446</v>
      </c>
      <c r="P10055">
        <v>27244</v>
      </c>
      <c r="Q10055">
        <v>9518</v>
      </c>
      <c r="R10055" t="s">
        <v>23</v>
      </c>
      <c r="S10055" s="1" t="s">
        <v>34218</v>
      </c>
    </row>
    <row r="10056" spans="1:19" x14ac:dyDescent="0.25">
      <c r="A10056">
        <v>101468465</v>
      </c>
      <c r="B10056" t="s">
        <v>22686</v>
      </c>
      <c r="C10056" t="s">
        <v>1208</v>
      </c>
      <c r="G10056" t="s">
        <v>22687</v>
      </c>
      <c r="H10056" t="s">
        <v>14725</v>
      </c>
      <c r="I10056" t="s">
        <v>2310</v>
      </c>
      <c r="J10056">
        <v>19934</v>
      </c>
      <c r="K10056">
        <v>4506</v>
      </c>
      <c r="L10056" t="s">
        <v>23</v>
      </c>
      <c r="M10056" t="s">
        <v>22687</v>
      </c>
      <c r="N10056" t="s">
        <v>14725</v>
      </c>
      <c r="O10056" t="s">
        <v>2310</v>
      </c>
      <c r="P10056">
        <v>19934</v>
      </c>
      <c r="Q10056">
        <v>4506</v>
      </c>
      <c r="R10056" t="s">
        <v>23</v>
      </c>
      <c r="S10056" s="1" t="s">
        <v>34218</v>
      </c>
    </row>
    <row r="10057" spans="1:19" x14ac:dyDescent="0.25">
      <c r="A10057">
        <v>101257480</v>
      </c>
      <c r="B10057" t="s">
        <v>22688</v>
      </c>
      <c r="C10057" t="s">
        <v>22689</v>
      </c>
      <c r="G10057" t="s">
        <v>22690</v>
      </c>
      <c r="H10057" t="s">
        <v>79</v>
      </c>
      <c r="I10057" t="s">
        <v>22</v>
      </c>
      <c r="J10057">
        <v>90210</v>
      </c>
      <c r="K10057">
        <v>3977</v>
      </c>
      <c r="L10057" t="s">
        <v>23</v>
      </c>
      <c r="M10057" t="s">
        <v>22690</v>
      </c>
      <c r="N10057" t="s">
        <v>79</v>
      </c>
      <c r="O10057" t="s">
        <v>22</v>
      </c>
      <c r="P10057">
        <v>90210</v>
      </c>
      <c r="Q10057">
        <v>3977</v>
      </c>
      <c r="R10057" t="s">
        <v>23</v>
      </c>
      <c r="S10057" s="1" t="s">
        <v>34218</v>
      </c>
    </row>
    <row r="10058" spans="1:19" x14ac:dyDescent="0.25">
      <c r="A10058">
        <v>101471786</v>
      </c>
      <c r="B10058" t="s">
        <v>10562</v>
      </c>
      <c r="C10058" t="s">
        <v>22691</v>
      </c>
      <c r="G10058" t="s">
        <v>22692</v>
      </c>
      <c r="H10058" t="s">
        <v>1765</v>
      </c>
      <c r="I10058" t="s">
        <v>84</v>
      </c>
      <c r="J10058">
        <v>98502</v>
      </c>
      <c r="K10058">
        <v>8649</v>
      </c>
      <c r="L10058" t="s">
        <v>23</v>
      </c>
      <c r="M10058" t="s">
        <v>22692</v>
      </c>
      <c r="N10058" t="s">
        <v>1765</v>
      </c>
      <c r="O10058" t="s">
        <v>84</v>
      </c>
      <c r="P10058">
        <v>98502</v>
      </c>
      <c r="Q10058">
        <v>8649</v>
      </c>
      <c r="R10058" t="s">
        <v>23</v>
      </c>
      <c r="S10058" s="1" t="s">
        <v>34218</v>
      </c>
    </row>
    <row r="10059" spans="1:19" x14ac:dyDescent="0.25">
      <c r="A10059">
        <v>101284209</v>
      </c>
      <c r="B10059" t="s">
        <v>22693</v>
      </c>
      <c r="C10059" t="s">
        <v>475</v>
      </c>
      <c r="G10059" t="s">
        <v>22694</v>
      </c>
      <c r="H10059" t="s">
        <v>2530</v>
      </c>
      <c r="I10059" t="s">
        <v>236</v>
      </c>
      <c r="J10059" t="s">
        <v>22695</v>
      </c>
      <c r="K10059">
        <v>3303</v>
      </c>
      <c r="L10059" t="s">
        <v>23</v>
      </c>
      <c r="M10059" t="s">
        <v>22694</v>
      </c>
      <c r="N10059" t="s">
        <v>2530</v>
      </c>
      <c r="O10059" t="s">
        <v>236</v>
      </c>
      <c r="P10059" t="s">
        <v>22695</v>
      </c>
      <c r="Q10059">
        <v>3303</v>
      </c>
      <c r="R10059" t="s">
        <v>23</v>
      </c>
      <c r="S10059" s="1" t="s">
        <v>34218</v>
      </c>
    </row>
    <row r="10060" spans="1:19" x14ac:dyDescent="0.25">
      <c r="A10060">
        <v>101300116</v>
      </c>
      <c r="B10060" t="s">
        <v>11606</v>
      </c>
      <c r="C10060" t="s">
        <v>1179</v>
      </c>
      <c r="G10060" t="s">
        <v>22696</v>
      </c>
      <c r="H10060" t="s">
        <v>280</v>
      </c>
      <c r="I10060" t="s">
        <v>117</v>
      </c>
      <c r="J10060" t="s">
        <v>22697</v>
      </c>
      <c r="K10060">
        <v>2738</v>
      </c>
      <c r="L10060" t="s">
        <v>23</v>
      </c>
      <c r="M10060" t="s">
        <v>22696</v>
      </c>
      <c r="N10060" t="s">
        <v>280</v>
      </c>
      <c r="O10060" t="s">
        <v>117</v>
      </c>
      <c r="P10060" t="s">
        <v>22697</v>
      </c>
      <c r="Q10060">
        <v>2738</v>
      </c>
      <c r="R10060" t="s">
        <v>23</v>
      </c>
      <c r="S10060" s="1" t="s">
        <v>34218</v>
      </c>
    </row>
    <row r="10061" spans="1:19" x14ac:dyDescent="0.25">
      <c r="A10061">
        <v>100942499</v>
      </c>
      <c r="B10061" t="s">
        <v>5180</v>
      </c>
      <c r="C10061" t="s">
        <v>2603</v>
      </c>
      <c r="G10061" t="s">
        <v>22698</v>
      </c>
      <c r="H10061" t="s">
        <v>264</v>
      </c>
      <c r="I10061" t="s">
        <v>117</v>
      </c>
      <c r="J10061" t="s">
        <v>22699</v>
      </c>
      <c r="K10061">
        <v>8401</v>
      </c>
      <c r="L10061" t="s">
        <v>23</v>
      </c>
      <c r="M10061" t="s">
        <v>22698</v>
      </c>
      <c r="N10061" t="s">
        <v>264</v>
      </c>
      <c r="O10061" t="s">
        <v>117</v>
      </c>
      <c r="P10061" t="s">
        <v>22699</v>
      </c>
      <c r="Q10061">
        <v>8401</v>
      </c>
      <c r="R10061" t="s">
        <v>23</v>
      </c>
      <c r="S10061" s="1" t="s">
        <v>34218</v>
      </c>
    </row>
    <row r="10062" spans="1:19" x14ac:dyDescent="0.25">
      <c r="A10062">
        <v>100696234</v>
      </c>
      <c r="B10062" t="s">
        <v>22700</v>
      </c>
      <c r="C10062" t="s">
        <v>22701</v>
      </c>
      <c r="G10062" t="s">
        <v>22702</v>
      </c>
      <c r="H10062" t="s">
        <v>869</v>
      </c>
      <c r="I10062" t="s">
        <v>52</v>
      </c>
      <c r="J10062" t="s">
        <v>22703</v>
      </c>
      <c r="K10062">
        <v>1626</v>
      </c>
      <c r="L10062" t="s">
        <v>23</v>
      </c>
      <c r="M10062" t="s">
        <v>22702</v>
      </c>
      <c r="N10062" t="s">
        <v>869</v>
      </c>
      <c r="O10062" t="s">
        <v>52</v>
      </c>
      <c r="P10062" t="s">
        <v>22703</v>
      </c>
      <c r="Q10062">
        <v>1626</v>
      </c>
      <c r="R10062" t="s">
        <v>23</v>
      </c>
      <c r="S10062" s="1" t="s">
        <v>34218</v>
      </c>
    </row>
    <row r="10063" spans="1:19" x14ac:dyDescent="0.25">
      <c r="A10063">
        <v>101443440</v>
      </c>
      <c r="B10063" t="s">
        <v>22704</v>
      </c>
      <c r="C10063" t="s">
        <v>22705</v>
      </c>
      <c r="G10063" t="s">
        <v>22706</v>
      </c>
      <c r="H10063" t="s">
        <v>22707</v>
      </c>
      <c r="I10063" t="s">
        <v>178</v>
      </c>
      <c r="J10063" t="s">
        <v>22708</v>
      </c>
      <c r="K10063">
        <v>2972</v>
      </c>
      <c r="L10063" t="s">
        <v>23</v>
      </c>
      <c r="M10063" t="s">
        <v>22706</v>
      </c>
      <c r="N10063" t="s">
        <v>22707</v>
      </c>
      <c r="O10063" t="s">
        <v>178</v>
      </c>
      <c r="P10063" t="s">
        <v>22708</v>
      </c>
      <c r="Q10063">
        <v>2972</v>
      </c>
      <c r="R10063" t="s">
        <v>23</v>
      </c>
      <c r="S10063" s="1" t="s">
        <v>34218</v>
      </c>
    </row>
    <row r="10064" spans="1:19" x14ac:dyDescent="0.25">
      <c r="A10064">
        <v>100536179</v>
      </c>
      <c r="B10064" t="s">
        <v>18512</v>
      </c>
      <c r="C10064" t="s">
        <v>2127</v>
      </c>
      <c r="G10064" t="s">
        <v>22709</v>
      </c>
      <c r="H10064" t="s">
        <v>6041</v>
      </c>
      <c r="I10064" t="s">
        <v>22</v>
      </c>
      <c r="J10064" t="s">
        <v>22710</v>
      </c>
      <c r="K10064">
        <v>6840</v>
      </c>
      <c r="L10064" t="s">
        <v>23</v>
      </c>
      <c r="M10064" t="s">
        <v>22709</v>
      </c>
      <c r="N10064" t="s">
        <v>6041</v>
      </c>
      <c r="O10064" t="s">
        <v>22</v>
      </c>
      <c r="P10064" t="s">
        <v>22710</v>
      </c>
      <c r="Q10064">
        <v>6840</v>
      </c>
      <c r="R10064" t="s">
        <v>23</v>
      </c>
      <c r="S10064" s="1" t="s">
        <v>34218</v>
      </c>
    </row>
    <row r="10065" spans="1:19" x14ac:dyDescent="0.25">
      <c r="A10065">
        <v>101100530</v>
      </c>
      <c r="B10065" t="s">
        <v>402</v>
      </c>
      <c r="C10065" t="s">
        <v>119</v>
      </c>
      <c r="G10065" t="s">
        <v>22711</v>
      </c>
      <c r="H10065" t="s">
        <v>14692</v>
      </c>
      <c r="I10065" t="s">
        <v>984</v>
      </c>
      <c r="J10065">
        <v>96772</v>
      </c>
      <c r="L10065" t="s">
        <v>23</v>
      </c>
      <c r="M10065" t="s">
        <v>22711</v>
      </c>
      <c r="N10065" t="s">
        <v>14692</v>
      </c>
      <c r="O10065" t="s">
        <v>984</v>
      </c>
      <c r="P10065">
        <v>96772</v>
      </c>
      <c r="R10065" t="s">
        <v>23</v>
      </c>
      <c r="S10065" s="1" t="s">
        <v>34218</v>
      </c>
    </row>
    <row r="10066" spans="1:19" x14ac:dyDescent="0.25">
      <c r="A10066">
        <v>101475059</v>
      </c>
      <c r="B10066" t="s">
        <v>11556</v>
      </c>
      <c r="C10066" t="s">
        <v>1737</v>
      </c>
      <c r="G10066" t="s">
        <v>22712</v>
      </c>
      <c r="H10066" t="s">
        <v>1600</v>
      </c>
      <c r="I10066" t="s">
        <v>28</v>
      </c>
      <c r="J10066">
        <v>30066</v>
      </c>
      <c r="L10066" t="s">
        <v>23</v>
      </c>
      <c r="M10066" t="s">
        <v>22712</v>
      </c>
      <c r="N10066" t="s">
        <v>1600</v>
      </c>
      <c r="O10066" t="s">
        <v>28</v>
      </c>
      <c r="P10066">
        <v>30066</v>
      </c>
      <c r="R10066" t="s">
        <v>23</v>
      </c>
      <c r="S10066" s="1" t="s">
        <v>34218</v>
      </c>
    </row>
    <row r="10067" spans="1:19" x14ac:dyDescent="0.25">
      <c r="A10067">
        <v>100997315</v>
      </c>
      <c r="B10067" t="s">
        <v>22713</v>
      </c>
      <c r="C10067" t="s">
        <v>4188</v>
      </c>
      <c r="G10067" t="s">
        <v>22714</v>
      </c>
      <c r="H10067" t="s">
        <v>66</v>
      </c>
      <c r="I10067" t="s">
        <v>22</v>
      </c>
      <c r="J10067" t="s">
        <v>22715</v>
      </c>
      <c r="K10067">
        <v>2113</v>
      </c>
      <c r="L10067" t="s">
        <v>23</v>
      </c>
      <c r="M10067" t="s">
        <v>22714</v>
      </c>
      <c r="N10067" t="s">
        <v>66</v>
      </c>
      <c r="O10067" t="s">
        <v>22</v>
      </c>
      <c r="P10067" t="s">
        <v>22715</v>
      </c>
      <c r="Q10067">
        <v>2113</v>
      </c>
      <c r="R10067" t="s">
        <v>23</v>
      </c>
      <c r="S10067" s="1" t="s">
        <v>34218</v>
      </c>
    </row>
    <row r="10068" spans="1:19" x14ac:dyDescent="0.25">
      <c r="A10068">
        <v>101412616</v>
      </c>
      <c r="B10068" t="s">
        <v>22716</v>
      </c>
      <c r="C10068" t="s">
        <v>1218</v>
      </c>
      <c r="G10068" t="s">
        <v>22717</v>
      </c>
      <c r="H10068" t="s">
        <v>2996</v>
      </c>
      <c r="I10068" t="s">
        <v>22</v>
      </c>
      <c r="J10068" t="s">
        <v>22718</v>
      </c>
      <c r="K10068">
        <v>3643</v>
      </c>
      <c r="L10068" t="s">
        <v>23</v>
      </c>
      <c r="M10068" t="s">
        <v>22717</v>
      </c>
      <c r="N10068" t="s">
        <v>2996</v>
      </c>
      <c r="O10068" t="s">
        <v>22</v>
      </c>
      <c r="P10068" t="s">
        <v>22718</v>
      </c>
      <c r="Q10068">
        <v>3643</v>
      </c>
      <c r="R10068" t="s">
        <v>23</v>
      </c>
      <c r="S10068" s="1" t="s">
        <v>34218</v>
      </c>
    </row>
    <row r="10069" spans="1:19" x14ac:dyDescent="0.25">
      <c r="A10069">
        <v>101229850</v>
      </c>
      <c r="B10069" t="s">
        <v>22719</v>
      </c>
      <c r="C10069" t="s">
        <v>1043</v>
      </c>
      <c r="G10069" t="s">
        <v>22720</v>
      </c>
      <c r="H10069" t="s">
        <v>741</v>
      </c>
      <c r="I10069" t="s">
        <v>22</v>
      </c>
      <c r="J10069" t="s">
        <v>22721</v>
      </c>
      <c r="K10069">
        <v>6048</v>
      </c>
      <c r="L10069" t="s">
        <v>23</v>
      </c>
      <c r="M10069" t="s">
        <v>22720</v>
      </c>
      <c r="N10069" t="s">
        <v>741</v>
      </c>
      <c r="O10069" t="s">
        <v>22</v>
      </c>
      <c r="P10069" t="s">
        <v>22721</v>
      </c>
      <c r="Q10069">
        <v>6048</v>
      </c>
      <c r="R10069" t="s">
        <v>23</v>
      </c>
      <c r="S10069" s="1" t="s">
        <v>34218</v>
      </c>
    </row>
    <row r="10070" spans="1:19" x14ac:dyDescent="0.25">
      <c r="A10070">
        <v>100964245</v>
      </c>
      <c r="B10070" t="s">
        <v>22722</v>
      </c>
      <c r="C10070" t="s">
        <v>440</v>
      </c>
      <c r="G10070" t="s">
        <v>22723</v>
      </c>
      <c r="H10070" t="s">
        <v>22724</v>
      </c>
      <c r="I10070" t="s">
        <v>1000</v>
      </c>
      <c r="J10070" t="s">
        <v>22725</v>
      </c>
      <c r="K10070">
        <v>9663</v>
      </c>
      <c r="L10070" t="s">
        <v>23</v>
      </c>
      <c r="M10070" t="s">
        <v>22723</v>
      </c>
      <c r="N10070" t="s">
        <v>22724</v>
      </c>
      <c r="O10070" t="s">
        <v>1000</v>
      </c>
      <c r="P10070" t="s">
        <v>22725</v>
      </c>
      <c r="Q10070">
        <v>9663</v>
      </c>
      <c r="R10070" t="s">
        <v>23</v>
      </c>
      <c r="S10070" s="1" t="s">
        <v>34218</v>
      </c>
    </row>
    <row r="10071" spans="1:19" x14ac:dyDescent="0.25">
      <c r="A10071">
        <v>101334093</v>
      </c>
      <c r="B10071" t="s">
        <v>22726</v>
      </c>
      <c r="C10071" t="s">
        <v>557</v>
      </c>
      <c r="G10071" t="s">
        <v>22727</v>
      </c>
      <c r="H10071" t="s">
        <v>1196</v>
      </c>
      <c r="I10071" t="s">
        <v>52</v>
      </c>
      <c r="J10071" t="s">
        <v>22728</v>
      </c>
      <c r="K10071">
        <v>9109</v>
      </c>
      <c r="L10071" t="s">
        <v>23</v>
      </c>
      <c r="M10071" t="s">
        <v>22727</v>
      </c>
      <c r="N10071" t="s">
        <v>1196</v>
      </c>
      <c r="O10071" t="s">
        <v>52</v>
      </c>
      <c r="P10071" t="s">
        <v>22728</v>
      </c>
      <c r="Q10071">
        <v>9109</v>
      </c>
      <c r="R10071" t="s">
        <v>23</v>
      </c>
      <c r="S10071" s="1" t="s">
        <v>34218</v>
      </c>
    </row>
    <row r="10072" spans="1:19" x14ac:dyDescent="0.25">
      <c r="A10072">
        <v>101297851</v>
      </c>
      <c r="B10072" t="s">
        <v>22729</v>
      </c>
      <c r="C10072" t="s">
        <v>2044</v>
      </c>
      <c r="G10072" t="s">
        <v>22730</v>
      </c>
      <c r="H10072" t="s">
        <v>15158</v>
      </c>
      <c r="I10072" t="s">
        <v>178</v>
      </c>
      <c r="J10072" t="s">
        <v>22731</v>
      </c>
      <c r="K10072">
        <v>8849</v>
      </c>
      <c r="L10072" t="s">
        <v>23</v>
      </c>
      <c r="M10072" t="s">
        <v>22730</v>
      </c>
      <c r="N10072" t="s">
        <v>15158</v>
      </c>
      <c r="O10072" t="s">
        <v>178</v>
      </c>
      <c r="P10072" t="s">
        <v>22731</v>
      </c>
      <c r="Q10072">
        <v>8849</v>
      </c>
      <c r="R10072" t="s">
        <v>23</v>
      </c>
      <c r="S10072" s="1" t="s">
        <v>34218</v>
      </c>
    </row>
    <row r="10073" spans="1:19" x14ac:dyDescent="0.25">
      <c r="A10073">
        <v>101182934</v>
      </c>
      <c r="B10073" t="s">
        <v>11830</v>
      </c>
      <c r="C10073" t="s">
        <v>30</v>
      </c>
      <c r="G10073" t="s">
        <v>22732</v>
      </c>
      <c r="H10073" t="s">
        <v>650</v>
      </c>
      <c r="I10073" t="s">
        <v>22</v>
      </c>
      <c r="J10073" t="s">
        <v>22733</v>
      </c>
      <c r="K10073">
        <v>5277</v>
      </c>
      <c r="L10073" t="s">
        <v>23</v>
      </c>
      <c r="M10073" t="s">
        <v>22732</v>
      </c>
      <c r="N10073" t="s">
        <v>650</v>
      </c>
      <c r="O10073" t="s">
        <v>22</v>
      </c>
      <c r="P10073" t="s">
        <v>22733</v>
      </c>
      <c r="Q10073">
        <v>5277</v>
      </c>
      <c r="R10073" t="s">
        <v>23</v>
      </c>
      <c r="S10073" s="1" t="s">
        <v>34218</v>
      </c>
    </row>
    <row r="10074" spans="1:19" x14ac:dyDescent="0.25">
      <c r="A10074">
        <v>101272799</v>
      </c>
      <c r="B10074" t="s">
        <v>22734</v>
      </c>
      <c r="C10074" t="s">
        <v>787</v>
      </c>
      <c r="G10074" t="s">
        <v>22735</v>
      </c>
      <c r="H10074" t="s">
        <v>22736</v>
      </c>
      <c r="I10074" t="s">
        <v>84</v>
      </c>
      <c r="J10074" t="s">
        <v>22737</v>
      </c>
      <c r="K10074">
        <v>3252</v>
      </c>
      <c r="L10074" t="s">
        <v>23</v>
      </c>
      <c r="M10074" t="s">
        <v>22735</v>
      </c>
      <c r="N10074" t="s">
        <v>22736</v>
      </c>
      <c r="O10074" t="s">
        <v>84</v>
      </c>
      <c r="P10074" t="s">
        <v>22737</v>
      </c>
      <c r="Q10074">
        <v>3252</v>
      </c>
      <c r="R10074" t="s">
        <v>23</v>
      </c>
      <c r="S10074" s="1" t="s">
        <v>34218</v>
      </c>
    </row>
    <row r="10075" spans="1:19" x14ac:dyDescent="0.25">
      <c r="A10075">
        <v>100515584</v>
      </c>
      <c r="B10075" t="s">
        <v>22738</v>
      </c>
      <c r="C10075" t="s">
        <v>3909</v>
      </c>
      <c r="G10075" t="s">
        <v>22739</v>
      </c>
      <c r="H10075" t="s">
        <v>3444</v>
      </c>
      <c r="I10075" t="s">
        <v>117</v>
      </c>
      <c r="J10075" t="s">
        <v>22740</v>
      </c>
      <c r="K10075">
        <v>2470</v>
      </c>
      <c r="L10075" t="s">
        <v>23</v>
      </c>
      <c r="M10075" t="s">
        <v>22739</v>
      </c>
      <c r="N10075" t="s">
        <v>3444</v>
      </c>
      <c r="O10075" t="s">
        <v>117</v>
      </c>
      <c r="P10075" t="s">
        <v>22740</v>
      </c>
      <c r="Q10075">
        <v>2470</v>
      </c>
      <c r="R10075" t="s">
        <v>23</v>
      </c>
      <c r="S10075" s="1" t="s">
        <v>34218</v>
      </c>
    </row>
    <row r="10076" spans="1:19" x14ac:dyDescent="0.25">
      <c r="A10076">
        <v>101289704</v>
      </c>
      <c r="B10076" t="s">
        <v>3835</v>
      </c>
      <c r="C10076" t="s">
        <v>2892</v>
      </c>
      <c r="G10076">
        <v>717</v>
      </c>
      <c r="H10076" t="s">
        <v>1604</v>
      </c>
      <c r="I10076" t="s">
        <v>914</v>
      </c>
      <c r="J10076">
        <v>38401</v>
      </c>
      <c r="L10076" t="s">
        <v>23</v>
      </c>
      <c r="M10076">
        <v>717</v>
      </c>
      <c r="N10076" t="s">
        <v>1604</v>
      </c>
      <c r="O10076" t="s">
        <v>914</v>
      </c>
      <c r="P10076">
        <v>38401</v>
      </c>
      <c r="R10076" t="s">
        <v>23</v>
      </c>
      <c r="S10076" s="1" t="s">
        <v>34218</v>
      </c>
    </row>
    <row r="10077" spans="1:19" x14ac:dyDescent="0.25">
      <c r="A10077">
        <v>100726777</v>
      </c>
      <c r="B10077" t="s">
        <v>22741</v>
      </c>
      <c r="C10077" t="s">
        <v>627</v>
      </c>
      <c r="G10077" t="s">
        <v>22742</v>
      </c>
      <c r="H10077" t="s">
        <v>2798</v>
      </c>
      <c r="I10077" t="s">
        <v>84</v>
      </c>
      <c r="J10077" t="s">
        <v>22743</v>
      </c>
      <c r="K10077">
        <v>1469</v>
      </c>
      <c r="L10077" t="s">
        <v>23</v>
      </c>
      <c r="M10077" t="s">
        <v>22742</v>
      </c>
      <c r="N10077" t="s">
        <v>2798</v>
      </c>
      <c r="O10077" t="s">
        <v>84</v>
      </c>
      <c r="P10077" t="s">
        <v>22743</v>
      </c>
      <c r="Q10077">
        <v>1469</v>
      </c>
      <c r="R10077" t="s">
        <v>23</v>
      </c>
      <c r="S10077" s="1" t="s">
        <v>34218</v>
      </c>
    </row>
    <row r="10078" spans="1:19" x14ac:dyDescent="0.25">
      <c r="A10078">
        <v>101449486</v>
      </c>
      <c r="B10078" t="s">
        <v>22744</v>
      </c>
      <c r="C10078" t="s">
        <v>251</v>
      </c>
      <c r="G10078" t="s">
        <v>22745</v>
      </c>
      <c r="H10078" t="s">
        <v>22746</v>
      </c>
      <c r="I10078" t="s">
        <v>255</v>
      </c>
      <c r="J10078">
        <v>24151</v>
      </c>
      <c r="K10078">
        <v>5694</v>
      </c>
      <c r="L10078" t="s">
        <v>23</v>
      </c>
      <c r="M10078" t="s">
        <v>22745</v>
      </c>
      <c r="N10078" t="s">
        <v>22746</v>
      </c>
      <c r="O10078" t="s">
        <v>255</v>
      </c>
      <c r="P10078">
        <v>24151</v>
      </c>
      <c r="Q10078">
        <v>5694</v>
      </c>
      <c r="R10078" t="s">
        <v>23</v>
      </c>
      <c r="S10078" s="1" t="s">
        <v>34218</v>
      </c>
    </row>
    <row r="10079" spans="1:19" x14ac:dyDescent="0.25">
      <c r="A10079">
        <v>101257434</v>
      </c>
      <c r="B10079" t="s">
        <v>22747</v>
      </c>
      <c r="C10079" t="s">
        <v>494</v>
      </c>
      <c r="G10079" t="s">
        <v>22748</v>
      </c>
      <c r="H10079" t="s">
        <v>22749</v>
      </c>
      <c r="I10079" t="s">
        <v>365</v>
      </c>
      <c r="J10079">
        <v>85615</v>
      </c>
      <c r="K10079">
        <v>7702</v>
      </c>
      <c r="L10079" t="s">
        <v>23</v>
      </c>
      <c r="M10079" t="s">
        <v>22748</v>
      </c>
      <c r="N10079" t="s">
        <v>22749</v>
      </c>
      <c r="O10079" t="s">
        <v>365</v>
      </c>
      <c r="P10079">
        <v>85615</v>
      </c>
      <c r="Q10079">
        <v>7702</v>
      </c>
      <c r="R10079" t="s">
        <v>23</v>
      </c>
      <c r="S10079" s="1" t="s">
        <v>34218</v>
      </c>
    </row>
    <row r="10080" spans="1:19" x14ac:dyDescent="0.25">
      <c r="A10080">
        <v>101134966</v>
      </c>
      <c r="B10080" t="s">
        <v>22750</v>
      </c>
      <c r="C10080" t="s">
        <v>399</v>
      </c>
      <c r="G10080" t="s">
        <v>22751</v>
      </c>
      <c r="H10080" t="s">
        <v>2875</v>
      </c>
      <c r="I10080" t="s">
        <v>135</v>
      </c>
      <c r="J10080" t="s">
        <v>22752</v>
      </c>
      <c r="K10080">
        <v>1364</v>
      </c>
      <c r="L10080" t="s">
        <v>23</v>
      </c>
      <c r="M10080" t="s">
        <v>22751</v>
      </c>
      <c r="N10080" t="s">
        <v>2875</v>
      </c>
      <c r="O10080" t="s">
        <v>135</v>
      </c>
      <c r="P10080" t="s">
        <v>22752</v>
      </c>
      <c r="Q10080">
        <v>1364</v>
      </c>
      <c r="R10080" t="s">
        <v>23</v>
      </c>
      <c r="S10080" s="1" t="s">
        <v>34218</v>
      </c>
    </row>
    <row r="10081" spans="1:19" x14ac:dyDescent="0.25">
      <c r="A10081">
        <v>101479804</v>
      </c>
      <c r="B10081" t="s">
        <v>22753</v>
      </c>
      <c r="C10081" t="s">
        <v>3951</v>
      </c>
      <c r="G10081" t="s">
        <v>22754</v>
      </c>
      <c r="H10081" t="s">
        <v>1048</v>
      </c>
      <c r="I10081" t="s">
        <v>446</v>
      </c>
      <c r="J10081">
        <v>28791</v>
      </c>
      <c r="K10081">
        <v>3254</v>
      </c>
      <c r="L10081" t="s">
        <v>23</v>
      </c>
      <c r="M10081" t="s">
        <v>22754</v>
      </c>
      <c r="N10081" t="s">
        <v>1048</v>
      </c>
      <c r="O10081" t="s">
        <v>446</v>
      </c>
      <c r="P10081">
        <v>28791</v>
      </c>
      <c r="Q10081">
        <v>3254</v>
      </c>
      <c r="R10081" t="s">
        <v>23</v>
      </c>
      <c r="S10081" s="1" t="s">
        <v>34218</v>
      </c>
    </row>
    <row r="10082" spans="1:19" x14ac:dyDescent="0.25">
      <c r="A10082">
        <v>101479835</v>
      </c>
      <c r="B10082" t="s">
        <v>3196</v>
      </c>
      <c r="C10082" t="s">
        <v>274</v>
      </c>
      <c r="G10082" t="s">
        <v>22755</v>
      </c>
      <c r="H10082" t="s">
        <v>872</v>
      </c>
      <c r="I10082" t="s">
        <v>52</v>
      </c>
      <c r="J10082">
        <v>34982</v>
      </c>
      <c r="K10082">
        <v>3715</v>
      </c>
      <c r="L10082" t="s">
        <v>23</v>
      </c>
      <c r="M10082" t="s">
        <v>22755</v>
      </c>
      <c r="N10082" t="s">
        <v>872</v>
      </c>
      <c r="O10082" t="s">
        <v>52</v>
      </c>
      <c r="P10082">
        <v>34982</v>
      </c>
      <c r="Q10082">
        <v>3715</v>
      </c>
      <c r="R10082" t="s">
        <v>23</v>
      </c>
      <c r="S10082" s="1" t="s">
        <v>34218</v>
      </c>
    </row>
    <row r="10083" spans="1:19" x14ac:dyDescent="0.25">
      <c r="A10083">
        <v>101479904</v>
      </c>
      <c r="B10083" t="s">
        <v>22756</v>
      </c>
      <c r="C10083" t="s">
        <v>1239</v>
      </c>
      <c r="G10083" t="s">
        <v>19032</v>
      </c>
      <c r="H10083" t="s">
        <v>19033</v>
      </c>
      <c r="I10083" t="s">
        <v>187</v>
      </c>
      <c r="J10083">
        <v>56342</v>
      </c>
      <c r="K10083">
        <v>4772</v>
      </c>
      <c r="L10083" t="s">
        <v>23</v>
      </c>
      <c r="M10083" t="s">
        <v>19032</v>
      </c>
      <c r="N10083" t="s">
        <v>19033</v>
      </c>
      <c r="O10083" t="s">
        <v>187</v>
      </c>
      <c r="P10083">
        <v>56342</v>
      </c>
      <c r="Q10083">
        <v>4772</v>
      </c>
      <c r="R10083" t="s">
        <v>23</v>
      </c>
      <c r="S10083" s="1" t="s">
        <v>34218</v>
      </c>
    </row>
    <row r="10084" spans="1:19" x14ac:dyDescent="0.25">
      <c r="A10084">
        <v>101479918</v>
      </c>
      <c r="B10084" t="s">
        <v>744</v>
      </c>
      <c r="C10084" t="s">
        <v>2052</v>
      </c>
      <c r="G10084" t="s">
        <v>22757</v>
      </c>
      <c r="H10084" t="s">
        <v>8656</v>
      </c>
      <c r="I10084" t="s">
        <v>135</v>
      </c>
      <c r="J10084">
        <v>61021</v>
      </c>
      <c r="K10084">
        <v>8527</v>
      </c>
      <c r="L10084" t="s">
        <v>23</v>
      </c>
      <c r="M10084" t="s">
        <v>22757</v>
      </c>
      <c r="N10084" t="s">
        <v>8656</v>
      </c>
      <c r="O10084" t="s">
        <v>135</v>
      </c>
      <c r="P10084">
        <v>61021</v>
      </c>
      <c r="Q10084">
        <v>8527</v>
      </c>
      <c r="R10084" t="s">
        <v>23</v>
      </c>
      <c r="S10084" s="1" t="s">
        <v>34218</v>
      </c>
    </row>
    <row r="10085" spans="1:19" x14ac:dyDescent="0.25">
      <c r="A10085">
        <v>101479971</v>
      </c>
      <c r="B10085" t="s">
        <v>22758</v>
      </c>
      <c r="C10085" t="s">
        <v>123</v>
      </c>
      <c r="G10085" t="s">
        <v>22759</v>
      </c>
      <c r="H10085" t="s">
        <v>8140</v>
      </c>
      <c r="I10085" t="s">
        <v>22</v>
      </c>
      <c r="J10085">
        <v>91711</v>
      </c>
      <c r="K10085">
        <v>5245</v>
      </c>
      <c r="L10085" t="s">
        <v>23</v>
      </c>
      <c r="M10085" t="s">
        <v>22759</v>
      </c>
      <c r="N10085" t="s">
        <v>8140</v>
      </c>
      <c r="O10085" t="s">
        <v>22</v>
      </c>
      <c r="P10085">
        <v>91711</v>
      </c>
      <c r="Q10085">
        <v>5245</v>
      </c>
      <c r="R10085" t="s">
        <v>23</v>
      </c>
      <c r="S10085" s="1" t="s">
        <v>34218</v>
      </c>
    </row>
    <row r="10086" spans="1:19" x14ac:dyDescent="0.25">
      <c r="A10086">
        <v>101481164</v>
      </c>
      <c r="B10086" t="s">
        <v>22760</v>
      </c>
      <c r="C10086" t="s">
        <v>1208</v>
      </c>
      <c r="G10086" t="s">
        <v>22761</v>
      </c>
      <c r="H10086" t="s">
        <v>653</v>
      </c>
      <c r="I10086" t="s">
        <v>117</v>
      </c>
      <c r="J10086">
        <v>10009</v>
      </c>
      <c r="L10086" t="s">
        <v>23</v>
      </c>
      <c r="M10086" t="s">
        <v>22761</v>
      </c>
      <c r="N10086" t="s">
        <v>653</v>
      </c>
      <c r="O10086" t="s">
        <v>117</v>
      </c>
      <c r="P10086">
        <v>10009</v>
      </c>
      <c r="R10086" t="s">
        <v>23</v>
      </c>
      <c r="S10086" s="1" t="s">
        <v>34218</v>
      </c>
    </row>
    <row r="10087" spans="1:19" x14ac:dyDescent="0.25">
      <c r="A10087">
        <v>101481165</v>
      </c>
      <c r="B10087" t="s">
        <v>22762</v>
      </c>
      <c r="C10087" t="s">
        <v>11643</v>
      </c>
      <c r="G10087" t="s">
        <v>22763</v>
      </c>
      <c r="H10087" t="s">
        <v>22764</v>
      </c>
      <c r="I10087" t="s">
        <v>1387</v>
      </c>
      <c r="J10087">
        <v>35147</v>
      </c>
      <c r="K10087">
        <v>8032</v>
      </c>
      <c r="L10087" t="s">
        <v>23</v>
      </c>
      <c r="M10087" t="s">
        <v>22763</v>
      </c>
      <c r="N10087" t="s">
        <v>22764</v>
      </c>
      <c r="O10087" t="s">
        <v>1387</v>
      </c>
      <c r="P10087">
        <v>35147</v>
      </c>
      <c r="Q10087">
        <v>8032</v>
      </c>
      <c r="R10087" t="s">
        <v>23</v>
      </c>
      <c r="S10087" s="1" t="s">
        <v>34218</v>
      </c>
    </row>
    <row r="10088" spans="1:19" x14ac:dyDescent="0.25">
      <c r="A10088">
        <v>101467385</v>
      </c>
      <c r="B10088" t="s">
        <v>22765</v>
      </c>
      <c r="C10088" t="s">
        <v>22766</v>
      </c>
      <c r="G10088" t="s">
        <v>22767</v>
      </c>
      <c r="H10088" t="s">
        <v>22768</v>
      </c>
      <c r="I10088" t="s">
        <v>117</v>
      </c>
      <c r="J10088">
        <v>13648</v>
      </c>
      <c r="K10088">
        <v>2435</v>
      </c>
      <c r="L10088" t="s">
        <v>23</v>
      </c>
      <c r="M10088" t="s">
        <v>22767</v>
      </c>
      <c r="N10088" t="s">
        <v>22768</v>
      </c>
      <c r="O10088" t="s">
        <v>117</v>
      </c>
      <c r="P10088">
        <v>13648</v>
      </c>
      <c r="Q10088">
        <v>2435</v>
      </c>
      <c r="R10088" t="s">
        <v>23</v>
      </c>
      <c r="S10088" s="1" t="s">
        <v>34218</v>
      </c>
    </row>
    <row r="10089" spans="1:19" x14ac:dyDescent="0.25">
      <c r="A10089">
        <v>101454547</v>
      </c>
      <c r="B10089" t="s">
        <v>6897</v>
      </c>
      <c r="C10089" t="s">
        <v>959</v>
      </c>
      <c r="G10089" t="s">
        <v>22769</v>
      </c>
      <c r="H10089" t="s">
        <v>595</v>
      </c>
      <c r="I10089" t="s">
        <v>22</v>
      </c>
      <c r="J10089">
        <v>94536</v>
      </c>
      <c r="K10089">
        <v>2641</v>
      </c>
      <c r="L10089" t="s">
        <v>23</v>
      </c>
      <c r="M10089" t="s">
        <v>22769</v>
      </c>
      <c r="N10089" t="s">
        <v>595</v>
      </c>
      <c r="O10089" t="s">
        <v>22</v>
      </c>
      <c r="P10089">
        <v>94536</v>
      </c>
      <c r="Q10089">
        <v>2641</v>
      </c>
      <c r="R10089" t="s">
        <v>23</v>
      </c>
      <c r="S10089" s="1" t="s">
        <v>34218</v>
      </c>
    </row>
    <row r="10090" spans="1:19" x14ac:dyDescent="0.25">
      <c r="A10090">
        <v>101421883</v>
      </c>
      <c r="B10090" t="s">
        <v>22770</v>
      </c>
      <c r="C10090" t="s">
        <v>90</v>
      </c>
      <c r="G10090" t="s">
        <v>22771</v>
      </c>
      <c r="H10090" t="s">
        <v>22772</v>
      </c>
      <c r="I10090" t="s">
        <v>71</v>
      </c>
      <c r="J10090">
        <v>80817</v>
      </c>
      <c r="K10090">
        <v>2064</v>
      </c>
      <c r="L10090" t="s">
        <v>23</v>
      </c>
      <c r="M10090" t="s">
        <v>22771</v>
      </c>
      <c r="N10090" t="s">
        <v>22772</v>
      </c>
      <c r="O10090" t="s">
        <v>71</v>
      </c>
      <c r="P10090">
        <v>80817</v>
      </c>
      <c r="Q10090">
        <v>2064</v>
      </c>
      <c r="R10090" t="s">
        <v>23</v>
      </c>
      <c r="S10090" s="1" t="s">
        <v>34218</v>
      </c>
    </row>
    <row r="10091" spans="1:19" x14ac:dyDescent="0.25">
      <c r="A10091">
        <v>101409600</v>
      </c>
      <c r="B10091" t="s">
        <v>22773</v>
      </c>
      <c r="C10091" t="s">
        <v>9958</v>
      </c>
      <c r="G10091" t="s">
        <v>22774</v>
      </c>
      <c r="H10091" t="s">
        <v>360</v>
      </c>
      <c r="I10091" t="s">
        <v>22</v>
      </c>
      <c r="J10091">
        <v>94085</v>
      </c>
      <c r="K10091">
        <v>3939</v>
      </c>
      <c r="L10091" t="s">
        <v>23</v>
      </c>
      <c r="M10091" t="s">
        <v>22774</v>
      </c>
      <c r="N10091" t="s">
        <v>360</v>
      </c>
      <c r="O10091" t="s">
        <v>22</v>
      </c>
      <c r="P10091">
        <v>94085</v>
      </c>
      <c r="Q10091">
        <v>3939</v>
      </c>
      <c r="R10091" t="s">
        <v>23</v>
      </c>
      <c r="S10091" s="1" t="s">
        <v>34218</v>
      </c>
    </row>
    <row r="10092" spans="1:19" x14ac:dyDescent="0.25">
      <c r="A10092">
        <v>101274613</v>
      </c>
      <c r="B10092" t="s">
        <v>11949</v>
      </c>
      <c r="C10092" t="s">
        <v>1036</v>
      </c>
      <c r="G10092" t="s">
        <v>22775</v>
      </c>
      <c r="H10092" t="s">
        <v>299</v>
      </c>
      <c r="I10092" t="s">
        <v>22</v>
      </c>
      <c r="J10092">
        <v>90042</v>
      </c>
      <c r="K10092">
        <v>1352</v>
      </c>
      <c r="L10092" t="s">
        <v>23</v>
      </c>
      <c r="M10092" t="s">
        <v>22775</v>
      </c>
      <c r="N10092" t="s">
        <v>299</v>
      </c>
      <c r="O10092" t="s">
        <v>22</v>
      </c>
      <c r="P10092">
        <v>90042</v>
      </c>
      <c r="Q10092">
        <v>1352</v>
      </c>
      <c r="R10092" t="s">
        <v>23</v>
      </c>
      <c r="S10092" s="1" t="s">
        <v>34218</v>
      </c>
    </row>
    <row r="10093" spans="1:19" x14ac:dyDescent="0.25">
      <c r="A10093">
        <v>100966459</v>
      </c>
      <c r="B10093" t="s">
        <v>10326</v>
      </c>
      <c r="C10093" t="s">
        <v>14963</v>
      </c>
      <c r="G10093" t="s">
        <v>22776</v>
      </c>
      <c r="H10093" t="s">
        <v>1863</v>
      </c>
      <c r="I10093" t="s">
        <v>241</v>
      </c>
      <c r="J10093">
        <v>66104</v>
      </c>
      <c r="K10093">
        <v>1956</v>
      </c>
      <c r="L10093" t="s">
        <v>23</v>
      </c>
      <c r="M10093" t="s">
        <v>22776</v>
      </c>
      <c r="N10093" t="s">
        <v>1863</v>
      </c>
      <c r="O10093" t="s">
        <v>241</v>
      </c>
      <c r="P10093">
        <v>66104</v>
      </c>
      <c r="Q10093">
        <v>1956</v>
      </c>
      <c r="R10093" t="s">
        <v>23</v>
      </c>
      <c r="S10093" s="1" t="s">
        <v>34218</v>
      </c>
    </row>
    <row r="10094" spans="1:19" x14ac:dyDescent="0.25">
      <c r="A10094">
        <v>101474337</v>
      </c>
      <c r="B10094" t="s">
        <v>6903</v>
      </c>
      <c r="C10094" t="s">
        <v>8884</v>
      </c>
      <c r="G10094" t="s">
        <v>22777</v>
      </c>
      <c r="H10094" t="s">
        <v>2910</v>
      </c>
      <c r="I10094" t="s">
        <v>52</v>
      </c>
      <c r="J10094">
        <v>34242</v>
      </c>
      <c r="K10094">
        <v>3347</v>
      </c>
      <c r="L10094" t="s">
        <v>23</v>
      </c>
      <c r="M10094" t="s">
        <v>22777</v>
      </c>
      <c r="N10094" t="s">
        <v>2910</v>
      </c>
      <c r="O10094" t="s">
        <v>52</v>
      </c>
      <c r="P10094">
        <v>34242</v>
      </c>
      <c r="Q10094">
        <v>3347</v>
      </c>
      <c r="R10094" t="s">
        <v>23</v>
      </c>
      <c r="S10094" s="1" t="s">
        <v>34218</v>
      </c>
    </row>
    <row r="10095" spans="1:19" x14ac:dyDescent="0.25">
      <c r="A10095">
        <v>101474353</v>
      </c>
      <c r="B10095" t="s">
        <v>22778</v>
      </c>
      <c r="C10095" t="s">
        <v>838</v>
      </c>
      <c r="G10095" t="s">
        <v>22779</v>
      </c>
      <c r="H10095" t="s">
        <v>22780</v>
      </c>
      <c r="I10095" t="s">
        <v>117</v>
      </c>
      <c r="J10095">
        <v>11694</v>
      </c>
      <c r="K10095">
        <v>2695</v>
      </c>
      <c r="L10095" t="s">
        <v>23</v>
      </c>
      <c r="M10095" t="s">
        <v>22779</v>
      </c>
      <c r="N10095" t="s">
        <v>22780</v>
      </c>
      <c r="O10095" t="s">
        <v>117</v>
      </c>
      <c r="P10095">
        <v>11694</v>
      </c>
      <c r="Q10095">
        <v>2695</v>
      </c>
      <c r="R10095" t="s">
        <v>23</v>
      </c>
      <c r="S10095" s="1" t="s">
        <v>34218</v>
      </c>
    </row>
    <row r="10096" spans="1:19" x14ac:dyDescent="0.25">
      <c r="A10096">
        <v>101449349</v>
      </c>
      <c r="B10096" t="s">
        <v>22781</v>
      </c>
      <c r="C10096" t="s">
        <v>22782</v>
      </c>
      <c r="G10096" t="s">
        <v>22783</v>
      </c>
      <c r="H10096" t="s">
        <v>37</v>
      </c>
      <c r="I10096" t="s">
        <v>38</v>
      </c>
      <c r="J10096">
        <v>78704</v>
      </c>
      <c r="K10096">
        <v>4880</v>
      </c>
      <c r="L10096" t="s">
        <v>23</v>
      </c>
      <c r="M10096" t="s">
        <v>22783</v>
      </c>
      <c r="N10096" t="s">
        <v>37</v>
      </c>
      <c r="O10096" t="s">
        <v>38</v>
      </c>
      <c r="P10096">
        <v>78704</v>
      </c>
      <c r="Q10096">
        <v>4880</v>
      </c>
      <c r="R10096" t="s">
        <v>23</v>
      </c>
      <c r="S10096" s="1" t="s">
        <v>34218</v>
      </c>
    </row>
    <row r="10097" spans="1:19" x14ac:dyDescent="0.25">
      <c r="A10097">
        <v>101474360</v>
      </c>
      <c r="B10097" t="s">
        <v>22784</v>
      </c>
      <c r="C10097" t="s">
        <v>12846</v>
      </c>
      <c r="G10097" t="s">
        <v>22785</v>
      </c>
      <c r="H10097" t="s">
        <v>17995</v>
      </c>
      <c r="I10097" t="s">
        <v>135</v>
      </c>
      <c r="J10097">
        <v>60188</v>
      </c>
      <c r="K10097">
        <v>4715</v>
      </c>
      <c r="L10097" t="s">
        <v>23</v>
      </c>
      <c r="M10097" t="s">
        <v>22785</v>
      </c>
      <c r="N10097" t="s">
        <v>17995</v>
      </c>
      <c r="O10097" t="s">
        <v>135</v>
      </c>
      <c r="P10097">
        <v>60188</v>
      </c>
      <c r="Q10097">
        <v>4715</v>
      </c>
      <c r="R10097" t="s">
        <v>23</v>
      </c>
      <c r="S10097" s="1" t="s">
        <v>34218</v>
      </c>
    </row>
    <row r="10098" spans="1:19" x14ac:dyDescent="0.25">
      <c r="A10098">
        <v>101453172</v>
      </c>
      <c r="B10098" t="s">
        <v>22786</v>
      </c>
      <c r="C10098" t="s">
        <v>1218</v>
      </c>
      <c r="G10098" t="s">
        <v>22787</v>
      </c>
      <c r="H10098" t="s">
        <v>27</v>
      </c>
      <c r="I10098" t="s">
        <v>28</v>
      </c>
      <c r="J10098">
        <v>30309</v>
      </c>
      <c r="K10098">
        <v>5408</v>
      </c>
      <c r="L10098" t="s">
        <v>23</v>
      </c>
      <c r="M10098" t="s">
        <v>22787</v>
      </c>
      <c r="N10098" t="s">
        <v>27</v>
      </c>
      <c r="O10098" t="s">
        <v>28</v>
      </c>
      <c r="P10098">
        <v>30309</v>
      </c>
      <c r="Q10098">
        <v>5408</v>
      </c>
      <c r="R10098" t="s">
        <v>23</v>
      </c>
      <c r="S10098" s="1" t="s">
        <v>34218</v>
      </c>
    </row>
    <row r="10099" spans="1:19" x14ac:dyDescent="0.25">
      <c r="A10099">
        <v>101454122</v>
      </c>
      <c r="B10099" t="s">
        <v>2328</v>
      </c>
      <c r="C10099" t="s">
        <v>22788</v>
      </c>
      <c r="G10099" t="s">
        <v>22789</v>
      </c>
      <c r="H10099" t="s">
        <v>17585</v>
      </c>
      <c r="I10099" t="s">
        <v>71</v>
      </c>
      <c r="J10099">
        <v>80129</v>
      </c>
      <c r="K10099">
        <v>1842</v>
      </c>
      <c r="L10099" t="s">
        <v>23</v>
      </c>
      <c r="M10099" t="s">
        <v>22789</v>
      </c>
      <c r="N10099" t="s">
        <v>17585</v>
      </c>
      <c r="O10099" t="s">
        <v>71</v>
      </c>
      <c r="P10099">
        <v>80129</v>
      </c>
      <c r="Q10099">
        <v>1842</v>
      </c>
      <c r="R10099" t="s">
        <v>23</v>
      </c>
      <c r="S10099" s="1" t="s">
        <v>34218</v>
      </c>
    </row>
    <row r="10100" spans="1:19" x14ac:dyDescent="0.25">
      <c r="A10100">
        <v>101431624</v>
      </c>
      <c r="B10100" t="s">
        <v>22790</v>
      </c>
      <c r="C10100" t="s">
        <v>22791</v>
      </c>
      <c r="G10100" t="s">
        <v>22792</v>
      </c>
      <c r="H10100" t="s">
        <v>75</v>
      </c>
      <c r="I10100" t="s">
        <v>22</v>
      </c>
      <c r="J10100">
        <v>94559</v>
      </c>
      <c r="L10100" t="s">
        <v>23</v>
      </c>
      <c r="M10100" t="s">
        <v>22792</v>
      </c>
      <c r="N10100" t="s">
        <v>75</v>
      </c>
      <c r="O10100" t="s">
        <v>22</v>
      </c>
      <c r="P10100">
        <v>94559</v>
      </c>
      <c r="R10100" t="s">
        <v>23</v>
      </c>
      <c r="S10100" s="1" t="s">
        <v>34218</v>
      </c>
    </row>
    <row r="10101" spans="1:19" x14ac:dyDescent="0.25">
      <c r="A10101">
        <v>101451577</v>
      </c>
      <c r="B10101" t="s">
        <v>10326</v>
      </c>
      <c r="C10101" t="s">
        <v>440</v>
      </c>
      <c r="G10101" t="s">
        <v>22793</v>
      </c>
      <c r="H10101" t="s">
        <v>3737</v>
      </c>
      <c r="I10101" t="s">
        <v>203</v>
      </c>
      <c r="J10101">
        <v>82604</v>
      </c>
      <c r="K10101">
        <v>3542</v>
      </c>
      <c r="L10101" t="s">
        <v>23</v>
      </c>
      <c r="M10101" t="s">
        <v>22793</v>
      </c>
      <c r="N10101" t="s">
        <v>3737</v>
      </c>
      <c r="O10101" t="s">
        <v>203</v>
      </c>
      <c r="P10101">
        <v>82604</v>
      </c>
      <c r="Q10101">
        <v>3542</v>
      </c>
      <c r="R10101" t="s">
        <v>23</v>
      </c>
      <c r="S10101" s="1" t="s">
        <v>34218</v>
      </c>
    </row>
    <row r="10102" spans="1:19" x14ac:dyDescent="0.25">
      <c r="A10102">
        <v>101343877</v>
      </c>
      <c r="B10102" t="s">
        <v>14610</v>
      </c>
      <c r="C10102" t="s">
        <v>54</v>
      </c>
      <c r="G10102" t="s">
        <v>22794</v>
      </c>
      <c r="H10102" t="s">
        <v>27</v>
      </c>
      <c r="I10102" t="s">
        <v>28</v>
      </c>
      <c r="J10102">
        <v>30324</v>
      </c>
      <c r="L10102" t="s">
        <v>23</v>
      </c>
      <c r="M10102" t="s">
        <v>22794</v>
      </c>
      <c r="N10102" t="s">
        <v>27</v>
      </c>
      <c r="O10102" t="s">
        <v>28</v>
      </c>
      <c r="P10102">
        <v>30324</v>
      </c>
      <c r="R10102" t="s">
        <v>23</v>
      </c>
      <c r="S10102" s="1" t="s">
        <v>34218</v>
      </c>
    </row>
    <row r="10103" spans="1:19" x14ac:dyDescent="0.25">
      <c r="A10103">
        <v>101474430</v>
      </c>
      <c r="B10103" t="s">
        <v>1581</v>
      </c>
      <c r="C10103" t="s">
        <v>636</v>
      </c>
      <c r="G10103" t="s">
        <v>22795</v>
      </c>
      <c r="H10103" t="s">
        <v>130</v>
      </c>
      <c r="I10103" t="s">
        <v>22</v>
      </c>
      <c r="J10103">
        <v>94108</v>
      </c>
      <c r="K10103">
        <v>2965</v>
      </c>
      <c r="L10103" t="s">
        <v>23</v>
      </c>
      <c r="M10103" t="s">
        <v>22795</v>
      </c>
      <c r="N10103" t="s">
        <v>130</v>
      </c>
      <c r="O10103" t="s">
        <v>22</v>
      </c>
      <c r="P10103">
        <v>94108</v>
      </c>
      <c r="Q10103">
        <v>2965</v>
      </c>
      <c r="R10103" t="s">
        <v>23</v>
      </c>
      <c r="S10103" s="1" t="s">
        <v>34218</v>
      </c>
    </row>
    <row r="10104" spans="1:19" x14ac:dyDescent="0.25">
      <c r="A10104">
        <v>101447822</v>
      </c>
      <c r="B10104" t="s">
        <v>22796</v>
      </c>
      <c r="C10104" t="s">
        <v>22797</v>
      </c>
      <c r="G10104" t="s">
        <v>22798</v>
      </c>
      <c r="H10104" t="s">
        <v>15596</v>
      </c>
      <c r="I10104" t="s">
        <v>135</v>
      </c>
      <c r="J10104">
        <v>60707</v>
      </c>
      <c r="K10104">
        <v>3165</v>
      </c>
      <c r="L10104" t="s">
        <v>23</v>
      </c>
      <c r="M10104" t="s">
        <v>22798</v>
      </c>
      <c r="N10104" t="s">
        <v>15596</v>
      </c>
      <c r="O10104" t="s">
        <v>135</v>
      </c>
      <c r="P10104">
        <v>60707</v>
      </c>
      <c r="Q10104">
        <v>3165</v>
      </c>
      <c r="R10104" t="s">
        <v>23</v>
      </c>
      <c r="S10104" s="1" t="s">
        <v>34218</v>
      </c>
    </row>
    <row r="10105" spans="1:19" x14ac:dyDescent="0.25">
      <c r="A10105">
        <v>100598469</v>
      </c>
      <c r="B10105" t="s">
        <v>1326</v>
      </c>
      <c r="C10105" t="s">
        <v>20227</v>
      </c>
      <c r="G10105" t="s">
        <v>22799</v>
      </c>
      <c r="H10105" t="s">
        <v>195</v>
      </c>
      <c r="I10105" t="s">
        <v>22</v>
      </c>
      <c r="J10105">
        <v>95073</v>
      </c>
      <c r="K10105">
        <v>2670</v>
      </c>
      <c r="L10105" t="s">
        <v>23</v>
      </c>
      <c r="M10105" t="s">
        <v>22799</v>
      </c>
      <c r="N10105" t="s">
        <v>195</v>
      </c>
      <c r="O10105" t="s">
        <v>22</v>
      </c>
      <c r="P10105">
        <v>95073</v>
      </c>
      <c r="Q10105">
        <v>2670</v>
      </c>
      <c r="R10105" t="s">
        <v>23</v>
      </c>
      <c r="S10105" s="1" t="s">
        <v>34218</v>
      </c>
    </row>
    <row r="10106" spans="1:19" x14ac:dyDescent="0.25">
      <c r="A10106">
        <v>101480595</v>
      </c>
      <c r="B10106" t="s">
        <v>15280</v>
      </c>
      <c r="C10106" t="s">
        <v>641</v>
      </c>
      <c r="G10106" t="s">
        <v>15281</v>
      </c>
      <c r="H10106" t="s">
        <v>15282</v>
      </c>
      <c r="I10106" t="s">
        <v>33</v>
      </c>
      <c r="J10106">
        <v>17565</v>
      </c>
      <c r="K10106">
        <v>9003</v>
      </c>
      <c r="L10106" t="s">
        <v>23</v>
      </c>
      <c r="M10106" t="s">
        <v>15281</v>
      </c>
      <c r="N10106" t="s">
        <v>15282</v>
      </c>
      <c r="O10106" t="s">
        <v>33</v>
      </c>
      <c r="P10106">
        <v>17565</v>
      </c>
      <c r="Q10106">
        <v>9003</v>
      </c>
      <c r="R10106" t="s">
        <v>23</v>
      </c>
      <c r="S10106" s="1" t="s">
        <v>34218</v>
      </c>
    </row>
    <row r="10107" spans="1:19" x14ac:dyDescent="0.25">
      <c r="A10107">
        <v>101453770</v>
      </c>
      <c r="B10107" t="s">
        <v>22800</v>
      </c>
      <c r="C10107" t="s">
        <v>11488</v>
      </c>
      <c r="G10107" t="s">
        <v>22801</v>
      </c>
      <c r="H10107" t="s">
        <v>143</v>
      </c>
      <c r="I10107" t="s">
        <v>52</v>
      </c>
      <c r="J10107">
        <v>32256</v>
      </c>
      <c r="K10107">
        <v>3224</v>
      </c>
      <c r="L10107" t="s">
        <v>23</v>
      </c>
      <c r="M10107" t="s">
        <v>22801</v>
      </c>
      <c r="N10107" t="s">
        <v>143</v>
      </c>
      <c r="O10107" t="s">
        <v>52</v>
      </c>
      <c r="P10107">
        <v>32256</v>
      </c>
      <c r="Q10107">
        <v>3224</v>
      </c>
      <c r="R10107" t="s">
        <v>23</v>
      </c>
      <c r="S10107" s="1" t="s">
        <v>34218</v>
      </c>
    </row>
    <row r="10108" spans="1:19" x14ac:dyDescent="0.25">
      <c r="A10108">
        <v>101465963</v>
      </c>
      <c r="B10108" t="s">
        <v>22802</v>
      </c>
      <c r="C10108" t="s">
        <v>22803</v>
      </c>
      <c r="G10108" t="s">
        <v>22804</v>
      </c>
      <c r="H10108" t="s">
        <v>18788</v>
      </c>
      <c r="I10108" t="s">
        <v>365</v>
      </c>
      <c r="J10108">
        <v>86325</v>
      </c>
      <c r="K10108">
        <v>4810</v>
      </c>
      <c r="L10108" t="s">
        <v>23</v>
      </c>
      <c r="M10108" t="s">
        <v>22804</v>
      </c>
      <c r="N10108" t="s">
        <v>18788</v>
      </c>
      <c r="O10108" t="s">
        <v>365</v>
      </c>
      <c r="P10108">
        <v>86325</v>
      </c>
      <c r="Q10108">
        <v>4810</v>
      </c>
      <c r="R10108" t="s">
        <v>23</v>
      </c>
      <c r="S10108" s="1" t="s">
        <v>34218</v>
      </c>
    </row>
    <row r="10109" spans="1:19" x14ac:dyDescent="0.25">
      <c r="A10109">
        <v>101480603</v>
      </c>
      <c r="B10109" t="s">
        <v>22805</v>
      </c>
      <c r="C10109" t="s">
        <v>2127</v>
      </c>
      <c r="G10109" t="s">
        <v>22806</v>
      </c>
      <c r="H10109" t="s">
        <v>4929</v>
      </c>
      <c r="I10109" t="s">
        <v>135</v>
      </c>
      <c r="J10109">
        <v>61415</v>
      </c>
      <c r="K10109">
        <v>9060</v>
      </c>
      <c r="L10109" t="s">
        <v>23</v>
      </c>
      <c r="M10109" t="s">
        <v>22806</v>
      </c>
      <c r="N10109" t="s">
        <v>4929</v>
      </c>
      <c r="O10109" t="s">
        <v>135</v>
      </c>
      <c r="P10109">
        <v>61415</v>
      </c>
      <c r="Q10109">
        <v>9060</v>
      </c>
      <c r="R10109" t="s">
        <v>23</v>
      </c>
      <c r="S10109" s="1" t="s">
        <v>34218</v>
      </c>
    </row>
    <row r="10110" spans="1:19" x14ac:dyDescent="0.25">
      <c r="A10110">
        <v>101475469</v>
      </c>
      <c r="B10110" t="s">
        <v>2637</v>
      </c>
      <c r="C10110" t="s">
        <v>1327</v>
      </c>
      <c r="G10110" t="s">
        <v>22807</v>
      </c>
      <c r="H10110" t="s">
        <v>2309</v>
      </c>
      <c r="I10110" t="s">
        <v>2310</v>
      </c>
      <c r="J10110">
        <v>19809</v>
      </c>
      <c r="K10110">
        <v>3019</v>
      </c>
      <c r="L10110" t="s">
        <v>23</v>
      </c>
      <c r="M10110" t="s">
        <v>22807</v>
      </c>
      <c r="N10110" t="s">
        <v>2309</v>
      </c>
      <c r="O10110" t="s">
        <v>2310</v>
      </c>
      <c r="P10110">
        <v>19809</v>
      </c>
      <c r="Q10110">
        <v>3019</v>
      </c>
      <c r="R10110" t="s">
        <v>23</v>
      </c>
      <c r="S10110" s="1" t="s">
        <v>34218</v>
      </c>
    </row>
    <row r="10111" spans="1:19" x14ac:dyDescent="0.25">
      <c r="A10111">
        <v>101199243</v>
      </c>
      <c r="B10111" t="s">
        <v>18766</v>
      </c>
      <c r="C10111" t="s">
        <v>22808</v>
      </c>
      <c r="G10111" t="s">
        <v>22809</v>
      </c>
      <c r="H10111" t="s">
        <v>1052</v>
      </c>
      <c r="I10111" t="s">
        <v>28</v>
      </c>
      <c r="J10111">
        <v>31707</v>
      </c>
      <c r="K10111">
        <v>1706</v>
      </c>
      <c r="L10111" t="s">
        <v>23</v>
      </c>
      <c r="M10111" t="s">
        <v>22809</v>
      </c>
      <c r="N10111" t="s">
        <v>1052</v>
      </c>
      <c r="O10111" t="s">
        <v>28</v>
      </c>
      <c r="P10111">
        <v>31707</v>
      </c>
      <c r="Q10111">
        <v>1706</v>
      </c>
      <c r="R10111" t="s">
        <v>23</v>
      </c>
      <c r="S10111" s="1" t="s">
        <v>34218</v>
      </c>
    </row>
    <row r="10112" spans="1:19" x14ac:dyDescent="0.25">
      <c r="A10112">
        <v>101480609</v>
      </c>
      <c r="B10112" t="s">
        <v>22810</v>
      </c>
      <c r="C10112" t="s">
        <v>699</v>
      </c>
      <c r="G10112" t="s">
        <v>22811</v>
      </c>
      <c r="H10112" t="s">
        <v>4326</v>
      </c>
      <c r="I10112" t="s">
        <v>71</v>
      </c>
      <c r="J10112">
        <v>80226</v>
      </c>
      <c r="K10112">
        <v>4761</v>
      </c>
      <c r="L10112" t="s">
        <v>23</v>
      </c>
      <c r="M10112" t="s">
        <v>22811</v>
      </c>
      <c r="N10112" t="s">
        <v>4326</v>
      </c>
      <c r="O10112" t="s">
        <v>71</v>
      </c>
      <c r="P10112">
        <v>80226</v>
      </c>
      <c r="Q10112">
        <v>4761</v>
      </c>
      <c r="R10112" t="s">
        <v>23</v>
      </c>
      <c r="S10112" s="1" t="s">
        <v>34218</v>
      </c>
    </row>
    <row r="10113" spans="1:19" x14ac:dyDescent="0.25">
      <c r="A10113">
        <v>101231061</v>
      </c>
      <c r="B10113" t="s">
        <v>497</v>
      </c>
      <c r="C10113" t="s">
        <v>399</v>
      </c>
      <c r="G10113" t="s">
        <v>22812</v>
      </c>
      <c r="H10113" t="s">
        <v>2778</v>
      </c>
      <c r="I10113" t="s">
        <v>2537</v>
      </c>
      <c r="J10113">
        <v>72034</v>
      </c>
      <c r="K10113">
        <v>7746</v>
      </c>
      <c r="L10113" t="s">
        <v>23</v>
      </c>
      <c r="M10113" t="s">
        <v>22812</v>
      </c>
      <c r="N10113" t="s">
        <v>2778</v>
      </c>
      <c r="O10113" t="s">
        <v>2537</v>
      </c>
      <c r="P10113">
        <v>72034</v>
      </c>
      <c r="Q10113">
        <v>7746</v>
      </c>
      <c r="R10113" t="s">
        <v>23</v>
      </c>
      <c r="S10113" s="1" t="s">
        <v>34218</v>
      </c>
    </row>
    <row r="10114" spans="1:19" x14ac:dyDescent="0.25">
      <c r="A10114">
        <v>101480612</v>
      </c>
      <c r="B10114" t="s">
        <v>22813</v>
      </c>
      <c r="C10114" t="s">
        <v>1703</v>
      </c>
      <c r="G10114" t="s">
        <v>22814</v>
      </c>
      <c r="H10114" t="s">
        <v>10776</v>
      </c>
      <c r="I10114" t="s">
        <v>52</v>
      </c>
      <c r="J10114">
        <v>33324</v>
      </c>
      <c r="K10114">
        <v>1120</v>
      </c>
      <c r="L10114" t="s">
        <v>23</v>
      </c>
      <c r="M10114" t="s">
        <v>22814</v>
      </c>
      <c r="N10114" t="s">
        <v>10776</v>
      </c>
      <c r="O10114" t="s">
        <v>52</v>
      </c>
      <c r="P10114">
        <v>33324</v>
      </c>
      <c r="Q10114">
        <v>1120</v>
      </c>
      <c r="R10114" t="s">
        <v>23</v>
      </c>
      <c r="S10114" s="1" t="s">
        <v>34218</v>
      </c>
    </row>
    <row r="10115" spans="1:19" x14ac:dyDescent="0.25">
      <c r="A10115">
        <v>100739559</v>
      </c>
      <c r="B10115" t="s">
        <v>4064</v>
      </c>
      <c r="C10115" t="s">
        <v>1309</v>
      </c>
      <c r="G10115" t="s">
        <v>22815</v>
      </c>
      <c r="H10115" t="s">
        <v>12726</v>
      </c>
      <c r="I10115" t="s">
        <v>100</v>
      </c>
      <c r="J10115">
        <v>53140</v>
      </c>
      <c r="K10115">
        <v>1910</v>
      </c>
      <c r="L10115" t="s">
        <v>23</v>
      </c>
      <c r="M10115" t="s">
        <v>22815</v>
      </c>
      <c r="N10115" t="s">
        <v>12726</v>
      </c>
      <c r="O10115" t="s">
        <v>100</v>
      </c>
      <c r="P10115">
        <v>53140</v>
      </c>
      <c r="Q10115">
        <v>1910</v>
      </c>
      <c r="R10115" t="s">
        <v>23</v>
      </c>
      <c r="S10115" s="1" t="s">
        <v>34218</v>
      </c>
    </row>
    <row r="10116" spans="1:19" x14ac:dyDescent="0.25">
      <c r="A10116">
        <v>101480620</v>
      </c>
      <c r="B10116" t="s">
        <v>22816</v>
      </c>
      <c r="C10116" t="s">
        <v>1218</v>
      </c>
      <c r="G10116" t="s">
        <v>22817</v>
      </c>
      <c r="H10116" t="s">
        <v>481</v>
      </c>
      <c r="I10116" t="s">
        <v>22</v>
      </c>
      <c r="J10116">
        <v>95108</v>
      </c>
      <c r="K10116">
        <v>1029</v>
      </c>
      <c r="L10116" t="s">
        <v>23</v>
      </c>
      <c r="M10116" t="s">
        <v>22817</v>
      </c>
      <c r="N10116" t="s">
        <v>481</v>
      </c>
      <c r="O10116" t="s">
        <v>22</v>
      </c>
      <c r="P10116">
        <v>95108</v>
      </c>
      <c r="Q10116">
        <v>1029</v>
      </c>
      <c r="R10116" t="s">
        <v>23</v>
      </c>
      <c r="S10116" s="1" t="s">
        <v>34218</v>
      </c>
    </row>
    <row r="10117" spans="1:19" x14ac:dyDescent="0.25">
      <c r="A10117">
        <v>101480621</v>
      </c>
      <c r="B10117" t="s">
        <v>4884</v>
      </c>
      <c r="C10117" t="s">
        <v>22818</v>
      </c>
      <c r="G10117" t="s">
        <v>22819</v>
      </c>
      <c r="H10117" t="s">
        <v>1229</v>
      </c>
      <c r="I10117" t="s">
        <v>38</v>
      </c>
      <c r="J10117">
        <v>78209</v>
      </c>
      <c r="K10117">
        <v>4910</v>
      </c>
      <c r="L10117" t="s">
        <v>23</v>
      </c>
      <c r="M10117" t="s">
        <v>22819</v>
      </c>
      <c r="N10117" t="s">
        <v>1229</v>
      </c>
      <c r="O10117" t="s">
        <v>38</v>
      </c>
      <c r="P10117">
        <v>78209</v>
      </c>
      <c r="Q10117">
        <v>4910</v>
      </c>
      <c r="R10117" t="s">
        <v>23</v>
      </c>
      <c r="S10117" s="1" t="s">
        <v>34218</v>
      </c>
    </row>
    <row r="10118" spans="1:19" x14ac:dyDescent="0.25">
      <c r="A10118">
        <v>101416736</v>
      </c>
      <c r="B10118" t="s">
        <v>22820</v>
      </c>
      <c r="C10118" t="s">
        <v>2127</v>
      </c>
      <c r="G10118" t="s">
        <v>22821</v>
      </c>
      <c r="H10118" t="s">
        <v>10374</v>
      </c>
      <c r="I10118" t="s">
        <v>353</v>
      </c>
      <c r="J10118">
        <v>3264</v>
      </c>
      <c r="K10118">
        <v>3723</v>
      </c>
      <c r="L10118" t="s">
        <v>23</v>
      </c>
      <c r="M10118" t="s">
        <v>22821</v>
      </c>
      <c r="N10118" t="s">
        <v>10374</v>
      </c>
      <c r="O10118" t="s">
        <v>353</v>
      </c>
      <c r="P10118">
        <v>3264</v>
      </c>
      <c r="Q10118">
        <v>3723</v>
      </c>
      <c r="R10118" t="s">
        <v>23</v>
      </c>
      <c r="S10118" s="1" t="s">
        <v>34218</v>
      </c>
    </row>
    <row r="10119" spans="1:19" x14ac:dyDescent="0.25">
      <c r="A10119">
        <v>101219677</v>
      </c>
      <c r="B10119" t="s">
        <v>22822</v>
      </c>
      <c r="C10119" t="s">
        <v>22823</v>
      </c>
      <c r="G10119" t="s">
        <v>22824</v>
      </c>
      <c r="H10119" t="s">
        <v>22825</v>
      </c>
      <c r="I10119" t="s">
        <v>2310</v>
      </c>
      <c r="J10119">
        <v>60528</v>
      </c>
      <c r="L10119" t="s">
        <v>23</v>
      </c>
      <c r="M10119" t="s">
        <v>22824</v>
      </c>
      <c r="N10119" t="s">
        <v>22825</v>
      </c>
      <c r="O10119" t="s">
        <v>2310</v>
      </c>
      <c r="P10119">
        <v>60528</v>
      </c>
      <c r="R10119" t="s">
        <v>23</v>
      </c>
      <c r="S10119" s="1" t="s">
        <v>34218</v>
      </c>
    </row>
    <row r="10120" spans="1:19" x14ac:dyDescent="0.25">
      <c r="A10120">
        <v>100549773</v>
      </c>
      <c r="B10120" t="s">
        <v>4848</v>
      </c>
      <c r="C10120" t="s">
        <v>247</v>
      </c>
      <c r="G10120" t="s">
        <v>22826</v>
      </c>
      <c r="H10120" t="s">
        <v>22827</v>
      </c>
      <c r="I10120" t="s">
        <v>236</v>
      </c>
      <c r="J10120">
        <v>1258</v>
      </c>
      <c r="K10120">
        <v>7000</v>
      </c>
      <c r="L10120" t="s">
        <v>23</v>
      </c>
      <c r="M10120" t="s">
        <v>22826</v>
      </c>
      <c r="N10120" t="s">
        <v>22827</v>
      </c>
      <c r="O10120" t="s">
        <v>236</v>
      </c>
      <c r="P10120">
        <v>1258</v>
      </c>
      <c r="Q10120">
        <v>7000</v>
      </c>
      <c r="R10120" t="s">
        <v>23</v>
      </c>
      <c r="S10120" s="1" t="s">
        <v>34218</v>
      </c>
    </row>
    <row r="10121" spans="1:19" x14ac:dyDescent="0.25">
      <c r="A10121">
        <v>101306447</v>
      </c>
      <c r="B10121" t="s">
        <v>22828</v>
      </c>
      <c r="C10121" t="s">
        <v>18574</v>
      </c>
      <c r="G10121" t="s">
        <v>22829</v>
      </c>
      <c r="H10121" t="s">
        <v>1710</v>
      </c>
      <c r="I10121" t="s">
        <v>178</v>
      </c>
      <c r="J10121">
        <v>43065</v>
      </c>
      <c r="K10121">
        <v>8278</v>
      </c>
      <c r="L10121" t="s">
        <v>23</v>
      </c>
      <c r="M10121" t="s">
        <v>22829</v>
      </c>
      <c r="N10121" t="s">
        <v>1710</v>
      </c>
      <c r="O10121" t="s">
        <v>178</v>
      </c>
      <c r="P10121">
        <v>43065</v>
      </c>
      <c r="Q10121">
        <v>8278</v>
      </c>
      <c r="R10121" t="s">
        <v>23</v>
      </c>
      <c r="S10121" s="1" t="s">
        <v>34218</v>
      </c>
    </row>
    <row r="10122" spans="1:19" x14ac:dyDescent="0.25">
      <c r="A10122">
        <v>101475070</v>
      </c>
      <c r="B10122" t="s">
        <v>22830</v>
      </c>
      <c r="C10122" t="s">
        <v>2603</v>
      </c>
      <c r="G10122" t="s">
        <v>22831</v>
      </c>
      <c r="H10122" t="s">
        <v>22832</v>
      </c>
      <c r="I10122" t="s">
        <v>52</v>
      </c>
      <c r="J10122">
        <v>32034</v>
      </c>
      <c r="K10122">
        <v>4327</v>
      </c>
      <c r="L10122" t="s">
        <v>23</v>
      </c>
      <c r="M10122" t="s">
        <v>22831</v>
      </c>
      <c r="N10122" t="s">
        <v>22832</v>
      </c>
      <c r="O10122" t="s">
        <v>52</v>
      </c>
      <c r="P10122">
        <v>32034</v>
      </c>
      <c r="Q10122">
        <v>4327</v>
      </c>
      <c r="R10122" t="s">
        <v>23</v>
      </c>
      <c r="S10122" s="1" t="s">
        <v>34218</v>
      </c>
    </row>
    <row r="10123" spans="1:19" x14ac:dyDescent="0.25">
      <c r="A10123">
        <v>101268560</v>
      </c>
      <c r="B10123" t="s">
        <v>208</v>
      </c>
      <c r="C10123" t="s">
        <v>180</v>
      </c>
      <c r="G10123" t="s">
        <v>22833</v>
      </c>
      <c r="H10123" t="s">
        <v>22834</v>
      </c>
      <c r="I10123" t="s">
        <v>135</v>
      </c>
      <c r="J10123">
        <v>62257</v>
      </c>
      <c r="K10123">
        <v>1822</v>
      </c>
      <c r="L10123" t="s">
        <v>23</v>
      </c>
      <c r="M10123" t="s">
        <v>22833</v>
      </c>
      <c r="N10123" t="s">
        <v>22834</v>
      </c>
      <c r="O10123" t="s">
        <v>135</v>
      </c>
      <c r="P10123">
        <v>62257</v>
      </c>
      <c r="Q10123">
        <v>1822</v>
      </c>
      <c r="R10123" t="s">
        <v>23</v>
      </c>
      <c r="S10123" s="1" t="s">
        <v>34218</v>
      </c>
    </row>
    <row r="10124" spans="1:19" x14ac:dyDescent="0.25">
      <c r="A10124">
        <v>101449417</v>
      </c>
      <c r="B10124" t="s">
        <v>3554</v>
      </c>
      <c r="C10124" t="s">
        <v>22835</v>
      </c>
      <c r="G10124" t="s">
        <v>22836</v>
      </c>
      <c r="H10124" t="s">
        <v>976</v>
      </c>
      <c r="I10124" t="s">
        <v>140</v>
      </c>
      <c r="J10124">
        <v>48103</v>
      </c>
      <c r="K10124">
        <v>6216</v>
      </c>
      <c r="L10124" t="s">
        <v>23</v>
      </c>
      <c r="M10124" t="s">
        <v>22836</v>
      </c>
      <c r="N10124" t="s">
        <v>976</v>
      </c>
      <c r="O10124" t="s">
        <v>140</v>
      </c>
      <c r="P10124">
        <v>48103</v>
      </c>
      <c r="Q10124">
        <v>6216</v>
      </c>
      <c r="R10124" t="s">
        <v>23</v>
      </c>
      <c r="S10124" s="1" t="s">
        <v>34218</v>
      </c>
    </row>
    <row r="10125" spans="1:19" x14ac:dyDescent="0.25">
      <c r="A10125">
        <v>101472239</v>
      </c>
      <c r="B10125" t="s">
        <v>22837</v>
      </c>
      <c r="C10125" t="s">
        <v>22838</v>
      </c>
      <c r="G10125" t="s">
        <v>22839</v>
      </c>
      <c r="H10125" t="s">
        <v>2712</v>
      </c>
      <c r="I10125" t="s">
        <v>662</v>
      </c>
      <c r="J10125">
        <v>2919</v>
      </c>
      <c r="K10125">
        <v>5155</v>
      </c>
      <c r="L10125" t="s">
        <v>23</v>
      </c>
      <c r="M10125" t="s">
        <v>22839</v>
      </c>
      <c r="N10125" t="s">
        <v>2712</v>
      </c>
      <c r="O10125" t="s">
        <v>662</v>
      </c>
      <c r="P10125">
        <v>2919</v>
      </c>
      <c r="Q10125">
        <v>5155</v>
      </c>
      <c r="R10125" t="s">
        <v>23</v>
      </c>
      <c r="S10125" s="1" t="s">
        <v>34218</v>
      </c>
    </row>
    <row r="10126" spans="1:19" x14ac:dyDescent="0.25">
      <c r="A10126">
        <v>101455370</v>
      </c>
      <c r="B10126" t="s">
        <v>13336</v>
      </c>
      <c r="C10126" t="s">
        <v>274</v>
      </c>
      <c r="G10126" t="s">
        <v>22840</v>
      </c>
      <c r="H10126" t="s">
        <v>21</v>
      </c>
      <c r="I10126" t="s">
        <v>22</v>
      </c>
      <c r="J10126">
        <v>95407</v>
      </c>
      <c r="K10126">
        <v>6742</v>
      </c>
      <c r="L10126" t="s">
        <v>23</v>
      </c>
      <c r="M10126" t="s">
        <v>22840</v>
      </c>
      <c r="N10126" t="s">
        <v>21</v>
      </c>
      <c r="O10126" t="s">
        <v>22</v>
      </c>
      <c r="P10126">
        <v>95407</v>
      </c>
      <c r="Q10126">
        <v>6742</v>
      </c>
      <c r="R10126" t="s">
        <v>23</v>
      </c>
      <c r="S10126" s="1" t="s">
        <v>34218</v>
      </c>
    </row>
    <row r="10127" spans="1:19" x14ac:dyDescent="0.25">
      <c r="A10127">
        <v>101065275</v>
      </c>
      <c r="B10127" t="s">
        <v>22841</v>
      </c>
      <c r="C10127" t="s">
        <v>432</v>
      </c>
      <c r="G10127" t="s">
        <v>22842</v>
      </c>
      <c r="H10127" t="s">
        <v>1748</v>
      </c>
      <c r="I10127" t="s">
        <v>236</v>
      </c>
      <c r="J10127">
        <v>2474</v>
      </c>
      <c r="K10127">
        <v>2722</v>
      </c>
      <c r="L10127" t="s">
        <v>23</v>
      </c>
      <c r="M10127" t="s">
        <v>22842</v>
      </c>
      <c r="N10127" t="s">
        <v>1748</v>
      </c>
      <c r="O10127" t="s">
        <v>236</v>
      </c>
      <c r="P10127">
        <v>2474</v>
      </c>
      <c r="Q10127">
        <v>2722</v>
      </c>
      <c r="R10127" t="s">
        <v>23</v>
      </c>
      <c r="S10127" s="1" t="s">
        <v>34218</v>
      </c>
    </row>
    <row r="10128" spans="1:19" x14ac:dyDescent="0.25">
      <c r="A10128">
        <v>101440433</v>
      </c>
      <c r="B10128" t="s">
        <v>22843</v>
      </c>
      <c r="C10128" t="s">
        <v>22844</v>
      </c>
      <c r="G10128" t="s">
        <v>22845</v>
      </c>
      <c r="H10128" t="s">
        <v>1130</v>
      </c>
      <c r="I10128" t="s">
        <v>22</v>
      </c>
      <c r="J10128">
        <v>92399</v>
      </c>
      <c r="K10128">
        <v>9758</v>
      </c>
      <c r="L10128" t="s">
        <v>23</v>
      </c>
      <c r="M10128" t="s">
        <v>22845</v>
      </c>
      <c r="N10128" t="s">
        <v>1130</v>
      </c>
      <c r="O10128" t="s">
        <v>22</v>
      </c>
      <c r="P10128">
        <v>92399</v>
      </c>
      <c r="Q10128">
        <v>9758</v>
      </c>
      <c r="R10128" t="s">
        <v>23</v>
      </c>
      <c r="S10128" s="1" t="s">
        <v>34218</v>
      </c>
    </row>
    <row r="10129" spans="1:19" x14ac:dyDescent="0.25">
      <c r="A10129">
        <v>101307804</v>
      </c>
      <c r="B10129" t="s">
        <v>21290</v>
      </c>
      <c r="C10129" t="s">
        <v>582</v>
      </c>
      <c r="G10129" t="s">
        <v>22846</v>
      </c>
      <c r="H10129" t="s">
        <v>6645</v>
      </c>
      <c r="I10129" t="s">
        <v>22</v>
      </c>
      <c r="J10129">
        <v>91040</v>
      </c>
      <c r="K10129">
        <v>1356</v>
      </c>
      <c r="L10129" t="s">
        <v>23</v>
      </c>
      <c r="M10129" t="s">
        <v>22846</v>
      </c>
      <c r="N10129" t="s">
        <v>6645</v>
      </c>
      <c r="O10129" t="s">
        <v>22</v>
      </c>
      <c r="P10129">
        <v>91040</v>
      </c>
      <c r="Q10129">
        <v>1356</v>
      </c>
      <c r="R10129" t="s">
        <v>23</v>
      </c>
      <c r="S10129" s="1" t="s">
        <v>34218</v>
      </c>
    </row>
    <row r="10130" spans="1:19" x14ac:dyDescent="0.25">
      <c r="A10130">
        <v>101436559</v>
      </c>
      <c r="B10130" t="s">
        <v>22847</v>
      </c>
      <c r="C10130" t="s">
        <v>2159</v>
      </c>
      <c r="G10130" t="s">
        <v>22848</v>
      </c>
      <c r="H10130" t="s">
        <v>21</v>
      </c>
      <c r="I10130" t="s">
        <v>22</v>
      </c>
      <c r="J10130">
        <v>95401</v>
      </c>
      <c r="K10130">
        <v>5835</v>
      </c>
      <c r="L10130" t="s">
        <v>23</v>
      </c>
      <c r="M10130" t="s">
        <v>22848</v>
      </c>
      <c r="N10130" t="s">
        <v>21</v>
      </c>
      <c r="O10130" t="s">
        <v>22</v>
      </c>
      <c r="P10130">
        <v>95401</v>
      </c>
      <c r="Q10130">
        <v>5835</v>
      </c>
      <c r="R10130" t="s">
        <v>23</v>
      </c>
      <c r="S10130" s="1" t="s">
        <v>34218</v>
      </c>
    </row>
    <row r="10131" spans="1:19" x14ac:dyDescent="0.25">
      <c r="A10131">
        <v>101205512</v>
      </c>
      <c r="B10131" t="s">
        <v>6104</v>
      </c>
      <c r="C10131" t="s">
        <v>22849</v>
      </c>
      <c r="G10131">
        <v>5033640876</v>
      </c>
      <c r="H10131" t="s">
        <v>1877</v>
      </c>
      <c r="I10131" t="s">
        <v>43</v>
      </c>
      <c r="J10131">
        <v>97302</v>
      </c>
      <c r="L10131" t="s">
        <v>23</v>
      </c>
      <c r="M10131">
        <v>5033640876</v>
      </c>
      <c r="N10131" t="s">
        <v>1877</v>
      </c>
      <c r="O10131" t="s">
        <v>43</v>
      </c>
      <c r="P10131">
        <v>97302</v>
      </c>
      <c r="R10131" t="s">
        <v>23</v>
      </c>
      <c r="S10131" s="1" t="s">
        <v>34218</v>
      </c>
    </row>
    <row r="10132" spans="1:19" x14ac:dyDescent="0.25">
      <c r="A10132">
        <v>101467299</v>
      </c>
      <c r="B10132" t="s">
        <v>22850</v>
      </c>
      <c r="C10132" t="s">
        <v>5714</v>
      </c>
      <c r="G10132" t="s">
        <v>22851</v>
      </c>
      <c r="H10132" t="s">
        <v>19158</v>
      </c>
      <c r="I10132" t="s">
        <v>117</v>
      </c>
      <c r="J10132">
        <v>11590</v>
      </c>
      <c r="K10132">
        <v>6535</v>
      </c>
      <c r="L10132" t="s">
        <v>23</v>
      </c>
      <c r="M10132" t="s">
        <v>22851</v>
      </c>
      <c r="N10132" t="s">
        <v>19158</v>
      </c>
      <c r="O10132" t="s">
        <v>117</v>
      </c>
      <c r="P10132">
        <v>11590</v>
      </c>
      <c r="Q10132">
        <v>6535</v>
      </c>
      <c r="R10132" t="s">
        <v>23</v>
      </c>
      <c r="S10132" s="1" t="s">
        <v>34218</v>
      </c>
    </row>
    <row r="10133" spans="1:19" x14ac:dyDescent="0.25">
      <c r="A10133">
        <v>101467923</v>
      </c>
      <c r="B10133" t="s">
        <v>5321</v>
      </c>
      <c r="C10133" t="s">
        <v>22852</v>
      </c>
      <c r="G10133" t="s">
        <v>22853</v>
      </c>
      <c r="H10133" t="s">
        <v>9727</v>
      </c>
      <c r="I10133" t="s">
        <v>236</v>
      </c>
      <c r="J10133">
        <v>2703</v>
      </c>
      <c r="L10133" t="s">
        <v>23</v>
      </c>
      <c r="M10133" t="s">
        <v>22853</v>
      </c>
      <c r="N10133" t="s">
        <v>9727</v>
      </c>
      <c r="O10133" t="s">
        <v>236</v>
      </c>
      <c r="P10133">
        <v>2703</v>
      </c>
      <c r="R10133" t="s">
        <v>23</v>
      </c>
      <c r="S10133" s="1" t="s">
        <v>34218</v>
      </c>
    </row>
    <row r="10134" spans="1:19" x14ac:dyDescent="0.25">
      <c r="A10134">
        <v>101471383</v>
      </c>
      <c r="B10134" t="s">
        <v>2857</v>
      </c>
      <c r="C10134" t="s">
        <v>8541</v>
      </c>
      <c r="G10134" t="s">
        <v>8542</v>
      </c>
      <c r="H10134" t="s">
        <v>4917</v>
      </c>
      <c r="I10134" t="s">
        <v>241</v>
      </c>
      <c r="J10134">
        <v>66607</v>
      </c>
      <c r="K10134">
        <v>1915</v>
      </c>
      <c r="L10134" t="s">
        <v>23</v>
      </c>
      <c r="M10134" t="s">
        <v>8542</v>
      </c>
      <c r="N10134" t="s">
        <v>4917</v>
      </c>
      <c r="O10134" t="s">
        <v>241</v>
      </c>
      <c r="P10134">
        <v>66607</v>
      </c>
      <c r="Q10134">
        <v>1915</v>
      </c>
      <c r="R10134" t="s">
        <v>23</v>
      </c>
      <c r="S10134" s="1" t="s">
        <v>34218</v>
      </c>
    </row>
    <row r="10135" spans="1:19" x14ac:dyDescent="0.25">
      <c r="A10135">
        <v>101446073</v>
      </c>
      <c r="B10135" t="s">
        <v>22854</v>
      </c>
      <c r="C10135" t="s">
        <v>22855</v>
      </c>
      <c r="G10135" t="s">
        <v>22856</v>
      </c>
      <c r="H10135" t="s">
        <v>1325</v>
      </c>
      <c r="I10135" t="s">
        <v>22</v>
      </c>
      <c r="J10135">
        <v>94306</v>
      </c>
      <c r="K10135">
        <v>3609</v>
      </c>
      <c r="L10135" t="s">
        <v>23</v>
      </c>
      <c r="M10135" t="s">
        <v>22856</v>
      </c>
      <c r="N10135" t="s">
        <v>1325</v>
      </c>
      <c r="O10135" t="s">
        <v>22</v>
      </c>
      <c r="P10135">
        <v>94306</v>
      </c>
      <c r="Q10135">
        <v>3609</v>
      </c>
      <c r="R10135" t="s">
        <v>23</v>
      </c>
      <c r="S10135" s="1" t="s">
        <v>34218</v>
      </c>
    </row>
    <row r="10136" spans="1:19" x14ac:dyDescent="0.25">
      <c r="A10136">
        <v>101029515</v>
      </c>
      <c r="B10136" t="s">
        <v>22594</v>
      </c>
      <c r="C10136" t="s">
        <v>329</v>
      </c>
      <c r="G10136" t="s">
        <v>22857</v>
      </c>
      <c r="H10136" t="s">
        <v>4391</v>
      </c>
      <c r="I10136" t="s">
        <v>307</v>
      </c>
      <c r="J10136">
        <v>5855</v>
      </c>
      <c r="K10136">
        <v>6414</v>
      </c>
      <c r="L10136" t="s">
        <v>23</v>
      </c>
      <c r="M10136" t="s">
        <v>22857</v>
      </c>
      <c r="N10136" t="s">
        <v>4391</v>
      </c>
      <c r="O10136" t="s">
        <v>307</v>
      </c>
      <c r="P10136">
        <v>5855</v>
      </c>
      <c r="Q10136">
        <v>6414</v>
      </c>
      <c r="R10136" t="s">
        <v>23</v>
      </c>
      <c r="S10136" s="1" t="s">
        <v>34218</v>
      </c>
    </row>
    <row r="10137" spans="1:19" x14ac:dyDescent="0.25">
      <c r="A10137">
        <v>101464542</v>
      </c>
      <c r="B10137" t="s">
        <v>22858</v>
      </c>
      <c r="C10137" t="s">
        <v>22859</v>
      </c>
      <c r="G10137" t="s">
        <v>22860</v>
      </c>
      <c r="H10137" t="s">
        <v>2449</v>
      </c>
      <c r="I10137" t="s">
        <v>71</v>
      </c>
      <c r="J10137">
        <v>80015</v>
      </c>
      <c r="K10137">
        <v>5401</v>
      </c>
      <c r="L10137" t="s">
        <v>23</v>
      </c>
      <c r="M10137" t="s">
        <v>22860</v>
      </c>
      <c r="N10137" t="s">
        <v>2449</v>
      </c>
      <c r="O10137" t="s">
        <v>71</v>
      </c>
      <c r="P10137">
        <v>80015</v>
      </c>
      <c r="Q10137">
        <v>5401</v>
      </c>
      <c r="R10137" t="s">
        <v>23</v>
      </c>
      <c r="S10137" s="1" t="s">
        <v>34218</v>
      </c>
    </row>
    <row r="10138" spans="1:19" x14ac:dyDescent="0.25">
      <c r="A10138">
        <v>100945412</v>
      </c>
      <c r="B10138" t="s">
        <v>22861</v>
      </c>
      <c r="C10138" t="s">
        <v>4488</v>
      </c>
      <c r="G10138" t="s">
        <v>22862</v>
      </c>
      <c r="H10138" t="s">
        <v>2309</v>
      </c>
      <c r="I10138" t="s">
        <v>2310</v>
      </c>
      <c r="J10138">
        <v>19804</v>
      </c>
      <c r="K10138">
        <v>3931</v>
      </c>
      <c r="L10138" t="s">
        <v>23</v>
      </c>
      <c r="M10138" t="s">
        <v>22862</v>
      </c>
      <c r="N10138" t="s">
        <v>2309</v>
      </c>
      <c r="O10138" t="s">
        <v>2310</v>
      </c>
      <c r="P10138">
        <v>19804</v>
      </c>
      <c r="Q10138">
        <v>3931</v>
      </c>
      <c r="R10138" t="s">
        <v>23</v>
      </c>
      <c r="S10138" s="1" t="s">
        <v>34218</v>
      </c>
    </row>
    <row r="10139" spans="1:19" x14ac:dyDescent="0.25">
      <c r="A10139">
        <v>101289298</v>
      </c>
      <c r="B10139" t="s">
        <v>22863</v>
      </c>
      <c r="C10139" t="s">
        <v>3643</v>
      </c>
      <c r="G10139" t="s">
        <v>22864</v>
      </c>
      <c r="H10139" t="s">
        <v>227</v>
      </c>
      <c r="I10139" t="s">
        <v>43</v>
      </c>
      <c r="J10139">
        <v>97219</v>
      </c>
      <c r="K10139">
        <v>3346</v>
      </c>
      <c r="L10139" t="s">
        <v>23</v>
      </c>
      <c r="M10139" t="s">
        <v>22864</v>
      </c>
      <c r="N10139" t="s">
        <v>227</v>
      </c>
      <c r="O10139" t="s">
        <v>43</v>
      </c>
      <c r="P10139">
        <v>97219</v>
      </c>
      <c r="Q10139">
        <v>3346</v>
      </c>
      <c r="R10139" t="s">
        <v>23</v>
      </c>
      <c r="S10139" s="1" t="s">
        <v>34218</v>
      </c>
    </row>
    <row r="10140" spans="1:19" x14ac:dyDescent="0.25">
      <c r="A10140">
        <v>100570912</v>
      </c>
      <c r="B10140" t="s">
        <v>22865</v>
      </c>
      <c r="C10140" t="s">
        <v>22866</v>
      </c>
      <c r="G10140" t="s">
        <v>22867</v>
      </c>
      <c r="H10140" t="s">
        <v>10941</v>
      </c>
      <c r="I10140" t="s">
        <v>84</v>
      </c>
      <c r="J10140">
        <v>98029</v>
      </c>
      <c r="K10140">
        <v>7524</v>
      </c>
      <c r="L10140" t="s">
        <v>23</v>
      </c>
      <c r="M10140" t="s">
        <v>22867</v>
      </c>
      <c r="N10140" t="s">
        <v>10941</v>
      </c>
      <c r="O10140" t="s">
        <v>84</v>
      </c>
      <c r="P10140">
        <v>98029</v>
      </c>
      <c r="Q10140">
        <v>7524</v>
      </c>
      <c r="R10140" t="s">
        <v>23</v>
      </c>
      <c r="S10140" s="1" t="s">
        <v>34218</v>
      </c>
    </row>
    <row r="10141" spans="1:19" x14ac:dyDescent="0.25">
      <c r="A10141">
        <v>101480641</v>
      </c>
      <c r="B10141" t="s">
        <v>22868</v>
      </c>
      <c r="C10141" t="s">
        <v>22869</v>
      </c>
      <c r="G10141" t="s">
        <v>22870</v>
      </c>
      <c r="H10141" t="s">
        <v>22871</v>
      </c>
      <c r="I10141" t="s">
        <v>117</v>
      </c>
      <c r="J10141">
        <v>10570</v>
      </c>
      <c r="K10141">
        <v>1935</v>
      </c>
      <c r="L10141" t="s">
        <v>23</v>
      </c>
      <c r="M10141" t="s">
        <v>22870</v>
      </c>
      <c r="N10141" t="s">
        <v>22871</v>
      </c>
      <c r="O10141" t="s">
        <v>117</v>
      </c>
      <c r="P10141">
        <v>10570</v>
      </c>
      <c r="Q10141">
        <v>1935</v>
      </c>
      <c r="R10141" t="s">
        <v>23</v>
      </c>
      <c r="S10141" s="1" t="s">
        <v>34218</v>
      </c>
    </row>
    <row r="10142" spans="1:19" x14ac:dyDescent="0.25">
      <c r="A10142">
        <v>101466192</v>
      </c>
      <c r="B10142" t="s">
        <v>22872</v>
      </c>
      <c r="C10142" t="s">
        <v>2232</v>
      </c>
      <c r="G10142" t="s">
        <v>22873</v>
      </c>
      <c r="H10142" t="s">
        <v>1015</v>
      </c>
      <c r="I10142" t="s">
        <v>140</v>
      </c>
      <c r="J10142">
        <v>49221</v>
      </c>
      <c r="K10142">
        <v>1755</v>
      </c>
      <c r="L10142" t="s">
        <v>23</v>
      </c>
      <c r="M10142" t="s">
        <v>22873</v>
      </c>
      <c r="N10142" t="s">
        <v>1015</v>
      </c>
      <c r="O10142" t="s">
        <v>140</v>
      </c>
      <c r="P10142">
        <v>49221</v>
      </c>
      <c r="Q10142">
        <v>1755</v>
      </c>
      <c r="R10142" t="s">
        <v>23</v>
      </c>
      <c r="S10142" s="1" t="s">
        <v>34218</v>
      </c>
    </row>
    <row r="10143" spans="1:19" x14ac:dyDescent="0.25">
      <c r="A10143">
        <v>101479578</v>
      </c>
      <c r="B10143" t="s">
        <v>22874</v>
      </c>
      <c r="C10143" t="s">
        <v>22875</v>
      </c>
      <c r="G10143" t="s">
        <v>22876</v>
      </c>
      <c r="H10143" t="s">
        <v>595</v>
      </c>
      <c r="I10143" t="s">
        <v>22</v>
      </c>
      <c r="J10143">
        <v>94539</v>
      </c>
      <c r="K10143">
        <v>5217</v>
      </c>
      <c r="L10143" t="s">
        <v>23</v>
      </c>
      <c r="M10143" t="s">
        <v>22876</v>
      </c>
      <c r="N10143" t="s">
        <v>595</v>
      </c>
      <c r="O10143" t="s">
        <v>22</v>
      </c>
      <c r="P10143">
        <v>94539</v>
      </c>
      <c r="Q10143">
        <v>5217</v>
      </c>
      <c r="R10143" t="s">
        <v>23</v>
      </c>
      <c r="S10143" s="1" t="s">
        <v>34218</v>
      </c>
    </row>
    <row r="10144" spans="1:19" x14ac:dyDescent="0.25">
      <c r="A10144">
        <v>100820470</v>
      </c>
      <c r="B10144" t="s">
        <v>7290</v>
      </c>
      <c r="C10144" t="s">
        <v>18362</v>
      </c>
      <c r="G10144" t="s">
        <v>22877</v>
      </c>
      <c r="H10144" t="s">
        <v>2824</v>
      </c>
      <c r="I10144" t="s">
        <v>161</v>
      </c>
      <c r="J10144">
        <v>6498</v>
      </c>
      <c r="L10144" t="s">
        <v>23</v>
      </c>
      <c r="M10144" t="s">
        <v>22877</v>
      </c>
      <c r="N10144" t="s">
        <v>2824</v>
      </c>
      <c r="O10144" t="s">
        <v>161</v>
      </c>
      <c r="P10144">
        <v>6498</v>
      </c>
      <c r="R10144" t="s">
        <v>23</v>
      </c>
      <c r="S10144" s="1" t="s">
        <v>34218</v>
      </c>
    </row>
    <row r="10145" spans="1:19" x14ac:dyDescent="0.25">
      <c r="A10145">
        <v>101267780</v>
      </c>
      <c r="B10145" t="s">
        <v>18548</v>
      </c>
      <c r="C10145" t="s">
        <v>1731</v>
      </c>
      <c r="G10145" t="s">
        <v>22878</v>
      </c>
      <c r="H10145" t="s">
        <v>9225</v>
      </c>
      <c r="I10145" t="s">
        <v>914</v>
      </c>
      <c r="J10145">
        <v>37771</v>
      </c>
      <c r="K10145">
        <v>6693</v>
      </c>
      <c r="L10145" t="s">
        <v>23</v>
      </c>
      <c r="M10145" t="s">
        <v>22878</v>
      </c>
      <c r="N10145" t="s">
        <v>9225</v>
      </c>
      <c r="O10145" t="s">
        <v>914</v>
      </c>
      <c r="P10145">
        <v>37771</v>
      </c>
      <c r="Q10145">
        <v>6693</v>
      </c>
      <c r="R10145" t="s">
        <v>23</v>
      </c>
      <c r="S10145" s="1" t="s">
        <v>34218</v>
      </c>
    </row>
    <row r="10146" spans="1:19" x14ac:dyDescent="0.25">
      <c r="A10146">
        <v>101273246</v>
      </c>
      <c r="B10146" t="s">
        <v>22879</v>
      </c>
      <c r="C10146" t="s">
        <v>209</v>
      </c>
      <c r="G10146" t="s">
        <v>22880</v>
      </c>
      <c r="H10146" t="s">
        <v>6151</v>
      </c>
      <c r="I10146" t="s">
        <v>178</v>
      </c>
      <c r="J10146">
        <v>43130</v>
      </c>
      <c r="K10146">
        <v>1557</v>
      </c>
      <c r="L10146" t="s">
        <v>23</v>
      </c>
      <c r="M10146" t="s">
        <v>22880</v>
      </c>
      <c r="N10146" t="s">
        <v>6151</v>
      </c>
      <c r="O10146" t="s">
        <v>178</v>
      </c>
      <c r="P10146">
        <v>43130</v>
      </c>
      <c r="Q10146">
        <v>1557</v>
      </c>
      <c r="R10146" t="s">
        <v>23</v>
      </c>
      <c r="S10146" s="1" t="s">
        <v>34218</v>
      </c>
    </row>
    <row r="10147" spans="1:19" x14ac:dyDescent="0.25">
      <c r="A10147">
        <v>101473473</v>
      </c>
      <c r="B10147" t="s">
        <v>22881</v>
      </c>
      <c r="C10147" t="s">
        <v>4059</v>
      </c>
      <c r="G10147" t="s">
        <v>22882</v>
      </c>
      <c r="H10147" t="s">
        <v>1967</v>
      </c>
      <c r="I10147" t="s">
        <v>984</v>
      </c>
      <c r="J10147">
        <v>96790</v>
      </c>
      <c r="K10147">
        <v>8501</v>
      </c>
      <c r="L10147" t="s">
        <v>23</v>
      </c>
      <c r="M10147" t="s">
        <v>22882</v>
      </c>
      <c r="N10147" t="s">
        <v>1967</v>
      </c>
      <c r="O10147" t="s">
        <v>984</v>
      </c>
      <c r="P10147">
        <v>96790</v>
      </c>
      <c r="Q10147">
        <v>8501</v>
      </c>
      <c r="R10147" t="s">
        <v>23</v>
      </c>
      <c r="S10147" s="1" t="s">
        <v>34218</v>
      </c>
    </row>
    <row r="10148" spans="1:19" x14ac:dyDescent="0.25">
      <c r="A10148">
        <v>101473511</v>
      </c>
      <c r="B10148" t="s">
        <v>22883</v>
      </c>
      <c r="C10148" t="s">
        <v>252</v>
      </c>
      <c r="G10148" t="s">
        <v>22884</v>
      </c>
      <c r="H10148" t="s">
        <v>9013</v>
      </c>
      <c r="I10148" t="s">
        <v>1482</v>
      </c>
      <c r="J10148">
        <v>29615</v>
      </c>
      <c r="K10148">
        <v>2115</v>
      </c>
      <c r="L10148" t="s">
        <v>23</v>
      </c>
      <c r="M10148" t="s">
        <v>22884</v>
      </c>
      <c r="N10148" t="s">
        <v>9013</v>
      </c>
      <c r="O10148" t="s">
        <v>1482</v>
      </c>
      <c r="P10148">
        <v>29615</v>
      </c>
      <c r="Q10148">
        <v>2115</v>
      </c>
      <c r="R10148" t="s">
        <v>23</v>
      </c>
      <c r="S10148" s="1" t="s">
        <v>34218</v>
      </c>
    </row>
    <row r="10149" spans="1:19" x14ac:dyDescent="0.25">
      <c r="A10149">
        <v>101473513</v>
      </c>
      <c r="B10149" t="s">
        <v>22885</v>
      </c>
      <c r="C10149" t="s">
        <v>2173</v>
      </c>
      <c r="G10149" t="s">
        <v>22886</v>
      </c>
      <c r="H10149" t="s">
        <v>6881</v>
      </c>
      <c r="I10149" t="s">
        <v>52</v>
      </c>
      <c r="J10149">
        <v>33060</v>
      </c>
      <c r="K10149">
        <v>3718</v>
      </c>
      <c r="L10149" t="s">
        <v>23</v>
      </c>
      <c r="M10149" t="s">
        <v>22886</v>
      </c>
      <c r="N10149" t="s">
        <v>6881</v>
      </c>
      <c r="O10149" t="s">
        <v>52</v>
      </c>
      <c r="P10149">
        <v>33060</v>
      </c>
      <c r="Q10149">
        <v>3718</v>
      </c>
      <c r="R10149" t="s">
        <v>23</v>
      </c>
      <c r="S10149" s="1" t="s">
        <v>34218</v>
      </c>
    </row>
    <row r="10150" spans="1:19" x14ac:dyDescent="0.25">
      <c r="A10150">
        <v>101473597</v>
      </c>
      <c r="B10150" t="s">
        <v>10196</v>
      </c>
      <c r="C10150" t="s">
        <v>30</v>
      </c>
      <c r="G10150" t="s">
        <v>22887</v>
      </c>
      <c r="H10150" t="s">
        <v>10232</v>
      </c>
      <c r="I10150" t="s">
        <v>2566</v>
      </c>
      <c r="J10150">
        <v>99743</v>
      </c>
      <c r="K10150">
        <v>222</v>
      </c>
      <c r="L10150" t="s">
        <v>23</v>
      </c>
      <c r="M10150" t="s">
        <v>22887</v>
      </c>
      <c r="N10150" t="s">
        <v>10232</v>
      </c>
      <c r="O10150" t="s">
        <v>2566</v>
      </c>
      <c r="P10150">
        <v>99743</v>
      </c>
      <c r="Q10150">
        <v>222</v>
      </c>
      <c r="R10150" t="s">
        <v>23</v>
      </c>
      <c r="S10150" s="1" t="s">
        <v>34218</v>
      </c>
    </row>
    <row r="10151" spans="1:19" x14ac:dyDescent="0.25">
      <c r="A10151">
        <v>101239004</v>
      </c>
      <c r="B10151" t="s">
        <v>465</v>
      </c>
      <c r="C10151" t="s">
        <v>1773</v>
      </c>
      <c r="G10151" t="s">
        <v>22888</v>
      </c>
      <c r="H10151" t="s">
        <v>6512</v>
      </c>
      <c r="I10151" t="s">
        <v>255</v>
      </c>
      <c r="J10151" t="s">
        <v>22889</v>
      </c>
      <c r="K10151">
        <v>5962</v>
      </c>
      <c r="L10151" t="s">
        <v>23</v>
      </c>
      <c r="M10151" t="s">
        <v>22888</v>
      </c>
      <c r="N10151" t="s">
        <v>6512</v>
      </c>
      <c r="O10151" t="s">
        <v>255</v>
      </c>
      <c r="P10151" t="s">
        <v>22889</v>
      </c>
      <c r="Q10151">
        <v>5962</v>
      </c>
      <c r="R10151" t="s">
        <v>23</v>
      </c>
      <c r="S10151" s="1" t="s">
        <v>34218</v>
      </c>
    </row>
    <row r="10152" spans="1:19" x14ac:dyDescent="0.25">
      <c r="A10152">
        <v>100558344</v>
      </c>
      <c r="B10152" t="s">
        <v>22890</v>
      </c>
      <c r="C10152" t="s">
        <v>102</v>
      </c>
      <c r="G10152" t="s">
        <v>22891</v>
      </c>
      <c r="H10152" t="s">
        <v>22892</v>
      </c>
      <c r="I10152" t="s">
        <v>236</v>
      </c>
      <c r="J10152" t="s">
        <v>22893</v>
      </c>
      <c r="K10152">
        <v>1315</v>
      </c>
      <c r="L10152" t="s">
        <v>23</v>
      </c>
      <c r="M10152" t="s">
        <v>22891</v>
      </c>
      <c r="N10152" t="s">
        <v>22892</v>
      </c>
      <c r="O10152" t="s">
        <v>236</v>
      </c>
      <c r="P10152" t="s">
        <v>22893</v>
      </c>
      <c r="Q10152">
        <v>1315</v>
      </c>
      <c r="R10152" t="s">
        <v>23</v>
      </c>
      <c r="S10152" s="1" t="s">
        <v>34218</v>
      </c>
    </row>
    <row r="10153" spans="1:19" x14ac:dyDescent="0.25">
      <c r="A10153">
        <v>101417278</v>
      </c>
      <c r="B10153" t="s">
        <v>1726</v>
      </c>
      <c r="C10153" t="s">
        <v>313</v>
      </c>
      <c r="G10153" t="s">
        <v>22894</v>
      </c>
      <c r="H10153" t="s">
        <v>892</v>
      </c>
      <c r="I10153" t="s">
        <v>236</v>
      </c>
      <c r="J10153" t="s">
        <v>22895</v>
      </c>
      <c r="K10153">
        <v>2274</v>
      </c>
      <c r="L10153" t="s">
        <v>23</v>
      </c>
      <c r="M10153" t="s">
        <v>22894</v>
      </c>
      <c r="N10153" t="s">
        <v>892</v>
      </c>
      <c r="O10153" t="s">
        <v>236</v>
      </c>
      <c r="P10153" t="s">
        <v>22895</v>
      </c>
      <c r="Q10153">
        <v>2274</v>
      </c>
      <c r="R10153" t="s">
        <v>23</v>
      </c>
      <c r="S10153" s="1" t="s">
        <v>34218</v>
      </c>
    </row>
    <row r="10154" spans="1:19" x14ac:dyDescent="0.25">
      <c r="A10154">
        <v>101296336</v>
      </c>
      <c r="B10154" t="s">
        <v>4696</v>
      </c>
      <c r="C10154" t="s">
        <v>890</v>
      </c>
      <c r="G10154" t="s">
        <v>22896</v>
      </c>
      <c r="H10154" t="s">
        <v>7211</v>
      </c>
      <c r="I10154" t="s">
        <v>33</v>
      </c>
      <c r="J10154" t="s">
        <v>22897</v>
      </c>
      <c r="K10154">
        <v>4129</v>
      </c>
      <c r="L10154" t="s">
        <v>23</v>
      </c>
      <c r="M10154" t="s">
        <v>22896</v>
      </c>
      <c r="N10154" t="s">
        <v>7211</v>
      </c>
      <c r="O10154" t="s">
        <v>33</v>
      </c>
      <c r="P10154" t="s">
        <v>22897</v>
      </c>
      <c r="Q10154">
        <v>4129</v>
      </c>
      <c r="R10154" t="s">
        <v>23</v>
      </c>
      <c r="S10154" s="1" t="s">
        <v>34218</v>
      </c>
    </row>
    <row r="10155" spans="1:19" x14ac:dyDescent="0.25">
      <c r="A10155">
        <v>101301088</v>
      </c>
      <c r="B10155" t="s">
        <v>22898</v>
      </c>
      <c r="C10155" t="s">
        <v>585</v>
      </c>
      <c r="G10155" t="s">
        <v>22899</v>
      </c>
      <c r="H10155" t="s">
        <v>1477</v>
      </c>
      <c r="I10155" t="s">
        <v>84</v>
      </c>
      <c r="J10155" t="s">
        <v>22900</v>
      </c>
      <c r="K10155">
        <v>9642</v>
      </c>
      <c r="L10155" t="s">
        <v>23</v>
      </c>
      <c r="M10155" t="s">
        <v>22899</v>
      </c>
      <c r="N10155" t="s">
        <v>1477</v>
      </c>
      <c r="O10155" t="s">
        <v>84</v>
      </c>
      <c r="P10155" t="s">
        <v>22900</v>
      </c>
      <c r="Q10155">
        <v>9642</v>
      </c>
      <c r="R10155" t="s">
        <v>23</v>
      </c>
      <c r="S10155" s="1" t="s">
        <v>34218</v>
      </c>
    </row>
    <row r="10156" spans="1:19" x14ac:dyDescent="0.25">
      <c r="A10156">
        <v>101443789</v>
      </c>
      <c r="B10156" t="s">
        <v>22901</v>
      </c>
      <c r="C10156" t="s">
        <v>9150</v>
      </c>
      <c r="G10156" t="s">
        <v>22902</v>
      </c>
      <c r="H10156" t="s">
        <v>19680</v>
      </c>
      <c r="I10156" t="s">
        <v>236</v>
      </c>
      <c r="J10156" t="s">
        <v>22903</v>
      </c>
      <c r="K10156">
        <v>3715</v>
      </c>
      <c r="L10156" t="s">
        <v>23</v>
      </c>
      <c r="M10156" t="s">
        <v>22902</v>
      </c>
      <c r="N10156" t="s">
        <v>19680</v>
      </c>
      <c r="O10156" t="s">
        <v>236</v>
      </c>
      <c r="P10156" t="s">
        <v>22903</v>
      </c>
      <c r="Q10156">
        <v>3715</v>
      </c>
      <c r="R10156" t="s">
        <v>23</v>
      </c>
      <c r="S10156" s="1" t="s">
        <v>34218</v>
      </c>
    </row>
    <row r="10157" spans="1:19" x14ac:dyDescent="0.25">
      <c r="A10157">
        <v>101364154</v>
      </c>
      <c r="B10157" t="s">
        <v>8809</v>
      </c>
      <c r="C10157" t="s">
        <v>30</v>
      </c>
      <c r="G10157" t="s">
        <v>22904</v>
      </c>
      <c r="H10157" t="s">
        <v>1645</v>
      </c>
      <c r="I10157" t="s">
        <v>38</v>
      </c>
      <c r="J10157" t="s">
        <v>22905</v>
      </c>
      <c r="K10157">
        <v>4981</v>
      </c>
      <c r="L10157" t="s">
        <v>23</v>
      </c>
      <c r="M10157" t="s">
        <v>22904</v>
      </c>
      <c r="N10157" t="s">
        <v>1645</v>
      </c>
      <c r="O10157" t="s">
        <v>38</v>
      </c>
      <c r="P10157" t="s">
        <v>22905</v>
      </c>
      <c r="Q10157">
        <v>4981</v>
      </c>
      <c r="R10157" t="s">
        <v>23</v>
      </c>
      <c r="S10157" s="1" t="s">
        <v>34218</v>
      </c>
    </row>
    <row r="10158" spans="1:19" x14ac:dyDescent="0.25">
      <c r="A10158">
        <v>101294322</v>
      </c>
      <c r="B10158" t="s">
        <v>22906</v>
      </c>
      <c r="C10158" t="s">
        <v>22907</v>
      </c>
      <c r="G10158" t="s">
        <v>22908</v>
      </c>
      <c r="H10158" t="s">
        <v>1768</v>
      </c>
      <c r="I10158" t="s">
        <v>126</v>
      </c>
      <c r="J10158" t="s">
        <v>22909</v>
      </c>
      <c r="K10158">
        <v>7384</v>
      </c>
      <c r="L10158" t="s">
        <v>23</v>
      </c>
      <c r="M10158" t="s">
        <v>22908</v>
      </c>
      <c r="N10158" t="s">
        <v>1768</v>
      </c>
      <c r="O10158" t="s">
        <v>126</v>
      </c>
      <c r="P10158" t="s">
        <v>22909</v>
      </c>
      <c r="Q10158">
        <v>7384</v>
      </c>
      <c r="R10158" t="s">
        <v>23</v>
      </c>
      <c r="S10158" s="1" t="s">
        <v>34218</v>
      </c>
    </row>
    <row r="10159" spans="1:19" x14ac:dyDescent="0.25">
      <c r="A10159">
        <v>100996454</v>
      </c>
      <c r="B10159" t="s">
        <v>3163</v>
      </c>
      <c r="C10159" t="s">
        <v>6738</v>
      </c>
      <c r="G10159" t="s">
        <v>22910</v>
      </c>
      <c r="H10159" t="s">
        <v>22911</v>
      </c>
      <c r="I10159" t="s">
        <v>117</v>
      </c>
      <c r="J10159" t="s">
        <v>22912</v>
      </c>
      <c r="K10159">
        <v>3241</v>
      </c>
      <c r="L10159" t="s">
        <v>23</v>
      </c>
      <c r="M10159" t="s">
        <v>22910</v>
      </c>
      <c r="N10159" t="s">
        <v>22911</v>
      </c>
      <c r="O10159" t="s">
        <v>117</v>
      </c>
      <c r="P10159" t="s">
        <v>22912</v>
      </c>
      <c r="Q10159">
        <v>3241</v>
      </c>
      <c r="R10159" t="s">
        <v>23</v>
      </c>
      <c r="S10159" s="1" t="s">
        <v>34218</v>
      </c>
    </row>
    <row r="10160" spans="1:19" x14ac:dyDescent="0.25">
      <c r="A10160">
        <v>101311451</v>
      </c>
      <c r="B10160" t="s">
        <v>22913</v>
      </c>
      <c r="C10160" t="s">
        <v>1959</v>
      </c>
      <c r="F10160" t="str">
        <f>"2157795123"</f>
        <v>2157795123</v>
      </c>
      <c r="G10160" t="s">
        <v>22914</v>
      </c>
      <c r="H10160" t="s">
        <v>4929</v>
      </c>
      <c r="I10160" t="s">
        <v>71</v>
      </c>
      <c r="J10160" t="s">
        <v>22915</v>
      </c>
      <c r="K10160">
        <v>5182</v>
      </c>
      <c r="L10160" t="s">
        <v>23</v>
      </c>
      <c r="M10160" t="s">
        <v>22914</v>
      </c>
      <c r="N10160" t="s">
        <v>4929</v>
      </c>
      <c r="O10160" t="s">
        <v>71</v>
      </c>
      <c r="P10160" t="s">
        <v>22915</v>
      </c>
      <c r="Q10160">
        <v>5182</v>
      </c>
      <c r="R10160" t="s">
        <v>23</v>
      </c>
      <c r="S10160" s="1" t="s">
        <v>34218</v>
      </c>
    </row>
    <row r="10161" spans="1:19" x14ac:dyDescent="0.25">
      <c r="A10161">
        <v>101072911</v>
      </c>
      <c r="B10161" t="s">
        <v>12957</v>
      </c>
      <c r="C10161" t="s">
        <v>9781</v>
      </c>
      <c r="G10161" t="s">
        <v>22916</v>
      </c>
      <c r="H10161" t="s">
        <v>2110</v>
      </c>
      <c r="I10161" t="s">
        <v>22</v>
      </c>
      <c r="J10161" t="s">
        <v>22917</v>
      </c>
      <c r="K10161">
        <v>9712</v>
      </c>
      <c r="L10161" t="s">
        <v>23</v>
      </c>
      <c r="M10161" t="s">
        <v>22916</v>
      </c>
      <c r="N10161" t="s">
        <v>2110</v>
      </c>
      <c r="O10161" t="s">
        <v>22</v>
      </c>
      <c r="P10161" t="s">
        <v>22917</v>
      </c>
      <c r="Q10161">
        <v>9712</v>
      </c>
      <c r="R10161" t="s">
        <v>23</v>
      </c>
      <c r="S10161" s="1" t="s">
        <v>34218</v>
      </c>
    </row>
    <row r="10162" spans="1:19" x14ac:dyDescent="0.25">
      <c r="A10162">
        <v>101327315</v>
      </c>
      <c r="B10162" t="s">
        <v>5180</v>
      </c>
      <c r="C10162" t="s">
        <v>9288</v>
      </c>
      <c r="G10162" t="s">
        <v>22918</v>
      </c>
      <c r="H10162" t="s">
        <v>3470</v>
      </c>
      <c r="I10162" t="s">
        <v>187</v>
      </c>
      <c r="J10162" t="s">
        <v>22919</v>
      </c>
      <c r="K10162">
        <v>1840</v>
      </c>
      <c r="L10162" t="s">
        <v>23</v>
      </c>
      <c r="M10162" t="s">
        <v>22918</v>
      </c>
      <c r="N10162" t="s">
        <v>3470</v>
      </c>
      <c r="O10162" t="s">
        <v>187</v>
      </c>
      <c r="P10162" t="s">
        <v>22919</v>
      </c>
      <c r="Q10162">
        <v>1840</v>
      </c>
      <c r="R10162" t="s">
        <v>23</v>
      </c>
      <c r="S10162" s="1" t="s">
        <v>34218</v>
      </c>
    </row>
    <row r="10163" spans="1:19" x14ac:dyDescent="0.25">
      <c r="A10163">
        <v>100954693</v>
      </c>
      <c r="B10163" t="s">
        <v>22920</v>
      </c>
      <c r="C10163" t="s">
        <v>132</v>
      </c>
      <c r="G10163" t="s">
        <v>22921</v>
      </c>
      <c r="H10163" t="s">
        <v>177</v>
      </c>
      <c r="I10163" t="s">
        <v>43</v>
      </c>
      <c r="J10163" t="s">
        <v>22922</v>
      </c>
      <c r="K10163">
        <v>1662</v>
      </c>
      <c r="L10163" t="s">
        <v>23</v>
      </c>
      <c r="M10163" t="s">
        <v>22921</v>
      </c>
      <c r="N10163" t="s">
        <v>177</v>
      </c>
      <c r="O10163" t="s">
        <v>43</v>
      </c>
      <c r="P10163" t="s">
        <v>22922</v>
      </c>
      <c r="Q10163">
        <v>1662</v>
      </c>
      <c r="R10163" t="s">
        <v>23</v>
      </c>
      <c r="S10163" s="1" t="s">
        <v>34218</v>
      </c>
    </row>
    <row r="10164" spans="1:19" x14ac:dyDescent="0.25">
      <c r="A10164">
        <v>101318067</v>
      </c>
      <c r="B10164" t="s">
        <v>22923</v>
      </c>
      <c r="C10164" t="s">
        <v>10678</v>
      </c>
      <c r="G10164" t="s">
        <v>22924</v>
      </c>
      <c r="H10164" t="s">
        <v>19808</v>
      </c>
      <c r="I10164" t="s">
        <v>57</v>
      </c>
      <c r="J10164" t="s">
        <v>22925</v>
      </c>
      <c r="K10164">
        <v>278</v>
      </c>
      <c r="L10164" t="s">
        <v>23</v>
      </c>
      <c r="M10164" t="s">
        <v>22924</v>
      </c>
      <c r="N10164" t="s">
        <v>19808</v>
      </c>
      <c r="O10164" t="s">
        <v>57</v>
      </c>
      <c r="P10164" t="s">
        <v>22925</v>
      </c>
      <c r="Q10164">
        <v>278</v>
      </c>
      <c r="R10164" t="s">
        <v>23</v>
      </c>
      <c r="S10164" s="1" t="s">
        <v>34218</v>
      </c>
    </row>
    <row r="10165" spans="1:19" x14ac:dyDescent="0.25">
      <c r="A10165">
        <v>100740342</v>
      </c>
      <c r="B10165" t="s">
        <v>22926</v>
      </c>
      <c r="C10165" t="s">
        <v>68</v>
      </c>
      <c r="G10165" t="s">
        <v>22927</v>
      </c>
      <c r="H10165" t="s">
        <v>638</v>
      </c>
      <c r="I10165" t="s">
        <v>639</v>
      </c>
      <c r="J10165">
        <v>87109</v>
      </c>
      <c r="L10165" t="s">
        <v>23</v>
      </c>
      <c r="M10165" t="s">
        <v>22927</v>
      </c>
      <c r="N10165" t="s">
        <v>638</v>
      </c>
      <c r="O10165" t="s">
        <v>639</v>
      </c>
      <c r="P10165">
        <v>87109</v>
      </c>
      <c r="R10165" t="s">
        <v>23</v>
      </c>
      <c r="S10165" s="1" t="s">
        <v>34218</v>
      </c>
    </row>
    <row r="10166" spans="1:19" x14ac:dyDescent="0.25">
      <c r="A10166">
        <v>101354014</v>
      </c>
      <c r="B10166" t="s">
        <v>22928</v>
      </c>
      <c r="C10166" t="s">
        <v>4502</v>
      </c>
      <c r="G10166" t="s">
        <v>22929</v>
      </c>
      <c r="H10166" t="s">
        <v>1766</v>
      </c>
      <c r="I10166" t="s">
        <v>22</v>
      </c>
      <c r="J10166" t="s">
        <v>22930</v>
      </c>
      <c r="K10166">
        <v>6301</v>
      </c>
      <c r="L10166" t="s">
        <v>23</v>
      </c>
      <c r="M10166" t="s">
        <v>22929</v>
      </c>
      <c r="N10166" t="s">
        <v>1766</v>
      </c>
      <c r="O10166" t="s">
        <v>22</v>
      </c>
      <c r="P10166" t="s">
        <v>22930</v>
      </c>
      <c r="Q10166">
        <v>6301</v>
      </c>
      <c r="R10166" t="s">
        <v>23</v>
      </c>
      <c r="S10166" s="1" t="s">
        <v>34218</v>
      </c>
    </row>
    <row r="10167" spans="1:19" x14ac:dyDescent="0.25">
      <c r="A10167">
        <v>101373178</v>
      </c>
      <c r="B10167" t="s">
        <v>320</v>
      </c>
      <c r="C10167" t="s">
        <v>22931</v>
      </c>
      <c r="G10167" t="s">
        <v>22932</v>
      </c>
      <c r="H10167" t="s">
        <v>10015</v>
      </c>
      <c r="I10167" t="s">
        <v>255</v>
      </c>
      <c r="J10167" t="s">
        <v>22933</v>
      </c>
      <c r="K10167">
        <v>2530</v>
      </c>
      <c r="L10167" t="s">
        <v>23</v>
      </c>
      <c r="M10167" t="s">
        <v>22932</v>
      </c>
      <c r="N10167" t="s">
        <v>10015</v>
      </c>
      <c r="O10167" t="s">
        <v>255</v>
      </c>
      <c r="P10167" t="s">
        <v>22933</v>
      </c>
      <c r="Q10167">
        <v>2530</v>
      </c>
      <c r="R10167" t="s">
        <v>23</v>
      </c>
      <c r="S10167" s="1" t="s">
        <v>34218</v>
      </c>
    </row>
    <row r="10168" spans="1:19" x14ac:dyDescent="0.25">
      <c r="A10168">
        <v>101429825</v>
      </c>
      <c r="B10168" t="s">
        <v>1827</v>
      </c>
      <c r="C10168" t="s">
        <v>305</v>
      </c>
      <c r="G10168" t="s">
        <v>22934</v>
      </c>
      <c r="H10168" t="s">
        <v>3024</v>
      </c>
      <c r="I10168" t="s">
        <v>255</v>
      </c>
      <c r="J10168">
        <v>20191</v>
      </c>
      <c r="K10168">
        <v>4227</v>
      </c>
      <c r="L10168" t="s">
        <v>23</v>
      </c>
      <c r="M10168" t="s">
        <v>22934</v>
      </c>
      <c r="N10168" t="s">
        <v>3024</v>
      </c>
      <c r="O10168" t="s">
        <v>255</v>
      </c>
      <c r="P10168">
        <v>20191</v>
      </c>
      <c r="Q10168">
        <v>4227</v>
      </c>
      <c r="R10168" t="s">
        <v>23</v>
      </c>
      <c r="S10168" s="1" t="s">
        <v>34218</v>
      </c>
    </row>
    <row r="10169" spans="1:19" x14ac:dyDescent="0.25">
      <c r="A10169">
        <v>101325376</v>
      </c>
      <c r="B10169" t="s">
        <v>22935</v>
      </c>
      <c r="C10169" t="s">
        <v>123</v>
      </c>
      <c r="G10169" t="s">
        <v>22936</v>
      </c>
      <c r="H10169" t="s">
        <v>2132</v>
      </c>
      <c r="I10169" t="s">
        <v>140</v>
      </c>
      <c r="J10169" t="s">
        <v>22937</v>
      </c>
      <c r="K10169">
        <v>2966</v>
      </c>
      <c r="L10169" t="s">
        <v>23</v>
      </c>
      <c r="M10169" t="s">
        <v>22936</v>
      </c>
      <c r="N10169" t="s">
        <v>2132</v>
      </c>
      <c r="O10169" t="s">
        <v>140</v>
      </c>
      <c r="P10169" t="s">
        <v>22937</v>
      </c>
      <c r="Q10169">
        <v>2966</v>
      </c>
      <c r="R10169" t="s">
        <v>23</v>
      </c>
      <c r="S10169" s="1" t="s">
        <v>34218</v>
      </c>
    </row>
    <row r="10170" spans="1:19" x14ac:dyDescent="0.25">
      <c r="A10170">
        <v>101420766</v>
      </c>
      <c r="B10170" t="s">
        <v>22938</v>
      </c>
      <c r="C10170" t="s">
        <v>22939</v>
      </c>
      <c r="G10170" t="s">
        <v>22940</v>
      </c>
      <c r="H10170" t="s">
        <v>15963</v>
      </c>
      <c r="I10170" t="s">
        <v>33</v>
      </c>
      <c r="J10170" t="s">
        <v>22941</v>
      </c>
      <c r="K10170">
        <v>7027</v>
      </c>
      <c r="L10170" t="s">
        <v>23</v>
      </c>
      <c r="M10170" t="s">
        <v>22940</v>
      </c>
      <c r="N10170" t="s">
        <v>15963</v>
      </c>
      <c r="O10170" t="s">
        <v>33</v>
      </c>
      <c r="P10170" t="s">
        <v>22941</v>
      </c>
      <c r="Q10170">
        <v>7027</v>
      </c>
      <c r="R10170" t="s">
        <v>23</v>
      </c>
      <c r="S10170" s="1" t="s">
        <v>34218</v>
      </c>
    </row>
    <row r="10171" spans="1:19" x14ac:dyDescent="0.25">
      <c r="A10171">
        <v>101412536</v>
      </c>
      <c r="B10171" t="s">
        <v>22942</v>
      </c>
      <c r="C10171" t="s">
        <v>22943</v>
      </c>
      <c r="G10171" t="s">
        <v>22944</v>
      </c>
      <c r="H10171" t="s">
        <v>720</v>
      </c>
      <c r="I10171" t="s">
        <v>38</v>
      </c>
      <c r="J10171" t="s">
        <v>22945</v>
      </c>
      <c r="K10171">
        <v>8212</v>
      </c>
      <c r="L10171" t="s">
        <v>23</v>
      </c>
      <c r="M10171" t="s">
        <v>22944</v>
      </c>
      <c r="N10171" t="s">
        <v>720</v>
      </c>
      <c r="O10171" t="s">
        <v>38</v>
      </c>
      <c r="P10171" t="s">
        <v>22945</v>
      </c>
      <c r="Q10171">
        <v>8212</v>
      </c>
      <c r="R10171" t="s">
        <v>23</v>
      </c>
      <c r="S10171" s="1" t="s">
        <v>34218</v>
      </c>
    </row>
    <row r="10172" spans="1:19" x14ac:dyDescent="0.25">
      <c r="A10172">
        <v>101291440</v>
      </c>
      <c r="B10172" t="s">
        <v>22946</v>
      </c>
      <c r="C10172" t="s">
        <v>509</v>
      </c>
      <c r="G10172" t="s">
        <v>22947</v>
      </c>
      <c r="H10172" t="s">
        <v>299</v>
      </c>
      <c r="I10172" t="s">
        <v>22</v>
      </c>
      <c r="J10172" t="s">
        <v>22948</v>
      </c>
      <c r="K10172">
        <v>3228</v>
      </c>
      <c r="L10172" t="s">
        <v>23</v>
      </c>
      <c r="M10172" t="s">
        <v>22947</v>
      </c>
      <c r="N10172" t="s">
        <v>299</v>
      </c>
      <c r="O10172" t="s">
        <v>22</v>
      </c>
      <c r="P10172" t="s">
        <v>22948</v>
      </c>
      <c r="Q10172">
        <v>3228</v>
      </c>
      <c r="R10172" t="s">
        <v>23</v>
      </c>
      <c r="S10172" s="1" t="s">
        <v>34218</v>
      </c>
    </row>
    <row r="10173" spans="1:19" x14ac:dyDescent="0.25">
      <c r="A10173">
        <v>100914398</v>
      </c>
      <c r="B10173" t="s">
        <v>5009</v>
      </c>
      <c r="C10173" t="s">
        <v>846</v>
      </c>
      <c r="G10173" t="s">
        <v>22949</v>
      </c>
      <c r="H10173" t="s">
        <v>1748</v>
      </c>
      <c r="I10173" t="s">
        <v>38</v>
      </c>
      <c r="J10173" t="s">
        <v>22950</v>
      </c>
      <c r="K10173">
        <v>6255</v>
      </c>
      <c r="L10173" t="s">
        <v>23</v>
      </c>
      <c r="M10173" t="s">
        <v>22949</v>
      </c>
      <c r="N10173" t="s">
        <v>1748</v>
      </c>
      <c r="O10173" t="s">
        <v>38</v>
      </c>
      <c r="P10173" t="s">
        <v>22950</v>
      </c>
      <c r="Q10173">
        <v>6255</v>
      </c>
      <c r="R10173" t="s">
        <v>23</v>
      </c>
      <c r="S10173" s="1" t="s">
        <v>34218</v>
      </c>
    </row>
    <row r="10174" spans="1:19" x14ac:dyDescent="0.25">
      <c r="A10174">
        <v>101451656</v>
      </c>
      <c r="B10174" t="s">
        <v>1370</v>
      </c>
      <c r="C10174" t="s">
        <v>1309</v>
      </c>
      <c r="G10174" t="s">
        <v>22951</v>
      </c>
      <c r="H10174" t="s">
        <v>227</v>
      </c>
      <c r="I10174" t="s">
        <v>43</v>
      </c>
      <c r="J10174">
        <v>97231</v>
      </c>
      <c r="K10174">
        <v>2117</v>
      </c>
      <c r="L10174" t="s">
        <v>23</v>
      </c>
      <c r="M10174" t="s">
        <v>22951</v>
      </c>
      <c r="N10174" t="s">
        <v>227</v>
      </c>
      <c r="O10174" t="s">
        <v>43</v>
      </c>
      <c r="P10174">
        <v>97231</v>
      </c>
      <c r="Q10174">
        <v>2117</v>
      </c>
      <c r="R10174" t="s">
        <v>23</v>
      </c>
      <c r="S10174" s="1" t="s">
        <v>34218</v>
      </c>
    </row>
    <row r="10175" spans="1:19" x14ac:dyDescent="0.25">
      <c r="A10175">
        <v>101469483</v>
      </c>
      <c r="B10175" t="s">
        <v>1795</v>
      </c>
      <c r="C10175" t="s">
        <v>582</v>
      </c>
      <c r="G10175" t="s">
        <v>22952</v>
      </c>
      <c r="H10175" t="s">
        <v>130</v>
      </c>
      <c r="I10175" t="s">
        <v>22</v>
      </c>
      <c r="J10175">
        <v>94109</v>
      </c>
      <c r="K10175">
        <v>8403</v>
      </c>
      <c r="L10175" t="s">
        <v>23</v>
      </c>
      <c r="M10175" t="s">
        <v>22952</v>
      </c>
      <c r="N10175" t="s">
        <v>130</v>
      </c>
      <c r="O10175" t="s">
        <v>22</v>
      </c>
      <c r="P10175">
        <v>94109</v>
      </c>
      <c r="Q10175">
        <v>8403</v>
      </c>
      <c r="R10175" t="s">
        <v>23</v>
      </c>
      <c r="S10175" s="1" t="s">
        <v>34218</v>
      </c>
    </row>
    <row r="10176" spans="1:19" x14ac:dyDescent="0.25">
      <c r="A10176">
        <v>101358248</v>
      </c>
      <c r="B10176" t="s">
        <v>2216</v>
      </c>
      <c r="C10176" t="s">
        <v>22953</v>
      </c>
      <c r="G10176" t="s">
        <v>22954</v>
      </c>
      <c r="H10176" t="s">
        <v>3680</v>
      </c>
      <c r="I10176" t="s">
        <v>565</v>
      </c>
      <c r="J10176">
        <v>52556</v>
      </c>
      <c r="K10176">
        <v>9024</v>
      </c>
      <c r="L10176" t="s">
        <v>23</v>
      </c>
      <c r="M10176" t="s">
        <v>22954</v>
      </c>
      <c r="N10176" t="s">
        <v>3680</v>
      </c>
      <c r="O10176" t="s">
        <v>565</v>
      </c>
      <c r="P10176">
        <v>52556</v>
      </c>
      <c r="Q10176">
        <v>9024</v>
      </c>
      <c r="R10176" t="s">
        <v>23</v>
      </c>
      <c r="S10176" s="1" t="s">
        <v>34218</v>
      </c>
    </row>
    <row r="10177" spans="1:19" x14ac:dyDescent="0.25">
      <c r="A10177">
        <v>101222222</v>
      </c>
      <c r="B10177" t="s">
        <v>22955</v>
      </c>
      <c r="C10177" t="s">
        <v>9305</v>
      </c>
      <c r="G10177" t="s">
        <v>22956</v>
      </c>
      <c r="H10177" t="s">
        <v>22957</v>
      </c>
      <c r="I10177" t="s">
        <v>1000</v>
      </c>
      <c r="J10177" t="s">
        <v>22958</v>
      </c>
      <c r="K10177">
        <v>9759</v>
      </c>
      <c r="L10177" t="s">
        <v>23</v>
      </c>
      <c r="M10177" t="s">
        <v>22956</v>
      </c>
      <c r="N10177" t="s">
        <v>22957</v>
      </c>
      <c r="O10177" t="s">
        <v>1000</v>
      </c>
      <c r="P10177" t="s">
        <v>22958</v>
      </c>
      <c r="Q10177">
        <v>9759</v>
      </c>
      <c r="R10177" t="s">
        <v>23</v>
      </c>
      <c r="S10177" s="1" t="s">
        <v>34218</v>
      </c>
    </row>
    <row r="10178" spans="1:19" x14ac:dyDescent="0.25">
      <c r="A10178">
        <v>101295389</v>
      </c>
      <c r="B10178" t="s">
        <v>19654</v>
      </c>
      <c r="C10178" t="s">
        <v>1179</v>
      </c>
      <c r="G10178" t="s">
        <v>22959</v>
      </c>
      <c r="H10178" t="s">
        <v>134</v>
      </c>
      <c r="I10178" t="s">
        <v>135</v>
      </c>
      <c r="J10178" t="s">
        <v>22960</v>
      </c>
      <c r="K10178">
        <v>7424</v>
      </c>
      <c r="L10178" t="s">
        <v>23</v>
      </c>
      <c r="M10178" t="s">
        <v>22959</v>
      </c>
      <c r="N10178" t="s">
        <v>134</v>
      </c>
      <c r="O10178" t="s">
        <v>135</v>
      </c>
      <c r="P10178" t="s">
        <v>22960</v>
      </c>
      <c r="Q10178">
        <v>7424</v>
      </c>
      <c r="R10178" t="s">
        <v>23</v>
      </c>
      <c r="S10178" s="1" t="s">
        <v>34218</v>
      </c>
    </row>
    <row r="10179" spans="1:19" x14ac:dyDescent="0.25">
      <c r="A10179">
        <v>101220740</v>
      </c>
      <c r="B10179" t="s">
        <v>22961</v>
      </c>
      <c r="C10179" t="s">
        <v>19299</v>
      </c>
      <c r="G10179" t="s">
        <v>22962</v>
      </c>
      <c r="H10179" t="s">
        <v>4127</v>
      </c>
      <c r="I10179" t="s">
        <v>71</v>
      </c>
      <c r="J10179" t="s">
        <v>22963</v>
      </c>
      <c r="K10179">
        <v>4203</v>
      </c>
      <c r="L10179" t="s">
        <v>23</v>
      </c>
      <c r="M10179" t="s">
        <v>22962</v>
      </c>
      <c r="N10179" t="s">
        <v>4127</v>
      </c>
      <c r="O10179" t="s">
        <v>71</v>
      </c>
      <c r="P10179" t="s">
        <v>22963</v>
      </c>
      <c r="Q10179">
        <v>4203</v>
      </c>
      <c r="R10179" t="s">
        <v>23</v>
      </c>
      <c r="S10179" s="1" t="s">
        <v>34218</v>
      </c>
    </row>
    <row r="10180" spans="1:19" x14ac:dyDescent="0.25">
      <c r="A10180">
        <v>101138779</v>
      </c>
      <c r="B10180" t="s">
        <v>22964</v>
      </c>
      <c r="C10180" t="s">
        <v>10806</v>
      </c>
      <c r="G10180" t="s">
        <v>22965</v>
      </c>
      <c r="H10180" t="s">
        <v>5426</v>
      </c>
      <c r="I10180" t="s">
        <v>135</v>
      </c>
      <c r="J10180" t="s">
        <v>22966</v>
      </c>
      <c r="K10180">
        <v>2444</v>
      </c>
      <c r="L10180" t="s">
        <v>23</v>
      </c>
      <c r="M10180" t="s">
        <v>22965</v>
      </c>
      <c r="N10180" t="s">
        <v>5426</v>
      </c>
      <c r="O10180" t="s">
        <v>135</v>
      </c>
      <c r="P10180" t="s">
        <v>22966</v>
      </c>
      <c r="Q10180">
        <v>2444</v>
      </c>
      <c r="R10180" t="s">
        <v>23</v>
      </c>
      <c r="S10180" s="1" t="s">
        <v>34218</v>
      </c>
    </row>
    <row r="10181" spans="1:19" x14ac:dyDescent="0.25">
      <c r="A10181">
        <v>101301090</v>
      </c>
      <c r="B10181" t="s">
        <v>18429</v>
      </c>
      <c r="C10181" t="s">
        <v>829</v>
      </c>
      <c r="G10181" t="s">
        <v>22967</v>
      </c>
      <c r="H10181" t="s">
        <v>22968</v>
      </c>
      <c r="I10181" t="s">
        <v>161</v>
      </c>
      <c r="J10181" t="s">
        <v>22969</v>
      </c>
      <c r="K10181">
        <v>1060</v>
      </c>
      <c r="L10181" t="s">
        <v>23</v>
      </c>
      <c r="M10181" t="s">
        <v>22967</v>
      </c>
      <c r="N10181" t="s">
        <v>22968</v>
      </c>
      <c r="O10181" t="s">
        <v>161</v>
      </c>
      <c r="P10181" t="s">
        <v>22969</v>
      </c>
      <c r="Q10181">
        <v>1060</v>
      </c>
      <c r="R10181" t="s">
        <v>23</v>
      </c>
      <c r="S10181" s="1" t="s">
        <v>34218</v>
      </c>
    </row>
    <row r="10182" spans="1:19" x14ac:dyDescent="0.25">
      <c r="A10182">
        <v>100942693</v>
      </c>
      <c r="B10182" t="s">
        <v>966</v>
      </c>
      <c r="C10182" t="s">
        <v>22970</v>
      </c>
      <c r="G10182" t="s">
        <v>22971</v>
      </c>
      <c r="H10182" t="s">
        <v>1840</v>
      </c>
      <c r="I10182" t="s">
        <v>236</v>
      </c>
      <c r="J10182" t="s">
        <v>22972</v>
      </c>
      <c r="K10182">
        <v>2585</v>
      </c>
      <c r="L10182" t="s">
        <v>23</v>
      </c>
      <c r="M10182" t="s">
        <v>22971</v>
      </c>
      <c r="N10182" t="s">
        <v>1840</v>
      </c>
      <c r="O10182" t="s">
        <v>236</v>
      </c>
      <c r="P10182" t="s">
        <v>22972</v>
      </c>
      <c r="Q10182">
        <v>2585</v>
      </c>
      <c r="R10182" t="s">
        <v>23</v>
      </c>
      <c r="S10182" s="1" t="s">
        <v>34218</v>
      </c>
    </row>
    <row r="10183" spans="1:19" x14ac:dyDescent="0.25">
      <c r="A10183">
        <v>100848426</v>
      </c>
      <c r="B10183" t="s">
        <v>1297</v>
      </c>
      <c r="C10183" t="s">
        <v>30</v>
      </c>
      <c r="H10183" t="s">
        <v>3815</v>
      </c>
      <c r="I10183" t="s">
        <v>22</v>
      </c>
      <c r="J10183">
        <v>94979</v>
      </c>
      <c r="L10183" t="s">
        <v>23</v>
      </c>
      <c r="N10183" t="s">
        <v>3815</v>
      </c>
      <c r="O10183" t="s">
        <v>22</v>
      </c>
      <c r="P10183">
        <v>94979</v>
      </c>
      <c r="R10183" t="s">
        <v>23</v>
      </c>
      <c r="S10183" s="1" t="s">
        <v>34218</v>
      </c>
    </row>
    <row r="10184" spans="1:19" x14ac:dyDescent="0.25">
      <c r="A10184">
        <v>101290272</v>
      </c>
      <c r="B10184" t="s">
        <v>1581</v>
      </c>
      <c r="C10184" t="s">
        <v>1363</v>
      </c>
      <c r="G10184" t="s">
        <v>22973</v>
      </c>
      <c r="H10184" t="s">
        <v>22974</v>
      </c>
      <c r="I10184" t="s">
        <v>984</v>
      </c>
      <c r="J10184" t="s">
        <v>22975</v>
      </c>
      <c r="K10184">
        <v>1389</v>
      </c>
      <c r="L10184" t="s">
        <v>23</v>
      </c>
      <c r="M10184" t="s">
        <v>22973</v>
      </c>
      <c r="N10184" t="s">
        <v>22974</v>
      </c>
      <c r="O10184" t="s">
        <v>984</v>
      </c>
      <c r="P10184" t="s">
        <v>22975</v>
      </c>
      <c r="Q10184">
        <v>1389</v>
      </c>
      <c r="R10184" t="s">
        <v>23</v>
      </c>
      <c r="S10184" s="1" t="s">
        <v>34218</v>
      </c>
    </row>
    <row r="10185" spans="1:19" x14ac:dyDescent="0.25">
      <c r="A10185">
        <v>101419307</v>
      </c>
      <c r="B10185" t="s">
        <v>3517</v>
      </c>
      <c r="C10185" t="s">
        <v>123</v>
      </c>
      <c r="G10185" t="s">
        <v>22976</v>
      </c>
      <c r="H10185" t="s">
        <v>19518</v>
      </c>
      <c r="I10185" t="s">
        <v>984</v>
      </c>
      <c r="J10185" t="s">
        <v>22977</v>
      </c>
      <c r="K10185">
        <v>6098</v>
      </c>
      <c r="L10185" t="s">
        <v>23</v>
      </c>
      <c r="M10185" t="s">
        <v>22976</v>
      </c>
      <c r="N10185" t="s">
        <v>19518</v>
      </c>
      <c r="O10185" t="s">
        <v>984</v>
      </c>
      <c r="P10185" t="s">
        <v>22977</v>
      </c>
      <c r="Q10185">
        <v>6098</v>
      </c>
      <c r="R10185" t="s">
        <v>23</v>
      </c>
      <c r="S10185" s="1" t="s">
        <v>34218</v>
      </c>
    </row>
    <row r="10186" spans="1:19" x14ac:dyDescent="0.25">
      <c r="A10186">
        <v>101244074</v>
      </c>
      <c r="B10186" t="s">
        <v>22978</v>
      </c>
      <c r="C10186" t="s">
        <v>7530</v>
      </c>
      <c r="G10186" t="s">
        <v>22979</v>
      </c>
      <c r="H10186" t="s">
        <v>22980</v>
      </c>
      <c r="I10186" t="s">
        <v>178</v>
      </c>
      <c r="J10186" t="s">
        <v>22981</v>
      </c>
      <c r="K10186">
        <v>3673</v>
      </c>
      <c r="L10186" t="s">
        <v>23</v>
      </c>
      <c r="M10186" t="s">
        <v>22979</v>
      </c>
      <c r="N10186" t="s">
        <v>22980</v>
      </c>
      <c r="O10186" t="s">
        <v>178</v>
      </c>
      <c r="P10186" t="s">
        <v>22981</v>
      </c>
      <c r="Q10186">
        <v>3673</v>
      </c>
      <c r="R10186" t="s">
        <v>23</v>
      </c>
      <c r="S10186" s="1" t="s">
        <v>34218</v>
      </c>
    </row>
    <row r="10187" spans="1:19" x14ac:dyDescent="0.25">
      <c r="A10187">
        <v>101333944</v>
      </c>
      <c r="B10187" t="s">
        <v>22982</v>
      </c>
      <c r="C10187" t="s">
        <v>1588</v>
      </c>
      <c r="G10187" t="s">
        <v>22983</v>
      </c>
      <c r="H10187" t="s">
        <v>380</v>
      </c>
      <c r="I10187" t="s">
        <v>38</v>
      </c>
      <c r="J10187" t="s">
        <v>22984</v>
      </c>
      <c r="K10187">
        <v>2248</v>
      </c>
      <c r="L10187" t="s">
        <v>23</v>
      </c>
      <c r="M10187" t="s">
        <v>22983</v>
      </c>
      <c r="N10187" t="s">
        <v>380</v>
      </c>
      <c r="O10187" t="s">
        <v>38</v>
      </c>
      <c r="P10187" t="s">
        <v>22984</v>
      </c>
      <c r="Q10187">
        <v>2248</v>
      </c>
      <c r="R10187" t="s">
        <v>23</v>
      </c>
      <c r="S10187" s="1" t="s">
        <v>34218</v>
      </c>
    </row>
    <row r="10188" spans="1:19" x14ac:dyDescent="0.25">
      <c r="A10188">
        <v>101316480</v>
      </c>
      <c r="B10188" t="s">
        <v>22985</v>
      </c>
      <c r="C10188" t="s">
        <v>699</v>
      </c>
      <c r="F10188" t="str">
        <f>"8288625888"</f>
        <v>8288625888</v>
      </c>
      <c r="G10188" t="s">
        <v>22986</v>
      </c>
      <c r="H10188" t="s">
        <v>22987</v>
      </c>
      <c r="I10188" t="s">
        <v>446</v>
      </c>
      <c r="J10188" t="s">
        <v>22988</v>
      </c>
      <c r="K10188">
        <v>9811</v>
      </c>
      <c r="L10188" t="s">
        <v>23</v>
      </c>
      <c r="M10188" t="s">
        <v>22986</v>
      </c>
      <c r="N10188" t="s">
        <v>22987</v>
      </c>
      <c r="O10188" t="s">
        <v>446</v>
      </c>
      <c r="P10188" t="s">
        <v>22988</v>
      </c>
      <c r="Q10188">
        <v>9811</v>
      </c>
      <c r="R10188" t="s">
        <v>23</v>
      </c>
      <c r="S10188" s="1" t="s">
        <v>34218</v>
      </c>
    </row>
    <row r="10189" spans="1:19" x14ac:dyDescent="0.25">
      <c r="A10189">
        <v>101426952</v>
      </c>
      <c r="B10189" t="s">
        <v>2490</v>
      </c>
      <c r="C10189" t="s">
        <v>2497</v>
      </c>
      <c r="G10189" t="s">
        <v>22989</v>
      </c>
      <c r="H10189" t="s">
        <v>22990</v>
      </c>
      <c r="I10189" t="s">
        <v>135</v>
      </c>
      <c r="J10189" t="s">
        <v>22991</v>
      </c>
      <c r="K10189">
        <v>3903</v>
      </c>
      <c r="L10189" t="s">
        <v>23</v>
      </c>
      <c r="M10189" t="s">
        <v>22989</v>
      </c>
      <c r="N10189" t="s">
        <v>22990</v>
      </c>
      <c r="O10189" t="s">
        <v>135</v>
      </c>
      <c r="P10189" t="s">
        <v>22991</v>
      </c>
      <c r="Q10189">
        <v>3903</v>
      </c>
      <c r="R10189" t="s">
        <v>23</v>
      </c>
      <c r="S10189" s="1" t="s">
        <v>34218</v>
      </c>
    </row>
    <row r="10190" spans="1:19" x14ac:dyDescent="0.25">
      <c r="A10190">
        <v>101301095</v>
      </c>
      <c r="B10190" t="s">
        <v>22992</v>
      </c>
      <c r="C10190" t="s">
        <v>2084</v>
      </c>
      <c r="G10190" t="s">
        <v>22993</v>
      </c>
      <c r="H10190" t="s">
        <v>521</v>
      </c>
      <c r="I10190" t="s">
        <v>22</v>
      </c>
      <c r="J10190" t="s">
        <v>22994</v>
      </c>
      <c r="K10190">
        <v>2152</v>
      </c>
      <c r="L10190" t="s">
        <v>23</v>
      </c>
      <c r="M10190" t="s">
        <v>22993</v>
      </c>
      <c r="N10190" t="s">
        <v>521</v>
      </c>
      <c r="O10190" t="s">
        <v>22</v>
      </c>
      <c r="P10190" t="s">
        <v>22994</v>
      </c>
      <c r="Q10190">
        <v>2152</v>
      </c>
      <c r="R10190" t="s">
        <v>23</v>
      </c>
      <c r="S10190" s="1" t="s">
        <v>34218</v>
      </c>
    </row>
    <row r="10191" spans="1:19" x14ac:dyDescent="0.25">
      <c r="A10191">
        <v>101351065</v>
      </c>
      <c r="B10191" t="s">
        <v>22995</v>
      </c>
      <c r="C10191" t="s">
        <v>22996</v>
      </c>
      <c r="G10191" t="s">
        <v>22997</v>
      </c>
      <c r="H10191" t="s">
        <v>1857</v>
      </c>
      <c r="I10191" t="s">
        <v>702</v>
      </c>
      <c r="J10191" t="s">
        <v>22998</v>
      </c>
      <c r="K10191">
        <v>6204</v>
      </c>
      <c r="L10191" t="s">
        <v>23</v>
      </c>
      <c r="M10191" t="s">
        <v>22997</v>
      </c>
      <c r="N10191" t="s">
        <v>1857</v>
      </c>
      <c r="O10191" t="s">
        <v>702</v>
      </c>
      <c r="P10191" t="s">
        <v>22998</v>
      </c>
      <c r="Q10191">
        <v>6204</v>
      </c>
      <c r="R10191" t="s">
        <v>23</v>
      </c>
      <c r="S10191" s="1" t="s">
        <v>34218</v>
      </c>
    </row>
    <row r="10192" spans="1:19" x14ac:dyDescent="0.25">
      <c r="A10192">
        <v>101339616</v>
      </c>
      <c r="B10192" t="s">
        <v>18684</v>
      </c>
      <c r="C10192" t="s">
        <v>286</v>
      </c>
      <c r="G10192" t="s">
        <v>22999</v>
      </c>
      <c r="H10192" t="s">
        <v>3686</v>
      </c>
      <c r="I10192" t="s">
        <v>57</v>
      </c>
      <c r="J10192" t="s">
        <v>23000</v>
      </c>
      <c r="K10192">
        <v>5465</v>
      </c>
      <c r="L10192" t="s">
        <v>23</v>
      </c>
      <c r="M10192" t="s">
        <v>22999</v>
      </c>
      <c r="N10192" t="s">
        <v>3686</v>
      </c>
      <c r="O10192" t="s">
        <v>57</v>
      </c>
      <c r="P10192" t="s">
        <v>23000</v>
      </c>
      <c r="Q10192">
        <v>5465</v>
      </c>
      <c r="R10192" t="s">
        <v>23</v>
      </c>
      <c r="S10192" s="1" t="s">
        <v>34218</v>
      </c>
    </row>
    <row r="10193" spans="1:19" x14ac:dyDescent="0.25">
      <c r="A10193">
        <v>101272640</v>
      </c>
      <c r="B10193" t="s">
        <v>1622</v>
      </c>
      <c r="C10193" t="s">
        <v>410</v>
      </c>
      <c r="G10193" t="s">
        <v>23001</v>
      </c>
      <c r="H10193" t="s">
        <v>638</v>
      </c>
      <c r="I10193" t="s">
        <v>639</v>
      </c>
      <c r="J10193" t="s">
        <v>23002</v>
      </c>
      <c r="K10193">
        <v>8174</v>
      </c>
      <c r="L10193" t="s">
        <v>23</v>
      </c>
      <c r="M10193" t="s">
        <v>23001</v>
      </c>
      <c r="N10193" t="s">
        <v>638</v>
      </c>
      <c r="O10193" t="s">
        <v>639</v>
      </c>
      <c r="P10193" t="s">
        <v>23002</v>
      </c>
      <c r="Q10193">
        <v>8174</v>
      </c>
      <c r="R10193" t="s">
        <v>23</v>
      </c>
      <c r="S10193" s="1" t="s">
        <v>34218</v>
      </c>
    </row>
    <row r="10194" spans="1:19" x14ac:dyDescent="0.25">
      <c r="A10194">
        <v>101230438</v>
      </c>
      <c r="B10194" t="s">
        <v>744</v>
      </c>
      <c r="C10194" t="s">
        <v>1703</v>
      </c>
      <c r="G10194" t="s">
        <v>23003</v>
      </c>
      <c r="H10194" t="s">
        <v>23004</v>
      </c>
      <c r="I10194" t="s">
        <v>250</v>
      </c>
      <c r="J10194" t="s">
        <v>23005</v>
      </c>
      <c r="K10194">
        <v>22</v>
      </c>
      <c r="L10194" t="s">
        <v>23</v>
      </c>
      <c r="M10194" t="s">
        <v>23003</v>
      </c>
      <c r="N10194" t="s">
        <v>23004</v>
      </c>
      <c r="O10194" t="s">
        <v>250</v>
      </c>
      <c r="P10194" t="s">
        <v>23005</v>
      </c>
      <c r="Q10194">
        <v>22</v>
      </c>
      <c r="R10194" t="s">
        <v>23</v>
      </c>
      <c r="S10194" s="1" t="s">
        <v>34218</v>
      </c>
    </row>
    <row r="10195" spans="1:19" x14ac:dyDescent="0.25">
      <c r="A10195">
        <v>101362985</v>
      </c>
      <c r="B10195" t="s">
        <v>23006</v>
      </c>
      <c r="C10195" t="s">
        <v>452</v>
      </c>
      <c r="G10195" t="s">
        <v>23007</v>
      </c>
      <c r="H10195" t="s">
        <v>10487</v>
      </c>
      <c r="I10195" t="s">
        <v>565</v>
      </c>
      <c r="J10195" t="s">
        <v>23008</v>
      </c>
      <c r="K10195">
        <v>1128</v>
      </c>
      <c r="L10195" t="s">
        <v>23</v>
      </c>
      <c r="M10195" t="s">
        <v>23007</v>
      </c>
      <c r="N10195" t="s">
        <v>10487</v>
      </c>
      <c r="O10195" t="s">
        <v>565</v>
      </c>
      <c r="P10195" t="s">
        <v>23008</v>
      </c>
      <c r="Q10195">
        <v>1128</v>
      </c>
      <c r="R10195" t="s">
        <v>23</v>
      </c>
      <c r="S10195" s="1" t="s">
        <v>34218</v>
      </c>
    </row>
    <row r="10196" spans="1:19" x14ac:dyDescent="0.25">
      <c r="A10196">
        <v>101221555</v>
      </c>
      <c r="B10196" t="s">
        <v>12257</v>
      </c>
      <c r="C10196" t="s">
        <v>4188</v>
      </c>
      <c r="G10196" t="s">
        <v>23009</v>
      </c>
      <c r="H10196" t="s">
        <v>23010</v>
      </c>
      <c r="I10196" t="s">
        <v>365</v>
      </c>
      <c r="J10196" t="s">
        <v>23011</v>
      </c>
      <c r="K10196">
        <v>1013</v>
      </c>
      <c r="L10196" t="s">
        <v>23</v>
      </c>
      <c r="M10196" t="s">
        <v>23009</v>
      </c>
      <c r="N10196" t="s">
        <v>23010</v>
      </c>
      <c r="O10196" t="s">
        <v>365</v>
      </c>
      <c r="P10196" t="s">
        <v>23011</v>
      </c>
      <c r="Q10196">
        <v>1013</v>
      </c>
      <c r="R10196" t="s">
        <v>23</v>
      </c>
      <c r="S10196" s="1" t="s">
        <v>34218</v>
      </c>
    </row>
    <row r="10197" spans="1:19" x14ac:dyDescent="0.25">
      <c r="A10197">
        <v>101287519</v>
      </c>
      <c r="B10197" t="s">
        <v>3646</v>
      </c>
      <c r="C10197" t="s">
        <v>12335</v>
      </c>
      <c r="G10197" t="s">
        <v>23012</v>
      </c>
      <c r="H10197" t="s">
        <v>2963</v>
      </c>
      <c r="I10197" t="s">
        <v>52</v>
      </c>
      <c r="J10197" t="s">
        <v>23013</v>
      </c>
      <c r="K10197">
        <v>5032</v>
      </c>
      <c r="L10197" t="s">
        <v>23</v>
      </c>
      <c r="M10197" t="s">
        <v>23012</v>
      </c>
      <c r="N10197" t="s">
        <v>2963</v>
      </c>
      <c r="O10197" t="s">
        <v>52</v>
      </c>
      <c r="P10197" t="s">
        <v>23013</v>
      </c>
      <c r="Q10197">
        <v>5032</v>
      </c>
      <c r="R10197" t="s">
        <v>23</v>
      </c>
      <c r="S10197" s="1" t="s">
        <v>34218</v>
      </c>
    </row>
    <row r="10198" spans="1:19" x14ac:dyDescent="0.25">
      <c r="A10198">
        <v>101297893</v>
      </c>
      <c r="B10198" t="s">
        <v>21207</v>
      </c>
      <c r="C10198" t="s">
        <v>1218</v>
      </c>
      <c r="G10198" t="s">
        <v>23014</v>
      </c>
      <c r="H10198" t="s">
        <v>1262</v>
      </c>
      <c r="I10198" t="s">
        <v>565</v>
      </c>
      <c r="J10198" t="s">
        <v>23015</v>
      </c>
      <c r="K10198">
        <v>3059</v>
      </c>
      <c r="L10198" t="s">
        <v>23</v>
      </c>
      <c r="M10198" t="s">
        <v>23014</v>
      </c>
      <c r="N10198" t="s">
        <v>1262</v>
      </c>
      <c r="O10198" t="s">
        <v>565</v>
      </c>
      <c r="P10198" t="s">
        <v>23015</v>
      </c>
      <c r="Q10198">
        <v>3059</v>
      </c>
      <c r="R10198" t="s">
        <v>23</v>
      </c>
      <c r="S10198" s="1" t="s">
        <v>34218</v>
      </c>
    </row>
    <row r="10199" spans="1:19" x14ac:dyDescent="0.25">
      <c r="A10199">
        <v>101017394</v>
      </c>
      <c r="B10199" t="s">
        <v>23016</v>
      </c>
      <c r="C10199" t="s">
        <v>547</v>
      </c>
      <c r="G10199" t="s">
        <v>23017</v>
      </c>
      <c r="H10199" t="s">
        <v>9008</v>
      </c>
      <c r="I10199" t="s">
        <v>241</v>
      </c>
      <c r="J10199" t="s">
        <v>23018</v>
      </c>
      <c r="K10199">
        <v>3149</v>
      </c>
      <c r="L10199" t="s">
        <v>23</v>
      </c>
      <c r="M10199" t="s">
        <v>23017</v>
      </c>
      <c r="N10199" t="s">
        <v>9008</v>
      </c>
      <c r="O10199" t="s">
        <v>241</v>
      </c>
      <c r="P10199" t="s">
        <v>23018</v>
      </c>
      <c r="Q10199">
        <v>3149</v>
      </c>
      <c r="R10199" t="s">
        <v>23</v>
      </c>
      <c r="S10199" s="1" t="s">
        <v>34218</v>
      </c>
    </row>
    <row r="10200" spans="1:19" x14ac:dyDescent="0.25">
      <c r="A10200">
        <v>101443535</v>
      </c>
      <c r="B10200" t="s">
        <v>11995</v>
      </c>
      <c r="C10200" t="s">
        <v>1591</v>
      </c>
      <c r="G10200" t="s">
        <v>23019</v>
      </c>
      <c r="H10200" t="s">
        <v>913</v>
      </c>
      <c r="I10200" t="s">
        <v>914</v>
      </c>
      <c r="J10200" t="s">
        <v>23020</v>
      </c>
      <c r="K10200">
        <v>1453</v>
      </c>
      <c r="L10200" t="s">
        <v>23</v>
      </c>
      <c r="M10200" t="s">
        <v>23019</v>
      </c>
      <c r="N10200" t="s">
        <v>913</v>
      </c>
      <c r="O10200" t="s">
        <v>914</v>
      </c>
      <c r="P10200" t="s">
        <v>23020</v>
      </c>
      <c r="Q10200">
        <v>1453</v>
      </c>
      <c r="R10200" t="s">
        <v>23</v>
      </c>
      <c r="S10200" s="1" t="s">
        <v>34218</v>
      </c>
    </row>
    <row r="10201" spans="1:19" x14ac:dyDescent="0.25">
      <c r="A10201">
        <v>100817165</v>
      </c>
      <c r="B10201" t="s">
        <v>5242</v>
      </c>
      <c r="C10201" t="s">
        <v>247</v>
      </c>
      <c r="G10201" t="s">
        <v>5243</v>
      </c>
      <c r="H10201" t="s">
        <v>2335</v>
      </c>
      <c r="I10201" t="s">
        <v>22</v>
      </c>
      <c r="J10201" t="s">
        <v>5244</v>
      </c>
      <c r="K10201">
        <v>120</v>
      </c>
      <c r="L10201" t="s">
        <v>23</v>
      </c>
      <c r="M10201" t="s">
        <v>5243</v>
      </c>
      <c r="N10201" t="s">
        <v>2335</v>
      </c>
      <c r="O10201" t="s">
        <v>22</v>
      </c>
      <c r="P10201" t="s">
        <v>5244</v>
      </c>
      <c r="Q10201">
        <v>120</v>
      </c>
      <c r="R10201" t="s">
        <v>23</v>
      </c>
      <c r="S10201" s="1" t="s">
        <v>34218</v>
      </c>
    </row>
    <row r="10202" spans="1:19" x14ac:dyDescent="0.25">
      <c r="A10202">
        <v>101415120</v>
      </c>
      <c r="B10202" t="s">
        <v>2689</v>
      </c>
      <c r="C10202" t="s">
        <v>1086</v>
      </c>
      <c r="G10202" t="s">
        <v>23021</v>
      </c>
      <c r="H10202" t="s">
        <v>15435</v>
      </c>
      <c r="I10202" t="s">
        <v>38</v>
      </c>
      <c r="J10202" t="s">
        <v>23022</v>
      </c>
      <c r="K10202">
        <v>5945</v>
      </c>
      <c r="L10202" t="s">
        <v>23</v>
      </c>
      <c r="M10202" t="s">
        <v>23021</v>
      </c>
      <c r="N10202" t="s">
        <v>15435</v>
      </c>
      <c r="O10202" t="s">
        <v>38</v>
      </c>
      <c r="P10202" t="s">
        <v>23022</v>
      </c>
      <c r="Q10202">
        <v>5945</v>
      </c>
      <c r="R10202" t="s">
        <v>23</v>
      </c>
      <c r="S10202" s="1" t="s">
        <v>34218</v>
      </c>
    </row>
    <row r="10203" spans="1:19" x14ac:dyDescent="0.25">
      <c r="A10203">
        <v>101443559</v>
      </c>
      <c r="B10203" t="s">
        <v>4968</v>
      </c>
      <c r="C10203" t="s">
        <v>23023</v>
      </c>
      <c r="G10203" t="s">
        <v>23024</v>
      </c>
      <c r="H10203" t="s">
        <v>1579</v>
      </c>
      <c r="I10203" t="s">
        <v>71</v>
      </c>
      <c r="J10203" t="s">
        <v>23025</v>
      </c>
      <c r="K10203">
        <v>5252</v>
      </c>
      <c r="L10203" t="s">
        <v>23</v>
      </c>
      <c r="M10203" t="s">
        <v>23024</v>
      </c>
      <c r="N10203" t="s">
        <v>1579</v>
      </c>
      <c r="O10203" t="s">
        <v>71</v>
      </c>
      <c r="P10203" t="s">
        <v>23025</v>
      </c>
      <c r="Q10203">
        <v>5252</v>
      </c>
      <c r="R10203" t="s">
        <v>23</v>
      </c>
      <c r="S10203" s="1" t="s">
        <v>34218</v>
      </c>
    </row>
    <row r="10204" spans="1:19" x14ac:dyDescent="0.25">
      <c r="A10204">
        <v>100556938</v>
      </c>
      <c r="B10204" t="s">
        <v>4747</v>
      </c>
      <c r="C10204" t="s">
        <v>1818</v>
      </c>
      <c r="G10204" t="s">
        <v>23026</v>
      </c>
      <c r="H10204" t="s">
        <v>1415</v>
      </c>
      <c r="I10204" t="s">
        <v>365</v>
      </c>
      <c r="J10204" t="s">
        <v>23027</v>
      </c>
      <c r="K10204">
        <v>7644</v>
      </c>
      <c r="L10204" t="s">
        <v>23</v>
      </c>
      <c r="M10204" t="s">
        <v>23026</v>
      </c>
      <c r="N10204" t="s">
        <v>1415</v>
      </c>
      <c r="O10204" t="s">
        <v>365</v>
      </c>
      <c r="P10204" t="s">
        <v>23027</v>
      </c>
      <c r="Q10204">
        <v>7644</v>
      </c>
      <c r="R10204" t="s">
        <v>23</v>
      </c>
      <c r="S10204" s="1" t="s">
        <v>34218</v>
      </c>
    </row>
    <row r="10205" spans="1:19" x14ac:dyDescent="0.25">
      <c r="A10205">
        <v>100515355</v>
      </c>
      <c r="B10205" t="s">
        <v>23028</v>
      </c>
      <c r="C10205" t="s">
        <v>180</v>
      </c>
      <c r="G10205" t="s">
        <v>23029</v>
      </c>
      <c r="H10205" t="s">
        <v>595</v>
      </c>
      <c r="I10205" t="s">
        <v>22</v>
      </c>
      <c r="J10205" t="s">
        <v>23030</v>
      </c>
      <c r="K10205">
        <v>1601</v>
      </c>
      <c r="L10205" t="s">
        <v>23</v>
      </c>
      <c r="M10205" t="s">
        <v>23029</v>
      </c>
      <c r="N10205" t="s">
        <v>595</v>
      </c>
      <c r="O10205" t="s">
        <v>22</v>
      </c>
      <c r="P10205" t="s">
        <v>23030</v>
      </c>
      <c r="Q10205">
        <v>1601</v>
      </c>
      <c r="R10205" t="s">
        <v>23</v>
      </c>
      <c r="S10205" s="1" t="s">
        <v>34218</v>
      </c>
    </row>
    <row r="10206" spans="1:19" x14ac:dyDescent="0.25">
      <c r="A10206">
        <v>101047179</v>
      </c>
      <c r="B10206" t="s">
        <v>23031</v>
      </c>
      <c r="C10206" t="s">
        <v>403</v>
      </c>
      <c r="G10206" t="s">
        <v>23032</v>
      </c>
      <c r="H10206" t="s">
        <v>23033</v>
      </c>
      <c r="I10206" t="s">
        <v>22</v>
      </c>
      <c r="J10206">
        <v>95467</v>
      </c>
      <c r="L10206" t="s">
        <v>23</v>
      </c>
      <c r="M10206" t="s">
        <v>23032</v>
      </c>
      <c r="N10206" t="s">
        <v>23033</v>
      </c>
      <c r="O10206" t="s">
        <v>22</v>
      </c>
      <c r="P10206">
        <v>95467</v>
      </c>
      <c r="R10206" t="s">
        <v>23</v>
      </c>
      <c r="S10206" s="1" t="s">
        <v>34218</v>
      </c>
    </row>
    <row r="10207" spans="1:19" x14ac:dyDescent="0.25">
      <c r="A10207">
        <v>101299225</v>
      </c>
      <c r="B10207" t="s">
        <v>208</v>
      </c>
      <c r="C10207" t="s">
        <v>1135</v>
      </c>
      <c r="G10207" t="s">
        <v>23034</v>
      </c>
      <c r="H10207" t="s">
        <v>2046</v>
      </c>
      <c r="I10207" t="s">
        <v>446</v>
      </c>
      <c r="J10207" t="s">
        <v>23035</v>
      </c>
      <c r="K10207">
        <v>9427</v>
      </c>
      <c r="L10207" t="s">
        <v>23</v>
      </c>
      <c r="M10207" t="s">
        <v>23034</v>
      </c>
      <c r="N10207" t="s">
        <v>2046</v>
      </c>
      <c r="O10207" t="s">
        <v>446</v>
      </c>
      <c r="P10207" t="s">
        <v>23035</v>
      </c>
      <c r="Q10207">
        <v>9427</v>
      </c>
      <c r="R10207" t="s">
        <v>23</v>
      </c>
      <c r="S10207" s="1" t="s">
        <v>34218</v>
      </c>
    </row>
    <row r="10208" spans="1:19" x14ac:dyDescent="0.25">
      <c r="A10208">
        <v>101419238</v>
      </c>
      <c r="B10208" t="s">
        <v>19001</v>
      </c>
      <c r="C10208" t="s">
        <v>14323</v>
      </c>
      <c r="G10208" t="s">
        <v>23036</v>
      </c>
      <c r="H10208" t="s">
        <v>737</v>
      </c>
      <c r="I10208" t="s">
        <v>255</v>
      </c>
      <c r="J10208" t="s">
        <v>23037</v>
      </c>
      <c r="K10208">
        <v>1706</v>
      </c>
      <c r="L10208" t="s">
        <v>23</v>
      </c>
      <c r="M10208" t="s">
        <v>23036</v>
      </c>
      <c r="N10208" t="s">
        <v>737</v>
      </c>
      <c r="O10208" t="s">
        <v>255</v>
      </c>
      <c r="P10208" t="s">
        <v>23037</v>
      </c>
      <c r="Q10208">
        <v>1706</v>
      </c>
      <c r="R10208" t="s">
        <v>23</v>
      </c>
      <c r="S10208" s="1" t="s">
        <v>34218</v>
      </c>
    </row>
    <row r="10209" spans="1:19" x14ac:dyDescent="0.25">
      <c r="A10209">
        <v>101475843</v>
      </c>
      <c r="B10209" t="s">
        <v>23038</v>
      </c>
      <c r="C10209" t="s">
        <v>3171</v>
      </c>
      <c r="G10209" t="s">
        <v>23039</v>
      </c>
      <c r="H10209" t="s">
        <v>23040</v>
      </c>
      <c r="I10209" t="s">
        <v>33</v>
      </c>
      <c r="J10209">
        <v>19367</v>
      </c>
      <c r="K10209">
        <v>117</v>
      </c>
      <c r="L10209" t="s">
        <v>23</v>
      </c>
      <c r="M10209" t="s">
        <v>23039</v>
      </c>
      <c r="N10209" t="s">
        <v>23040</v>
      </c>
      <c r="O10209" t="s">
        <v>33</v>
      </c>
      <c r="P10209">
        <v>19367</v>
      </c>
      <c r="Q10209">
        <v>117</v>
      </c>
      <c r="R10209" t="s">
        <v>23</v>
      </c>
      <c r="S10209" s="1" t="s">
        <v>34218</v>
      </c>
    </row>
    <row r="10210" spans="1:19" x14ac:dyDescent="0.25">
      <c r="A10210">
        <v>101358291</v>
      </c>
      <c r="B10210" t="s">
        <v>23041</v>
      </c>
      <c r="C10210" t="s">
        <v>4828</v>
      </c>
      <c r="G10210" t="s">
        <v>23042</v>
      </c>
      <c r="H10210" t="s">
        <v>277</v>
      </c>
      <c r="I10210" t="s">
        <v>140</v>
      </c>
      <c r="J10210" t="s">
        <v>23043</v>
      </c>
      <c r="K10210">
        <v>8605</v>
      </c>
      <c r="L10210" t="s">
        <v>23</v>
      </c>
      <c r="M10210" t="s">
        <v>23042</v>
      </c>
      <c r="N10210" t="s">
        <v>277</v>
      </c>
      <c r="O10210" t="s">
        <v>140</v>
      </c>
      <c r="P10210" t="s">
        <v>23043</v>
      </c>
      <c r="Q10210">
        <v>8605</v>
      </c>
      <c r="R10210" t="s">
        <v>23</v>
      </c>
      <c r="S10210" s="1" t="s">
        <v>34218</v>
      </c>
    </row>
    <row r="10211" spans="1:19" x14ac:dyDescent="0.25">
      <c r="A10211">
        <v>101321892</v>
      </c>
      <c r="B10211" t="s">
        <v>3650</v>
      </c>
      <c r="C10211" t="s">
        <v>1933</v>
      </c>
      <c r="G10211" t="s">
        <v>23044</v>
      </c>
      <c r="H10211" t="s">
        <v>1318</v>
      </c>
      <c r="I10211" t="s">
        <v>22</v>
      </c>
      <c r="J10211" t="s">
        <v>23045</v>
      </c>
      <c r="K10211">
        <v>3553</v>
      </c>
      <c r="L10211" t="s">
        <v>23</v>
      </c>
      <c r="M10211" t="s">
        <v>23044</v>
      </c>
      <c r="N10211" t="s">
        <v>1318</v>
      </c>
      <c r="O10211" t="s">
        <v>22</v>
      </c>
      <c r="P10211" t="s">
        <v>23045</v>
      </c>
      <c r="Q10211">
        <v>3553</v>
      </c>
      <c r="R10211" t="s">
        <v>23</v>
      </c>
      <c r="S10211" s="1" t="s">
        <v>34218</v>
      </c>
    </row>
    <row r="10212" spans="1:19" x14ac:dyDescent="0.25">
      <c r="A10212">
        <v>101465566</v>
      </c>
      <c r="B10212" t="s">
        <v>23046</v>
      </c>
      <c r="C10212" t="s">
        <v>40</v>
      </c>
      <c r="G10212" t="s">
        <v>23047</v>
      </c>
      <c r="H10212" t="s">
        <v>7092</v>
      </c>
      <c r="I10212" t="s">
        <v>140</v>
      </c>
      <c r="J10212">
        <v>48888</v>
      </c>
      <c r="K10212">
        <v>9784</v>
      </c>
      <c r="L10212" t="s">
        <v>23</v>
      </c>
      <c r="M10212" t="s">
        <v>23047</v>
      </c>
      <c r="N10212" t="s">
        <v>7092</v>
      </c>
      <c r="O10212" t="s">
        <v>140</v>
      </c>
      <c r="P10212">
        <v>48888</v>
      </c>
      <c r="Q10212">
        <v>9784</v>
      </c>
      <c r="R10212" t="s">
        <v>23</v>
      </c>
      <c r="S10212" s="1" t="s">
        <v>34218</v>
      </c>
    </row>
    <row r="10213" spans="1:19" x14ac:dyDescent="0.25">
      <c r="A10213">
        <v>101467316</v>
      </c>
      <c r="B10213" t="s">
        <v>23048</v>
      </c>
      <c r="C10213" t="s">
        <v>531</v>
      </c>
      <c r="G10213" t="s">
        <v>23049</v>
      </c>
      <c r="H10213" t="s">
        <v>23050</v>
      </c>
      <c r="I10213" t="s">
        <v>38</v>
      </c>
      <c r="J10213">
        <v>76226</v>
      </c>
      <c r="K10213">
        <v>7373</v>
      </c>
      <c r="L10213" t="s">
        <v>23</v>
      </c>
      <c r="M10213" t="s">
        <v>23049</v>
      </c>
      <c r="N10213" t="s">
        <v>23050</v>
      </c>
      <c r="O10213" t="s">
        <v>38</v>
      </c>
      <c r="P10213">
        <v>76226</v>
      </c>
      <c r="Q10213">
        <v>7373</v>
      </c>
      <c r="R10213" t="s">
        <v>23</v>
      </c>
      <c r="S10213" s="1" t="s">
        <v>34218</v>
      </c>
    </row>
    <row r="10214" spans="1:19" x14ac:dyDescent="0.25">
      <c r="A10214">
        <v>101220823</v>
      </c>
      <c r="B10214" t="s">
        <v>23051</v>
      </c>
      <c r="C10214" t="s">
        <v>1470</v>
      </c>
      <c r="G10214" t="s">
        <v>23052</v>
      </c>
      <c r="H10214" t="s">
        <v>5841</v>
      </c>
      <c r="I10214" t="s">
        <v>33</v>
      </c>
      <c r="J10214">
        <v>18969</v>
      </c>
      <c r="K10214">
        <v>1219</v>
      </c>
      <c r="L10214" t="s">
        <v>23</v>
      </c>
      <c r="M10214" t="s">
        <v>23052</v>
      </c>
      <c r="N10214" t="s">
        <v>5841</v>
      </c>
      <c r="O10214" t="s">
        <v>33</v>
      </c>
      <c r="P10214">
        <v>18969</v>
      </c>
      <c r="Q10214">
        <v>1219</v>
      </c>
      <c r="R10214" t="s">
        <v>23</v>
      </c>
      <c r="S10214" s="1" t="s">
        <v>34218</v>
      </c>
    </row>
    <row r="10215" spans="1:19" x14ac:dyDescent="0.25">
      <c r="A10215">
        <v>101470247</v>
      </c>
      <c r="B10215" t="s">
        <v>1698</v>
      </c>
      <c r="C10215" t="s">
        <v>30</v>
      </c>
      <c r="G10215" t="s">
        <v>18352</v>
      </c>
      <c r="H10215" t="s">
        <v>567</v>
      </c>
      <c r="I10215" t="s">
        <v>446</v>
      </c>
      <c r="J10215">
        <v>27612</v>
      </c>
      <c r="K10215">
        <v>2474</v>
      </c>
      <c r="L10215" t="s">
        <v>23</v>
      </c>
      <c r="M10215" t="s">
        <v>18352</v>
      </c>
      <c r="N10215" t="s">
        <v>567</v>
      </c>
      <c r="O10215" t="s">
        <v>446</v>
      </c>
      <c r="P10215">
        <v>27612</v>
      </c>
      <c r="Q10215">
        <v>2474</v>
      </c>
      <c r="R10215" t="s">
        <v>23</v>
      </c>
      <c r="S10215" s="1" t="s">
        <v>34218</v>
      </c>
    </row>
    <row r="10216" spans="1:19" x14ac:dyDescent="0.25">
      <c r="A10216">
        <v>101479724</v>
      </c>
      <c r="B10216" t="s">
        <v>23053</v>
      </c>
      <c r="C10216" t="s">
        <v>23054</v>
      </c>
      <c r="G10216" t="s">
        <v>23055</v>
      </c>
      <c r="H10216" t="s">
        <v>18903</v>
      </c>
      <c r="I10216" t="s">
        <v>22</v>
      </c>
      <c r="J10216">
        <v>93060</v>
      </c>
      <c r="K10216">
        <v>2301</v>
      </c>
      <c r="L10216" t="s">
        <v>23</v>
      </c>
      <c r="M10216" t="s">
        <v>23055</v>
      </c>
      <c r="N10216" t="s">
        <v>18903</v>
      </c>
      <c r="O10216" t="s">
        <v>22</v>
      </c>
      <c r="P10216">
        <v>93060</v>
      </c>
      <c r="Q10216">
        <v>2301</v>
      </c>
      <c r="R10216" t="s">
        <v>23</v>
      </c>
      <c r="S10216" s="1" t="s">
        <v>34218</v>
      </c>
    </row>
    <row r="10217" spans="1:19" x14ac:dyDescent="0.25">
      <c r="A10217">
        <v>101479956</v>
      </c>
      <c r="B10217" t="s">
        <v>23056</v>
      </c>
      <c r="C10217" t="s">
        <v>1647</v>
      </c>
      <c r="G10217" t="s">
        <v>23057</v>
      </c>
      <c r="H10217" t="s">
        <v>3876</v>
      </c>
      <c r="I10217" t="s">
        <v>22</v>
      </c>
      <c r="J10217">
        <v>91411</v>
      </c>
      <c r="K10217">
        <v>3117</v>
      </c>
      <c r="L10217" t="s">
        <v>23</v>
      </c>
      <c r="M10217" t="s">
        <v>23057</v>
      </c>
      <c r="N10217" t="s">
        <v>3876</v>
      </c>
      <c r="O10217" t="s">
        <v>22</v>
      </c>
      <c r="P10217">
        <v>91411</v>
      </c>
      <c r="Q10217">
        <v>3117</v>
      </c>
      <c r="R10217" t="s">
        <v>23</v>
      </c>
      <c r="S10217" s="1" t="s">
        <v>34218</v>
      </c>
    </row>
    <row r="10218" spans="1:19" x14ac:dyDescent="0.25">
      <c r="A10218">
        <v>101480015</v>
      </c>
      <c r="B10218" t="s">
        <v>12936</v>
      </c>
      <c r="C10218" t="s">
        <v>842</v>
      </c>
      <c r="G10218" t="s">
        <v>23058</v>
      </c>
      <c r="H10218" t="s">
        <v>8826</v>
      </c>
      <c r="I10218" t="s">
        <v>22</v>
      </c>
      <c r="J10218">
        <v>92021</v>
      </c>
      <c r="K10218">
        <v>2904</v>
      </c>
      <c r="L10218" t="s">
        <v>23</v>
      </c>
      <c r="M10218" t="s">
        <v>23058</v>
      </c>
      <c r="N10218" t="s">
        <v>8826</v>
      </c>
      <c r="O10218" t="s">
        <v>22</v>
      </c>
      <c r="P10218">
        <v>92021</v>
      </c>
      <c r="Q10218">
        <v>2904</v>
      </c>
      <c r="R10218" t="s">
        <v>23</v>
      </c>
      <c r="S10218" s="1" t="s">
        <v>34218</v>
      </c>
    </row>
    <row r="10219" spans="1:19" x14ac:dyDescent="0.25">
      <c r="A10219">
        <v>101481158</v>
      </c>
      <c r="B10219" t="s">
        <v>23059</v>
      </c>
      <c r="C10219" t="s">
        <v>25</v>
      </c>
      <c r="G10219" t="s">
        <v>23060</v>
      </c>
      <c r="H10219" t="s">
        <v>23061</v>
      </c>
      <c r="I10219" t="s">
        <v>161</v>
      </c>
      <c r="J10219">
        <v>6776</v>
      </c>
      <c r="K10219">
        <v>3162</v>
      </c>
      <c r="L10219" t="s">
        <v>23</v>
      </c>
      <c r="M10219" t="s">
        <v>23060</v>
      </c>
      <c r="N10219" t="s">
        <v>23061</v>
      </c>
      <c r="O10219" t="s">
        <v>161</v>
      </c>
      <c r="P10219">
        <v>6776</v>
      </c>
      <c r="Q10219">
        <v>3162</v>
      </c>
      <c r="R10219" t="s">
        <v>23</v>
      </c>
      <c r="S10219" s="1" t="s">
        <v>34218</v>
      </c>
    </row>
    <row r="10220" spans="1:19" x14ac:dyDescent="0.25">
      <c r="A10220">
        <v>101467220</v>
      </c>
      <c r="B10220" t="s">
        <v>23062</v>
      </c>
      <c r="C10220" t="s">
        <v>2436</v>
      </c>
      <c r="G10220" t="s">
        <v>23063</v>
      </c>
      <c r="H10220" t="s">
        <v>10819</v>
      </c>
      <c r="I10220" t="s">
        <v>1387</v>
      </c>
      <c r="J10220">
        <v>35810</v>
      </c>
      <c r="K10220">
        <v>2174</v>
      </c>
      <c r="L10220" t="s">
        <v>23</v>
      </c>
      <c r="M10220" t="s">
        <v>23063</v>
      </c>
      <c r="N10220" t="s">
        <v>10819</v>
      </c>
      <c r="O10220" t="s">
        <v>1387</v>
      </c>
      <c r="P10220">
        <v>35810</v>
      </c>
      <c r="Q10220">
        <v>2174</v>
      </c>
      <c r="R10220" t="s">
        <v>23</v>
      </c>
      <c r="S10220" s="1" t="s">
        <v>34218</v>
      </c>
    </row>
    <row r="10221" spans="1:19" x14ac:dyDescent="0.25">
      <c r="A10221">
        <v>101481174</v>
      </c>
      <c r="B10221" t="s">
        <v>23064</v>
      </c>
      <c r="C10221" t="s">
        <v>123</v>
      </c>
      <c r="G10221" t="s">
        <v>23065</v>
      </c>
      <c r="H10221" t="s">
        <v>13911</v>
      </c>
      <c r="I10221" t="s">
        <v>446</v>
      </c>
      <c r="J10221">
        <v>27310</v>
      </c>
      <c r="K10221">
        <v>9804</v>
      </c>
      <c r="L10221" t="s">
        <v>23</v>
      </c>
      <c r="M10221" t="s">
        <v>23065</v>
      </c>
      <c r="N10221" t="s">
        <v>13911</v>
      </c>
      <c r="O10221" t="s">
        <v>446</v>
      </c>
      <c r="P10221">
        <v>27310</v>
      </c>
      <c r="Q10221">
        <v>9804</v>
      </c>
      <c r="R10221" t="s">
        <v>23</v>
      </c>
      <c r="S10221" s="1" t="s">
        <v>34218</v>
      </c>
    </row>
    <row r="10222" spans="1:19" x14ac:dyDescent="0.25">
      <c r="A10222">
        <v>101474727</v>
      </c>
      <c r="B10222" t="s">
        <v>14519</v>
      </c>
      <c r="C10222" t="s">
        <v>3482</v>
      </c>
      <c r="G10222" t="s">
        <v>23066</v>
      </c>
      <c r="H10222" t="s">
        <v>2319</v>
      </c>
      <c r="I10222" t="s">
        <v>117</v>
      </c>
      <c r="J10222">
        <v>10303</v>
      </c>
      <c r="K10222">
        <v>2839</v>
      </c>
      <c r="L10222" t="s">
        <v>23</v>
      </c>
      <c r="M10222" t="s">
        <v>23066</v>
      </c>
      <c r="N10222" t="s">
        <v>2319</v>
      </c>
      <c r="O10222" t="s">
        <v>117</v>
      </c>
      <c r="P10222">
        <v>10303</v>
      </c>
      <c r="Q10222">
        <v>2839</v>
      </c>
      <c r="R10222" t="s">
        <v>23</v>
      </c>
      <c r="S10222" s="1" t="s">
        <v>34218</v>
      </c>
    </row>
    <row r="10223" spans="1:19" x14ac:dyDescent="0.25">
      <c r="A10223">
        <v>101474734</v>
      </c>
      <c r="B10223" t="s">
        <v>793</v>
      </c>
      <c r="C10223" t="s">
        <v>2771</v>
      </c>
      <c r="G10223" t="s">
        <v>23067</v>
      </c>
      <c r="H10223" t="s">
        <v>1105</v>
      </c>
      <c r="I10223" t="s">
        <v>117</v>
      </c>
      <c r="J10223">
        <v>10461</v>
      </c>
      <c r="K10223">
        <v>6127</v>
      </c>
      <c r="L10223" t="s">
        <v>23</v>
      </c>
      <c r="M10223" t="s">
        <v>23067</v>
      </c>
      <c r="N10223" t="s">
        <v>1105</v>
      </c>
      <c r="O10223" t="s">
        <v>117</v>
      </c>
      <c r="P10223">
        <v>10461</v>
      </c>
      <c r="Q10223">
        <v>6127</v>
      </c>
      <c r="R10223" t="s">
        <v>23</v>
      </c>
      <c r="S10223" s="1" t="s">
        <v>34218</v>
      </c>
    </row>
    <row r="10224" spans="1:19" x14ac:dyDescent="0.25">
      <c r="A10224">
        <v>101474770</v>
      </c>
      <c r="B10224" t="s">
        <v>23068</v>
      </c>
      <c r="C10224" t="s">
        <v>2084</v>
      </c>
      <c r="G10224" t="s">
        <v>23069</v>
      </c>
      <c r="H10224" t="s">
        <v>2866</v>
      </c>
      <c r="I10224" t="s">
        <v>117</v>
      </c>
      <c r="J10224">
        <v>10598</v>
      </c>
      <c r="K10224">
        <v>3250</v>
      </c>
      <c r="L10224" t="s">
        <v>23</v>
      </c>
      <c r="M10224" t="s">
        <v>23069</v>
      </c>
      <c r="N10224" t="s">
        <v>2866</v>
      </c>
      <c r="O10224" t="s">
        <v>117</v>
      </c>
      <c r="P10224">
        <v>10598</v>
      </c>
      <c r="Q10224">
        <v>3250</v>
      </c>
      <c r="R10224" t="s">
        <v>23</v>
      </c>
      <c r="S10224" s="1" t="s">
        <v>34218</v>
      </c>
    </row>
    <row r="10225" spans="1:19" x14ac:dyDescent="0.25">
      <c r="A10225">
        <v>101480115</v>
      </c>
      <c r="B10225" t="s">
        <v>23070</v>
      </c>
      <c r="C10225" t="s">
        <v>582</v>
      </c>
      <c r="G10225" t="s">
        <v>23071</v>
      </c>
      <c r="H10225" t="s">
        <v>5597</v>
      </c>
      <c r="I10225" t="s">
        <v>84</v>
      </c>
      <c r="J10225">
        <v>99216</v>
      </c>
      <c r="K10225">
        <v>2053</v>
      </c>
      <c r="L10225" t="s">
        <v>23</v>
      </c>
      <c r="M10225" t="s">
        <v>23071</v>
      </c>
      <c r="N10225" t="s">
        <v>5597</v>
      </c>
      <c r="O10225" t="s">
        <v>84</v>
      </c>
      <c r="P10225">
        <v>99216</v>
      </c>
      <c r="Q10225">
        <v>2053</v>
      </c>
      <c r="R10225" t="s">
        <v>23</v>
      </c>
      <c r="S10225" s="1" t="s">
        <v>34218</v>
      </c>
    </row>
    <row r="10226" spans="1:19" x14ac:dyDescent="0.25">
      <c r="A10226">
        <v>101480295</v>
      </c>
      <c r="B10226" t="s">
        <v>5180</v>
      </c>
      <c r="C10226" t="s">
        <v>575</v>
      </c>
      <c r="G10226" t="s">
        <v>23072</v>
      </c>
      <c r="H10226" t="s">
        <v>591</v>
      </c>
      <c r="I10226" t="s">
        <v>84</v>
      </c>
      <c r="J10226">
        <v>98226</v>
      </c>
      <c r="K10226">
        <v>6617</v>
      </c>
      <c r="L10226" t="s">
        <v>23</v>
      </c>
      <c r="M10226" t="s">
        <v>23072</v>
      </c>
      <c r="N10226" t="s">
        <v>591</v>
      </c>
      <c r="O10226" t="s">
        <v>84</v>
      </c>
      <c r="P10226">
        <v>98226</v>
      </c>
      <c r="Q10226">
        <v>6617</v>
      </c>
      <c r="R10226" t="s">
        <v>23</v>
      </c>
      <c r="S10226" s="1" t="s">
        <v>34218</v>
      </c>
    </row>
    <row r="10227" spans="1:19" x14ac:dyDescent="0.25">
      <c r="A10227">
        <v>101470254</v>
      </c>
      <c r="B10227" t="s">
        <v>23073</v>
      </c>
      <c r="C10227" t="s">
        <v>1153</v>
      </c>
      <c r="G10227" t="s">
        <v>23074</v>
      </c>
      <c r="H10227" t="s">
        <v>23075</v>
      </c>
      <c r="I10227" t="s">
        <v>236</v>
      </c>
      <c r="J10227">
        <v>2642</v>
      </c>
      <c r="K10227">
        <v>2583</v>
      </c>
      <c r="L10227" t="s">
        <v>23</v>
      </c>
      <c r="M10227" t="s">
        <v>23074</v>
      </c>
      <c r="N10227" t="s">
        <v>23075</v>
      </c>
      <c r="O10227" t="s">
        <v>236</v>
      </c>
      <c r="P10227">
        <v>2642</v>
      </c>
      <c r="Q10227">
        <v>2583</v>
      </c>
      <c r="R10227" t="s">
        <v>23</v>
      </c>
      <c r="S10227" s="1" t="s">
        <v>34218</v>
      </c>
    </row>
    <row r="10228" spans="1:19" x14ac:dyDescent="0.25">
      <c r="A10228">
        <v>101279852</v>
      </c>
      <c r="B10228" t="s">
        <v>23076</v>
      </c>
      <c r="C10228" t="s">
        <v>114</v>
      </c>
      <c r="G10228" t="s">
        <v>23077</v>
      </c>
      <c r="H10228" t="s">
        <v>653</v>
      </c>
      <c r="I10228" t="s">
        <v>117</v>
      </c>
      <c r="J10228">
        <v>10030</v>
      </c>
      <c r="K10228">
        <v>2605</v>
      </c>
      <c r="L10228" t="s">
        <v>23</v>
      </c>
      <c r="M10228" t="s">
        <v>23077</v>
      </c>
      <c r="N10228" t="s">
        <v>653</v>
      </c>
      <c r="O10228" t="s">
        <v>117</v>
      </c>
      <c r="P10228">
        <v>10030</v>
      </c>
      <c r="Q10228">
        <v>2605</v>
      </c>
      <c r="R10228" t="s">
        <v>23</v>
      </c>
      <c r="S10228" s="1" t="s">
        <v>34218</v>
      </c>
    </row>
    <row r="10229" spans="1:19" x14ac:dyDescent="0.25">
      <c r="A10229">
        <v>100648196</v>
      </c>
      <c r="B10229" t="s">
        <v>23078</v>
      </c>
      <c r="C10229" t="s">
        <v>2599</v>
      </c>
      <c r="G10229">
        <v>12547</v>
      </c>
      <c r="H10229" t="s">
        <v>4062</v>
      </c>
      <c r="I10229" t="s">
        <v>117</v>
      </c>
      <c r="J10229">
        <v>12547</v>
      </c>
      <c r="L10229" t="s">
        <v>23</v>
      </c>
      <c r="M10229">
        <v>12547</v>
      </c>
      <c r="N10229" t="s">
        <v>4062</v>
      </c>
      <c r="O10229" t="s">
        <v>117</v>
      </c>
      <c r="P10229">
        <v>12547</v>
      </c>
      <c r="R10229" t="s">
        <v>23</v>
      </c>
      <c r="S10229" s="1" t="s">
        <v>34218</v>
      </c>
    </row>
    <row r="10230" spans="1:19" x14ac:dyDescent="0.25">
      <c r="A10230">
        <v>101448167</v>
      </c>
      <c r="B10230" t="s">
        <v>23079</v>
      </c>
      <c r="C10230" t="s">
        <v>627</v>
      </c>
      <c r="G10230" t="s">
        <v>23080</v>
      </c>
      <c r="H10230" t="s">
        <v>1668</v>
      </c>
      <c r="I10230" t="s">
        <v>117</v>
      </c>
      <c r="J10230">
        <v>11510</v>
      </c>
      <c r="K10230">
        <v>3734</v>
      </c>
      <c r="L10230" t="s">
        <v>23</v>
      </c>
      <c r="M10230" t="s">
        <v>23080</v>
      </c>
      <c r="N10230" t="s">
        <v>1668</v>
      </c>
      <c r="O10230" t="s">
        <v>117</v>
      </c>
      <c r="P10230">
        <v>11510</v>
      </c>
      <c r="Q10230">
        <v>3734</v>
      </c>
      <c r="R10230" t="s">
        <v>23</v>
      </c>
      <c r="S10230" s="1" t="s">
        <v>34218</v>
      </c>
    </row>
    <row r="10231" spans="1:19" x14ac:dyDescent="0.25">
      <c r="A10231">
        <v>101333686</v>
      </c>
      <c r="B10231" t="s">
        <v>14648</v>
      </c>
      <c r="C10231" t="s">
        <v>3843</v>
      </c>
      <c r="G10231" t="s">
        <v>23081</v>
      </c>
      <c r="H10231" t="s">
        <v>840</v>
      </c>
      <c r="I10231" t="s">
        <v>153</v>
      </c>
      <c r="J10231">
        <v>70117</v>
      </c>
      <c r="K10231">
        <v>6722</v>
      </c>
      <c r="L10231" t="s">
        <v>23</v>
      </c>
      <c r="M10231" t="s">
        <v>23081</v>
      </c>
      <c r="N10231" t="s">
        <v>840</v>
      </c>
      <c r="O10231" t="s">
        <v>153</v>
      </c>
      <c r="P10231">
        <v>70117</v>
      </c>
      <c r="Q10231">
        <v>6722</v>
      </c>
      <c r="R10231" t="s">
        <v>23</v>
      </c>
      <c r="S10231" s="1" t="s">
        <v>34218</v>
      </c>
    </row>
    <row r="10232" spans="1:19" x14ac:dyDescent="0.25">
      <c r="A10232">
        <v>100708232</v>
      </c>
      <c r="B10232" t="s">
        <v>23082</v>
      </c>
      <c r="C10232" t="s">
        <v>3009</v>
      </c>
      <c r="G10232" t="s">
        <v>23083</v>
      </c>
      <c r="H10232" t="s">
        <v>1765</v>
      </c>
      <c r="I10232" t="s">
        <v>84</v>
      </c>
      <c r="J10232" t="s">
        <v>23084</v>
      </c>
      <c r="K10232">
        <v>2442</v>
      </c>
      <c r="L10232" t="s">
        <v>23</v>
      </c>
      <c r="M10232" t="s">
        <v>23083</v>
      </c>
      <c r="N10232" t="s">
        <v>1765</v>
      </c>
      <c r="O10232" t="s">
        <v>84</v>
      </c>
      <c r="P10232" t="s">
        <v>23084</v>
      </c>
      <c r="Q10232">
        <v>2442</v>
      </c>
      <c r="R10232" t="s">
        <v>23</v>
      </c>
      <c r="S10232" s="1" t="s">
        <v>34218</v>
      </c>
    </row>
    <row r="10233" spans="1:19" x14ac:dyDescent="0.25">
      <c r="A10233">
        <v>101285566</v>
      </c>
      <c r="B10233" t="s">
        <v>23085</v>
      </c>
      <c r="C10233" t="s">
        <v>12748</v>
      </c>
      <c r="G10233" t="s">
        <v>23086</v>
      </c>
      <c r="H10233" t="s">
        <v>8256</v>
      </c>
      <c r="I10233" t="s">
        <v>250</v>
      </c>
      <c r="J10233" t="s">
        <v>23087</v>
      </c>
      <c r="K10233">
        <v>2843</v>
      </c>
      <c r="L10233" t="s">
        <v>23</v>
      </c>
      <c r="M10233" t="s">
        <v>23086</v>
      </c>
      <c r="N10233" t="s">
        <v>8256</v>
      </c>
      <c r="O10233" t="s">
        <v>250</v>
      </c>
      <c r="P10233" t="s">
        <v>23087</v>
      </c>
      <c r="Q10233">
        <v>2843</v>
      </c>
      <c r="R10233" t="s">
        <v>23</v>
      </c>
      <c r="S10233" s="1" t="s">
        <v>34218</v>
      </c>
    </row>
    <row r="10234" spans="1:19" x14ac:dyDescent="0.25">
      <c r="A10234">
        <v>101307796</v>
      </c>
      <c r="B10234" t="s">
        <v>23088</v>
      </c>
      <c r="C10234" t="s">
        <v>1623</v>
      </c>
      <c r="G10234" t="s">
        <v>23089</v>
      </c>
      <c r="H10234" t="s">
        <v>18113</v>
      </c>
      <c r="I10234" t="s">
        <v>446</v>
      </c>
      <c r="J10234">
        <v>28146</v>
      </c>
      <c r="L10234" t="s">
        <v>23</v>
      </c>
      <c r="M10234" t="s">
        <v>23089</v>
      </c>
      <c r="N10234" t="s">
        <v>18113</v>
      </c>
      <c r="O10234" t="s">
        <v>446</v>
      </c>
      <c r="P10234">
        <v>28146</v>
      </c>
      <c r="R10234" t="s">
        <v>23</v>
      </c>
      <c r="S10234" s="1" t="s">
        <v>34218</v>
      </c>
    </row>
    <row r="10235" spans="1:19" x14ac:dyDescent="0.25">
      <c r="A10235">
        <v>101444373</v>
      </c>
      <c r="B10235" t="s">
        <v>23090</v>
      </c>
      <c r="C10235" t="s">
        <v>535</v>
      </c>
      <c r="G10235" t="s">
        <v>23091</v>
      </c>
      <c r="H10235" t="s">
        <v>4150</v>
      </c>
      <c r="I10235" t="s">
        <v>365</v>
      </c>
      <c r="J10235" t="s">
        <v>23092</v>
      </c>
      <c r="K10235">
        <v>7823</v>
      </c>
      <c r="L10235" t="s">
        <v>23</v>
      </c>
      <c r="M10235" t="s">
        <v>23091</v>
      </c>
      <c r="N10235" t="s">
        <v>4150</v>
      </c>
      <c r="O10235" t="s">
        <v>365</v>
      </c>
      <c r="P10235" t="s">
        <v>23092</v>
      </c>
      <c r="Q10235">
        <v>7823</v>
      </c>
      <c r="R10235" t="s">
        <v>23</v>
      </c>
      <c r="S10235" s="1" t="s">
        <v>34218</v>
      </c>
    </row>
    <row r="10236" spans="1:19" x14ac:dyDescent="0.25">
      <c r="A10236">
        <v>101444379</v>
      </c>
      <c r="B10236" t="s">
        <v>17864</v>
      </c>
      <c r="C10236" t="s">
        <v>2515</v>
      </c>
      <c r="G10236" t="s">
        <v>23093</v>
      </c>
      <c r="H10236" t="s">
        <v>625</v>
      </c>
      <c r="I10236" t="s">
        <v>365</v>
      </c>
      <c r="J10236" t="s">
        <v>23094</v>
      </c>
      <c r="K10236">
        <v>3644</v>
      </c>
      <c r="L10236" t="s">
        <v>23</v>
      </c>
      <c r="M10236" t="s">
        <v>23093</v>
      </c>
      <c r="N10236" t="s">
        <v>625</v>
      </c>
      <c r="O10236" t="s">
        <v>365</v>
      </c>
      <c r="P10236" t="s">
        <v>23094</v>
      </c>
      <c r="Q10236">
        <v>3644</v>
      </c>
      <c r="R10236" t="s">
        <v>23</v>
      </c>
      <c r="S10236" s="1" t="s">
        <v>34218</v>
      </c>
    </row>
    <row r="10237" spans="1:19" x14ac:dyDescent="0.25">
      <c r="A10237">
        <v>100631758</v>
      </c>
      <c r="B10237" t="s">
        <v>23095</v>
      </c>
      <c r="C10237" t="s">
        <v>582</v>
      </c>
      <c r="G10237" t="s">
        <v>23096</v>
      </c>
      <c r="H10237" t="s">
        <v>23097</v>
      </c>
      <c r="I10237" t="s">
        <v>117</v>
      </c>
      <c r="J10237">
        <v>12196</v>
      </c>
      <c r="L10237" t="s">
        <v>23</v>
      </c>
      <c r="M10237" t="s">
        <v>23096</v>
      </c>
      <c r="N10237" t="s">
        <v>23097</v>
      </c>
      <c r="O10237" t="s">
        <v>117</v>
      </c>
      <c r="P10237">
        <v>12196</v>
      </c>
      <c r="R10237" t="s">
        <v>23</v>
      </c>
      <c r="S10237" s="1" t="s">
        <v>34218</v>
      </c>
    </row>
    <row r="10238" spans="1:19" x14ac:dyDescent="0.25">
      <c r="A10238">
        <v>100919362</v>
      </c>
      <c r="B10238" t="s">
        <v>11916</v>
      </c>
      <c r="C10238" t="s">
        <v>1208</v>
      </c>
      <c r="G10238" t="s">
        <v>23098</v>
      </c>
      <c r="H10238" t="s">
        <v>423</v>
      </c>
      <c r="I10238" t="s">
        <v>71</v>
      </c>
      <c r="J10238" t="s">
        <v>23099</v>
      </c>
      <c r="K10238">
        <v>1087</v>
      </c>
      <c r="L10238" t="s">
        <v>23</v>
      </c>
      <c r="M10238" t="s">
        <v>23098</v>
      </c>
      <c r="N10238" t="s">
        <v>423</v>
      </c>
      <c r="O10238" t="s">
        <v>71</v>
      </c>
      <c r="P10238" t="s">
        <v>23099</v>
      </c>
      <c r="Q10238">
        <v>1087</v>
      </c>
      <c r="R10238" t="s">
        <v>23</v>
      </c>
      <c r="S10238" s="1" t="s">
        <v>34218</v>
      </c>
    </row>
    <row r="10239" spans="1:19" x14ac:dyDescent="0.25">
      <c r="A10239">
        <v>101307604</v>
      </c>
      <c r="B10239" t="s">
        <v>23100</v>
      </c>
      <c r="C10239" t="s">
        <v>1135</v>
      </c>
      <c r="G10239" t="s">
        <v>23101</v>
      </c>
      <c r="H10239" t="s">
        <v>15016</v>
      </c>
      <c r="I10239" t="s">
        <v>446</v>
      </c>
      <c r="J10239" t="s">
        <v>23102</v>
      </c>
      <c r="K10239">
        <v>6435</v>
      </c>
      <c r="L10239" t="s">
        <v>23</v>
      </c>
      <c r="M10239" t="s">
        <v>23101</v>
      </c>
      <c r="N10239" t="s">
        <v>15016</v>
      </c>
      <c r="O10239" t="s">
        <v>446</v>
      </c>
      <c r="P10239" t="s">
        <v>23102</v>
      </c>
      <c r="Q10239">
        <v>6435</v>
      </c>
      <c r="R10239" t="s">
        <v>23</v>
      </c>
      <c r="S10239" s="1" t="s">
        <v>34218</v>
      </c>
    </row>
    <row r="10240" spans="1:19" x14ac:dyDescent="0.25">
      <c r="A10240">
        <v>100890984</v>
      </c>
      <c r="B10240" t="s">
        <v>5488</v>
      </c>
      <c r="C10240" t="s">
        <v>382</v>
      </c>
      <c r="G10240" t="s">
        <v>23103</v>
      </c>
      <c r="H10240" t="s">
        <v>1561</v>
      </c>
      <c r="I10240" t="s">
        <v>117</v>
      </c>
      <c r="J10240" t="s">
        <v>23104</v>
      </c>
      <c r="K10240">
        <v>2224</v>
      </c>
      <c r="L10240" t="s">
        <v>23</v>
      </c>
      <c r="M10240" t="s">
        <v>23103</v>
      </c>
      <c r="N10240" t="s">
        <v>1561</v>
      </c>
      <c r="O10240" t="s">
        <v>117</v>
      </c>
      <c r="P10240" t="s">
        <v>23104</v>
      </c>
      <c r="Q10240">
        <v>2224</v>
      </c>
      <c r="R10240" t="s">
        <v>23</v>
      </c>
      <c r="S10240" s="1" t="s">
        <v>34218</v>
      </c>
    </row>
    <row r="10241" spans="1:19" x14ac:dyDescent="0.25">
      <c r="A10241">
        <v>101341594</v>
      </c>
      <c r="B10241" t="s">
        <v>23105</v>
      </c>
      <c r="C10241" t="s">
        <v>1208</v>
      </c>
      <c r="G10241" t="s">
        <v>23106</v>
      </c>
      <c r="H10241" t="s">
        <v>8359</v>
      </c>
      <c r="I10241" t="s">
        <v>236</v>
      </c>
      <c r="J10241" t="s">
        <v>23107</v>
      </c>
      <c r="K10241">
        <v>2933</v>
      </c>
      <c r="L10241" t="s">
        <v>23</v>
      </c>
      <c r="M10241" t="s">
        <v>23106</v>
      </c>
      <c r="N10241" t="s">
        <v>8359</v>
      </c>
      <c r="O10241" t="s">
        <v>236</v>
      </c>
      <c r="P10241" t="s">
        <v>23107</v>
      </c>
      <c r="Q10241">
        <v>2933</v>
      </c>
      <c r="R10241" t="s">
        <v>23</v>
      </c>
      <c r="S10241" s="1" t="s">
        <v>34218</v>
      </c>
    </row>
    <row r="10242" spans="1:19" x14ac:dyDescent="0.25">
      <c r="A10242">
        <v>101325321</v>
      </c>
      <c r="B10242" t="s">
        <v>23108</v>
      </c>
      <c r="C10242" t="s">
        <v>30</v>
      </c>
      <c r="G10242" t="s">
        <v>23109</v>
      </c>
      <c r="H10242" t="s">
        <v>23110</v>
      </c>
      <c r="I10242" t="s">
        <v>255</v>
      </c>
      <c r="J10242" t="s">
        <v>23111</v>
      </c>
      <c r="K10242">
        <v>2124</v>
      </c>
      <c r="L10242" t="s">
        <v>23</v>
      </c>
      <c r="M10242" t="s">
        <v>23109</v>
      </c>
      <c r="N10242" t="s">
        <v>23110</v>
      </c>
      <c r="O10242" t="s">
        <v>255</v>
      </c>
      <c r="P10242" t="s">
        <v>23111</v>
      </c>
      <c r="Q10242">
        <v>2124</v>
      </c>
      <c r="R10242" t="s">
        <v>23</v>
      </c>
      <c r="S10242" s="1" t="s">
        <v>34218</v>
      </c>
    </row>
    <row r="10243" spans="1:19" x14ac:dyDescent="0.25">
      <c r="A10243">
        <v>101326032</v>
      </c>
      <c r="B10243" t="s">
        <v>4551</v>
      </c>
      <c r="C10243" t="s">
        <v>1161</v>
      </c>
      <c r="G10243" t="s">
        <v>23112</v>
      </c>
      <c r="H10243" t="s">
        <v>619</v>
      </c>
      <c r="I10243" t="s">
        <v>135</v>
      </c>
      <c r="J10243" t="s">
        <v>23113</v>
      </c>
      <c r="K10243">
        <v>8109</v>
      </c>
      <c r="L10243" t="s">
        <v>23</v>
      </c>
      <c r="M10243" t="s">
        <v>23112</v>
      </c>
      <c r="N10243" t="s">
        <v>619</v>
      </c>
      <c r="O10243" t="s">
        <v>135</v>
      </c>
      <c r="P10243" t="s">
        <v>23113</v>
      </c>
      <c r="Q10243">
        <v>8109</v>
      </c>
      <c r="R10243" t="s">
        <v>23</v>
      </c>
      <c r="S10243" s="1" t="s">
        <v>34218</v>
      </c>
    </row>
    <row r="10244" spans="1:19" x14ac:dyDescent="0.25">
      <c r="A10244">
        <v>101413464</v>
      </c>
      <c r="B10244" t="s">
        <v>23114</v>
      </c>
      <c r="C10244" t="s">
        <v>49</v>
      </c>
      <c r="G10244" t="s">
        <v>23115</v>
      </c>
      <c r="H10244" t="s">
        <v>23116</v>
      </c>
      <c r="I10244" t="s">
        <v>161</v>
      </c>
      <c r="J10244" t="s">
        <v>23117</v>
      </c>
      <c r="K10244">
        <v>2046</v>
      </c>
      <c r="L10244" t="s">
        <v>23</v>
      </c>
      <c r="M10244" t="s">
        <v>23115</v>
      </c>
      <c r="N10244" t="s">
        <v>23116</v>
      </c>
      <c r="O10244" t="s">
        <v>161</v>
      </c>
      <c r="P10244" t="s">
        <v>23117</v>
      </c>
      <c r="Q10244">
        <v>2046</v>
      </c>
      <c r="R10244" t="s">
        <v>23</v>
      </c>
      <c r="S10244" s="1" t="s">
        <v>34218</v>
      </c>
    </row>
    <row r="10245" spans="1:19" x14ac:dyDescent="0.25">
      <c r="A10245">
        <v>100628884</v>
      </c>
      <c r="B10245" t="s">
        <v>17750</v>
      </c>
      <c r="C10245" t="s">
        <v>382</v>
      </c>
      <c r="G10245" t="s">
        <v>23118</v>
      </c>
      <c r="H10245" t="s">
        <v>2792</v>
      </c>
      <c r="I10245" t="s">
        <v>446</v>
      </c>
      <c r="J10245" t="s">
        <v>23119</v>
      </c>
      <c r="K10245">
        <v>5141</v>
      </c>
      <c r="L10245" t="s">
        <v>23</v>
      </c>
      <c r="M10245" t="s">
        <v>23118</v>
      </c>
      <c r="N10245" t="s">
        <v>2792</v>
      </c>
      <c r="O10245" t="s">
        <v>446</v>
      </c>
      <c r="P10245" t="s">
        <v>23119</v>
      </c>
      <c r="Q10245">
        <v>5141</v>
      </c>
      <c r="R10245" t="s">
        <v>23</v>
      </c>
      <c r="S10245" s="1" t="s">
        <v>34218</v>
      </c>
    </row>
    <row r="10246" spans="1:19" x14ac:dyDescent="0.25">
      <c r="A10246">
        <v>101474511</v>
      </c>
      <c r="B10246" t="s">
        <v>23120</v>
      </c>
      <c r="C10246" t="s">
        <v>2512</v>
      </c>
      <c r="G10246" t="s">
        <v>23121</v>
      </c>
      <c r="H10246" t="s">
        <v>4570</v>
      </c>
      <c r="I10246" t="s">
        <v>52</v>
      </c>
      <c r="J10246">
        <v>34293</v>
      </c>
      <c r="K10246">
        <v>3804</v>
      </c>
      <c r="L10246" t="s">
        <v>23</v>
      </c>
      <c r="M10246" t="s">
        <v>23121</v>
      </c>
      <c r="N10246" t="s">
        <v>4570</v>
      </c>
      <c r="O10246" t="s">
        <v>52</v>
      </c>
      <c r="P10246">
        <v>34293</v>
      </c>
      <c r="Q10246">
        <v>3804</v>
      </c>
      <c r="R10246" t="s">
        <v>23</v>
      </c>
      <c r="S10246" s="1" t="s">
        <v>34218</v>
      </c>
    </row>
    <row r="10247" spans="1:19" x14ac:dyDescent="0.25">
      <c r="A10247">
        <v>101478596</v>
      </c>
      <c r="B10247" t="s">
        <v>23122</v>
      </c>
      <c r="C10247" t="s">
        <v>575</v>
      </c>
      <c r="G10247" t="s">
        <v>23123</v>
      </c>
      <c r="H10247" t="s">
        <v>23124</v>
      </c>
      <c r="I10247" t="s">
        <v>38</v>
      </c>
      <c r="J10247">
        <v>78641</v>
      </c>
      <c r="K10247">
        <v>6126</v>
      </c>
      <c r="L10247" t="s">
        <v>23</v>
      </c>
      <c r="M10247" t="s">
        <v>23123</v>
      </c>
      <c r="N10247" t="s">
        <v>23124</v>
      </c>
      <c r="O10247" t="s">
        <v>38</v>
      </c>
      <c r="P10247">
        <v>78641</v>
      </c>
      <c r="Q10247">
        <v>6126</v>
      </c>
      <c r="R10247" t="s">
        <v>23</v>
      </c>
      <c r="S10247" s="1" t="s">
        <v>34218</v>
      </c>
    </row>
    <row r="10248" spans="1:19" x14ac:dyDescent="0.25">
      <c r="A10248">
        <v>101478628</v>
      </c>
      <c r="B10248" t="s">
        <v>23125</v>
      </c>
      <c r="C10248" t="s">
        <v>294</v>
      </c>
      <c r="G10248" t="s">
        <v>23126</v>
      </c>
      <c r="H10248" t="s">
        <v>37</v>
      </c>
      <c r="I10248" t="s">
        <v>38</v>
      </c>
      <c r="J10248">
        <v>78757</v>
      </c>
      <c r="K10248">
        <v>1631</v>
      </c>
      <c r="L10248" t="s">
        <v>23</v>
      </c>
      <c r="M10248" t="s">
        <v>23126</v>
      </c>
      <c r="N10248" t="s">
        <v>37</v>
      </c>
      <c r="O10248" t="s">
        <v>38</v>
      </c>
      <c r="P10248">
        <v>78757</v>
      </c>
      <c r="Q10248">
        <v>1631</v>
      </c>
      <c r="R10248" t="s">
        <v>23</v>
      </c>
      <c r="S10248" s="1" t="s">
        <v>34218</v>
      </c>
    </row>
    <row r="10249" spans="1:19" x14ac:dyDescent="0.25">
      <c r="A10249">
        <v>101478801</v>
      </c>
      <c r="B10249" t="s">
        <v>23127</v>
      </c>
      <c r="C10249" t="s">
        <v>1374</v>
      </c>
      <c r="G10249" t="s">
        <v>23128</v>
      </c>
      <c r="H10249" t="s">
        <v>1531</v>
      </c>
      <c r="I10249" t="s">
        <v>84</v>
      </c>
      <c r="J10249">
        <v>98117</v>
      </c>
      <c r="K10249">
        <v>2901</v>
      </c>
      <c r="L10249" t="s">
        <v>23</v>
      </c>
      <c r="M10249" t="s">
        <v>23128</v>
      </c>
      <c r="N10249" t="s">
        <v>1531</v>
      </c>
      <c r="O10249" t="s">
        <v>84</v>
      </c>
      <c r="P10249">
        <v>98117</v>
      </c>
      <c r="Q10249">
        <v>2901</v>
      </c>
      <c r="R10249" t="s">
        <v>23</v>
      </c>
      <c r="S10249" s="1" t="s">
        <v>34218</v>
      </c>
    </row>
    <row r="10250" spans="1:19" x14ac:dyDescent="0.25">
      <c r="A10250">
        <v>101478803</v>
      </c>
      <c r="B10250" t="s">
        <v>1698</v>
      </c>
      <c r="C10250" t="s">
        <v>313</v>
      </c>
      <c r="G10250" t="s">
        <v>23129</v>
      </c>
      <c r="H10250" t="s">
        <v>1531</v>
      </c>
      <c r="I10250" t="s">
        <v>84</v>
      </c>
      <c r="J10250">
        <v>98118</v>
      </c>
      <c r="K10250">
        <v>6204</v>
      </c>
      <c r="L10250" t="s">
        <v>23</v>
      </c>
      <c r="M10250" t="s">
        <v>23129</v>
      </c>
      <c r="N10250" t="s">
        <v>1531</v>
      </c>
      <c r="O10250" t="s">
        <v>84</v>
      </c>
      <c r="P10250">
        <v>98118</v>
      </c>
      <c r="Q10250">
        <v>6204</v>
      </c>
      <c r="R10250" t="s">
        <v>23</v>
      </c>
      <c r="S10250" s="1" t="s">
        <v>34218</v>
      </c>
    </row>
    <row r="10251" spans="1:19" x14ac:dyDescent="0.25">
      <c r="A10251">
        <v>101478860</v>
      </c>
      <c r="B10251" t="s">
        <v>4180</v>
      </c>
      <c r="C10251" t="s">
        <v>17914</v>
      </c>
      <c r="G10251" t="s">
        <v>23130</v>
      </c>
      <c r="H10251" t="s">
        <v>13053</v>
      </c>
      <c r="I10251" t="s">
        <v>43</v>
      </c>
      <c r="J10251">
        <v>97031</v>
      </c>
      <c r="K10251">
        <v>8608</v>
      </c>
      <c r="L10251" t="s">
        <v>23</v>
      </c>
      <c r="M10251" t="s">
        <v>23130</v>
      </c>
      <c r="N10251" t="s">
        <v>13053</v>
      </c>
      <c r="O10251" t="s">
        <v>43</v>
      </c>
      <c r="P10251">
        <v>97031</v>
      </c>
      <c r="Q10251">
        <v>8608</v>
      </c>
      <c r="R10251" t="s">
        <v>23</v>
      </c>
      <c r="S10251" s="1" t="s">
        <v>34218</v>
      </c>
    </row>
    <row r="10252" spans="1:19" x14ac:dyDescent="0.25">
      <c r="A10252">
        <v>101478862</v>
      </c>
      <c r="B10252" t="s">
        <v>23131</v>
      </c>
      <c r="C10252" t="s">
        <v>155</v>
      </c>
      <c r="G10252" t="s">
        <v>23132</v>
      </c>
      <c r="H10252" t="s">
        <v>11984</v>
      </c>
      <c r="I10252" t="s">
        <v>43</v>
      </c>
      <c r="J10252">
        <v>97034</v>
      </c>
      <c r="K10252">
        <v>5169</v>
      </c>
      <c r="L10252" t="s">
        <v>23</v>
      </c>
      <c r="M10252" t="s">
        <v>23132</v>
      </c>
      <c r="N10252" t="s">
        <v>11984</v>
      </c>
      <c r="O10252" t="s">
        <v>43</v>
      </c>
      <c r="P10252">
        <v>97034</v>
      </c>
      <c r="Q10252">
        <v>5169</v>
      </c>
      <c r="R10252" t="s">
        <v>23</v>
      </c>
      <c r="S10252" s="1" t="s">
        <v>34218</v>
      </c>
    </row>
    <row r="10253" spans="1:19" x14ac:dyDescent="0.25">
      <c r="A10253">
        <v>101478903</v>
      </c>
      <c r="B10253" t="s">
        <v>23133</v>
      </c>
      <c r="C10253" t="s">
        <v>1124</v>
      </c>
      <c r="G10253" t="s">
        <v>23134</v>
      </c>
      <c r="H10253" t="s">
        <v>227</v>
      </c>
      <c r="I10253" t="s">
        <v>43</v>
      </c>
      <c r="J10253">
        <v>97206</v>
      </c>
      <c r="K10253">
        <v>7747</v>
      </c>
      <c r="L10253" t="s">
        <v>23</v>
      </c>
      <c r="M10253" t="s">
        <v>23134</v>
      </c>
      <c r="N10253" t="s">
        <v>227</v>
      </c>
      <c r="O10253" t="s">
        <v>43</v>
      </c>
      <c r="P10253">
        <v>97206</v>
      </c>
      <c r="Q10253">
        <v>7747</v>
      </c>
      <c r="R10253" t="s">
        <v>23</v>
      </c>
      <c r="S10253" s="1" t="s">
        <v>34218</v>
      </c>
    </row>
    <row r="10254" spans="1:19" x14ac:dyDescent="0.25">
      <c r="A10254">
        <v>101479003</v>
      </c>
      <c r="B10254" t="s">
        <v>23135</v>
      </c>
      <c r="C10254" t="s">
        <v>16976</v>
      </c>
      <c r="G10254" t="s">
        <v>23136</v>
      </c>
      <c r="H10254" t="s">
        <v>6041</v>
      </c>
      <c r="I10254" t="s">
        <v>22</v>
      </c>
      <c r="J10254">
        <v>95476</v>
      </c>
      <c r="K10254">
        <v>8213</v>
      </c>
      <c r="L10254" t="s">
        <v>23</v>
      </c>
      <c r="M10254" t="s">
        <v>23136</v>
      </c>
      <c r="N10254" t="s">
        <v>6041</v>
      </c>
      <c r="O10254" t="s">
        <v>22</v>
      </c>
      <c r="P10254">
        <v>95476</v>
      </c>
      <c r="Q10254">
        <v>8213</v>
      </c>
      <c r="R10254" t="s">
        <v>23</v>
      </c>
      <c r="S10254" s="1" t="s">
        <v>34218</v>
      </c>
    </row>
    <row r="10255" spans="1:19" x14ac:dyDescent="0.25">
      <c r="A10255">
        <v>101479037</v>
      </c>
      <c r="B10255" t="s">
        <v>812</v>
      </c>
      <c r="C10255" t="s">
        <v>890</v>
      </c>
      <c r="G10255" t="s">
        <v>23137</v>
      </c>
      <c r="H10255" t="s">
        <v>1687</v>
      </c>
      <c r="I10255" t="s">
        <v>22</v>
      </c>
      <c r="J10255">
        <v>95628</v>
      </c>
      <c r="K10255">
        <v>6557</v>
      </c>
      <c r="L10255" t="s">
        <v>23</v>
      </c>
      <c r="M10255" t="s">
        <v>23137</v>
      </c>
      <c r="N10255" t="s">
        <v>1687</v>
      </c>
      <c r="O10255" t="s">
        <v>22</v>
      </c>
      <c r="P10255">
        <v>95628</v>
      </c>
      <c r="Q10255">
        <v>6557</v>
      </c>
      <c r="R10255" t="s">
        <v>23</v>
      </c>
      <c r="S10255" s="1" t="s">
        <v>34218</v>
      </c>
    </row>
    <row r="10256" spans="1:19" x14ac:dyDescent="0.25">
      <c r="A10256">
        <v>101479071</v>
      </c>
      <c r="B10256" t="s">
        <v>17336</v>
      </c>
      <c r="C10256" t="s">
        <v>180</v>
      </c>
      <c r="G10256" t="s">
        <v>23138</v>
      </c>
      <c r="H10256" t="s">
        <v>14608</v>
      </c>
      <c r="I10256" t="s">
        <v>22</v>
      </c>
      <c r="J10256">
        <v>95758</v>
      </c>
      <c r="K10256">
        <v>7429</v>
      </c>
      <c r="L10256" t="s">
        <v>23</v>
      </c>
      <c r="M10256" t="s">
        <v>23138</v>
      </c>
      <c r="N10256" t="s">
        <v>14608</v>
      </c>
      <c r="O10256" t="s">
        <v>22</v>
      </c>
      <c r="P10256">
        <v>95758</v>
      </c>
      <c r="Q10256">
        <v>7429</v>
      </c>
      <c r="R10256" t="s">
        <v>23</v>
      </c>
      <c r="S10256" s="1" t="s">
        <v>34218</v>
      </c>
    </row>
    <row r="10257" spans="1:19" x14ac:dyDescent="0.25">
      <c r="A10257">
        <v>101479164</v>
      </c>
      <c r="B10257" t="s">
        <v>23139</v>
      </c>
      <c r="C10257" t="s">
        <v>11791</v>
      </c>
      <c r="G10257" t="s">
        <v>23140</v>
      </c>
      <c r="H10257" t="s">
        <v>66</v>
      </c>
      <c r="I10257" t="s">
        <v>22</v>
      </c>
      <c r="J10257">
        <v>94703</v>
      </c>
      <c r="K10257">
        <v>1138</v>
      </c>
      <c r="L10257" t="s">
        <v>23</v>
      </c>
      <c r="M10257" t="s">
        <v>23140</v>
      </c>
      <c r="N10257" t="s">
        <v>66</v>
      </c>
      <c r="O10257" t="s">
        <v>22</v>
      </c>
      <c r="P10257">
        <v>94703</v>
      </c>
      <c r="Q10257">
        <v>1138</v>
      </c>
      <c r="R10257" t="s">
        <v>23</v>
      </c>
      <c r="S10257" s="1" t="s">
        <v>34218</v>
      </c>
    </row>
    <row r="10258" spans="1:19" x14ac:dyDescent="0.25">
      <c r="A10258">
        <v>101479205</v>
      </c>
      <c r="B10258" t="s">
        <v>2336</v>
      </c>
      <c r="C10258" t="s">
        <v>1616</v>
      </c>
      <c r="G10258" t="s">
        <v>23141</v>
      </c>
      <c r="H10258" t="s">
        <v>631</v>
      </c>
      <c r="I10258" t="s">
        <v>22</v>
      </c>
      <c r="J10258">
        <v>94947</v>
      </c>
      <c r="K10258">
        <v>4417</v>
      </c>
      <c r="L10258" t="s">
        <v>23</v>
      </c>
      <c r="M10258" t="s">
        <v>23141</v>
      </c>
      <c r="N10258" t="s">
        <v>631</v>
      </c>
      <c r="O10258" t="s">
        <v>22</v>
      </c>
      <c r="P10258">
        <v>94947</v>
      </c>
      <c r="Q10258">
        <v>4417</v>
      </c>
      <c r="R10258" t="s">
        <v>23</v>
      </c>
      <c r="S10258" s="1" t="s">
        <v>34218</v>
      </c>
    </row>
    <row r="10259" spans="1:19" x14ac:dyDescent="0.25">
      <c r="A10259">
        <v>101479364</v>
      </c>
      <c r="B10259" t="s">
        <v>1164</v>
      </c>
      <c r="C10259" t="s">
        <v>1179</v>
      </c>
      <c r="G10259" t="s">
        <v>23142</v>
      </c>
      <c r="H10259" t="s">
        <v>299</v>
      </c>
      <c r="I10259" t="s">
        <v>22</v>
      </c>
      <c r="J10259">
        <v>90049</v>
      </c>
      <c r="K10259">
        <v>5431</v>
      </c>
      <c r="L10259" t="s">
        <v>23</v>
      </c>
      <c r="M10259" t="s">
        <v>23142</v>
      </c>
      <c r="N10259" t="s">
        <v>299</v>
      </c>
      <c r="O10259" t="s">
        <v>22</v>
      </c>
      <c r="P10259">
        <v>90049</v>
      </c>
      <c r="Q10259">
        <v>5431</v>
      </c>
      <c r="R10259" t="s">
        <v>23</v>
      </c>
      <c r="S10259" s="1" t="s">
        <v>34218</v>
      </c>
    </row>
    <row r="10260" spans="1:19" x14ac:dyDescent="0.25">
      <c r="A10260">
        <v>101440922</v>
      </c>
      <c r="B10260" t="s">
        <v>23143</v>
      </c>
      <c r="C10260" t="s">
        <v>158</v>
      </c>
      <c r="F10260" t="str">
        <f>"8146912528"</f>
        <v>8146912528</v>
      </c>
      <c r="G10260" t="s">
        <v>23144</v>
      </c>
      <c r="H10260" t="s">
        <v>23145</v>
      </c>
      <c r="I10260" t="s">
        <v>33</v>
      </c>
      <c r="J10260" t="s">
        <v>23146</v>
      </c>
      <c r="K10260">
        <v>1225</v>
      </c>
      <c r="L10260" t="s">
        <v>23</v>
      </c>
      <c r="M10260" t="s">
        <v>23144</v>
      </c>
      <c r="N10260" t="s">
        <v>23145</v>
      </c>
      <c r="O10260" t="s">
        <v>33</v>
      </c>
      <c r="P10260" t="s">
        <v>23146</v>
      </c>
      <c r="Q10260">
        <v>1225</v>
      </c>
      <c r="R10260" t="s">
        <v>23</v>
      </c>
      <c r="S10260" s="1" t="s">
        <v>34218</v>
      </c>
    </row>
    <row r="10261" spans="1:19" x14ac:dyDescent="0.25">
      <c r="A10261">
        <v>101465300</v>
      </c>
      <c r="B10261" t="s">
        <v>654</v>
      </c>
      <c r="C10261" t="s">
        <v>1327</v>
      </c>
      <c r="G10261" t="s">
        <v>23147</v>
      </c>
      <c r="H10261" t="s">
        <v>16520</v>
      </c>
      <c r="I10261" t="s">
        <v>1097</v>
      </c>
      <c r="J10261">
        <v>40701</v>
      </c>
      <c r="K10261">
        <v>2936</v>
      </c>
      <c r="L10261" t="s">
        <v>23</v>
      </c>
      <c r="M10261" t="s">
        <v>23147</v>
      </c>
      <c r="N10261" t="s">
        <v>16520</v>
      </c>
      <c r="O10261" t="s">
        <v>1097</v>
      </c>
      <c r="P10261">
        <v>40701</v>
      </c>
      <c r="Q10261">
        <v>2936</v>
      </c>
      <c r="R10261" t="s">
        <v>23</v>
      </c>
      <c r="S10261" s="1" t="s">
        <v>34218</v>
      </c>
    </row>
    <row r="10262" spans="1:19" x14ac:dyDescent="0.25">
      <c r="A10262">
        <v>101424566</v>
      </c>
      <c r="B10262" t="s">
        <v>11551</v>
      </c>
      <c r="C10262" t="s">
        <v>90</v>
      </c>
      <c r="G10262" t="s">
        <v>23148</v>
      </c>
      <c r="H10262" t="s">
        <v>4787</v>
      </c>
      <c r="I10262" t="s">
        <v>52</v>
      </c>
      <c r="J10262" t="s">
        <v>23149</v>
      </c>
      <c r="K10262">
        <v>5422</v>
      </c>
      <c r="L10262" t="s">
        <v>23</v>
      </c>
      <c r="M10262" t="s">
        <v>23148</v>
      </c>
      <c r="N10262" t="s">
        <v>4787</v>
      </c>
      <c r="O10262" t="s">
        <v>52</v>
      </c>
      <c r="P10262" t="s">
        <v>23149</v>
      </c>
      <c r="Q10262">
        <v>5422</v>
      </c>
      <c r="R10262" t="s">
        <v>23</v>
      </c>
      <c r="S10262" s="1" t="s">
        <v>34218</v>
      </c>
    </row>
    <row r="10263" spans="1:19" x14ac:dyDescent="0.25">
      <c r="A10263">
        <v>100628310</v>
      </c>
      <c r="B10263" t="s">
        <v>2689</v>
      </c>
      <c r="C10263" t="s">
        <v>3714</v>
      </c>
      <c r="G10263" t="s">
        <v>23150</v>
      </c>
      <c r="H10263" t="s">
        <v>23151</v>
      </c>
      <c r="I10263" t="s">
        <v>140</v>
      </c>
      <c r="J10263">
        <v>49675</v>
      </c>
      <c r="K10263">
        <v>9741</v>
      </c>
      <c r="L10263" t="s">
        <v>23</v>
      </c>
      <c r="M10263" t="s">
        <v>23150</v>
      </c>
      <c r="N10263" t="s">
        <v>23151</v>
      </c>
      <c r="O10263" t="s">
        <v>140</v>
      </c>
      <c r="P10263">
        <v>49675</v>
      </c>
      <c r="Q10263">
        <v>9741</v>
      </c>
      <c r="R10263" t="s">
        <v>23</v>
      </c>
      <c r="S10263" s="1" t="s">
        <v>34218</v>
      </c>
    </row>
    <row r="10264" spans="1:19" x14ac:dyDescent="0.25">
      <c r="A10264">
        <v>101468935</v>
      </c>
      <c r="B10264" t="s">
        <v>10596</v>
      </c>
      <c r="C10264" t="s">
        <v>3545</v>
      </c>
      <c r="G10264" t="s">
        <v>23152</v>
      </c>
      <c r="H10264" t="s">
        <v>9057</v>
      </c>
      <c r="I10264" t="s">
        <v>236</v>
      </c>
      <c r="J10264">
        <v>1027</v>
      </c>
      <c r="K10264">
        <v>9765</v>
      </c>
      <c r="L10264" t="s">
        <v>23</v>
      </c>
      <c r="M10264" t="s">
        <v>23152</v>
      </c>
      <c r="N10264" t="s">
        <v>9057</v>
      </c>
      <c r="O10264" t="s">
        <v>236</v>
      </c>
      <c r="P10264">
        <v>1027</v>
      </c>
      <c r="Q10264">
        <v>9765</v>
      </c>
      <c r="R10264" t="s">
        <v>23</v>
      </c>
      <c r="S10264" s="1" t="s">
        <v>34218</v>
      </c>
    </row>
    <row r="10265" spans="1:19" x14ac:dyDescent="0.25">
      <c r="A10265">
        <v>100938199</v>
      </c>
      <c r="B10265" t="s">
        <v>23153</v>
      </c>
      <c r="C10265" t="s">
        <v>903</v>
      </c>
      <c r="G10265" t="s">
        <v>23154</v>
      </c>
      <c r="H10265" t="s">
        <v>11092</v>
      </c>
      <c r="I10265" t="s">
        <v>984</v>
      </c>
      <c r="J10265">
        <v>96734</v>
      </c>
      <c r="K10265">
        <v>1265</v>
      </c>
      <c r="L10265" t="s">
        <v>23</v>
      </c>
      <c r="M10265" t="s">
        <v>23154</v>
      </c>
      <c r="N10265" t="s">
        <v>11092</v>
      </c>
      <c r="O10265" t="s">
        <v>984</v>
      </c>
      <c r="P10265">
        <v>96734</v>
      </c>
      <c r="Q10265">
        <v>1265</v>
      </c>
      <c r="R10265" t="s">
        <v>23</v>
      </c>
      <c r="S10265" s="1" t="s">
        <v>34218</v>
      </c>
    </row>
    <row r="10266" spans="1:19" x14ac:dyDescent="0.25">
      <c r="A10266">
        <v>100528850</v>
      </c>
      <c r="B10266" t="s">
        <v>3590</v>
      </c>
      <c r="C10266" t="s">
        <v>11308</v>
      </c>
      <c r="G10266" t="s">
        <v>23155</v>
      </c>
      <c r="H10266" t="s">
        <v>3352</v>
      </c>
      <c r="I10266" t="s">
        <v>135</v>
      </c>
      <c r="J10266">
        <v>60403</v>
      </c>
      <c r="K10266">
        <v>1532</v>
      </c>
      <c r="L10266" t="s">
        <v>23</v>
      </c>
      <c r="M10266" t="s">
        <v>23155</v>
      </c>
      <c r="N10266" t="s">
        <v>3352</v>
      </c>
      <c r="O10266" t="s">
        <v>135</v>
      </c>
      <c r="P10266">
        <v>60403</v>
      </c>
      <c r="Q10266">
        <v>1532</v>
      </c>
      <c r="R10266" t="s">
        <v>23</v>
      </c>
      <c r="S10266" s="1" t="s">
        <v>34218</v>
      </c>
    </row>
    <row r="10267" spans="1:19" x14ac:dyDescent="0.25">
      <c r="A10267">
        <v>101472051</v>
      </c>
      <c r="B10267" t="s">
        <v>23156</v>
      </c>
      <c r="C10267" t="s">
        <v>3314</v>
      </c>
      <c r="G10267" t="s">
        <v>23157</v>
      </c>
      <c r="H10267" t="s">
        <v>2841</v>
      </c>
      <c r="I10267" t="s">
        <v>71</v>
      </c>
      <c r="J10267">
        <v>80401</v>
      </c>
      <c r="K10267">
        <v>1535</v>
      </c>
      <c r="L10267" t="s">
        <v>23</v>
      </c>
      <c r="M10267" t="s">
        <v>23157</v>
      </c>
      <c r="N10267" t="s">
        <v>2841</v>
      </c>
      <c r="O10267" t="s">
        <v>71</v>
      </c>
      <c r="P10267">
        <v>80401</v>
      </c>
      <c r="Q10267">
        <v>1535</v>
      </c>
      <c r="R10267" t="s">
        <v>23</v>
      </c>
      <c r="S10267" s="1" t="s">
        <v>34218</v>
      </c>
    </row>
    <row r="10268" spans="1:19" x14ac:dyDescent="0.25">
      <c r="A10268">
        <v>101303093</v>
      </c>
      <c r="B10268" t="s">
        <v>12229</v>
      </c>
      <c r="C10268" t="s">
        <v>11325</v>
      </c>
      <c r="G10268" t="s">
        <v>23158</v>
      </c>
      <c r="H10268" t="s">
        <v>1402</v>
      </c>
      <c r="I10268" t="s">
        <v>38</v>
      </c>
      <c r="J10268" t="s">
        <v>23159</v>
      </c>
      <c r="K10268">
        <v>3937</v>
      </c>
      <c r="L10268" t="s">
        <v>23</v>
      </c>
      <c r="M10268" t="s">
        <v>23158</v>
      </c>
      <c r="N10268" t="s">
        <v>1402</v>
      </c>
      <c r="O10268" t="s">
        <v>38</v>
      </c>
      <c r="P10268" t="s">
        <v>23159</v>
      </c>
      <c r="Q10268">
        <v>3937</v>
      </c>
      <c r="R10268" t="s">
        <v>23</v>
      </c>
      <c r="S10268" s="1" t="s">
        <v>34218</v>
      </c>
    </row>
    <row r="10269" spans="1:19" x14ac:dyDescent="0.25">
      <c r="A10269">
        <v>100714249</v>
      </c>
      <c r="B10269" t="s">
        <v>23160</v>
      </c>
      <c r="C10269" t="s">
        <v>23161</v>
      </c>
      <c r="G10269" t="s">
        <v>23162</v>
      </c>
      <c r="H10269" t="s">
        <v>23163</v>
      </c>
      <c r="I10269" t="s">
        <v>250</v>
      </c>
      <c r="J10269">
        <v>7764</v>
      </c>
      <c r="K10269">
        <v>1826</v>
      </c>
      <c r="L10269" t="s">
        <v>23</v>
      </c>
      <c r="M10269" t="s">
        <v>23162</v>
      </c>
      <c r="N10269" t="s">
        <v>23163</v>
      </c>
      <c r="O10269" t="s">
        <v>250</v>
      </c>
      <c r="P10269">
        <v>7764</v>
      </c>
      <c r="Q10269">
        <v>1826</v>
      </c>
      <c r="R10269" t="s">
        <v>23</v>
      </c>
      <c r="S10269" s="1" t="s">
        <v>34218</v>
      </c>
    </row>
    <row r="10270" spans="1:19" x14ac:dyDescent="0.25">
      <c r="A10270">
        <v>101467167</v>
      </c>
      <c r="B10270" t="s">
        <v>10838</v>
      </c>
      <c r="C10270" t="s">
        <v>25</v>
      </c>
      <c r="G10270" t="s">
        <v>23164</v>
      </c>
      <c r="H10270" t="s">
        <v>4559</v>
      </c>
      <c r="I10270" t="s">
        <v>117</v>
      </c>
      <c r="J10270">
        <v>12037</v>
      </c>
      <c r="K10270">
        <v>3421</v>
      </c>
      <c r="L10270" t="s">
        <v>23</v>
      </c>
      <c r="M10270" t="s">
        <v>23164</v>
      </c>
      <c r="N10270" t="s">
        <v>4559</v>
      </c>
      <c r="O10270" t="s">
        <v>117</v>
      </c>
      <c r="P10270">
        <v>12037</v>
      </c>
      <c r="Q10270">
        <v>3421</v>
      </c>
      <c r="R10270" t="s">
        <v>23</v>
      </c>
      <c r="S10270" s="1" t="s">
        <v>34218</v>
      </c>
    </row>
    <row r="10271" spans="1:19" x14ac:dyDescent="0.25">
      <c r="A10271">
        <v>101237708</v>
      </c>
      <c r="B10271" t="s">
        <v>23165</v>
      </c>
      <c r="C10271" t="s">
        <v>1306</v>
      </c>
      <c r="G10271" t="s">
        <v>23166</v>
      </c>
      <c r="H10271" t="s">
        <v>2540</v>
      </c>
      <c r="I10271" t="s">
        <v>161</v>
      </c>
      <c r="J10271">
        <v>6855</v>
      </c>
      <c r="K10271">
        <v>1412</v>
      </c>
      <c r="L10271" t="s">
        <v>23</v>
      </c>
      <c r="M10271" t="s">
        <v>23166</v>
      </c>
      <c r="N10271" t="s">
        <v>2540</v>
      </c>
      <c r="O10271" t="s">
        <v>161</v>
      </c>
      <c r="P10271">
        <v>6855</v>
      </c>
      <c r="Q10271">
        <v>1412</v>
      </c>
      <c r="R10271" t="s">
        <v>23</v>
      </c>
      <c r="S10271" s="1" t="s">
        <v>34218</v>
      </c>
    </row>
    <row r="10272" spans="1:19" x14ac:dyDescent="0.25">
      <c r="A10272">
        <v>101248437</v>
      </c>
      <c r="B10272" t="s">
        <v>6773</v>
      </c>
      <c r="C10272" t="s">
        <v>23167</v>
      </c>
      <c r="G10272" t="s">
        <v>23168</v>
      </c>
      <c r="H10272" t="s">
        <v>14993</v>
      </c>
      <c r="I10272" t="s">
        <v>38</v>
      </c>
      <c r="J10272">
        <v>75001</v>
      </c>
      <c r="K10272">
        <v>7965</v>
      </c>
      <c r="L10272" t="s">
        <v>23</v>
      </c>
      <c r="M10272" t="s">
        <v>23168</v>
      </c>
      <c r="N10272" t="s">
        <v>14993</v>
      </c>
      <c r="O10272" t="s">
        <v>38</v>
      </c>
      <c r="P10272">
        <v>75001</v>
      </c>
      <c r="Q10272">
        <v>7965</v>
      </c>
      <c r="R10272" t="s">
        <v>23</v>
      </c>
      <c r="S10272" s="1" t="s">
        <v>34218</v>
      </c>
    </row>
    <row r="10273" spans="1:19" x14ac:dyDescent="0.25">
      <c r="A10273">
        <v>101466935</v>
      </c>
      <c r="B10273" t="s">
        <v>1164</v>
      </c>
      <c r="C10273" t="s">
        <v>216</v>
      </c>
      <c r="G10273" t="s">
        <v>23169</v>
      </c>
      <c r="H10273" t="s">
        <v>1667</v>
      </c>
      <c r="I10273" t="s">
        <v>250</v>
      </c>
      <c r="J10273">
        <v>8618</v>
      </c>
      <c r="K10273">
        <v>3327</v>
      </c>
      <c r="L10273" t="s">
        <v>23</v>
      </c>
      <c r="M10273" t="s">
        <v>23169</v>
      </c>
      <c r="N10273" t="s">
        <v>1667</v>
      </c>
      <c r="O10273" t="s">
        <v>250</v>
      </c>
      <c r="P10273">
        <v>8618</v>
      </c>
      <c r="Q10273">
        <v>3327</v>
      </c>
      <c r="R10273" t="s">
        <v>23</v>
      </c>
      <c r="S10273" s="1" t="s">
        <v>34218</v>
      </c>
    </row>
    <row r="10274" spans="1:19" x14ac:dyDescent="0.25">
      <c r="A10274">
        <v>101423578</v>
      </c>
      <c r="B10274" t="s">
        <v>744</v>
      </c>
      <c r="C10274" t="s">
        <v>575</v>
      </c>
      <c r="G10274" t="s">
        <v>23170</v>
      </c>
      <c r="H10274" t="s">
        <v>17585</v>
      </c>
      <c r="I10274" t="s">
        <v>71</v>
      </c>
      <c r="J10274">
        <v>80129</v>
      </c>
      <c r="K10274">
        <v>6677</v>
      </c>
      <c r="L10274" t="s">
        <v>23</v>
      </c>
      <c r="M10274" t="s">
        <v>23170</v>
      </c>
      <c r="N10274" t="s">
        <v>17585</v>
      </c>
      <c r="O10274" t="s">
        <v>71</v>
      </c>
      <c r="P10274">
        <v>80129</v>
      </c>
      <c r="Q10274">
        <v>6677</v>
      </c>
      <c r="R10274" t="s">
        <v>23</v>
      </c>
      <c r="S10274" s="1" t="s">
        <v>34218</v>
      </c>
    </row>
    <row r="10275" spans="1:19" x14ac:dyDescent="0.25">
      <c r="A10275">
        <v>101467183</v>
      </c>
      <c r="B10275" t="s">
        <v>1622</v>
      </c>
      <c r="C10275" t="s">
        <v>20178</v>
      </c>
      <c r="G10275" t="s">
        <v>23171</v>
      </c>
      <c r="H10275" t="s">
        <v>999</v>
      </c>
      <c r="I10275" t="s">
        <v>1000</v>
      </c>
      <c r="J10275">
        <v>59802</v>
      </c>
      <c r="K10275">
        <v>3358</v>
      </c>
      <c r="L10275" t="s">
        <v>23</v>
      </c>
      <c r="M10275" t="s">
        <v>23171</v>
      </c>
      <c r="N10275" t="s">
        <v>999</v>
      </c>
      <c r="O10275" t="s">
        <v>1000</v>
      </c>
      <c r="P10275">
        <v>59802</v>
      </c>
      <c r="Q10275">
        <v>3358</v>
      </c>
      <c r="R10275" t="s">
        <v>23</v>
      </c>
      <c r="S10275" s="1" t="s">
        <v>34218</v>
      </c>
    </row>
    <row r="10276" spans="1:19" x14ac:dyDescent="0.25">
      <c r="A10276">
        <v>101362084</v>
      </c>
      <c r="B10276" t="s">
        <v>23172</v>
      </c>
      <c r="C10276" t="s">
        <v>6279</v>
      </c>
      <c r="G10276" t="s">
        <v>23173</v>
      </c>
      <c r="H10276" t="s">
        <v>13884</v>
      </c>
      <c r="I10276" t="s">
        <v>187</v>
      </c>
      <c r="J10276">
        <v>56601</v>
      </c>
      <c r="K10276">
        <v>5587</v>
      </c>
      <c r="L10276" t="s">
        <v>23</v>
      </c>
      <c r="M10276" t="s">
        <v>23173</v>
      </c>
      <c r="N10276" t="s">
        <v>13884</v>
      </c>
      <c r="O10276" t="s">
        <v>187</v>
      </c>
      <c r="P10276">
        <v>56601</v>
      </c>
      <c r="Q10276">
        <v>5587</v>
      </c>
      <c r="R10276" t="s">
        <v>23</v>
      </c>
      <c r="S10276" s="1" t="s">
        <v>34218</v>
      </c>
    </row>
    <row r="10277" spans="1:19" x14ac:dyDescent="0.25">
      <c r="A10277">
        <v>101451425</v>
      </c>
      <c r="B10277" t="s">
        <v>3163</v>
      </c>
      <c r="C10277" t="s">
        <v>1179</v>
      </c>
      <c r="G10277" t="s">
        <v>23174</v>
      </c>
      <c r="H10277" t="s">
        <v>1402</v>
      </c>
      <c r="I10277" t="s">
        <v>38</v>
      </c>
      <c r="J10277">
        <v>77083</v>
      </c>
      <c r="K10277">
        <v>6111</v>
      </c>
      <c r="L10277" t="s">
        <v>23</v>
      </c>
      <c r="M10277" t="s">
        <v>23174</v>
      </c>
      <c r="N10277" t="s">
        <v>1402</v>
      </c>
      <c r="O10277" t="s">
        <v>38</v>
      </c>
      <c r="P10277">
        <v>77083</v>
      </c>
      <c r="Q10277">
        <v>6111</v>
      </c>
      <c r="R10277" t="s">
        <v>23</v>
      </c>
      <c r="S10277" s="1" t="s">
        <v>34218</v>
      </c>
    </row>
    <row r="10278" spans="1:19" x14ac:dyDescent="0.25">
      <c r="A10278">
        <v>101422902</v>
      </c>
      <c r="B10278" t="s">
        <v>1291</v>
      </c>
      <c r="C10278" t="s">
        <v>221</v>
      </c>
      <c r="G10278" t="s">
        <v>23175</v>
      </c>
      <c r="H10278" t="s">
        <v>4446</v>
      </c>
      <c r="I10278" t="s">
        <v>446</v>
      </c>
      <c r="J10278">
        <v>27278</v>
      </c>
      <c r="K10278">
        <v>9691</v>
      </c>
      <c r="L10278" t="s">
        <v>23</v>
      </c>
      <c r="M10278" t="s">
        <v>23175</v>
      </c>
      <c r="N10278" t="s">
        <v>4446</v>
      </c>
      <c r="O10278" t="s">
        <v>446</v>
      </c>
      <c r="P10278">
        <v>27278</v>
      </c>
      <c r="Q10278">
        <v>9691</v>
      </c>
      <c r="R10278" t="s">
        <v>23</v>
      </c>
      <c r="S10278" s="1" t="s">
        <v>34218</v>
      </c>
    </row>
    <row r="10279" spans="1:19" x14ac:dyDescent="0.25">
      <c r="A10279">
        <v>101293946</v>
      </c>
      <c r="B10279" t="s">
        <v>5551</v>
      </c>
      <c r="C10279" t="s">
        <v>4848</v>
      </c>
      <c r="G10279" t="s">
        <v>23176</v>
      </c>
      <c r="H10279" t="s">
        <v>2403</v>
      </c>
      <c r="I10279" t="s">
        <v>117</v>
      </c>
      <c r="J10279">
        <v>10607</v>
      </c>
      <c r="K10279">
        <v>1517</v>
      </c>
      <c r="L10279" t="s">
        <v>23</v>
      </c>
      <c r="M10279" t="s">
        <v>23176</v>
      </c>
      <c r="N10279" t="s">
        <v>2403</v>
      </c>
      <c r="O10279" t="s">
        <v>117</v>
      </c>
      <c r="P10279">
        <v>10607</v>
      </c>
      <c r="Q10279">
        <v>1517</v>
      </c>
      <c r="R10279" t="s">
        <v>23</v>
      </c>
      <c r="S10279" s="1" t="s">
        <v>34218</v>
      </c>
    </row>
    <row r="10280" spans="1:19" x14ac:dyDescent="0.25">
      <c r="A10280">
        <v>101454051</v>
      </c>
      <c r="B10280" t="s">
        <v>12408</v>
      </c>
      <c r="C10280" t="s">
        <v>15585</v>
      </c>
      <c r="G10280" t="s">
        <v>23177</v>
      </c>
      <c r="H10280" t="s">
        <v>198</v>
      </c>
      <c r="I10280" t="s">
        <v>22</v>
      </c>
      <c r="J10280">
        <v>92117</v>
      </c>
      <c r="K10280">
        <v>6800</v>
      </c>
      <c r="L10280" t="s">
        <v>23</v>
      </c>
      <c r="M10280" t="s">
        <v>23177</v>
      </c>
      <c r="N10280" t="s">
        <v>198</v>
      </c>
      <c r="O10280" t="s">
        <v>22</v>
      </c>
      <c r="P10280">
        <v>92117</v>
      </c>
      <c r="Q10280">
        <v>6800</v>
      </c>
      <c r="R10280" t="s">
        <v>23</v>
      </c>
      <c r="S10280" s="1" t="s">
        <v>34218</v>
      </c>
    </row>
    <row r="10281" spans="1:19" x14ac:dyDescent="0.25">
      <c r="A10281">
        <v>101453353</v>
      </c>
      <c r="B10281" t="s">
        <v>4139</v>
      </c>
      <c r="C10281" t="s">
        <v>110</v>
      </c>
      <c r="G10281" t="s">
        <v>23178</v>
      </c>
      <c r="H10281" t="s">
        <v>2368</v>
      </c>
      <c r="I10281" t="s">
        <v>43</v>
      </c>
      <c r="J10281">
        <v>97111</v>
      </c>
      <c r="K10281">
        <v>9508</v>
      </c>
      <c r="L10281" t="s">
        <v>23</v>
      </c>
      <c r="M10281" t="s">
        <v>23178</v>
      </c>
      <c r="N10281" t="s">
        <v>2368</v>
      </c>
      <c r="O10281" t="s">
        <v>43</v>
      </c>
      <c r="P10281">
        <v>97111</v>
      </c>
      <c r="Q10281">
        <v>9508</v>
      </c>
      <c r="R10281" t="s">
        <v>23</v>
      </c>
      <c r="S10281" s="1" t="s">
        <v>34218</v>
      </c>
    </row>
    <row r="10282" spans="1:19" x14ac:dyDescent="0.25">
      <c r="A10282">
        <v>100940154</v>
      </c>
      <c r="B10282" t="s">
        <v>23179</v>
      </c>
      <c r="C10282" t="s">
        <v>585</v>
      </c>
      <c r="G10282" t="s">
        <v>23180</v>
      </c>
      <c r="H10282" t="s">
        <v>412</v>
      </c>
      <c r="I10282" t="s">
        <v>117</v>
      </c>
      <c r="J10282">
        <v>11201</v>
      </c>
      <c r="K10282">
        <v>4326</v>
      </c>
      <c r="L10282" t="s">
        <v>23</v>
      </c>
      <c r="M10282" t="s">
        <v>23180</v>
      </c>
      <c r="N10282" t="s">
        <v>412</v>
      </c>
      <c r="O10282" t="s">
        <v>117</v>
      </c>
      <c r="P10282">
        <v>11201</v>
      </c>
      <c r="Q10282">
        <v>4326</v>
      </c>
      <c r="R10282" t="s">
        <v>23</v>
      </c>
      <c r="S10282" s="1" t="s">
        <v>34218</v>
      </c>
    </row>
    <row r="10283" spans="1:19" x14ac:dyDescent="0.25">
      <c r="A10283">
        <v>101258708</v>
      </c>
      <c r="B10283" t="s">
        <v>1204</v>
      </c>
      <c r="C10283" t="s">
        <v>123</v>
      </c>
      <c r="G10283" t="s">
        <v>23181</v>
      </c>
      <c r="H10283" t="s">
        <v>4114</v>
      </c>
      <c r="I10283" t="s">
        <v>117</v>
      </c>
      <c r="J10283">
        <v>12345</v>
      </c>
      <c r="K10283">
        <v>1</v>
      </c>
      <c r="L10283" t="s">
        <v>23</v>
      </c>
      <c r="M10283" t="s">
        <v>23181</v>
      </c>
      <c r="N10283" t="s">
        <v>4114</v>
      </c>
      <c r="O10283" t="s">
        <v>117</v>
      </c>
      <c r="P10283">
        <v>12345</v>
      </c>
      <c r="Q10283">
        <v>1</v>
      </c>
      <c r="R10283" t="s">
        <v>23</v>
      </c>
      <c r="S10283" s="1" t="s">
        <v>34218</v>
      </c>
    </row>
    <row r="10284" spans="1:19" x14ac:dyDescent="0.25">
      <c r="A10284">
        <v>101470494</v>
      </c>
      <c r="B10284" t="s">
        <v>23182</v>
      </c>
      <c r="C10284" t="s">
        <v>9958</v>
      </c>
      <c r="G10284" t="s">
        <v>23183</v>
      </c>
      <c r="H10284" t="s">
        <v>16826</v>
      </c>
      <c r="I10284" t="s">
        <v>307</v>
      </c>
      <c r="J10284">
        <v>5452</v>
      </c>
      <c r="K10284">
        <v>3749</v>
      </c>
      <c r="L10284" t="s">
        <v>23</v>
      </c>
      <c r="M10284" t="s">
        <v>23183</v>
      </c>
      <c r="N10284" t="s">
        <v>16826</v>
      </c>
      <c r="O10284" t="s">
        <v>307</v>
      </c>
      <c r="P10284">
        <v>5452</v>
      </c>
      <c r="Q10284">
        <v>3749</v>
      </c>
      <c r="R10284" t="s">
        <v>23</v>
      </c>
      <c r="S10284" s="1" t="s">
        <v>34218</v>
      </c>
    </row>
    <row r="10285" spans="1:19" x14ac:dyDescent="0.25">
      <c r="A10285">
        <v>101378428</v>
      </c>
      <c r="B10285" t="s">
        <v>23184</v>
      </c>
      <c r="C10285" t="s">
        <v>1309</v>
      </c>
      <c r="G10285" t="s">
        <v>23185</v>
      </c>
      <c r="H10285" t="s">
        <v>299</v>
      </c>
      <c r="I10285" t="s">
        <v>22</v>
      </c>
      <c r="J10285">
        <v>90035</v>
      </c>
      <c r="K10285">
        <v>3059</v>
      </c>
      <c r="L10285" t="s">
        <v>23</v>
      </c>
      <c r="M10285" t="s">
        <v>23185</v>
      </c>
      <c r="N10285" t="s">
        <v>299</v>
      </c>
      <c r="O10285" t="s">
        <v>22</v>
      </c>
      <c r="P10285">
        <v>90035</v>
      </c>
      <c r="Q10285">
        <v>3059</v>
      </c>
      <c r="R10285" t="s">
        <v>23</v>
      </c>
      <c r="S10285" s="1" t="s">
        <v>34218</v>
      </c>
    </row>
    <row r="10286" spans="1:19" x14ac:dyDescent="0.25">
      <c r="A10286">
        <v>101479399</v>
      </c>
      <c r="B10286" t="s">
        <v>1164</v>
      </c>
      <c r="C10286" t="s">
        <v>23186</v>
      </c>
      <c r="G10286" t="s">
        <v>23187</v>
      </c>
      <c r="H10286" t="s">
        <v>3802</v>
      </c>
      <c r="I10286" t="s">
        <v>22</v>
      </c>
      <c r="J10286">
        <v>93277</v>
      </c>
      <c r="K10286">
        <v>6717</v>
      </c>
      <c r="L10286" t="s">
        <v>23</v>
      </c>
      <c r="M10286" t="s">
        <v>23187</v>
      </c>
      <c r="N10286" t="s">
        <v>3802</v>
      </c>
      <c r="O10286" t="s">
        <v>22</v>
      </c>
      <c r="P10286">
        <v>93277</v>
      </c>
      <c r="Q10286">
        <v>6717</v>
      </c>
      <c r="R10286" t="s">
        <v>23</v>
      </c>
      <c r="S10286" s="1" t="s">
        <v>34218</v>
      </c>
    </row>
    <row r="10287" spans="1:19" x14ac:dyDescent="0.25">
      <c r="A10287">
        <v>101274664</v>
      </c>
      <c r="B10287" t="s">
        <v>3956</v>
      </c>
      <c r="C10287" t="s">
        <v>23188</v>
      </c>
      <c r="G10287" t="s">
        <v>23189</v>
      </c>
      <c r="H10287" t="s">
        <v>1904</v>
      </c>
      <c r="I10287" t="s">
        <v>135</v>
      </c>
      <c r="J10287">
        <v>60126</v>
      </c>
      <c r="K10287">
        <v>4511</v>
      </c>
      <c r="L10287" t="s">
        <v>23</v>
      </c>
      <c r="M10287" t="s">
        <v>23189</v>
      </c>
      <c r="N10287" t="s">
        <v>1904</v>
      </c>
      <c r="O10287" t="s">
        <v>135</v>
      </c>
      <c r="P10287">
        <v>60126</v>
      </c>
      <c r="Q10287">
        <v>4511</v>
      </c>
      <c r="R10287" t="s">
        <v>23</v>
      </c>
      <c r="S10287" s="1" t="s">
        <v>34218</v>
      </c>
    </row>
    <row r="10288" spans="1:19" x14ac:dyDescent="0.25">
      <c r="A10288">
        <v>101419201</v>
      </c>
      <c r="B10288" t="s">
        <v>23190</v>
      </c>
      <c r="C10288" t="s">
        <v>23191</v>
      </c>
      <c r="G10288" t="s">
        <v>23192</v>
      </c>
      <c r="H10288" t="s">
        <v>5070</v>
      </c>
      <c r="I10288" t="s">
        <v>84</v>
      </c>
      <c r="J10288">
        <v>98664</v>
      </c>
      <c r="K10288">
        <v>4718</v>
      </c>
      <c r="L10288" t="s">
        <v>23</v>
      </c>
      <c r="M10288" t="s">
        <v>23192</v>
      </c>
      <c r="N10288" t="s">
        <v>5070</v>
      </c>
      <c r="O10288" t="s">
        <v>84</v>
      </c>
      <c r="P10288">
        <v>98664</v>
      </c>
      <c r="Q10288">
        <v>4718</v>
      </c>
      <c r="R10288" t="s">
        <v>23</v>
      </c>
      <c r="S10288" s="1" t="s">
        <v>34218</v>
      </c>
    </row>
    <row r="10289" spans="1:19" x14ac:dyDescent="0.25">
      <c r="A10289">
        <v>101431802</v>
      </c>
      <c r="B10289" t="s">
        <v>23193</v>
      </c>
      <c r="C10289" t="s">
        <v>286</v>
      </c>
      <c r="G10289" t="s">
        <v>23194</v>
      </c>
      <c r="H10289" t="s">
        <v>2215</v>
      </c>
      <c r="I10289" t="s">
        <v>84</v>
      </c>
      <c r="J10289">
        <v>98362</v>
      </c>
      <c r="K10289">
        <v>8930</v>
      </c>
      <c r="L10289" t="s">
        <v>23</v>
      </c>
      <c r="M10289" t="s">
        <v>23194</v>
      </c>
      <c r="N10289" t="s">
        <v>2215</v>
      </c>
      <c r="O10289" t="s">
        <v>84</v>
      </c>
      <c r="P10289">
        <v>98362</v>
      </c>
      <c r="Q10289">
        <v>8930</v>
      </c>
      <c r="R10289" t="s">
        <v>23</v>
      </c>
      <c r="S10289" s="1" t="s">
        <v>34218</v>
      </c>
    </row>
    <row r="10290" spans="1:19" x14ac:dyDescent="0.25">
      <c r="A10290">
        <v>101307845</v>
      </c>
      <c r="B10290" t="s">
        <v>5486</v>
      </c>
      <c r="C10290" t="s">
        <v>1873</v>
      </c>
      <c r="G10290" t="s">
        <v>5487</v>
      </c>
      <c r="H10290" t="s">
        <v>5488</v>
      </c>
      <c r="I10290" t="s">
        <v>140</v>
      </c>
      <c r="J10290">
        <v>48507</v>
      </c>
      <c r="K10290">
        <v>2348</v>
      </c>
      <c r="L10290" t="s">
        <v>23</v>
      </c>
      <c r="M10290" t="s">
        <v>5487</v>
      </c>
      <c r="N10290" t="s">
        <v>5488</v>
      </c>
      <c r="O10290" t="s">
        <v>140</v>
      </c>
      <c r="P10290">
        <v>48507</v>
      </c>
      <c r="Q10290">
        <v>2348</v>
      </c>
      <c r="R10290" t="s">
        <v>23</v>
      </c>
      <c r="S10290" s="1" t="s">
        <v>34218</v>
      </c>
    </row>
    <row r="10291" spans="1:19" x14ac:dyDescent="0.25">
      <c r="A10291">
        <v>101422855</v>
      </c>
      <c r="B10291" t="s">
        <v>23195</v>
      </c>
      <c r="C10291" t="s">
        <v>403</v>
      </c>
      <c r="G10291" t="s">
        <v>23196</v>
      </c>
      <c r="H10291" t="s">
        <v>1431</v>
      </c>
      <c r="I10291" t="s">
        <v>639</v>
      </c>
      <c r="J10291">
        <v>87505</v>
      </c>
      <c r="K10291">
        <v>1022</v>
      </c>
      <c r="L10291" t="s">
        <v>23</v>
      </c>
      <c r="M10291" t="s">
        <v>23196</v>
      </c>
      <c r="N10291" t="s">
        <v>1431</v>
      </c>
      <c r="O10291" t="s">
        <v>639</v>
      </c>
      <c r="P10291">
        <v>87505</v>
      </c>
      <c r="Q10291">
        <v>1022</v>
      </c>
      <c r="R10291" t="s">
        <v>23</v>
      </c>
      <c r="S10291" s="1" t="s">
        <v>34218</v>
      </c>
    </row>
    <row r="10292" spans="1:19" x14ac:dyDescent="0.25">
      <c r="A10292">
        <v>101347488</v>
      </c>
      <c r="B10292" t="s">
        <v>23197</v>
      </c>
      <c r="C10292" t="s">
        <v>4719</v>
      </c>
      <c r="G10292" t="s">
        <v>23198</v>
      </c>
      <c r="H10292" t="s">
        <v>11379</v>
      </c>
      <c r="I10292" t="s">
        <v>2566</v>
      </c>
      <c r="J10292">
        <v>99516</v>
      </c>
      <c r="K10292">
        <v>7317</v>
      </c>
      <c r="L10292" t="s">
        <v>23</v>
      </c>
      <c r="M10292" t="s">
        <v>23198</v>
      </c>
      <c r="N10292" t="s">
        <v>11379</v>
      </c>
      <c r="O10292" t="s">
        <v>2566</v>
      </c>
      <c r="P10292">
        <v>99516</v>
      </c>
      <c r="Q10292">
        <v>7317</v>
      </c>
      <c r="R10292" t="s">
        <v>23</v>
      </c>
      <c r="S10292" s="1" t="s">
        <v>34218</v>
      </c>
    </row>
    <row r="10293" spans="1:19" x14ac:dyDescent="0.25">
      <c r="A10293">
        <v>101404939</v>
      </c>
      <c r="B10293" t="s">
        <v>23199</v>
      </c>
      <c r="C10293" t="s">
        <v>23200</v>
      </c>
      <c r="G10293" t="s">
        <v>23201</v>
      </c>
      <c r="H10293" t="s">
        <v>8644</v>
      </c>
      <c r="I10293" t="s">
        <v>22</v>
      </c>
      <c r="J10293">
        <v>95946</v>
      </c>
      <c r="K10293">
        <v>9168</v>
      </c>
      <c r="L10293" t="s">
        <v>23</v>
      </c>
      <c r="M10293" t="s">
        <v>23201</v>
      </c>
      <c r="N10293" t="s">
        <v>8644</v>
      </c>
      <c r="O10293" t="s">
        <v>22</v>
      </c>
      <c r="P10293">
        <v>95946</v>
      </c>
      <c r="Q10293">
        <v>9168</v>
      </c>
      <c r="R10293" t="s">
        <v>23</v>
      </c>
      <c r="S10293" s="1" t="s">
        <v>34218</v>
      </c>
    </row>
    <row r="10294" spans="1:19" x14ac:dyDescent="0.25">
      <c r="A10294">
        <v>100893612</v>
      </c>
      <c r="B10294" t="s">
        <v>23202</v>
      </c>
      <c r="C10294" t="s">
        <v>7996</v>
      </c>
      <c r="G10294" t="s">
        <v>23203</v>
      </c>
      <c r="H10294" t="s">
        <v>5838</v>
      </c>
      <c r="I10294" t="s">
        <v>914</v>
      </c>
      <c r="J10294">
        <v>37405</v>
      </c>
      <c r="K10294">
        <v>3016</v>
      </c>
      <c r="L10294" t="s">
        <v>23</v>
      </c>
      <c r="M10294" t="s">
        <v>23203</v>
      </c>
      <c r="N10294" t="s">
        <v>5838</v>
      </c>
      <c r="O10294" t="s">
        <v>914</v>
      </c>
      <c r="P10294">
        <v>37405</v>
      </c>
      <c r="Q10294">
        <v>3016</v>
      </c>
      <c r="R10294" t="s">
        <v>23</v>
      </c>
      <c r="S10294" s="1" t="s">
        <v>34218</v>
      </c>
    </row>
    <row r="10295" spans="1:19" x14ac:dyDescent="0.25">
      <c r="A10295">
        <v>101432097</v>
      </c>
      <c r="B10295" t="s">
        <v>5872</v>
      </c>
      <c r="C10295" t="s">
        <v>1153</v>
      </c>
      <c r="G10295" t="s">
        <v>23204</v>
      </c>
      <c r="H10295" t="s">
        <v>23205</v>
      </c>
      <c r="I10295" t="s">
        <v>178</v>
      </c>
      <c r="J10295">
        <v>44094</v>
      </c>
      <c r="K10295">
        <v>9261</v>
      </c>
      <c r="L10295" t="s">
        <v>23</v>
      </c>
      <c r="M10295" t="s">
        <v>23204</v>
      </c>
      <c r="N10295" t="s">
        <v>23205</v>
      </c>
      <c r="O10295" t="s">
        <v>178</v>
      </c>
      <c r="P10295">
        <v>44094</v>
      </c>
      <c r="Q10295">
        <v>9261</v>
      </c>
      <c r="R10295" t="s">
        <v>23</v>
      </c>
      <c r="S10295" s="1" t="s">
        <v>34218</v>
      </c>
    </row>
    <row r="10296" spans="1:19" x14ac:dyDescent="0.25">
      <c r="A10296">
        <v>101322072</v>
      </c>
      <c r="B10296" t="s">
        <v>1619</v>
      </c>
      <c r="C10296" t="s">
        <v>5836</v>
      </c>
      <c r="H10296" t="s">
        <v>2253</v>
      </c>
      <c r="I10296" t="s">
        <v>1000</v>
      </c>
      <c r="J10296">
        <v>59644</v>
      </c>
      <c r="L10296" t="s">
        <v>23</v>
      </c>
      <c r="N10296" t="s">
        <v>2253</v>
      </c>
      <c r="O10296" t="s">
        <v>1000</v>
      </c>
      <c r="P10296">
        <v>59644</v>
      </c>
      <c r="R10296" t="s">
        <v>23</v>
      </c>
      <c r="S10296" s="1" t="s">
        <v>34218</v>
      </c>
    </row>
    <row r="10297" spans="1:19" x14ac:dyDescent="0.25">
      <c r="A10297">
        <v>100732997</v>
      </c>
      <c r="B10297" t="s">
        <v>23206</v>
      </c>
      <c r="C10297" t="s">
        <v>403</v>
      </c>
      <c r="G10297" t="s">
        <v>23207</v>
      </c>
      <c r="H10297" t="s">
        <v>1985</v>
      </c>
      <c r="I10297" t="s">
        <v>71</v>
      </c>
      <c r="J10297">
        <v>80919</v>
      </c>
      <c r="K10297">
        <v>4800</v>
      </c>
      <c r="L10297" t="s">
        <v>23</v>
      </c>
      <c r="M10297" t="s">
        <v>23207</v>
      </c>
      <c r="N10297" t="s">
        <v>1985</v>
      </c>
      <c r="O10297" t="s">
        <v>71</v>
      </c>
      <c r="P10297">
        <v>80919</v>
      </c>
      <c r="Q10297">
        <v>4800</v>
      </c>
      <c r="R10297" t="s">
        <v>23</v>
      </c>
      <c r="S10297" s="1" t="s">
        <v>34218</v>
      </c>
    </row>
    <row r="10298" spans="1:19" x14ac:dyDescent="0.25">
      <c r="A10298">
        <v>101447032</v>
      </c>
      <c r="B10298" t="s">
        <v>23208</v>
      </c>
      <c r="C10298" t="s">
        <v>10543</v>
      </c>
      <c r="G10298" t="s">
        <v>23209</v>
      </c>
      <c r="H10298" t="s">
        <v>1105</v>
      </c>
      <c r="I10298" t="s">
        <v>117</v>
      </c>
      <c r="J10298">
        <v>10460</v>
      </c>
      <c r="K10298">
        <v>3417</v>
      </c>
      <c r="L10298" t="s">
        <v>23</v>
      </c>
      <c r="M10298" t="s">
        <v>23209</v>
      </c>
      <c r="N10298" t="s">
        <v>1105</v>
      </c>
      <c r="O10298" t="s">
        <v>117</v>
      </c>
      <c r="P10298">
        <v>10460</v>
      </c>
      <c r="Q10298">
        <v>3417</v>
      </c>
      <c r="R10298" t="s">
        <v>23</v>
      </c>
      <c r="S10298" s="1" t="s">
        <v>34218</v>
      </c>
    </row>
    <row r="10299" spans="1:19" x14ac:dyDescent="0.25">
      <c r="A10299">
        <v>101425623</v>
      </c>
      <c r="B10299" t="s">
        <v>23210</v>
      </c>
      <c r="C10299" t="s">
        <v>102</v>
      </c>
      <c r="G10299" t="s">
        <v>23211</v>
      </c>
      <c r="H10299" t="s">
        <v>23212</v>
      </c>
      <c r="I10299" t="s">
        <v>28</v>
      </c>
      <c r="J10299">
        <v>30101</v>
      </c>
      <c r="K10299">
        <v>8017</v>
      </c>
      <c r="L10299" t="s">
        <v>23</v>
      </c>
      <c r="M10299" t="s">
        <v>23211</v>
      </c>
      <c r="N10299" t="s">
        <v>23212</v>
      </c>
      <c r="O10299" t="s">
        <v>28</v>
      </c>
      <c r="P10299">
        <v>30101</v>
      </c>
      <c r="Q10299">
        <v>8017</v>
      </c>
      <c r="R10299" t="s">
        <v>23</v>
      </c>
      <c r="S10299" s="1" t="s">
        <v>34218</v>
      </c>
    </row>
    <row r="10300" spans="1:19" x14ac:dyDescent="0.25">
      <c r="A10300">
        <v>101336171</v>
      </c>
      <c r="B10300" t="s">
        <v>22822</v>
      </c>
      <c r="C10300" t="s">
        <v>644</v>
      </c>
      <c r="G10300" t="s">
        <v>23213</v>
      </c>
      <c r="H10300" t="s">
        <v>869</v>
      </c>
      <c r="I10300" t="s">
        <v>52</v>
      </c>
      <c r="J10300">
        <v>33143</v>
      </c>
      <c r="K10300">
        <v>6684</v>
      </c>
      <c r="L10300" t="s">
        <v>23</v>
      </c>
      <c r="M10300" t="s">
        <v>23213</v>
      </c>
      <c r="N10300" t="s">
        <v>869</v>
      </c>
      <c r="O10300" t="s">
        <v>52</v>
      </c>
      <c r="P10300">
        <v>33143</v>
      </c>
      <c r="Q10300">
        <v>6684</v>
      </c>
      <c r="R10300" t="s">
        <v>23</v>
      </c>
      <c r="S10300" s="1" t="s">
        <v>34218</v>
      </c>
    </row>
    <row r="10301" spans="1:19" x14ac:dyDescent="0.25">
      <c r="A10301">
        <v>100515979</v>
      </c>
      <c r="B10301" t="s">
        <v>23214</v>
      </c>
      <c r="C10301" t="s">
        <v>699</v>
      </c>
      <c r="G10301" t="s">
        <v>23215</v>
      </c>
      <c r="H10301" t="s">
        <v>650</v>
      </c>
      <c r="I10301" t="s">
        <v>22</v>
      </c>
      <c r="J10301">
        <v>95822</v>
      </c>
      <c r="K10301">
        <v>1721</v>
      </c>
      <c r="L10301" t="s">
        <v>23</v>
      </c>
      <c r="M10301" t="s">
        <v>23215</v>
      </c>
      <c r="N10301" t="s">
        <v>650</v>
      </c>
      <c r="O10301" t="s">
        <v>22</v>
      </c>
      <c r="P10301">
        <v>95822</v>
      </c>
      <c r="Q10301">
        <v>1721</v>
      </c>
      <c r="R10301" t="s">
        <v>23</v>
      </c>
      <c r="S10301" s="1" t="s">
        <v>34218</v>
      </c>
    </row>
    <row r="10302" spans="1:19" x14ac:dyDescent="0.25">
      <c r="A10302">
        <v>100879037</v>
      </c>
      <c r="B10302" t="s">
        <v>23216</v>
      </c>
      <c r="C10302" t="s">
        <v>22168</v>
      </c>
      <c r="G10302" t="s">
        <v>23217</v>
      </c>
      <c r="H10302" t="s">
        <v>1086</v>
      </c>
      <c r="I10302" t="s">
        <v>446</v>
      </c>
      <c r="J10302">
        <v>28226</v>
      </c>
      <c r="K10302">
        <v>6826</v>
      </c>
      <c r="L10302" t="s">
        <v>23</v>
      </c>
      <c r="M10302" t="s">
        <v>23217</v>
      </c>
      <c r="N10302" t="s">
        <v>1086</v>
      </c>
      <c r="O10302" t="s">
        <v>446</v>
      </c>
      <c r="P10302">
        <v>28226</v>
      </c>
      <c r="Q10302">
        <v>6826</v>
      </c>
      <c r="R10302" t="s">
        <v>23</v>
      </c>
      <c r="S10302" s="1" t="s">
        <v>34218</v>
      </c>
    </row>
    <row r="10303" spans="1:19" x14ac:dyDescent="0.25">
      <c r="A10303">
        <v>101232516</v>
      </c>
      <c r="B10303" t="s">
        <v>23218</v>
      </c>
      <c r="C10303" t="s">
        <v>644</v>
      </c>
      <c r="G10303" t="s">
        <v>23219</v>
      </c>
      <c r="H10303" t="s">
        <v>23220</v>
      </c>
      <c r="I10303" t="s">
        <v>33</v>
      </c>
      <c r="J10303">
        <v>19090</v>
      </c>
      <c r="K10303">
        <v>2104</v>
      </c>
      <c r="L10303" t="s">
        <v>23</v>
      </c>
      <c r="M10303" t="s">
        <v>23219</v>
      </c>
      <c r="N10303" t="s">
        <v>23220</v>
      </c>
      <c r="O10303" t="s">
        <v>33</v>
      </c>
      <c r="P10303">
        <v>19090</v>
      </c>
      <c r="Q10303">
        <v>2104</v>
      </c>
      <c r="R10303" t="s">
        <v>23</v>
      </c>
      <c r="S10303" s="1" t="s">
        <v>34218</v>
      </c>
    </row>
    <row r="10304" spans="1:19" x14ac:dyDescent="0.25">
      <c r="A10304">
        <v>101432028</v>
      </c>
      <c r="B10304" t="s">
        <v>23221</v>
      </c>
      <c r="C10304" t="s">
        <v>1141</v>
      </c>
      <c r="G10304" t="s">
        <v>23222</v>
      </c>
      <c r="H10304" t="s">
        <v>5940</v>
      </c>
      <c r="I10304" t="s">
        <v>255</v>
      </c>
      <c r="J10304">
        <v>20155</v>
      </c>
      <c r="K10304">
        <v>4453</v>
      </c>
      <c r="L10304" t="s">
        <v>23</v>
      </c>
      <c r="M10304" t="s">
        <v>23222</v>
      </c>
      <c r="N10304" t="s">
        <v>5940</v>
      </c>
      <c r="O10304" t="s">
        <v>255</v>
      </c>
      <c r="P10304">
        <v>20155</v>
      </c>
      <c r="Q10304">
        <v>4453</v>
      </c>
      <c r="R10304" t="s">
        <v>23</v>
      </c>
      <c r="S10304" s="1" t="s">
        <v>34218</v>
      </c>
    </row>
    <row r="10305" spans="1:19" x14ac:dyDescent="0.25">
      <c r="A10305">
        <v>101457953</v>
      </c>
      <c r="B10305" t="s">
        <v>3843</v>
      </c>
      <c r="C10305" t="s">
        <v>13533</v>
      </c>
      <c r="G10305" t="s">
        <v>23223</v>
      </c>
      <c r="H10305" t="s">
        <v>1412</v>
      </c>
      <c r="I10305" t="s">
        <v>52</v>
      </c>
      <c r="J10305">
        <v>32869</v>
      </c>
      <c r="K10305">
        <v>2115</v>
      </c>
      <c r="L10305" t="s">
        <v>23</v>
      </c>
      <c r="M10305" t="s">
        <v>23223</v>
      </c>
      <c r="N10305" t="s">
        <v>1412</v>
      </c>
      <c r="O10305" t="s">
        <v>52</v>
      </c>
      <c r="P10305">
        <v>32869</v>
      </c>
      <c r="Q10305">
        <v>2115</v>
      </c>
      <c r="R10305" t="s">
        <v>23</v>
      </c>
      <c r="S10305" s="1" t="s">
        <v>34218</v>
      </c>
    </row>
    <row r="10306" spans="1:19" x14ac:dyDescent="0.25">
      <c r="A10306">
        <v>100976962</v>
      </c>
      <c r="B10306" t="s">
        <v>23224</v>
      </c>
      <c r="C10306" t="s">
        <v>1463</v>
      </c>
      <c r="G10306" t="s">
        <v>23225</v>
      </c>
      <c r="H10306" t="s">
        <v>16391</v>
      </c>
      <c r="I10306" t="s">
        <v>28</v>
      </c>
      <c r="J10306">
        <v>31558</v>
      </c>
      <c r="K10306">
        <v>8417</v>
      </c>
      <c r="L10306" t="s">
        <v>23</v>
      </c>
      <c r="M10306" t="s">
        <v>23225</v>
      </c>
      <c r="N10306" t="s">
        <v>16391</v>
      </c>
      <c r="O10306" t="s">
        <v>28</v>
      </c>
      <c r="P10306">
        <v>31558</v>
      </c>
      <c r="Q10306">
        <v>8417</v>
      </c>
      <c r="R10306" t="s">
        <v>23</v>
      </c>
      <c r="S10306" s="1" t="s">
        <v>34218</v>
      </c>
    </row>
    <row r="10307" spans="1:19" x14ac:dyDescent="0.25">
      <c r="A10307">
        <v>101159173</v>
      </c>
      <c r="B10307" t="s">
        <v>14797</v>
      </c>
      <c r="C10307" t="s">
        <v>4273</v>
      </c>
      <c r="G10307" t="s">
        <v>23226</v>
      </c>
      <c r="H10307" t="s">
        <v>37</v>
      </c>
      <c r="I10307" t="s">
        <v>187</v>
      </c>
      <c r="J10307">
        <v>55912</v>
      </c>
      <c r="L10307" t="s">
        <v>23</v>
      </c>
      <c r="M10307" t="s">
        <v>23226</v>
      </c>
      <c r="N10307" t="s">
        <v>37</v>
      </c>
      <c r="O10307" t="s">
        <v>187</v>
      </c>
      <c r="P10307">
        <v>55912</v>
      </c>
      <c r="R10307" t="s">
        <v>23</v>
      </c>
      <c r="S10307" s="1" t="s">
        <v>34218</v>
      </c>
    </row>
    <row r="10308" spans="1:19" x14ac:dyDescent="0.25">
      <c r="A10308">
        <v>101227742</v>
      </c>
      <c r="B10308" t="s">
        <v>4714</v>
      </c>
      <c r="C10308" t="s">
        <v>8144</v>
      </c>
      <c r="G10308" t="s">
        <v>23227</v>
      </c>
      <c r="H10308" t="s">
        <v>18290</v>
      </c>
      <c r="I10308" t="s">
        <v>43</v>
      </c>
      <c r="J10308">
        <v>97115</v>
      </c>
      <c r="K10308">
        <v>9026</v>
      </c>
      <c r="L10308" t="s">
        <v>23</v>
      </c>
      <c r="M10308" t="s">
        <v>23227</v>
      </c>
      <c r="N10308" t="s">
        <v>18290</v>
      </c>
      <c r="O10308" t="s">
        <v>43</v>
      </c>
      <c r="P10308">
        <v>97115</v>
      </c>
      <c r="Q10308">
        <v>9026</v>
      </c>
      <c r="R10308" t="s">
        <v>23</v>
      </c>
      <c r="S10308" s="1" t="s">
        <v>34218</v>
      </c>
    </row>
    <row r="10309" spans="1:19" x14ac:dyDescent="0.25">
      <c r="A10309">
        <v>101335512</v>
      </c>
      <c r="B10309" t="s">
        <v>23228</v>
      </c>
      <c r="C10309" t="s">
        <v>247</v>
      </c>
      <c r="G10309" t="s">
        <v>23229</v>
      </c>
      <c r="H10309" t="s">
        <v>3132</v>
      </c>
      <c r="I10309" t="s">
        <v>22</v>
      </c>
      <c r="J10309">
        <v>92660</v>
      </c>
      <c r="K10309">
        <v>4008</v>
      </c>
      <c r="L10309" t="s">
        <v>23</v>
      </c>
      <c r="M10309" t="s">
        <v>23229</v>
      </c>
      <c r="N10309" t="s">
        <v>3132</v>
      </c>
      <c r="O10309" t="s">
        <v>22</v>
      </c>
      <c r="P10309">
        <v>92660</v>
      </c>
      <c r="Q10309">
        <v>4008</v>
      </c>
      <c r="R10309" t="s">
        <v>23</v>
      </c>
      <c r="S10309" s="1" t="s">
        <v>34218</v>
      </c>
    </row>
    <row r="10310" spans="1:19" x14ac:dyDescent="0.25">
      <c r="A10310">
        <v>101447861</v>
      </c>
      <c r="B10310" t="s">
        <v>3696</v>
      </c>
      <c r="C10310" t="s">
        <v>5610</v>
      </c>
      <c r="G10310" t="s">
        <v>23230</v>
      </c>
      <c r="H10310" t="s">
        <v>1911</v>
      </c>
      <c r="I10310" t="s">
        <v>52</v>
      </c>
      <c r="J10310">
        <v>32771</v>
      </c>
      <c r="K10310">
        <v>8390</v>
      </c>
      <c r="L10310" t="s">
        <v>23</v>
      </c>
      <c r="M10310" t="s">
        <v>23230</v>
      </c>
      <c r="N10310" t="s">
        <v>1911</v>
      </c>
      <c r="O10310" t="s">
        <v>52</v>
      </c>
      <c r="P10310">
        <v>32771</v>
      </c>
      <c r="Q10310">
        <v>8390</v>
      </c>
      <c r="R10310" t="s">
        <v>23</v>
      </c>
      <c r="S10310" s="1" t="s">
        <v>34218</v>
      </c>
    </row>
    <row r="10311" spans="1:19" x14ac:dyDescent="0.25">
      <c r="A10311">
        <v>101426940</v>
      </c>
      <c r="B10311" t="s">
        <v>23231</v>
      </c>
      <c r="C10311" t="s">
        <v>2411</v>
      </c>
      <c r="G10311" t="s">
        <v>23232</v>
      </c>
      <c r="H10311" t="s">
        <v>23233</v>
      </c>
      <c r="I10311" t="s">
        <v>1387</v>
      </c>
      <c r="J10311">
        <v>35243</v>
      </c>
      <c r="K10311">
        <v>2857</v>
      </c>
      <c r="L10311" t="s">
        <v>23</v>
      </c>
      <c r="M10311" t="s">
        <v>23232</v>
      </c>
      <c r="N10311" t="s">
        <v>23233</v>
      </c>
      <c r="O10311" t="s">
        <v>1387</v>
      </c>
      <c r="P10311">
        <v>35243</v>
      </c>
      <c r="Q10311">
        <v>2857</v>
      </c>
      <c r="R10311" t="s">
        <v>23</v>
      </c>
      <c r="S10311" s="1" t="s">
        <v>34218</v>
      </c>
    </row>
    <row r="10312" spans="1:19" x14ac:dyDescent="0.25">
      <c r="A10312">
        <v>100797883</v>
      </c>
      <c r="B10312" t="s">
        <v>6658</v>
      </c>
      <c r="C10312" t="s">
        <v>233</v>
      </c>
      <c r="G10312" t="s">
        <v>23234</v>
      </c>
      <c r="H10312" t="s">
        <v>23235</v>
      </c>
      <c r="I10312" t="s">
        <v>38</v>
      </c>
      <c r="J10312">
        <v>77363</v>
      </c>
      <c r="K10312">
        <v>8142</v>
      </c>
      <c r="L10312" t="s">
        <v>23</v>
      </c>
      <c r="M10312" t="s">
        <v>23234</v>
      </c>
      <c r="N10312" t="s">
        <v>23235</v>
      </c>
      <c r="O10312" t="s">
        <v>38</v>
      </c>
      <c r="P10312">
        <v>77363</v>
      </c>
      <c r="Q10312">
        <v>8142</v>
      </c>
      <c r="R10312" t="s">
        <v>23</v>
      </c>
      <c r="S10312" s="1" t="s">
        <v>34218</v>
      </c>
    </row>
    <row r="10313" spans="1:19" x14ac:dyDescent="0.25">
      <c r="A10313">
        <v>101296603</v>
      </c>
      <c r="B10313" t="s">
        <v>14032</v>
      </c>
      <c r="C10313" t="s">
        <v>2180</v>
      </c>
      <c r="G10313" t="s">
        <v>23236</v>
      </c>
      <c r="H10313" t="s">
        <v>2384</v>
      </c>
      <c r="I10313" t="s">
        <v>250</v>
      </c>
      <c r="J10313">
        <v>7728</v>
      </c>
      <c r="K10313">
        <v>4029</v>
      </c>
      <c r="L10313" t="s">
        <v>23</v>
      </c>
      <c r="M10313" t="s">
        <v>23236</v>
      </c>
      <c r="N10313" t="s">
        <v>2384</v>
      </c>
      <c r="O10313" t="s">
        <v>250</v>
      </c>
      <c r="P10313">
        <v>7728</v>
      </c>
      <c r="Q10313">
        <v>4029</v>
      </c>
      <c r="R10313" t="s">
        <v>23</v>
      </c>
      <c r="S10313" s="1" t="s">
        <v>34218</v>
      </c>
    </row>
    <row r="10314" spans="1:19" x14ac:dyDescent="0.25">
      <c r="A10314">
        <v>101406364</v>
      </c>
      <c r="B10314" t="s">
        <v>744</v>
      </c>
      <c r="C10314" t="s">
        <v>247</v>
      </c>
      <c r="G10314" t="s">
        <v>23237</v>
      </c>
      <c r="H10314" t="s">
        <v>2407</v>
      </c>
      <c r="I10314" t="s">
        <v>52</v>
      </c>
      <c r="J10314">
        <v>33763</v>
      </c>
      <c r="K10314">
        <v>1039</v>
      </c>
      <c r="L10314" t="s">
        <v>23</v>
      </c>
      <c r="M10314" t="s">
        <v>23237</v>
      </c>
      <c r="N10314" t="s">
        <v>2407</v>
      </c>
      <c r="O10314" t="s">
        <v>52</v>
      </c>
      <c r="P10314">
        <v>33763</v>
      </c>
      <c r="Q10314">
        <v>1039</v>
      </c>
      <c r="R10314" t="s">
        <v>23</v>
      </c>
      <c r="S10314" s="1" t="s">
        <v>34218</v>
      </c>
    </row>
    <row r="10315" spans="1:19" x14ac:dyDescent="0.25">
      <c r="A10315">
        <v>101265077</v>
      </c>
      <c r="B10315" t="s">
        <v>23238</v>
      </c>
      <c r="C10315" t="s">
        <v>1533</v>
      </c>
      <c r="G10315" t="s">
        <v>23239</v>
      </c>
      <c r="H10315" t="s">
        <v>9569</v>
      </c>
      <c r="I10315" t="s">
        <v>241</v>
      </c>
      <c r="J10315">
        <v>66071</v>
      </c>
      <c r="K10315">
        <v>5648</v>
      </c>
      <c r="L10315" t="s">
        <v>23</v>
      </c>
      <c r="M10315" t="s">
        <v>23239</v>
      </c>
      <c r="N10315" t="s">
        <v>9569</v>
      </c>
      <c r="O10315" t="s">
        <v>241</v>
      </c>
      <c r="P10315">
        <v>66071</v>
      </c>
      <c r="Q10315">
        <v>5648</v>
      </c>
      <c r="R10315" t="s">
        <v>23</v>
      </c>
      <c r="S10315" s="1" t="s">
        <v>34218</v>
      </c>
    </row>
    <row r="10316" spans="1:19" x14ac:dyDescent="0.25">
      <c r="A10316">
        <v>101353116</v>
      </c>
      <c r="B10316" t="s">
        <v>23240</v>
      </c>
      <c r="C10316" t="s">
        <v>15815</v>
      </c>
      <c r="G10316" t="s">
        <v>23241</v>
      </c>
      <c r="H10316" t="s">
        <v>6029</v>
      </c>
      <c r="I10316" t="s">
        <v>117</v>
      </c>
      <c r="J10316">
        <v>11776</v>
      </c>
      <c r="K10316">
        <v>4348</v>
      </c>
      <c r="L10316" t="s">
        <v>23</v>
      </c>
      <c r="M10316" t="s">
        <v>23241</v>
      </c>
      <c r="N10316" t="s">
        <v>6029</v>
      </c>
      <c r="O10316" t="s">
        <v>117</v>
      </c>
      <c r="P10316">
        <v>11776</v>
      </c>
      <c r="Q10316">
        <v>4348</v>
      </c>
      <c r="R10316" t="s">
        <v>23</v>
      </c>
      <c r="S10316" s="1" t="s">
        <v>34218</v>
      </c>
    </row>
    <row r="10317" spans="1:19" x14ac:dyDescent="0.25">
      <c r="A10317">
        <v>101467557</v>
      </c>
      <c r="B10317" t="s">
        <v>7499</v>
      </c>
      <c r="C10317" t="s">
        <v>13115</v>
      </c>
      <c r="G10317" t="s">
        <v>23242</v>
      </c>
      <c r="H10317" t="s">
        <v>23243</v>
      </c>
      <c r="I10317" t="s">
        <v>84</v>
      </c>
      <c r="J10317">
        <v>98365</v>
      </c>
      <c r="K10317">
        <v>9775</v>
      </c>
      <c r="L10317" t="s">
        <v>23</v>
      </c>
      <c r="M10317" t="s">
        <v>23242</v>
      </c>
      <c r="N10317" t="s">
        <v>23243</v>
      </c>
      <c r="O10317" t="s">
        <v>84</v>
      </c>
      <c r="P10317">
        <v>98365</v>
      </c>
      <c r="Q10317">
        <v>9775</v>
      </c>
      <c r="R10317" t="s">
        <v>23</v>
      </c>
      <c r="S10317" s="1" t="s">
        <v>34218</v>
      </c>
    </row>
    <row r="10318" spans="1:19" x14ac:dyDescent="0.25">
      <c r="A10318">
        <v>101261666</v>
      </c>
      <c r="B10318" t="s">
        <v>23244</v>
      </c>
      <c r="C10318" t="s">
        <v>123</v>
      </c>
      <c r="G10318" t="s">
        <v>23245</v>
      </c>
      <c r="H10318" t="s">
        <v>2943</v>
      </c>
      <c r="I10318" t="s">
        <v>117</v>
      </c>
      <c r="J10318">
        <v>10520</v>
      </c>
      <c r="K10318">
        <v>2815</v>
      </c>
      <c r="L10318" t="s">
        <v>23</v>
      </c>
      <c r="M10318" t="s">
        <v>23245</v>
      </c>
      <c r="N10318" t="s">
        <v>2943</v>
      </c>
      <c r="O10318" t="s">
        <v>117</v>
      </c>
      <c r="P10318">
        <v>10520</v>
      </c>
      <c r="Q10318">
        <v>2815</v>
      </c>
      <c r="R10318" t="s">
        <v>23</v>
      </c>
      <c r="S10318" s="1" t="s">
        <v>34218</v>
      </c>
    </row>
    <row r="10319" spans="1:19" x14ac:dyDescent="0.25">
      <c r="A10319">
        <v>101472145</v>
      </c>
      <c r="B10319" t="s">
        <v>23246</v>
      </c>
      <c r="C10319" t="s">
        <v>294</v>
      </c>
      <c r="G10319" t="s">
        <v>23247</v>
      </c>
      <c r="H10319" t="s">
        <v>1845</v>
      </c>
      <c r="I10319" t="s">
        <v>161</v>
      </c>
      <c r="J10319">
        <v>6488</v>
      </c>
      <c r="K10319">
        <v>2023</v>
      </c>
      <c r="L10319" t="s">
        <v>23</v>
      </c>
      <c r="M10319" t="s">
        <v>23247</v>
      </c>
      <c r="N10319" t="s">
        <v>1845</v>
      </c>
      <c r="O10319" t="s">
        <v>161</v>
      </c>
      <c r="P10319">
        <v>6488</v>
      </c>
      <c r="Q10319">
        <v>2023</v>
      </c>
      <c r="R10319" t="s">
        <v>23</v>
      </c>
      <c r="S10319" s="1" t="s">
        <v>34218</v>
      </c>
    </row>
    <row r="10320" spans="1:19" x14ac:dyDescent="0.25">
      <c r="A10320">
        <v>101423277</v>
      </c>
      <c r="B10320" t="s">
        <v>23248</v>
      </c>
      <c r="C10320" t="s">
        <v>23249</v>
      </c>
      <c r="G10320" t="s">
        <v>23250</v>
      </c>
      <c r="H10320" t="s">
        <v>1015</v>
      </c>
      <c r="I10320" t="s">
        <v>140</v>
      </c>
      <c r="J10320">
        <v>49221</v>
      </c>
      <c r="L10320" t="s">
        <v>23</v>
      </c>
      <c r="M10320" t="s">
        <v>23250</v>
      </c>
      <c r="N10320" t="s">
        <v>1015</v>
      </c>
      <c r="O10320" t="s">
        <v>140</v>
      </c>
      <c r="P10320">
        <v>49221</v>
      </c>
      <c r="R10320" t="s">
        <v>23</v>
      </c>
      <c r="S10320" s="1" t="s">
        <v>34218</v>
      </c>
    </row>
    <row r="10321" spans="1:19" x14ac:dyDescent="0.25">
      <c r="A10321">
        <v>101225717</v>
      </c>
      <c r="B10321" t="s">
        <v>23251</v>
      </c>
      <c r="C10321" t="s">
        <v>19</v>
      </c>
      <c r="G10321" t="s">
        <v>23252</v>
      </c>
      <c r="H10321" t="s">
        <v>682</v>
      </c>
      <c r="I10321" t="s">
        <v>365</v>
      </c>
      <c r="J10321">
        <v>85020</v>
      </c>
      <c r="K10321">
        <v>5072</v>
      </c>
      <c r="L10321" t="s">
        <v>23</v>
      </c>
      <c r="M10321" t="s">
        <v>23252</v>
      </c>
      <c r="N10321" t="s">
        <v>682</v>
      </c>
      <c r="O10321" t="s">
        <v>365</v>
      </c>
      <c r="P10321">
        <v>85020</v>
      </c>
      <c r="Q10321">
        <v>5072</v>
      </c>
      <c r="R10321" t="s">
        <v>23</v>
      </c>
      <c r="S10321" s="1" t="s">
        <v>34218</v>
      </c>
    </row>
    <row r="10322" spans="1:19" x14ac:dyDescent="0.25">
      <c r="A10322">
        <v>100701730</v>
      </c>
      <c r="B10322" t="s">
        <v>23253</v>
      </c>
      <c r="C10322" t="s">
        <v>23254</v>
      </c>
      <c r="G10322" t="s">
        <v>23255</v>
      </c>
      <c r="H10322" t="s">
        <v>2231</v>
      </c>
      <c r="I10322" t="s">
        <v>22</v>
      </c>
      <c r="J10322">
        <v>91206</v>
      </c>
      <c r="K10322">
        <v>1419</v>
      </c>
      <c r="L10322" t="s">
        <v>23</v>
      </c>
      <c r="M10322" t="s">
        <v>23255</v>
      </c>
      <c r="N10322" t="s">
        <v>2231</v>
      </c>
      <c r="O10322" t="s">
        <v>22</v>
      </c>
      <c r="P10322">
        <v>91206</v>
      </c>
      <c r="Q10322">
        <v>1419</v>
      </c>
      <c r="R10322" t="s">
        <v>23</v>
      </c>
      <c r="S10322" s="1" t="s">
        <v>34218</v>
      </c>
    </row>
    <row r="10323" spans="1:19" x14ac:dyDescent="0.25">
      <c r="A10323">
        <v>101434629</v>
      </c>
      <c r="B10323" t="s">
        <v>23256</v>
      </c>
      <c r="C10323" t="s">
        <v>23257</v>
      </c>
      <c r="G10323" t="s">
        <v>23258</v>
      </c>
      <c r="H10323" t="s">
        <v>6616</v>
      </c>
      <c r="I10323" t="s">
        <v>33</v>
      </c>
      <c r="J10323">
        <v>19006</v>
      </c>
      <c r="K10323">
        <v>8622</v>
      </c>
      <c r="L10323" t="s">
        <v>23</v>
      </c>
      <c r="M10323" t="s">
        <v>23258</v>
      </c>
      <c r="N10323" t="s">
        <v>6616</v>
      </c>
      <c r="O10323" t="s">
        <v>33</v>
      </c>
      <c r="P10323">
        <v>19006</v>
      </c>
      <c r="Q10323">
        <v>8622</v>
      </c>
      <c r="R10323" t="s">
        <v>23</v>
      </c>
      <c r="S10323" s="1" t="s">
        <v>34218</v>
      </c>
    </row>
    <row r="10324" spans="1:19" x14ac:dyDescent="0.25">
      <c r="A10324">
        <v>101470394</v>
      </c>
      <c r="B10324" t="s">
        <v>23259</v>
      </c>
      <c r="C10324" t="s">
        <v>1135</v>
      </c>
      <c r="G10324" t="s">
        <v>23260</v>
      </c>
      <c r="H10324" t="s">
        <v>299</v>
      </c>
      <c r="I10324" t="s">
        <v>22</v>
      </c>
      <c r="J10324">
        <v>90034</v>
      </c>
      <c r="L10324" t="s">
        <v>23</v>
      </c>
      <c r="M10324" t="s">
        <v>23260</v>
      </c>
      <c r="N10324" t="s">
        <v>299</v>
      </c>
      <c r="O10324" t="s">
        <v>22</v>
      </c>
      <c r="P10324">
        <v>90034</v>
      </c>
      <c r="R10324" t="s">
        <v>23</v>
      </c>
      <c r="S10324" s="1" t="s">
        <v>34218</v>
      </c>
    </row>
    <row r="10325" spans="1:19" x14ac:dyDescent="0.25">
      <c r="A10325">
        <v>101290209</v>
      </c>
      <c r="B10325" t="s">
        <v>23261</v>
      </c>
      <c r="C10325" t="s">
        <v>490</v>
      </c>
      <c r="G10325" t="s">
        <v>23262</v>
      </c>
      <c r="H10325" t="s">
        <v>9777</v>
      </c>
      <c r="I10325" t="s">
        <v>22</v>
      </c>
      <c r="J10325">
        <v>90292</v>
      </c>
      <c r="K10325">
        <v>5787</v>
      </c>
      <c r="L10325" t="s">
        <v>23</v>
      </c>
      <c r="M10325" t="s">
        <v>23262</v>
      </c>
      <c r="N10325" t="s">
        <v>9777</v>
      </c>
      <c r="O10325" t="s">
        <v>22</v>
      </c>
      <c r="P10325">
        <v>90292</v>
      </c>
      <c r="Q10325">
        <v>5787</v>
      </c>
      <c r="R10325" t="s">
        <v>23</v>
      </c>
      <c r="S10325" s="1" t="s">
        <v>34218</v>
      </c>
    </row>
    <row r="10326" spans="1:19" x14ac:dyDescent="0.25">
      <c r="A10326">
        <v>101245482</v>
      </c>
      <c r="B10326" t="s">
        <v>9807</v>
      </c>
      <c r="C10326" t="s">
        <v>13533</v>
      </c>
      <c r="G10326" t="s">
        <v>23263</v>
      </c>
      <c r="H10326" t="s">
        <v>11875</v>
      </c>
      <c r="I10326" t="s">
        <v>22</v>
      </c>
      <c r="J10326">
        <v>95610</v>
      </c>
      <c r="L10326" t="s">
        <v>23</v>
      </c>
      <c r="M10326" t="s">
        <v>23263</v>
      </c>
      <c r="N10326" t="s">
        <v>11875</v>
      </c>
      <c r="O10326" t="s">
        <v>22</v>
      </c>
      <c r="P10326">
        <v>95610</v>
      </c>
      <c r="R10326" t="s">
        <v>23</v>
      </c>
      <c r="S10326" s="1" t="s">
        <v>34218</v>
      </c>
    </row>
    <row r="10327" spans="1:19" x14ac:dyDescent="0.25">
      <c r="A10327">
        <v>101438314</v>
      </c>
      <c r="B10327" t="s">
        <v>23264</v>
      </c>
      <c r="C10327" t="s">
        <v>25</v>
      </c>
      <c r="G10327" t="s">
        <v>23265</v>
      </c>
      <c r="H10327" t="s">
        <v>646</v>
      </c>
      <c r="I10327" t="s">
        <v>135</v>
      </c>
      <c r="J10327">
        <v>62864</v>
      </c>
      <c r="K10327">
        <v>6572</v>
      </c>
      <c r="L10327" t="s">
        <v>23</v>
      </c>
      <c r="M10327" t="s">
        <v>23265</v>
      </c>
      <c r="N10327" t="s">
        <v>646</v>
      </c>
      <c r="O10327" t="s">
        <v>135</v>
      </c>
      <c r="P10327">
        <v>62864</v>
      </c>
      <c r="Q10327">
        <v>6572</v>
      </c>
      <c r="R10327" t="s">
        <v>23</v>
      </c>
      <c r="S10327" s="1" t="s">
        <v>34218</v>
      </c>
    </row>
    <row r="10328" spans="1:19" x14ac:dyDescent="0.25">
      <c r="A10328">
        <v>101419056</v>
      </c>
      <c r="B10328" t="s">
        <v>23266</v>
      </c>
      <c r="C10328" t="s">
        <v>23267</v>
      </c>
      <c r="G10328" t="s">
        <v>23268</v>
      </c>
      <c r="H10328" t="s">
        <v>569</v>
      </c>
      <c r="I10328" t="s">
        <v>187</v>
      </c>
      <c r="J10328">
        <v>55446</v>
      </c>
      <c r="K10328">
        <v>3379</v>
      </c>
      <c r="L10328" t="s">
        <v>23</v>
      </c>
      <c r="M10328" t="s">
        <v>23268</v>
      </c>
      <c r="N10328" t="s">
        <v>569</v>
      </c>
      <c r="O10328" t="s">
        <v>187</v>
      </c>
      <c r="P10328">
        <v>55446</v>
      </c>
      <c r="Q10328">
        <v>3379</v>
      </c>
      <c r="R10328" t="s">
        <v>23</v>
      </c>
      <c r="S10328" s="1" t="s">
        <v>34218</v>
      </c>
    </row>
    <row r="10329" spans="1:19" x14ac:dyDescent="0.25">
      <c r="A10329">
        <v>101220836</v>
      </c>
      <c r="B10329" t="s">
        <v>23269</v>
      </c>
      <c r="C10329" t="s">
        <v>123</v>
      </c>
      <c r="G10329" t="s">
        <v>23270</v>
      </c>
      <c r="H10329" t="s">
        <v>14725</v>
      </c>
      <c r="I10329" t="s">
        <v>1482</v>
      </c>
      <c r="J10329" t="s">
        <v>23271</v>
      </c>
      <c r="K10329">
        <v>2921</v>
      </c>
      <c r="L10329" t="s">
        <v>23</v>
      </c>
      <c r="M10329" t="s">
        <v>23270</v>
      </c>
      <c r="N10329" t="s">
        <v>14725</v>
      </c>
      <c r="O10329" t="s">
        <v>1482</v>
      </c>
      <c r="P10329" t="s">
        <v>23271</v>
      </c>
      <c r="Q10329">
        <v>2921</v>
      </c>
      <c r="R10329" t="s">
        <v>23</v>
      </c>
      <c r="S10329" s="1" t="s">
        <v>34218</v>
      </c>
    </row>
    <row r="10330" spans="1:19" x14ac:dyDescent="0.25">
      <c r="A10330">
        <v>101230559</v>
      </c>
      <c r="B10330" t="s">
        <v>23272</v>
      </c>
      <c r="C10330" t="s">
        <v>119</v>
      </c>
      <c r="G10330" t="s">
        <v>23273</v>
      </c>
      <c r="H10330" t="s">
        <v>5070</v>
      </c>
      <c r="I10330" t="s">
        <v>84</v>
      </c>
      <c r="J10330">
        <v>98664</v>
      </c>
      <c r="K10330">
        <v>5179</v>
      </c>
      <c r="L10330" t="s">
        <v>23</v>
      </c>
      <c r="M10330" t="s">
        <v>23273</v>
      </c>
      <c r="N10330" t="s">
        <v>5070</v>
      </c>
      <c r="O10330" t="s">
        <v>84</v>
      </c>
      <c r="P10330">
        <v>98664</v>
      </c>
      <c r="Q10330">
        <v>5179</v>
      </c>
      <c r="R10330" t="s">
        <v>23</v>
      </c>
      <c r="S10330" s="1" t="s">
        <v>34218</v>
      </c>
    </row>
    <row r="10331" spans="1:19" x14ac:dyDescent="0.25">
      <c r="A10331">
        <v>101474358</v>
      </c>
      <c r="B10331" t="s">
        <v>23274</v>
      </c>
      <c r="C10331" t="s">
        <v>3228</v>
      </c>
      <c r="G10331" t="s">
        <v>23275</v>
      </c>
      <c r="H10331" t="s">
        <v>12236</v>
      </c>
      <c r="I10331" t="s">
        <v>153</v>
      </c>
      <c r="J10331">
        <v>71105</v>
      </c>
      <c r="K10331">
        <v>2038</v>
      </c>
      <c r="L10331" t="s">
        <v>23</v>
      </c>
      <c r="M10331" t="s">
        <v>23275</v>
      </c>
      <c r="N10331" t="s">
        <v>12236</v>
      </c>
      <c r="O10331" t="s">
        <v>153</v>
      </c>
      <c r="P10331">
        <v>71105</v>
      </c>
      <c r="Q10331">
        <v>2038</v>
      </c>
      <c r="R10331" t="s">
        <v>23</v>
      </c>
      <c r="S10331" s="1" t="s">
        <v>34218</v>
      </c>
    </row>
    <row r="10332" spans="1:19" x14ac:dyDescent="0.25">
      <c r="A10332">
        <v>101112892</v>
      </c>
      <c r="B10332" t="s">
        <v>19881</v>
      </c>
      <c r="C10332" t="s">
        <v>23276</v>
      </c>
      <c r="G10332" t="s">
        <v>23277</v>
      </c>
      <c r="H10332" t="s">
        <v>855</v>
      </c>
      <c r="I10332" t="s">
        <v>84</v>
      </c>
      <c r="J10332">
        <v>98368</v>
      </c>
      <c r="K10332">
        <v>9686</v>
      </c>
      <c r="L10332" t="s">
        <v>23</v>
      </c>
      <c r="M10332" t="s">
        <v>23277</v>
      </c>
      <c r="N10332" t="s">
        <v>855</v>
      </c>
      <c r="O10332" t="s">
        <v>84</v>
      </c>
      <c r="P10332">
        <v>98368</v>
      </c>
      <c r="Q10332">
        <v>9686</v>
      </c>
      <c r="R10332" t="s">
        <v>23</v>
      </c>
      <c r="S10332" s="1" t="s">
        <v>34218</v>
      </c>
    </row>
    <row r="10333" spans="1:19" x14ac:dyDescent="0.25">
      <c r="A10333">
        <v>100770874</v>
      </c>
      <c r="B10333" t="s">
        <v>23278</v>
      </c>
      <c r="C10333" t="s">
        <v>23279</v>
      </c>
      <c r="G10333" t="s">
        <v>23280</v>
      </c>
      <c r="H10333" t="s">
        <v>92</v>
      </c>
      <c r="I10333" t="s">
        <v>84</v>
      </c>
      <c r="J10333">
        <v>98005</v>
      </c>
      <c r="L10333" t="s">
        <v>23</v>
      </c>
      <c r="M10333" t="s">
        <v>23280</v>
      </c>
      <c r="N10333" t="s">
        <v>92</v>
      </c>
      <c r="O10333" t="s">
        <v>84</v>
      </c>
      <c r="P10333">
        <v>98005</v>
      </c>
      <c r="R10333" t="s">
        <v>23</v>
      </c>
      <c r="S10333" s="1" t="s">
        <v>34218</v>
      </c>
    </row>
    <row r="10334" spans="1:19" x14ac:dyDescent="0.25">
      <c r="A10334">
        <v>101450236</v>
      </c>
      <c r="B10334" t="s">
        <v>6773</v>
      </c>
      <c r="C10334" t="s">
        <v>1306</v>
      </c>
      <c r="G10334" t="s">
        <v>23281</v>
      </c>
      <c r="H10334" t="s">
        <v>2798</v>
      </c>
      <c r="I10334" t="s">
        <v>100</v>
      </c>
      <c r="J10334">
        <v>53105</v>
      </c>
      <c r="K10334">
        <v>9344</v>
      </c>
      <c r="L10334" t="s">
        <v>23</v>
      </c>
      <c r="M10334" t="s">
        <v>23281</v>
      </c>
      <c r="N10334" t="s">
        <v>2798</v>
      </c>
      <c r="O10334" t="s">
        <v>100</v>
      </c>
      <c r="P10334">
        <v>53105</v>
      </c>
      <c r="Q10334">
        <v>9344</v>
      </c>
      <c r="R10334" t="s">
        <v>23</v>
      </c>
      <c r="S10334" s="1" t="s">
        <v>34218</v>
      </c>
    </row>
    <row r="10335" spans="1:19" x14ac:dyDescent="0.25">
      <c r="A10335">
        <v>101473896</v>
      </c>
      <c r="B10335" t="s">
        <v>286</v>
      </c>
      <c r="C10335" t="s">
        <v>23282</v>
      </c>
      <c r="G10335" t="s">
        <v>23283</v>
      </c>
      <c r="H10335" t="s">
        <v>5940</v>
      </c>
      <c r="I10335" t="s">
        <v>52</v>
      </c>
      <c r="J10335">
        <v>32605</v>
      </c>
      <c r="K10335">
        <v>1000</v>
      </c>
      <c r="L10335" t="s">
        <v>23</v>
      </c>
      <c r="M10335" t="s">
        <v>23283</v>
      </c>
      <c r="N10335" t="s">
        <v>5940</v>
      </c>
      <c r="O10335" t="s">
        <v>52</v>
      </c>
      <c r="P10335">
        <v>32605</v>
      </c>
      <c r="Q10335">
        <v>1000</v>
      </c>
      <c r="R10335" t="s">
        <v>23</v>
      </c>
      <c r="S10335" s="1" t="s">
        <v>34218</v>
      </c>
    </row>
    <row r="10336" spans="1:19" x14ac:dyDescent="0.25">
      <c r="A10336">
        <v>101451710</v>
      </c>
      <c r="B10336" t="s">
        <v>23284</v>
      </c>
      <c r="C10336" t="s">
        <v>23285</v>
      </c>
      <c r="G10336" t="s">
        <v>23286</v>
      </c>
      <c r="H10336" t="s">
        <v>2407</v>
      </c>
      <c r="I10336" t="s">
        <v>52</v>
      </c>
      <c r="J10336">
        <v>33765</v>
      </c>
      <c r="K10336">
        <v>4226</v>
      </c>
      <c r="L10336" t="s">
        <v>23</v>
      </c>
      <c r="M10336" t="s">
        <v>23286</v>
      </c>
      <c r="N10336" t="s">
        <v>2407</v>
      </c>
      <c r="O10336" t="s">
        <v>52</v>
      </c>
      <c r="P10336">
        <v>33765</v>
      </c>
      <c r="Q10336">
        <v>4226</v>
      </c>
      <c r="R10336" t="s">
        <v>23</v>
      </c>
      <c r="S10336" s="1" t="s">
        <v>34218</v>
      </c>
    </row>
    <row r="10337" spans="1:19" x14ac:dyDescent="0.25">
      <c r="A10337">
        <v>101474510</v>
      </c>
      <c r="B10337" t="s">
        <v>23287</v>
      </c>
      <c r="C10337" t="s">
        <v>23288</v>
      </c>
      <c r="G10337" t="s">
        <v>23289</v>
      </c>
      <c r="H10337" t="s">
        <v>3510</v>
      </c>
      <c r="I10337" t="s">
        <v>38</v>
      </c>
      <c r="J10337">
        <v>75043</v>
      </c>
      <c r="K10337">
        <v>1835</v>
      </c>
      <c r="L10337" t="s">
        <v>23</v>
      </c>
      <c r="M10337" t="s">
        <v>23289</v>
      </c>
      <c r="N10337" t="s">
        <v>3510</v>
      </c>
      <c r="O10337" t="s">
        <v>38</v>
      </c>
      <c r="P10337">
        <v>75043</v>
      </c>
      <c r="Q10337">
        <v>1835</v>
      </c>
      <c r="R10337" t="s">
        <v>23</v>
      </c>
      <c r="S10337" s="1" t="s">
        <v>34218</v>
      </c>
    </row>
    <row r="10338" spans="1:19" x14ac:dyDescent="0.25">
      <c r="A10338">
        <v>101333088</v>
      </c>
      <c r="B10338" t="s">
        <v>23290</v>
      </c>
      <c r="C10338" t="s">
        <v>30</v>
      </c>
      <c r="G10338" t="s">
        <v>23291</v>
      </c>
      <c r="H10338" t="s">
        <v>8502</v>
      </c>
      <c r="I10338" t="s">
        <v>22</v>
      </c>
      <c r="J10338">
        <v>95437</v>
      </c>
      <c r="K10338">
        <v>3205</v>
      </c>
      <c r="L10338" t="s">
        <v>23</v>
      </c>
      <c r="M10338" t="s">
        <v>23291</v>
      </c>
      <c r="N10338" t="s">
        <v>8502</v>
      </c>
      <c r="O10338" t="s">
        <v>22</v>
      </c>
      <c r="P10338">
        <v>95437</v>
      </c>
      <c r="Q10338">
        <v>3205</v>
      </c>
      <c r="R10338" t="s">
        <v>23</v>
      </c>
      <c r="S10338" s="1" t="s">
        <v>34218</v>
      </c>
    </row>
    <row r="10339" spans="1:19" x14ac:dyDescent="0.25">
      <c r="A10339">
        <v>101317293</v>
      </c>
      <c r="B10339" t="s">
        <v>23292</v>
      </c>
      <c r="C10339" t="s">
        <v>579</v>
      </c>
      <c r="G10339" t="s">
        <v>23293</v>
      </c>
      <c r="H10339" t="s">
        <v>143</v>
      </c>
      <c r="I10339" t="s">
        <v>52</v>
      </c>
      <c r="J10339">
        <v>32210</v>
      </c>
      <c r="K10339">
        <v>3361</v>
      </c>
      <c r="L10339" t="s">
        <v>23</v>
      </c>
      <c r="M10339" t="s">
        <v>23293</v>
      </c>
      <c r="N10339" t="s">
        <v>143</v>
      </c>
      <c r="O10339" t="s">
        <v>52</v>
      </c>
      <c r="P10339">
        <v>32210</v>
      </c>
      <c r="Q10339">
        <v>3361</v>
      </c>
      <c r="R10339" t="s">
        <v>23</v>
      </c>
      <c r="S10339" s="1" t="s">
        <v>34218</v>
      </c>
    </row>
    <row r="10340" spans="1:19" x14ac:dyDescent="0.25">
      <c r="A10340">
        <v>101113391</v>
      </c>
      <c r="B10340" t="s">
        <v>23294</v>
      </c>
      <c r="C10340" t="s">
        <v>664</v>
      </c>
      <c r="G10340" t="s">
        <v>23295</v>
      </c>
      <c r="H10340" t="s">
        <v>5269</v>
      </c>
      <c r="I10340" t="s">
        <v>22</v>
      </c>
      <c r="J10340">
        <v>90505</v>
      </c>
      <c r="K10340">
        <v>7035</v>
      </c>
      <c r="L10340" t="s">
        <v>23</v>
      </c>
      <c r="M10340" t="s">
        <v>23295</v>
      </c>
      <c r="N10340" t="s">
        <v>5269</v>
      </c>
      <c r="O10340" t="s">
        <v>22</v>
      </c>
      <c r="P10340">
        <v>90505</v>
      </c>
      <c r="Q10340">
        <v>7035</v>
      </c>
      <c r="R10340" t="s">
        <v>23</v>
      </c>
      <c r="S10340" s="1" t="s">
        <v>34218</v>
      </c>
    </row>
    <row r="10341" spans="1:19" x14ac:dyDescent="0.25">
      <c r="A10341">
        <v>101449244</v>
      </c>
      <c r="B10341" t="s">
        <v>23296</v>
      </c>
      <c r="C10341" t="s">
        <v>1669</v>
      </c>
      <c r="G10341" t="s">
        <v>23297</v>
      </c>
      <c r="H10341" t="s">
        <v>227</v>
      </c>
      <c r="I10341" t="s">
        <v>43</v>
      </c>
      <c r="J10341">
        <v>97209</v>
      </c>
      <c r="K10341">
        <v>1876</v>
      </c>
      <c r="L10341" t="s">
        <v>23</v>
      </c>
      <c r="M10341" t="s">
        <v>23297</v>
      </c>
      <c r="N10341" t="s">
        <v>227</v>
      </c>
      <c r="O10341" t="s">
        <v>43</v>
      </c>
      <c r="P10341">
        <v>97209</v>
      </c>
      <c r="Q10341">
        <v>1876</v>
      </c>
      <c r="R10341" t="s">
        <v>23</v>
      </c>
      <c r="S10341" s="1" t="s">
        <v>34218</v>
      </c>
    </row>
    <row r="10342" spans="1:19" x14ac:dyDescent="0.25">
      <c r="A10342">
        <v>101480549</v>
      </c>
      <c r="B10342" t="s">
        <v>23298</v>
      </c>
      <c r="C10342" t="s">
        <v>23299</v>
      </c>
      <c r="G10342" t="s">
        <v>23300</v>
      </c>
      <c r="H10342" t="s">
        <v>3466</v>
      </c>
      <c r="I10342" t="s">
        <v>22</v>
      </c>
      <c r="J10342">
        <v>94804</v>
      </c>
      <c r="K10342">
        <v>7435</v>
      </c>
      <c r="L10342" t="s">
        <v>23</v>
      </c>
      <c r="M10342" t="s">
        <v>23300</v>
      </c>
      <c r="N10342" t="s">
        <v>3466</v>
      </c>
      <c r="O10342" t="s">
        <v>22</v>
      </c>
      <c r="P10342">
        <v>94804</v>
      </c>
      <c r="Q10342">
        <v>7435</v>
      </c>
      <c r="R10342" t="s">
        <v>23</v>
      </c>
      <c r="S10342" s="1" t="s">
        <v>34218</v>
      </c>
    </row>
    <row r="10343" spans="1:19" x14ac:dyDescent="0.25">
      <c r="A10343">
        <v>101480551</v>
      </c>
      <c r="B10343" t="s">
        <v>23301</v>
      </c>
      <c r="C10343" t="s">
        <v>466</v>
      </c>
      <c r="G10343" t="s">
        <v>23302</v>
      </c>
      <c r="H10343" t="s">
        <v>174</v>
      </c>
      <c r="I10343" t="s">
        <v>22</v>
      </c>
      <c r="J10343">
        <v>93110</v>
      </c>
      <c r="K10343">
        <v>1630</v>
      </c>
      <c r="L10343" t="s">
        <v>23</v>
      </c>
      <c r="M10343" t="s">
        <v>23302</v>
      </c>
      <c r="N10343" t="s">
        <v>174</v>
      </c>
      <c r="O10343" t="s">
        <v>22</v>
      </c>
      <c r="P10343">
        <v>93110</v>
      </c>
      <c r="Q10343">
        <v>1630</v>
      </c>
      <c r="R10343" t="s">
        <v>23</v>
      </c>
      <c r="S10343" s="1" t="s">
        <v>34218</v>
      </c>
    </row>
    <row r="10344" spans="1:19" x14ac:dyDescent="0.25">
      <c r="A10344">
        <v>100753612</v>
      </c>
      <c r="B10344" t="s">
        <v>23303</v>
      </c>
      <c r="C10344" t="s">
        <v>1426</v>
      </c>
      <c r="G10344" t="s">
        <v>23304</v>
      </c>
      <c r="H10344" t="s">
        <v>1439</v>
      </c>
      <c r="I10344" t="s">
        <v>365</v>
      </c>
      <c r="J10344">
        <v>85750</v>
      </c>
      <c r="K10344">
        <v>7024</v>
      </c>
      <c r="L10344" t="s">
        <v>23</v>
      </c>
      <c r="M10344" t="s">
        <v>23304</v>
      </c>
      <c r="N10344" t="s">
        <v>1439</v>
      </c>
      <c r="O10344" t="s">
        <v>365</v>
      </c>
      <c r="P10344">
        <v>85750</v>
      </c>
      <c r="Q10344">
        <v>7024</v>
      </c>
      <c r="R10344" t="s">
        <v>23</v>
      </c>
      <c r="S10344" s="1" t="s">
        <v>34218</v>
      </c>
    </row>
    <row r="10345" spans="1:19" x14ac:dyDescent="0.25">
      <c r="A10345">
        <v>101480553</v>
      </c>
      <c r="B10345" t="s">
        <v>23305</v>
      </c>
      <c r="C10345" t="s">
        <v>6315</v>
      </c>
      <c r="G10345" t="s">
        <v>23306</v>
      </c>
      <c r="H10345" t="s">
        <v>23307</v>
      </c>
      <c r="I10345" t="s">
        <v>135</v>
      </c>
      <c r="J10345">
        <v>61364</v>
      </c>
      <c r="K10345">
        <v>2929</v>
      </c>
      <c r="L10345" t="s">
        <v>23</v>
      </c>
      <c r="M10345" t="s">
        <v>23306</v>
      </c>
      <c r="N10345" t="s">
        <v>23307</v>
      </c>
      <c r="O10345" t="s">
        <v>135</v>
      </c>
      <c r="P10345">
        <v>61364</v>
      </c>
      <c r="Q10345">
        <v>2929</v>
      </c>
      <c r="R10345" t="s">
        <v>23</v>
      </c>
      <c r="S10345" s="1" t="s">
        <v>34218</v>
      </c>
    </row>
    <row r="10346" spans="1:19" x14ac:dyDescent="0.25">
      <c r="A10346">
        <v>101271960</v>
      </c>
      <c r="B10346" t="s">
        <v>23308</v>
      </c>
      <c r="C10346" t="s">
        <v>1239</v>
      </c>
      <c r="G10346" t="s">
        <v>23309</v>
      </c>
      <c r="H10346" t="s">
        <v>3385</v>
      </c>
      <c r="I10346" t="s">
        <v>236</v>
      </c>
      <c r="J10346">
        <v>2139</v>
      </c>
      <c r="K10346">
        <v>3947</v>
      </c>
      <c r="L10346" t="s">
        <v>23</v>
      </c>
      <c r="M10346" t="s">
        <v>23309</v>
      </c>
      <c r="N10346" t="s">
        <v>3385</v>
      </c>
      <c r="O10346" t="s">
        <v>236</v>
      </c>
      <c r="P10346">
        <v>2139</v>
      </c>
      <c r="Q10346">
        <v>3947</v>
      </c>
      <c r="R10346" t="s">
        <v>23</v>
      </c>
      <c r="S10346" s="1" t="s">
        <v>34218</v>
      </c>
    </row>
    <row r="10347" spans="1:19" x14ac:dyDescent="0.25">
      <c r="A10347">
        <v>101480557</v>
      </c>
      <c r="B10347" t="s">
        <v>4773</v>
      </c>
      <c r="C10347" t="s">
        <v>22760</v>
      </c>
      <c r="G10347" t="s">
        <v>23310</v>
      </c>
      <c r="H10347" t="s">
        <v>619</v>
      </c>
      <c r="I10347" t="s">
        <v>250</v>
      </c>
      <c r="J10347">
        <v>8077</v>
      </c>
      <c r="K10347">
        <v>1149</v>
      </c>
      <c r="L10347" t="s">
        <v>23</v>
      </c>
      <c r="M10347" t="s">
        <v>23310</v>
      </c>
      <c r="N10347" t="s">
        <v>619</v>
      </c>
      <c r="O10347" t="s">
        <v>250</v>
      </c>
      <c r="P10347">
        <v>8077</v>
      </c>
      <c r="Q10347">
        <v>1149</v>
      </c>
      <c r="R10347" t="s">
        <v>23</v>
      </c>
      <c r="S10347" s="1" t="s">
        <v>34218</v>
      </c>
    </row>
    <row r="10348" spans="1:19" x14ac:dyDescent="0.25">
      <c r="A10348">
        <v>101320219</v>
      </c>
      <c r="B10348" t="s">
        <v>2921</v>
      </c>
      <c r="C10348" t="s">
        <v>718</v>
      </c>
      <c r="G10348" t="s">
        <v>23311</v>
      </c>
      <c r="H10348" t="s">
        <v>23312</v>
      </c>
      <c r="I10348" t="s">
        <v>52</v>
      </c>
      <c r="J10348">
        <v>33308</v>
      </c>
      <c r="K10348">
        <v>2943</v>
      </c>
      <c r="L10348" t="s">
        <v>23</v>
      </c>
      <c r="M10348" t="s">
        <v>23311</v>
      </c>
      <c r="N10348" t="s">
        <v>23312</v>
      </c>
      <c r="O10348" t="s">
        <v>52</v>
      </c>
      <c r="P10348">
        <v>33308</v>
      </c>
      <c r="Q10348">
        <v>2943</v>
      </c>
      <c r="R10348" t="s">
        <v>23</v>
      </c>
      <c r="S10348" s="1" t="s">
        <v>34218</v>
      </c>
    </row>
    <row r="10349" spans="1:19" x14ac:dyDescent="0.25">
      <c r="A10349">
        <v>101328034</v>
      </c>
      <c r="B10349" t="s">
        <v>23313</v>
      </c>
      <c r="C10349" t="s">
        <v>119</v>
      </c>
      <c r="G10349" t="s">
        <v>23314</v>
      </c>
      <c r="H10349" t="s">
        <v>4799</v>
      </c>
      <c r="I10349" t="s">
        <v>22</v>
      </c>
      <c r="J10349">
        <v>95742</v>
      </c>
      <c r="K10349">
        <v>6405</v>
      </c>
      <c r="L10349" t="s">
        <v>23</v>
      </c>
      <c r="M10349" t="s">
        <v>23314</v>
      </c>
      <c r="N10349" t="s">
        <v>4799</v>
      </c>
      <c r="O10349" t="s">
        <v>22</v>
      </c>
      <c r="P10349">
        <v>95742</v>
      </c>
      <c r="Q10349">
        <v>6405</v>
      </c>
      <c r="R10349" t="s">
        <v>23</v>
      </c>
      <c r="S10349" s="1" t="s">
        <v>34218</v>
      </c>
    </row>
    <row r="10350" spans="1:19" x14ac:dyDescent="0.25">
      <c r="A10350">
        <v>101480565</v>
      </c>
      <c r="B10350" t="s">
        <v>18840</v>
      </c>
      <c r="C10350" t="s">
        <v>23315</v>
      </c>
      <c r="G10350" t="s">
        <v>23316</v>
      </c>
      <c r="H10350" t="s">
        <v>23317</v>
      </c>
      <c r="I10350" t="s">
        <v>914</v>
      </c>
      <c r="J10350">
        <v>37683</v>
      </c>
      <c r="K10350">
        <v>78</v>
      </c>
      <c r="L10350" t="s">
        <v>23</v>
      </c>
      <c r="M10350" t="s">
        <v>23316</v>
      </c>
      <c r="N10350" t="s">
        <v>23317</v>
      </c>
      <c r="O10350" t="s">
        <v>914</v>
      </c>
      <c r="P10350">
        <v>37683</v>
      </c>
      <c r="Q10350">
        <v>78</v>
      </c>
      <c r="R10350" t="s">
        <v>23</v>
      </c>
      <c r="S10350" s="1" t="s">
        <v>34218</v>
      </c>
    </row>
    <row r="10351" spans="1:19" x14ac:dyDescent="0.25">
      <c r="A10351">
        <v>101474791</v>
      </c>
      <c r="B10351" t="s">
        <v>23318</v>
      </c>
      <c r="C10351" t="s">
        <v>281</v>
      </c>
      <c r="G10351" t="s">
        <v>23319</v>
      </c>
      <c r="H10351" t="s">
        <v>23320</v>
      </c>
      <c r="I10351" t="s">
        <v>117</v>
      </c>
      <c r="J10351">
        <v>10960</v>
      </c>
      <c r="K10351">
        <v>1409</v>
      </c>
      <c r="L10351" t="s">
        <v>23</v>
      </c>
      <c r="M10351" t="s">
        <v>23319</v>
      </c>
      <c r="N10351" t="s">
        <v>23320</v>
      </c>
      <c r="O10351" t="s">
        <v>117</v>
      </c>
      <c r="P10351">
        <v>10960</v>
      </c>
      <c r="Q10351">
        <v>1409</v>
      </c>
      <c r="R10351" t="s">
        <v>23</v>
      </c>
      <c r="S10351" s="1" t="s">
        <v>34218</v>
      </c>
    </row>
    <row r="10352" spans="1:19" x14ac:dyDescent="0.25">
      <c r="A10352">
        <v>101276657</v>
      </c>
      <c r="B10352" t="s">
        <v>23321</v>
      </c>
      <c r="C10352" t="s">
        <v>2497</v>
      </c>
      <c r="G10352" t="s">
        <v>23322</v>
      </c>
      <c r="H10352" t="s">
        <v>1531</v>
      </c>
      <c r="I10352" t="s">
        <v>84</v>
      </c>
      <c r="J10352">
        <v>98105</v>
      </c>
      <c r="K10352">
        <v>3003</v>
      </c>
      <c r="L10352" t="s">
        <v>23</v>
      </c>
      <c r="M10352" t="s">
        <v>23322</v>
      </c>
      <c r="N10352" t="s">
        <v>1531</v>
      </c>
      <c r="O10352" t="s">
        <v>84</v>
      </c>
      <c r="P10352">
        <v>98105</v>
      </c>
      <c r="Q10352">
        <v>3003</v>
      </c>
      <c r="R10352" t="s">
        <v>23</v>
      </c>
      <c r="S10352" s="1" t="s">
        <v>34218</v>
      </c>
    </row>
    <row r="10353" spans="1:19" x14ac:dyDescent="0.25">
      <c r="A10353">
        <v>101467384</v>
      </c>
      <c r="B10353" t="s">
        <v>23323</v>
      </c>
      <c r="C10353" t="s">
        <v>535</v>
      </c>
      <c r="G10353" t="s">
        <v>23324</v>
      </c>
      <c r="H10353" t="s">
        <v>1531</v>
      </c>
      <c r="I10353" t="s">
        <v>84</v>
      </c>
      <c r="J10353">
        <v>98115</v>
      </c>
      <c r="K10353">
        <v>5666</v>
      </c>
      <c r="L10353" t="s">
        <v>23</v>
      </c>
      <c r="M10353" t="s">
        <v>23324</v>
      </c>
      <c r="N10353" t="s">
        <v>1531</v>
      </c>
      <c r="O10353" t="s">
        <v>84</v>
      </c>
      <c r="P10353">
        <v>98115</v>
      </c>
      <c r="Q10353">
        <v>5666</v>
      </c>
      <c r="R10353" t="s">
        <v>23</v>
      </c>
      <c r="S10353" s="1" t="s">
        <v>34218</v>
      </c>
    </row>
    <row r="10354" spans="1:19" x14ac:dyDescent="0.25">
      <c r="A10354">
        <v>101443869</v>
      </c>
      <c r="B10354" t="s">
        <v>2459</v>
      </c>
      <c r="C10354" t="s">
        <v>23325</v>
      </c>
      <c r="G10354" t="s">
        <v>23326</v>
      </c>
      <c r="H10354" t="s">
        <v>3703</v>
      </c>
      <c r="I10354" t="s">
        <v>22</v>
      </c>
      <c r="J10354">
        <v>94070</v>
      </c>
      <c r="K10354">
        <v>3924</v>
      </c>
      <c r="L10354" t="s">
        <v>23</v>
      </c>
      <c r="M10354" t="s">
        <v>23326</v>
      </c>
      <c r="N10354" t="s">
        <v>3703</v>
      </c>
      <c r="O10354" t="s">
        <v>22</v>
      </c>
      <c r="P10354">
        <v>94070</v>
      </c>
      <c r="Q10354">
        <v>3924</v>
      </c>
      <c r="R10354" t="s">
        <v>23</v>
      </c>
      <c r="S10354" s="1" t="s">
        <v>34218</v>
      </c>
    </row>
    <row r="10355" spans="1:19" x14ac:dyDescent="0.25">
      <c r="A10355">
        <v>101242464</v>
      </c>
      <c r="B10355" t="s">
        <v>465</v>
      </c>
      <c r="C10355" t="s">
        <v>367</v>
      </c>
      <c r="G10355" t="s">
        <v>23327</v>
      </c>
      <c r="H10355" t="s">
        <v>19151</v>
      </c>
      <c r="I10355" t="s">
        <v>178</v>
      </c>
      <c r="J10355">
        <v>44116</v>
      </c>
      <c r="K10355">
        <v>1760</v>
      </c>
      <c r="L10355" t="s">
        <v>23</v>
      </c>
      <c r="M10355" t="s">
        <v>23327</v>
      </c>
      <c r="N10355" t="s">
        <v>19151</v>
      </c>
      <c r="O10355" t="s">
        <v>178</v>
      </c>
      <c r="P10355">
        <v>44116</v>
      </c>
      <c r="Q10355">
        <v>1760</v>
      </c>
      <c r="R10355" t="s">
        <v>23</v>
      </c>
      <c r="S10355" s="1" t="s">
        <v>34218</v>
      </c>
    </row>
    <row r="10356" spans="1:19" x14ac:dyDescent="0.25">
      <c r="A10356">
        <v>100576514</v>
      </c>
      <c r="B10356" t="s">
        <v>23328</v>
      </c>
      <c r="C10356" t="s">
        <v>3878</v>
      </c>
      <c r="G10356" t="s">
        <v>23329</v>
      </c>
      <c r="H10356" t="s">
        <v>23330</v>
      </c>
      <c r="I10356" t="s">
        <v>191</v>
      </c>
      <c r="J10356">
        <v>4287</v>
      </c>
      <c r="K10356">
        <v>7623</v>
      </c>
      <c r="L10356" t="s">
        <v>23</v>
      </c>
      <c r="M10356" t="s">
        <v>23329</v>
      </c>
      <c r="N10356" t="s">
        <v>23330</v>
      </c>
      <c r="O10356" t="s">
        <v>191</v>
      </c>
      <c r="P10356">
        <v>4287</v>
      </c>
      <c r="Q10356">
        <v>7623</v>
      </c>
      <c r="R10356" t="s">
        <v>23</v>
      </c>
      <c r="S10356" s="1" t="s">
        <v>34218</v>
      </c>
    </row>
    <row r="10357" spans="1:19" x14ac:dyDescent="0.25">
      <c r="A10357">
        <v>101339747</v>
      </c>
      <c r="B10357" t="s">
        <v>23331</v>
      </c>
      <c r="C10357" t="s">
        <v>367</v>
      </c>
      <c r="G10357" t="s">
        <v>23332</v>
      </c>
      <c r="H10357" t="s">
        <v>21167</v>
      </c>
      <c r="I10357" t="s">
        <v>117</v>
      </c>
      <c r="J10357">
        <v>11791</v>
      </c>
      <c r="K10357">
        <v>3521</v>
      </c>
      <c r="L10357" t="s">
        <v>23</v>
      </c>
      <c r="M10357" t="s">
        <v>23332</v>
      </c>
      <c r="N10357" t="s">
        <v>21167</v>
      </c>
      <c r="O10357" t="s">
        <v>117</v>
      </c>
      <c r="P10357">
        <v>11791</v>
      </c>
      <c r="Q10357">
        <v>3521</v>
      </c>
      <c r="R10357" t="s">
        <v>23</v>
      </c>
      <c r="S10357" s="1" t="s">
        <v>34218</v>
      </c>
    </row>
    <row r="10358" spans="1:19" x14ac:dyDescent="0.25">
      <c r="A10358">
        <v>101221464</v>
      </c>
      <c r="B10358" t="s">
        <v>1528</v>
      </c>
      <c r="C10358" t="s">
        <v>110</v>
      </c>
      <c r="G10358" t="s">
        <v>23333</v>
      </c>
      <c r="H10358" t="s">
        <v>412</v>
      </c>
      <c r="I10358" t="s">
        <v>117</v>
      </c>
      <c r="J10358">
        <v>11201</v>
      </c>
      <c r="K10358">
        <v>1852</v>
      </c>
      <c r="L10358" t="s">
        <v>23</v>
      </c>
      <c r="M10358" t="s">
        <v>23333</v>
      </c>
      <c r="N10358" t="s">
        <v>412</v>
      </c>
      <c r="O10358" t="s">
        <v>117</v>
      </c>
      <c r="P10358">
        <v>11201</v>
      </c>
      <c r="Q10358">
        <v>1852</v>
      </c>
      <c r="R10358" t="s">
        <v>23</v>
      </c>
      <c r="S10358" s="1" t="s">
        <v>34218</v>
      </c>
    </row>
    <row r="10359" spans="1:19" x14ac:dyDescent="0.25">
      <c r="A10359">
        <v>101430590</v>
      </c>
      <c r="B10359" t="s">
        <v>16537</v>
      </c>
      <c r="C10359" t="s">
        <v>6520</v>
      </c>
      <c r="G10359" t="s">
        <v>23334</v>
      </c>
      <c r="H10359" t="s">
        <v>1229</v>
      </c>
      <c r="I10359" t="s">
        <v>38</v>
      </c>
      <c r="J10359">
        <v>78240</v>
      </c>
      <c r="K10359">
        <v>4415</v>
      </c>
      <c r="L10359" t="s">
        <v>23</v>
      </c>
      <c r="M10359" t="s">
        <v>23334</v>
      </c>
      <c r="N10359" t="s">
        <v>1229</v>
      </c>
      <c r="O10359" t="s">
        <v>38</v>
      </c>
      <c r="P10359">
        <v>78240</v>
      </c>
      <c r="Q10359">
        <v>4415</v>
      </c>
      <c r="R10359" t="s">
        <v>23</v>
      </c>
      <c r="S10359" s="1" t="s">
        <v>34218</v>
      </c>
    </row>
    <row r="10360" spans="1:19" x14ac:dyDescent="0.25">
      <c r="A10360">
        <v>101477960</v>
      </c>
      <c r="B10360" t="s">
        <v>4418</v>
      </c>
      <c r="C10360" t="s">
        <v>1452</v>
      </c>
      <c r="G10360" t="s">
        <v>23335</v>
      </c>
      <c r="H10360" t="s">
        <v>15129</v>
      </c>
      <c r="I10360" t="s">
        <v>100</v>
      </c>
      <c r="J10360">
        <v>53147</v>
      </c>
      <c r="K10360">
        <v>4818</v>
      </c>
      <c r="L10360" t="s">
        <v>23</v>
      </c>
      <c r="M10360" t="s">
        <v>23335</v>
      </c>
      <c r="N10360" t="s">
        <v>15129</v>
      </c>
      <c r="O10360" t="s">
        <v>100</v>
      </c>
      <c r="P10360">
        <v>53147</v>
      </c>
      <c r="Q10360">
        <v>4818</v>
      </c>
      <c r="R10360" t="s">
        <v>23</v>
      </c>
      <c r="S10360" s="1" t="s">
        <v>34218</v>
      </c>
    </row>
    <row r="10361" spans="1:19" x14ac:dyDescent="0.25">
      <c r="A10361">
        <v>101347567</v>
      </c>
      <c r="B10361" t="s">
        <v>20836</v>
      </c>
      <c r="C10361" t="s">
        <v>23336</v>
      </c>
      <c r="G10361" t="s">
        <v>20838</v>
      </c>
      <c r="H10361" t="s">
        <v>2391</v>
      </c>
      <c r="I10361" t="s">
        <v>43</v>
      </c>
      <c r="J10361">
        <v>97702</v>
      </c>
      <c r="K10361">
        <v>1985</v>
      </c>
      <c r="L10361" t="s">
        <v>23</v>
      </c>
      <c r="M10361" t="s">
        <v>20838</v>
      </c>
      <c r="N10361" t="s">
        <v>2391</v>
      </c>
      <c r="O10361" t="s">
        <v>43</v>
      </c>
      <c r="P10361">
        <v>97702</v>
      </c>
      <c r="Q10361">
        <v>1985</v>
      </c>
      <c r="R10361" t="s">
        <v>23</v>
      </c>
      <c r="S10361" s="1" t="s">
        <v>34218</v>
      </c>
    </row>
    <row r="10362" spans="1:19" x14ac:dyDescent="0.25">
      <c r="A10362">
        <v>101477751</v>
      </c>
      <c r="B10362" t="s">
        <v>23337</v>
      </c>
      <c r="C10362" t="s">
        <v>286</v>
      </c>
      <c r="G10362" t="s">
        <v>23338</v>
      </c>
      <c r="H10362" t="s">
        <v>1439</v>
      </c>
      <c r="I10362" t="s">
        <v>365</v>
      </c>
      <c r="J10362">
        <v>85735</v>
      </c>
      <c r="K10362">
        <v>8803</v>
      </c>
      <c r="L10362" t="s">
        <v>23</v>
      </c>
      <c r="M10362" t="s">
        <v>23338</v>
      </c>
      <c r="N10362" t="s">
        <v>1439</v>
      </c>
      <c r="O10362" t="s">
        <v>365</v>
      </c>
      <c r="P10362">
        <v>85735</v>
      </c>
      <c r="Q10362">
        <v>8803</v>
      </c>
      <c r="R10362" t="s">
        <v>23</v>
      </c>
      <c r="S10362" s="1" t="s">
        <v>34218</v>
      </c>
    </row>
    <row r="10363" spans="1:19" x14ac:dyDescent="0.25">
      <c r="A10363">
        <v>101480580</v>
      </c>
      <c r="B10363" t="s">
        <v>6084</v>
      </c>
      <c r="C10363" t="s">
        <v>10127</v>
      </c>
      <c r="G10363" t="s">
        <v>10128</v>
      </c>
      <c r="H10363" t="s">
        <v>10129</v>
      </c>
      <c r="I10363" t="s">
        <v>140</v>
      </c>
      <c r="J10363">
        <v>49286</v>
      </c>
      <c r="K10363">
        <v>9511</v>
      </c>
      <c r="L10363" t="s">
        <v>23</v>
      </c>
      <c r="M10363" t="s">
        <v>10128</v>
      </c>
      <c r="N10363" t="s">
        <v>10129</v>
      </c>
      <c r="O10363" t="s">
        <v>140</v>
      </c>
      <c r="P10363">
        <v>49286</v>
      </c>
      <c r="Q10363">
        <v>9511</v>
      </c>
      <c r="R10363" t="s">
        <v>23</v>
      </c>
      <c r="S10363" s="1" t="s">
        <v>34218</v>
      </c>
    </row>
    <row r="10364" spans="1:19" x14ac:dyDescent="0.25">
      <c r="A10364">
        <v>101453286</v>
      </c>
      <c r="B10364" t="s">
        <v>23339</v>
      </c>
      <c r="C10364" t="s">
        <v>498</v>
      </c>
      <c r="G10364" t="s">
        <v>23340</v>
      </c>
      <c r="H10364" t="s">
        <v>23341</v>
      </c>
      <c r="I10364" t="s">
        <v>33</v>
      </c>
      <c r="J10364">
        <v>16866</v>
      </c>
      <c r="L10364" t="s">
        <v>23</v>
      </c>
      <c r="M10364" t="s">
        <v>23340</v>
      </c>
      <c r="N10364" t="s">
        <v>23341</v>
      </c>
      <c r="O10364" t="s">
        <v>33</v>
      </c>
      <c r="P10364">
        <v>16866</v>
      </c>
      <c r="R10364" t="s">
        <v>23</v>
      </c>
      <c r="S10364" s="1" t="s">
        <v>34218</v>
      </c>
    </row>
    <row r="10365" spans="1:19" x14ac:dyDescent="0.25">
      <c r="A10365">
        <v>101474503</v>
      </c>
      <c r="B10365" t="s">
        <v>23342</v>
      </c>
      <c r="C10365" t="s">
        <v>699</v>
      </c>
      <c r="G10365" t="s">
        <v>23343</v>
      </c>
      <c r="H10365" t="s">
        <v>1405</v>
      </c>
      <c r="I10365" t="s">
        <v>187</v>
      </c>
      <c r="J10365">
        <v>55104</v>
      </c>
      <c r="K10365">
        <v>4923</v>
      </c>
      <c r="L10365" t="s">
        <v>23</v>
      </c>
      <c r="M10365" t="s">
        <v>23343</v>
      </c>
      <c r="N10365" t="s">
        <v>1405</v>
      </c>
      <c r="O10365" t="s">
        <v>187</v>
      </c>
      <c r="P10365">
        <v>55104</v>
      </c>
      <c r="Q10365">
        <v>4923</v>
      </c>
      <c r="R10365" t="s">
        <v>23</v>
      </c>
      <c r="S10365" s="1" t="s">
        <v>34218</v>
      </c>
    </row>
    <row r="10366" spans="1:19" x14ac:dyDescent="0.25">
      <c r="A10366">
        <v>101445540</v>
      </c>
      <c r="B10366" t="s">
        <v>465</v>
      </c>
      <c r="C10366" t="s">
        <v>535</v>
      </c>
      <c r="G10366" t="s">
        <v>23344</v>
      </c>
      <c r="H10366" t="s">
        <v>22832</v>
      </c>
      <c r="I10366" t="s">
        <v>52</v>
      </c>
      <c r="J10366">
        <v>32034</v>
      </c>
      <c r="K10366">
        <v>30</v>
      </c>
      <c r="L10366" t="s">
        <v>23</v>
      </c>
      <c r="M10366" t="s">
        <v>23344</v>
      </c>
      <c r="N10366" t="s">
        <v>22832</v>
      </c>
      <c r="O10366" t="s">
        <v>52</v>
      </c>
      <c r="P10366">
        <v>32034</v>
      </c>
      <c r="Q10366">
        <v>30</v>
      </c>
      <c r="R10366" t="s">
        <v>23</v>
      </c>
      <c r="S10366" s="1" t="s">
        <v>34218</v>
      </c>
    </row>
    <row r="10367" spans="1:19" x14ac:dyDescent="0.25">
      <c r="A10367">
        <v>101434520</v>
      </c>
      <c r="B10367" t="s">
        <v>23345</v>
      </c>
      <c r="C10367" t="s">
        <v>9349</v>
      </c>
      <c r="G10367" t="s">
        <v>23346</v>
      </c>
      <c r="H10367" t="s">
        <v>9482</v>
      </c>
      <c r="I10367" t="s">
        <v>241</v>
      </c>
      <c r="J10367">
        <v>66502</v>
      </c>
      <c r="L10367" t="s">
        <v>23</v>
      </c>
      <c r="M10367" t="s">
        <v>23346</v>
      </c>
      <c r="N10367" t="s">
        <v>9482</v>
      </c>
      <c r="O10367" t="s">
        <v>241</v>
      </c>
      <c r="P10367">
        <v>66502</v>
      </c>
      <c r="R10367" t="s">
        <v>23</v>
      </c>
      <c r="S10367" s="1" t="s">
        <v>34218</v>
      </c>
    </row>
    <row r="10368" spans="1:19" x14ac:dyDescent="0.25">
      <c r="A10368">
        <v>100993353</v>
      </c>
      <c r="B10368" t="s">
        <v>6279</v>
      </c>
      <c r="C10368" t="s">
        <v>483</v>
      </c>
      <c r="G10368" t="s">
        <v>23347</v>
      </c>
      <c r="H10368" t="s">
        <v>227</v>
      </c>
      <c r="I10368" t="s">
        <v>43</v>
      </c>
      <c r="J10368">
        <v>97202</v>
      </c>
      <c r="K10368">
        <v>3830</v>
      </c>
      <c r="L10368" t="s">
        <v>23</v>
      </c>
      <c r="M10368" t="s">
        <v>23347</v>
      </c>
      <c r="N10368" t="s">
        <v>227</v>
      </c>
      <c r="O10368" t="s">
        <v>43</v>
      </c>
      <c r="P10368">
        <v>97202</v>
      </c>
      <c r="Q10368">
        <v>3830</v>
      </c>
      <c r="R10368" t="s">
        <v>23</v>
      </c>
      <c r="S10368" s="1" t="s">
        <v>34218</v>
      </c>
    </row>
    <row r="10369" spans="1:19" x14ac:dyDescent="0.25">
      <c r="A10369">
        <v>101422500</v>
      </c>
      <c r="B10369" t="s">
        <v>23348</v>
      </c>
      <c r="C10369" t="s">
        <v>350</v>
      </c>
      <c r="G10369" t="s">
        <v>23349</v>
      </c>
      <c r="H10369" t="s">
        <v>227</v>
      </c>
      <c r="I10369" t="s">
        <v>43</v>
      </c>
      <c r="J10369">
        <v>97267</v>
      </c>
      <c r="K10369">
        <v>5247</v>
      </c>
      <c r="L10369" t="s">
        <v>23</v>
      </c>
      <c r="M10369" t="s">
        <v>23349</v>
      </c>
      <c r="N10369" t="s">
        <v>227</v>
      </c>
      <c r="O10369" t="s">
        <v>43</v>
      </c>
      <c r="P10369">
        <v>97267</v>
      </c>
      <c r="Q10369">
        <v>5247</v>
      </c>
      <c r="R10369" t="s">
        <v>23</v>
      </c>
      <c r="S10369" s="1" t="s">
        <v>34218</v>
      </c>
    </row>
    <row r="10370" spans="1:19" x14ac:dyDescent="0.25">
      <c r="A10370">
        <v>101465050</v>
      </c>
      <c r="B10370" t="s">
        <v>1757</v>
      </c>
      <c r="C10370" t="s">
        <v>13849</v>
      </c>
      <c r="G10370" t="s">
        <v>23350</v>
      </c>
      <c r="H10370" t="s">
        <v>27</v>
      </c>
      <c r="I10370" t="s">
        <v>28</v>
      </c>
      <c r="J10370">
        <v>30316</v>
      </c>
      <c r="K10370">
        <v>1833</v>
      </c>
      <c r="L10370" t="s">
        <v>23</v>
      </c>
      <c r="M10370" t="s">
        <v>23350</v>
      </c>
      <c r="N10370" t="s">
        <v>27</v>
      </c>
      <c r="O10370" t="s">
        <v>28</v>
      </c>
      <c r="P10370">
        <v>30316</v>
      </c>
      <c r="Q10370">
        <v>1833</v>
      </c>
      <c r="R10370" t="s">
        <v>23</v>
      </c>
      <c r="S10370" s="1" t="s">
        <v>34218</v>
      </c>
    </row>
    <row r="10371" spans="1:19" x14ac:dyDescent="0.25">
      <c r="A10371">
        <v>101414346</v>
      </c>
      <c r="B10371" t="s">
        <v>19180</v>
      </c>
      <c r="C10371" t="s">
        <v>2762</v>
      </c>
      <c r="G10371" t="s">
        <v>23351</v>
      </c>
      <c r="H10371" t="s">
        <v>653</v>
      </c>
      <c r="I10371" t="s">
        <v>117</v>
      </c>
      <c r="J10371">
        <v>10025</v>
      </c>
      <c r="K10371">
        <v>7363</v>
      </c>
      <c r="L10371" t="s">
        <v>23</v>
      </c>
      <c r="M10371" t="s">
        <v>23351</v>
      </c>
      <c r="N10371" t="s">
        <v>653</v>
      </c>
      <c r="O10371" t="s">
        <v>117</v>
      </c>
      <c r="P10371">
        <v>10025</v>
      </c>
      <c r="Q10371">
        <v>7363</v>
      </c>
      <c r="R10371" t="s">
        <v>23</v>
      </c>
      <c r="S10371" s="1" t="s">
        <v>34218</v>
      </c>
    </row>
    <row r="10372" spans="1:19" x14ac:dyDescent="0.25">
      <c r="A10372">
        <v>100956536</v>
      </c>
      <c r="B10372" t="s">
        <v>3559</v>
      </c>
      <c r="C10372" t="s">
        <v>1179</v>
      </c>
      <c r="G10372" t="s">
        <v>23352</v>
      </c>
      <c r="H10372" t="s">
        <v>3815</v>
      </c>
      <c r="I10372" t="s">
        <v>22</v>
      </c>
      <c r="J10372">
        <v>94960</v>
      </c>
      <c r="L10372" t="s">
        <v>23</v>
      </c>
      <c r="M10372" t="s">
        <v>23352</v>
      </c>
      <c r="N10372" t="s">
        <v>3815</v>
      </c>
      <c r="O10372" t="s">
        <v>22</v>
      </c>
      <c r="P10372">
        <v>94960</v>
      </c>
      <c r="R10372" t="s">
        <v>23</v>
      </c>
      <c r="S10372" s="1" t="s">
        <v>34218</v>
      </c>
    </row>
    <row r="10373" spans="1:19" x14ac:dyDescent="0.25">
      <c r="A10373">
        <v>101480598</v>
      </c>
      <c r="B10373" t="s">
        <v>10707</v>
      </c>
      <c r="C10373" t="s">
        <v>225</v>
      </c>
      <c r="G10373" t="s">
        <v>10709</v>
      </c>
      <c r="H10373" t="s">
        <v>10710</v>
      </c>
      <c r="I10373" t="s">
        <v>43</v>
      </c>
      <c r="J10373">
        <v>97523</v>
      </c>
      <c r="L10373" t="s">
        <v>23</v>
      </c>
      <c r="M10373" t="s">
        <v>10709</v>
      </c>
      <c r="N10373" t="s">
        <v>10710</v>
      </c>
      <c r="O10373" t="s">
        <v>43</v>
      </c>
      <c r="P10373">
        <v>97523</v>
      </c>
      <c r="R10373" t="s">
        <v>23</v>
      </c>
      <c r="S10373" s="1" t="s">
        <v>34218</v>
      </c>
    </row>
    <row r="10374" spans="1:19" x14ac:dyDescent="0.25">
      <c r="A10374">
        <v>101398598</v>
      </c>
      <c r="B10374" t="s">
        <v>23353</v>
      </c>
      <c r="C10374" t="s">
        <v>54</v>
      </c>
      <c r="G10374" t="s">
        <v>23354</v>
      </c>
      <c r="H10374" t="s">
        <v>23355</v>
      </c>
      <c r="I10374" t="s">
        <v>446</v>
      </c>
      <c r="J10374">
        <v>28460</v>
      </c>
      <c r="L10374" t="s">
        <v>23</v>
      </c>
      <c r="M10374" t="s">
        <v>23354</v>
      </c>
      <c r="N10374" t="s">
        <v>23355</v>
      </c>
      <c r="O10374" t="s">
        <v>446</v>
      </c>
      <c r="P10374">
        <v>28460</v>
      </c>
      <c r="R10374" t="s">
        <v>23</v>
      </c>
      <c r="S10374" s="1" t="s">
        <v>34218</v>
      </c>
    </row>
    <row r="10375" spans="1:19" x14ac:dyDescent="0.25">
      <c r="A10375">
        <v>101455098</v>
      </c>
      <c r="B10375" t="s">
        <v>5505</v>
      </c>
      <c r="C10375" t="s">
        <v>466</v>
      </c>
      <c r="G10375" t="s">
        <v>23356</v>
      </c>
      <c r="H10375" t="s">
        <v>15158</v>
      </c>
      <c r="I10375" t="s">
        <v>28</v>
      </c>
      <c r="J10375">
        <v>30605</v>
      </c>
      <c r="K10375">
        <v>1036</v>
      </c>
      <c r="L10375" t="s">
        <v>23</v>
      </c>
      <c r="M10375" t="s">
        <v>23356</v>
      </c>
      <c r="N10375" t="s">
        <v>15158</v>
      </c>
      <c r="O10375" t="s">
        <v>28</v>
      </c>
      <c r="P10375">
        <v>30605</v>
      </c>
      <c r="Q10375">
        <v>1036</v>
      </c>
      <c r="R10375" t="s">
        <v>23</v>
      </c>
      <c r="S10375" s="1" t="s">
        <v>34218</v>
      </c>
    </row>
    <row r="10376" spans="1:19" x14ac:dyDescent="0.25">
      <c r="A10376">
        <v>101471465</v>
      </c>
      <c r="B10376" t="s">
        <v>23357</v>
      </c>
      <c r="C10376" t="s">
        <v>1444</v>
      </c>
      <c r="G10376" t="s">
        <v>10437</v>
      </c>
      <c r="H10376" t="s">
        <v>733</v>
      </c>
      <c r="I10376" t="s">
        <v>52</v>
      </c>
      <c r="J10376">
        <v>33705</v>
      </c>
      <c r="K10376">
        <v>3275</v>
      </c>
      <c r="L10376" t="s">
        <v>23</v>
      </c>
      <c r="M10376" t="s">
        <v>10437</v>
      </c>
      <c r="N10376" t="s">
        <v>733</v>
      </c>
      <c r="O10376" t="s">
        <v>52</v>
      </c>
      <c r="P10376">
        <v>33705</v>
      </c>
      <c r="Q10376">
        <v>3275</v>
      </c>
      <c r="R10376" t="s">
        <v>23</v>
      </c>
      <c r="S10376" s="1" t="s">
        <v>34218</v>
      </c>
    </row>
    <row r="10377" spans="1:19" x14ac:dyDescent="0.25">
      <c r="A10377">
        <v>101038365</v>
      </c>
      <c r="B10377" t="s">
        <v>23358</v>
      </c>
      <c r="C10377" t="s">
        <v>158</v>
      </c>
      <c r="G10377" t="s">
        <v>23359</v>
      </c>
      <c r="H10377" t="s">
        <v>3466</v>
      </c>
      <c r="I10377" t="s">
        <v>255</v>
      </c>
      <c r="J10377">
        <v>23231</v>
      </c>
      <c r="K10377">
        <v>3731</v>
      </c>
      <c r="L10377" t="s">
        <v>23</v>
      </c>
      <c r="M10377" t="s">
        <v>23359</v>
      </c>
      <c r="N10377" t="s">
        <v>3466</v>
      </c>
      <c r="O10377" t="s">
        <v>255</v>
      </c>
      <c r="P10377">
        <v>23231</v>
      </c>
      <c r="Q10377">
        <v>3731</v>
      </c>
      <c r="R10377" t="s">
        <v>23</v>
      </c>
      <c r="S10377" s="1" t="s">
        <v>34218</v>
      </c>
    </row>
    <row r="10378" spans="1:19" x14ac:dyDescent="0.25">
      <c r="A10378">
        <v>101217370</v>
      </c>
      <c r="B10378" t="s">
        <v>23360</v>
      </c>
      <c r="C10378" t="s">
        <v>1602</v>
      </c>
      <c r="G10378" t="s">
        <v>23361</v>
      </c>
      <c r="H10378" t="s">
        <v>1405</v>
      </c>
      <c r="I10378" t="s">
        <v>187</v>
      </c>
      <c r="J10378">
        <v>55105</v>
      </c>
      <c r="K10378">
        <v>2040</v>
      </c>
      <c r="L10378" t="s">
        <v>23</v>
      </c>
      <c r="M10378" t="s">
        <v>23361</v>
      </c>
      <c r="N10378" t="s">
        <v>1405</v>
      </c>
      <c r="O10378" t="s">
        <v>187</v>
      </c>
      <c r="P10378">
        <v>55105</v>
      </c>
      <c r="Q10378">
        <v>2040</v>
      </c>
      <c r="R10378" t="s">
        <v>23</v>
      </c>
      <c r="S10378" s="1" t="s">
        <v>34218</v>
      </c>
    </row>
    <row r="10379" spans="1:19" x14ac:dyDescent="0.25">
      <c r="A10379">
        <v>100684082</v>
      </c>
      <c r="B10379" t="s">
        <v>7739</v>
      </c>
      <c r="C10379" t="s">
        <v>4969</v>
      </c>
      <c r="G10379" t="s">
        <v>23362</v>
      </c>
      <c r="H10379" t="s">
        <v>2749</v>
      </c>
      <c r="I10379" t="s">
        <v>191</v>
      </c>
      <c r="J10379">
        <v>4011</v>
      </c>
      <c r="K10379">
        <v>7540</v>
      </c>
      <c r="L10379" t="s">
        <v>23</v>
      </c>
      <c r="M10379" t="s">
        <v>23362</v>
      </c>
      <c r="N10379" t="s">
        <v>2749</v>
      </c>
      <c r="O10379" t="s">
        <v>191</v>
      </c>
      <c r="P10379">
        <v>4011</v>
      </c>
      <c r="Q10379">
        <v>7540</v>
      </c>
      <c r="R10379" t="s">
        <v>23</v>
      </c>
      <c r="S10379" s="1" t="s">
        <v>34218</v>
      </c>
    </row>
    <row r="10380" spans="1:19" x14ac:dyDescent="0.25">
      <c r="A10380">
        <v>101334957</v>
      </c>
      <c r="B10380" t="s">
        <v>4628</v>
      </c>
      <c r="C10380" t="s">
        <v>664</v>
      </c>
      <c r="G10380" t="s">
        <v>23363</v>
      </c>
      <c r="H10380" t="s">
        <v>393</v>
      </c>
      <c r="I10380" t="s">
        <v>71</v>
      </c>
      <c r="J10380">
        <v>80221</v>
      </c>
      <c r="K10380">
        <v>6420</v>
      </c>
      <c r="L10380" t="s">
        <v>23</v>
      </c>
      <c r="M10380" t="s">
        <v>23363</v>
      </c>
      <c r="N10380" t="s">
        <v>393</v>
      </c>
      <c r="O10380" t="s">
        <v>71</v>
      </c>
      <c r="P10380">
        <v>80221</v>
      </c>
      <c r="Q10380">
        <v>6420</v>
      </c>
      <c r="R10380" t="s">
        <v>23</v>
      </c>
      <c r="S10380" s="1" t="s">
        <v>34218</v>
      </c>
    </row>
    <row r="10381" spans="1:19" x14ac:dyDescent="0.25">
      <c r="A10381">
        <v>100586654</v>
      </c>
      <c r="B10381" t="s">
        <v>166</v>
      </c>
      <c r="C10381" t="s">
        <v>2232</v>
      </c>
      <c r="G10381" t="s">
        <v>23364</v>
      </c>
      <c r="H10381" t="s">
        <v>23365</v>
      </c>
      <c r="I10381" t="s">
        <v>914</v>
      </c>
      <c r="J10381">
        <v>37803</v>
      </c>
      <c r="K10381">
        <v>5934</v>
      </c>
      <c r="L10381" t="s">
        <v>23</v>
      </c>
      <c r="M10381" t="s">
        <v>23364</v>
      </c>
      <c r="N10381" t="s">
        <v>23365</v>
      </c>
      <c r="O10381" t="s">
        <v>914</v>
      </c>
      <c r="P10381">
        <v>37803</v>
      </c>
      <c r="Q10381">
        <v>5934</v>
      </c>
      <c r="R10381" t="s">
        <v>23</v>
      </c>
      <c r="S10381" s="1" t="s">
        <v>34218</v>
      </c>
    </row>
    <row r="10382" spans="1:19" x14ac:dyDescent="0.25">
      <c r="A10382">
        <v>101480618</v>
      </c>
      <c r="B10382" t="s">
        <v>23366</v>
      </c>
      <c r="C10382" t="s">
        <v>1050</v>
      </c>
      <c r="G10382" t="s">
        <v>23367</v>
      </c>
      <c r="H10382" t="s">
        <v>7013</v>
      </c>
      <c r="I10382" t="s">
        <v>33</v>
      </c>
      <c r="J10382">
        <v>18428</v>
      </c>
      <c r="K10382">
        <v>380</v>
      </c>
      <c r="L10382" t="s">
        <v>23</v>
      </c>
      <c r="M10382" t="s">
        <v>23367</v>
      </c>
      <c r="N10382" t="s">
        <v>7013</v>
      </c>
      <c r="O10382" t="s">
        <v>33</v>
      </c>
      <c r="P10382">
        <v>18428</v>
      </c>
      <c r="Q10382">
        <v>380</v>
      </c>
      <c r="R10382" t="s">
        <v>23</v>
      </c>
      <c r="S10382" s="1" t="s">
        <v>34218</v>
      </c>
    </row>
    <row r="10383" spans="1:19" x14ac:dyDescent="0.25">
      <c r="A10383">
        <v>101480624</v>
      </c>
      <c r="B10383" t="s">
        <v>7699</v>
      </c>
      <c r="C10383" t="s">
        <v>575</v>
      </c>
      <c r="G10383" t="s">
        <v>23368</v>
      </c>
      <c r="H10383" t="s">
        <v>12507</v>
      </c>
      <c r="I10383" t="s">
        <v>84</v>
      </c>
      <c r="J10383">
        <v>98908</v>
      </c>
      <c r="K10383">
        <v>1803</v>
      </c>
      <c r="L10383" t="s">
        <v>23</v>
      </c>
      <c r="M10383" t="s">
        <v>23368</v>
      </c>
      <c r="N10383" t="s">
        <v>12507</v>
      </c>
      <c r="O10383" t="s">
        <v>84</v>
      </c>
      <c r="P10383">
        <v>98908</v>
      </c>
      <c r="Q10383">
        <v>1803</v>
      </c>
      <c r="R10383" t="s">
        <v>23</v>
      </c>
      <c r="S10383" s="1" t="s">
        <v>34218</v>
      </c>
    </row>
    <row r="10384" spans="1:19" x14ac:dyDescent="0.25">
      <c r="A10384">
        <v>100881601</v>
      </c>
      <c r="B10384" t="s">
        <v>402</v>
      </c>
      <c r="C10384" t="s">
        <v>1205</v>
      </c>
      <c r="G10384" t="s">
        <v>23369</v>
      </c>
      <c r="H10384" t="s">
        <v>481</v>
      </c>
      <c r="I10384" t="s">
        <v>22</v>
      </c>
      <c r="J10384" t="s">
        <v>23370</v>
      </c>
      <c r="K10384">
        <v>2557</v>
      </c>
      <c r="L10384" t="s">
        <v>23</v>
      </c>
      <c r="M10384" t="s">
        <v>23369</v>
      </c>
      <c r="N10384" t="s">
        <v>481</v>
      </c>
      <c r="O10384" t="s">
        <v>22</v>
      </c>
      <c r="P10384" t="s">
        <v>23370</v>
      </c>
      <c r="Q10384">
        <v>2557</v>
      </c>
      <c r="R10384" t="s">
        <v>23</v>
      </c>
      <c r="S10384" s="1" t="s">
        <v>34218</v>
      </c>
    </row>
    <row r="10385" spans="1:19" x14ac:dyDescent="0.25">
      <c r="A10385">
        <v>101288026</v>
      </c>
      <c r="B10385" t="s">
        <v>23371</v>
      </c>
      <c r="C10385" t="s">
        <v>6128</v>
      </c>
      <c r="G10385" t="s">
        <v>23372</v>
      </c>
      <c r="H10385" t="s">
        <v>23373</v>
      </c>
      <c r="I10385" t="s">
        <v>117</v>
      </c>
      <c r="J10385" t="s">
        <v>23374</v>
      </c>
      <c r="K10385">
        <v>1919</v>
      </c>
      <c r="L10385" t="s">
        <v>23</v>
      </c>
      <c r="M10385" t="s">
        <v>23372</v>
      </c>
      <c r="N10385" t="s">
        <v>23373</v>
      </c>
      <c r="O10385" t="s">
        <v>117</v>
      </c>
      <c r="P10385" t="s">
        <v>23374</v>
      </c>
      <c r="Q10385">
        <v>1919</v>
      </c>
      <c r="R10385" t="s">
        <v>23</v>
      </c>
      <c r="S10385" s="1" t="s">
        <v>34218</v>
      </c>
    </row>
    <row r="10386" spans="1:19" x14ac:dyDescent="0.25">
      <c r="A10386">
        <v>101297928</v>
      </c>
      <c r="B10386" t="s">
        <v>1554</v>
      </c>
      <c r="C10386" t="s">
        <v>1467</v>
      </c>
      <c r="G10386" t="s">
        <v>23375</v>
      </c>
      <c r="H10386" t="s">
        <v>12348</v>
      </c>
      <c r="I10386" t="s">
        <v>365</v>
      </c>
      <c r="J10386">
        <v>85143</v>
      </c>
      <c r="L10386" t="s">
        <v>23</v>
      </c>
      <c r="M10386" t="s">
        <v>23375</v>
      </c>
      <c r="N10386" t="s">
        <v>12348</v>
      </c>
      <c r="O10386" t="s">
        <v>365</v>
      </c>
      <c r="P10386">
        <v>85143</v>
      </c>
      <c r="R10386" t="s">
        <v>23</v>
      </c>
      <c r="S10386" s="1" t="s">
        <v>34218</v>
      </c>
    </row>
    <row r="10387" spans="1:19" x14ac:dyDescent="0.25">
      <c r="A10387">
        <v>100515562</v>
      </c>
      <c r="B10387" t="s">
        <v>23376</v>
      </c>
      <c r="C10387" t="s">
        <v>1484</v>
      </c>
      <c r="G10387" t="s">
        <v>23377</v>
      </c>
      <c r="H10387" t="s">
        <v>23378</v>
      </c>
      <c r="I10387" t="s">
        <v>100</v>
      </c>
      <c r="J10387" t="s">
        <v>23379</v>
      </c>
      <c r="K10387">
        <v>1241</v>
      </c>
      <c r="L10387" t="s">
        <v>23</v>
      </c>
      <c r="M10387" t="s">
        <v>23377</v>
      </c>
      <c r="N10387" t="s">
        <v>23378</v>
      </c>
      <c r="O10387" t="s">
        <v>100</v>
      </c>
      <c r="P10387" t="s">
        <v>23379</v>
      </c>
      <c r="Q10387">
        <v>1241</v>
      </c>
      <c r="R10387" t="s">
        <v>23</v>
      </c>
      <c r="S10387" s="1" t="s">
        <v>34218</v>
      </c>
    </row>
    <row r="10388" spans="1:19" x14ac:dyDescent="0.25">
      <c r="A10388">
        <v>101236674</v>
      </c>
      <c r="B10388" t="s">
        <v>1175</v>
      </c>
      <c r="C10388" t="s">
        <v>23380</v>
      </c>
      <c r="G10388" t="s">
        <v>23381</v>
      </c>
      <c r="H10388" t="s">
        <v>2077</v>
      </c>
      <c r="I10388" t="s">
        <v>353</v>
      </c>
      <c r="J10388" t="s">
        <v>23382</v>
      </c>
      <c r="K10388">
        <v>4629</v>
      </c>
      <c r="L10388" t="s">
        <v>23</v>
      </c>
      <c r="M10388" t="s">
        <v>23381</v>
      </c>
      <c r="N10388" t="s">
        <v>2077</v>
      </c>
      <c r="O10388" t="s">
        <v>353</v>
      </c>
      <c r="P10388" t="s">
        <v>23382</v>
      </c>
      <c r="Q10388">
        <v>4629</v>
      </c>
      <c r="R10388" t="s">
        <v>23</v>
      </c>
      <c r="S10388" s="1" t="s">
        <v>34218</v>
      </c>
    </row>
    <row r="10389" spans="1:19" x14ac:dyDescent="0.25">
      <c r="A10389">
        <v>100650704</v>
      </c>
      <c r="B10389" t="s">
        <v>23383</v>
      </c>
      <c r="C10389" t="s">
        <v>773</v>
      </c>
      <c r="G10389" t="s">
        <v>23384</v>
      </c>
      <c r="H10389" t="s">
        <v>8692</v>
      </c>
      <c r="I10389" t="s">
        <v>28</v>
      </c>
      <c r="J10389" t="s">
        <v>23385</v>
      </c>
      <c r="K10389">
        <v>4038</v>
      </c>
      <c r="L10389" t="s">
        <v>23</v>
      </c>
      <c r="M10389" t="s">
        <v>23384</v>
      </c>
      <c r="N10389" t="s">
        <v>8692</v>
      </c>
      <c r="O10389" t="s">
        <v>28</v>
      </c>
      <c r="P10389" t="s">
        <v>23385</v>
      </c>
      <c r="Q10389">
        <v>4038</v>
      </c>
      <c r="R10389" t="s">
        <v>23</v>
      </c>
      <c r="S10389" s="1" t="s">
        <v>34218</v>
      </c>
    </row>
    <row r="10390" spans="1:19" x14ac:dyDescent="0.25">
      <c r="A10390">
        <v>100515958</v>
      </c>
      <c r="B10390" t="s">
        <v>1595</v>
      </c>
      <c r="C10390" t="s">
        <v>23386</v>
      </c>
      <c r="G10390" t="s">
        <v>23387</v>
      </c>
      <c r="H10390" t="s">
        <v>6430</v>
      </c>
      <c r="I10390" t="s">
        <v>135</v>
      </c>
      <c r="J10390" t="s">
        <v>23388</v>
      </c>
      <c r="K10390">
        <v>2103</v>
      </c>
      <c r="L10390" t="s">
        <v>23</v>
      </c>
      <c r="M10390" t="s">
        <v>23387</v>
      </c>
      <c r="N10390" t="s">
        <v>6430</v>
      </c>
      <c r="O10390" t="s">
        <v>135</v>
      </c>
      <c r="P10390" t="s">
        <v>23388</v>
      </c>
      <c r="Q10390">
        <v>2103</v>
      </c>
      <c r="R10390" t="s">
        <v>23</v>
      </c>
      <c r="S10390" s="1" t="s">
        <v>34218</v>
      </c>
    </row>
    <row r="10391" spans="1:19" x14ac:dyDescent="0.25">
      <c r="A10391">
        <v>101273960</v>
      </c>
      <c r="B10391" t="s">
        <v>3109</v>
      </c>
      <c r="C10391" t="s">
        <v>45</v>
      </c>
      <c r="G10391" t="s">
        <v>23389</v>
      </c>
      <c r="H10391" t="s">
        <v>23390</v>
      </c>
      <c r="I10391" t="s">
        <v>38</v>
      </c>
      <c r="J10391" t="s">
        <v>23391</v>
      </c>
      <c r="K10391">
        <v>4464</v>
      </c>
      <c r="L10391" t="s">
        <v>23</v>
      </c>
      <c r="M10391" t="s">
        <v>23389</v>
      </c>
      <c r="N10391" t="s">
        <v>23390</v>
      </c>
      <c r="O10391" t="s">
        <v>38</v>
      </c>
      <c r="P10391" t="s">
        <v>23391</v>
      </c>
      <c r="Q10391">
        <v>4464</v>
      </c>
      <c r="R10391" t="s">
        <v>23</v>
      </c>
      <c r="S10391" s="1" t="s">
        <v>34218</v>
      </c>
    </row>
    <row r="10392" spans="1:19" x14ac:dyDescent="0.25">
      <c r="A10392">
        <v>100650695</v>
      </c>
      <c r="B10392" t="s">
        <v>23392</v>
      </c>
      <c r="C10392" t="s">
        <v>571</v>
      </c>
      <c r="G10392" t="s">
        <v>23393</v>
      </c>
      <c r="H10392" t="s">
        <v>12456</v>
      </c>
      <c r="I10392" t="s">
        <v>178</v>
      </c>
      <c r="J10392" t="s">
        <v>23394</v>
      </c>
      <c r="K10392">
        <v>1904</v>
      </c>
      <c r="L10392" t="s">
        <v>23</v>
      </c>
      <c r="M10392" t="s">
        <v>23393</v>
      </c>
      <c r="N10392" t="s">
        <v>12456</v>
      </c>
      <c r="O10392" t="s">
        <v>178</v>
      </c>
      <c r="P10392" t="s">
        <v>23394</v>
      </c>
      <c r="Q10392">
        <v>1904</v>
      </c>
      <c r="R10392" t="s">
        <v>23</v>
      </c>
      <c r="S10392" s="1" t="s">
        <v>34218</v>
      </c>
    </row>
    <row r="10393" spans="1:19" x14ac:dyDescent="0.25">
      <c r="A10393">
        <v>101274679</v>
      </c>
      <c r="B10393" t="s">
        <v>17748</v>
      </c>
      <c r="C10393" t="s">
        <v>382</v>
      </c>
      <c r="G10393" t="s">
        <v>23395</v>
      </c>
      <c r="H10393" t="s">
        <v>23396</v>
      </c>
      <c r="I10393" t="s">
        <v>33</v>
      </c>
      <c r="J10393" t="s">
        <v>23397</v>
      </c>
      <c r="K10393">
        <v>1037</v>
      </c>
      <c r="L10393" t="s">
        <v>23</v>
      </c>
      <c r="M10393" t="s">
        <v>23395</v>
      </c>
      <c r="N10393" t="s">
        <v>23396</v>
      </c>
      <c r="O10393" t="s">
        <v>33</v>
      </c>
      <c r="P10393" t="s">
        <v>23397</v>
      </c>
      <c r="Q10393">
        <v>1037</v>
      </c>
      <c r="R10393" t="s">
        <v>23</v>
      </c>
      <c r="S10393" s="1" t="s">
        <v>34218</v>
      </c>
    </row>
    <row r="10394" spans="1:19" x14ac:dyDescent="0.25">
      <c r="A10394">
        <v>101295205</v>
      </c>
      <c r="B10394" t="s">
        <v>23398</v>
      </c>
      <c r="C10394" t="s">
        <v>4673</v>
      </c>
      <c r="G10394" t="s">
        <v>23399</v>
      </c>
      <c r="H10394" t="s">
        <v>4570</v>
      </c>
      <c r="I10394" t="s">
        <v>22</v>
      </c>
      <c r="J10394" t="s">
        <v>23400</v>
      </c>
      <c r="K10394">
        <v>3522</v>
      </c>
      <c r="L10394" t="s">
        <v>23</v>
      </c>
      <c r="M10394" t="s">
        <v>23399</v>
      </c>
      <c r="N10394" t="s">
        <v>4570</v>
      </c>
      <c r="O10394" t="s">
        <v>22</v>
      </c>
      <c r="P10394" t="s">
        <v>23400</v>
      </c>
      <c r="Q10394">
        <v>3522</v>
      </c>
      <c r="R10394" t="s">
        <v>23</v>
      </c>
      <c r="S10394" s="1" t="s">
        <v>34218</v>
      </c>
    </row>
    <row r="10395" spans="1:19" x14ac:dyDescent="0.25">
      <c r="A10395">
        <v>100515653</v>
      </c>
      <c r="B10395" t="s">
        <v>3629</v>
      </c>
      <c r="C10395" t="s">
        <v>23401</v>
      </c>
      <c r="G10395" t="s">
        <v>23402</v>
      </c>
      <c r="H10395" t="s">
        <v>23403</v>
      </c>
      <c r="I10395" t="s">
        <v>241</v>
      </c>
      <c r="J10395" t="s">
        <v>23404</v>
      </c>
      <c r="K10395">
        <v>4142</v>
      </c>
      <c r="L10395" t="s">
        <v>23</v>
      </c>
      <c r="M10395" t="s">
        <v>23402</v>
      </c>
      <c r="N10395" t="s">
        <v>23403</v>
      </c>
      <c r="O10395" t="s">
        <v>241</v>
      </c>
      <c r="P10395" t="s">
        <v>23404</v>
      </c>
      <c r="Q10395">
        <v>4142</v>
      </c>
      <c r="R10395" t="s">
        <v>23</v>
      </c>
      <c r="S10395" s="1" t="s">
        <v>34218</v>
      </c>
    </row>
    <row r="10396" spans="1:19" x14ac:dyDescent="0.25">
      <c r="A10396">
        <v>101126638</v>
      </c>
      <c r="B10396" t="s">
        <v>23405</v>
      </c>
      <c r="C10396" t="s">
        <v>8070</v>
      </c>
      <c r="G10396" t="s">
        <v>23406</v>
      </c>
      <c r="H10396" t="s">
        <v>3608</v>
      </c>
      <c r="I10396" t="s">
        <v>140</v>
      </c>
      <c r="J10396">
        <v>49423</v>
      </c>
      <c r="L10396" t="s">
        <v>23</v>
      </c>
      <c r="M10396" t="s">
        <v>23406</v>
      </c>
      <c r="N10396" t="s">
        <v>3608</v>
      </c>
      <c r="O10396" t="s">
        <v>140</v>
      </c>
      <c r="P10396">
        <v>49423</v>
      </c>
      <c r="R10396" t="s">
        <v>23</v>
      </c>
      <c r="S10396" s="1" t="s">
        <v>34218</v>
      </c>
    </row>
    <row r="10397" spans="1:19" x14ac:dyDescent="0.25">
      <c r="A10397">
        <v>101419515</v>
      </c>
      <c r="B10397" t="s">
        <v>23407</v>
      </c>
      <c r="C10397" t="s">
        <v>132</v>
      </c>
      <c r="G10397" t="s">
        <v>23408</v>
      </c>
      <c r="H10397" t="s">
        <v>23409</v>
      </c>
      <c r="I10397" t="s">
        <v>178</v>
      </c>
      <c r="J10397" t="s">
        <v>23410</v>
      </c>
      <c r="K10397">
        <v>3744</v>
      </c>
      <c r="L10397" t="s">
        <v>23</v>
      </c>
      <c r="M10397" t="s">
        <v>23408</v>
      </c>
      <c r="N10397" t="s">
        <v>23409</v>
      </c>
      <c r="O10397" t="s">
        <v>178</v>
      </c>
      <c r="P10397" t="s">
        <v>23410</v>
      </c>
      <c r="Q10397">
        <v>3744</v>
      </c>
      <c r="R10397" t="s">
        <v>23</v>
      </c>
      <c r="S10397" s="1" t="s">
        <v>34218</v>
      </c>
    </row>
    <row r="10398" spans="1:19" x14ac:dyDescent="0.25">
      <c r="A10398">
        <v>101158108</v>
      </c>
      <c r="B10398" t="s">
        <v>23411</v>
      </c>
      <c r="C10398" t="s">
        <v>23412</v>
      </c>
      <c r="D10398" t="s">
        <v>23413</v>
      </c>
      <c r="G10398" t="s">
        <v>23414</v>
      </c>
      <c r="H10398" t="s">
        <v>9840</v>
      </c>
      <c r="I10398" t="s">
        <v>117</v>
      </c>
      <c r="J10398" t="s">
        <v>23415</v>
      </c>
      <c r="K10398">
        <v>252</v>
      </c>
      <c r="L10398" t="s">
        <v>23</v>
      </c>
      <c r="M10398" t="s">
        <v>23414</v>
      </c>
      <c r="N10398" t="s">
        <v>9840</v>
      </c>
      <c r="O10398" t="s">
        <v>117</v>
      </c>
      <c r="P10398" t="s">
        <v>23415</v>
      </c>
      <c r="Q10398">
        <v>252</v>
      </c>
      <c r="R10398" t="s">
        <v>23</v>
      </c>
      <c r="S10398" s="1" t="s">
        <v>34218</v>
      </c>
    </row>
    <row r="10399" spans="1:19" x14ac:dyDescent="0.25">
      <c r="A10399">
        <v>101168308</v>
      </c>
      <c r="B10399" t="s">
        <v>3956</v>
      </c>
      <c r="C10399" t="s">
        <v>17641</v>
      </c>
      <c r="H10399" t="s">
        <v>4932</v>
      </c>
      <c r="I10399" t="s">
        <v>1482</v>
      </c>
      <c r="J10399">
        <v>29412</v>
      </c>
      <c r="L10399" t="s">
        <v>23</v>
      </c>
      <c r="N10399" t="s">
        <v>4932</v>
      </c>
      <c r="O10399" t="s">
        <v>1482</v>
      </c>
      <c r="P10399">
        <v>29412</v>
      </c>
      <c r="R10399" t="s">
        <v>23</v>
      </c>
      <c r="S10399" s="1" t="s">
        <v>34218</v>
      </c>
    </row>
    <row r="10400" spans="1:19" x14ac:dyDescent="0.25">
      <c r="A10400">
        <v>100973043</v>
      </c>
      <c r="B10400" t="s">
        <v>23416</v>
      </c>
      <c r="C10400" t="s">
        <v>128</v>
      </c>
      <c r="G10400" t="s">
        <v>23417</v>
      </c>
      <c r="H10400" t="s">
        <v>23418</v>
      </c>
      <c r="I10400" t="s">
        <v>100</v>
      </c>
      <c r="J10400" t="s">
        <v>23419</v>
      </c>
      <c r="K10400">
        <v>9799</v>
      </c>
      <c r="L10400" t="s">
        <v>23</v>
      </c>
      <c r="M10400" t="s">
        <v>23417</v>
      </c>
      <c r="N10400" t="s">
        <v>23418</v>
      </c>
      <c r="O10400" t="s">
        <v>100</v>
      </c>
      <c r="P10400" t="s">
        <v>23419</v>
      </c>
      <c r="Q10400">
        <v>9799</v>
      </c>
      <c r="R10400" t="s">
        <v>23</v>
      </c>
      <c r="S10400" s="1" t="s">
        <v>34218</v>
      </c>
    </row>
    <row r="10401" spans="1:19" x14ac:dyDescent="0.25">
      <c r="A10401">
        <v>100691687</v>
      </c>
      <c r="B10401" t="s">
        <v>7236</v>
      </c>
      <c r="C10401" t="s">
        <v>644</v>
      </c>
      <c r="G10401" t="s">
        <v>23420</v>
      </c>
      <c r="H10401" t="s">
        <v>23421</v>
      </c>
      <c r="I10401" t="s">
        <v>38</v>
      </c>
      <c r="J10401" t="s">
        <v>23422</v>
      </c>
      <c r="K10401">
        <v>1024</v>
      </c>
      <c r="L10401" t="s">
        <v>23</v>
      </c>
      <c r="M10401" t="s">
        <v>23420</v>
      </c>
      <c r="N10401" t="s">
        <v>23421</v>
      </c>
      <c r="O10401" t="s">
        <v>38</v>
      </c>
      <c r="P10401" t="s">
        <v>23422</v>
      </c>
      <c r="Q10401">
        <v>1024</v>
      </c>
      <c r="R10401" t="s">
        <v>23</v>
      </c>
      <c r="S10401" s="1" t="s">
        <v>34218</v>
      </c>
    </row>
    <row r="10402" spans="1:19" x14ac:dyDescent="0.25">
      <c r="A10402">
        <v>101421649</v>
      </c>
      <c r="B10402" t="s">
        <v>23423</v>
      </c>
      <c r="C10402" t="s">
        <v>90</v>
      </c>
      <c r="G10402" t="s">
        <v>23424</v>
      </c>
      <c r="H10402" t="s">
        <v>2031</v>
      </c>
      <c r="I10402" t="s">
        <v>22</v>
      </c>
      <c r="J10402" t="s">
        <v>23425</v>
      </c>
      <c r="K10402">
        <v>1106</v>
      </c>
      <c r="L10402" t="s">
        <v>23</v>
      </c>
      <c r="M10402" t="s">
        <v>23424</v>
      </c>
      <c r="N10402" t="s">
        <v>2031</v>
      </c>
      <c r="O10402" t="s">
        <v>22</v>
      </c>
      <c r="P10402" t="s">
        <v>23425</v>
      </c>
      <c r="Q10402">
        <v>1106</v>
      </c>
      <c r="R10402" t="s">
        <v>23</v>
      </c>
      <c r="S10402" s="1" t="s">
        <v>34218</v>
      </c>
    </row>
    <row r="10403" spans="1:19" x14ac:dyDescent="0.25">
      <c r="A10403">
        <v>101262012</v>
      </c>
      <c r="B10403" t="s">
        <v>23426</v>
      </c>
      <c r="C10403" t="s">
        <v>1327</v>
      </c>
      <c r="G10403" t="s">
        <v>23427</v>
      </c>
      <c r="H10403" t="s">
        <v>4781</v>
      </c>
      <c r="I10403" t="s">
        <v>84</v>
      </c>
      <c r="J10403" t="s">
        <v>23428</v>
      </c>
      <c r="K10403">
        <v>1437</v>
      </c>
      <c r="L10403" t="s">
        <v>23</v>
      </c>
      <c r="M10403" t="s">
        <v>23427</v>
      </c>
      <c r="N10403" t="s">
        <v>4781</v>
      </c>
      <c r="O10403" t="s">
        <v>84</v>
      </c>
      <c r="P10403" t="s">
        <v>23428</v>
      </c>
      <c r="Q10403">
        <v>1437</v>
      </c>
      <c r="R10403" t="s">
        <v>23</v>
      </c>
      <c r="S10403" s="1" t="s">
        <v>34218</v>
      </c>
    </row>
    <row r="10404" spans="1:19" x14ac:dyDescent="0.25">
      <c r="A10404">
        <v>100515708</v>
      </c>
      <c r="B10404" t="s">
        <v>2032</v>
      </c>
      <c r="C10404" t="s">
        <v>1818</v>
      </c>
      <c r="G10404" t="s">
        <v>23429</v>
      </c>
      <c r="H10404" t="s">
        <v>9011</v>
      </c>
      <c r="I10404" t="s">
        <v>639</v>
      </c>
      <c r="J10404" t="s">
        <v>23430</v>
      </c>
      <c r="K10404">
        <v>3295</v>
      </c>
      <c r="L10404" t="s">
        <v>23</v>
      </c>
      <c r="M10404" t="s">
        <v>23429</v>
      </c>
      <c r="N10404" t="s">
        <v>9011</v>
      </c>
      <c r="O10404" t="s">
        <v>639</v>
      </c>
      <c r="P10404" t="s">
        <v>23430</v>
      </c>
      <c r="Q10404">
        <v>3295</v>
      </c>
      <c r="R10404" t="s">
        <v>23</v>
      </c>
      <c r="S10404" s="1" t="s">
        <v>34218</v>
      </c>
    </row>
    <row r="10405" spans="1:19" x14ac:dyDescent="0.25">
      <c r="A10405">
        <v>101236823</v>
      </c>
      <c r="B10405" t="s">
        <v>23431</v>
      </c>
      <c r="C10405" t="s">
        <v>1731</v>
      </c>
      <c r="G10405" t="s">
        <v>23432</v>
      </c>
      <c r="H10405" t="s">
        <v>1405</v>
      </c>
      <c r="I10405" t="s">
        <v>187</v>
      </c>
      <c r="J10405" t="s">
        <v>23433</v>
      </c>
      <c r="K10405">
        <v>3469</v>
      </c>
      <c r="L10405" t="s">
        <v>23</v>
      </c>
      <c r="M10405" t="s">
        <v>23432</v>
      </c>
      <c r="N10405" t="s">
        <v>1405</v>
      </c>
      <c r="O10405" t="s">
        <v>187</v>
      </c>
      <c r="P10405" t="s">
        <v>23433</v>
      </c>
      <c r="Q10405">
        <v>3469</v>
      </c>
      <c r="R10405" t="s">
        <v>23</v>
      </c>
      <c r="S10405" s="1" t="s">
        <v>34218</v>
      </c>
    </row>
    <row r="10406" spans="1:19" x14ac:dyDescent="0.25">
      <c r="A10406">
        <v>101230561</v>
      </c>
      <c r="B10406" t="s">
        <v>23434</v>
      </c>
      <c r="C10406" t="s">
        <v>1506</v>
      </c>
      <c r="G10406" t="s">
        <v>23435</v>
      </c>
      <c r="H10406" t="s">
        <v>23436</v>
      </c>
      <c r="I10406" t="s">
        <v>984</v>
      </c>
      <c r="J10406">
        <v>96743</v>
      </c>
      <c r="K10406">
        <v>6416</v>
      </c>
      <c r="L10406" t="s">
        <v>23</v>
      </c>
      <c r="M10406" t="s">
        <v>23435</v>
      </c>
      <c r="N10406" t="s">
        <v>23436</v>
      </c>
      <c r="O10406" t="s">
        <v>984</v>
      </c>
      <c r="P10406">
        <v>96743</v>
      </c>
      <c r="Q10406">
        <v>6416</v>
      </c>
      <c r="R10406" t="s">
        <v>23</v>
      </c>
      <c r="S10406" s="1" t="s">
        <v>34218</v>
      </c>
    </row>
    <row r="10407" spans="1:19" x14ac:dyDescent="0.25">
      <c r="A10407">
        <v>101451569</v>
      </c>
      <c r="B10407" t="s">
        <v>23437</v>
      </c>
      <c r="C10407" t="s">
        <v>4318</v>
      </c>
      <c r="G10407" t="s">
        <v>23438</v>
      </c>
      <c r="H10407" t="s">
        <v>83</v>
      </c>
      <c r="I10407" t="s">
        <v>84</v>
      </c>
      <c r="J10407">
        <v>98221</v>
      </c>
      <c r="K10407">
        <v>4117</v>
      </c>
      <c r="L10407" t="s">
        <v>23</v>
      </c>
      <c r="M10407" t="s">
        <v>23438</v>
      </c>
      <c r="N10407" t="s">
        <v>83</v>
      </c>
      <c r="O10407" t="s">
        <v>84</v>
      </c>
      <c r="P10407">
        <v>98221</v>
      </c>
      <c r="Q10407">
        <v>4117</v>
      </c>
      <c r="R10407" t="s">
        <v>23</v>
      </c>
      <c r="S10407" s="1" t="s">
        <v>34218</v>
      </c>
    </row>
    <row r="10408" spans="1:19" x14ac:dyDescent="0.25">
      <c r="A10408">
        <v>101398235</v>
      </c>
      <c r="B10408" t="s">
        <v>23439</v>
      </c>
      <c r="C10408" t="s">
        <v>23440</v>
      </c>
      <c r="F10408" t="str">
        <f>"5044447161"</f>
        <v>5044447161</v>
      </c>
      <c r="G10408" t="s">
        <v>23441</v>
      </c>
      <c r="H10408" t="s">
        <v>23442</v>
      </c>
      <c r="I10408" t="s">
        <v>153</v>
      </c>
      <c r="J10408">
        <v>70056</v>
      </c>
      <c r="K10408">
        <v>7623</v>
      </c>
      <c r="L10408" t="s">
        <v>23</v>
      </c>
      <c r="M10408" t="s">
        <v>23441</v>
      </c>
      <c r="N10408" t="s">
        <v>23442</v>
      </c>
      <c r="O10408" t="s">
        <v>153</v>
      </c>
      <c r="P10408">
        <v>70056</v>
      </c>
      <c r="Q10408">
        <v>7623</v>
      </c>
      <c r="R10408" t="s">
        <v>23</v>
      </c>
      <c r="S10408" s="1" t="s">
        <v>34218</v>
      </c>
    </row>
    <row r="10409" spans="1:19" x14ac:dyDescent="0.25">
      <c r="A10409">
        <v>101466656</v>
      </c>
      <c r="B10409" t="s">
        <v>23443</v>
      </c>
      <c r="C10409" t="s">
        <v>1241</v>
      </c>
      <c r="G10409" t="s">
        <v>23444</v>
      </c>
      <c r="H10409" t="s">
        <v>1130</v>
      </c>
      <c r="I10409" t="s">
        <v>22</v>
      </c>
      <c r="J10409">
        <v>92399</v>
      </c>
      <c r="K10409">
        <v>4149</v>
      </c>
      <c r="L10409" t="s">
        <v>23</v>
      </c>
      <c r="M10409" t="s">
        <v>23444</v>
      </c>
      <c r="N10409" t="s">
        <v>1130</v>
      </c>
      <c r="O10409" t="s">
        <v>22</v>
      </c>
      <c r="P10409">
        <v>92399</v>
      </c>
      <c r="Q10409">
        <v>4149</v>
      </c>
      <c r="R10409" t="s">
        <v>23</v>
      </c>
      <c r="S10409" s="1" t="s">
        <v>34218</v>
      </c>
    </row>
    <row r="10410" spans="1:19" x14ac:dyDescent="0.25">
      <c r="A10410">
        <v>101472744</v>
      </c>
      <c r="B10410" t="s">
        <v>23445</v>
      </c>
      <c r="C10410" t="s">
        <v>30</v>
      </c>
      <c r="G10410" t="s">
        <v>23446</v>
      </c>
      <c r="H10410" t="s">
        <v>23447</v>
      </c>
      <c r="I10410" t="s">
        <v>236</v>
      </c>
      <c r="J10410">
        <v>2332</v>
      </c>
      <c r="K10410">
        <v>4335</v>
      </c>
      <c r="L10410" t="s">
        <v>23</v>
      </c>
      <c r="M10410" t="s">
        <v>23446</v>
      </c>
      <c r="N10410" t="s">
        <v>23447</v>
      </c>
      <c r="O10410" t="s">
        <v>236</v>
      </c>
      <c r="P10410">
        <v>2332</v>
      </c>
      <c r="Q10410">
        <v>4335</v>
      </c>
      <c r="R10410" t="s">
        <v>23</v>
      </c>
      <c r="S10410" s="1" t="s">
        <v>34218</v>
      </c>
    </row>
    <row r="10411" spans="1:19" x14ac:dyDescent="0.25">
      <c r="A10411">
        <v>101192672</v>
      </c>
      <c r="B10411" t="s">
        <v>12450</v>
      </c>
      <c r="C10411" t="s">
        <v>155</v>
      </c>
      <c r="G10411" t="s">
        <v>23448</v>
      </c>
      <c r="H10411" t="s">
        <v>22335</v>
      </c>
      <c r="I10411" t="s">
        <v>250</v>
      </c>
      <c r="J10411">
        <v>8080</v>
      </c>
      <c r="K10411">
        <v>2215</v>
      </c>
      <c r="L10411" t="s">
        <v>23</v>
      </c>
      <c r="M10411" t="s">
        <v>23448</v>
      </c>
      <c r="N10411" t="s">
        <v>22335</v>
      </c>
      <c r="O10411" t="s">
        <v>250</v>
      </c>
      <c r="P10411">
        <v>8080</v>
      </c>
      <c r="Q10411">
        <v>2215</v>
      </c>
      <c r="R10411" t="s">
        <v>23</v>
      </c>
      <c r="S10411" s="1" t="s">
        <v>34218</v>
      </c>
    </row>
    <row r="10412" spans="1:19" x14ac:dyDescent="0.25">
      <c r="A10412">
        <v>101454620</v>
      </c>
      <c r="B10412" t="s">
        <v>8669</v>
      </c>
      <c r="C10412" t="s">
        <v>16058</v>
      </c>
      <c r="G10412" t="s">
        <v>23449</v>
      </c>
      <c r="H10412" t="s">
        <v>2769</v>
      </c>
      <c r="I10412" t="s">
        <v>52</v>
      </c>
      <c r="J10412">
        <v>34114</v>
      </c>
      <c r="K10412">
        <v>2729</v>
      </c>
      <c r="L10412" t="s">
        <v>23</v>
      </c>
      <c r="M10412" t="s">
        <v>23449</v>
      </c>
      <c r="N10412" t="s">
        <v>2769</v>
      </c>
      <c r="O10412" t="s">
        <v>52</v>
      </c>
      <c r="P10412">
        <v>34114</v>
      </c>
      <c r="Q10412">
        <v>2729</v>
      </c>
      <c r="R10412" t="s">
        <v>23</v>
      </c>
      <c r="S10412" s="1" t="s">
        <v>34218</v>
      </c>
    </row>
    <row r="10413" spans="1:19" x14ac:dyDescent="0.25">
      <c r="A10413">
        <v>101308671</v>
      </c>
      <c r="B10413" t="s">
        <v>23450</v>
      </c>
      <c r="C10413" t="s">
        <v>23451</v>
      </c>
      <c r="G10413" t="s">
        <v>23452</v>
      </c>
      <c r="H10413" t="s">
        <v>688</v>
      </c>
      <c r="I10413" t="s">
        <v>187</v>
      </c>
      <c r="J10413">
        <v>55902</v>
      </c>
      <c r="K10413">
        <v>6324</v>
      </c>
      <c r="L10413" t="s">
        <v>23</v>
      </c>
      <c r="M10413" t="s">
        <v>23452</v>
      </c>
      <c r="N10413" t="s">
        <v>688</v>
      </c>
      <c r="O10413" t="s">
        <v>187</v>
      </c>
      <c r="P10413">
        <v>55902</v>
      </c>
      <c r="Q10413">
        <v>6324</v>
      </c>
      <c r="R10413" t="s">
        <v>23</v>
      </c>
      <c r="S10413" s="1" t="s">
        <v>34218</v>
      </c>
    </row>
    <row r="10414" spans="1:19" x14ac:dyDescent="0.25">
      <c r="A10414">
        <v>101294443</v>
      </c>
      <c r="B10414" t="s">
        <v>4696</v>
      </c>
      <c r="C10414" t="s">
        <v>23453</v>
      </c>
      <c r="G10414" t="s">
        <v>23454</v>
      </c>
      <c r="H10414" t="s">
        <v>5745</v>
      </c>
      <c r="I10414" t="s">
        <v>236</v>
      </c>
      <c r="J10414">
        <v>2453</v>
      </c>
      <c r="K10414">
        <v>7068</v>
      </c>
      <c r="L10414" t="s">
        <v>23</v>
      </c>
      <c r="M10414" t="s">
        <v>23454</v>
      </c>
      <c r="N10414" t="s">
        <v>5745</v>
      </c>
      <c r="O10414" t="s">
        <v>236</v>
      </c>
      <c r="P10414">
        <v>2453</v>
      </c>
      <c r="Q10414">
        <v>7068</v>
      </c>
      <c r="R10414" t="s">
        <v>23</v>
      </c>
      <c r="S10414" s="1" t="s">
        <v>34218</v>
      </c>
    </row>
    <row r="10415" spans="1:19" x14ac:dyDescent="0.25">
      <c r="A10415">
        <v>101469781</v>
      </c>
      <c r="B10415" t="s">
        <v>918</v>
      </c>
      <c r="C10415" t="s">
        <v>2283</v>
      </c>
      <c r="G10415" t="s">
        <v>23455</v>
      </c>
      <c r="H10415" t="s">
        <v>299</v>
      </c>
      <c r="I10415" t="s">
        <v>22</v>
      </c>
      <c r="J10415">
        <v>90027</v>
      </c>
      <c r="K10415">
        <v>3238</v>
      </c>
      <c r="L10415" t="s">
        <v>23</v>
      </c>
      <c r="M10415" t="s">
        <v>23455</v>
      </c>
      <c r="N10415" t="s">
        <v>299</v>
      </c>
      <c r="O10415" t="s">
        <v>22</v>
      </c>
      <c r="P10415">
        <v>90027</v>
      </c>
      <c r="Q10415">
        <v>3238</v>
      </c>
      <c r="R10415" t="s">
        <v>23</v>
      </c>
      <c r="S10415" s="1" t="s">
        <v>34218</v>
      </c>
    </row>
    <row r="10416" spans="1:19" x14ac:dyDescent="0.25">
      <c r="A10416">
        <v>101467737</v>
      </c>
      <c r="B10416" t="s">
        <v>5180</v>
      </c>
      <c r="C10416" t="s">
        <v>45</v>
      </c>
      <c r="G10416" t="s">
        <v>23456</v>
      </c>
      <c r="H10416" t="s">
        <v>3859</v>
      </c>
      <c r="I10416" t="s">
        <v>161</v>
      </c>
      <c r="J10416">
        <v>6002</v>
      </c>
      <c r="K10416">
        <v>2229</v>
      </c>
      <c r="L10416" t="s">
        <v>23</v>
      </c>
      <c r="M10416" t="s">
        <v>23456</v>
      </c>
      <c r="N10416" t="s">
        <v>3859</v>
      </c>
      <c r="O10416" t="s">
        <v>161</v>
      </c>
      <c r="P10416">
        <v>6002</v>
      </c>
      <c r="Q10416">
        <v>2229</v>
      </c>
      <c r="R10416" t="s">
        <v>23</v>
      </c>
      <c r="S10416" s="1" t="s">
        <v>34218</v>
      </c>
    </row>
    <row r="10417" spans="1:19" x14ac:dyDescent="0.25">
      <c r="A10417">
        <v>101447121</v>
      </c>
      <c r="B10417" t="s">
        <v>5196</v>
      </c>
      <c r="C10417" t="s">
        <v>30</v>
      </c>
      <c r="G10417" t="s">
        <v>23457</v>
      </c>
      <c r="H10417" t="s">
        <v>653</v>
      </c>
      <c r="I10417" t="s">
        <v>117</v>
      </c>
      <c r="J10417">
        <v>10010</v>
      </c>
      <c r="K10417">
        <v>1823</v>
      </c>
      <c r="L10417" t="s">
        <v>23</v>
      </c>
      <c r="M10417" t="s">
        <v>23457</v>
      </c>
      <c r="N10417" t="s">
        <v>653</v>
      </c>
      <c r="O10417" t="s">
        <v>117</v>
      </c>
      <c r="P10417">
        <v>10010</v>
      </c>
      <c r="Q10417">
        <v>1823</v>
      </c>
      <c r="R10417" t="s">
        <v>23</v>
      </c>
      <c r="S10417" s="1" t="s">
        <v>34218</v>
      </c>
    </row>
    <row r="10418" spans="1:19" x14ac:dyDescent="0.25">
      <c r="A10418">
        <v>101122762</v>
      </c>
      <c r="B10418" t="s">
        <v>1463</v>
      </c>
      <c r="C10418" t="s">
        <v>1588</v>
      </c>
      <c r="G10418" t="s">
        <v>23458</v>
      </c>
      <c r="H10418" t="s">
        <v>17512</v>
      </c>
      <c r="I10418" t="s">
        <v>38</v>
      </c>
      <c r="J10418">
        <v>78620</v>
      </c>
      <c r="K10418">
        <v>4400</v>
      </c>
      <c r="L10418" t="s">
        <v>23</v>
      </c>
      <c r="M10418" t="s">
        <v>23458</v>
      </c>
      <c r="N10418" t="s">
        <v>17512</v>
      </c>
      <c r="O10418" t="s">
        <v>38</v>
      </c>
      <c r="P10418">
        <v>78620</v>
      </c>
      <c r="Q10418">
        <v>4400</v>
      </c>
      <c r="R10418" t="s">
        <v>23</v>
      </c>
      <c r="S10418" s="1" t="s">
        <v>34218</v>
      </c>
    </row>
    <row r="10419" spans="1:19" x14ac:dyDescent="0.25">
      <c r="A10419">
        <v>101466885</v>
      </c>
      <c r="B10419" t="s">
        <v>2407</v>
      </c>
      <c r="C10419" t="s">
        <v>1416</v>
      </c>
      <c r="G10419" t="s">
        <v>23459</v>
      </c>
      <c r="H10419" t="s">
        <v>369</v>
      </c>
      <c r="I10419" t="s">
        <v>22</v>
      </c>
      <c r="J10419">
        <v>95648</v>
      </c>
      <c r="K10419">
        <v>7817</v>
      </c>
      <c r="L10419" t="s">
        <v>23</v>
      </c>
      <c r="M10419" t="s">
        <v>23459</v>
      </c>
      <c r="N10419" t="s">
        <v>369</v>
      </c>
      <c r="O10419" t="s">
        <v>22</v>
      </c>
      <c r="P10419">
        <v>95648</v>
      </c>
      <c r="Q10419">
        <v>7817</v>
      </c>
      <c r="R10419" t="s">
        <v>23</v>
      </c>
      <c r="S10419" s="1" t="s">
        <v>34218</v>
      </c>
    </row>
    <row r="10420" spans="1:19" x14ac:dyDescent="0.25">
      <c r="A10420">
        <v>101039113</v>
      </c>
      <c r="B10420" t="s">
        <v>497</v>
      </c>
      <c r="C10420" t="s">
        <v>1426</v>
      </c>
      <c r="G10420" t="s">
        <v>23460</v>
      </c>
      <c r="H10420" t="s">
        <v>23461</v>
      </c>
      <c r="I10420" t="s">
        <v>1097</v>
      </c>
      <c r="J10420">
        <v>42635</v>
      </c>
      <c r="K10420">
        <v>9239</v>
      </c>
      <c r="L10420" t="s">
        <v>23</v>
      </c>
      <c r="M10420" t="s">
        <v>23460</v>
      </c>
      <c r="N10420" t="s">
        <v>23461</v>
      </c>
      <c r="O10420" t="s">
        <v>1097</v>
      </c>
      <c r="P10420">
        <v>42635</v>
      </c>
      <c r="Q10420">
        <v>9239</v>
      </c>
      <c r="R10420" t="s">
        <v>23</v>
      </c>
      <c r="S10420" s="1" t="s">
        <v>34218</v>
      </c>
    </row>
    <row r="10421" spans="1:19" x14ac:dyDescent="0.25">
      <c r="A10421">
        <v>101465795</v>
      </c>
      <c r="B10421" t="s">
        <v>23462</v>
      </c>
      <c r="C10421" t="s">
        <v>1161</v>
      </c>
      <c r="G10421" t="s">
        <v>23463</v>
      </c>
      <c r="H10421" t="s">
        <v>2086</v>
      </c>
      <c r="I10421" t="s">
        <v>178</v>
      </c>
      <c r="J10421">
        <v>45223</v>
      </c>
      <c r="K10421">
        <v>2102</v>
      </c>
      <c r="L10421" t="s">
        <v>23</v>
      </c>
      <c r="M10421" t="s">
        <v>23463</v>
      </c>
      <c r="N10421" t="s">
        <v>2086</v>
      </c>
      <c r="O10421" t="s">
        <v>178</v>
      </c>
      <c r="P10421">
        <v>45223</v>
      </c>
      <c r="Q10421">
        <v>2102</v>
      </c>
      <c r="R10421" t="s">
        <v>23</v>
      </c>
      <c r="S10421" s="1" t="s">
        <v>34218</v>
      </c>
    </row>
    <row r="10422" spans="1:19" x14ac:dyDescent="0.25">
      <c r="A10422">
        <v>101470403</v>
      </c>
      <c r="B10422" t="s">
        <v>13278</v>
      </c>
      <c r="C10422" t="s">
        <v>286</v>
      </c>
      <c r="G10422" t="s">
        <v>23464</v>
      </c>
      <c r="H10422" t="s">
        <v>2335</v>
      </c>
      <c r="I10422" t="s">
        <v>22</v>
      </c>
      <c r="J10422">
        <v>92617</v>
      </c>
      <c r="K10422">
        <v>4071</v>
      </c>
      <c r="L10422" t="s">
        <v>23</v>
      </c>
      <c r="M10422" t="s">
        <v>23464</v>
      </c>
      <c r="N10422" t="s">
        <v>2335</v>
      </c>
      <c r="O10422" t="s">
        <v>22</v>
      </c>
      <c r="P10422">
        <v>92617</v>
      </c>
      <c r="Q10422">
        <v>4071</v>
      </c>
      <c r="R10422" t="s">
        <v>23</v>
      </c>
      <c r="S10422" s="1" t="s">
        <v>34218</v>
      </c>
    </row>
    <row r="10423" spans="1:19" x14ac:dyDescent="0.25">
      <c r="A10423">
        <v>101481204</v>
      </c>
      <c r="B10423" t="s">
        <v>23465</v>
      </c>
      <c r="C10423" t="s">
        <v>1036</v>
      </c>
      <c r="G10423" t="s">
        <v>23466</v>
      </c>
      <c r="H10423" t="s">
        <v>2449</v>
      </c>
      <c r="I10423" t="s">
        <v>71</v>
      </c>
      <c r="J10423">
        <v>80122</v>
      </c>
      <c r="K10423">
        <v>2413</v>
      </c>
      <c r="L10423" t="s">
        <v>23</v>
      </c>
      <c r="M10423" t="s">
        <v>23466</v>
      </c>
      <c r="N10423" t="s">
        <v>2449</v>
      </c>
      <c r="O10423" t="s">
        <v>71</v>
      </c>
      <c r="P10423">
        <v>80122</v>
      </c>
      <c r="Q10423">
        <v>2413</v>
      </c>
      <c r="R10423" t="s">
        <v>23</v>
      </c>
      <c r="S10423" s="1" t="s">
        <v>34218</v>
      </c>
    </row>
    <row r="10424" spans="1:19" x14ac:dyDescent="0.25">
      <c r="A10424">
        <v>101474975</v>
      </c>
      <c r="B10424" t="s">
        <v>6629</v>
      </c>
      <c r="C10424" t="s">
        <v>17756</v>
      </c>
      <c r="G10424" t="s">
        <v>23467</v>
      </c>
      <c r="H10424" t="s">
        <v>3666</v>
      </c>
      <c r="I10424" t="s">
        <v>1482</v>
      </c>
      <c r="J10424">
        <v>29803</v>
      </c>
      <c r="K10424">
        <v>5306</v>
      </c>
      <c r="L10424" t="s">
        <v>23</v>
      </c>
      <c r="M10424" t="s">
        <v>23467</v>
      </c>
      <c r="N10424" t="s">
        <v>3666</v>
      </c>
      <c r="O10424" t="s">
        <v>1482</v>
      </c>
      <c r="P10424">
        <v>29803</v>
      </c>
      <c r="Q10424">
        <v>5306</v>
      </c>
      <c r="R10424" t="s">
        <v>23</v>
      </c>
      <c r="S10424" s="1" t="s">
        <v>34218</v>
      </c>
    </row>
    <row r="10425" spans="1:19" x14ac:dyDescent="0.25">
      <c r="A10425">
        <v>101475124</v>
      </c>
      <c r="B10425" t="s">
        <v>8656</v>
      </c>
      <c r="C10425" t="s">
        <v>911</v>
      </c>
      <c r="G10425" t="s">
        <v>23468</v>
      </c>
      <c r="H10425" t="s">
        <v>5940</v>
      </c>
      <c r="I10425" t="s">
        <v>52</v>
      </c>
      <c r="J10425">
        <v>32605</v>
      </c>
      <c r="K10425">
        <v>2553</v>
      </c>
      <c r="L10425" t="s">
        <v>23</v>
      </c>
      <c r="M10425" t="s">
        <v>23468</v>
      </c>
      <c r="N10425" t="s">
        <v>5940</v>
      </c>
      <c r="O10425" t="s">
        <v>52</v>
      </c>
      <c r="P10425">
        <v>32605</v>
      </c>
      <c r="Q10425">
        <v>2553</v>
      </c>
      <c r="R10425" t="s">
        <v>23</v>
      </c>
      <c r="S10425" s="1" t="s">
        <v>34218</v>
      </c>
    </row>
    <row r="10426" spans="1:19" x14ac:dyDescent="0.25">
      <c r="A10426">
        <v>101475209</v>
      </c>
      <c r="B10426" t="s">
        <v>23469</v>
      </c>
      <c r="C10426" t="s">
        <v>102</v>
      </c>
      <c r="G10426" t="s">
        <v>23470</v>
      </c>
      <c r="H10426" t="s">
        <v>23471</v>
      </c>
      <c r="I10426" t="s">
        <v>446</v>
      </c>
      <c r="J10426">
        <v>28469</v>
      </c>
      <c r="K10426">
        <v>5865</v>
      </c>
      <c r="L10426" t="s">
        <v>23</v>
      </c>
      <c r="M10426" t="s">
        <v>23470</v>
      </c>
      <c r="N10426" t="s">
        <v>23471</v>
      </c>
      <c r="O10426" t="s">
        <v>446</v>
      </c>
      <c r="P10426">
        <v>28469</v>
      </c>
      <c r="Q10426">
        <v>5865</v>
      </c>
      <c r="R10426" t="s">
        <v>23</v>
      </c>
      <c r="S10426" s="1" t="s">
        <v>34218</v>
      </c>
    </row>
    <row r="10427" spans="1:19" x14ac:dyDescent="0.25">
      <c r="A10427">
        <v>101475343</v>
      </c>
      <c r="B10427" t="s">
        <v>1622</v>
      </c>
      <c r="C10427" t="s">
        <v>582</v>
      </c>
      <c r="G10427" t="s">
        <v>23472</v>
      </c>
      <c r="H10427" t="s">
        <v>11708</v>
      </c>
      <c r="I10427" t="s">
        <v>255</v>
      </c>
      <c r="J10427">
        <v>22810</v>
      </c>
      <c r="K10427">
        <v>2010</v>
      </c>
      <c r="L10427" t="s">
        <v>23</v>
      </c>
      <c r="M10427" t="s">
        <v>23472</v>
      </c>
      <c r="N10427" t="s">
        <v>11708</v>
      </c>
      <c r="O10427" t="s">
        <v>255</v>
      </c>
      <c r="P10427">
        <v>22810</v>
      </c>
      <c r="Q10427">
        <v>2010</v>
      </c>
      <c r="R10427" t="s">
        <v>23</v>
      </c>
      <c r="S10427" s="1" t="s">
        <v>34218</v>
      </c>
    </row>
    <row r="10428" spans="1:19" x14ac:dyDescent="0.25">
      <c r="A10428">
        <v>101475577</v>
      </c>
      <c r="B10428" t="s">
        <v>15405</v>
      </c>
      <c r="C10428" t="s">
        <v>535</v>
      </c>
      <c r="G10428" t="s">
        <v>23473</v>
      </c>
      <c r="H10428" t="s">
        <v>6766</v>
      </c>
      <c r="I10428" t="s">
        <v>148</v>
      </c>
      <c r="J10428">
        <v>21133</v>
      </c>
      <c r="K10428">
        <v>3425</v>
      </c>
      <c r="L10428" t="s">
        <v>23</v>
      </c>
      <c r="M10428" t="s">
        <v>23473</v>
      </c>
      <c r="N10428" t="s">
        <v>6766</v>
      </c>
      <c r="O10428" t="s">
        <v>148</v>
      </c>
      <c r="P10428">
        <v>21133</v>
      </c>
      <c r="Q10428">
        <v>3425</v>
      </c>
      <c r="R10428" t="s">
        <v>23</v>
      </c>
      <c r="S10428" s="1" t="s">
        <v>34218</v>
      </c>
    </row>
    <row r="10429" spans="1:19" x14ac:dyDescent="0.25">
      <c r="A10429">
        <v>101475594</v>
      </c>
      <c r="B10429" t="s">
        <v>23474</v>
      </c>
      <c r="C10429" t="s">
        <v>7799</v>
      </c>
      <c r="G10429" t="s">
        <v>23475</v>
      </c>
      <c r="H10429" t="s">
        <v>3668</v>
      </c>
      <c r="I10429" t="s">
        <v>148</v>
      </c>
      <c r="J10429">
        <v>21218</v>
      </c>
      <c r="K10429">
        <v>3529</v>
      </c>
      <c r="L10429" t="s">
        <v>23</v>
      </c>
      <c r="M10429" t="s">
        <v>23475</v>
      </c>
      <c r="N10429" t="s">
        <v>3668</v>
      </c>
      <c r="O10429" t="s">
        <v>148</v>
      </c>
      <c r="P10429">
        <v>21218</v>
      </c>
      <c r="Q10429">
        <v>3529</v>
      </c>
      <c r="R10429" t="s">
        <v>23</v>
      </c>
      <c r="S10429" s="1" t="s">
        <v>34218</v>
      </c>
    </row>
    <row r="10430" spans="1:19" x14ac:dyDescent="0.25">
      <c r="A10430">
        <v>101475759</v>
      </c>
      <c r="B10430" t="s">
        <v>23476</v>
      </c>
      <c r="C10430" t="s">
        <v>699</v>
      </c>
      <c r="G10430" t="s">
        <v>23477</v>
      </c>
      <c r="H10430" t="s">
        <v>23478</v>
      </c>
      <c r="I10430" t="s">
        <v>33</v>
      </c>
      <c r="J10430">
        <v>18704</v>
      </c>
      <c r="K10430">
        <v>4327</v>
      </c>
      <c r="L10430" t="s">
        <v>23</v>
      </c>
      <c r="M10430" t="s">
        <v>23477</v>
      </c>
      <c r="N10430" t="s">
        <v>23478</v>
      </c>
      <c r="O10430" t="s">
        <v>33</v>
      </c>
      <c r="P10430">
        <v>18704</v>
      </c>
      <c r="Q10430">
        <v>4327</v>
      </c>
      <c r="R10430" t="s">
        <v>23</v>
      </c>
      <c r="S10430" s="1" t="s">
        <v>34218</v>
      </c>
    </row>
    <row r="10431" spans="1:19" x14ac:dyDescent="0.25">
      <c r="A10431">
        <v>101475778</v>
      </c>
      <c r="B10431" t="s">
        <v>23479</v>
      </c>
      <c r="C10431" t="s">
        <v>1327</v>
      </c>
      <c r="G10431" t="s">
        <v>23480</v>
      </c>
      <c r="H10431" t="s">
        <v>23481</v>
      </c>
      <c r="I10431" t="s">
        <v>33</v>
      </c>
      <c r="J10431">
        <v>19025</v>
      </c>
      <c r="K10431">
        <v>1220</v>
      </c>
      <c r="L10431" t="s">
        <v>23</v>
      </c>
      <c r="M10431" t="s">
        <v>23480</v>
      </c>
      <c r="N10431" t="s">
        <v>23481</v>
      </c>
      <c r="O10431" t="s">
        <v>33</v>
      </c>
      <c r="P10431">
        <v>19025</v>
      </c>
      <c r="Q10431">
        <v>1220</v>
      </c>
      <c r="R10431" t="s">
        <v>23</v>
      </c>
      <c r="S10431" s="1" t="s">
        <v>34218</v>
      </c>
    </row>
    <row r="10432" spans="1:19" x14ac:dyDescent="0.25">
      <c r="A10432">
        <v>101475812</v>
      </c>
      <c r="B10432" t="s">
        <v>23482</v>
      </c>
      <c r="C10432" t="s">
        <v>25</v>
      </c>
      <c r="G10432" t="s">
        <v>23483</v>
      </c>
      <c r="H10432" t="s">
        <v>573</v>
      </c>
      <c r="I10432" t="s">
        <v>33</v>
      </c>
      <c r="J10432">
        <v>19111</v>
      </c>
      <c r="K10432">
        <v>1931</v>
      </c>
      <c r="L10432" t="s">
        <v>23</v>
      </c>
      <c r="M10432" t="s">
        <v>23483</v>
      </c>
      <c r="N10432" t="s">
        <v>573</v>
      </c>
      <c r="O10432" t="s">
        <v>33</v>
      </c>
      <c r="P10432">
        <v>19111</v>
      </c>
      <c r="Q10432">
        <v>1931</v>
      </c>
      <c r="R10432" t="s">
        <v>23</v>
      </c>
      <c r="S10432" s="1" t="s">
        <v>34218</v>
      </c>
    </row>
    <row r="10433" spans="1:19" x14ac:dyDescent="0.25">
      <c r="A10433">
        <v>101475895</v>
      </c>
      <c r="B10433" t="s">
        <v>320</v>
      </c>
      <c r="C10433" t="s">
        <v>1542</v>
      </c>
      <c r="G10433" t="s">
        <v>23484</v>
      </c>
      <c r="H10433" t="s">
        <v>23485</v>
      </c>
      <c r="I10433" t="s">
        <v>178</v>
      </c>
      <c r="J10433">
        <v>43560</v>
      </c>
      <c r="K10433">
        <v>1009</v>
      </c>
      <c r="L10433" t="s">
        <v>23</v>
      </c>
      <c r="M10433" t="s">
        <v>23484</v>
      </c>
      <c r="N10433" t="s">
        <v>23485</v>
      </c>
      <c r="O10433" t="s">
        <v>178</v>
      </c>
      <c r="P10433">
        <v>43560</v>
      </c>
      <c r="Q10433">
        <v>1009</v>
      </c>
      <c r="R10433" t="s">
        <v>23</v>
      </c>
      <c r="S10433" s="1" t="s">
        <v>34218</v>
      </c>
    </row>
    <row r="10434" spans="1:19" x14ac:dyDescent="0.25">
      <c r="A10434">
        <v>101475947</v>
      </c>
      <c r="B10434" t="s">
        <v>23486</v>
      </c>
      <c r="C10434" t="s">
        <v>2010</v>
      </c>
      <c r="G10434" t="s">
        <v>23487</v>
      </c>
      <c r="H10434" t="s">
        <v>23488</v>
      </c>
      <c r="I10434" t="s">
        <v>178</v>
      </c>
      <c r="J10434">
        <v>44140</v>
      </c>
      <c r="K10434">
        <v>1418</v>
      </c>
      <c r="L10434" t="s">
        <v>23</v>
      </c>
      <c r="M10434" t="s">
        <v>23487</v>
      </c>
      <c r="N10434" t="s">
        <v>23488</v>
      </c>
      <c r="O10434" t="s">
        <v>178</v>
      </c>
      <c r="P10434">
        <v>44140</v>
      </c>
      <c r="Q10434">
        <v>1418</v>
      </c>
      <c r="R10434" t="s">
        <v>23</v>
      </c>
      <c r="S10434" s="1" t="s">
        <v>34218</v>
      </c>
    </row>
    <row r="10435" spans="1:19" x14ac:dyDescent="0.25">
      <c r="A10435">
        <v>101475960</v>
      </c>
      <c r="B10435" t="s">
        <v>23489</v>
      </c>
      <c r="C10435" t="s">
        <v>2518</v>
      </c>
      <c r="G10435" t="s">
        <v>23490</v>
      </c>
      <c r="H10435" t="s">
        <v>7886</v>
      </c>
      <c r="I10435" t="s">
        <v>178</v>
      </c>
      <c r="J10435">
        <v>44312</v>
      </c>
      <c r="K10435">
        <v>3548</v>
      </c>
      <c r="L10435" t="s">
        <v>23</v>
      </c>
      <c r="M10435" t="s">
        <v>23490</v>
      </c>
      <c r="N10435" t="s">
        <v>7886</v>
      </c>
      <c r="O10435" t="s">
        <v>178</v>
      </c>
      <c r="P10435">
        <v>44312</v>
      </c>
      <c r="Q10435">
        <v>3548</v>
      </c>
      <c r="R10435" t="s">
        <v>23</v>
      </c>
      <c r="S10435" s="1" t="s">
        <v>34218</v>
      </c>
    </row>
    <row r="10436" spans="1:19" x14ac:dyDescent="0.25">
      <c r="A10436">
        <v>101475979</v>
      </c>
      <c r="B10436" t="s">
        <v>23491</v>
      </c>
      <c r="C10436" t="s">
        <v>1327</v>
      </c>
      <c r="G10436" t="s">
        <v>23492</v>
      </c>
      <c r="H10436" t="s">
        <v>7480</v>
      </c>
      <c r="I10436" t="s">
        <v>178</v>
      </c>
      <c r="J10436">
        <v>44907</v>
      </c>
      <c r="K10436">
        <v>2731</v>
      </c>
      <c r="L10436" t="s">
        <v>23</v>
      </c>
      <c r="M10436" t="s">
        <v>23492</v>
      </c>
      <c r="N10436" t="s">
        <v>7480</v>
      </c>
      <c r="O10436" t="s">
        <v>178</v>
      </c>
      <c r="P10436">
        <v>44907</v>
      </c>
      <c r="Q10436">
        <v>2731</v>
      </c>
      <c r="R10436" t="s">
        <v>23</v>
      </c>
      <c r="S10436" s="1" t="s">
        <v>34218</v>
      </c>
    </row>
    <row r="10437" spans="1:19" x14ac:dyDescent="0.25">
      <c r="A10437">
        <v>101476211</v>
      </c>
      <c r="B10437" t="s">
        <v>23493</v>
      </c>
      <c r="C10437" t="s">
        <v>4407</v>
      </c>
      <c r="G10437" t="s">
        <v>23494</v>
      </c>
      <c r="H10437" t="s">
        <v>2701</v>
      </c>
      <c r="I10437" t="s">
        <v>914</v>
      </c>
      <c r="J10437">
        <v>37064</v>
      </c>
      <c r="K10437">
        <v>4787</v>
      </c>
      <c r="L10437" t="s">
        <v>23</v>
      </c>
      <c r="M10437" t="s">
        <v>23494</v>
      </c>
      <c r="N10437" t="s">
        <v>2701</v>
      </c>
      <c r="O10437" t="s">
        <v>914</v>
      </c>
      <c r="P10437">
        <v>37064</v>
      </c>
      <c r="Q10437">
        <v>4787</v>
      </c>
      <c r="R10437" t="s">
        <v>23</v>
      </c>
      <c r="S10437" s="1" t="s">
        <v>34218</v>
      </c>
    </row>
    <row r="10438" spans="1:19" x14ac:dyDescent="0.25">
      <c r="A10438">
        <v>101476262</v>
      </c>
      <c r="B10438" t="s">
        <v>654</v>
      </c>
      <c r="C10438" t="s">
        <v>23495</v>
      </c>
      <c r="G10438" t="s">
        <v>23496</v>
      </c>
      <c r="H10438" t="s">
        <v>6224</v>
      </c>
      <c r="I10438" t="s">
        <v>914</v>
      </c>
      <c r="J10438">
        <v>37923</v>
      </c>
      <c r="K10438">
        <v>2718</v>
      </c>
      <c r="L10438" t="s">
        <v>23</v>
      </c>
      <c r="M10438" t="s">
        <v>23496</v>
      </c>
      <c r="N10438" t="s">
        <v>6224</v>
      </c>
      <c r="O10438" t="s">
        <v>914</v>
      </c>
      <c r="P10438">
        <v>37923</v>
      </c>
      <c r="Q10438">
        <v>2718</v>
      </c>
      <c r="R10438" t="s">
        <v>23</v>
      </c>
      <c r="S10438" s="1" t="s">
        <v>34218</v>
      </c>
    </row>
    <row r="10439" spans="1:19" x14ac:dyDescent="0.25">
      <c r="A10439">
        <v>101476313</v>
      </c>
      <c r="B10439" t="s">
        <v>23497</v>
      </c>
      <c r="C10439" t="s">
        <v>286</v>
      </c>
      <c r="G10439" t="s">
        <v>23498</v>
      </c>
      <c r="H10439" t="s">
        <v>8225</v>
      </c>
      <c r="I10439" t="s">
        <v>1097</v>
      </c>
      <c r="J10439">
        <v>40601</v>
      </c>
      <c r="K10439">
        <v>3742</v>
      </c>
      <c r="L10439" t="s">
        <v>23</v>
      </c>
      <c r="M10439" t="s">
        <v>23498</v>
      </c>
      <c r="N10439" t="s">
        <v>8225</v>
      </c>
      <c r="O10439" t="s">
        <v>1097</v>
      </c>
      <c r="P10439">
        <v>40601</v>
      </c>
      <c r="Q10439">
        <v>3742</v>
      </c>
      <c r="R10439" t="s">
        <v>23</v>
      </c>
      <c r="S10439" s="1" t="s">
        <v>34218</v>
      </c>
    </row>
    <row r="10440" spans="1:19" x14ac:dyDescent="0.25">
      <c r="A10440">
        <v>101476514</v>
      </c>
      <c r="B10440" t="s">
        <v>23499</v>
      </c>
      <c r="C10440" t="s">
        <v>5500</v>
      </c>
      <c r="G10440" t="s">
        <v>23500</v>
      </c>
      <c r="H10440" t="s">
        <v>2279</v>
      </c>
      <c r="I10440" t="s">
        <v>52</v>
      </c>
      <c r="J10440">
        <v>33629</v>
      </c>
      <c r="K10440">
        <v>6211</v>
      </c>
      <c r="L10440" t="s">
        <v>23</v>
      </c>
      <c r="M10440" t="s">
        <v>23500</v>
      </c>
      <c r="N10440" t="s">
        <v>2279</v>
      </c>
      <c r="O10440" t="s">
        <v>52</v>
      </c>
      <c r="P10440">
        <v>33629</v>
      </c>
      <c r="Q10440">
        <v>6211</v>
      </c>
      <c r="R10440" t="s">
        <v>23</v>
      </c>
      <c r="S10440" s="1" t="s">
        <v>34218</v>
      </c>
    </row>
    <row r="10441" spans="1:19" x14ac:dyDescent="0.25">
      <c r="A10441">
        <v>101476599</v>
      </c>
      <c r="B10441" t="s">
        <v>4593</v>
      </c>
      <c r="C10441" t="s">
        <v>2776</v>
      </c>
      <c r="G10441" t="s">
        <v>23501</v>
      </c>
      <c r="H10441" t="s">
        <v>2910</v>
      </c>
      <c r="I10441" t="s">
        <v>52</v>
      </c>
      <c r="J10441">
        <v>34243</v>
      </c>
      <c r="K10441">
        <v>5252</v>
      </c>
      <c r="L10441" t="s">
        <v>23</v>
      </c>
      <c r="M10441" t="s">
        <v>23501</v>
      </c>
      <c r="N10441" t="s">
        <v>2910</v>
      </c>
      <c r="O10441" t="s">
        <v>52</v>
      </c>
      <c r="P10441">
        <v>34243</v>
      </c>
      <c r="Q10441">
        <v>5252</v>
      </c>
      <c r="R10441" t="s">
        <v>23</v>
      </c>
      <c r="S10441" s="1" t="s">
        <v>34218</v>
      </c>
    </row>
    <row r="10442" spans="1:19" x14ac:dyDescent="0.25">
      <c r="A10442">
        <v>101476733</v>
      </c>
      <c r="B10442" t="s">
        <v>23502</v>
      </c>
      <c r="C10442" t="s">
        <v>1726</v>
      </c>
      <c r="G10442" t="s">
        <v>23503</v>
      </c>
      <c r="H10442" t="s">
        <v>12736</v>
      </c>
      <c r="I10442" t="s">
        <v>38</v>
      </c>
      <c r="J10442">
        <v>75087</v>
      </c>
      <c r="K10442">
        <v>7901</v>
      </c>
      <c r="L10442" t="s">
        <v>23</v>
      </c>
      <c r="M10442" t="s">
        <v>23503</v>
      </c>
      <c r="N10442" t="s">
        <v>12736</v>
      </c>
      <c r="O10442" t="s">
        <v>38</v>
      </c>
      <c r="P10442">
        <v>75087</v>
      </c>
      <c r="Q10442">
        <v>7901</v>
      </c>
      <c r="R10442" t="s">
        <v>23</v>
      </c>
      <c r="S10442" s="1" t="s">
        <v>34218</v>
      </c>
    </row>
    <row r="10443" spans="1:19" x14ac:dyDescent="0.25">
      <c r="A10443">
        <v>101476765</v>
      </c>
      <c r="B10443" t="s">
        <v>23504</v>
      </c>
      <c r="C10443" t="s">
        <v>5599</v>
      </c>
      <c r="G10443" t="s">
        <v>23505</v>
      </c>
      <c r="H10443" t="s">
        <v>4742</v>
      </c>
      <c r="I10443" t="s">
        <v>38</v>
      </c>
      <c r="J10443">
        <v>75904</v>
      </c>
      <c r="K10443">
        <v>1800</v>
      </c>
      <c r="L10443" t="s">
        <v>23</v>
      </c>
      <c r="M10443" t="s">
        <v>23505</v>
      </c>
      <c r="N10443" t="s">
        <v>4742</v>
      </c>
      <c r="O10443" t="s">
        <v>38</v>
      </c>
      <c r="P10443">
        <v>75904</v>
      </c>
      <c r="Q10443">
        <v>1800</v>
      </c>
      <c r="R10443" t="s">
        <v>23</v>
      </c>
      <c r="S10443" s="1" t="s">
        <v>34218</v>
      </c>
    </row>
    <row r="10444" spans="1:19" x14ac:dyDescent="0.25">
      <c r="A10444">
        <v>101476831</v>
      </c>
      <c r="B10444" t="s">
        <v>14296</v>
      </c>
      <c r="C10444" t="s">
        <v>2515</v>
      </c>
      <c r="G10444" t="s">
        <v>23506</v>
      </c>
      <c r="H10444" t="s">
        <v>1122</v>
      </c>
      <c r="I10444" t="s">
        <v>126</v>
      </c>
      <c r="J10444">
        <v>64064</v>
      </c>
      <c r="K10444">
        <v>1831</v>
      </c>
      <c r="L10444" t="s">
        <v>23</v>
      </c>
      <c r="M10444" t="s">
        <v>23506</v>
      </c>
      <c r="N10444" t="s">
        <v>1122</v>
      </c>
      <c r="O10444" t="s">
        <v>126</v>
      </c>
      <c r="P10444">
        <v>64064</v>
      </c>
      <c r="Q10444">
        <v>1831</v>
      </c>
      <c r="R10444" t="s">
        <v>23</v>
      </c>
      <c r="S10444" s="1" t="s">
        <v>34218</v>
      </c>
    </row>
    <row r="10445" spans="1:19" x14ac:dyDescent="0.25">
      <c r="A10445">
        <v>101476866</v>
      </c>
      <c r="B10445" t="s">
        <v>7187</v>
      </c>
      <c r="C10445" t="s">
        <v>1540</v>
      </c>
      <c r="G10445" t="s">
        <v>23507</v>
      </c>
      <c r="H10445" t="s">
        <v>17261</v>
      </c>
      <c r="I10445" t="s">
        <v>126</v>
      </c>
      <c r="J10445">
        <v>65706</v>
      </c>
      <c r="K10445">
        <v>9561</v>
      </c>
      <c r="L10445" t="s">
        <v>23</v>
      </c>
      <c r="M10445" t="s">
        <v>23507</v>
      </c>
      <c r="N10445" t="s">
        <v>17261</v>
      </c>
      <c r="O10445" t="s">
        <v>126</v>
      </c>
      <c r="P10445">
        <v>65706</v>
      </c>
      <c r="Q10445">
        <v>9561</v>
      </c>
      <c r="R10445" t="s">
        <v>23</v>
      </c>
      <c r="S10445" s="1" t="s">
        <v>34218</v>
      </c>
    </row>
    <row r="10446" spans="1:19" x14ac:dyDescent="0.25">
      <c r="A10446">
        <v>101476902</v>
      </c>
      <c r="B10446" t="s">
        <v>23508</v>
      </c>
      <c r="C10446" t="s">
        <v>3774</v>
      </c>
      <c r="G10446" t="s">
        <v>23509</v>
      </c>
      <c r="H10446" t="s">
        <v>10734</v>
      </c>
      <c r="I10446" t="s">
        <v>241</v>
      </c>
      <c r="J10446">
        <v>67156</v>
      </c>
      <c r="K10446">
        <v>7882</v>
      </c>
      <c r="L10446" t="s">
        <v>23</v>
      </c>
      <c r="M10446" t="s">
        <v>23509</v>
      </c>
      <c r="N10446" t="s">
        <v>10734</v>
      </c>
      <c r="O10446" t="s">
        <v>241</v>
      </c>
      <c r="P10446">
        <v>67156</v>
      </c>
      <c r="Q10446">
        <v>7882</v>
      </c>
      <c r="R10446" t="s">
        <v>23</v>
      </c>
      <c r="S10446" s="1" t="s">
        <v>34218</v>
      </c>
    </row>
    <row r="10447" spans="1:19" x14ac:dyDescent="0.25">
      <c r="A10447">
        <v>101476984</v>
      </c>
      <c r="B10447" t="s">
        <v>13843</v>
      </c>
      <c r="C10447" t="s">
        <v>4502</v>
      </c>
      <c r="G10447" t="s">
        <v>23510</v>
      </c>
      <c r="H10447" t="s">
        <v>726</v>
      </c>
      <c r="I10447" t="s">
        <v>22</v>
      </c>
      <c r="J10447">
        <v>90405</v>
      </c>
      <c r="K10447">
        <v>4711</v>
      </c>
      <c r="L10447" t="s">
        <v>23</v>
      </c>
      <c r="M10447" t="s">
        <v>23510</v>
      </c>
      <c r="N10447" t="s">
        <v>726</v>
      </c>
      <c r="O10447" t="s">
        <v>22</v>
      </c>
      <c r="P10447">
        <v>90405</v>
      </c>
      <c r="Q10447">
        <v>4711</v>
      </c>
      <c r="R10447" t="s">
        <v>23</v>
      </c>
      <c r="S10447" s="1" t="s">
        <v>34218</v>
      </c>
    </row>
    <row r="10448" spans="1:19" x14ac:dyDescent="0.25">
      <c r="A10448">
        <v>101477018</v>
      </c>
      <c r="B10448" t="s">
        <v>1274</v>
      </c>
      <c r="C10448" t="s">
        <v>498</v>
      </c>
      <c r="G10448" t="s">
        <v>23511</v>
      </c>
      <c r="H10448" t="s">
        <v>7283</v>
      </c>
      <c r="I10448" t="s">
        <v>22</v>
      </c>
      <c r="J10448">
        <v>91001</v>
      </c>
      <c r="K10448">
        <v>3108</v>
      </c>
      <c r="L10448" t="s">
        <v>23</v>
      </c>
      <c r="M10448" t="s">
        <v>23511</v>
      </c>
      <c r="N10448" t="s">
        <v>7283</v>
      </c>
      <c r="O10448" t="s">
        <v>22</v>
      </c>
      <c r="P10448">
        <v>91001</v>
      </c>
      <c r="Q10448">
        <v>3108</v>
      </c>
      <c r="R10448" t="s">
        <v>23</v>
      </c>
      <c r="S10448" s="1" t="s">
        <v>34218</v>
      </c>
    </row>
    <row r="10449" spans="1:19" x14ac:dyDescent="0.25">
      <c r="A10449">
        <v>101477135</v>
      </c>
      <c r="B10449" t="s">
        <v>4767</v>
      </c>
      <c r="C10449" t="s">
        <v>1208</v>
      </c>
      <c r="G10449" t="s">
        <v>23512</v>
      </c>
      <c r="H10449" t="s">
        <v>685</v>
      </c>
      <c r="I10449" t="s">
        <v>135</v>
      </c>
      <c r="J10449">
        <v>61701</v>
      </c>
      <c r="K10449">
        <v>1851</v>
      </c>
      <c r="L10449" t="s">
        <v>23</v>
      </c>
      <c r="M10449" t="s">
        <v>23512</v>
      </c>
      <c r="N10449" t="s">
        <v>685</v>
      </c>
      <c r="O10449" t="s">
        <v>135</v>
      </c>
      <c r="P10449">
        <v>61701</v>
      </c>
      <c r="Q10449">
        <v>1851</v>
      </c>
      <c r="R10449" t="s">
        <v>23</v>
      </c>
      <c r="S10449" s="1" t="s">
        <v>34218</v>
      </c>
    </row>
    <row r="10450" spans="1:19" x14ac:dyDescent="0.25">
      <c r="A10450">
        <v>101477250</v>
      </c>
      <c r="B10450" t="s">
        <v>23513</v>
      </c>
      <c r="C10450" t="s">
        <v>158</v>
      </c>
      <c r="G10450" t="s">
        <v>23514</v>
      </c>
      <c r="H10450" t="s">
        <v>23515</v>
      </c>
      <c r="I10450" t="s">
        <v>7839</v>
      </c>
      <c r="J10450">
        <v>58757</v>
      </c>
      <c r="K10450">
        <v>9999</v>
      </c>
      <c r="L10450" t="s">
        <v>23</v>
      </c>
      <c r="M10450" t="s">
        <v>23514</v>
      </c>
      <c r="N10450" t="s">
        <v>23515</v>
      </c>
      <c r="O10450" t="s">
        <v>7839</v>
      </c>
      <c r="P10450">
        <v>58757</v>
      </c>
      <c r="Q10450">
        <v>9999</v>
      </c>
      <c r="R10450" t="s">
        <v>23</v>
      </c>
      <c r="S10450" s="1" t="s">
        <v>34218</v>
      </c>
    </row>
    <row r="10451" spans="1:19" x14ac:dyDescent="0.25">
      <c r="A10451">
        <v>101477518</v>
      </c>
      <c r="B10451" t="s">
        <v>23516</v>
      </c>
      <c r="C10451" t="s">
        <v>23517</v>
      </c>
      <c r="G10451" t="s">
        <v>23518</v>
      </c>
      <c r="H10451" t="s">
        <v>6937</v>
      </c>
      <c r="I10451" t="s">
        <v>22</v>
      </c>
      <c r="J10451">
        <v>90254</v>
      </c>
      <c r="K10451">
        <v>4210</v>
      </c>
      <c r="L10451" t="s">
        <v>23</v>
      </c>
      <c r="M10451" t="s">
        <v>23518</v>
      </c>
      <c r="N10451" t="s">
        <v>6937</v>
      </c>
      <c r="O10451" t="s">
        <v>22</v>
      </c>
      <c r="P10451">
        <v>90254</v>
      </c>
      <c r="Q10451">
        <v>4210</v>
      </c>
      <c r="R10451" t="s">
        <v>23</v>
      </c>
      <c r="S10451" s="1" t="s">
        <v>34218</v>
      </c>
    </row>
    <row r="10452" spans="1:19" x14ac:dyDescent="0.25">
      <c r="A10452">
        <v>101477635</v>
      </c>
      <c r="B10452" t="s">
        <v>1164</v>
      </c>
      <c r="C10452" t="s">
        <v>4488</v>
      </c>
      <c r="G10452" t="s">
        <v>23519</v>
      </c>
      <c r="H10452" t="s">
        <v>23520</v>
      </c>
      <c r="I10452" t="s">
        <v>187</v>
      </c>
      <c r="J10452">
        <v>55118</v>
      </c>
      <c r="K10452">
        <v>2005</v>
      </c>
      <c r="L10452" t="s">
        <v>23</v>
      </c>
      <c r="M10452" t="s">
        <v>23519</v>
      </c>
      <c r="N10452" t="s">
        <v>23520</v>
      </c>
      <c r="O10452" t="s">
        <v>187</v>
      </c>
      <c r="P10452">
        <v>55118</v>
      </c>
      <c r="Q10452">
        <v>2005</v>
      </c>
      <c r="R10452" t="s">
        <v>23</v>
      </c>
      <c r="S10452" s="1" t="s">
        <v>34218</v>
      </c>
    </row>
    <row r="10453" spans="1:19" x14ac:dyDescent="0.25">
      <c r="A10453">
        <v>101332541</v>
      </c>
      <c r="B10453" t="s">
        <v>23521</v>
      </c>
      <c r="C10453" t="s">
        <v>8144</v>
      </c>
      <c r="G10453" t="s">
        <v>23522</v>
      </c>
      <c r="H10453" t="s">
        <v>653</v>
      </c>
      <c r="I10453" t="s">
        <v>117</v>
      </c>
      <c r="J10453">
        <v>10040</v>
      </c>
      <c r="K10453">
        <v>3633</v>
      </c>
      <c r="L10453" t="s">
        <v>23</v>
      </c>
      <c r="M10453" t="s">
        <v>23522</v>
      </c>
      <c r="N10453" t="s">
        <v>653</v>
      </c>
      <c r="O10453" t="s">
        <v>117</v>
      </c>
      <c r="P10453">
        <v>10040</v>
      </c>
      <c r="Q10453">
        <v>3633</v>
      </c>
      <c r="R10453" t="s">
        <v>23</v>
      </c>
      <c r="S10453" s="1" t="s">
        <v>34218</v>
      </c>
    </row>
    <row r="10454" spans="1:19" x14ac:dyDescent="0.25">
      <c r="A10454">
        <v>100766265</v>
      </c>
      <c r="B10454" t="s">
        <v>2712</v>
      </c>
      <c r="C10454" t="s">
        <v>1506</v>
      </c>
      <c r="G10454" t="s">
        <v>23523</v>
      </c>
      <c r="H10454" t="s">
        <v>19775</v>
      </c>
      <c r="I10454" t="s">
        <v>446</v>
      </c>
      <c r="J10454">
        <v>28763</v>
      </c>
      <c r="K10454">
        <v>9291</v>
      </c>
      <c r="L10454" t="s">
        <v>23</v>
      </c>
      <c r="M10454" t="s">
        <v>23523</v>
      </c>
      <c r="N10454" t="s">
        <v>19775</v>
      </c>
      <c r="O10454" t="s">
        <v>446</v>
      </c>
      <c r="P10454">
        <v>28763</v>
      </c>
      <c r="Q10454">
        <v>9291</v>
      </c>
      <c r="R10454" t="s">
        <v>23</v>
      </c>
      <c r="S10454" s="1" t="s">
        <v>34218</v>
      </c>
    </row>
    <row r="10455" spans="1:19" x14ac:dyDescent="0.25">
      <c r="A10455">
        <v>101219431</v>
      </c>
      <c r="B10455" t="s">
        <v>10712</v>
      </c>
      <c r="C10455" t="s">
        <v>290</v>
      </c>
      <c r="G10455" t="s">
        <v>12445</v>
      </c>
      <c r="H10455" t="s">
        <v>23524</v>
      </c>
      <c r="I10455" t="s">
        <v>84</v>
      </c>
      <c r="J10455">
        <v>98370</v>
      </c>
      <c r="K10455">
        <v>48</v>
      </c>
      <c r="L10455" t="s">
        <v>23</v>
      </c>
      <c r="M10455" t="s">
        <v>12445</v>
      </c>
      <c r="N10455" t="s">
        <v>23524</v>
      </c>
      <c r="O10455" t="s">
        <v>84</v>
      </c>
      <c r="P10455">
        <v>98370</v>
      </c>
      <c r="Q10455">
        <v>48</v>
      </c>
      <c r="R10455" t="s">
        <v>23</v>
      </c>
      <c r="S10455" s="1" t="s">
        <v>34218</v>
      </c>
    </row>
    <row r="10456" spans="1:19" x14ac:dyDescent="0.25">
      <c r="A10456">
        <v>101427063</v>
      </c>
      <c r="B10456" t="s">
        <v>23525</v>
      </c>
      <c r="C10456" t="s">
        <v>102</v>
      </c>
      <c r="G10456" t="s">
        <v>23526</v>
      </c>
      <c r="H10456" t="s">
        <v>12392</v>
      </c>
      <c r="I10456" t="s">
        <v>22</v>
      </c>
      <c r="J10456">
        <v>94019</v>
      </c>
      <c r="K10456">
        <v>1771</v>
      </c>
      <c r="L10456" t="s">
        <v>23</v>
      </c>
      <c r="M10456" t="s">
        <v>23526</v>
      </c>
      <c r="N10456" t="s">
        <v>12392</v>
      </c>
      <c r="O10456" t="s">
        <v>22</v>
      </c>
      <c r="P10456">
        <v>94019</v>
      </c>
      <c r="Q10456">
        <v>1771</v>
      </c>
      <c r="R10456" t="s">
        <v>23</v>
      </c>
      <c r="S10456" s="1" t="s">
        <v>34218</v>
      </c>
    </row>
    <row r="10457" spans="1:19" x14ac:dyDescent="0.25">
      <c r="A10457">
        <v>101193159</v>
      </c>
      <c r="B10457" t="s">
        <v>23527</v>
      </c>
      <c r="C10457" t="s">
        <v>1970</v>
      </c>
      <c r="G10457" t="s">
        <v>23528</v>
      </c>
      <c r="H10457" t="s">
        <v>1181</v>
      </c>
      <c r="I10457" t="s">
        <v>22</v>
      </c>
      <c r="J10457">
        <v>93402</v>
      </c>
      <c r="K10457">
        <v>2522</v>
      </c>
      <c r="L10457" t="s">
        <v>23</v>
      </c>
      <c r="M10457" t="s">
        <v>23528</v>
      </c>
      <c r="N10457" t="s">
        <v>1181</v>
      </c>
      <c r="O10457" t="s">
        <v>22</v>
      </c>
      <c r="P10457">
        <v>93402</v>
      </c>
      <c r="Q10457">
        <v>2522</v>
      </c>
      <c r="R10457" t="s">
        <v>23</v>
      </c>
      <c r="S10457" s="1" t="s">
        <v>34218</v>
      </c>
    </row>
    <row r="10458" spans="1:19" x14ac:dyDescent="0.25">
      <c r="A10458">
        <v>101312422</v>
      </c>
      <c r="B10458" t="s">
        <v>23529</v>
      </c>
      <c r="C10458" t="s">
        <v>8403</v>
      </c>
      <c r="G10458" t="s">
        <v>23530</v>
      </c>
      <c r="H10458" t="s">
        <v>7857</v>
      </c>
      <c r="I10458" t="s">
        <v>148</v>
      </c>
      <c r="J10458">
        <v>21093</v>
      </c>
      <c r="L10458" t="s">
        <v>23</v>
      </c>
      <c r="M10458" t="s">
        <v>23530</v>
      </c>
      <c r="N10458" t="s">
        <v>7857</v>
      </c>
      <c r="O10458" t="s">
        <v>148</v>
      </c>
      <c r="P10458">
        <v>21093</v>
      </c>
      <c r="R10458" t="s">
        <v>23</v>
      </c>
      <c r="S10458" s="1" t="s">
        <v>34218</v>
      </c>
    </row>
    <row r="10459" spans="1:19" x14ac:dyDescent="0.25">
      <c r="A10459">
        <v>101437573</v>
      </c>
      <c r="B10459" t="s">
        <v>1341</v>
      </c>
      <c r="C10459" t="s">
        <v>313</v>
      </c>
      <c r="G10459" t="s">
        <v>23531</v>
      </c>
      <c r="H10459" t="s">
        <v>21</v>
      </c>
      <c r="I10459" t="s">
        <v>22</v>
      </c>
      <c r="J10459">
        <v>95407</v>
      </c>
      <c r="K10459">
        <v>5022</v>
      </c>
      <c r="L10459" t="s">
        <v>23</v>
      </c>
      <c r="M10459" t="s">
        <v>23531</v>
      </c>
      <c r="N10459" t="s">
        <v>21</v>
      </c>
      <c r="O10459" t="s">
        <v>22</v>
      </c>
      <c r="P10459">
        <v>95407</v>
      </c>
      <c r="Q10459">
        <v>5022</v>
      </c>
      <c r="R10459" t="s">
        <v>23</v>
      </c>
      <c r="S10459" s="1" t="s">
        <v>34218</v>
      </c>
    </row>
    <row r="10460" spans="1:19" x14ac:dyDescent="0.25">
      <c r="A10460">
        <v>100990127</v>
      </c>
      <c r="B10460" t="s">
        <v>345</v>
      </c>
      <c r="C10460" t="s">
        <v>2420</v>
      </c>
      <c r="G10460" t="s">
        <v>23532</v>
      </c>
      <c r="H10460" t="s">
        <v>412</v>
      </c>
      <c r="I10460" t="s">
        <v>117</v>
      </c>
      <c r="J10460">
        <v>11201</v>
      </c>
      <c r="K10460">
        <v>5586</v>
      </c>
      <c r="L10460" t="s">
        <v>23</v>
      </c>
      <c r="M10460" t="s">
        <v>23532</v>
      </c>
      <c r="N10460" t="s">
        <v>412</v>
      </c>
      <c r="O10460" t="s">
        <v>117</v>
      </c>
      <c r="P10460">
        <v>11201</v>
      </c>
      <c r="Q10460">
        <v>5586</v>
      </c>
      <c r="R10460" t="s">
        <v>23</v>
      </c>
      <c r="S10460" s="1" t="s">
        <v>34218</v>
      </c>
    </row>
    <row r="10461" spans="1:19" x14ac:dyDescent="0.25">
      <c r="A10461">
        <v>100527942</v>
      </c>
      <c r="B10461" t="s">
        <v>23533</v>
      </c>
      <c r="C10461" t="s">
        <v>466</v>
      </c>
      <c r="G10461" t="s">
        <v>23534</v>
      </c>
      <c r="H10461" t="s">
        <v>23535</v>
      </c>
      <c r="I10461" t="s">
        <v>100</v>
      </c>
      <c r="J10461">
        <v>53121</v>
      </c>
      <c r="L10461" t="s">
        <v>23</v>
      </c>
      <c r="M10461" t="s">
        <v>23534</v>
      </c>
      <c r="N10461" t="s">
        <v>23535</v>
      </c>
      <c r="O10461" t="s">
        <v>100</v>
      </c>
      <c r="P10461">
        <v>53121</v>
      </c>
      <c r="R10461" t="s">
        <v>23</v>
      </c>
      <c r="S10461" s="1" t="s">
        <v>34218</v>
      </c>
    </row>
    <row r="10462" spans="1:19" x14ac:dyDescent="0.25">
      <c r="A10462">
        <v>100537548</v>
      </c>
      <c r="B10462" t="s">
        <v>23536</v>
      </c>
      <c r="C10462" t="s">
        <v>225</v>
      </c>
      <c r="G10462" t="s">
        <v>23537</v>
      </c>
      <c r="H10462" t="s">
        <v>6185</v>
      </c>
      <c r="I10462" t="s">
        <v>446</v>
      </c>
      <c r="J10462">
        <v>28704</v>
      </c>
      <c r="K10462">
        <v>9594</v>
      </c>
      <c r="L10462" t="s">
        <v>23</v>
      </c>
      <c r="M10462" t="s">
        <v>23537</v>
      </c>
      <c r="N10462" t="s">
        <v>6185</v>
      </c>
      <c r="O10462" t="s">
        <v>446</v>
      </c>
      <c r="P10462">
        <v>28704</v>
      </c>
      <c r="Q10462">
        <v>9594</v>
      </c>
      <c r="R10462" t="s">
        <v>23</v>
      </c>
      <c r="S10462" s="1" t="s">
        <v>34218</v>
      </c>
    </row>
    <row r="10463" spans="1:19" x14ac:dyDescent="0.25">
      <c r="A10463">
        <v>101113421</v>
      </c>
      <c r="B10463" t="s">
        <v>23538</v>
      </c>
      <c r="C10463" t="s">
        <v>7530</v>
      </c>
      <c r="G10463" t="s">
        <v>23539</v>
      </c>
      <c r="H10463" t="s">
        <v>1489</v>
      </c>
      <c r="I10463" t="s">
        <v>62</v>
      </c>
      <c r="J10463">
        <v>74137</v>
      </c>
      <c r="K10463">
        <v>3949</v>
      </c>
      <c r="L10463" t="s">
        <v>23</v>
      </c>
      <c r="M10463" t="s">
        <v>23539</v>
      </c>
      <c r="N10463" t="s">
        <v>1489</v>
      </c>
      <c r="O10463" t="s">
        <v>62</v>
      </c>
      <c r="P10463">
        <v>74137</v>
      </c>
      <c r="Q10463">
        <v>3949</v>
      </c>
      <c r="R10463" t="s">
        <v>23</v>
      </c>
      <c r="S10463" s="1" t="s">
        <v>34218</v>
      </c>
    </row>
    <row r="10464" spans="1:19" x14ac:dyDescent="0.25">
      <c r="A10464">
        <v>101439558</v>
      </c>
      <c r="B10464" t="s">
        <v>11635</v>
      </c>
      <c r="C10464" t="s">
        <v>123</v>
      </c>
      <c r="G10464" t="s">
        <v>16749</v>
      </c>
      <c r="H10464" t="s">
        <v>4188</v>
      </c>
      <c r="I10464" t="s">
        <v>236</v>
      </c>
      <c r="J10464">
        <v>2638</v>
      </c>
      <c r="K10464">
        <v>214</v>
      </c>
      <c r="L10464" t="s">
        <v>23</v>
      </c>
      <c r="M10464" t="s">
        <v>16749</v>
      </c>
      <c r="N10464" t="s">
        <v>4188</v>
      </c>
      <c r="O10464" t="s">
        <v>236</v>
      </c>
      <c r="P10464">
        <v>2638</v>
      </c>
      <c r="Q10464">
        <v>214</v>
      </c>
      <c r="R10464" t="s">
        <v>23</v>
      </c>
      <c r="S10464" s="1" t="s">
        <v>34218</v>
      </c>
    </row>
    <row r="10465" spans="1:19" x14ac:dyDescent="0.25">
      <c r="A10465">
        <v>101340580</v>
      </c>
      <c r="B10465" t="s">
        <v>10503</v>
      </c>
      <c r="C10465" t="s">
        <v>23540</v>
      </c>
      <c r="G10465" t="s">
        <v>23541</v>
      </c>
      <c r="H10465" t="s">
        <v>340</v>
      </c>
      <c r="I10465" t="s">
        <v>241</v>
      </c>
      <c r="J10465" t="s">
        <v>23542</v>
      </c>
      <c r="K10465">
        <v>1515</v>
      </c>
      <c r="L10465" t="s">
        <v>23</v>
      </c>
      <c r="M10465" t="s">
        <v>23541</v>
      </c>
      <c r="N10465" t="s">
        <v>340</v>
      </c>
      <c r="O10465" t="s">
        <v>241</v>
      </c>
      <c r="P10465" t="s">
        <v>23542</v>
      </c>
      <c r="Q10465">
        <v>1515</v>
      </c>
      <c r="R10465" t="s">
        <v>23</v>
      </c>
      <c r="S10465" s="1" t="s">
        <v>34218</v>
      </c>
    </row>
    <row r="10466" spans="1:19" x14ac:dyDescent="0.25">
      <c r="A10466">
        <v>101305019</v>
      </c>
      <c r="B10466" t="s">
        <v>7888</v>
      </c>
      <c r="C10466" t="s">
        <v>23543</v>
      </c>
      <c r="G10466" t="s">
        <v>23544</v>
      </c>
      <c r="H10466" t="s">
        <v>8280</v>
      </c>
      <c r="I10466" t="s">
        <v>1482</v>
      </c>
      <c r="J10466" t="s">
        <v>23545</v>
      </c>
      <c r="K10466">
        <v>7372</v>
      </c>
      <c r="L10466" t="s">
        <v>23</v>
      </c>
      <c r="M10466" t="s">
        <v>23544</v>
      </c>
      <c r="N10466" t="s">
        <v>8280</v>
      </c>
      <c r="O10466" t="s">
        <v>1482</v>
      </c>
      <c r="P10466" t="s">
        <v>23545</v>
      </c>
      <c r="Q10466">
        <v>7372</v>
      </c>
      <c r="R10466" t="s">
        <v>23</v>
      </c>
      <c r="S10466" s="1" t="s">
        <v>34218</v>
      </c>
    </row>
    <row r="10467" spans="1:19" x14ac:dyDescent="0.25">
      <c r="A10467">
        <v>101315417</v>
      </c>
      <c r="B10467" t="s">
        <v>23546</v>
      </c>
      <c r="C10467" t="s">
        <v>123</v>
      </c>
      <c r="G10467" t="s">
        <v>23547</v>
      </c>
      <c r="H10467" t="s">
        <v>15888</v>
      </c>
      <c r="I10467" t="s">
        <v>117</v>
      </c>
      <c r="J10467" t="s">
        <v>23548</v>
      </c>
      <c r="K10467">
        <v>2038</v>
      </c>
      <c r="L10467" t="s">
        <v>23</v>
      </c>
      <c r="M10467" t="s">
        <v>23547</v>
      </c>
      <c r="N10467" t="s">
        <v>15888</v>
      </c>
      <c r="O10467" t="s">
        <v>117</v>
      </c>
      <c r="P10467" t="s">
        <v>23548</v>
      </c>
      <c r="Q10467">
        <v>2038</v>
      </c>
      <c r="R10467" t="s">
        <v>23</v>
      </c>
      <c r="S10467" s="1" t="s">
        <v>34218</v>
      </c>
    </row>
    <row r="10468" spans="1:19" x14ac:dyDescent="0.25">
      <c r="A10468">
        <v>101198542</v>
      </c>
      <c r="B10468" t="s">
        <v>6252</v>
      </c>
      <c r="C10468" t="s">
        <v>81</v>
      </c>
      <c r="G10468" t="s">
        <v>6253</v>
      </c>
      <c r="H10468" t="s">
        <v>2769</v>
      </c>
      <c r="I10468" t="s">
        <v>52</v>
      </c>
      <c r="J10468" t="s">
        <v>6254</v>
      </c>
      <c r="K10468">
        <v>1516</v>
      </c>
      <c r="L10468" t="s">
        <v>23</v>
      </c>
      <c r="M10468" t="s">
        <v>6253</v>
      </c>
      <c r="N10468" t="s">
        <v>2769</v>
      </c>
      <c r="O10468" t="s">
        <v>52</v>
      </c>
      <c r="P10468" t="s">
        <v>6254</v>
      </c>
      <c r="Q10468">
        <v>1516</v>
      </c>
      <c r="R10468" t="s">
        <v>23</v>
      </c>
      <c r="S10468" s="1" t="s">
        <v>34218</v>
      </c>
    </row>
    <row r="10469" spans="1:19" x14ac:dyDescent="0.25">
      <c r="A10469">
        <v>101247968</v>
      </c>
      <c r="B10469" t="s">
        <v>9162</v>
      </c>
      <c r="C10469" t="s">
        <v>247</v>
      </c>
      <c r="G10469" t="s">
        <v>23549</v>
      </c>
      <c r="H10469" t="s">
        <v>23550</v>
      </c>
      <c r="I10469" t="s">
        <v>28</v>
      </c>
      <c r="J10469" t="s">
        <v>23551</v>
      </c>
      <c r="K10469">
        <v>3106</v>
      </c>
      <c r="L10469" t="s">
        <v>23</v>
      </c>
      <c r="M10469" t="s">
        <v>23549</v>
      </c>
      <c r="N10469" t="s">
        <v>23550</v>
      </c>
      <c r="O10469" t="s">
        <v>28</v>
      </c>
      <c r="P10469" t="s">
        <v>23551</v>
      </c>
      <c r="Q10469">
        <v>3106</v>
      </c>
      <c r="R10469" t="s">
        <v>23</v>
      </c>
      <c r="S10469" s="1" t="s">
        <v>34218</v>
      </c>
    </row>
    <row r="10470" spans="1:19" x14ac:dyDescent="0.25">
      <c r="A10470">
        <v>101421797</v>
      </c>
      <c r="B10470" t="s">
        <v>23552</v>
      </c>
      <c r="C10470" t="s">
        <v>1384</v>
      </c>
      <c r="G10470" t="s">
        <v>23553</v>
      </c>
      <c r="H10470" t="s">
        <v>23554</v>
      </c>
      <c r="I10470" t="s">
        <v>84</v>
      </c>
      <c r="J10470" t="s">
        <v>23555</v>
      </c>
      <c r="K10470">
        <v>9417</v>
      </c>
      <c r="L10470" t="s">
        <v>23</v>
      </c>
      <c r="M10470" t="s">
        <v>23553</v>
      </c>
      <c r="N10470" t="s">
        <v>23554</v>
      </c>
      <c r="O10470" t="s">
        <v>84</v>
      </c>
      <c r="P10470" t="s">
        <v>23555</v>
      </c>
      <c r="Q10470">
        <v>9417</v>
      </c>
      <c r="R10470" t="s">
        <v>23</v>
      </c>
      <c r="S10470" s="1" t="s">
        <v>34218</v>
      </c>
    </row>
    <row r="10471" spans="1:19" x14ac:dyDescent="0.25">
      <c r="A10471">
        <v>101275523</v>
      </c>
      <c r="B10471" t="s">
        <v>2531</v>
      </c>
      <c r="C10471" t="s">
        <v>5420</v>
      </c>
      <c r="G10471" t="s">
        <v>23556</v>
      </c>
      <c r="H10471" t="s">
        <v>125</v>
      </c>
      <c r="I10471" t="s">
        <v>126</v>
      </c>
      <c r="J10471" t="s">
        <v>23557</v>
      </c>
      <c r="K10471">
        <v>2228</v>
      </c>
      <c r="L10471" t="s">
        <v>23</v>
      </c>
      <c r="M10471" t="s">
        <v>23556</v>
      </c>
      <c r="N10471" t="s">
        <v>125</v>
      </c>
      <c r="O10471" t="s">
        <v>126</v>
      </c>
      <c r="P10471" t="s">
        <v>23557</v>
      </c>
      <c r="Q10471">
        <v>2228</v>
      </c>
      <c r="R10471" t="s">
        <v>23</v>
      </c>
      <c r="S10471" s="1" t="s">
        <v>34218</v>
      </c>
    </row>
    <row r="10472" spans="1:19" x14ac:dyDescent="0.25">
      <c r="A10472">
        <v>101236788</v>
      </c>
      <c r="B10472" t="s">
        <v>23558</v>
      </c>
      <c r="C10472" t="s">
        <v>4012</v>
      </c>
      <c r="G10472" t="s">
        <v>23559</v>
      </c>
      <c r="H10472" t="s">
        <v>638</v>
      </c>
      <c r="I10472" t="s">
        <v>639</v>
      </c>
      <c r="J10472" t="s">
        <v>23560</v>
      </c>
      <c r="K10472">
        <v>1243</v>
      </c>
      <c r="L10472" t="s">
        <v>23</v>
      </c>
      <c r="M10472" t="s">
        <v>23559</v>
      </c>
      <c r="N10472" t="s">
        <v>638</v>
      </c>
      <c r="O10472" t="s">
        <v>639</v>
      </c>
      <c r="P10472" t="s">
        <v>23560</v>
      </c>
      <c r="Q10472">
        <v>1243</v>
      </c>
      <c r="R10472" t="s">
        <v>23</v>
      </c>
      <c r="S10472" s="1" t="s">
        <v>34218</v>
      </c>
    </row>
    <row r="10473" spans="1:19" x14ac:dyDescent="0.25">
      <c r="A10473">
        <v>101337453</v>
      </c>
      <c r="B10473" t="s">
        <v>23561</v>
      </c>
      <c r="C10473" t="s">
        <v>1161</v>
      </c>
      <c r="G10473" t="s">
        <v>23562</v>
      </c>
      <c r="H10473" t="s">
        <v>4005</v>
      </c>
      <c r="I10473" t="s">
        <v>117</v>
      </c>
      <c r="J10473" t="s">
        <v>23563</v>
      </c>
      <c r="K10473">
        <v>9713</v>
      </c>
      <c r="L10473" t="s">
        <v>23</v>
      </c>
      <c r="M10473" t="s">
        <v>23562</v>
      </c>
      <c r="N10473" t="s">
        <v>4005</v>
      </c>
      <c r="O10473" t="s">
        <v>117</v>
      </c>
      <c r="P10473" t="s">
        <v>23563</v>
      </c>
      <c r="Q10473">
        <v>9713</v>
      </c>
      <c r="R10473" t="s">
        <v>23</v>
      </c>
      <c r="S10473" s="1" t="s">
        <v>34218</v>
      </c>
    </row>
    <row r="10474" spans="1:19" x14ac:dyDescent="0.25">
      <c r="A10474">
        <v>100731124</v>
      </c>
      <c r="B10474" t="s">
        <v>23564</v>
      </c>
      <c r="C10474" t="s">
        <v>1444</v>
      </c>
      <c r="G10474" t="s">
        <v>23565</v>
      </c>
      <c r="H10474" t="s">
        <v>4632</v>
      </c>
      <c r="I10474" t="s">
        <v>178</v>
      </c>
      <c r="J10474" t="s">
        <v>23566</v>
      </c>
      <c r="K10474">
        <v>8245</v>
      </c>
      <c r="L10474" t="s">
        <v>23</v>
      </c>
      <c r="M10474" t="s">
        <v>23565</v>
      </c>
      <c r="N10474" t="s">
        <v>4632</v>
      </c>
      <c r="O10474" t="s">
        <v>178</v>
      </c>
      <c r="P10474" t="s">
        <v>23566</v>
      </c>
      <c r="Q10474">
        <v>8245</v>
      </c>
      <c r="R10474" t="s">
        <v>23</v>
      </c>
      <c r="S10474" s="1" t="s">
        <v>34218</v>
      </c>
    </row>
    <row r="10475" spans="1:19" x14ac:dyDescent="0.25">
      <c r="A10475">
        <v>100568650</v>
      </c>
      <c r="B10475" t="s">
        <v>15247</v>
      </c>
      <c r="C10475" t="s">
        <v>6375</v>
      </c>
      <c r="G10475" t="s">
        <v>23567</v>
      </c>
      <c r="H10475" t="s">
        <v>23436</v>
      </c>
      <c r="I10475" t="s">
        <v>984</v>
      </c>
      <c r="J10475" t="s">
        <v>23568</v>
      </c>
      <c r="K10475">
        <v>7792</v>
      </c>
      <c r="L10475" t="s">
        <v>23</v>
      </c>
      <c r="M10475" t="s">
        <v>23567</v>
      </c>
      <c r="N10475" t="s">
        <v>23436</v>
      </c>
      <c r="O10475" t="s">
        <v>984</v>
      </c>
      <c r="P10475" t="s">
        <v>23568</v>
      </c>
      <c r="Q10475">
        <v>7792</v>
      </c>
      <c r="R10475" t="s">
        <v>23</v>
      </c>
      <c r="S10475" s="1" t="s">
        <v>34218</v>
      </c>
    </row>
    <row r="10476" spans="1:19" x14ac:dyDescent="0.25">
      <c r="A10476">
        <v>101300385</v>
      </c>
      <c r="B10476" t="s">
        <v>16475</v>
      </c>
      <c r="C10476" t="s">
        <v>575</v>
      </c>
      <c r="G10476" t="s">
        <v>23569</v>
      </c>
      <c r="H10476" t="s">
        <v>4066</v>
      </c>
      <c r="I10476" t="s">
        <v>984</v>
      </c>
      <c r="J10476" t="s">
        <v>23570</v>
      </c>
      <c r="K10476">
        <v>5541</v>
      </c>
      <c r="L10476" t="s">
        <v>23</v>
      </c>
      <c r="M10476" t="s">
        <v>23569</v>
      </c>
      <c r="N10476" t="s">
        <v>4066</v>
      </c>
      <c r="O10476" t="s">
        <v>984</v>
      </c>
      <c r="P10476" t="s">
        <v>23570</v>
      </c>
      <c r="Q10476">
        <v>5541</v>
      </c>
      <c r="R10476" t="s">
        <v>23</v>
      </c>
      <c r="S10476" s="1" t="s">
        <v>34218</v>
      </c>
    </row>
    <row r="10477" spans="1:19" x14ac:dyDescent="0.25">
      <c r="A10477">
        <v>101244993</v>
      </c>
      <c r="B10477" t="s">
        <v>4699</v>
      </c>
      <c r="C10477" t="s">
        <v>10389</v>
      </c>
      <c r="G10477" t="s">
        <v>23571</v>
      </c>
      <c r="H10477" t="s">
        <v>3680</v>
      </c>
      <c r="I10477" t="s">
        <v>33</v>
      </c>
      <c r="J10477" t="s">
        <v>23572</v>
      </c>
      <c r="K10477">
        <v>9152</v>
      </c>
      <c r="L10477" t="s">
        <v>23</v>
      </c>
      <c r="M10477" t="s">
        <v>23571</v>
      </c>
      <c r="N10477" t="s">
        <v>3680</v>
      </c>
      <c r="O10477" t="s">
        <v>33</v>
      </c>
      <c r="P10477" t="s">
        <v>23572</v>
      </c>
      <c r="Q10477">
        <v>9152</v>
      </c>
      <c r="R10477" t="s">
        <v>23</v>
      </c>
      <c r="S10477" s="1" t="s">
        <v>34218</v>
      </c>
    </row>
    <row r="10478" spans="1:19" x14ac:dyDescent="0.25">
      <c r="A10478">
        <v>101421886</v>
      </c>
      <c r="B10478" t="s">
        <v>23573</v>
      </c>
      <c r="C10478" t="s">
        <v>522</v>
      </c>
      <c r="G10478" t="s">
        <v>23574</v>
      </c>
      <c r="H10478" t="s">
        <v>638</v>
      </c>
      <c r="I10478" t="s">
        <v>639</v>
      </c>
      <c r="J10478" t="s">
        <v>23575</v>
      </c>
      <c r="K10478">
        <v>5958</v>
      </c>
      <c r="L10478" t="s">
        <v>23</v>
      </c>
      <c r="M10478" t="s">
        <v>23574</v>
      </c>
      <c r="N10478" t="s">
        <v>638</v>
      </c>
      <c r="O10478" t="s">
        <v>639</v>
      </c>
      <c r="P10478" t="s">
        <v>23575</v>
      </c>
      <c r="Q10478">
        <v>5958</v>
      </c>
      <c r="R10478" t="s">
        <v>23</v>
      </c>
      <c r="S10478" s="1" t="s">
        <v>34218</v>
      </c>
    </row>
    <row r="10479" spans="1:19" x14ac:dyDescent="0.25">
      <c r="A10479">
        <v>101081391</v>
      </c>
      <c r="B10479" t="s">
        <v>938</v>
      </c>
      <c r="C10479" t="s">
        <v>5507</v>
      </c>
      <c r="G10479" t="s">
        <v>23576</v>
      </c>
      <c r="H10479" t="s">
        <v>23577</v>
      </c>
      <c r="I10479" t="s">
        <v>914</v>
      </c>
      <c r="J10479" t="s">
        <v>23578</v>
      </c>
      <c r="K10479">
        <v>1201</v>
      </c>
      <c r="L10479" t="s">
        <v>23</v>
      </c>
      <c r="M10479" t="s">
        <v>23576</v>
      </c>
      <c r="N10479" t="s">
        <v>23577</v>
      </c>
      <c r="O10479" t="s">
        <v>914</v>
      </c>
      <c r="P10479" t="s">
        <v>23578</v>
      </c>
      <c r="Q10479">
        <v>1201</v>
      </c>
      <c r="R10479" t="s">
        <v>23</v>
      </c>
      <c r="S10479" s="1" t="s">
        <v>34218</v>
      </c>
    </row>
    <row r="10480" spans="1:19" x14ac:dyDescent="0.25">
      <c r="A10480">
        <v>100515393</v>
      </c>
      <c r="B10480" t="s">
        <v>12595</v>
      </c>
      <c r="C10480" t="s">
        <v>1679</v>
      </c>
      <c r="G10480" t="s">
        <v>12596</v>
      </c>
      <c r="H10480" t="s">
        <v>2391</v>
      </c>
      <c r="I10480" t="s">
        <v>43</v>
      </c>
      <c r="J10480" t="s">
        <v>23579</v>
      </c>
      <c r="K10480">
        <v>2113</v>
      </c>
      <c r="L10480" t="s">
        <v>23</v>
      </c>
      <c r="M10480" t="s">
        <v>12596</v>
      </c>
      <c r="N10480" t="s">
        <v>2391</v>
      </c>
      <c r="O10480" t="s">
        <v>43</v>
      </c>
      <c r="P10480" t="s">
        <v>23579</v>
      </c>
      <c r="Q10480">
        <v>2113</v>
      </c>
      <c r="R10480" t="s">
        <v>23</v>
      </c>
      <c r="S10480" s="1" t="s">
        <v>34218</v>
      </c>
    </row>
    <row r="10481" spans="1:19" x14ac:dyDescent="0.25">
      <c r="A10481">
        <v>100515666</v>
      </c>
      <c r="B10481" t="s">
        <v>23580</v>
      </c>
      <c r="C10481" t="s">
        <v>23581</v>
      </c>
      <c r="G10481" t="s">
        <v>23582</v>
      </c>
      <c r="H10481" t="s">
        <v>685</v>
      </c>
      <c r="I10481" t="s">
        <v>57</v>
      </c>
      <c r="J10481" t="s">
        <v>23583</v>
      </c>
      <c r="K10481">
        <v>2600</v>
      </c>
      <c r="L10481" t="s">
        <v>23</v>
      </c>
      <c r="M10481" t="s">
        <v>23582</v>
      </c>
      <c r="N10481" t="s">
        <v>685</v>
      </c>
      <c r="O10481" t="s">
        <v>57</v>
      </c>
      <c r="P10481" t="s">
        <v>23583</v>
      </c>
      <c r="Q10481">
        <v>2600</v>
      </c>
      <c r="R10481" t="s">
        <v>23</v>
      </c>
      <c r="S10481" s="1" t="s">
        <v>34218</v>
      </c>
    </row>
    <row r="10482" spans="1:19" x14ac:dyDescent="0.25">
      <c r="A10482">
        <v>101443481</v>
      </c>
      <c r="B10482" t="s">
        <v>4691</v>
      </c>
      <c r="C10482" t="s">
        <v>2790</v>
      </c>
      <c r="G10482" t="s">
        <v>23584</v>
      </c>
      <c r="H10482" t="s">
        <v>504</v>
      </c>
      <c r="I10482" t="s">
        <v>565</v>
      </c>
      <c r="J10482" t="s">
        <v>23585</v>
      </c>
      <c r="K10482">
        <v>5818</v>
      </c>
      <c r="L10482" t="s">
        <v>23</v>
      </c>
      <c r="M10482" t="s">
        <v>23584</v>
      </c>
      <c r="N10482" t="s">
        <v>504</v>
      </c>
      <c r="O10482" t="s">
        <v>565</v>
      </c>
      <c r="P10482" t="s">
        <v>23585</v>
      </c>
      <c r="Q10482">
        <v>5818</v>
      </c>
      <c r="R10482" t="s">
        <v>23</v>
      </c>
      <c r="S10482" s="1" t="s">
        <v>34218</v>
      </c>
    </row>
    <row r="10483" spans="1:19" x14ac:dyDescent="0.25">
      <c r="A10483">
        <v>101241676</v>
      </c>
      <c r="B10483" t="s">
        <v>858</v>
      </c>
      <c r="C10483" t="s">
        <v>1218</v>
      </c>
      <c r="G10483" t="s">
        <v>23586</v>
      </c>
      <c r="H10483" t="s">
        <v>1193</v>
      </c>
      <c r="I10483" t="s">
        <v>126</v>
      </c>
      <c r="J10483" t="s">
        <v>23587</v>
      </c>
      <c r="K10483">
        <v>1030</v>
      </c>
      <c r="L10483" t="s">
        <v>23</v>
      </c>
      <c r="M10483" t="s">
        <v>23586</v>
      </c>
      <c r="N10483" t="s">
        <v>1193</v>
      </c>
      <c r="O10483" t="s">
        <v>126</v>
      </c>
      <c r="P10483" t="s">
        <v>23587</v>
      </c>
      <c r="Q10483">
        <v>1030</v>
      </c>
      <c r="R10483" t="s">
        <v>23</v>
      </c>
      <c r="S10483" s="1" t="s">
        <v>34218</v>
      </c>
    </row>
    <row r="10484" spans="1:19" x14ac:dyDescent="0.25">
      <c r="A10484">
        <v>101326815</v>
      </c>
      <c r="B10484" t="s">
        <v>23588</v>
      </c>
      <c r="C10484" t="s">
        <v>1117</v>
      </c>
      <c r="G10484" t="s">
        <v>23589</v>
      </c>
      <c r="H10484" t="s">
        <v>17160</v>
      </c>
      <c r="I10484" t="s">
        <v>22</v>
      </c>
      <c r="J10484">
        <v>96067</v>
      </c>
      <c r="L10484" t="s">
        <v>23</v>
      </c>
      <c r="M10484" t="s">
        <v>23589</v>
      </c>
      <c r="N10484" t="s">
        <v>17160</v>
      </c>
      <c r="O10484" t="s">
        <v>22</v>
      </c>
      <c r="P10484">
        <v>96067</v>
      </c>
      <c r="R10484" t="s">
        <v>23</v>
      </c>
      <c r="S10484" s="1" t="s">
        <v>34218</v>
      </c>
    </row>
    <row r="10485" spans="1:19" x14ac:dyDescent="0.25">
      <c r="A10485">
        <v>101052222</v>
      </c>
      <c r="B10485" t="s">
        <v>23590</v>
      </c>
      <c r="C10485" t="s">
        <v>3009</v>
      </c>
      <c r="G10485" t="s">
        <v>23591</v>
      </c>
      <c r="H10485" t="s">
        <v>2608</v>
      </c>
      <c r="I10485" t="s">
        <v>100</v>
      </c>
      <c r="J10485" t="s">
        <v>23592</v>
      </c>
      <c r="K10485">
        <v>9007</v>
      </c>
      <c r="L10485" t="s">
        <v>23</v>
      </c>
      <c r="M10485" t="s">
        <v>23591</v>
      </c>
      <c r="N10485" t="s">
        <v>2608</v>
      </c>
      <c r="O10485" t="s">
        <v>100</v>
      </c>
      <c r="P10485" t="s">
        <v>23592</v>
      </c>
      <c r="Q10485">
        <v>9007</v>
      </c>
      <c r="R10485" t="s">
        <v>23</v>
      </c>
      <c r="S10485" s="1" t="s">
        <v>34218</v>
      </c>
    </row>
    <row r="10486" spans="1:19" x14ac:dyDescent="0.25">
      <c r="A10486">
        <v>100765153</v>
      </c>
      <c r="B10486" t="s">
        <v>497</v>
      </c>
      <c r="C10486" t="s">
        <v>266</v>
      </c>
      <c r="G10486" t="s">
        <v>23593</v>
      </c>
      <c r="H10486" t="s">
        <v>6525</v>
      </c>
      <c r="I10486" t="s">
        <v>702</v>
      </c>
      <c r="J10486" t="s">
        <v>23594</v>
      </c>
      <c r="K10486">
        <v>5088</v>
      </c>
      <c r="L10486" t="s">
        <v>23</v>
      </c>
      <c r="M10486" t="s">
        <v>23593</v>
      </c>
      <c r="N10486" t="s">
        <v>6525</v>
      </c>
      <c r="O10486" t="s">
        <v>702</v>
      </c>
      <c r="P10486" t="s">
        <v>23594</v>
      </c>
      <c r="Q10486">
        <v>5088</v>
      </c>
      <c r="R10486" t="s">
        <v>23</v>
      </c>
      <c r="S10486" s="1" t="s">
        <v>34218</v>
      </c>
    </row>
    <row r="10487" spans="1:19" x14ac:dyDescent="0.25">
      <c r="A10487">
        <v>101267872</v>
      </c>
      <c r="B10487" t="s">
        <v>3167</v>
      </c>
      <c r="C10487" t="s">
        <v>119</v>
      </c>
      <c r="G10487" t="s">
        <v>23595</v>
      </c>
      <c r="H10487" t="s">
        <v>6104</v>
      </c>
      <c r="I10487" t="s">
        <v>250</v>
      </c>
      <c r="J10487" t="s">
        <v>23596</v>
      </c>
      <c r="K10487">
        <v>5370</v>
      </c>
      <c r="L10487" t="s">
        <v>23</v>
      </c>
      <c r="M10487" t="s">
        <v>23595</v>
      </c>
      <c r="N10487" t="s">
        <v>6104</v>
      </c>
      <c r="O10487" t="s">
        <v>250</v>
      </c>
      <c r="P10487" t="s">
        <v>23596</v>
      </c>
      <c r="Q10487">
        <v>5370</v>
      </c>
      <c r="R10487" t="s">
        <v>23</v>
      </c>
      <c r="S10487" s="1" t="s">
        <v>34218</v>
      </c>
    </row>
    <row r="10488" spans="1:19" x14ac:dyDescent="0.25">
      <c r="A10488">
        <v>101179302</v>
      </c>
      <c r="B10488" t="s">
        <v>2051</v>
      </c>
      <c r="C10488" t="s">
        <v>641</v>
      </c>
      <c r="G10488" t="s">
        <v>23597</v>
      </c>
      <c r="H10488" t="s">
        <v>602</v>
      </c>
      <c r="I10488" t="s">
        <v>71</v>
      </c>
      <c r="J10488" t="s">
        <v>23598</v>
      </c>
      <c r="K10488">
        <v>4119</v>
      </c>
      <c r="L10488" t="s">
        <v>23</v>
      </c>
      <c r="M10488" t="s">
        <v>23597</v>
      </c>
      <c r="N10488" t="s">
        <v>602</v>
      </c>
      <c r="O10488" t="s">
        <v>71</v>
      </c>
      <c r="P10488" t="s">
        <v>23598</v>
      </c>
      <c r="Q10488">
        <v>4119</v>
      </c>
      <c r="R10488" t="s">
        <v>23</v>
      </c>
      <c r="S10488" s="1" t="s">
        <v>34218</v>
      </c>
    </row>
    <row r="10489" spans="1:19" x14ac:dyDescent="0.25">
      <c r="A10489">
        <v>100883460</v>
      </c>
      <c r="B10489" t="s">
        <v>23599</v>
      </c>
      <c r="C10489" t="s">
        <v>23600</v>
      </c>
      <c r="G10489" t="s">
        <v>23601</v>
      </c>
      <c r="H10489" t="s">
        <v>8296</v>
      </c>
      <c r="I10489" t="s">
        <v>984</v>
      </c>
      <c r="J10489" t="s">
        <v>23602</v>
      </c>
      <c r="K10489">
        <v>5225</v>
      </c>
      <c r="L10489" t="s">
        <v>23</v>
      </c>
      <c r="M10489" t="s">
        <v>23601</v>
      </c>
      <c r="N10489" t="s">
        <v>8296</v>
      </c>
      <c r="O10489" t="s">
        <v>984</v>
      </c>
      <c r="P10489" t="s">
        <v>23602</v>
      </c>
      <c r="Q10489">
        <v>5225</v>
      </c>
      <c r="R10489" t="s">
        <v>23</v>
      </c>
      <c r="S10489" s="1" t="s">
        <v>34218</v>
      </c>
    </row>
    <row r="10490" spans="1:19" x14ac:dyDescent="0.25">
      <c r="A10490">
        <v>101230402</v>
      </c>
      <c r="B10490" t="s">
        <v>23603</v>
      </c>
      <c r="C10490" t="s">
        <v>2127</v>
      </c>
      <c r="G10490" t="s">
        <v>23604</v>
      </c>
      <c r="H10490" t="s">
        <v>1508</v>
      </c>
      <c r="I10490" t="s">
        <v>84</v>
      </c>
      <c r="J10490">
        <v>98026</v>
      </c>
      <c r="K10490">
        <v>8616</v>
      </c>
      <c r="L10490" t="s">
        <v>23</v>
      </c>
      <c r="M10490" t="s">
        <v>23604</v>
      </c>
      <c r="N10490" t="s">
        <v>1508</v>
      </c>
      <c r="O10490" t="s">
        <v>84</v>
      </c>
      <c r="P10490">
        <v>98026</v>
      </c>
      <c r="Q10490">
        <v>8616</v>
      </c>
      <c r="R10490" t="s">
        <v>23</v>
      </c>
      <c r="S10490" s="1" t="s">
        <v>34218</v>
      </c>
    </row>
    <row r="10491" spans="1:19" x14ac:dyDescent="0.25">
      <c r="A10491">
        <v>101479463</v>
      </c>
      <c r="B10491" t="s">
        <v>23605</v>
      </c>
      <c r="C10491" t="s">
        <v>1879</v>
      </c>
      <c r="G10491" t="s">
        <v>23606</v>
      </c>
      <c r="H10491" t="s">
        <v>207</v>
      </c>
      <c r="I10491" t="s">
        <v>22</v>
      </c>
      <c r="J10491">
        <v>93722</v>
      </c>
      <c r="K10491">
        <v>3530</v>
      </c>
      <c r="L10491" t="s">
        <v>23</v>
      </c>
      <c r="M10491" t="s">
        <v>23606</v>
      </c>
      <c r="N10491" t="s">
        <v>207</v>
      </c>
      <c r="O10491" t="s">
        <v>22</v>
      </c>
      <c r="P10491">
        <v>93722</v>
      </c>
      <c r="Q10491">
        <v>3530</v>
      </c>
      <c r="R10491" t="s">
        <v>23</v>
      </c>
      <c r="S10491" s="1" t="s">
        <v>34218</v>
      </c>
    </row>
    <row r="10492" spans="1:19" x14ac:dyDescent="0.25">
      <c r="A10492">
        <v>101479597</v>
      </c>
      <c r="B10492" t="s">
        <v>23607</v>
      </c>
      <c r="C10492" t="s">
        <v>1218</v>
      </c>
      <c r="G10492" t="s">
        <v>23608</v>
      </c>
      <c r="H10492" t="s">
        <v>6174</v>
      </c>
      <c r="I10492" t="s">
        <v>22</v>
      </c>
      <c r="J10492">
        <v>94552</v>
      </c>
      <c r="K10492">
        <v>1601</v>
      </c>
      <c r="L10492" t="s">
        <v>23</v>
      </c>
      <c r="M10492" t="s">
        <v>23608</v>
      </c>
      <c r="N10492" t="s">
        <v>6174</v>
      </c>
      <c r="O10492" t="s">
        <v>22</v>
      </c>
      <c r="P10492">
        <v>94552</v>
      </c>
      <c r="Q10492">
        <v>1601</v>
      </c>
      <c r="R10492" t="s">
        <v>23</v>
      </c>
      <c r="S10492" s="1" t="s">
        <v>34218</v>
      </c>
    </row>
    <row r="10493" spans="1:19" x14ac:dyDescent="0.25">
      <c r="A10493">
        <v>101392598</v>
      </c>
      <c r="B10493" t="s">
        <v>23609</v>
      </c>
      <c r="C10493" t="s">
        <v>1309</v>
      </c>
      <c r="G10493" t="s">
        <v>23610</v>
      </c>
      <c r="H10493" t="s">
        <v>653</v>
      </c>
      <c r="I10493" t="s">
        <v>117</v>
      </c>
      <c r="J10493">
        <v>10022</v>
      </c>
      <c r="K10493">
        <v>7722</v>
      </c>
      <c r="L10493" t="s">
        <v>23</v>
      </c>
      <c r="M10493" t="s">
        <v>23610</v>
      </c>
      <c r="N10493" t="s">
        <v>653</v>
      </c>
      <c r="O10493" t="s">
        <v>117</v>
      </c>
      <c r="P10493">
        <v>10022</v>
      </c>
      <c r="Q10493">
        <v>7722</v>
      </c>
      <c r="R10493" t="s">
        <v>23</v>
      </c>
      <c r="S10493" s="1" t="s">
        <v>34218</v>
      </c>
    </row>
    <row r="10494" spans="1:19" x14ac:dyDescent="0.25">
      <c r="A10494">
        <v>101466799</v>
      </c>
      <c r="B10494" t="s">
        <v>23611</v>
      </c>
      <c r="C10494" t="s">
        <v>1616</v>
      </c>
      <c r="G10494" t="s">
        <v>23612</v>
      </c>
      <c r="H10494" t="s">
        <v>2403</v>
      </c>
      <c r="I10494" t="s">
        <v>117</v>
      </c>
      <c r="J10494">
        <v>10606</v>
      </c>
      <c r="L10494" t="s">
        <v>23</v>
      </c>
      <c r="M10494" t="s">
        <v>23612</v>
      </c>
      <c r="N10494" t="s">
        <v>2403</v>
      </c>
      <c r="O10494" t="s">
        <v>117</v>
      </c>
      <c r="P10494">
        <v>10606</v>
      </c>
      <c r="R10494" t="s">
        <v>23</v>
      </c>
      <c r="S10494" s="1" t="s">
        <v>34218</v>
      </c>
    </row>
    <row r="10495" spans="1:19" x14ac:dyDescent="0.25">
      <c r="A10495">
        <v>101386258</v>
      </c>
      <c r="B10495" t="s">
        <v>4512</v>
      </c>
      <c r="C10495" t="s">
        <v>7620</v>
      </c>
      <c r="G10495" t="s">
        <v>23613</v>
      </c>
      <c r="H10495" t="s">
        <v>2069</v>
      </c>
      <c r="I10495" t="s">
        <v>22</v>
      </c>
      <c r="J10495">
        <v>95473</v>
      </c>
      <c r="K10495">
        <v>3123</v>
      </c>
      <c r="L10495" t="s">
        <v>23</v>
      </c>
      <c r="M10495" t="s">
        <v>23613</v>
      </c>
      <c r="N10495" t="s">
        <v>2069</v>
      </c>
      <c r="O10495" t="s">
        <v>22</v>
      </c>
      <c r="P10495">
        <v>95473</v>
      </c>
      <c r="Q10495">
        <v>3123</v>
      </c>
      <c r="R10495" t="s">
        <v>23</v>
      </c>
      <c r="S10495" s="1" t="s">
        <v>34218</v>
      </c>
    </row>
    <row r="10496" spans="1:19" x14ac:dyDescent="0.25">
      <c r="A10496">
        <v>100972920</v>
      </c>
      <c r="B10496" t="s">
        <v>23614</v>
      </c>
      <c r="C10496" t="s">
        <v>2127</v>
      </c>
      <c r="G10496" t="s">
        <v>23615</v>
      </c>
      <c r="H10496" t="s">
        <v>3256</v>
      </c>
      <c r="I10496" t="s">
        <v>353</v>
      </c>
      <c r="J10496">
        <v>3842</v>
      </c>
      <c r="K10496">
        <v>3449</v>
      </c>
      <c r="L10496" t="s">
        <v>23</v>
      </c>
      <c r="M10496" t="s">
        <v>23615</v>
      </c>
      <c r="N10496" t="s">
        <v>3256</v>
      </c>
      <c r="O10496" t="s">
        <v>353</v>
      </c>
      <c r="P10496">
        <v>3842</v>
      </c>
      <c r="Q10496">
        <v>3449</v>
      </c>
      <c r="R10496" t="s">
        <v>23</v>
      </c>
      <c r="S10496" s="1" t="s">
        <v>34218</v>
      </c>
    </row>
    <row r="10497" spans="1:19" x14ac:dyDescent="0.25">
      <c r="A10497">
        <v>100951331</v>
      </c>
      <c r="B10497" t="s">
        <v>23616</v>
      </c>
      <c r="C10497" t="s">
        <v>2463</v>
      </c>
      <c r="G10497" t="s">
        <v>23617</v>
      </c>
      <c r="H10497" t="s">
        <v>21298</v>
      </c>
      <c r="I10497" t="s">
        <v>52</v>
      </c>
      <c r="J10497">
        <v>34653</v>
      </c>
      <c r="K10497">
        <v>1803</v>
      </c>
      <c r="L10497" t="s">
        <v>23</v>
      </c>
      <c r="M10497" t="s">
        <v>23617</v>
      </c>
      <c r="N10497" t="s">
        <v>21298</v>
      </c>
      <c r="O10497" t="s">
        <v>52</v>
      </c>
      <c r="P10497">
        <v>34653</v>
      </c>
      <c r="Q10497">
        <v>1803</v>
      </c>
      <c r="R10497" t="s">
        <v>23</v>
      </c>
      <c r="S10497" s="1" t="s">
        <v>34218</v>
      </c>
    </row>
    <row r="10498" spans="1:19" x14ac:dyDescent="0.25">
      <c r="A10498">
        <v>101295464</v>
      </c>
      <c r="B10498" t="s">
        <v>23618</v>
      </c>
      <c r="C10498" t="s">
        <v>2515</v>
      </c>
      <c r="G10498" t="s">
        <v>23619</v>
      </c>
      <c r="H10498" t="s">
        <v>3363</v>
      </c>
      <c r="I10498" t="s">
        <v>33</v>
      </c>
      <c r="J10498">
        <v>15217</v>
      </c>
      <c r="K10498">
        <v>1462</v>
      </c>
      <c r="L10498" t="s">
        <v>23</v>
      </c>
      <c r="M10498" t="s">
        <v>23619</v>
      </c>
      <c r="N10498" t="s">
        <v>3363</v>
      </c>
      <c r="O10498" t="s">
        <v>33</v>
      </c>
      <c r="P10498">
        <v>15217</v>
      </c>
      <c r="Q10498">
        <v>1462</v>
      </c>
      <c r="R10498" t="s">
        <v>23</v>
      </c>
      <c r="S10498" s="1" t="s">
        <v>34218</v>
      </c>
    </row>
    <row r="10499" spans="1:19" x14ac:dyDescent="0.25">
      <c r="A10499">
        <v>101410769</v>
      </c>
      <c r="B10499" t="s">
        <v>23620</v>
      </c>
      <c r="C10499" t="s">
        <v>554</v>
      </c>
      <c r="F10499" t="str">
        <f>"6193038007"</f>
        <v>6193038007</v>
      </c>
      <c r="G10499" t="s">
        <v>23621</v>
      </c>
      <c r="H10499" t="s">
        <v>4122</v>
      </c>
      <c r="I10499" t="s">
        <v>22</v>
      </c>
      <c r="J10499">
        <v>91941</v>
      </c>
      <c r="L10499" t="s">
        <v>23</v>
      </c>
      <c r="M10499" t="s">
        <v>23621</v>
      </c>
      <c r="N10499" t="s">
        <v>4122</v>
      </c>
      <c r="O10499" t="s">
        <v>22</v>
      </c>
      <c r="P10499">
        <v>91941</v>
      </c>
      <c r="R10499" t="s">
        <v>23</v>
      </c>
      <c r="S10499" s="1" t="s">
        <v>34218</v>
      </c>
    </row>
    <row r="10500" spans="1:19" x14ac:dyDescent="0.25">
      <c r="A10500">
        <v>101444585</v>
      </c>
      <c r="B10500" t="s">
        <v>15478</v>
      </c>
      <c r="C10500" t="s">
        <v>14903</v>
      </c>
      <c r="G10500" t="s">
        <v>15479</v>
      </c>
      <c r="H10500" t="s">
        <v>15480</v>
      </c>
      <c r="I10500" t="s">
        <v>52</v>
      </c>
      <c r="J10500" t="s">
        <v>15481</v>
      </c>
      <c r="K10500">
        <v>1014</v>
      </c>
      <c r="L10500" t="s">
        <v>23</v>
      </c>
      <c r="M10500" t="s">
        <v>15479</v>
      </c>
      <c r="N10500" t="s">
        <v>15480</v>
      </c>
      <c r="O10500" t="s">
        <v>52</v>
      </c>
      <c r="P10500" t="s">
        <v>15481</v>
      </c>
      <c r="Q10500">
        <v>1014</v>
      </c>
      <c r="R10500" t="s">
        <v>23</v>
      </c>
      <c r="S10500" s="1" t="s">
        <v>34218</v>
      </c>
    </row>
    <row r="10501" spans="1:19" x14ac:dyDescent="0.25">
      <c r="A10501">
        <v>101135616</v>
      </c>
      <c r="B10501" t="s">
        <v>23172</v>
      </c>
      <c r="C10501" t="s">
        <v>2405</v>
      </c>
      <c r="G10501" t="s">
        <v>23622</v>
      </c>
      <c r="H10501" t="s">
        <v>130</v>
      </c>
      <c r="I10501" t="s">
        <v>22</v>
      </c>
      <c r="J10501">
        <v>94131</v>
      </c>
      <c r="K10501">
        <v>1746</v>
      </c>
      <c r="L10501" t="s">
        <v>23</v>
      </c>
      <c r="M10501" t="s">
        <v>23622</v>
      </c>
      <c r="N10501" t="s">
        <v>130</v>
      </c>
      <c r="O10501" t="s">
        <v>22</v>
      </c>
      <c r="P10501">
        <v>94131</v>
      </c>
      <c r="Q10501">
        <v>1746</v>
      </c>
      <c r="R10501" t="s">
        <v>23</v>
      </c>
      <c r="S10501" s="1" t="s">
        <v>34218</v>
      </c>
    </row>
    <row r="10502" spans="1:19" x14ac:dyDescent="0.25">
      <c r="A10502">
        <v>101481545</v>
      </c>
      <c r="B10502" t="s">
        <v>11308</v>
      </c>
      <c r="C10502" t="s">
        <v>2357</v>
      </c>
      <c r="G10502" t="s">
        <v>23623</v>
      </c>
      <c r="H10502" t="s">
        <v>12888</v>
      </c>
      <c r="I10502" t="s">
        <v>250</v>
      </c>
      <c r="J10502">
        <v>8836</v>
      </c>
      <c r="K10502">
        <v>2353</v>
      </c>
      <c r="L10502" t="s">
        <v>23</v>
      </c>
      <c r="M10502" t="s">
        <v>23623</v>
      </c>
      <c r="N10502" t="s">
        <v>12888</v>
      </c>
      <c r="O10502" t="s">
        <v>250</v>
      </c>
      <c r="P10502">
        <v>8836</v>
      </c>
      <c r="Q10502">
        <v>2353</v>
      </c>
      <c r="R10502" t="s">
        <v>23</v>
      </c>
      <c r="S10502" s="1" t="s">
        <v>34218</v>
      </c>
    </row>
    <row r="10503" spans="1:19" x14ac:dyDescent="0.25">
      <c r="A10503">
        <v>100971120</v>
      </c>
      <c r="B10503" t="s">
        <v>1800</v>
      </c>
      <c r="C10503" t="s">
        <v>12472</v>
      </c>
      <c r="G10503" t="s">
        <v>23624</v>
      </c>
      <c r="H10503" t="s">
        <v>23625</v>
      </c>
      <c r="I10503" t="s">
        <v>135</v>
      </c>
      <c r="J10503">
        <v>60185</v>
      </c>
      <c r="K10503">
        <v>2156</v>
      </c>
      <c r="L10503" t="s">
        <v>23</v>
      </c>
      <c r="M10503" t="s">
        <v>23624</v>
      </c>
      <c r="N10503" t="s">
        <v>23625</v>
      </c>
      <c r="O10503" t="s">
        <v>135</v>
      </c>
      <c r="P10503">
        <v>60185</v>
      </c>
      <c r="Q10503">
        <v>2156</v>
      </c>
      <c r="R10503" t="s">
        <v>23</v>
      </c>
      <c r="S10503" s="1" t="s">
        <v>34218</v>
      </c>
    </row>
    <row r="10504" spans="1:19" x14ac:dyDescent="0.25">
      <c r="A10504">
        <v>101339770</v>
      </c>
      <c r="B10504" t="s">
        <v>23626</v>
      </c>
      <c r="C10504" t="s">
        <v>4624</v>
      </c>
      <c r="G10504" t="s">
        <v>23627</v>
      </c>
      <c r="H10504" t="s">
        <v>10838</v>
      </c>
      <c r="I10504" t="s">
        <v>71</v>
      </c>
      <c r="J10504">
        <v>80138</v>
      </c>
      <c r="K10504">
        <v>8763</v>
      </c>
      <c r="L10504" t="s">
        <v>23</v>
      </c>
      <c r="M10504" t="s">
        <v>23627</v>
      </c>
      <c r="N10504" t="s">
        <v>10838</v>
      </c>
      <c r="O10504" t="s">
        <v>71</v>
      </c>
      <c r="P10504">
        <v>80138</v>
      </c>
      <c r="Q10504">
        <v>8763</v>
      </c>
      <c r="R10504" t="s">
        <v>23</v>
      </c>
      <c r="S10504" s="1" t="s">
        <v>34218</v>
      </c>
    </row>
    <row r="10505" spans="1:19" x14ac:dyDescent="0.25">
      <c r="A10505">
        <v>101404895</v>
      </c>
      <c r="B10505" t="s">
        <v>1581</v>
      </c>
      <c r="C10505" t="s">
        <v>123</v>
      </c>
      <c r="G10505" t="s">
        <v>23628</v>
      </c>
      <c r="H10505" t="s">
        <v>2396</v>
      </c>
      <c r="I10505" t="s">
        <v>52</v>
      </c>
      <c r="J10505">
        <v>32907</v>
      </c>
      <c r="K10505">
        <v>2631</v>
      </c>
      <c r="L10505" t="s">
        <v>23</v>
      </c>
      <c r="M10505" t="s">
        <v>23628</v>
      </c>
      <c r="N10505" t="s">
        <v>2396</v>
      </c>
      <c r="O10505" t="s">
        <v>52</v>
      </c>
      <c r="P10505">
        <v>32907</v>
      </c>
      <c r="Q10505">
        <v>2631</v>
      </c>
      <c r="R10505" t="s">
        <v>23</v>
      </c>
      <c r="S10505" s="1" t="s">
        <v>34218</v>
      </c>
    </row>
    <row r="10506" spans="1:19" x14ac:dyDescent="0.25">
      <c r="A10506">
        <v>101465879</v>
      </c>
      <c r="B10506" t="s">
        <v>23629</v>
      </c>
      <c r="C10506" t="s">
        <v>2603</v>
      </c>
      <c r="G10506" t="s">
        <v>23630</v>
      </c>
      <c r="H10506" t="s">
        <v>23631</v>
      </c>
      <c r="I10506" t="s">
        <v>236</v>
      </c>
      <c r="J10506">
        <v>1860</v>
      </c>
      <c r="K10506">
        <v>1226</v>
      </c>
      <c r="L10506" t="s">
        <v>23</v>
      </c>
      <c r="M10506" t="s">
        <v>23630</v>
      </c>
      <c r="N10506" t="s">
        <v>23631</v>
      </c>
      <c r="O10506" t="s">
        <v>236</v>
      </c>
      <c r="P10506">
        <v>1860</v>
      </c>
      <c r="Q10506">
        <v>1226</v>
      </c>
      <c r="R10506" t="s">
        <v>23</v>
      </c>
      <c r="S10506" s="1" t="s">
        <v>34218</v>
      </c>
    </row>
    <row r="10507" spans="1:19" x14ac:dyDescent="0.25">
      <c r="A10507">
        <v>101468098</v>
      </c>
      <c r="B10507" t="s">
        <v>1330</v>
      </c>
      <c r="C10507" t="s">
        <v>1153</v>
      </c>
      <c r="G10507" t="s">
        <v>23632</v>
      </c>
      <c r="H10507" t="s">
        <v>23633</v>
      </c>
      <c r="I10507" t="s">
        <v>22</v>
      </c>
      <c r="J10507">
        <v>93545</v>
      </c>
      <c r="K10507">
        <v>181</v>
      </c>
      <c r="L10507" t="s">
        <v>23</v>
      </c>
      <c r="M10507" t="s">
        <v>23632</v>
      </c>
      <c r="N10507" t="s">
        <v>23633</v>
      </c>
      <c r="O10507" t="s">
        <v>22</v>
      </c>
      <c r="P10507">
        <v>93545</v>
      </c>
      <c r="Q10507">
        <v>181</v>
      </c>
      <c r="R10507" t="s">
        <v>23</v>
      </c>
      <c r="S10507" s="1" t="s">
        <v>34218</v>
      </c>
    </row>
    <row r="10508" spans="1:19" x14ac:dyDescent="0.25">
      <c r="A10508">
        <v>101431417</v>
      </c>
      <c r="B10508" t="s">
        <v>23634</v>
      </c>
      <c r="C10508" t="s">
        <v>23635</v>
      </c>
      <c r="G10508" t="s">
        <v>23636</v>
      </c>
      <c r="H10508" t="s">
        <v>5732</v>
      </c>
      <c r="I10508" t="s">
        <v>148</v>
      </c>
      <c r="J10508">
        <v>21043</v>
      </c>
      <c r="K10508">
        <v>4709</v>
      </c>
      <c r="L10508" t="s">
        <v>23</v>
      </c>
      <c r="M10508" t="s">
        <v>23636</v>
      </c>
      <c r="N10508" t="s">
        <v>5732</v>
      </c>
      <c r="O10508" t="s">
        <v>148</v>
      </c>
      <c r="P10508">
        <v>21043</v>
      </c>
      <c r="Q10508">
        <v>4709</v>
      </c>
      <c r="R10508" t="s">
        <v>23</v>
      </c>
      <c r="S10508" s="1" t="s">
        <v>34218</v>
      </c>
    </row>
    <row r="10509" spans="1:19" x14ac:dyDescent="0.25">
      <c r="A10509">
        <v>101471324</v>
      </c>
      <c r="B10509" t="s">
        <v>23637</v>
      </c>
      <c r="C10509" t="s">
        <v>3009</v>
      </c>
      <c r="G10509" t="s">
        <v>23638</v>
      </c>
      <c r="H10509" t="s">
        <v>9365</v>
      </c>
      <c r="I10509" t="s">
        <v>1482</v>
      </c>
      <c r="J10509">
        <v>29169</v>
      </c>
      <c r="K10509">
        <v>5251</v>
      </c>
      <c r="L10509" t="s">
        <v>23</v>
      </c>
      <c r="M10509" t="s">
        <v>23638</v>
      </c>
      <c r="N10509" t="s">
        <v>9365</v>
      </c>
      <c r="O10509" t="s">
        <v>1482</v>
      </c>
      <c r="P10509">
        <v>29169</v>
      </c>
      <c r="Q10509">
        <v>5251</v>
      </c>
      <c r="R10509" t="s">
        <v>23</v>
      </c>
      <c r="S10509" s="1" t="s">
        <v>34218</v>
      </c>
    </row>
    <row r="10510" spans="1:19" x14ac:dyDescent="0.25">
      <c r="A10510">
        <v>101224232</v>
      </c>
      <c r="B10510" t="s">
        <v>23639</v>
      </c>
      <c r="C10510" t="s">
        <v>1157</v>
      </c>
      <c r="G10510" t="s">
        <v>23640</v>
      </c>
      <c r="H10510" t="s">
        <v>4378</v>
      </c>
      <c r="I10510" t="s">
        <v>38</v>
      </c>
      <c r="J10510" t="s">
        <v>23641</v>
      </c>
      <c r="K10510">
        <v>7803</v>
      </c>
      <c r="L10510" t="s">
        <v>23</v>
      </c>
      <c r="M10510" t="s">
        <v>23640</v>
      </c>
      <c r="N10510" t="s">
        <v>4378</v>
      </c>
      <c r="O10510" t="s">
        <v>38</v>
      </c>
      <c r="P10510" t="s">
        <v>23641</v>
      </c>
      <c r="Q10510">
        <v>7803</v>
      </c>
      <c r="R10510" t="s">
        <v>23</v>
      </c>
      <c r="S10510" s="1" t="s">
        <v>34218</v>
      </c>
    </row>
    <row r="10511" spans="1:19" x14ac:dyDescent="0.25">
      <c r="A10511">
        <v>101445680</v>
      </c>
      <c r="B10511" t="s">
        <v>23642</v>
      </c>
      <c r="C10511" t="s">
        <v>4624</v>
      </c>
      <c r="G10511" t="s">
        <v>23643</v>
      </c>
      <c r="H10511" t="s">
        <v>18463</v>
      </c>
      <c r="I10511" t="s">
        <v>250</v>
      </c>
      <c r="J10511">
        <v>7452</v>
      </c>
      <c r="L10511" t="s">
        <v>23</v>
      </c>
      <c r="M10511" t="s">
        <v>23643</v>
      </c>
      <c r="N10511" t="s">
        <v>18463</v>
      </c>
      <c r="O10511" t="s">
        <v>250</v>
      </c>
      <c r="P10511">
        <v>7452</v>
      </c>
      <c r="R10511" t="s">
        <v>23</v>
      </c>
      <c r="S10511" s="1" t="s">
        <v>34218</v>
      </c>
    </row>
    <row r="10512" spans="1:19" x14ac:dyDescent="0.25">
      <c r="A10512">
        <v>101293236</v>
      </c>
      <c r="B10512" t="s">
        <v>10903</v>
      </c>
      <c r="C10512" t="s">
        <v>23644</v>
      </c>
      <c r="G10512" t="s">
        <v>23645</v>
      </c>
      <c r="H10512" t="s">
        <v>11512</v>
      </c>
      <c r="I10512" t="s">
        <v>255</v>
      </c>
      <c r="J10512">
        <v>23321</v>
      </c>
      <c r="K10512">
        <v>2229</v>
      </c>
      <c r="L10512" t="s">
        <v>23</v>
      </c>
      <c r="M10512" t="s">
        <v>23645</v>
      </c>
      <c r="N10512" t="s">
        <v>11512</v>
      </c>
      <c r="O10512" t="s">
        <v>255</v>
      </c>
      <c r="P10512">
        <v>23321</v>
      </c>
      <c r="Q10512">
        <v>2229</v>
      </c>
      <c r="R10512" t="s">
        <v>23</v>
      </c>
      <c r="S10512" s="1" t="s">
        <v>34218</v>
      </c>
    </row>
    <row r="10513" spans="1:19" x14ac:dyDescent="0.25">
      <c r="A10513">
        <v>101368986</v>
      </c>
      <c r="B10513" t="s">
        <v>3110</v>
      </c>
      <c r="C10513" t="s">
        <v>3928</v>
      </c>
      <c r="G10513" t="s">
        <v>23646</v>
      </c>
      <c r="H10513" t="s">
        <v>3963</v>
      </c>
      <c r="I10513" t="s">
        <v>52</v>
      </c>
      <c r="J10513">
        <v>33134</v>
      </c>
      <c r="K10513">
        <v>6467</v>
      </c>
      <c r="L10513" t="s">
        <v>23</v>
      </c>
      <c r="M10513" t="s">
        <v>23646</v>
      </c>
      <c r="N10513" t="s">
        <v>3963</v>
      </c>
      <c r="O10513" t="s">
        <v>52</v>
      </c>
      <c r="P10513">
        <v>33134</v>
      </c>
      <c r="Q10513">
        <v>6467</v>
      </c>
      <c r="R10513" t="s">
        <v>23</v>
      </c>
      <c r="S10513" s="1" t="s">
        <v>34218</v>
      </c>
    </row>
    <row r="10514" spans="1:19" x14ac:dyDescent="0.25">
      <c r="A10514">
        <v>101211971</v>
      </c>
      <c r="B10514" t="s">
        <v>23647</v>
      </c>
      <c r="C10514" t="s">
        <v>1327</v>
      </c>
      <c r="G10514" t="s">
        <v>23648</v>
      </c>
      <c r="H10514" t="s">
        <v>23649</v>
      </c>
      <c r="I10514" t="s">
        <v>33</v>
      </c>
      <c r="J10514">
        <v>18036</v>
      </c>
      <c r="K10514">
        <v>1318</v>
      </c>
      <c r="L10514" t="s">
        <v>23</v>
      </c>
      <c r="M10514" t="s">
        <v>23648</v>
      </c>
      <c r="N10514" t="s">
        <v>23649</v>
      </c>
      <c r="O10514" t="s">
        <v>33</v>
      </c>
      <c r="P10514">
        <v>18036</v>
      </c>
      <c r="Q10514">
        <v>1318</v>
      </c>
      <c r="R10514" t="s">
        <v>23</v>
      </c>
      <c r="S10514" s="1" t="s">
        <v>34218</v>
      </c>
    </row>
    <row r="10515" spans="1:19" x14ac:dyDescent="0.25">
      <c r="A10515">
        <v>101480489</v>
      </c>
      <c r="B10515" t="s">
        <v>4510</v>
      </c>
      <c r="C10515" t="s">
        <v>23650</v>
      </c>
      <c r="G10515" t="s">
        <v>23651</v>
      </c>
      <c r="H10515" t="s">
        <v>445</v>
      </c>
      <c r="I10515" t="s">
        <v>446</v>
      </c>
      <c r="J10515">
        <v>28804</v>
      </c>
      <c r="K10515">
        <v>2336</v>
      </c>
      <c r="L10515" t="s">
        <v>23</v>
      </c>
      <c r="M10515" t="s">
        <v>23651</v>
      </c>
      <c r="N10515" t="s">
        <v>445</v>
      </c>
      <c r="O10515" t="s">
        <v>446</v>
      </c>
      <c r="P10515">
        <v>28804</v>
      </c>
      <c r="Q10515">
        <v>2336</v>
      </c>
      <c r="R10515" t="s">
        <v>23</v>
      </c>
      <c r="S10515" s="1" t="s">
        <v>34218</v>
      </c>
    </row>
    <row r="10516" spans="1:19" x14ac:dyDescent="0.25">
      <c r="A10516">
        <v>101047228</v>
      </c>
      <c r="B10516" t="s">
        <v>3138</v>
      </c>
      <c r="C10516" t="s">
        <v>23652</v>
      </c>
      <c r="G10516" t="s">
        <v>23653</v>
      </c>
      <c r="H10516" t="s">
        <v>4646</v>
      </c>
      <c r="I10516" t="s">
        <v>100</v>
      </c>
      <c r="J10516">
        <v>54025</v>
      </c>
      <c r="K10516">
        <v>7239</v>
      </c>
      <c r="L10516" t="s">
        <v>23</v>
      </c>
      <c r="M10516" t="s">
        <v>23653</v>
      </c>
      <c r="N10516" t="s">
        <v>4646</v>
      </c>
      <c r="O10516" t="s">
        <v>100</v>
      </c>
      <c r="P10516">
        <v>54025</v>
      </c>
      <c r="Q10516">
        <v>7239</v>
      </c>
      <c r="R10516" t="s">
        <v>23</v>
      </c>
      <c r="S10516" s="1" t="s">
        <v>34218</v>
      </c>
    </row>
    <row r="10517" spans="1:19" x14ac:dyDescent="0.25">
      <c r="A10517">
        <v>100796584</v>
      </c>
      <c r="B10517" t="s">
        <v>1595</v>
      </c>
      <c r="C10517" t="s">
        <v>30</v>
      </c>
      <c r="G10517" t="s">
        <v>23654</v>
      </c>
      <c r="H10517" t="s">
        <v>1754</v>
      </c>
      <c r="I10517" t="s">
        <v>135</v>
      </c>
      <c r="J10517">
        <v>60201</v>
      </c>
      <c r="K10517">
        <v>5303</v>
      </c>
      <c r="L10517" t="s">
        <v>23</v>
      </c>
      <c r="M10517" t="s">
        <v>23654</v>
      </c>
      <c r="N10517" t="s">
        <v>1754</v>
      </c>
      <c r="O10517" t="s">
        <v>135</v>
      </c>
      <c r="P10517">
        <v>60201</v>
      </c>
      <c r="Q10517">
        <v>5303</v>
      </c>
      <c r="R10517" t="s">
        <v>23</v>
      </c>
      <c r="S10517" s="1" t="s">
        <v>34218</v>
      </c>
    </row>
    <row r="10518" spans="1:19" x14ac:dyDescent="0.25">
      <c r="A10518">
        <v>101296373</v>
      </c>
      <c r="B10518" t="s">
        <v>23655</v>
      </c>
      <c r="C10518" t="s">
        <v>286</v>
      </c>
      <c r="G10518" t="s">
        <v>23656</v>
      </c>
      <c r="H10518" t="s">
        <v>23657</v>
      </c>
      <c r="I10518" t="s">
        <v>178</v>
      </c>
      <c r="J10518">
        <v>45832</v>
      </c>
      <c r="K10518">
        <v>7736</v>
      </c>
      <c r="L10518" t="s">
        <v>23</v>
      </c>
      <c r="M10518" t="s">
        <v>23656</v>
      </c>
      <c r="N10518" t="s">
        <v>23657</v>
      </c>
      <c r="O10518" t="s">
        <v>178</v>
      </c>
      <c r="P10518">
        <v>45832</v>
      </c>
      <c r="Q10518">
        <v>7736</v>
      </c>
      <c r="R10518" t="s">
        <v>23</v>
      </c>
      <c r="S10518" s="1" t="s">
        <v>34218</v>
      </c>
    </row>
    <row r="10519" spans="1:19" x14ac:dyDescent="0.25">
      <c r="A10519">
        <v>101480495</v>
      </c>
      <c r="B10519" t="s">
        <v>12141</v>
      </c>
      <c r="C10519" t="s">
        <v>23658</v>
      </c>
      <c r="G10519" t="s">
        <v>23659</v>
      </c>
      <c r="H10519" t="s">
        <v>143</v>
      </c>
      <c r="I10519" t="s">
        <v>52</v>
      </c>
      <c r="J10519">
        <v>32244</v>
      </c>
      <c r="K10519">
        <v>5517</v>
      </c>
      <c r="L10519" t="s">
        <v>23</v>
      </c>
      <c r="M10519" t="s">
        <v>23659</v>
      </c>
      <c r="N10519" t="s">
        <v>143</v>
      </c>
      <c r="O10519" t="s">
        <v>52</v>
      </c>
      <c r="P10519">
        <v>32244</v>
      </c>
      <c r="Q10519">
        <v>5517</v>
      </c>
      <c r="R10519" t="s">
        <v>23</v>
      </c>
      <c r="S10519" s="1" t="s">
        <v>34218</v>
      </c>
    </row>
    <row r="10520" spans="1:19" x14ac:dyDescent="0.25">
      <c r="A10520">
        <v>101473435</v>
      </c>
      <c r="B10520" t="s">
        <v>23660</v>
      </c>
      <c r="C10520" t="s">
        <v>1161</v>
      </c>
      <c r="G10520" t="s">
        <v>23661</v>
      </c>
      <c r="H10520" t="s">
        <v>1754</v>
      </c>
      <c r="I10520" t="s">
        <v>135</v>
      </c>
      <c r="J10520">
        <v>60201</v>
      </c>
      <c r="K10520">
        <v>2536</v>
      </c>
      <c r="L10520" t="s">
        <v>23</v>
      </c>
      <c r="M10520" t="s">
        <v>23661</v>
      </c>
      <c r="N10520" t="s">
        <v>1754</v>
      </c>
      <c r="O10520" t="s">
        <v>135</v>
      </c>
      <c r="P10520">
        <v>60201</v>
      </c>
      <c r="Q10520">
        <v>2536</v>
      </c>
      <c r="R10520" t="s">
        <v>23</v>
      </c>
      <c r="S10520" s="1" t="s">
        <v>34218</v>
      </c>
    </row>
    <row r="10521" spans="1:19" x14ac:dyDescent="0.25">
      <c r="A10521">
        <v>101479638</v>
      </c>
      <c r="B10521" t="s">
        <v>3956</v>
      </c>
      <c r="C10521" t="s">
        <v>440</v>
      </c>
      <c r="G10521" t="s">
        <v>23662</v>
      </c>
      <c r="H10521" t="s">
        <v>23663</v>
      </c>
      <c r="I10521" t="s">
        <v>22</v>
      </c>
      <c r="J10521">
        <v>92352</v>
      </c>
      <c r="L10521" t="s">
        <v>23</v>
      </c>
      <c r="M10521" t="s">
        <v>23662</v>
      </c>
      <c r="N10521" t="s">
        <v>23663</v>
      </c>
      <c r="O10521" t="s">
        <v>22</v>
      </c>
      <c r="P10521">
        <v>92352</v>
      </c>
      <c r="R10521" t="s">
        <v>23</v>
      </c>
      <c r="S10521" s="1" t="s">
        <v>34218</v>
      </c>
    </row>
    <row r="10522" spans="1:19" x14ac:dyDescent="0.25">
      <c r="A10522">
        <v>101479708</v>
      </c>
      <c r="B10522" t="s">
        <v>2349</v>
      </c>
      <c r="C10522" t="s">
        <v>208</v>
      </c>
      <c r="G10522" t="s">
        <v>23664</v>
      </c>
      <c r="H10522" t="s">
        <v>15050</v>
      </c>
      <c r="I10522" t="s">
        <v>22</v>
      </c>
      <c r="J10522">
        <v>92887</v>
      </c>
      <c r="K10522">
        <v>2561</v>
      </c>
      <c r="L10522" t="s">
        <v>23</v>
      </c>
      <c r="M10522" t="s">
        <v>23664</v>
      </c>
      <c r="N10522" t="s">
        <v>15050</v>
      </c>
      <c r="O10522" t="s">
        <v>22</v>
      </c>
      <c r="P10522">
        <v>92887</v>
      </c>
      <c r="Q10522">
        <v>2561</v>
      </c>
      <c r="R10522" t="s">
        <v>23</v>
      </c>
      <c r="S10522" s="1" t="s">
        <v>34218</v>
      </c>
    </row>
    <row r="10523" spans="1:19" x14ac:dyDescent="0.25">
      <c r="A10523">
        <v>101236205</v>
      </c>
      <c r="B10523" t="s">
        <v>23665</v>
      </c>
      <c r="C10523" t="s">
        <v>209</v>
      </c>
      <c r="F10523" t="str">
        <f>"2693554222"</f>
        <v>2693554222</v>
      </c>
      <c r="G10523" t="s">
        <v>23666</v>
      </c>
      <c r="H10523" t="s">
        <v>19494</v>
      </c>
      <c r="I10523" t="s">
        <v>57</v>
      </c>
      <c r="J10523">
        <v>46383</v>
      </c>
      <c r="K10523">
        <v>6749</v>
      </c>
      <c r="L10523" t="s">
        <v>23</v>
      </c>
      <c r="M10523" t="s">
        <v>23666</v>
      </c>
      <c r="N10523" t="s">
        <v>19494</v>
      </c>
      <c r="O10523" t="s">
        <v>57</v>
      </c>
      <c r="P10523">
        <v>46383</v>
      </c>
      <c r="Q10523">
        <v>6749</v>
      </c>
      <c r="R10523" t="s">
        <v>23</v>
      </c>
      <c r="S10523" s="1" t="s">
        <v>34218</v>
      </c>
    </row>
    <row r="10524" spans="1:19" x14ac:dyDescent="0.25">
      <c r="A10524">
        <v>101426734</v>
      </c>
      <c r="B10524" t="s">
        <v>9396</v>
      </c>
      <c r="C10524" t="s">
        <v>894</v>
      </c>
      <c r="G10524" t="s">
        <v>23667</v>
      </c>
      <c r="H10524" t="s">
        <v>1283</v>
      </c>
      <c r="I10524" t="s">
        <v>117</v>
      </c>
      <c r="J10524" t="s">
        <v>23668</v>
      </c>
      <c r="K10524">
        <v>1017</v>
      </c>
      <c r="L10524" t="s">
        <v>23</v>
      </c>
      <c r="M10524" t="s">
        <v>23667</v>
      </c>
      <c r="N10524" t="s">
        <v>1283</v>
      </c>
      <c r="O10524" t="s">
        <v>117</v>
      </c>
      <c r="P10524" t="s">
        <v>23668</v>
      </c>
      <c r="Q10524">
        <v>1017</v>
      </c>
      <c r="R10524" t="s">
        <v>23</v>
      </c>
      <c r="S10524" s="1" t="s">
        <v>34218</v>
      </c>
    </row>
    <row r="10525" spans="1:19" x14ac:dyDescent="0.25">
      <c r="A10525">
        <v>101348652</v>
      </c>
      <c r="B10525" t="s">
        <v>5585</v>
      </c>
      <c r="C10525" t="s">
        <v>23669</v>
      </c>
      <c r="G10525" t="s">
        <v>23670</v>
      </c>
      <c r="H10525" t="s">
        <v>1765</v>
      </c>
      <c r="I10525" t="s">
        <v>84</v>
      </c>
      <c r="J10525">
        <v>98502</v>
      </c>
      <c r="K10525">
        <v>9020</v>
      </c>
      <c r="L10525" t="s">
        <v>23</v>
      </c>
      <c r="M10525" t="s">
        <v>23670</v>
      </c>
      <c r="N10525" t="s">
        <v>1765</v>
      </c>
      <c r="O10525" t="s">
        <v>84</v>
      </c>
      <c r="P10525">
        <v>98502</v>
      </c>
      <c r="Q10525">
        <v>9020</v>
      </c>
      <c r="R10525" t="s">
        <v>23</v>
      </c>
      <c r="S10525" s="1" t="s">
        <v>34218</v>
      </c>
    </row>
    <row r="10526" spans="1:19" x14ac:dyDescent="0.25">
      <c r="A10526">
        <v>100978397</v>
      </c>
      <c r="B10526" t="s">
        <v>23671</v>
      </c>
      <c r="C10526" t="s">
        <v>7009</v>
      </c>
      <c r="G10526" t="s">
        <v>23672</v>
      </c>
      <c r="H10526" t="s">
        <v>227</v>
      </c>
      <c r="I10526" t="s">
        <v>43</v>
      </c>
      <c r="J10526">
        <v>97266</v>
      </c>
      <c r="K10526">
        <v>3513</v>
      </c>
      <c r="L10526" t="s">
        <v>23</v>
      </c>
      <c r="M10526" t="s">
        <v>23672</v>
      </c>
      <c r="N10526" t="s">
        <v>227</v>
      </c>
      <c r="O10526" t="s">
        <v>43</v>
      </c>
      <c r="P10526">
        <v>97266</v>
      </c>
      <c r="Q10526">
        <v>3513</v>
      </c>
      <c r="R10526" t="s">
        <v>23</v>
      </c>
      <c r="S10526" s="1" t="s">
        <v>34218</v>
      </c>
    </row>
    <row r="10527" spans="1:19" x14ac:dyDescent="0.25">
      <c r="A10527">
        <v>101328438</v>
      </c>
      <c r="B10527" t="s">
        <v>23673</v>
      </c>
      <c r="C10527" t="s">
        <v>5024</v>
      </c>
      <c r="G10527" t="s">
        <v>23674</v>
      </c>
      <c r="H10527" t="s">
        <v>8709</v>
      </c>
      <c r="I10527" t="s">
        <v>100</v>
      </c>
      <c r="J10527">
        <v>53405</v>
      </c>
      <c r="K10527">
        <v>3310</v>
      </c>
      <c r="L10527" t="s">
        <v>23</v>
      </c>
      <c r="M10527" t="s">
        <v>23674</v>
      </c>
      <c r="N10527" t="s">
        <v>8709</v>
      </c>
      <c r="O10527" t="s">
        <v>100</v>
      </c>
      <c r="P10527">
        <v>53405</v>
      </c>
      <c r="Q10527">
        <v>3310</v>
      </c>
      <c r="R10527" t="s">
        <v>23</v>
      </c>
      <c r="S10527" s="1" t="s">
        <v>34218</v>
      </c>
    </row>
    <row r="10528" spans="1:19" x14ac:dyDescent="0.25">
      <c r="A10528">
        <v>101292334</v>
      </c>
      <c r="B10528" t="s">
        <v>23675</v>
      </c>
      <c r="C10528" t="s">
        <v>3670</v>
      </c>
      <c r="G10528">
        <v>2135</v>
      </c>
      <c r="H10528" t="s">
        <v>3236</v>
      </c>
      <c r="I10528" t="s">
        <v>236</v>
      </c>
      <c r="J10528">
        <v>2135</v>
      </c>
      <c r="L10528" t="s">
        <v>23</v>
      </c>
      <c r="M10528">
        <v>2135</v>
      </c>
      <c r="N10528" t="s">
        <v>3236</v>
      </c>
      <c r="O10528" t="s">
        <v>236</v>
      </c>
      <c r="P10528">
        <v>2135</v>
      </c>
      <c r="R10528" t="s">
        <v>23</v>
      </c>
      <c r="S10528" s="1" t="s">
        <v>34218</v>
      </c>
    </row>
    <row r="10529" spans="1:19" x14ac:dyDescent="0.25">
      <c r="A10529">
        <v>101342371</v>
      </c>
      <c r="B10529" t="s">
        <v>744</v>
      </c>
      <c r="C10529" t="s">
        <v>6257</v>
      </c>
      <c r="G10529" t="s">
        <v>23676</v>
      </c>
      <c r="H10529" t="s">
        <v>14474</v>
      </c>
      <c r="I10529" t="s">
        <v>52</v>
      </c>
      <c r="J10529">
        <v>33027</v>
      </c>
      <c r="K10529">
        <v>3567</v>
      </c>
      <c r="L10529" t="s">
        <v>23</v>
      </c>
      <c r="M10529" t="s">
        <v>23676</v>
      </c>
      <c r="N10529" t="s">
        <v>14474</v>
      </c>
      <c r="O10529" t="s">
        <v>52</v>
      </c>
      <c r="P10529">
        <v>33027</v>
      </c>
      <c r="Q10529">
        <v>3567</v>
      </c>
      <c r="R10529" t="s">
        <v>23</v>
      </c>
      <c r="S10529" s="1" t="s">
        <v>34218</v>
      </c>
    </row>
    <row r="10530" spans="1:19" x14ac:dyDescent="0.25">
      <c r="A10530">
        <v>101349317</v>
      </c>
      <c r="B10530" t="s">
        <v>23677</v>
      </c>
      <c r="C10530" t="s">
        <v>4103</v>
      </c>
      <c r="G10530" t="s">
        <v>23678</v>
      </c>
      <c r="H10530" t="s">
        <v>23679</v>
      </c>
      <c r="I10530" t="s">
        <v>135</v>
      </c>
      <c r="J10530">
        <v>60016</v>
      </c>
      <c r="K10530">
        <v>7711</v>
      </c>
      <c r="L10530" t="s">
        <v>23</v>
      </c>
      <c r="M10530" t="s">
        <v>23678</v>
      </c>
      <c r="N10530" t="s">
        <v>23679</v>
      </c>
      <c r="O10530" t="s">
        <v>135</v>
      </c>
      <c r="P10530">
        <v>60016</v>
      </c>
      <c r="Q10530">
        <v>7711</v>
      </c>
      <c r="R10530" t="s">
        <v>23</v>
      </c>
      <c r="S10530" s="1" t="s">
        <v>34218</v>
      </c>
    </row>
    <row r="10531" spans="1:19" x14ac:dyDescent="0.25">
      <c r="A10531">
        <v>100962982</v>
      </c>
      <c r="B10531" t="s">
        <v>23680</v>
      </c>
      <c r="C10531" t="s">
        <v>1327</v>
      </c>
      <c r="F10531" t="str">
        <f>"7036238615"</f>
        <v>7036238615</v>
      </c>
      <c r="G10531" t="s">
        <v>23681</v>
      </c>
      <c r="H10531" t="s">
        <v>5471</v>
      </c>
      <c r="I10531" t="s">
        <v>255</v>
      </c>
      <c r="J10531">
        <v>23113</v>
      </c>
      <c r="K10531">
        <v>3102</v>
      </c>
      <c r="L10531" t="s">
        <v>23</v>
      </c>
      <c r="M10531" t="s">
        <v>23681</v>
      </c>
      <c r="N10531" t="s">
        <v>5471</v>
      </c>
      <c r="O10531" t="s">
        <v>255</v>
      </c>
      <c r="P10531">
        <v>23113</v>
      </c>
      <c r="Q10531">
        <v>3102</v>
      </c>
      <c r="R10531" t="s">
        <v>23</v>
      </c>
      <c r="S10531" s="1" t="s">
        <v>34218</v>
      </c>
    </row>
    <row r="10532" spans="1:19" x14ac:dyDescent="0.25">
      <c r="A10532">
        <v>101301069</v>
      </c>
      <c r="B10532" t="s">
        <v>23682</v>
      </c>
      <c r="C10532" t="s">
        <v>23683</v>
      </c>
      <c r="G10532" t="s">
        <v>23684</v>
      </c>
      <c r="H10532" t="s">
        <v>21</v>
      </c>
      <c r="I10532" t="s">
        <v>22</v>
      </c>
      <c r="J10532">
        <v>95404</v>
      </c>
      <c r="K10532">
        <v>2634</v>
      </c>
      <c r="L10532" t="s">
        <v>23</v>
      </c>
      <c r="M10532" t="s">
        <v>23684</v>
      </c>
      <c r="N10532" t="s">
        <v>21</v>
      </c>
      <c r="O10532" t="s">
        <v>22</v>
      </c>
      <c r="P10532">
        <v>95404</v>
      </c>
      <c r="Q10532">
        <v>2634</v>
      </c>
      <c r="R10532" t="s">
        <v>23</v>
      </c>
      <c r="S10532" s="1" t="s">
        <v>34218</v>
      </c>
    </row>
    <row r="10533" spans="1:19" x14ac:dyDescent="0.25">
      <c r="A10533">
        <v>101467413</v>
      </c>
      <c r="B10533" t="s">
        <v>23685</v>
      </c>
      <c r="C10533" t="s">
        <v>440</v>
      </c>
      <c r="G10533" t="s">
        <v>23686</v>
      </c>
      <c r="H10533" t="s">
        <v>423</v>
      </c>
      <c r="I10533" t="s">
        <v>71</v>
      </c>
      <c r="J10533">
        <v>80302</v>
      </c>
      <c r="K10533">
        <v>9607</v>
      </c>
      <c r="L10533" t="s">
        <v>23</v>
      </c>
      <c r="M10533" t="s">
        <v>23686</v>
      </c>
      <c r="N10533" t="s">
        <v>423</v>
      </c>
      <c r="O10533" t="s">
        <v>71</v>
      </c>
      <c r="P10533">
        <v>80302</v>
      </c>
      <c r="Q10533">
        <v>9607</v>
      </c>
      <c r="R10533" t="s">
        <v>23</v>
      </c>
      <c r="S10533" s="1" t="s">
        <v>34218</v>
      </c>
    </row>
    <row r="10534" spans="1:19" x14ac:dyDescent="0.25">
      <c r="A10534">
        <v>101227704</v>
      </c>
      <c r="B10534" t="s">
        <v>23687</v>
      </c>
      <c r="C10534" t="s">
        <v>1327</v>
      </c>
      <c r="G10534" t="s">
        <v>23688</v>
      </c>
      <c r="H10534" t="s">
        <v>8997</v>
      </c>
      <c r="I10534" t="s">
        <v>662</v>
      </c>
      <c r="J10534">
        <v>2904</v>
      </c>
      <c r="K10534">
        <v>2251</v>
      </c>
      <c r="L10534" t="s">
        <v>23</v>
      </c>
      <c r="M10534" t="s">
        <v>23688</v>
      </c>
      <c r="N10534" t="s">
        <v>8997</v>
      </c>
      <c r="O10534" t="s">
        <v>662</v>
      </c>
      <c r="P10534">
        <v>2904</v>
      </c>
      <c r="Q10534">
        <v>2251</v>
      </c>
      <c r="R10534" t="s">
        <v>23</v>
      </c>
      <c r="S10534" s="1" t="s">
        <v>34218</v>
      </c>
    </row>
    <row r="10535" spans="1:19" x14ac:dyDescent="0.25">
      <c r="A10535">
        <v>101479833</v>
      </c>
      <c r="B10535" t="s">
        <v>1505</v>
      </c>
      <c r="C10535" t="s">
        <v>3566</v>
      </c>
      <c r="G10535" t="s">
        <v>23689</v>
      </c>
      <c r="H10535" t="s">
        <v>5876</v>
      </c>
      <c r="I10535" t="s">
        <v>52</v>
      </c>
      <c r="J10535">
        <v>34208</v>
      </c>
      <c r="K10535">
        <v>1747</v>
      </c>
      <c r="L10535" t="s">
        <v>23</v>
      </c>
      <c r="M10535" t="s">
        <v>23689</v>
      </c>
      <c r="N10535" t="s">
        <v>5876</v>
      </c>
      <c r="O10535" t="s">
        <v>52</v>
      </c>
      <c r="P10535">
        <v>34208</v>
      </c>
      <c r="Q10535">
        <v>1747</v>
      </c>
      <c r="R10535" t="s">
        <v>23</v>
      </c>
      <c r="S10535" s="1" t="s">
        <v>34218</v>
      </c>
    </row>
    <row r="10536" spans="1:19" x14ac:dyDescent="0.25">
      <c r="A10536">
        <v>101479840</v>
      </c>
      <c r="B10536" t="s">
        <v>19505</v>
      </c>
      <c r="C10536" t="s">
        <v>11569</v>
      </c>
      <c r="G10536" t="s">
        <v>23690</v>
      </c>
      <c r="H10536" t="s">
        <v>23691</v>
      </c>
      <c r="I10536" t="s">
        <v>914</v>
      </c>
      <c r="J10536">
        <v>37643</v>
      </c>
      <c r="K10536">
        <v>2986</v>
      </c>
      <c r="L10536" t="s">
        <v>23</v>
      </c>
      <c r="M10536" t="s">
        <v>23690</v>
      </c>
      <c r="N10536" t="s">
        <v>23691</v>
      </c>
      <c r="O10536" t="s">
        <v>914</v>
      </c>
      <c r="P10536">
        <v>37643</v>
      </c>
      <c r="Q10536">
        <v>2986</v>
      </c>
      <c r="R10536" t="s">
        <v>23</v>
      </c>
      <c r="S10536" s="1" t="s">
        <v>34218</v>
      </c>
    </row>
    <row r="10537" spans="1:19" x14ac:dyDescent="0.25">
      <c r="A10537">
        <v>101479897</v>
      </c>
      <c r="B10537" t="s">
        <v>6084</v>
      </c>
      <c r="C10537" t="s">
        <v>1205</v>
      </c>
      <c r="G10537" t="s">
        <v>23692</v>
      </c>
      <c r="H10537" t="s">
        <v>1405</v>
      </c>
      <c r="I10537" t="s">
        <v>187</v>
      </c>
      <c r="J10537">
        <v>55129</v>
      </c>
      <c r="K10537">
        <v>6805</v>
      </c>
      <c r="L10537" t="s">
        <v>23</v>
      </c>
      <c r="M10537" t="s">
        <v>23692</v>
      </c>
      <c r="N10537" t="s">
        <v>1405</v>
      </c>
      <c r="O10537" t="s">
        <v>187</v>
      </c>
      <c r="P10537">
        <v>55129</v>
      </c>
      <c r="Q10537">
        <v>6805</v>
      </c>
      <c r="R10537" t="s">
        <v>23</v>
      </c>
      <c r="S10537" s="1" t="s">
        <v>34218</v>
      </c>
    </row>
    <row r="10538" spans="1:19" x14ac:dyDescent="0.25">
      <c r="A10538">
        <v>101481162</v>
      </c>
      <c r="B10538" t="s">
        <v>3696</v>
      </c>
      <c r="C10538" t="s">
        <v>23693</v>
      </c>
      <c r="G10538" t="s">
        <v>23694</v>
      </c>
      <c r="H10538" t="s">
        <v>66</v>
      </c>
      <c r="I10538" t="s">
        <v>22</v>
      </c>
      <c r="J10538">
        <v>94705</v>
      </c>
      <c r="K10538">
        <v>1026</v>
      </c>
      <c r="L10538" t="s">
        <v>23</v>
      </c>
      <c r="M10538" t="s">
        <v>23694</v>
      </c>
      <c r="N10538" t="s">
        <v>66</v>
      </c>
      <c r="O10538" t="s">
        <v>22</v>
      </c>
      <c r="P10538">
        <v>94705</v>
      </c>
      <c r="Q10538">
        <v>1026</v>
      </c>
      <c r="R10538" t="s">
        <v>23</v>
      </c>
      <c r="S10538" s="1" t="s">
        <v>34218</v>
      </c>
    </row>
    <row r="10539" spans="1:19" x14ac:dyDescent="0.25">
      <c r="A10539">
        <v>101345001</v>
      </c>
      <c r="B10539" t="s">
        <v>23695</v>
      </c>
      <c r="C10539" t="s">
        <v>209</v>
      </c>
      <c r="G10539" t="s">
        <v>23696</v>
      </c>
      <c r="H10539" t="s">
        <v>5070</v>
      </c>
      <c r="I10539" t="s">
        <v>84</v>
      </c>
      <c r="J10539">
        <v>98662</v>
      </c>
      <c r="K10539">
        <v>3328</v>
      </c>
      <c r="L10539" t="s">
        <v>23</v>
      </c>
      <c r="M10539" t="s">
        <v>23696</v>
      </c>
      <c r="N10539" t="s">
        <v>5070</v>
      </c>
      <c r="O10539" t="s">
        <v>84</v>
      </c>
      <c r="P10539">
        <v>98662</v>
      </c>
      <c r="Q10539">
        <v>3328</v>
      </c>
      <c r="R10539" t="s">
        <v>23</v>
      </c>
      <c r="S10539" s="1" t="s">
        <v>34218</v>
      </c>
    </row>
    <row r="10540" spans="1:19" x14ac:dyDescent="0.25">
      <c r="A10540">
        <v>100815016</v>
      </c>
      <c r="B10540" t="s">
        <v>216</v>
      </c>
      <c r="C10540" t="s">
        <v>2466</v>
      </c>
      <c r="G10540" t="s">
        <v>23697</v>
      </c>
      <c r="H10540" t="s">
        <v>8140</v>
      </c>
      <c r="I10540" t="s">
        <v>22</v>
      </c>
      <c r="J10540" t="s">
        <v>23698</v>
      </c>
      <c r="K10540">
        <v>5003</v>
      </c>
      <c r="L10540" t="s">
        <v>23</v>
      </c>
      <c r="M10540" t="s">
        <v>23697</v>
      </c>
      <c r="N10540" t="s">
        <v>8140</v>
      </c>
      <c r="O10540" t="s">
        <v>22</v>
      </c>
      <c r="P10540" t="s">
        <v>23698</v>
      </c>
      <c r="Q10540">
        <v>5003</v>
      </c>
      <c r="R10540" t="s">
        <v>23</v>
      </c>
      <c r="S10540" s="1" t="s">
        <v>34218</v>
      </c>
    </row>
    <row r="10541" spans="1:19" x14ac:dyDescent="0.25">
      <c r="A10541">
        <v>101474686</v>
      </c>
      <c r="B10541" t="s">
        <v>23699</v>
      </c>
      <c r="C10541" t="s">
        <v>9460</v>
      </c>
      <c r="G10541" t="s">
        <v>23700</v>
      </c>
      <c r="H10541" t="s">
        <v>653</v>
      </c>
      <c r="I10541" t="s">
        <v>117</v>
      </c>
      <c r="J10541">
        <v>10024</v>
      </c>
      <c r="K10541">
        <v>6023</v>
      </c>
      <c r="L10541" t="s">
        <v>23</v>
      </c>
      <c r="M10541" t="s">
        <v>23700</v>
      </c>
      <c r="N10541" t="s">
        <v>653</v>
      </c>
      <c r="O10541" t="s">
        <v>117</v>
      </c>
      <c r="P10541">
        <v>10024</v>
      </c>
      <c r="Q10541">
        <v>6023</v>
      </c>
      <c r="R10541" t="s">
        <v>23</v>
      </c>
      <c r="S10541" s="1" t="s">
        <v>34218</v>
      </c>
    </row>
    <row r="10542" spans="1:19" x14ac:dyDescent="0.25">
      <c r="A10542">
        <v>101474711</v>
      </c>
      <c r="B10542" t="s">
        <v>3209</v>
      </c>
      <c r="C10542" t="s">
        <v>6689</v>
      </c>
      <c r="G10542" t="s">
        <v>23701</v>
      </c>
      <c r="H10542" t="s">
        <v>653</v>
      </c>
      <c r="I10542" t="s">
        <v>117</v>
      </c>
      <c r="J10542">
        <v>10031</v>
      </c>
      <c r="L10542" t="s">
        <v>23</v>
      </c>
      <c r="M10542" t="s">
        <v>23701</v>
      </c>
      <c r="N10542" t="s">
        <v>653</v>
      </c>
      <c r="O10542" t="s">
        <v>117</v>
      </c>
      <c r="P10542">
        <v>10031</v>
      </c>
      <c r="R10542" t="s">
        <v>23</v>
      </c>
      <c r="S10542" s="1" t="s">
        <v>34218</v>
      </c>
    </row>
    <row r="10543" spans="1:19" x14ac:dyDescent="0.25">
      <c r="A10543">
        <v>101474775</v>
      </c>
      <c r="B10543" t="s">
        <v>23702</v>
      </c>
      <c r="C10543" t="s">
        <v>579</v>
      </c>
      <c r="G10543" t="s">
        <v>23703</v>
      </c>
      <c r="H10543" t="s">
        <v>4400</v>
      </c>
      <c r="I10543" t="s">
        <v>117</v>
      </c>
      <c r="J10543">
        <v>10705</v>
      </c>
      <c r="K10543">
        <v>1707</v>
      </c>
      <c r="L10543" t="s">
        <v>23</v>
      </c>
      <c r="M10543" t="s">
        <v>23703</v>
      </c>
      <c r="N10543" t="s">
        <v>4400</v>
      </c>
      <c r="O10543" t="s">
        <v>117</v>
      </c>
      <c r="P10543">
        <v>10705</v>
      </c>
      <c r="Q10543">
        <v>1707</v>
      </c>
      <c r="R10543" t="s">
        <v>23</v>
      </c>
      <c r="S10543" s="1" t="s">
        <v>34218</v>
      </c>
    </row>
    <row r="10544" spans="1:19" x14ac:dyDescent="0.25">
      <c r="A10544">
        <v>101480234</v>
      </c>
      <c r="B10544" t="s">
        <v>23704</v>
      </c>
      <c r="C10544" t="s">
        <v>2411</v>
      </c>
      <c r="G10544" t="s">
        <v>23705</v>
      </c>
      <c r="H10544" t="s">
        <v>12197</v>
      </c>
      <c r="I10544" t="s">
        <v>33</v>
      </c>
      <c r="J10544">
        <v>17111</v>
      </c>
      <c r="K10544">
        <v>1714</v>
      </c>
      <c r="L10544" t="s">
        <v>23</v>
      </c>
      <c r="M10544" t="s">
        <v>23705</v>
      </c>
      <c r="N10544" t="s">
        <v>12197</v>
      </c>
      <c r="O10544" t="s">
        <v>33</v>
      </c>
      <c r="P10544">
        <v>17111</v>
      </c>
      <c r="Q10544">
        <v>1714</v>
      </c>
      <c r="R10544" t="s">
        <v>23</v>
      </c>
      <c r="S10544" s="1" t="s">
        <v>34218</v>
      </c>
    </row>
    <row r="10545" spans="1:19" x14ac:dyDescent="0.25">
      <c r="A10545">
        <v>101480238</v>
      </c>
      <c r="B10545" t="s">
        <v>23706</v>
      </c>
      <c r="C10545" t="s">
        <v>102</v>
      </c>
      <c r="G10545" t="s">
        <v>23707</v>
      </c>
      <c r="H10545" t="s">
        <v>3098</v>
      </c>
      <c r="I10545" t="s">
        <v>33</v>
      </c>
      <c r="J10545">
        <v>18045</v>
      </c>
      <c r="K10545">
        <v>3754</v>
      </c>
      <c r="L10545" t="s">
        <v>23</v>
      </c>
      <c r="M10545" t="s">
        <v>23707</v>
      </c>
      <c r="N10545" t="s">
        <v>3098</v>
      </c>
      <c r="O10545" t="s">
        <v>33</v>
      </c>
      <c r="P10545">
        <v>18045</v>
      </c>
      <c r="Q10545">
        <v>3754</v>
      </c>
      <c r="R10545" t="s">
        <v>23</v>
      </c>
      <c r="S10545" s="1" t="s">
        <v>34218</v>
      </c>
    </row>
    <row r="10546" spans="1:19" x14ac:dyDescent="0.25">
      <c r="A10546">
        <v>101480277</v>
      </c>
      <c r="B10546" t="s">
        <v>23708</v>
      </c>
      <c r="C10546" t="s">
        <v>4188</v>
      </c>
      <c r="G10546" t="s">
        <v>23709</v>
      </c>
      <c r="H10546" t="s">
        <v>10619</v>
      </c>
      <c r="I10546" t="s">
        <v>84</v>
      </c>
      <c r="J10546">
        <v>98177</v>
      </c>
      <c r="K10546">
        <v>2139</v>
      </c>
      <c r="L10546" t="s">
        <v>23</v>
      </c>
      <c r="M10546" t="s">
        <v>23709</v>
      </c>
      <c r="N10546" t="s">
        <v>10619</v>
      </c>
      <c r="O10546" t="s">
        <v>84</v>
      </c>
      <c r="P10546">
        <v>98177</v>
      </c>
      <c r="Q10546">
        <v>2139</v>
      </c>
      <c r="R10546" t="s">
        <v>23</v>
      </c>
      <c r="S10546" s="1" t="s">
        <v>34218</v>
      </c>
    </row>
    <row r="10547" spans="1:19" x14ac:dyDescent="0.25">
      <c r="A10547">
        <v>101480279</v>
      </c>
      <c r="B10547" t="s">
        <v>23710</v>
      </c>
      <c r="C10547" t="s">
        <v>23711</v>
      </c>
      <c r="G10547" t="s">
        <v>23712</v>
      </c>
      <c r="H10547" t="s">
        <v>6879</v>
      </c>
      <c r="I10547" t="s">
        <v>84</v>
      </c>
      <c r="J10547">
        <v>98198</v>
      </c>
      <c r="K10547">
        <v>7570</v>
      </c>
      <c r="L10547" t="s">
        <v>23</v>
      </c>
      <c r="M10547" t="s">
        <v>23712</v>
      </c>
      <c r="N10547" t="s">
        <v>6879</v>
      </c>
      <c r="O10547" t="s">
        <v>84</v>
      </c>
      <c r="P10547">
        <v>98198</v>
      </c>
      <c r="Q10547">
        <v>7570</v>
      </c>
      <c r="R10547" t="s">
        <v>23</v>
      </c>
      <c r="S10547" s="1" t="s">
        <v>34218</v>
      </c>
    </row>
    <row r="10548" spans="1:19" x14ac:dyDescent="0.25">
      <c r="A10548">
        <v>101480313</v>
      </c>
      <c r="B10548" t="s">
        <v>23713</v>
      </c>
      <c r="C10548" t="s">
        <v>1647</v>
      </c>
      <c r="G10548" t="s">
        <v>23714</v>
      </c>
      <c r="H10548" t="s">
        <v>3884</v>
      </c>
      <c r="I10548" t="s">
        <v>84</v>
      </c>
      <c r="J10548">
        <v>98260</v>
      </c>
      <c r="K10548">
        <v>816</v>
      </c>
      <c r="L10548" t="s">
        <v>23</v>
      </c>
      <c r="M10548" t="s">
        <v>23714</v>
      </c>
      <c r="N10548" t="s">
        <v>3884</v>
      </c>
      <c r="O10548" t="s">
        <v>84</v>
      </c>
      <c r="P10548">
        <v>98260</v>
      </c>
      <c r="Q10548">
        <v>816</v>
      </c>
      <c r="R10548" t="s">
        <v>23</v>
      </c>
      <c r="S10548" s="1" t="s">
        <v>34218</v>
      </c>
    </row>
    <row r="10549" spans="1:19" x14ac:dyDescent="0.25">
      <c r="A10549">
        <v>101300481</v>
      </c>
      <c r="B10549" t="s">
        <v>2051</v>
      </c>
      <c r="C10549" t="s">
        <v>1602</v>
      </c>
      <c r="G10549" t="s">
        <v>23715</v>
      </c>
      <c r="H10549" t="s">
        <v>1579</v>
      </c>
      <c r="I10549" t="s">
        <v>71</v>
      </c>
      <c r="J10549">
        <v>80010</v>
      </c>
      <c r="K10549">
        <v>4305</v>
      </c>
      <c r="L10549" t="s">
        <v>23</v>
      </c>
      <c r="M10549" t="s">
        <v>23715</v>
      </c>
      <c r="N10549" t="s">
        <v>1579</v>
      </c>
      <c r="O10549" t="s">
        <v>71</v>
      </c>
      <c r="P10549">
        <v>80010</v>
      </c>
      <c r="Q10549">
        <v>4305</v>
      </c>
      <c r="R10549" t="s">
        <v>23</v>
      </c>
      <c r="S10549" s="1" t="s">
        <v>34218</v>
      </c>
    </row>
    <row r="10550" spans="1:19" x14ac:dyDescent="0.25">
      <c r="A10550">
        <v>100755866</v>
      </c>
      <c r="B10550" t="s">
        <v>1669</v>
      </c>
      <c r="C10550" t="s">
        <v>1331</v>
      </c>
      <c r="G10550" t="s">
        <v>23716</v>
      </c>
      <c r="H10550" t="s">
        <v>5056</v>
      </c>
      <c r="I10550" t="s">
        <v>22</v>
      </c>
      <c r="J10550">
        <v>92701</v>
      </c>
      <c r="K10550">
        <v>5540</v>
      </c>
      <c r="L10550" t="s">
        <v>23</v>
      </c>
      <c r="M10550" t="s">
        <v>23716</v>
      </c>
      <c r="N10550" t="s">
        <v>5056</v>
      </c>
      <c r="O10550" t="s">
        <v>22</v>
      </c>
      <c r="P10550">
        <v>92701</v>
      </c>
      <c r="Q10550">
        <v>5540</v>
      </c>
      <c r="R10550" t="s">
        <v>23</v>
      </c>
      <c r="S10550" s="1" t="s">
        <v>34218</v>
      </c>
    </row>
    <row r="10551" spans="1:19" x14ac:dyDescent="0.25">
      <c r="A10551">
        <v>101480548</v>
      </c>
      <c r="B10551" t="s">
        <v>1668</v>
      </c>
      <c r="C10551" t="s">
        <v>49</v>
      </c>
      <c r="G10551" t="s">
        <v>22474</v>
      </c>
      <c r="H10551" t="s">
        <v>19996</v>
      </c>
      <c r="I10551" t="s">
        <v>22</v>
      </c>
      <c r="J10551">
        <v>96052</v>
      </c>
      <c r="K10551">
        <v>652</v>
      </c>
      <c r="L10551" t="s">
        <v>23</v>
      </c>
      <c r="M10551" t="s">
        <v>22474</v>
      </c>
      <c r="N10551" t="s">
        <v>19996</v>
      </c>
      <c r="O10551" t="s">
        <v>22</v>
      </c>
      <c r="P10551">
        <v>96052</v>
      </c>
      <c r="Q10551">
        <v>652</v>
      </c>
      <c r="R10551" t="s">
        <v>23</v>
      </c>
      <c r="S10551" s="1" t="s">
        <v>34218</v>
      </c>
    </row>
    <row r="10552" spans="1:19" x14ac:dyDescent="0.25">
      <c r="A10552">
        <v>101480550</v>
      </c>
      <c r="B10552" t="s">
        <v>2773</v>
      </c>
      <c r="C10552" t="s">
        <v>6552</v>
      </c>
      <c r="G10552" t="s">
        <v>23717</v>
      </c>
      <c r="H10552" t="s">
        <v>653</v>
      </c>
      <c r="I10552" t="s">
        <v>117</v>
      </c>
      <c r="J10552">
        <v>10022</v>
      </c>
      <c r="K10552">
        <v>6735</v>
      </c>
      <c r="L10552" t="s">
        <v>23</v>
      </c>
      <c r="M10552" t="s">
        <v>23717</v>
      </c>
      <c r="N10552" t="s">
        <v>653</v>
      </c>
      <c r="O10552" t="s">
        <v>117</v>
      </c>
      <c r="P10552">
        <v>10022</v>
      </c>
      <c r="Q10552">
        <v>6735</v>
      </c>
      <c r="R10552" t="s">
        <v>23</v>
      </c>
      <c r="S10552" s="1" t="s">
        <v>34218</v>
      </c>
    </row>
    <row r="10553" spans="1:19" x14ac:dyDescent="0.25">
      <c r="A10553">
        <v>101230450</v>
      </c>
      <c r="B10553" t="s">
        <v>2388</v>
      </c>
      <c r="C10553" t="s">
        <v>1323</v>
      </c>
      <c r="G10553" t="s">
        <v>23718</v>
      </c>
      <c r="H10553" t="s">
        <v>9456</v>
      </c>
      <c r="I10553" t="s">
        <v>135</v>
      </c>
      <c r="J10553">
        <v>60510</v>
      </c>
      <c r="K10553">
        <v>3314</v>
      </c>
      <c r="L10553" t="s">
        <v>23</v>
      </c>
      <c r="M10553" t="s">
        <v>23718</v>
      </c>
      <c r="N10553" t="s">
        <v>9456</v>
      </c>
      <c r="O10553" t="s">
        <v>135</v>
      </c>
      <c r="P10553">
        <v>60510</v>
      </c>
      <c r="Q10553">
        <v>3314</v>
      </c>
      <c r="R10553" t="s">
        <v>23</v>
      </c>
      <c r="S10553" s="1" t="s">
        <v>34218</v>
      </c>
    </row>
    <row r="10554" spans="1:19" x14ac:dyDescent="0.25">
      <c r="A10554">
        <v>101351604</v>
      </c>
      <c r="B10554" t="s">
        <v>23719</v>
      </c>
      <c r="C10554" t="s">
        <v>81</v>
      </c>
      <c r="G10554" t="s">
        <v>23720</v>
      </c>
      <c r="H10554" t="s">
        <v>23721</v>
      </c>
      <c r="I10554" t="s">
        <v>28</v>
      </c>
      <c r="J10554">
        <v>30523</v>
      </c>
      <c r="K10554">
        <v>1405</v>
      </c>
      <c r="L10554" t="s">
        <v>23</v>
      </c>
      <c r="M10554" t="s">
        <v>23720</v>
      </c>
      <c r="N10554" t="s">
        <v>23721</v>
      </c>
      <c r="O10554" t="s">
        <v>28</v>
      </c>
      <c r="P10554">
        <v>30523</v>
      </c>
      <c r="Q10554">
        <v>1405</v>
      </c>
      <c r="R10554" t="s">
        <v>23</v>
      </c>
      <c r="S10554" s="1" t="s">
        <v>34218</v>
      </c>
    </row>
    <row r="10555" spans="1:19" x14ac:dyDescent="0.25">
      <c r="A10555">
        <v>101442694</v>
      </c>
      <c r="B10555" t="s">
        <v>276</v>
      </c>
      <c r="C10555" t="s">
        <v>59</v>
      </c>
      <c r="G10555" t="s">
        <v>23722</v>
      </c>
      <c r="H10555" t="s">
        <v>23723</v>
      </c>
      <c r="I10555" t="s">
        <v>187</v>
      </c>
      <c r="J10555">
        <v>56073</v>
      </c>
      <c r="K10555">
        <v>4192</v>
      </c>
      <c r="L10555" t="s">
        <v>23</v>
      </c>
      <c r="M10555" t="s">
        <v>23722</v>
      </c>
      <c r="N10555" t="s">
        <v>23723</v>
      </c>
      <c r="O10555" t="s">
        <v>187</v>
      </c>
      <c r="P10555">
        <v>56073</v>
      </c>
      <c r="Q10555">
        <v>4192</v>
      </c>
      <c r="R10555" t="s">
        <v>23</v>
      </c>
      <c r="S10555" s="1" t="s">
        <v>34218</v>
      </c>
    </row>
    <row r="10556" spans="1:19" x14ac:dyDescent="0.25">
      <c r="A10556">
        <v>100516052</v>
      </c>
      <c r="B10556" t="s">
        <v>23724</v>
      </c>
      <c r="C10556" t="s">
        <v>16228</v>
      </c>
      <c r="G10556" t="s">
        <v>23725</v>
      </c>
      <c r="H10556" t="s">
        <v>23726</v>
      </c>
      <c r="I10556" t="s">
        <v>57</v>
      </c>
      <c r="J10556">
        <v>46770</v>
      </c>
      <c r="K10556">
        <v>9796</v>
      </c>
      <c r="L10556" t="s">
        <v>23</v>
      </c>
      <c r="M10556" t="s">
        <v>23725</v>
      </c>
      <c r="N10556" t="s">
        <v>23726</v>
      </c>
      <c r="O10556" t="s">
        <v>57</v>
      </c>
      <c r="P10556">
        <v>46770</v>
      </c>
      <c r="Q10556">
        <v>9796</v>
      </c>
      <c r="R10556" t="s">
        <v>23</v>
      </c>
      <c r="S10556" s="1" t="s">
        <v>34218</v>
      </c>
    </row>
    <row r="10557" spans="1:19" x14ac:dyDescent="0.25">
      <c r="A10557">
        <v>101480560</v>
      </c>
      <c r="B10557" t="s">
        <v>23727</v>
      </c>
      <c r="C10557" t="s">
        <v>7358</v>
      </c>
      <c r="G10557" t="s">
        <v>23728</v>
      </c>
      <c r="H10557" t="s">
        <v>682</v>
      </c>
      <c r="I10557" t="s">
        <v>365</v>
      </c>
      <c r="J10557">
        <v>85027</v>
      </c>
      <c r="K10557">
        <v>3007</v>
      </c>
      <c r="L10557" t="s">
        <v>23</v>
      </c>
      <c r="M10557" t="s">
        <v>23728</v>
      </c>
      <c r="N10557" t="s">
        <v>682</v>
      </c>
      <c r="O10557" t="s">
        <v>365</v>
      </c>
      <c r="P10557">
        <v>85027</v>
      </c>
      <c r="Q10557">
        <v>3007</v>
      </c>
      <c r="R10557" t="s">
        <v>23</v>
      </c>
      <c r="S10557" s="1" t="s">
        <v>34218</v>
      </c>
    </row>
    <row r="10558" spans="1:19" x14ac:dyDescent="0.25">
      <c r="A10558">
        <v>101466346</v>
      </c>
      <c r="B10558" t="s">
        <v>23729</v>
      </c>
      <c r="C10558" t="s">
        <v>23730</v>
      </c>
      <c r="G10558" t="s">
        <v>23731</v>
      </c>
      <c r="H10558" t="s">
        <v>15866</v>
      </c>
      <c r="I10558" t="s">
        <v>38</v>
      </c>
      <c r="J10558">
        <v>78155</v>
      </c>
      <c r="K10558">
        <v>7781</v>
      </c>
      <c r="L10558" t="s">
        <v>23</v>
      </c>
      <c r="M10558" t="s">
        <v>23731</v>
      </c>
      <c r="N10558" t="s">
        <v>15866</v>
      </c>
      <c r="O10558" t="s">
        <v>38</v>
      </c>
      <c r="P10558">
        <v>78155</v>
      </c>
      <c r="Q10558">
        <v>7781</v>
      </c>
      <c r="R10558" t="s">
        <v>23</v>
      </c>
      <c r="S10558" s="1" t="s">
        <v>34218</v>
      </c>
    </row>
    <row r="10559" spans="1:19" x14ac:dyDescent="0.25">
      <c r="A10559">
        <v>101420059</v>
      </c>
      <c r="B10559" t="s">
        <v>23732</v>
      </c>
      <c r="C10559" t="s">
        <v>403</v>
      </c>
      <c r="G10559" t="s">
        <v>23733</v>
      </c>
      <c r="H10559" t="s">
        <v>4550</v>
      </c>
      <c r="I10559" t="s">
        <v>236</v>
      </c>
      <c r="J10559">
        <v>1453</v>
      </c>
      <c r="K10559">
        <v>1907</v>
      </c>
      <c r="L10559" t="s">
        <v>23</v>
      </c>
      <c r="M10559" t="s">
        <v>23733</v>
      </c>
      <c r="N10559" t="s">
        <v>4550</v>
      </c>
      <c r="O10559" t="s">
        <v>236</v>
      </c>
      <c r="P10559">
        <v>1453</v>
      </c>
      <c r="Q10559">
        <v>1907</v>
      </c>
      <c r="R10559" t="s">
        <v>23</v>
      </c>
      <c r="S10559" s="1" t="s">
        <v>34218</v>
      </c>
    </row>
    <row r="10560" spans="1:19" x14ac:dyDescent="0.25">
      <c r="A10560">
        <v>101273219</v>
      </c>
      <c r="B10560" t="s">
        <v>23734</v>
      </c>
      <c r="C10560" t="s">
        <v>90</v>
      </c>
      <c r="G10560" t="s">
        <v>23735</v>
      </c>
      <c r="H10560" t="s">
        <v>143</v>
      </c>
      <c r="I10560" t="s">
        <v>52</v>
      </c>
      <c r="J10560">
        <v>32207</v>
      </c>
      <c r="K10560">
        <v>2335</v>
      </c>
      <c r="L10560" t="s">
        <v>23</v>
      </c>
      <c r="M10560" t="s">
        <v>23735</v>
      </c>
      <c r="N10560" t="s">
        <v>143</v>
      </c>
      <c r="O10560" t="s">
        <v>52</v>
      </c>
      <c r="P10560">
        <v>32207</v>
      </c>
      <c r="Q10560">
        <v>2335</v>
      </c>
      <c r="R10560" t="s">
        <v>23</v>
      </c>
      <c r="S10560" s="1" t="s">
        <v>34218</v>
      </c>
    </row>
    <row r="10561" spans="1:19" x14ac:dyDescent="0.25">
      <c r="A10561">
        <v>101478127</v>
      </c>
      <c r="B10561" t="s">
        <v>23736</v>
      </c>
      <c r="C10561" t="s">
        <v>68</v>
      </c>
      <c r="G10561" t="s">
        <v>20773</v>
      </c>
      <c r="H10561" t="s">
        <v>682</v>
      </c>
      <c r="I10561" t="s">
        <v>365</v>
      </c>
      <c r="J10561">
        <v>85018</v>
      </c>
      <c r="L10561" t="s">
        <v>23</v>
      </c>
      <c r="M10561" t="s">
        <v>20773</v>
      </c>
      <c r="N10561" t="s">
        <v>682</v>
      </c>
      <c r="O10561" t="s">
        <v>365</v>
      </c>
      <c r="P10561">
        <v>85018</v>
      </c>
      <c r="R10561" t="s">
        <v>23</v>
      </c>
      <c r="S10561" s="1" t="s">
        <v>34218</v>
      </c>
    </row>
    <row r="10562" spans="1:19" x14ac:dyDescent="0.25">
      <c r="A10562">
        <v>101478259</v>
      </c>
      <c r="B10562" t="s">
        <v>2586</v>
      </c>
      <c r="C10562" t="s">
        <v>18320</v>
      </c>
      <c r="G10562" t="s">
        <v>23737</v>
      </c>
      <c r="H10562" t="s">
        <v>9886</v>
      </c>
      <c r="I10562" t="s">
        <v>140</v>
      </c>
      <c r="J10562">
        <v>48420</v>
      </c>
      <c r="K10562">
        <v>2501</v>
      </c>
      <c r="L10562" t="s">
        <v>23</v>
      </c>
      <c r="M10562" t="s">
        <v>23737</v>
      </c>
      <c r="N10562" t="s">
        <v>9886</v>
      </c>
      <c r="O10562" t="s">
        <v>140</v>
      </c>
      <c r="P10562">
        <v>48420</v>
      </c>
      <c r="Q10562">
        <v>2501</v>
      </c>
      <c r="R10562" t="s">
        <v>23</v>
      </c>
      <c r="S10562" s="1" t="s">
        <v>34218</v>
      </c>
    </row>
    <row r="10563" spans="1:19" x14ac:dyDescent="0.25">
      <c r="A10563">
        <v>101478284</v>
      </c>
      <c r="B10563" t="s">
        <v>23738</v>
      </c>
      <c r="C10563" t="s">
        <v>10905</v>
      </c>
      <c r="G10563" t="s">
        <v>23739</v>
      </c>
      <c r="H10563" t="s">
        <v>8751</v>
      </c>
      <c r="I10563" t="s">
        <v>140</v>
      </c>
      <c r="J10563">
        <v>48823</v>
      </c>
      <c r="K10563">
        <v>3783</v>
      </c>
      <c r="L10563" t="s">
        <v>23</v>
      </c>
      <c r="M10563" t="s">
        <v>23739</v>
      </c>
      <c r="N10563" t="s">
        <v>8751</v>
      </c>
      <c r="O10563" t="s">
        <v>140</v>
      </c>
      <c r="P10563">
        <v>48823</v>
      </c>
      <c r="Q10563">
        <v>3783</v>
      </c>
      <c r="R10563" t="s">
        <v>23</v>
      </c>
      <c r="S10563" s="1" t="s">
        <v>34218</v>
      </c>
    </row>
    <row r="10564" spans="1:19" x14ac:dyDescent="0.25">
      <c r="A10564">
        <v>101478327</v>
      </c>
      <c r="B10564" t="s">
        <v>553</v>
      </c>
      <c r="C10564" t="s">
        <v>9958</v>
      </c>
      <c r="G10564" t="s">
        <v>23740</v>
      </c>
      <c r="H10564" t="s">
        <v>1716</v>
      </c>
      <c r="I10564" t="s">
        <v>38</v>
      </c>
      <c r="J10564">
        <v>79905</v>
      </c>
      <c r="K10564">
        <v>4216</v>
      </c>
      <c r="L10564" t="s">
        <v>23</v>
      </c>
      <c r="M10564" t="s">
        <v>23740</v>
      </c>
      <c r="N10564" t="s">
        <v>1716</v>
      </c>
      <c r="O10564" t="s">
        <v>38</v>
      </c>
      <c r="P10564">
        <v>79905</v>
      </c>
      <c r="Q10564">
        <v>4216</v>
      </c>
      <c r="R10564" t="s">
        <v>23</v>
      </c>
      <c r="S10564" s="1" t="s">
        <v>34218</v>
      </c>
    </row>
    <row r="10565" spans="1:19" x14ac:dyDescent="0.25">
      <c r="A10565">
        <v>101478352</v>
      </c>
      <c r="B10565" t="s">
        <v>23741</v>
      </c>
      <c r="C10565" t="s">
        <v>1616</v>
      </c>
      <c r="G10565" t="s">
        <v>23742</v>
      </c>
      <c r="H10565" t="s">
        <v>4199</v>
      </c>
      <c r="I10565" t="s">
        <v>71</v>
      </c>
      <c r="J10565">
        <v>80026</v>
      </c>
      <c r="K10565">
        <v>7000</v>
      </c>
      <c r="L10565" t="s">
        <v>23</v>
      </c>
      <c r="M10565" t="s">
        <v>23742</v>
      </c>
      <c r="N10565" t="s">
        <v>4199</v>
      </c>
      <c r="O10565" t="s">
        <v>71</v>
      </c>
      <c r="P10565">
        <v>80026</v>
      </c>
      <c r="Q10565">
        <v>7000</v>
      </c>
      <c r="R10565" t="s">
        <v>23</v>
      </c>
      <c r="S10565" s="1" t="s">
        <v>34218</v>
      </c>
    </row>
    <row r="10566" spans="1:19" x14ac:dyDescent="0.25">
      <c r="A10566">
        <v>101478402</v>
      </c>
      <c r="B10566" t="s">
        <v>23743</v>
      </c>
      <c r="C10566" t="s">
        <v>4318</v>
      </c>
      <c r="G10566" t="s">
        <v>23744</v>
      </c>
      <c r="H10566" t="s">
        <v>4326</v>
      </c>
      <c r="I10566" t="s">
        <v>71</v>
      </c>
      <c r="J10566">
        <v>80226</v>
      </c>
      <c r="K10566">
        <v>3263</v>
      </c>
      <c r="L10566" t="s">
        <v>23</v>
      </c>
      <c r="M10566" t="s">
        <v>23744</v>
      </c>
      <c r="N10566" t="s">
        <v>4326</v>
      </c>
      <c r="O10566" t="s">
        <v>71</v>
      </c>
      <c r="P10566">
        <v>80226</v>
      </c>
      <c r="Q10566">
        <v>3263</v>
      </c>
      <c r="R10566" t="s">
        <v>23</v>
      </c>
      <c r="S10566" s="1" t="s">
        <v>34218</v>
      </c>
    </row>
    <row r="10567" spans="1:19" x14ac:dyDescent="0.25">
      <c r="A10567">
        <v>101478434</v>
      </c>
      <c r="B10567" t="s">
        <v>23745</v>
      </c>
      <c r="C10567" t="s">
        <v>119</v>
      </c>
      <c r="G10567" t="s">
        <v>23746</v>
      </c>
      <c r="H10567" t="s">
        <v>15073</v>
      </c>
      <c r="I10567" t="s">
        <v>71</v>
      </c>
      <c r="J10567">
        <v>80466</v>
      </c>
      <c r="L10567" t="s">
        <v>23</v>
      </c>
      <c r="M10567" t="s">
        <v>23746</v>
      </c>
      <c r="N10567" t="s">
        <v>15073</v>
      </c>
      <c r="O10567" t="s">
        <v>71</v>
      </c>
      <c r="P10567">
        <v>80466</v>
      </c>
      <c r="R10567" t="s">
        <v>23</v>
      </c>
      <c r="S10567" s="1" t="s">
        <v>34218</v>
      </c>
    </row>
    <row r="10568" spans="1:19" x14ac:dyDescent="0.25">
      <c r="A10568">
        <v>101421657</v>
      </c>
      <c r="B10568" t="s">
        <v>23747</v>
      </c>
      <c r="C10568" t="s">
        <v>342</v>
      </c>
      <c r="G10568" t="s">
        <v>15419</v>
      </c>
      <c r="H10568" t="s">
        <v>2514</v>
      </c>
      <c r="I10568" t="s">
        <v>236</v>
      </c>
      <c r="J10568">
        <v>2210</v>
      </c>
      <c r="K10568">
        <v>1131</v>
      </c>
      <c r="L10568" t="s">
        <v>23</v>
      </c>
      <c r="M10568" t="s">
        <v>15419</v>
      </c>
      <c r="N10568" t="s">
        <v>2514</v>
      </c>
      <c r="O10568" t="s">
        <v>236</v>
      </c>
      <c r="P10568">
        <v>2210</v>
      </c>
      <c r="Q10568">
        <v>1131</v>
      </c>
      <c r="R10568" t="s">
        <v>23</v>
      </c>
      <c r="S10568" s="1" t="s">
        <v>34218</v>
      </c>
    </row>
    <row r="10569" spans="1:19" x14ac:dyDescent="0.25">
      <c r="A10569">
        <v>101432155</v>
      </c>
      <c r="B10569" t="s">
        <v>985</v>
      </c>
      <c r="C10569" t="s">
        <v>2132</v>
      </c>
      <c r="G10569" t="s">
        <v>23748</v>
      </c>
      <c r="H10569" t="s">
        <v>1193</v>
      </c>
      <c r="I10569" t="s">
        <v>135</v>
      </c>
      <c r="J10569">
        <v>60174</v>
      </c>
      <c r="K10569">
        <v>8319</v>
      </c>
      <c r="L10569" t="s">
        <v>23</v>
      </c>
      <c r="M10569" t="s">
        <v>23748</v>
      </c>
      <c r="N10569" t="s">
        <v>1193</v>
      </c>
      <c r="O10569" t="s">
        <v>135</v>
      </c>
      <c r="P10569">
        <v>60174</v>
      </c>
      <c r="Q10569">
        <v>8319</v>
      </c>
      <c r="R10569" t="s">
        <v>23</v>
      </c>
      <c r="S10569" s="1" t="s">
        <v>34218</v>
      </c>
    </row>
    <row r="10570" spans="1:19" x14ac:dyDescent="0.25">
      <c r="A10570">
        <v>101480531</v>
      </c>
      <c r="B10570" t="s">
        <v>23749</v>
      </c>
      <c r="C10570" t="s">
        <v>23750</v>
      </c>
      <c r="G10570" t="s">
        <v>23751</v>
      </c>
      <c r="H10570" t="s">
        <v>23752</v>
      </c>
      <c r="I10570" t="s">
        <v>117</v>
      </c>
      <c r="J10570">
        <v>11716</v>
      </c>
      <c r="L10570" t="s">
        <v>23</v>
      </c>
      <c r="M10570" t="s">
        <v>23751</v>
      </c>
      <c r="N10570" t="s">
        <v>23752</v>
      </c>
      <c r="O10570" t="s">
        <v>117</v>
      </c>
      <c r="P10570">
        <v>11716</v>
      </c>
      <c r="R10570" t="s">
        <v>23</v>
      </c>
      <c r="S10570" s="1" t="s">
        <v>34218</v>
      </c>
    </row>
    <row r="10571" spans="1:19" x14ac:dyDescent="0.25">
      <c r="A10571">
        <v>101478527</v>
      </c>
      <c r="B10571" t="s">
        <v>23753</v>
      </c>
      <c r="C10571" t="s">
        <v>1363</v>
      </c>
      <c r="G10571" t="s">
        <v>23754</v>
      </c>
      <c r="H10571" t="s">
        <v>7162</v>
      </c>
      <c r="I10571" t="s">
        <v>38</v>
      </c>
      <c r="J10571">
        <v>77450</v>
      </c>
      <c r="K10571">
        <v>8248</v>
      </c>
      <c r="L10571" t="s">
        <v>23</v>
      </c>
      <c r="M10571" t="s">
        <v>23754</v>
      </c>
      <c r="N10571" t="s">
        <v>7162</v>
      </c>
      <c r="O10571" t="s">
        <v>38</v>
      </c>
      <c r="P10571">
        <v>77450</v>
      </c>
      <c r="Q10571">
        <v>8248</v>
      </c>
      <c r="R10571" t="s">
        <v>23</v>
      </c>
      <c r="S10571" s="1" t="s">
        <v>34218</v>
      </c>
    </row>
    <row r="10572" spans="1:19" x14ac:dyDescent="0.25">
      <c r="A10572">
        <v>101478670</v>
      </c>
      <c r="B10572" t="s">
        <v>23755</v>
      </c>
      <c r="C10572" t="s">
        <v>1939</v>
      </c>
      <c r="G10572" t="s">
        <v>23756</v>
      </c>
      <c r="H10572" t="s">
        <v>8192</v>
      </c>
      <c r="I10572" t="s">
        <v>43</v>
      </c>
      <c r="J10572">
        <v>97386</v>
      </c>
      <c r="K10572">
        <v>2415</v>
      </c>
      <c r="L10572" t="s">
        <v>23</v>
      </c>
      <c r="M10572" t="s">
        <v>23756</v>
      </c>
      <c r="N10572" t="s">
        <v>8192</v>
      </c>
      <c r="O10572" t="s">
        <v>43</v>
      </c>
      <c r="P10572">
        <v>97386</v>
      </c>
      <c r="Q10572">
        <v>2415</v>
      </c>
      <c r="R10572" t="s">
        <v>23</v>
      </c>
      <c r="S10572" s="1" t="s">
        <v>34218</v>
      </c>
    </row>
    <row r="10573" spans="1:19" x14ac:dyDescent="0.25">
      <c r="A10573">
        <v>101478895</v>
      </c>
      <c r="B10573" t="s">
        <v>1595</v>
      </c>
      <c r="C10573" t="s">
        <v>23757</v>
      </c>
      <c r="G10573" t="s">
        <v>23758</v>
      </c>
      <c r="H10573" t="s">
        <v>227</v>
      </c>
      <c r="I10573" t="s">
        <v>43</v>
      </c>
      <c r="J10573">
        <v>97202</v>
      </c>
      <c r="K10573">
        <v>6738</v>
      </c>
      <c r="L10573" t="s">
        <v>23</v>
      </c>
      <c r="M10573" t="s">
        <v>23758</v>
      </c>
      <c r="N10573" t="s">
        <v>227</v>
      </c>
      <c r="O10573" t="s">
        <v>43</v>
      </c>
      <c r="P10573">
        <v>97202</v>
      </c>
      <c r="Q10573">
        <v>6738</v>
      </c>
      <c r="R10573" t="s">
        <v>23</v>
      </c>
      <c r="S10573" s="1" t="s">
        <v>34218</v>
      </c>
    </row>
    <row r="10574" spans="1:19" x14ac:dyDescent="0.25">
      <c r="A10574">
        <v>101478927</v>
      </c>
      <c r="B10574" t="s">
        <v>23759</v>
      </c>
      <c r="C10574" t="s">
        <v>846</v>
      </c>
      <c r="G10574" t="s">
        <v>23760</v>
      </c>
      <c r="H10574" t="s">
        <v>227</v>
      </c>
      <c r="I10574" t="s">
        <v>43</v>
      </c>
      <c r="J10574">
        <v>97219</v>
      </c>
      <c r="K10574">
        <v>7208</v>
      </c>
      <c r="L10574" t="s">
        <v>23</v>
      </c>
      <c r="M10574" t="s">
        <v>23760</v>
      </c>
      <c r="N10574" t="s">
        <v>227</v>
      </c>
      <c r="O10574" t="s">
        <v>43</v>
      </c>
      <c r="P10574">
        <v>97219</v>
      </c>
      <c r="Q10574">
        <v>7208</v>
      </c>
      <c r="R10574" t="s">
        <v>23</v>
      </c>
      <c r="S10574" s="1" t="s">
        <v>34218</v>
      </c>
    </row>
    <row r="10575" spans="1:19" x14ac:dyDescent="0.25">
      <c r="A10575">
        <v>101479063</v>
      </c>
      <c r="B10575" t="s">
        <v>3838</v>
      </c>
      <c r="C10575" t="s">
        <v>11492</v>
      </c>
      <c r="G10575" t="s">
        <v>23761</v>
      </c>
      <c r="H10575" t="s">
        <v>7340</v>
      </c>
      <c r="I10575" t="s">
        <v>22</v>
      </c>
      <c r="J10575">
        <v>95682</v>
      </c>
      <c r="K10575">
        <v>4066</v>
      </c>
      <c r="L10575" t="s">
        <v>23</v>
      </c>
      <c r="M10575" t="s">
        <v>23761</v>
      </c>
      <c r="N10575" t="s">
        <v>7340</v>
      </c>
      <c r="O10575" t="s">
        <v>22</v>
      </c>
      <c r="P10575">
        <v>95682</v>
      </c>
      <c r="Q10575">
        <v>4066</v>
      </c>
      <c r="R10575" t="s">
        <v>23</v>
      </c>
      <c r="S10575" s="1" t="s">
        <v>34218</v>
      </c>
    </row>
    <row r="10576" spans="1:19" x14ac:dyDescent="0.25">
      <c r="A10576">
        <v>101479263</v>
      </c>
      <c r="B10576" t="s">
        <v>6638</v>
      </c>
      <c r="C10576" t="s">
        <v>10543</v>
      </c>
      <c r="G10576" t="s">
        <v>23762</v>
      </c>
      <c r="H10576" t="s">
        <v>481</v>
      </c>
      <c r="I10576" t="s">
        <v>22</v>
      </c>
      <c r="J10576">
        <v>95131</v>
      </c>
      <c r="K10576">
        <v>2634</v>
      </c>
      <c r="L10576" t="s">
        <v>23</v>
      </c>
      <c r="M10576" t="s">
        <v>23762</v>
      </c>
      <c r="N10576" t="s">
        <v>481</v>
      </c>
      <c r="O10576" t="s">
        <v>22</v>
      </c>
      <c r="P10576">
        <v>95131</v>
      </c>
      <c r="Q10576">
        <v>2634</v>
      </c>
      <c r="R10576" t="s">
        <v>23</v>
      </c>
      <c r="S10576" s="1" t="s">
        <v>34218</v>
      </c>
    </row>
    <row r="10577" spans="1:19" x14ac:dyDescent="0.25">
      <c r="A10577">
        <v>100560485</v>
      </c>
      <c r="B10577" t="s">
        <v>15405</v>
      </c>
      <c r="C10577" t="s">
        <v>128</v>
      </c>
      <c r="H10577" t="s">
        <v>27</v>
      </c>
      <c r="I10577" t="s">
        <v>28</v>
      </c>
      <c r="J10577">
        <v>30348</v>
      </c>
      <c r="L10577" t="s">
        <v>23</v>
      </c>
      <c r="N10577" t="s">
        <v>27</v>
      </c>
      <c r="O10577" t="s">
        <v>28</v>
      </c>
      <c r="P10577">
        <v>30348</v>
      </c>
      <c r="R10577" t="s">
        <v>23</v>
      </c>
      <c r="S10577" s="1" t="s">
        <v>34218</v>
      </c>
    </row>
    <row r="10578" spans="1:19" x14ac:dyDescent="0.25">
      <c r="A10578">
        <v>101470055</v>
      </c>
      <c r="B10578" t="s">
        <v>23763</v>
      </c>
      <c r="C10578" t="s">
        <v>23764</v>
      </c>
      <c r="G10578" t="s">
        <v>23765</v>
      </c>
      <c r="H10578" t="s">
        <v>2894</v>
      </c>
      <c r="I10578" t="s">
        <v>178</v>
      </c>
      <c r="J10578">
        <v>43615</v>
      </c>
      <c r="K10578">
        <v>3921</v>
      </c>
      <c r="L10578" t="s">
        <v>23</v>
      </c>
      <c r="M10578" t="s">
        <v>23765</v>
      </c>
      <c r="N10578" t="s">
        <v>2894</v>
      </c>
      <c r="O10578" t="s">
        <v>178</v>
      </c>
      <c r="P10578">
        <v>43615</v>
      </c>
      <c r="Q10578">
        <v>3921</v>
      </c>
      <c r="R10578" t="s">
        <v>23</v>
      </c>
      <c r="S10578" s="1" t="s">
        <v>34218</v>
      </c>
    </row>
    <row r="10579" spans="1:19" x14ac:dyDescent="0.25">
      <c r="A10579">
        <v>101245040</v>
      </c>
      <c r="B10579" t="s">
        <v>23766</v>
      </c>
      <c r="C10579" t="s">
        <v>102</v>
      </c>
      <c r="G10579" t="s">
        <v>23767</v>
      </c>
      <c r="H10579" t="s">
        <v>8668</v>
      </c>
      <c r="I10579" t="s">
        <v>117</v>
      </c>
      <c r="J10579">
        <v>10530</v>
      </c>
      <c r="K10579">
        <v>1642</v>
      </c>
      <c r="L10579" t="s">
        <v>23</v>
      </c>
      <c r="M10579" t="s">
        <v>23767</v>
      </c>
      <c r="N10579" t="s">
        <v>8668</v>
      </c>
      <c r="O10579" t="s">
        <v>117</v>
      </c>
      <c r="P10579">
        <v>10530</v>
      </c>
      <c r="Q10579">
        <v>1642</v>
      </c>
      <c r="R10579" t="s">
        <v>23</v>
      </c>
      <c r="S10579" s="1" t="s">
        <v>34218</v>
      </c>
    </row>
    <row r="10580" spans="1:19" x14ac:dyDescent="0.25">
      <c r="A10580">
        <v>101432364</v>
      </c>
      <c r="B10580" t="s">
        <v>1726</v>
      </c>
      <c r="C10580" t="s">
        <v>12525</v>
      </c>
      <c r="G10580" t="s">
        <v>23768</v>
      </c>
      <c r="H10580" t="s">
        <v>573</v>
      </c>
      <c r="I10580" t="s">
        <v>33</v>
      </c>
      <c r="J10580">
        <v>19103</v>
      </c>
      <c r="K10580">
        <v>1312</v>
      </c>
      <c r="L10580" t="s">
        <v>23</v>
      </c>
      <c r="M10580" t="s">
        <v>23768</v>
      </c>
      <c r="N10580" t="s">
        <v>573</v>
      </c>
      <c r="O10580" t="s">
        <v>33</v>
      </c>
      <c r="P10580">
        <v>19103</v>
      </c>
      <c r="Q10580">
        <v>1312</v>
      </c>
      <c r="R10580" t="s">
        <v>23</v>
      </c>
      <c r="S10580" s="1" t="s">
        <v>34218</v>
      </c>
    </row>
    <row r="10581" spans="1:19" x14ac:dyDescent="0.25">
      <c r="A10581">
        <v>100911510</v>
      </c>
      <c r="B10581" t="s">
        <v>23769</v>
      </c>
      <c r="C10581" t="s">
        <v>23770</v>
      </c>
      <c r="G10581" t="s">
        <v>23771</v>
      </c>
      <c r="H10581" t="s">
        <v>412</v>
      </c>
      <c r="I10581" t="s">
        <v>117</v>
      </c>
      <c r="J10581" t="s">
        <v>23772</v>
      </c>
      <c r="K10581">
        <v>3624</v>
      </c>
      <c r="L10581" t="s">
        <v>23</v>
      </c>
      <c r="M10581" t="s">
        <v>23771</v>
      </c>
      <c r="N10581" t="s">
        <v>412</v>
      </c>
      <c r="O10581" t="s">
        <v>117</v>
      </c>
      <c r="P10581" t="s">
        <v>23772</v>
      </c>
      <c r="Q10581">
        <v>3624</v>
      </c>
      <c r="R10581" t="s">
        <v>23</v>
      </c>
      <c r="S10581" s="1" t="s">
        <v>34218</v>
      </c>
    </row>
    <row r="10582" spans="1:19" x14ac:dyDescent="0.25">
      <c r="A10582">
        <v>101311013</v>
      </c>
      <c r="B10582" t="s">
        <v>23773</v>
      </c>
      <c r="C10582" t="s">
        <v>21287</v>
      </c>
      <c r="G10582" t="s">
        <v>23774</v>
      </c>
      <c r="H10582" t="s">
        <v>4580</v>
      </c>
      <c r="I10582" t="s">
        <v>117</v>
      </c>
      <c r="J10582">
        <v>12477</v>
      </c>
      <c r="K10582">
        <v>5222</v>
      </c>
      <c r="L10582" t="s">
        <v>23</v>
      </c>
      <c r="M10582" t="s">
        <v>23774</v>
      </c>
      <c r="N10582" t="s">
        <v>4580</v>
      </c>
      <c r="O10582" t="s">
        <v>117</v>
      </c>
      <c r="P10582">
        <v>12477</v>
      </c>
      <c r="Q10582">
        <v>5222</v>
      </c>
      <c r="R10582" t="s">
        <v>23</v>
      </c>
      <c r="S10582" s="1" t="s">
        <v>34218</v>
      </c>
    </row>
    <row r="10583" spans="1:19" x14ac:dyDescent="0.25">
      <c r="A10583">
        <v>101255861</v>
      </c>
      <c r="B10583" t="s">
        <v>6989</v>
      </c>
      <c r="C10583" t="s">
        <v>1223</v>
      </c>
      <c r="G10583" t="s">
        <v>23775</v>
      </c>
      <c r="H10583" t="s">
        <v>3798</v>
      </c>
      <c r="I10583" t="s">
        <v>71</v>
      </c>
      <c r="J10583">
        <v>80602</v>
      </c>
      <c r="L10583" t="s">
        <v>23</v>
      </c>
      <c r="M10583" t="s">
        <v>23775</v>
      </c>
      <c r="N10583" t="s">
        <v>3798</v>
      </c>
      <c r="O10583" t="s">
        <v>71</v>
      </c>
      <c r="P10583">
        <v>80602</v>
      </c>
      <c r="R10583" t="s">
        <v>23</v>
      </c>
      <c r="S10583" s="1" t="s">
        <v>34218</v>
      </c>
    </row>
    <row r="10584" spans="1:19" x14ac:dyDescent="0.25">
      <c r="A10584">
        <v>101472866</v>
      </c>
      <c r="B10584" t="s">
        <v>23776</v>
      </c>
      <c r="C10584" t="s">
        <v>2873</v>
      </c>
      <c r="G10584" t="s">
        <v>23777</v>
      </c>
      <c r="H10584" t="s">
        <v>419</v>
      </c>
      <c r="I10584" t="s">
        <v>38</v>
      </c>
      <c r="J10584">
        <v>76244</v>
      </c>
      <c r="K10584">
        <v>7403</v>
      </c>
      <c r="L10584" t="s">
        <v>23</v>
      </c>
      <c r="M10584" t="s">
        <v>23777</v>
      </c>
      <c r="N10584" t="s">
        <v>419</v>
      </c>
      <c r="O10584" t="s">
        <v>38</v>
      </c>
      <c r="P10584">
        <v>76244</v>
      </c>
      <c r="Q10584">
        <v>7403</v>
      </c>
      <c r="R10584" t="s">
        <v>23</v>
      </c>
      <c r="S10584" s="1" t="s">
        <v>34218</v>
      </c>
    </row>
    <row r="10585" spans="1:19" x14ac:dyDescent="0.25">
      <c r="A10585">
        <v>101454809</v>
      </c>
      <c r="B10585" t="s">
        <v>10957</v>
      </c>
      <c r="C10585" t="s">
        <v>2329</v>
      </c>
      <c r="G10585" t="s">
        <v>23778</v>
      </c>
      <c r="H10585" t="s">
        <v>733</v>
      </c>
      <c r="I10585" t="s">
        <v>52</v>
      </c>
      <c r="J10585">
        <v>33714</v>
      </c>
      <c r="K10585">
        <v>3540</v>
      </c>
      <c r="L10585" t="s">
        <v>23</v>
      </c>
      <c r="M10585" t="s">
        <v>23778</v>
      </c>
      <c r="N10585" t="s">
        <v>733</v>
      </c>
      <c r="O10585" t="s">
        <v>52</v>
      </c>
      <c r="P10585">
        <v>33714</v>
      </c>
      <c r="Q10585">
        <v>3540</v>
      </c>
      <c r="R10585" t="s">
        <v>23</v>
      </c>
      <c r="S10585" s="1" t="s">
        <v>34218</v>
      </c>
    </row>
    <row r="10586" spans="1:19" x14ac:dyDescent="0.25">
      <c r="A10586">
        <v>101258506</v>
      </c>
      <c r="B10586" t="s">
        <v>6618</v>
      </c>
      <c r="C10586" t="s">
        <v>23779</v>
      </c>
      <c r="G10586" t="s">
        <v>23780</v>
      </c>
      <c r="H10586" t="s">
        <v>591</v>
      </c>
      <c r="I10586" t="s">
        <v>84</v>
      </c>
      <c r="J10586">
        <v>98226</v>
      </c>
      <c r="K10586">
        <v>3875</v>
      </c>
      <c r="L10586" t="s">
        <v>23</v>
      </c>
      <c r="M10586" t="s">
        <v>23780</v>
      </c>
      <c r="N10586" t="s">
        <v>591</v>
      </c>
      <c r="O10586" t="s">
        <v>84</v>
      </c>
      <c r="P10586">
        <v>98226</v>
      </c>
      <c r="Q10586">
        <v>3875</v>
      </c>
      <c r="R10586" t="s">
        <v>23</v>
      </c>
      <c r="S10586" s="1" t="s">
        <v>34218</v>
      </c>
    </row>
    <row r="10587" spans="1:19" x14ac:dyDescent="0.25">
      <c r="A10587">
        <v>100666616</v>
      </c>
      <c r="B10587" t="s">
        <v>2637</v>
      </c>
      <c r="C10587" t="s">
        <v>90</v>
      </c>
      <c r="H10587" t="s">
        <v>9229</v>
      </c>
      <c r="I10587" t="s">
        <v>52</v>
      </c>
      <c r="J10587">
        <v>33906</v>
      </c>
      <c r="L10587" t="s">
        <v>23</v>
      </c>
      <c r="N10587" t="s">
        <v>9229</v>
      </c>
      <c r="O10587" t="s">
        <v>52</v>
      </c>
      <c r="P10587">
        <v>33906</v>
      </c>
      <c r="R10587" t="s">
        <v>23</v>
      </c>
      <c r="S10587" s="1" t="s">
        <v>34218</v>
      </c>
    </row>
    <row r="10588" spans="1:19" x14ac:dyDescent="0.25">
      <c r="A10588">
        <v>101358388</v>
      </c>
      <c r="B10588" t="s">
        <v>10587</v>
      </c>
      <c r="C10588" t="s">
        <v>11308</v>
      </c>
      <c r="G10588" t="s">
        <v>23781</v>
      </c>
      <c r="H10588" t="s">
        <v>134</v>
      </c>
      <c r="I10588" t="s">
        <v>135</v>
      </c>
      <c r="J10588">
        <v>60646</v>
      </c>
      <c r="L10588" t="s">
        <v>23</v>
      </c>
      <c r="M10588" t="s">
        <v>23781</v>
      </c>
      <c r="N10588" t="s">
        <v>134</v>
      </c>
      <c r="O10588" t="s">
        <v>135</v>
      </c>
      <c r="P10588">
        <v>60646</v>
      </c>
      <c r="R10588" t="s">
        <v>23</v>
      </c>
      <c r="S10588" s="1" t="s">
        <v>34218</v>
      </c>
    </row>
    <row r="10589" spans="1:19" x14ac:dyDescent="0.25">
      <c r="A10589">
        <v>100861888</v>
      </c>
      <c r="B10589" t="s">
        <v>23782</v>
      </c>
      <c r="C10589" t="s">
        <v>23783</v>
      </c>
      <c r="G10589" t="s">
        <v>23784</v>
      </c>
      <c r="H10589" t="s">
        <v>653</v>
      </c>
      <c r="I10589" t="s">
        <v>117</v>
      </c>
      <c r="J10589">
        <v>10011</v>
      </c>
      <c r="K10589">
        <v>3238</v>
      </c>
      <c r="L10589" t="s">
        <v>23</v>
      </c>
      <c r="M10589" t="s">
        <v>23784</v>
      </c>
      <c r="N10589" t="s">
        <v>653</v>
      </c>
      <c r="O10589" t="s">
        <v>117</v>
      </c>
      <c r="P10589">
        <v>10011</v>
      </c>
      <c r="Q10589">
        <v>3238</v>
      </c>
      <c r="R10589" t="s">
        <v>23</v>
      </c>
      <c r="S10589" s="1" t="s">
        <v>34218</v>
      </c>
    </row>
    <row r="10590" spans="1:19" x14ac:dyDescent="0.25">
      <c r="A10590">
        <v>101454690</v>
      </c>
      <c r="B10590" t="s">
        <v>345</v>
      </c>
      <c r="C10590" t="s">
        <v>8451</v>
      </c>
      <c r="G10590" t="s">
        <v>23785</v>
      </c>
      <c r="H10590" t="s">
        <v>198</v>
      </c>
      <c r="I10590" t="s">
        <v>22</v>
      </c>
      <c r="J10590">
        <v>92103</v>
      </c>
      <c r="K10590">
        <v>1131</v>
      </c>
      <c r="L10590" t="s">
        <v>23</v>
      </c>
      <c r="M10590" t="s">
        <v>23785</v>
      </c>
      <c r="N10590" t="s">
        <v>198</v>
      </c>
      <c r="O10590" t="s">
        <v>22</v>
      </c>
      <c r="P10590">
        <v>92103</v>
      </c>
      <c r="Q10590">
        <v>1131</v>
      </c>
      <c r="R10590" t="s">
        <v>23</v>
      </c>
      <c r="S10590" s="1" t="s">
        <v>34218</v>
      </c>
    </row>
    <row r="10591" spans="1:19" x14ac:dyDescent="0.25">
      <c r="A10591">
        <v>101470656</v>
      </c>
      <c r="B10591" t="s">
        <v>3545</v>
      </c>
      <c r="C10591" t="s">
        <v>3545</v>
      </c>
      <c r="G10591" t="s">
        <v>23786</v>
      </c>
      <c r="H10591" t="s">
        <v>2724</v>
      </c>
      <c r="I10591" t="s">
        <v>22</v>
      </c>
      <c r="J10591">
        <v>95678</v>
      </c>
      <c r="K10591">
        <v>1621</v>
      </c>
      <c r="L10591" t="s">
        <v>23</v>
      </c>
      <c r="M10591" t="s">
        <v>23786</v>
      </c>
      <c r="N10591" t="s">
        <v>2724</v>
      </c>
      <c r="O10591" t="s">
        <v>22</v>
      </c>
      <c r="P10591">
        <v>95678</v>
      </c>
      <c r="Q10591">
        <v>1621</v>
      </c>
      <c r="R10591" t="s">
        <v>23</v>
      </c>
      <c r="S10591" s="1" t="s">
        <v>34218</v>
      </c>
    </row>
    <row r="10592" spans="1:19" x14ac:dyDescent="0.25">
      <c r="A10592">
        <v>101065132</v>
      </c>
      <c r="B10592" t="s">
        <v>23787</v>
      </c>
      <c r="C10592" t="s">
        <v>119</v>
      </c>
      <c r="G10592" t="s">
        <v>23788</v>
      </c>
      <c r="H10592" t="s">
        <v>6964</v>
      </c>
      <c r="I10592" t="s">
        <v>52</v>
      </c>
      <c r="J10592">
        <v>33414</v>
      </c>
      <c r="L10592" t="s">
        <v>23</v>
      </c>
      <c r="M10592" t="s">
        <v>23788</v>
      </c>
      <c r="N10592" t="s">
        <v>6964</v>
      </c>
      <c r="O10592" t="s">
        <v>52</v>
      </c>
      <c r="P10592">
        <v>33414</v>
      </c>
      <c r="R10592" t="s">
        <v>23</v>
      </c>
      <c r="S10592" s="1" t="s">
        <v>34218</v>
      </c>
    </row>
    <row r="10593" spans="1:19" x14ac:dyDescent="0.25">
      <c r="A10593">
        <v>100751488</v>
      </c>
      <c r="B10593" t="s">
        <v>9366</v>
      </c>
      <c r="C10593" t="s">
        <v>399</v>
      </c>
      <c r="G10593" t="s">
        <v>23789</v>
      </c>
      <c r="H10593" t="s">
        <v>682</v>
      </c>
      <c r="I10593" t="s">
        <v>365</v>
      </c>
      <c r="J10593">
        <v>85029</v>
      </c>
      <c r="K10593">
        <v>1817</v>
      </c>
      <c r="L10593" t="s">
        <v>23</v>
      </c>
      <c r="M10593" t="s">
        <v>23789</v>
      </c>
      <c r="N10593" t="s">
        <v>682</v>
      </c>
      <c r="O10593" t="s">
        <v>365</v>
      </c>
      <c r="P10593">
        <v>85029</v>
      </c>
      <c r="Q10593">
        <v>1817</v>
      </c>
      <c r="R10593" t="s">
        <v>23</v>
      </c>
      <c r="S10593" s="1" t="s">
        <v>34218</v>
      </c>
    </row>
    <row r="10594" spans="1:19" x14ac:dyDescent="0.25">
      <c r="A10594">
        <v>100758809</v>
      </c>
      <c r="B10594" t="s">
        <v>3828</v>
      </c>
      <c r="C10594" t="s">
        <v>1793</v>
      </c>
      <c r="F10594" t="str">
        <f>"7814498888"</f>
        <v>7814498888</v>
      </c>
      <c r="G10594" t="s">
        <v>23790</v>
      </c>
      <c r="H10594" t="s">
        <v>13073</v>
      </c>
      <c r="I10594" t="s">
        <v>236</v>
      </c>
      <c r="J10594">
        <v>2494</v>
      </c>
      <c r="L10594" t="s">
        <v>23</v>
      </c>
      <c r="M10594" t="s">
        <v>23790</v>
      </c>
      <c r="N10594" t="s">
        <v>13073</v>
      </c>
      <c r="O10594" t="s">
        <v>236</v>
      </c>
      <c r="P10594">
        <v>2494</v>
      </c>
      <c r="R10594" t="s">
        <v>23</v>
      </c>
      <c r="S10594" s="1" t="s">
        <v>34218</v>
      </c>
    </row>
    <row r="10595" spans="1:19" x14ac:dyDescent="0.25">
      <c r="A10595">
        <v>101423249</v>
      </c>
      <c r="B10595" t="s">
        <v>23791</v>
      </c>
      <c r="C10595" t="s">
        <v>18206</v>
      </c>
      <c r="G10595" t="s">
        <v>23792</v>
      </c>
      <c r="H10595" t="s">
        <v>14933</v>
      </c>
      <c r="I10595" t="s">
        <v>22</v>
      </c>
      <c r="J10595">
        <v>92562</v>
      </c>
      <c r="K10595">
        <v>5527</v>
      </c>
      <c r="L10595" t="s">
        <v>23</v>
      </c>
      <c r="M10595" t="s">
        <v>23792</v>
      </c>
      <c r="N10595" t="s">
        <v>14933</v>
      </c>
      <c r="O10595" t="s">
        <v>22</v>
      </c>
      <c r="P10595">
        <v>92562</v>
      </c>
      <c r="Q10595">
        <v>5527</v>
      </c>
      <c r="R10595" t="s">
        <v>23</v>
      </c>
      <c r="S10595" s="1" t="s">
        <v>34218</v>
      </c>
    </row>
    <row r="10596" spans="1:19" x14ac:dyDescent="0.25">
      <c r="A10596">
        <v>100638266</v>
      </c>
      <c r="B10596" t="s">
        <v>23793</v>
      </c>
      <c r="C10596" t="s">
        <v>571</v>
      </c>
      <c r="G10596" t="s">
        <v>23794</v>
      </c>
      <c r="H10596" t="s">
        <v>2974</v>
      </c>
      <c r="I10596" t="s">
        <v>135</v>
      </c>
      <c r="J10596">
        <v>60187</v>
      </c>
      <c r="K10596">
        <v>3319</v>
      </c>
      <c r="L10596" t="s">
        <v>23</v>
      </c>
      <c r="M10596" t="s">
        <v>23794</v>
      </c>
      <c r="N10596" t="s">
        <v>2974</v>
      </c>
      <c r="O10596" t="s">
        <v>135</v>
      </c>
      <c r="P10596">
        <v>60187</v>
      </c>
      <c r="Q10596">
        <v>3319</v>
      </c>
      <c r="R10596" t="s">
        <v>23</v>
      </c>
      <c r="S10596" s="1" t="s">
        <v>34218</v>
      </c>
    </row>
    <row r="10597" spans="1:19" x14ac:dyDescent="0.25">
      <c r="A10597">
        <v>101470534</v>
      </c>
      <c r="B10597" t="s">
        <v>162</v>
      </c>
      <c r="C10597" t="s">
        <v>403</v>
      </c>
      <c r="G10597" t="s">
        <v>23795</v>
      </c>
      <c r="H10597" t="s">
        <v>15427</v>
      </c>
      <c r="I10597" t="s">
        <v>22</v>
      </c>
      <c r="J10597">
        <v>95422</v>
      </c>
      <c r="K10597">
        <v>9020</v>
      </c>
      <c r="L10597" t="s">
        <v>23</v>
      </c>
      <c r="M10597" t="s">
        <v>23795</v>
      </c>
      <c r="N10597" t="s">
        <v>15427</v>
      </c>
      <c r="O10597" t="s">
        <v>22</v>
      </c>
      <c r="P10597">
        <v>95422</v>
      </c>
      <c r="Q10597">
        <v>9020</v>
      </c>
      <c r="R10597" t="s">
        <v>23</v>
      </c>
      <c r="S10597" s="1" t="s">
        <v>34218</v>
      </c>
    </row>
    <row r="10598" spans="1:19" x14ac:dyDescent="0.25">
      <c r="A10598">
        <v>101431791</v>
      </c>
      <c r="B10598" t="s">
        <v>1291</v>
      </c>
      <c r="C10598" t="s">
        <v>16567</v>
      </c>
      <c r="G10598" t="s">
        <v>23796</v>
      </c>
      <c r="H10598" t="s">
        <v>23797</v>
      </c>
      <c r="I10598" t="s">
        <v>117</v>
      </c>
      <c r="J10598">
        <v>11518</v>
      </c>
      <c r="K10598">
        <v>1021</v>
      </c>
      <c r="L10598" t="s">
        <v>23</v>
      </c>
      <c r="M10598" t="s">
        <v>23796</v>
      </c>
      <c r="N10598" t="s">
        <v>23797</v>
      </c>
      <c r="O10598" t="s">
        <v>117</v>
      </c>
      <c r="P10598">
        <v>11518</v>
      </c>
      <c r="Q10598">
        <v>1021</v>
      </c>
      <c r="R10598" t="s">
        <v>23</v>
      </c>
      <c r="S10598" s="1" t="s">
        <v>34218</v>
      </c>
    </row>
    <row r="10599" spans="1:19" x14ac:dyDescent="0.25">
      <c r="A10599">
        <v>101467576</v>
      </c>
      <c r="B10599" t="s">
        <v>23798</v>
      </c>
      <c r="C10599" t="s">
        <v>1120</v>
      </c>
      <c r="G10599" t="s">
        <v>23799</v>
      </c>
      <c r="H10599" t="s">
        <v>23800</v>
      </c>
      <c r="I10599" t="s">
        <v>52</v>
      </c>
      <c r="J10599">
        <v>33050</v>
      </c>
      <c r="K10599">
        <v>2668</v>
      </c>
      <c r="L10599" t="s">
        <v>23</v>
      </c>
      <c r="M10599" t="s">
        <v>23799</v>
      </c>
      <c r="N10599" t="s">
        <v>23800</v>
      </c>
      <c r="O10599" t="s">
        <v>52</v>
      </c>
      <c r="P10599">
        <v>33050</v>
      </c>
      <c r="Q10599">
        <v>2668</v>
      </c>
      <c r="R10599" t="s">
        <v>23</v>
      </c>
      <c r="S10599" s="1" t="s">
        <v>34218</v>
      </c>
    </row>
    <row r="10600" spans="1:19" x14ac:dyDescent="0.25">
      <c r="A10600">
        <v>101452497</v>
      </c>
      <c r="B10600" t="s">
        <v>23801</v>
      </c>
      <c r="C10600" t="s">
        <v>1955</v>
      </c>
      <c r="G10600" t="s">
        <v>23802</v>
      </c>
      <c r="H10600" t="s">
        <v>10804</v>
      </c>
      <c r="I10600" t="s">
        <v>178</v>
      </c>
      <c r="J10600">
        <v>43107</v>
      </c>
      <c r="K10600">
        <v>9408</v>
      </c>
      <c r="L10600" t="s">
        <v>23</v>
      </c>
      <c r="M10600" t="s">
        <v>23802</v>
      </c>
      <c r="N10600" t="s">
        <v>10804</v>
      </c>
      <c r="O10600" t="s">
        <v>178</v>
      </c>
      <c r="P10600">
        <v>43107</v>
      </c>
      <c r="Q10600">
        <v>9408</v>
      </c>
      <c r="R10600" t="s">
        <v>23</v>
      </c>
      <c r="S10600" s="1" t="s">
        <v>34218</v>
      </c>
    </row>
    <row r="10601" spans="1:19" x14ac:dyDescent="0.25">
      <c r="A10601">
        <v>101457618</v>
      </c>
      <c r="B10601" t="s">
        <v>2287</v>
      </c>
      <c r="C10601" t="s">
        <v>19035</v>
      </c>
      <c r="G10601">
        <v>2</v>
      </c>
      <c r="H10601" t="s">
        <v>134</v>
      </c>
      <c r="I10601" t="s">
        <v>135</v>
      </c>
      <c r="J10601">
        <v>60614</v>
      </c>
      <c r="L10601" t="s">
        <v>23</v>
      </c>
      <c r="M10601">
        <v>2</v>
      </c>
      <c r="N10601" t="s">
        <v>134</v>
      </c>
      <c r="O10601" t="s">
        <v>135</v>
      </c>
      <c r="P10601">
        <v>60614</v>
      </c>
      <c r="R10601" t="s">
        <v>23</v>
      </c>
      <c r="S10601" s="1" t="s">
        <v>34218</v>
      </c>
    </row>
    <row r="10602" spans="1:19" x14ac:dyDescent="0.25">
      <c r="A10602">
        <v>101279840</v>
      </c>
      <c r="B10602" t="s">
        <v>23803</v>
      </c>
      <c r="C10602" t="s">
        <v>23804</v>
      </c>
      <c r="G10602" t="s">
        <v>23805</v>
      </c>
      <c r="H10602" t="s">
        <v>602</v>
      </c>
      <c r="I10602" t="s">
        <v>22</v>
      </c>
      <c r="J10602">
        <v>92683</v>
      </c>
      <c r="K10602">
        <v>3013</v>
      </c>
      <c r="L10602" t="s">
        <v>23</v>
      </c>
      <c r="M10602" t="s">
        <v>23805</v>
      </c>
      <c r="N10602" t="s">
        <v>602</v>
      </c>
      <c r="O10602" t="s">
        <v>22</v>
      </c>
      <c r="P10602">
        <v>92683</v>
      </c>
      <c r="Q10602">
        <v>3013</v>
      </c>
      <c r="R10602" t="s">
        <v>23</v>
      </c>
      <c r="S10602" s="1" t="s">
        <v>34218</v>
      </c>
    </row>
    <row r="10603" spans="1:19" x14ac:dyDescent="0.25">
      <c r="A10603">
        <v>101176767</v>
      </c>
      <c r="B10603" t="s">
        <v>4986</v>
      </c>
      <c r="C10603" t="s">
        <v>1327</v>
      </c>
      <c r="G10603" t="s">
        <v>23806</v>
      </c>
      <c r="H10603" t="s">
        <v>2910</v>
      </c>
      <c r="I10603" t="s">
        <v>52</v>
      </c>
      <c r="J10603">
        <v>34239</v>
      </c>
      <c r="K10603">
        <v>4626</v>
      </c>
      <c r="L10603" t="s">
        <v>23</v>
      </c>
      <c r="M10603" t="s">
        <v>23806</v>
      </c>
      <c r="N10603" t="s">
        <v>2910</v>
      </c>
      <c r="O10603" t="s">
        <v>52</v>
      </c>
      <c r="P10603">
        <v>34239</v>
      </c>
      <c r="Q10603">
        <v>4626</v>
      </c>
      <c r="R10603" t="s">
        <v>23</v>
      </c>
      <c r="S10603" s="1" t="s">
        <v>34218</v>
      </c>
    </row>
    <row r="10604" spans="1:19" x14ac:dyDescent="0.25">
      <c r="A10604">
        <v>101479514</v>
      </c>
      <c r="B10604" t="s">
        <v>23807</v>
      </c>
      <c r="C10604" t="s">
        <v>5180</v>
      </c>
      <c r="G10604" t="s">
        <v>23808</v>
      </c>
      <c r="H10604" t="s">
        <v>130</v>
      </c>
      <c r="I10604" t="s">
        <v>22</v>
      </c>
      <c r="J10604">
        <v>94114</v>
      </c>
      <c r="K10604">
        <v>3608</v>
      </c>
      <c r="L10604" t="s">
        <v>23</v>
      </c>
      <c r="M10604" t="s">
        <v>23808</v>
      </c>
      <c r="N10604" t="s">
        <v>130</v>
      </c>
      <c r="O10604" t="s">
        <v>22</v>
      </c>
      <c r="P10604">
        <v>94114</v>
      </c>
      <c r="Q10604">
        <v>3608</v>
      </c>
      <c r="R10604" t="s">
        <v>23</v>
      </c>
      <c r="S10604" s="1" t="s">
        <v>34218</v>
      </c>
    </row>
    <row r="10605" spans="1:19" x14ac:dyDescent="0.25">
      <c r="A10605">
        <v>100591936</v>
      </c>
      <c r="B10605" t="s">
        <v>23809</v>
      </c>
      <c r="C10605" t="s">
        <v>286</v>
      </c>
      <c r="F10605" t="str">
        <f>"8602827663"</f>
        <v>8602827663</v>
      </c>
      <c r="G10605" t="s">
        <v>23810</v>
      </c>
      <c r="H10605" t="s">
        <v>3473</v>
      </c>
      <c r="I10605" t="s">
        <v>161</v>
      </c>
      <c r="J10605">
        <v>6040</v>
      </c>
      <c r="K10605">
        <v>4951</v>
      </c>
      <c r="L10605" t="s">
        <v>23</v>
      </c>
      <c r="M10605" t="s">
        <v>23810</v>
      </c>
      <c r="N10605" t="s">
        <v>3473</v>
      </c>
      <c r="O10605" t="s">
        <v>161</v>
      </c>
      <c r="P10605">
        <v>6040</v>
      </c>
      <c r="Q10605">
        <v>4951</v>
      </c>
      <c r="R10605" t="s">
        <v>23</v>
      </c>
      <c r="S10605" s="1" t="s">
        <v>34218</v>
      </c>
    </row>
    <row r="10606" spans="1:19" x14ac:dyDescent="0.25">
      <c r="A10606">
        <v>101480567</v>
      </c>
      <c r="B10606" t="s">
        <v>17932</v>
      </c>
      <c r="C10606" t="s">
        <v>23811</v>
      </c>
      <c r="G10606" t="s">
        <v>23812</v>
      </c>
      <c r="H10606" t="s">
        <v>9456</v>
      </c>
      <c r="I10606" t="s">
        <v>565</v>
      </c>
      <c r="J10606">
        <v>52533</v>
      </c>
      <c r="K10606">
        <v>7641</v>
      </c>
      <c r="L10606" t="s">
        <v>23</v>
      </c>
      <c r="M10606" t="s">
        <v>23812</v>
      </c>
      <c r="N10606" t="s">
        <v>9456</v>
      </c>
      <c r="O10606" t="s">
        <v>565</v>
      </c>
      <c r="P10606">
        <v>52533</v>
      </c>
      <c r="Q10606">
        <v>7641</v>
      </c>
      <c r="R10606" t="s">
        <v>23</v>
      </c>
      <c r="S10606" s="1" t="s">
        <v>34218</v>
      </c>
    </row>
    <row r="10607" spans="1:19" x14ac:dyDescent="0.25">
      <c r="A10607">
        <v>101478468</v>
      </c>
      <c r="B10607" t="s">
        <v>3482</v>
      </c>
      <c r="C10607" t="s">
        <v>390</v>
      </c>
      <c r="G10607" t="s">
        <v>23813</v>
      </c>
      <c r="H10607" t="s">
        <v>5367</v>
      </c>
      <c r="I10607" t="s">
        <v>71</v>
      </c>
      <c r="J10607">
        <v>80751</v>
      </c>
      <c r="K10607">
        <v>4272</v>
      </c>
      <c r="L10607" t="s">
        <v>23</v>
      </c>
      <c r="M10607" t="s">
        <v>23813</v>
      </c>
      <c r="N10607" t="s">
        <v>5367</v>
      </c>
      <c r="O10607" t="s">
        <v>71</v>
      </c>
      <c r="P10607">
        <v>80751</v>
      </c>
      <c r="Q10607">
        <v>4272</v>
      </c>
      <c r="R10607" t="s">
        <v>23</v>
      </c>
      <c r="S10607" s="1" t="s">
        <v>34218</v>
      </c>
    </row>
    <row r="10608" spans="1:19" x14ac:dyDescent="0.25">
      <c r="A10608">
        <v>101480569</v>
      </c>
      <c r="B10608" t="s">
        <v>23814</v>
      </c>
      <c r="C10608" t="s">
        <v>846</v>
      </c>
      <c r="G10608" t="s">
        <v>23815</v>
      </c>
      <c r="H10608" t="s">
        <v>130</v>
      </c>
      <c r="I10608" t="s">
        <v>22</v>
      </c>
      <c r="J10608">
        <v>94110</v>
      </c>
      <c r="K10608">
        <v>4616</v>
      </c>
      <c r="L10608" t="s">
        <v>23</v>
      </c>
      <c r="M10608" t="s">
        <v>23815</v>
      </c>
      <c r="N10608" t="s">
        <v>130</v>
      </c>
      <c r="O10608" t="s">
        <v>22</v>
      </c>
      <c r="P10608">
        <v>94110</v>
      </c>
      <c r="Q10608">
        <v>4616</v>
      </c>
      <c r="R10608" t="s">
        <v>23</v>
      </c>
      <c r="S10608" s="1" t="s">
        <v>34218</v>
      </c>
    </row>
    <row r="10609" spans="1:19" x14ac:dyDescent="0.25">
      <c r="A10609">
        <v>101412216</v>
      </c>
      <c r="B10609" t="s">
        <v>23816</v>
      </c>
      <c r="C10609" t="s">
        <v>25</v>
      </c>
      <c r="G10609" t="s">
        <v>23817</v>
      </c>
      <c r="H10609" t="s">
        <v>758</v>
      </c>
      <c r="I10609" t="s">
        <v>148</v>
      </c>
      <c r="J10609">
        <v>20906</v>
      </c>
      <c r="K10609">
        <v>3800</v>
      </c>
      <c r="L10609" t="s">
        <v>23</v>
      </c>
      <c r="M10609" t="s">
        <v>23817</v>
      </c>
      <c r="N10609" t="s">
        <v>758</v>
      </c>
      <c r="O10609" t="s">
        <v>148</v>
      </c>
      <c r="P10609">
        <v>20906</v>
      </c>
      <c r="Q10609">
        <v>3800</v>
      </c>
      <c r="R10609" t="s">
        <v>23</v>
      </c>
      <c r="S10609" s="1" t="s">
        <v>34218</v>
      </c>
    </row>
    <row r="10610" spans="1:19" x14ac:dyDescent="0.25">
      <c r="A10610">
        <v>100639036</v>
      </c>
      <c r="B10610" t="s">
        <v>23818</v>
      </c>
      <c r="C10610" t="s">
        <v>1873</v>
      </c>
      <c r="G10610" t="s">
        <v>23819</v>
      </c>
      <c r="H10610" t="s">
        <v>481</v>
      </c>
      <c r="I10610" t="s">
        <v>22</v>
      </c>
      <c r="J10610">
        <v>95120</v>
      </c>
      <c r="K10610">
        <v>4430</v>
      </c>
      <c r="L10610" t="s">
        <v>23</v>
      </c>
      <c r="M10610" t="s">
        <v>23819</v>
      </c>
      <c r="N10610" t="s">
        <v>481</v>
      </c>
      <c r="O10610" t="s">
        <v>22</v>
      </c>
      <c r="P10610">
        <v>95120</v>
      </c>
      <c r="Q10610">
        <v>4430</v>
      </c>
      <c r="R10610" t="s">
        <v>23</v>
      </c>
      <c r="S10610" s="1" t="s">
        <v>34218</v>
      </c>
    </row>
    <row r="10611" spans="1:19" x14ac:dyDescent="0.25">
      <c r="A10611">
        <v>101027598</v>
      </c>
      <c r="B10611" t="s">
        <v>3956</v>
      </c>
      <c r="C10611" t="s">
        <v>535</v>
      </c>
      <c r="G10611" t="s">
        <v>23820</v>
      </c>
      <c r="H10611" t="s">
        <v>4632</v>
      </c>
      <c r="I10611" t="s">
        <v>178</v>
      </c>
      <c r="J10611">
        <v>43205</v>
      </c>
      <c r="K10611">
        <v>1267</v>
      </c>
      <c r="L10611" t="s">
        <v>23</v>
      </c>
      <c r="M10611" t="s">
        <v>23820</v>
      </c>
      <c r="N10611" t="s">
        <v>4632</v>
      </c>
      <c r="O10611" t="s">
        <v>178</v>
      </c>
      <c r="P10611">
        <v>43205</v>
      </c>
      <c r="Q10611">
        <v>1267</v>
      </c>
      <c r="R10611" t="s">
        <v>23</v>
      </c>
      <c r="S10611" s="1" t="s">
        <v>34218</v>
      </c>
    </row>
    <row r="10612" spans="1:19" x14ac:dyDescent="0.25">
      <c r="A10612">
        <v>101156633</v>
      </c>
      <c r="B10612" t="s">
        <v>23821</v>
      </c>
      <c r="C10612" t="s">
        <v>23822</v>
      </c>
      <c r="G10612" t="s">
        <v>23823</v>
      </c>
      <c r="H10612" t="s">
        <v>4033</v>
      </c>
      <c r="I10612" t="s">
        <v>250</v>
      </c>
      <c r="J10612">
        <v>8820</v>
      </c>
      <c r="K10612">
        <v>3202</v>
      </c>
      <c r="L10612" t="s">
        <v>23</v>
      </c>
      <c r="M10612" t="s">
        <v>23823</v>
      </c>
      <c r="N10612" t="s">
        <v>4033</v>
      </c>
      <c r="O10612" t="s">
        <v>250</v>
      </c>
      <c r="P10612">
        <v>8820</v>
      </c>
      <c r="Q10612">
        <v>3202</v>
      </c>
      <c r="R10612" t="s">
        <v>23</v>
      </c>
      <c r="S10612" s="1" t="s">
        <v>34218</v>
      </c>
    </row>
    <row r="10613" spans="1:19" x14ac:dyDescent="0.25">
      <c r="A10613">
        <v>101480575</v>
      </c>
      <c r="B10613" t="s">
        <v>3209</v>
      </c>
      <c r="C10613" t="s">
        <v>1714</v>
      </c>
      <c r="G10613" t="s">
        <v>23824</v>
      </c>
      <c r="H10613" t="s">
        <v>1586</v>
      </c>
      <c r="I10613" t="s">
        <v>117</v>
      </c>
      <c r="J10613">
        <v>11372</v>
      </c>
      <c r="K10613">
        <v>5454</v>
      </c>
      <c r="L10613" t="s">
        <v>23</v>
      </c>
      <c r="M10613" t="s">
        <v>23824</v>
      </c>
      <c r="N10613" t="s">
        <v>1586</v>
      </c>
      <c r="O10613" t="s">
        <v>117</v>
      </c>
      <c r="P10613">
        <v>11372</v>
      </c>
      <c r="Q10613">
        <v>5454</v>
      </c>
      <c r="R10613" t="s">
        <v>23</v>
      </c>
      <c r="S10613" s="1" t="s">
        <v>34218</v>
      </c>
    </row>
    <row r="10614" spans="1:19" x14ac:dyDescent="0.25">
      <c r="A10614">
        <v>101426146</v>
      </c>
      <c r="B10614" t="s">
        <v>23825</v>
      </c>
      <c r="C10614" t="s">
        <v>498</v>
      </c>
      <c r="G10614" t="s">
        <v>23826</v>
      </c>
      <c r="H10614" t="s">
        <v>10811</v>
      </c>
      <c r="I10614" t="s">
        <v>148</v>
      </c>
      <c r="J10614">
        <v>21146</v>
      </c>
      <c r="K10614">
        <v>3906</v>
      </c>
      <c r="L10614" t="s">
        <v>23</v>
      </c>
      <c r="M10614" t="s">
        <v>23826</v>
      </c>
      <c r="N10614" t="s">
        <v>10811</v>
      </c>
      <c r="O10614" t="s">
        <v>148</v>
      </c>
      <c r="P10614">
        <v>21146</v>
      </c>
      <c r="Q10614">
        <v>3906</v>
      </c>
      <c r="R10614" t="s">
        <v>23</v>
      </c>
      <c r="S10614" s="1" t="s">
        <v>34218</v>
      </c>
    </row>
    <row r="10615" spans="1:19" x14ac:dyDescent="0.25">
      <c r="A10615">
        <v>100511013</v>
      </c>
      <c r="B10615" t="s">
        <v>23827</v>
      </c>
      <c r="C10615" t="s">
        <v>23828</v>
      </c>
      <c r="G10615" t="s">
        <v>23829</v>
      </c>
      <c r="H10615" t="s">
        <v>92</v>
      </c>
      <c r="I10615" t="s">
        <v>84</v>
      </c>
      <c r="J10615">
        <v>98006</v>
      </c>
      <c r="K10615">
        <v>7149</v>
      </c>
      <c r="L10615" t="s">
        <v>23</v>
      </c>
      <c r="M10615" t="s">
        <v>23829</v>
      </c>
      <c r="N10615" t="s">
        <v>92</v>
      </c>
      <c r="O10615" t="s">
        <v>84</v>
      </c>
      <c r="P10615">
        <v>98006</v>
      </c>
      <c r="Q10615">
        <v>7149</v>
      </c>
      <c r="R10615" t="s">
        <v>23</v>
      </c>
      <c r="S10615" s="1" t="s">
        <v>34218</v>
      </c>
    </row>
    <row r="10616" spans="1:19" x14ac:dyDescent="0.25">
      <c r="A10616">
        <v>101448132</v>
      </c>
      <c r="B10616" t="s">
        <v>23830</v>
      </c>
      <c r="C10616" t="s">
        <v>1906</v>
      </c>
      <c r="G10616" t="s">
        <v>23831</v>
      </c>
      <c r="H10616" t="s">
        <v>1052</v>
      </c>
      <c r="I10616" t="s">
        <v>178</v>
      </c>
      <c r="J10616">
        <v>45710</v>
      </c>
      <c r="K10616">
        <v>8800</v>
      </c>
      <c r="L10616" t="s">
        <v>23</v>
      </c>
      <c r="M10616" t="s">
        <v>23831</v>
      </c>
      <c r="N10616" t="s">
        <v>1052</v>
      </c>
      <c r="O10616" t="s">
        <v>178</v>
      </c>
      <c r="P10616">
        <v>45710</v>
      </c>
      <c r="Q10616">
        <v>8800</v>
      </c>
      <c r="R10616" t="s">
        <v>23</v>
      </c>
      <c r="S10616" s="1" t="s">
        <v>34218</v>
      </c>
    </row>
    <row r="10617" spans="1:19" x14ac:dyDescent="0.25">
      <c r="A10617">
        <v>101436047</v>
      </c>
      <c r="B10617" t="s">
        <v>23832</v>
      </c>
      <c r="C10617" t="s">
        <v>1350</v>
      </c>
      <c r="G10617" t="s">
        <v>23833</v>
      </c>
      <c r="H10617" t="s">
        <v>23834</v>
      </c>
      <c r="I10617" t="s">
        <v>236</v>
      </c>
      <c r="J10617">
        <v>1719</v>
      </c>
      <c r="K10617">
        <v>1238</v>
      </c>
      <c r="L10617" t="s">
        <v>23</v>
      </c>
      <c r="M10617" t="s">
        <v>23833</v>
      </c>
      <c r="N10617" t="s">
        <v>23834</v>
      </c>
      <c r="O10617" t="s">
        <v>236</v>
      </c>
      <c r="P10617">
        <v>1719</v>
      </c>
      <c r="Q10617">
        <v>1238</v>
      </c>
      <c r="R10617" t="s">
        <v>23</v>
      </c>
      <c r="S10617" s="1" t="s">
        <v>34218</v>
      </c>
    </row>
    <row r="10618" spans="1:19" x14ac:dyDescent="0.25">
      <c r="A10618">
        <v>101339749</v>
      </c>
      <c r="B10618" t="s">
        <v>10911</v>
      </c>
      <c r="C10618" t="s">
        <v>40</v>
      </c>
      <c r="G10618" t="s">
        <v>23835</v>
      </c>
      <c r="H10618" t="s">
        <v>23836</v>
      </c>
      <c r="I10618" t="s">
        <v>52</v>
      </c>
      <c r="J10618">
        <v>33063</v>
      </c>
      <c r="K10618">
        <v>2543</v>
      </c>
      <c r="L10618" t="s">
        <v>23</v>
      </c>
      <c r="M10618" t="s">
        <v>23835</v>
      </c>
      <c r="N10618" t="s">
        <v>23836</v>
      </c>
      <c r="O10618" t="s">
        <v>52</v>
      </c>
      <c r="P10618">
        <v>33063</v>
      </c>
      <c r="Q10618">
        <v>2543</v>
      </c>
      <c r="R10618" t="s">
        <v>23</v>
      </c>
      <c r="S10618" s="1" t="s">
        <v>34218</v>
      </c>
    </row>
    <row r="10619" spans="1:19" x14ac:dyDescent="0.25">
      <c r="A10619">
        <v>101454416</v>
      </c>
      <c r="B10619" t="s">
        <v>23837</v>
      </c>
      <c r="C10619" t="s">
        <v>644</v>
      </c>
      <c r="G10619" t="s">
        <v>23838</v>
      </c>
      <c r="H10619" t="s">
        <v>18925</v>
      </c>
      <c r="I10619" t="s">
        <v>250</v>
      </c>
      <c r="J10619">
        <v>7620</v>
      </c>
      <c r="K10619">
        <v>1034</v>
      </c>
      <c r="L10619" t="s">
        <v>23</v>
      </c>
      <c r="M10619" t="s">
        <v>23838</v>
      </c>
      <c r="N10619" t="s">
        <v>18925</v>
      </c>
      <c r="O10619" t="s">
        <v>250</v>
      </c>
      <c r="P10619">
        <v>7620</v>
      </c>
      <c r="Q10619">
        <v>1034</v>
      </c>
      <c r="R10619" t="s">
        <v>23</v>
      </c>
      <c r="S10619" s="1" t="s">
        <v>34218</v>
      </c>
    </row>
    <row r="10620" spans="1:19" x14ac:dyDescent="0.25">
      <c r="A10620">
        <v>101480588</v>
      </c>
      <c r="B10620" t="s">
        <v>23839</v>
      </c>
      <c r="C10620" t="s">
        <v>12085</v>
      </c>
      <c r="G10620" t="s">
        <v>23840</v>
      </c>
      <c r="H10620" t="s">
        <v>5109</v>
      </c>
      <c r="I10620" t="s">
        <v>135</v>
      </c>
      <c r="J10620">
        <v>60901</v>
      </c>
      <c r="K10620">
        <v>6027</v>
      </c>
      <c r="L10620" t="s">
        <v>23</v>
      </c>
      <c r="M10620" t="s">
        <v>23840</v>
      </c>
      <c r="N10620" t="s">
        <v>5109</v>
      </c>
      <c r="O10620" t="s">
        <v>135</v>
      </c>
      <c r="P10620">
        <v>60901</v>
      </c>
      <c r="Q10620">
        <v>6027</v>
      </c>
      <c r="R10620" t="s">
        <v>23</v>
      </c>
      <c r="S10620" s="1" t="s">
        <v>34218</v>
      </c>
    </row>
    <row r="10621" spans="1:19" x14ac:dyDescent="0.25">
      <c r="A10621">
        <v>101480592</v>
      </c>
      <c r="B10621" t="s">
        <v>3109</v>
      </c>
      <c r="C10621" t="s">
        <v>90</v>
      </c>
      <c r="G10621" t="s">
        <v>13575</v>
      </c>
      <c r="H10621" t="s">
        <v>13576</v>
      </c>
      <c r="I10621" t="s">
        <v>135</v>
      </c>
      <c r="J10621">
        <v>60542</v>
      </c>
      <c r="K10621">
        <v>1709</v>
      </c>
      <c r="L10621" t="s">
        <v>23</v>
      </c>
      <c r="M10621" t="s">
        <v>13575</v>
      </c>
      <c r="N10621" t="s">
        <v>13576</v>
      </c>
      <c r="O10621" t="s">
        <v>135</v>
      </c>
      <c r="P10621">
        <v>60542</v>
      </c>
      <c r="Q10621">
        <v>1709</v>
      </c>
      <c r="R10621" t="s">
        <v>23</v>
      </c>
      <c r="S10621" s="1" t="s">
        <v>34218</v>
      </c>
    </row>
    <row r="10622" spans="1:19" x14ac:dyDescent="0.25">
      <c r="A10622">
        <v>101467981</v>
      </c>
      <c r="B10622" t="s">
        <v>23841</v>
      </c>
      <c r="C10622" t="s">
        <v>1555</v>
      </c>
      <c r="G10622" t="s">
        <v>23842</v>
      </c>
      <c r="H10622" t="s">
        <v>23843</v>
      </c>
      <c r="I10622" t="s">
        <v>117</v>
      </c>
      <c r="J10622">
        <v>12992</v>
      </c>
      <c r="K10622">
        <v>2703</v>
      </c>
      <c r="L10622" t="s">
        <v>23</v>
      </c>
      <c r="M10622" t="s">
        <v>23842</v>
      </c>
      <c r="N10622" t="s">
        <v>23843</v>
      </c>
      <c r="O10622" t="s">
        <v>117</v>
      </c>
      <c r="P10622">
        <v>12992</v>
      </c>
      <c r="Q10622">
        <v>2703</v>
      </c>
      <c r="R10622" t="s">
        <v>23</v>
      </c>
      <c r="S10622" s="1" t="s">
        <v>34218</v>
      </c>
    </row>
    <row r="10623" spans="1:19" x14ac:dyDescent="0.25">
      <c r="A10623">
        <v>101479477</v>
      </c>
      <c r="B10623" t="s">
        <v>23844</v>
      </c>
      <c r="C10623" t="s">
        <v>11444</v>
      </c>
      <c r="G10623" t="s">
        <v>23845</v>
      </c>
      <c r="H10623" t="s">
        <v>10410</v>
      </c>
      <c r="I10623" t="s">
        <v>22</v>
      </c>
      <c r="J10623">
        <v>94014</v>
      </c>
      <c r="K10623">
        <v>1302</v>
      </c>
      <c r="L10623" t="s">
        <v>23</v>
      </c>
      <c r="M10623" t="s">
        <v>23845</v>
      </c>
      <c r="N10623" t="s">
        <v>10410</v>
      </c>
      <c r="O10623" t="s">
        <v>22</v>
      </c>
      <c r="P10623">
        <v>94014</v>
      </c>
      <c r="Q10623">
        <v>1302</v>
      </c>
      <c r="R10623" t="s">
        <v>23</v>
      </c>
      <c r="S10623" s="1" t="s">
        <v>34218</v>
      </c>
    </row>
    <row r="10624" spans="1:19" x14ac:dyDescent="0.25">
      <c r="A10624">
        <v>101480593</v>
      </c>
      <c r="B10624" t="s">
        <v>3956</v>
      </c>
      <c r="C10624" t="s">
        <v>2127</v>
      </c>
      <c r="G10624" t="s">
        <v>23846</v>
      </c>
      <c r="H10624" t="s">
        <v>653</v>
      </c>
      <c r="I10624" t="s">
        <v>117</v>
      </c>
      <c r="J10624">
        <v>10024</v>
      </c>
      <c r="K10624">
        <v>3832</v>
      </c>
      <c r="L10624" t="s">
        <v>23</v>
      </c>
      <c r="M10624" t="s">
        <v>23846</v>
      </c>
      <c r="N10624" t="s">
        <v>653</v>
      </c>
      <c r="O10624" t="s">
        <v>117</v>
      </c>
      <c r="P10624">
        <v>10024</v>
      </c>
      <c r="Q10624">
        <v>3832</v>
      </c>
      <c r="R10624" t="s">
        <v>23</v>
      </c>
      <c r="S10624" s="1" t="s">
        <v>34218</v>
      </c>
    </row>
    <row r="10625" spans="1:19" x14ac:dyDescent="0.25">
      <c r="A10625">
        <v>101450527</v>
      </c>
      <c r="B10625" t="s">
        <v>23847</v>
      </c>
      <c r="C10625" t="s">
        <v>2603</v>
      </c>
      <c r="G10625" t="s">
        <v>23848</v>
      </c>
      <c r="H10625" t="s">
        <v>23409</v>
      </c>
      <c r="I10625" t="s">
        <v>178</v>
      </c>
      <c r="J10625">
        <v>44052</v>
      </c>
      <c r="K10625">
        <v>3127</v>
      </c>
      <c r="L10625" t="s">
        <v>23</v>
      </c>
      <c r="M10625" t="s">
        <v>23848</v>
      </c>
      <c r="N10625" t="s">
        <v>23409</v>
      </c>
      <c r="O10625" t="s">
        <v>178</v>
      </c>
      <c r="P10625">
        <v>44052</v>
      </c>
      <c r="Q10625">
        <v>3127</v>
      </c>
      <c r="R10625" t="s">
        <v>23</v>
      </c>
      <c r="S10625" s="1" t="s">
        <v>34218</v>
      </c>
    </row>
    <row r="10626" spans="1:19" x14ac:dyDescent="0.25">
      <c r="A10626">
        <v>101480594</v>
      </c>
      <c r="B10626" t="s">
        <v>23849</v>
      </c>
      <c r="C10626" t="s">
        <v>23850</v>
      </c>
      <c r="G10626" t="s">
        <v>23851</v>
      </c>
      <c r="H10626" t="s">
        <v>23852</v>
      </c>
      <c r="I10626" t="s">
        <v>332</v>
      </c>
      <c r="J10626">
        <v>84124</v>
      </c>
      <c r="K10626">
        <v>3165</v>
      </c>
      <c r="L10626" t="s">
        <v>23</v>
      </c>
      <c r="M10626" t="s">
        <v>23851</v>
      </c>
      <c r="N10626" t="s">
        <v>23852</v>
      </c>
      <c r="O10626" t="s">
        <v>332</v>
      </c>
      <c r="P10626">
        <v>84124</v>
      </c>
      <c r="Q10626">
        <v>3165</v>
      </c>
      <c r="R10626" t="s">
        <v>23</v>
      </c>
      <c r="S10626" s="1" t="s">
        <v>34218</v>
      </c>
    </row>
    <row r="10627" spans="1:19" x14ac:dyDescent="0.25">
      <c r="A10627">
        <v>101434527</v>
      </c>
      <c r="B10627" t="s">
        <v>2509</v>
      </c>
      <c r="C10627" t="s">
        <v>846</v>
      </c>
      <c r="G10627" t="s">
        <v>23853</v>
      </c>
      <c r="H10627" t="s">
        <v>4382</v>
      </c>
      <c r="I10627" t="s">
        <v>639</v>
      </c>
      <c r="J10627">
        <v>88013</v>
      </c>
      <c r="K10627">
        <v>3001</v>
      </c>
      <c r="L10627" t="s">
        <v>23</v>
      </c>
      <c r="M10627" t="s">
        <v>23853</v>
      </c>
      <c r="N10627" t="s">
        <v>4382</v>
      </c>
      <c r="O10627" t="s">
        <v>639</v>
      </c>
      <c r="P10627">
        <v>88013</v>
      </c>
      <c r="Q10627">
        <v>3001</v>
      </c>
      <c r="R10627" t="s">
        <v>23</v>
      </c>
      <c r="S10627" s="1" t="s">
        <v>34218</v>
      </c>
    </row>
    <row r="10628" spans="1:19" x14ac:dyDescent="0.25">
      <c r="A10628">
        <v>101161087</v>
      </c>
      <c r="B10628" t="s">
        <v>23854</v>
      </c>
      <c r="C10628" t="s">
        <v>23855</v>
      </c>
      <c r="G10628" t="s">
        <v>23856</v>
      </c>
      <c r="H10628" t="s">
        <v>9569</v>
      </c>
      <c r="I10628" t="s">
        <v>241</v>
      </c>
      <c r="J10628">
        <v>66071</v>
      </c>
      <c r="K10628">
        <v>1909</v>
      </c>
      <c r="L10628" t="s">
        <v>23</v>
      </c>
      <c r="M10628" t="s">
        <v>23856</v>
      </c>
      <c r="N10628" t="s">
        <v>9569</v>
      </c>
      <c r="O10628" t="s">
        <v>241</v>
      </c>
      <c r="P10628">
        <v>66071</v>
      </c>
      <c r="Q10628">
        <v>1909</v>
      </c>
      <c r="R10628" t="s">
        <v>23</v>
      </c>
      <c r="S10628" s="1" t="s">
        <v>34218</v>
      </c>
    </row>
    <row r="10629" spans="1:19" x14ac:dyDescent="0.25">
      <c r="A10629">
        <v>101423316</v>
      </c>
      <c r="B10629" t="s">
        <v>6555</v>
      </c>
      <c r="C10629" t="s">
        <v>59</v>
      </c>
      <c r="G10629" t="s">
        <v>23857</v>
      </c>
      <c r="H10629" t="s">
        <v>23858</v>
      </c>
      <c r="I10629" t="s">
        <v>702</v>
      </c>
      <c r="J10629">
        <v>89406</v>
      </c>
      <c r="K10629">
        <v>8430</v>
      </c>
      <c r="L10629" t="s">
        <v>23</v>
      </c>
      <c r="M10629" t="s">
        <v>23857</v>
      </c>
      <c r="N10629" t="s">
        <v>23858</v>
      </c>
      <c r="O10629" t="s">
        <v>702</v>
      </c>
      <c r="P10629">
        <v>89406</v>
      </c>
      <c r="Q10629">
        <v>8430</v>
      </c>
      <c r="R10629" t="s">
        <v>23</v>
      </c>
      <c r="S10629" s="1" t="s">
        <v>34218</v>
      </c>
    </row>
    <row r="10630" spans="1:19" x14ac:dyDescent="0.25">
      <c r="A10630">
        <v>101423600</v>
      </c>
      <c r="B10630" t="s">
        <v>23859</v>
      </c>
      <c r="C10630" t="s">
        <v>11597</v>
      </c>
      <c r="G10630" t="s">
        <v>23860</v>
      </c>
      <c r="H10630" t="s">
        <v>11980</v>
      </c>
      <c r="I10630" t="s">
        <v>43</v>
      </c>
      <c r="J10630">
        <v>97540</v>
      </c>
      <c r="L10630" t="s">
        <v>23</v>
      </c>
      <c r="M10630" t="s">
        <v>23860</v>
      </c>
      <c r="N10630" t="s">
        <v>11980</v>
      </c>
      <c r="O10630" t="s">
        <v>43</v>
      </c>
      <c r="P10630">
        <v>97540</v>
      </c>
      <c r="R10630" t="s">
        <v>23</v>
      </c>
      <c r="S10630" s="1" t="s">
        <v>34218</v>
      </c>
    </row>
    <row r="10631" spans="1:19" x14ac:dyDescent="0.25">
      <c r="A10631">
        <v>101480604</v>
      </c>
      <c r="B10631" t="s">
        <v>7280</v>
      </c>
      <c r="C10631" t="s">
        <v>7281</v>
      </c>
      <c r="G10631" t="s">
        <v>23861</v>
      </c>
      <c r="H10631" t="s">
        <v>7283</v>
      </c>
      <c r="I10631" t="s">
        <v>22</v>
      </c>
      <c r="J10631">
        <v>91001</v>
      </c>
      <c r="K10631">
        <v>1819</v>
      </c>
      <c r="L10631" t="s">
        <v>23</v>
      </c>
      <c r="M10631" t="s">
        <v>23861</v>
      </c>
      <c r="N10631" t="s">
        <v>7283</v>
      </c>
      <c r="O10631" t="s">
        <v>22</v>
      </c>
      <c r="P10631">
        <v>91001</v>
      </c>
      <c r="Q10631">
        <v>1819</v>
      </c>
      <c r="R10631" t="s">
        <v>23</v>
      </c>
      <c r="S10631" s="1" t="s">
        <v>34218</v>
      </c>
    </row>
    <row r="10632" spans="1:19" x14ac:dyDescent="0.25">
      <c r="A10632">
        <v>101338628</v>
      </c>
      <c r="B10632" t="s">
        <v>2429</v>
      </c>
      <c r="C10632" t="s">
        <v>1533</v>
      </c>
      <c r="G10632" t="s">
        <v>23862</v>
      </c>
      <c r="H10632" t="s">
        <v>11035</v>
      </c>
      <c r="I10632" t="s">
        <v>22</v>
      </c>
      <c r="J10632">
        <v>92870</v>
      </c>
      <c r="K10632">
        <v>3516</v>
      </c>
      <c r="L10632" t="s">
        <v>23</v>
      </c>
      <c r="M10632" t="s">
        <v>23862</v>
      </c>
      <c r="N10632" t="s">
        <v>11035</v>
      </c>
      <c r="O10632" t="s">
        <v>22</v>
      </c>
      <c r="P10632">
        <v>92870</v>
      </c>
      <c r="Q10632">
        <v>3516</v>
      </c>
      <c r="R10632" t="s">
        <v>23</v>
      </c>
      <c r="S10632" s="1" t="s">
        <v>34218</v>
      </c>
    </row>
    <row r="10633" spans="1:19" x14ac:dyDescent="0.25">
      <c r="A10633">
        <v>101480610</v>
      </c>
      <c r="B10633" t="s">
        <v>23863</v>
      </c>
      <c r="C10633" t="s">
        <v>23864</v>
      </c>
      <c r="G10633" t="s">
        <v>23865</v>
      </c>
      <c r="H10633" t="s">
        <v>746</v>
      </c>
      <c r="I10633" t="s">
        <v>43</v>
      </c>
      <c r="J10633">
        <v>97478</v>
      </c>
      <c r="K10633">
        <v>4500</v>
      </c>
      <c r="L10633" t="s">
        <v>23</v>
      </c>
      <c r="M10633" t="s">
        <v>23865</v>
      </c>
      <c r="N10633" t="s">
        <v>746</v>
      </c>
      <c r="O10633" t="s">
        <v>43</v>
      </c>
      <c r="P10633">
        <v>97478</v>
      </c>
      <c r="Q10633">
        <v>4500</v>
      </c>
      <c r="R10633" t="s">
        <v>23</v>
      </c>
      <c r="S10633" s="1" t="s">
        <v>34218</v>
      </c>
    </row>
    <row r="10634" spans="1:19" x14ac:dyDescent="0.25">
      <c r="A10634">
        <v>101480611</v>
      </c>
      <c r="B10634" t="s">
        <v>5783</v>
      </c>
      <c r="C10634" t="s">
        <v>3609</v>
      </c>
      <c r="G10634" t="s">
        <v>23866</v>
      </c>
      <c r="H10634" t="s">
        <v>602</v>
      </c>
      <c r="I10634" t="s">
        <v>148</v>
      </c>
      <c r="J10634">
        <v>21158</v>
      </c>
      <c r="K10634">
        <v>2513</v>
      </c>
      <c r="L10634" t="s">
        <v>23</v>
      </c>
      <c r="M10634" t="s">
        <v>23866</v>
      </c>
      <c r="N10634" t="s">
        <v>602</v>
      </c>
      <c r="O10634" t="s">
        <v>148</v>
      </c>
      <c r="P10634">
        <v>21158</v>
      </c>
      <c r="Q10634">
        <v>2513</v>
      </c>
      <c r="R10634" t="s">
        <v>23</v>
      </c>
      <c r="S10634" s="1" t="s">
        <v>34218</v>
      </c>
    </row>
    <row r="10635" spans="1:19" x14ac:dyDescent="0.25">
      <c r="A10635">
        <v>101473098</v>
      </c>
      <c r="B10635" t="s">
        <v>23867</v>
      </c>
      <c r="C10635" t="s">
        <v>16085</v>
      </c>
      <c r="G10635" t="s">
        <v>23868</v>
      </c>
      <c r="H10635" t="s">
        <v>44</v>
      </c>
      <c r="I10635" t="s">
        <v>191</v>
      </c>
      <c r="J10635">
        <v>4090</v>
      </c>
      <c r="K10635">
        <v>4641</v>
      </c>
      <c r="L10635" t="s">
        <v>23</v>
      </c>
      <c r="M10635" t="s">
        <v>23868</v>
      </c>
      <c r="N10635" t="s">
        <v>44</v>
      </c>
      <c r="O10635" t="s">
        <v>191</v>
      </c>
      <c r="P10635">
        <v>4090</v>
      </c>
      <c r="Q10635">
        <v>4641</v>
      </c>
      <c r="R10635" t="s">
        <v>23</v>
      </c>
      <c r="S10635" s="1" t="s">
        <v>34218</v>
      </c>
    </row>
    <row r="10636" spans="1:19" x14ac:dyDescent="0.25">
      <c r="A10636">
        <v>101292729</v>
      </c>
      <c r="B10636" t="s">
        <v>4170</v>
      </c>
      <c r="C10636" t="s">
        <v>4184</v>
      </c>
      <c r="G10636" t="s">
        <v>23869</v>
      </c>
      <c r="H10636" t="s">
        <v>130</v>
      </c>
      <c r="I10636" t="s">
        <v>22</v>
      </c>
      <c r="J10636">
        <v>94110</v>
      </c>
      <c r="K10636">
        <v>3433</v>
      </c>
      <c r="L10636" t="s">
        <v>23</v>
      </c>
      <c r="M10636" t="s">
        <v>23869</v>
      </c>
      <c r="N10636" t="s">
        <v>130</v>
      </c>
      <c r="O10636" t="s">
        <v>22</v>
      </c>
      <c r="P10636">
        <v>94110</v>
      </c>
      <c r="Q10636">
        <v>3433</v>
      </c>
      <c r="R10636" t="s">
        <v>23</v>
      </c>
      <c r="S10636" s="1" t="s">
        <v>34218</v>
      </c>
    </row>
    <row r="10637" spans="1:19" x14ac:dyDescent="0.25">
      <c r="A10637">
        <v>101428309</v>
      </c>
      <c r="B10637" t="s">
        <v>23870</v>
      </c>
      <c r="C10637" t="s">
        <v>2599</v>
      </c>
      <c r="G10637" t="s">
        <v>23871</v>
      </c>
      <c r="H10637" t="s">
        <v>6041</v>
      </c>
      <c r="I10637" t="s">
        <v>22</v>
      </c>
      <c r="J10637">
        <v>95476</v>
      </c>
      <c r="K10637">
        <v>7556</v>
      </c>
      <c r="L10637" t="s">
        <v>23</v>
      </c>
      <c r="M10637" t="s">
        <v>23871</v>
      </c>
      <c r="N10637" t="s">
        <v>6041</v>
      </c>
      <c r="O10637" t="s">
        <v>22</v>
      </c>
      <c r="P10637">
        <v>95476</v>
      </c>
      <c r="Q10637">
        <v>7556</v>
      </c>
      <c r="R10637" t="s">
        <v>23</v>
      </c>
      <c r="S10637" s="1" t="s">
        <v>34218</v>
      </c>
    </row>
    <row r="10638" spans="1:19" x14ac:dyDescent="0.25">
      <c r="A10638">
        <v>101400921</v>
      </c>
      <c r="B10638" t="s">
        <v>23872</v>
      </c>
      <c r="C10638" t="s">
        <v>286</v>
      </c>
      <c r="G10638" t="s">
        <v>23873</v>
      </c>
      <c r="H10638" t="s">
        <v>758</v>
      </c>
      <c r="I10638" t="s">
        <v>148</v>
      </c>
      <c r="J10638">
        <v>20906</v>
      </c>
      <c r="L10638" t="s">
        <v>23</v>
      </c>
      <c r="M10638" t="s">
        <v>23873</v>
      </c>
      <c r="N10638" t="s">
        <v>758</v>
      </c>
      <c r="O10638" t="s">
        <v>148</v>
      </c>
      <c r="P10638">
        <v>20906</v>
      </c>
      <c r="R10638" t="s">
        <v>23</v>
      </c>
      <c r="S10638" s="1" t="s">
        <v>34218</v>
      </c>
    </row>
    <row r="10639" spans="1:19" x14ac:dyDescent="0.25">
      <c r="A10639">
        <v>101465863</v>
      </c>
      <c r="B10639" t="s">
        <v>276</v>
      </c>
      <c r="C10639" t="s">
        <v>102</v>
      </c>
      <c r="G10639" t="s">
        <v>23874</v>
      </c>
      <c r="H10639" t="s">
        <v>20206</v>
      </c>
      <c r="I10639" t="s">
        <v>117</v>
      </c>
      <c r="J10639">
        <v>12302</v>
      </c>
      <c r="K10639">
        <v>2724</v>
      </c>
      <c r="L10639" t="s">
        <v>23</v>
      </c>
      <c r="M10639" t="s">
        <v>23874</v>
      </c>
      <c r="N10639" t="s">
        <v>20206</v>
      </c>
      <c r="O10639" t="s">
        <v>117</v>
      </c>
      <c r="P10639">
        <v>12302</v>
      </c>
      <c r="Q10639">
        <v>2724</v>
      </c>
      <c r="R10639" t="s">
        <v>23</v>
      </c>
      <c r="S10639" s="1" t="s">
        <v>34218</v>
      </c>
    </row>
    <row r="10640" spans="1:19" x14ac:dyDescent="0.25">
      <c r="A10640">
        <v>101480626</v>
      </c>
      <c r="B10640" t="s">
        <v>23875</v>
      </c>
      <c r="C10640" t="s">
        <v>432</v>
      </c>
      <c r="G10640" t="s">
        <v>23876</v>
      </c>
      <c r="H10640" t="s">
        <v>139</v>
      </c>
      <c r="I10640" t="s">
        <v>140</v>
      </c>
      <c r="J10640">
        <v>48188</v>
      </c>
      <c r="L10640" t="s">
        <v>23</v>
      </c>
      <c r="M10640" t="s">
        <v>23876</v>
      </c>
      <c r="N10640" t="s">
        <v>139</v>
      </c>
      <c r="O10640" t="s">
        <v>140</v>
      </c>
      <c r="P10640">
        <v>48188</v>
      </c>
      <c r="R10640" t="s">
        <v>23</v>
      </c>
      <c r="S10640" s="1" t="s">
        <v>34218</v>
      </c>
    </row>
    <row r="10641" spans="1:19" x14ac:dyDescent="0.25">
      <c r="A10641">
        <v>101144314</v>
      </c>
      <c r="B10641" t="s">
        <v>23877</v>
      </c>
      <c r="C10641" t="s">
        <v>180</v>
      </c>
      <c r="G10641" t="s">
        <v>23878</v>
      </c>
      <c r="H10641" t="s">
        <v>569</v>
      </c>
      <c r="I10641" t="s">
        <v>187</v>
      </c>
      <c r="J10641">
        <v>55406</v>
      </c>
      <c r="K10641">
        <v>3677</v>
      </c>
      <c r="L10641" t="s">
        <v>23</v>
      </c>
      <c r="M10641" t="s">
        <v>23878</v>
      </c>
      <c r="N10641" t="s">
        <v>569</v>
      </c>
      <c r="O10641" t="s">
        <v>187</v>
      </c>
      <c r="P10641">
        <v>55406</v>
      </c>
      <c r="Q10641">
        <v>3677</v>
      </c>
      <c r="R10641" t="s">
        <v>23</v>
      </c>
      <c r="S10641" s="1" t="s">
        <v>34218</v>
      </c>
    </row>
    <row r="10642" spans="1:19" x14ac:dyDescent="0.25">
      <c r="A10642">
        <v>101480458</v>
      </c>
      <c r="B10642" t="s">
        <v>2335</v>
      </c>
      <c r="C10642" t="s">
        <v>23879</v>
      </c>
      <c r="G10642" t="s">
        <v>23880</v>
      </c>
      <c r="H10642" t="s">
        <v>134</v>
      </c>
      <c r="I10642" t="s">
        <v>135</v>
      </c>
      <c r="J10642">
        <v>73245</v>
      </c>
      <c r="L10642" t="s">
        <v>23</v>
      </c>
      <c r="M10642" t="s">
        <v>23880</v>
      </c>
      <c r="N10642" t="s">
        <v>134</v>
      </c>
      <c r="O10642" t="s">
        <v>135</v>
      </c>
      <c r="P10642">
        <v>73245</v>
      </c>
      <c r="R10642" t="s">
        <v>23</v>
      </c>
      <c r="S10642" s="1" t="s">
        <v>34218</v>
      </c>
    </row>
    <row r="10643" spans="1:19" x14ac:dyDescent="0.25">
      <c r="A10643">
        <v>101480632</v>
      </c>
      <c r="B10643" t="s">
        <v>5180</v>
      </c>
      <c r="C10643" t="s">
        <v>763</v>
      </c>
      <c r="G10643" t="s">
        <v>23881</v>
      </c>
      <c r="H10643" t="s">
        <v>1431</v>
      </c>
      <c r="I10643" t="s">
        <v>639</v>
      </c>
      <c r="J10643">
        <v>87507</v>
      </c>
      <c r="K10643">
        <v>2468</v>
      </c>
      <c r="L10643" t="s">
        <v>23</v>
      </c>
      <c r="M10643" t="s">
        <v>23881</v>
      </c>
      <c r="N10643" t="s">
        <v>1431</v>
      </c>
      <c r="O10643" t="s">
        <v>639</v>
      </c>
      <c r="P10643">
        <v>87507</v>
      </c>
      <c r="Q10643">
        <v>2468</v>
      </c>
      <c r="R10643" t="s">
        <v>23</v>
      </c>
      <c r="S10643" s="1" t="s">
        <v>34218</v>
      </c>
    </row>
    <row r="10644" spans="1:19" x14ac:dyDescent="0.25">
      <c r="A10644">
        <v>101302929</v>
      </c>
      <c r="B10644" t="s">
        <v>2074</v>
      </c>
      <c r="C10644" t="s">
        <v>5599</v>
      </c>
      <c r="G10644" t="s">
        <v>23882</v>
      </c>
      <c r="H10644" t="s">
        <v>393</v>
      </c>
      <c r="I10644" t="s">
        <v>71</v>
      </c>
      <c r="J10644">
        <v>80211</v>
      </c>
      <c r="L10644" t="s">
        <v>23</v>
      </c>
      <c r="M10644" t="s">
        <v>23882</v>
      </c>
      <c r="N10644" t="s">
        <v>393</v>
      </c>
      <c r="O10644" t="s">
        <v>71</v>
      </c>
      <c r="P10644">
        <v>80211</v>
      </c>
      <c r="R10644" t="s">
        <v>23</v>
      </c>
      <c r="S10644" s="1" t="s">
        <v>34218</v>
      </c>
    </row>
    <row r="10645" spans="1:19" x14ac:dyDescent="0.25">
      <c r="A10645">
        <v>100735830</v>
      </c>
      <c r="B10645" t="s">
        <v>7259</v>
      </c>
      <c r="C10645" t="s">
        <v>329</v>
      </c>
      <c r="G10645" t="s">
        <v>23883</v>
      </c>
      <c r="H10645" t="s">
        <v>1553</v>
      </c>
      <c r="I10645" t="s">
        <v>236</v>
      </c>
      <c r="J10645">
        <v>1004</v>
      </c>
      <c r="K10645">
        <v>989</v>
      </c>
      <c r="L10645" t="s">
        <v>23</v>
      </c>
      <c r="M10645" t="s">
        <v>23883</v>
      </c>
      <c r="N10645" t="s">
        <v>1553</v>
      </c>
      <c r="O10645" t="s">
        <v>236</v>
      </c>
      <c r="P10645">
        <v>1004</v>
      </c>
      <c r="Q10645">
        <v>989</v>
      </c>
      <c r="R10645" t="s">
        <v>23</v>
      </c>
      <c r="S10645" s="1" t="s">
        <v>34218</v>
      </c>
    </row>
    <row r="10646" spans="1:19" x14ac:dyDescent="0.25">
      <c r="A10646">
        <v>101307195</v>
      </c>
      <c r="B10646" t="s">
        <v>23884</v>
      </c>
      <c r="C10646" t="s">
        <v>123</v>
      </c>
      <c r="F10646" t="str">
        <f>"3103798471"</f>
        <v>3103798471</v>
      </c>
      <c r="G10646" t="s">
        <v>9186</v>
      </c>
      <c r="H10646" t="s">
        <v>6515</v>
      </c>
      <c r="I10646" t="s">
        <v>22</v>
      </c>
      <c r="J10646">
        <v>90266</v>
      </c>
      <c r="K10646">
        <v>5432</v>
      </c>
      <c r="L10646" t="s">
        <v>23</v>
      </c>
      <c r="M10646" t="s">
        <v>9186</v>
      </c>
      <c r="N10646" t="s">
        <v>6515</v>
      </c>
      <c r="O10646" t="s">
        <v>22</v>
      </c>
      <c r="P10646">
        <v>90266</v>
      </c>
      <c r="Q10646">
        <v>5432</v>
      </c>
      <c r="R10646" t="s">
        <v>23</v>
      </c>
      <c r="S10646" s="1" t="s">
        <v>34218</v>
      </c>
    </row>
    <row r="10647" spans="1:19" x14ac:dyDescent="0.25">
      <c r="A10647">
        <v>101296318</v>
      </c>
      <c r="B10647" t="s">
        <v>23885</v>
      </c>
      <c r="C10647" t="s">
        <v>621</v>
      </c>
      <c r="G10647" t="s">
        <v>23886</v>
      </c>
      <c r="H10647" t="s">
        <v>1052</v>
      </c>
      <c r="I10647" t="s">
        <v>117</v>
      </c>
      <c r="J10647">
        <v>12208</v>
      </c>
      <c r="K10647">
        <v>2814</v>
      </c>
      <c r="L10647" t="s">
        <v>23</v>
      </c>
      <c r="M10647" t="s">
        <v>23886</v>
      </c>
      <c r="N10647" t="s">
        <v>1052</v>
      </c>
      <c r="O10647" t="s">
        <v>117</v>
      </c>
      <c r="P10647">
        <v>12208</v>
      </c>
      <c r="Q10647">
        <v>2814</v>
      </c>
      <c r="R10647" t="s">
        <v>23</v>
      </c>
      <c r="S10647" s="1" t="s">
        <v>34218</v>
      </c>
    </row>
    <row r="10648" spans="1:19" x14ac:dyDescent="0.25">
      <c r="A10648">
        <v>101472254</v>
      </c>
      <c r="B10648" t="s">
        <v>10196</v>
      </c>
      <c r="C10648" t="s">
        <v>132</v>
      </c>
      <c r="G10648" t="s">
        <v>23887</v>
      </c>
      <c r="H10648" t="s">
        <v>972</v>
      </c>
      <c r="I10648" t="s">
        <v>250</v>
      </c>
      <c r="J10648">
        <v>7656</v>
      </c>
      <c r="K10648">
        <v>1821</v>
      </c>
      <c r="L10648" t="s">
        <v>23</v>
      </c>
      <c r="M10648" t="s">
        <v>23887</v>
      </c>
      <c r="N10648" t="s">
        <v>972</v>
      </c>
      <c r="O10648" t="s">
        <v>250</v>
      </c>
      <c r="P10648">
        <v>7656</v>
      </c>
      <c r="Q10648">
        <v>1821</v>
      </c>
      <c r="R10648" t="s">
        <v>23</v>
      </c>
      <c r="S10648" s="1" t="s">
        <v>34218</v>
      </c>
    </row>
    <row r="10649" spans="1:19" x14ac:dyDescent="0.25">
      <c r="A10649">
        <v>101185417</v>
      </c>
      <c r="B10649" t="s">
        <v>23888</v>
      </c>
      <c r="C10649" t="s">
        <v>1470</v>
      </c>
      <c r="G10649" t="s">
        <v>23889</v>
      </c>
      <c r="H10649" t="s">
        <v>112</v>
      </c>
      <c r="I10649" t="s">
        <v>22</v>
      </c>
      <c r="J10649">
        <v>93117</v>
      </c>
      <c r="K10649">
        <v>1717</v>
      </c>
      <c r="L10649" t="s">
        <v>23</v>
      </c>
      <c r="M10649" t="s">
        <v>23889</v>
      </c>
      <c r="N10649" t="s">
        <v>112</v>
      </c>
      <c r="O10649" t="s">
        <v>22</v>
      </c>
      <c r="P10649">
        <v>93117</v>
      </c>
      <c r="Q10649">
        <v>1717</v>
      </c>
      <c r="R10649" t="s">
        <v>23</v>
      </c>
      <c r="S10649" s="1" t="s">
        <v>34218</v>
      </c>
    </row>
    <row r="10650" spans="1:19" x14ac:dyDescent="0.25">
      <c r="A10650">
        <v>101088352</v>
      </c>
      <c r="B10650" t="s">
        <v>2357</v>
      </c>
      <c r="C10650" t="s">
        <v>763</v>
      </c>
      <c r="G10650" t="s">
        <v>23890</v>
      </c>
      <c r="H10650" t="s">
        <v>1754</v>
      </c>
      <c r="I10650" t="s">
        <v>135</v>
      </c>
      <c r="J10650">
        <v>60202</v>
      </c>
      <c r="K10650">
        <v>3440</v>
      </c>
      <c r="L10650" t="s">
        <v>23</v>
      </c>
      <c r="M10650" t="s">
        <v>23890</v>
      </c>
      <c r="N10650" t="s">
        <v>1754</v>
      </c>
      <c r="O10650" t="s">
        <v>135</v>
      </c>
      <c r="P10650">
        <v>60202</v>
      </c>
      <c r="Q10650">
        <v>3440</v>
      </c>
      <c r="R10650" t="s">
        <v>23</v>
      </c>
      <c r="S10650" s="1" t="s">
        <v>34218</v>
      </c>
    </row>
    <row r="10651" spans="1:19" x14ac:dyDescent="0.25">
      <c r="A10651">
        <v>101453515</v>
      </c>
      <c r="B10651" t="s">
        <v>6336</v>
      </c>
      <c r="C10651" t="s">
        <v>7521</v>
      </c>
      <c r="G10651" t="s">
        <v>23891</v>
      </c>
      <c r="H10651" t="s">
        <v>23892</v>
      </c>
      <c r="I10651" t="s">
        <v>161</v>
      </c>
      <c r="J10651">
        <v>6415</v>
      </c>
      <c r="K10651">
        <v>2517</v>
      </c>
      <c r="L10651" t="s">
        <v>23</v>
      </c>
      <c r="M10651" t="s">
        <v>23891</v>
      </c>
      <c r="N10651" t="s">
        <v>23892</v>
      </c>
      <c r="O10651" t="s">
        <v>161</v>
      </c>
      <c r="P10651">
        <v>6415</v>
      </c>
      <c r="Q10651">
        <v>2517</v>
      </c>
      <c r="R10651" t="s">
        <v>23</v>
      </c>
      <c r="S10651" s="1" t="s">
        <v>34218</v>
      </c>
    </row>
    <row r="10652" spans="1:19" x14ac:dyDescent="0.25">
      <c r="A10652">
        <v>101447860</v>
      </c>
      <c r="B10652" t="s">
        <v>23893</v>
      </c>
      <c r="C10652" t="s">
        <v>739</v>
      </c>
      <c r="G10652" t="s">
        <v>23894</v>
      </c>
      <c r="H10652" t="s">
        <v>2319</v>
      </c>
      <c r="I10652" t="s">
        <v>117</v>
      </c>
      <c r="J10652">
        <v>10314</v>
      </c>
      <c r="K10652">
        <v>2625</v>
      </c>
      <c r="L10652" t="s">
        <v>23</v>
      </c>
      <c r="M10652" t="s">
        <v>23894</v>
      </c>
      <c r="N10652" t="s">
        <v>2319</v>
      </c>
      <c r="O10652" t="s">
        <v>117</v>
      </c>
      <c r="P10652">
        <v>10314</v>
      </c>
      <c r="Q10652">
        <v>2625</v>
      </c>
      <c r="R10652" t="s">
        <v>23</v>
      </c>
      <c r="S10652" s="1" t="s">
        <v>34218</v>
      </c>
    </row>
    <row r="10653" spans="1:19" x14ac:dyDescent="0.25">
      <c r="A10653">
        <v>101288036</v>
      </c>
      <c r="B10653" t="s">
        <v>5645</v>
      </c>
      <c r="C10653" t="s">
        <v>23895</v>
      </c>
      <c r="G10653" t="s">
        <v>23896</v>
      </c>
      <c r="H10653" t="s">
        <v>682</v>
      </c>
      <c r="I10653" t="s">
        <v>365</v>
      </c>
      <c r="J10653">
        <v>85051</v>
      </c>
      <c r="K10653">
        <v>8117</v>
      </c>
      <c r="L10653" t="s">
        <v>23</v>
      </c>
      <c r="M10653" t="s">
        <v>23896</v>
      </c>
      <c r="N10653" t="s">
        <v>682</v>
      </c>
      <c r="O10653" t="s">
        <v>365</v>
      </c>
      <c r="P10653">
        <v>85051</v>
      </c>
      <c r="Q10653">
        <v>8117</v>
      </c>
      <c r="R10653" t="s">
        <v>23</v>
      </c>
      <c r="S10653" s="1" t="s">
        <v>34218</v>
      </c>
    </row>
    <row r="10654" spans="1:19" x14ac:dyDescent="0.25">
      <c r="A10654">
        <v>101424166</v>
      </c>
      <c r="B10654" t="s">
        <v>6453</v>
      </c>
      <c r="C10654" t="s">
        <v>4471</v>
      </c>
      <c r="G10654" t="s">
        <v>23897</v>
      </c>
      <c r="H10654" t="s">
        <v>4764</v>
      </c>
      <c r="I10654" t="s">
        <v>71</v>
      </c>
      <c r="J10654">
        <v>81507</v>
      </c>
      <c r="K10654">
        <v>4523</v>
      </c>
      <c r="L10654" t="s">
        <v>23</v>
      </c>
      <c r="M10654" t="s">
        <v>23897</v>
      </c>
      <c r="N10654" t="s">
        <v>4764</v>
      </c>
      <c r="O10654" t="s">
        <v>71</v>
      </c>
      <c r="P10654">
        <v>81507</v>
      </c>
      <c r="Q10654">
        <v>4523</v>
      </c>
      <c r="R10654" t="s">
        <v>23</v>
      </c>
      <c r="S10654" s="1" t="s">
        <v>34218</v>
      </c>
    </row>
    <row r="10655" spans="1:19" x14ac:dyDescent="0.25">
      <c r="A10655">
        <v>101428426</v>
      </c>
      <c r="B10655" t="s">
        <v>23898</v>
      </c>
      <c r="C10655" t="s">
        <v>7667</v>
      </c>
      <c r="G10655" t="s">
        <v>23899</v>
      </c>
      <c r="H10655" t="s">
        <v>23900</v>
      </c>
      <c r="I10655" t="s">
        <v>178</v>
      </c>
      <c r="J10655">
        <v>43413</v>
      </c>
      <c r="K10655">
        <v>9702</v>
      </c>
      <c r="L10655" t="s">
        <v>23</v>
      </c>
      <c r="M10655" t="s">
        <v>23899</v>
      </c>
      <c r="N10655" t="s">
        <v>23900</v>
      </c>
      <c r="O10655" t="s">
        <v>178</v>
      </c>
      <c r="P10655">
        <v>43413</v>
      </c>
      <c r="Q10655">
        <v>9702</v>
      </c>
      <c r="R10655" t="s">
        <v>23</v>
      </c>
      <c r="S10655" s="1" t="s">
        <v>34218</v>
      </c>
    </row>
    <row r="10656" spans="1:19" x14ac:dyDescent="0.25">
      <c r="A10656">
        <v>101448082</v>
      </c>
      <c r="B10656" t="s">
        <v>23901</v>
      </c>
      <c r="C10656" t="s">
        <v>403</v>
      </c>
      <c r="G10656" t="s">
        <v>23902</v>
      </c>
      <c r="H10656" t="s">
        <v>8564</v>
      </c>
      <c r="I10656" t="s">
        <v>914</v>
      </c>
      <c r="J10656">
        <v>38242</v>
      </c>
      <c r="K10656">
        <v>4408</v>
      </c>
      <c r="L10656" t="s">
        <v>23</v>
      </c>
      <c r="M10656" t="s">
        <v>23902</v>
      </c>
      <c r="N10656" t="s">
        <v>8564</v>
      </c>
      <c r="O10656" t="s">
        <v>914</v>
      </c>
      <c r="P10656">
        <v>38242</v>
      </c>
      <c r="Q10656">
        <v>4408</v>
      </c>
      <c r="R10656" t="s">
        <v>23</v>
      </c>
      <c r="S10656" s="1" t="s">
        <v>34218</v>
      </c>
    </row>
    <row r="10657" spans="1:19" x14ac:dyDescent="0.25">
      <c r="A10657">
        <v>101445390</v>
      </c>
      <c r="B10657" t="s">
        <v>23903</v>
      </c>
      <c r="C10657" t="s">
        <v>7530</v>
      </c>
      <c r="G10657" t="s">
        <v>23904</v>
      </c>
      <c r="H10657" t="s">
        <v>380</v>
      </c>
      <c r="I10657" t="s">
        <v>38</v>
      </c>
      <c r="J10657">
        <v>75248</v>
      </c>
      <c r="L10657" t="s">
        <v>23</v>
      </c>
      <c r="M10657" t="s">
        <v>23904</v>
      </c>
      <c r="N10657" t="s">
        <v>380</v>
      </c>
      <c r="O10657" t="s">
        <v>38</v>
      </c>
      <c r="P10657">
        <v>75248</v>
      </c>
      <c r="R10657" t="s">
        <v>23</v>
      </c>
      <c r="S10657" s="1" t="s">
        <v>34218</v>
      </c>
    </row>
    <row r="10658" spans="1:19" x14ac:dyDescent="0.25">
      <c r="A10658">
        <v>100575384</v>
      </c>
      <c r="B10658" t="s">
        <v>22693</v>
      </c>
      <c r="C10658" t="s">
        <v>1153</v>
      </c>
      <c r="F10658" t="str">
        <f>"9413747098"</f>
        <v>9413747098</v>
      </c>
      <c r="G10658" t="s">
        <v>23905</v>
      </c>
      <c r="H10658" t="s">
        <v>15562</v>
      </c>
      <c r="I10658" t="s">
        <v>52</v>
      </c>
      <c r="J10658">
        <v>34275</v>
      </c>
      <c r="L10658" t="s">
        <v>23</v>
      </c>
      <c r="M10658" t="s">
        <v>23905</v>
      </c>
      <c r="N10658" t="s">
        <v>15562</v>
      </c>
      <c r="O10658" t="s">
        <v>52</v>
      </c>
      <c r="P10658">
        <v>34275</v>
      </c>
      <c r="R10658" t="s">
        <v>23</v>
      </c>
      <c r="S10658" s="1" t="s">
        <v>34218</v>
      </c>
    </row>
    <row r="10659" spans="1:19" x14ac:dyDescent="0.25">
      <c r="A10659">
        <v>101467346</v>
      </c>
      <c r="B10659" t="s">
        <v>23906</v>
      </c>
      <c r="C10659" t="s">
        <v>11227</v>
      </c>
      <c r="G10659" t="s">
        <v>23907</v>
      </c>
      <c r="H10659" t="s">
        <v>23908</v>
      </c>
      <c r="I10659" t="s">
        <v>1482</v>
      </c>
      <c r="J10659">
        <v>29687</v>
      </c>
      <c r="K10659">
        <v>2573</v>
      </c>
      <c r="L10659" t="s">
        <v>23</v>
      </c>
      <c r="M10659" t="s">
        <v>23907</v>
      </c>
      <c r="N10659" t="s">
        <v>23908</v>
      </c>
      <c r="O10659" t="s">
        <v>1482</v>
      </c>
      <c r="P10659">
        <v>29687</v>
      </c>
      <c r="Q10659">
        <v>2573</v>
      </c>
      <c r="R10659" t="s">
        <v>23</v>
      </c>
      <c r="S10659" s="1" t="s">
        <v>34218</v>
      </c>
    </row>
    <row r="10660" spans="1:19" x14ac:dyDescent="0.25">
      <c r="A10660">
        <v>101184481</v>
      </c>
      <c r="B10660" t="s">
        <v>23909</v>
      </c>
      <c r="C10660" t="s">
        <v>23910</v>
      </c>
      <c r="G10660" t="s">
        <v>23911</v>
      </c>
      <c r="H10660" t="s">
        <v>12608</v>
      </c>
      <c r="I10660" t="s">
        <v>9752</v>
      </c>
      <c r="J10660">
        <v>979</v>
      </c>
      <c r="K10660">
        <v>5710</v>
      </c>
      <c r="L10660" t="s">
        <v>23</v>
      </c>
      <c r="M10660" t="s">
        <v>23911</v>
      </c>
      <c r="N10660" t="s">
        <v>12608</v>
      </c>
      <c r="O10660" t="s">
        <v>9752</v>
      </c>
      <c r="P10660">
        <v>979</v>
      </c>
      <c r="Q10660">
        <v>5710</v>
      </c>
      <c r="R10660" t="s">
        <v>23</v>
      </c>
      <c r="S10660" s="1" t="s">
        <v>34218</v>
      </c>
    </row>
    <row r="10661" spans="1:19" x14ac:dyDescent="0.25">
      <c r="A10661">
        <v>101247198</v>
      </c>
      <c r="B10661" t="s">
        <v>23912</v>
      </c>
      <c r="C10661" t="s">
        <v>313</v>
      </c>
      <c r="G10661" t="s">
        <v>23913</v>
      </c>
      <c r="H10661" t="s">
        <v>573</v>
      </c>
      <c r="I10661" t="s">
        <v>33</v>
      </c>
      <c r="J10661" t="s">
        <v>23914</v>
      </c>
      <c r="K10661">
        <v>1108</v>
      </c>
      <c r="L10661" t="s">
        <v>23</v>
      </c>
      <c r="M10661" t="s">
        <v>23913</v>
      </c>
      <c r="N10661" t="s">
        <v>573</v>
      </c>
      <c r="O10661" t="s">
        <v>33</v>
      </c>
      <c r="P10661" t="s">
        <v>23914</v>
      </c>
      <c r="Q10661">
        <v>1108</v>
      </c>
      <c r="R10661" t="s">
        <v>23</v>
      </c>
      <c r="S10661" s="1" t="s">
        <v>34218</v>
      </c>
    </row>
    <row r="10662" spans="1:19" x14ac:dyDescent="0.25">
      <c r="A10662">
        <v>101261524</v>
      </c>
      <c r="B10662" t="s">
        <v>23915</v>
      </c>
      <c r="C10662" t="s">
        <v>1622</v>
      </c>
      <c r="G10662" t="s">
        <v>23916</v>
      </c>
      <c r="H10662" t="s">
        <v>6831</v>
      </c>
      <c r="I10662" t="s">
        <v>22</v>
      </c>
      <c r="J10662">
        <v>95448</v>
      </c>
      <c r="K10662">
        <v>3421</v>
      </c>
      <c r="L10662" t="s">
        <v>23</v>
      </c>
      <c r="M10662" t="s">
        <v>23916</v>
      </c>
      <c r="N10662" t="s">
        <v>6831</v>
      </c>
      <c r="O10662" t="s">
        <v>22</v>
      </c>
      <c r="P10662">
        <v>95448</v>
      </c>
      <c r="Q10662">
        <v>3421</v>
      </c>
      <c r="R10662" t="s">
        <v>23</v>
      </c>
      <c r="S10662" s="1" t="s">
        <v>34218</v>
      </c>
    </row>
    <row r="10663" spans="1:19" x14ac:dyDescent="0.25">
      <c r="A10663">
        <v>101287849</v>
      </c>
      <c r="B10663" t="s">
        <v>23917</v>
      </c>
      <c r="C10663" t="s">
        <v>1036</v>
      </c>
      <c r="G10663" t="s">
        <v>23918</v>
      </c>
      <c r="H10663" t="s">
        <v>5056</v>
      </c>
      <c r="I10663" t="s">
        <v>22</v>
      </c>
      <c r="J10663">
        <v>92704</v>
      </c>
      <c r="K10663">
        <v>7568</v>
      </c>
      <c r="L10663" t="s">
        <v>23</v>
      </c>
      <c r="M10663" t="s">
        <v>23918</v>
      </c>
      <c r="N10663" t="s">
        <v>5056</v>
      </c>
      <c r="O10663" t="s">
        <v>22</v>
      </c>
      <c r="P10663">
        <v>92704</v>
      </c>
      <c r="Q10663">
        <v>7568</v>
      </c>
      <c r="R10663" t="s">
        <v>23</v>
      </c>
      <c r="S10663" s="1" t="s">
        <v>34218</v>
      </c>
    </row>
    <row r="10664" spans="1:19" x14ac:dyDescent="0.25">
      <c r="A10664">
        <v>101436622</v>
      </c>
      <c r="B10664" t="s">
        <v>23919</v>
      </c>
      <c r="C10664" t="s">
        <v>167</v>
      </c>
      <c r="G10664" t="s">
        <v>23920</v>
      </c>
      <c r="H10664" t="s">
        <v>23921</v>
      </c>
      <c r="I10664" t="s">
        <v>22</v>
      </c>
      <c r="J10664">
        <v>96145</v>
      </c>
      <c r="K10664">
        <v>7608</v>
      </c>
      <c r="L10664" t="s">
        <v>23</v>
      </c>
      <c r="M10664" t="s">
        <v>23920</v>
      </c>
      <c r="N10664" t="s">
        <v>23921</v>
      </c>
      <c r="O10664" t="s">
        <v>22</v>
      </c>
      <c r="P10664">
        <v>96145</v>
      </c>
      <c r="Q10664">
        <v>7608</v>
      </c>
      <c r="R10664" t="s">
        <v>23</v>
      </c>
      <c r="S10664" s="1" t="s">
        <v>34218</v>
      </c>
    </row>
    <row r="10665" spans="1:19" x14ac:dyDescent="0.25">
      <c r="A10665">
        <v>101474333</v>
      </c>
      <c r="B10665" t="s">
        <v>23922</v>
      </c>
      <c r="C10665" t="s">
        <v>294</v>
      </c>
      <c r="G10665" t="s">
        <v>23923</v>
      </c>
      <c r="H10665" t="s">
        <v>5579</v>
      </c>
      <c r="I10665" t="s">
        <v>446</v>
      </c>
      <c r="J10665">
        <v>27106</v>
      </c>
      <c r="K10665">
        <v>3819</v>
      </c>
      <c r="L10665" t="s">
        <v>23</v>
      </c>
      <c r="M10665" t="s">
        <v>23923</v>
      </c>
      <c r="N10665" t="s">
        <v>5579</v>
      </c>
      <c r="O10665" t="s">
        <v>446</v>
      </c>
      <c r="P10665">
        <v>27106</v>
      </c>
      <c r="Q10665">
        <v>3819</v>
      </c>
      <c r="R10665" t="s">
        <v>23</v>
      </c>
      <c r="S10665" s="1" t="s">
        <v>34218</v>
      </c>
    </row>
    <row r="10666" spans="1:19" x14ac:dyDescent="0.25">
      <c r="A10666">
        <v>101314100</v>
      </c>
      <c r="B10666" t="s">
        <v>23924</v>
      </c>
      <c r="C10666" t="s">
        <v>23925</v>
      </c>
      <c r="G10666" t="s">
        <v>23926</v>
      </c>
      <c r="H10666" t="s">
        <v>227</v>
      </c>
      <c r="I10666" t="s">
        <v>43</v>
      </c>
      <c r="J10666">
        <v>97202</v>
      </c>
      <c r="K10666">
        <v>2858</v>
      </c>
      <c r="L10666" t="s">
        <v>23</v>
      </c>
      <c r="M10666" t="s">
        <v>23926</v>
      </c>
      <c r="N10666" t="s">
        <v>227</v>
      </c>
      <c r="O10666" t="s">
        <v>43</v>
      </c>
      <c r="P10666">
        <v>97202</v>
      </c>
      <c r="Q10666">
        <v>2858</v>
      </c>
      <c r="R10666" t="s">
        <v>23</v>
      </c>
      <c r="S10666" s="1" t="s">
        <v>34218</v>
      </c>
    </row>
    <row r="10667" spans="1:19" x14ac:dyDescent="0.25">
      <c r="A10667">
        <v>100515475</v>
      </c>
      <c r="B10667" t="s">
        <v>23927</v>
      </c>
      <c r="C10667" t="s">
        <v>23928</v>
      </c>
      <c r="G10667" t="s">
        <v>23929</v>
      </c>
      <c r="H10667" t="s">
        <v>23930</v>
      </c>
      <c r="I10667" t="s">
        <v>22</v>
      </c>
      <c r="J10667" t="s">
        <v>23931</v>
      </c>
      <c r="K10667">
        <v>2611</v>
      </c>
      <c r="L10667" t="s">
        <v>23</v>
      </c>
      <c r="M10667" t="s">
        <v>23929</v>
      </c>
      <c r="N10667" t="s">
        <v>23930</v>
      </c>
      <c r="O10667" t="s">
        <v>22</v>
      </c>
      <c r="P10667" t="s">
        <v>23931</v>
      </c>
      <c r="Q10667">
        <v>2611</v>
      </c>
      <c r="R10667" t="s">
        <v>23</v>
      </c>
      <c r="S10667" s="1" t="s">
        <v>34218</v>
      </c>
    </row>
    <row r="10668" spans="1:19" x14ac:dyDescent="0.25">
      <c r="A10668">
        <v>101478075</v>
      </c>
      <c r="B10668" t="s">
        <v>23932</v>
      </c>
      <c r="C10668" t="s">
        <v>1086</v>
      </c>
      <c r="G10668" t="s">
        <v>23933</v>
      </c>
      <c r="H10668" t="s">
        <v>12195</v>
      </c>
      <c r="I10668" t="s">
        <v>348</v>
      </c>
      <c r="J10668">
        <v>83851</v>
      </c>
      <c r="K10668">
        <v>19</v>
      </c>
      <c r="L10668" t="s">
        <v>23</v>
      </c>
      <c r="M10668" t="s">
        <v>23933</v>
      </c>
      <c r="N10668" t="s">
        <v>12195</v>
      </c>
      <c r="O10668" t="s">
        <v>348</v>
      </c>
      <c r="P10668">
        <v>83851</v>
      </c>
      <c r="Q10668">
        <v>19</v>
      </c>
      <c r="R10668" t="s">
        <v>23</v>
      </c>
      <c r="S10668" s="1" t="s">
        <v>34218</v>
      </c>
    </row>
    <row r="10669" spans="1:19" x14ac:dyDescent="0.25">
      <c r="A10669">
        <v>101478175</v>
      </c>
      <c r="B10669" t="s">
        <v>23934</v>
      </c>
      <c r="C10669" t="s">
        <v>14230</v>
      </c>
      <c r="G10669" t="s">
        <v>23935</v>
      </c>
      <c r="H10669" t="s">
        <v>3686</v>
      </c>
      <c r="I10669" t="s">
        <v>57</v>
      </c>
      <c r="J10669">
        <v>47714</v>
      </c>
      <c r="K10669">
        <v>878</v>
      </c>
      <c r="L10669" t="s">
        <v>23</v>
      </c>
      <c r="M10669" t="s">
        <v>23935</v>
      </c>
      <c r="N10669" t="s">
        <v>3686</v>
      </c>
      <c r="O10669" t="s">
        <v>57</v>
      </c>
      <c r="P10669">
        <v>47714</v>
      </c>
      <c r="Q10669">
        <v>878</v>
      </c>
      <c r="R10669" t="s">
        <v>23</v>
      </c>
      <c r="S10669" s="1" t="s">
        <v>34218</v>
      </c>
    </row>
    <row r="10670" spans="1:19" x14ac:dyDescent="0.25">
      <c r="A10670">
        <v>101478325</v>
      </c>
      <c r="B10670" t="s">
        <v>1238</v>
      </c>
      <c r="C10670" t="s">
        <v>4124</v>
      </c>
      <c r="G10670" t="s">
        <v>13027</v>
      </c>
      <c r="H10670" t="s">
        <v>22460</v>
      </c>
      <c r="I10670" t="s">
        <v>38</v>
      </c>
      <c r="J10670">
        <v>79852</v>
      </c>
      <c r="K10670">
        <v>288</v>
      </c>
      <c r="L10670" t="s">
        <v>23</v>
      </c>
      <c r="M10670" t="s">
        <v>13027</v>
      </c>
      <c r="N10670" t="s">
        <v>22460</v>
      </c>
      <c r="O10670" t="s">
        <v>38</v>
      </c>
      <c r="P10670">
        <v>79852</v>
      </c>
      <c r="Q10670">
        <v>288</v>
      </c>
      <c r="R10670" t="s">
        <v>23</v>
      </c>
      <c r="S10670" s="1" t="s">
        <v>34218</v>
      </c>
    </row>
    <row r="10671" spans="1:19" x14ac:dyDescent="0.25">
      <c r="A10671">
        <v>100977875</v>
      </c>
      <c r="B10671" t="s">
        <v>9646</v>
      </c>
      <c r="C10671" t="s">
        <v>209</v>
      </c>
      <c r="G10671" t="s">
        <v>23936</v>
      </c>
      <c r="H10671" t="s">
        <v>134</v>
      </c>
      <c r="I10671" t="s">
        <v>135</v>
      </c>
      <c r="J10671">
        <v>60605</v>
      </c>
      <c r="K10671">
        <v>3345</v>
      </c>
      <c r="L10671" t="s">
        <v>23</v>
      </c>
      <c r="M10671" t="s">
        <v>23936</v>
      </c>
      <c r="N10671" t="s">
        <v>134</v>
      </c>
      <c r="O10671" t="s">
        <v>135</v>
      </c>
      <c r="P10671">
        <v>60605</v>
      </c>
      <c r="Q10671">
        <v>3345</v>
      </c>
      <c r="R10671" t="s">
        <v>23</v>
      </c>
      <c r="S10671" s="1" t="s">
        <v>34218</v>
      </c>
    </row>
    <row r="10672" spans="1:19" x14ac:dyDescent="0.25">
      <c r="A10672">
        <v>100854326</v>
      </c>
      <c r="B10672" t="s">
        <v>1164</v>
      </c>
      <c r="C10672" t="s">
        <v>22834</v>
      </c>
      <c r="G10672" t="s">
        <v>23937</v>
      </c>
      <c r="H10672" t="s">
        <v>1396</v>
      </c>
      <c r="I10672" t="s">
        <v>84</v>
      </c>
      <c r="J10672">
        <v>98092</v>
      </c>
      <c r="K10672">
        <v>4001</v>
      </c>
      <c r="L10672" t="s">
        <v>23</v>
      </c>
      <c r="M10672" t="s">
        <v>23937</v>
      </c>
      <c r="N10672" t="s">
        <v>1396</v>
      </c>
      <c r="O10672" t="s">
        <v>84</v>
      </c>
      <c r="P10672">
        <v>98092</v>
      </c>
      <c r="Q10672">
        <v>4001</v>
      </c>
      <c r="R10672" t="s">
        <v>23</v>
      </c>
      <c r="S10672" s="1" t="s">
        <v>34218</v>
      </c>
    </row>
    <row r="10673" spans="1:19" x14ac:dyDescent="0.25">
      <c r="A10673">
        <v>100624792</v>
      </c>
      <c r="B10673" t="s">
        <v>23938</v>
      </c>
      <c r="C10673" t="s">
        <v>1208</v>
      </c>
      <c r="G10673" t="s">
        <v>23939</v>
      </c>
      <c r="H10673" t="s">
        <v>818</v>
      </c>
      <c r="I10673" t="s">
        <v>43</v>
      </c>
      <c r="J10673">
        <v>97007</v>
      </c>
      <c r="K10673">
        <v>4025</v>
      </c>
      <c r="L10673" t="s">
        <v>23</v>
      </c>
      <c r="M10673" t="s">
        <v>23939</v>
      </c>
      <c r="N10673" t="s">
        <v>818</v>
      </c>
      <c r="O10673" t="s">
        <v>43</v>
      </c>
      <c r="P10673">
        <v>97007</v>
      </c>
      <c r="Q10673">
        <v>4025</v>
      </c>
      <c r="R10673" t="s">
        <v>23</v>
      </c>
      <c r="S10673" s="1" t="s">
        <v>34218</v>
      </c>
    </row>
    <row r="10674" spans="1:19" x14ac:dyDescent="0.25">
      <c r="A10674">
        <v>101424976</v>
      </c>
      <c r="B10674" t="s">
        <v>23940</v>
      </c>
      <c r="C10674" t="s">
        <v>23941</v>
      </c>
      <c r="G10674" t="s">
        <v>23942</v>
      </c>
      <c r="H10674" t="s">
        <v>1386</v>
      </c>
      <c r="I10674" t="s">
        <v>1387</v>
      </c>
      <c r="J10674">
        <v>35487</v>
      </c>
      <c r="K10674">
        <v>1</v>
      </c>
      <c r="L10674" t="s">
        <v>23</v>
      </c>
      <c r="M10674" t="s">
        <v>23942</v>
      </c>
      <c r="N10674" t="s">
        <v>1386</v>
      </c>
      <c r="O10674" t="s">
        <v>1387</v>
      </c>
      <c r="P10674">
        <v>35487</v>
      </c>
      <c r="Q10674">
        <v>1</v>
      </c>
      <c r="R10674" t="s">
        <v>23</v>
      </c>
      <c r="S10674" s="1" t="s">
        <v>34218</v>
      </c>
    </row>
    <row r="10675" spans="1:19" x14ac:dyDescent="0.25">
      <c r="A10675">
        <v>101478611</v>
      </c>
      <c r="B10675" t="s">
        <v>23943</v>
      </c>
      <c r="C10675" t="s">
        <v>498</v>
      </c>
      <c r="G10675" t="s">
        <v>23944</v>
      </c>
      <c r="H10675" t="s">
        <v>37</v>
      </c>
      <c r="I10675" t="s">
        <v>38</v>
      </c>
      <c r="J10675">
        <v>78723</v>
      </c>
      <c r="K10675">
        <v>1802</v>
      </c>
      <c r="L10675" t="s">
        <v>23</v>
      </c>
      <c r="M10675" t="s">
        <v>23944</v>
      </c>
      <c r="N10675" t="s">
        <v>37</v>
      </c>
      <c r="O10675" t="s">
        <v>38</v>
      </c>
      <c r="P10675">
        <v>78723</v>
      </c>
      <c r="Q10675">
        <v>1802</v>
      </c>
      <c r="R10675" t="s">
        <v>23</v>
      </c>
      <c r="S10675" s="1" t="s">
        <v>34218</v>
      </c>
    </row>
    <row r="10676" spans="1:19" x14ac:dyDescent="0.25">
      <c r="A10676">
        <v>101478629</v>
      </c>
      <c r="B10676" t="s">
        <v>23945</v>
      </c>
      <c r="C10676" t="s">
        <v>1859</v>
      </c>
      <c r="G10676" t="s">
        <v>23946</v>
      </c>
      <c r="H10676" t="s">
        <v>37</v>
      </c>
      <c r="I10676" t="s">
        <v>38</v>
      </c>
      <c r="J10676">
        <v>78757</v>
      </c>
      <c r="K10676">
        <v>4442</v>
      </c>
      <c r="L10676" t="s">
        <v>23</v>
      </c>
      <c r="M10676" t="s">
        <v>23946</v>
      </c>
      <c r="N10676" t="s">
        <v>37</v>
      </c>
      <c r="O10676" t="s">
        <v>38</v>
      </c>
      <c r="P10676">
        <v>78757</v>
      </c>
      <c r="Q10676">
        <v>4442</v>
      </c>
      <c r="R10676" t="s">
        <v>23</v>
      </c>
      <c r="S10676" s="1" t="s">
        <v>34218</v>
      </c>
    </row>
    <row r="10677" spans="1:19" x14ac:dyDescent="0.25">
      <c r="A10677">
        <v>101478711</v>
      </c>
      <c r="B10677" t="s">
        <v>23947</v>
      </c>
      <c r="C10677" t="s">
        <v>403</v>
      </c>
      <c r="G10677" t="s">
        <v>23948</v>
      </c>
      <c r="H10677" t="s">
        <v>14629</v>
      </c>
      <c r="I10677" t="s">
        <v>43</v>
      </c>
      <c r="J10677">
        <v>97502</v>
      </c>
      <c r="K10677">
        <v>8635</v>
      </c>
      <c r="L10677" t="s">
        <v>23</v>
      </c>
      <c r="M10677" t="s">
        <v>23948</v>
      </c>
      <c r="N10677" t="s">
        <v>14629</v>
      </c>
      <c r="O10677" t="s">
        <v>43</v>
      </c>
      <c r="P10677">
        <v>97502</v>
      </c>
      <c r="Q10677">
        <v>8635</v>
      </c>
      <c r="R10677" t="s">
        <v>23</v>
      </c>
      <c r="S10677" s="1" t="s">
        <v>34218</v>
      </c>
    </row>
    <row r="10678" spans="1:19" x14ac:dyDescent="0.25">
      <c r="A10678">
        <v>101478804</v>
      </c>
      <c r="B10678" t="s">
        <v>1349</v>
      </c>
      <c r="C10678" t="s">
        <v>613</v>
      </c>
      <c r="G10678" t="s">
        <v>23949</v>
      </c>
      <c r="H10678" t="s">
        <v>17485</v>
      </c>
      <c r="I10678" t="s">
        <v>22</v>
      </c>
      <c r="J10678">
        <v>96158</v>
      </c>
      <c r="K10678">
        <v>2585</v>
      </c>
      <c r="L10678" t="s">
        <v>23</v>
      </c>
      <c r="M10678" t="s">
        <v>23949</v>
      </c>
      <c r="N10678" t="s">
        <v>17485</v>
      </c>
      <c r="O10678" t="s">
        <v>22</v>
      </c>
      <c r="P10678">
        <v>96158</v>
      </c>
      <c r="Q10678">
        <v>2585</v>
      </c>
      <c r="R10678" t="s">
        <v>23</v>
      </c>
      <c r="S10678" s="1" t="s">
        <v>34218</v>
      </c>
    </row>
    <row r="10679" spans="1:19" x14ac:dyDescent="0.25">
      <c r="A10679">
        <v>101478918</v>
      </c>
      <c r="B10679" t="s">
        <v>23950</v>
      </c>
      <c r="C10679" t="s">
        <v>2132</v>
      </c>
      <c r="G10679" t="s">
        <v>23951</v>
      </c>
      <c r="H10679" t="s">
        <v>227</v>
      </c>
      <c r="I10679" t="s">
        <v>43</v>
      </c>
      <c r="J10679">
        <v>97217</v>
      </c>
      <c r="K10679">
        <v>2649</v>
      </c>
      <c r="L10679" t="s">
        <v>23</v>
      </c>
      <c r="M10679" t="s">
        <v>23951</v>
      </c>
      <c r="N10679" t="s">
        <v>227</v>
      </c>
      <c r="O10679" t="s">
        <v>43</v>
      </c>
      <c r="P10679">
        <v>97217</v>
      </c>
      <c r="Q10679">
        <v>2649</v>
      </c>
      <c r="R10679" t="s">
        <v>23</v>
      </c>
      <c r="S10679" s="1" t="s">
        <v>34218</v>
      </c>
    </row>
    <row r="10680" spans="1:19" x14ac:dyDescent="0.25">
      <c r="A10680">
        <v>101478979</v>
      </c>
      <c r="B10680" t="s">
        <v>23952</v>
      </c>
      <c r="C10680" t="s">
        <v>579</v>
      </c>
      <c r="G10680" t="s">
        <v>23953</v>
      </c>
      <c r="H10680" t="s">
        <v>3322</v>
      </c>
      <c r="I10680" t="s">
        <v>22</v>
      </c>
      <c r="J10680">
        <v>95436</v>
      </c>
      <c r="K10680">
        <v>9590</v>
      </c>
      <c r="L10680" t="s">
        <v>23</v>
      </c>
      <c r="M10680" t="s">
        <v>23953</v>
      </c>
      <c r="N10680" t="s">
        <v>3322</v>
      </c>
      <c r="O10680" t="s">
        <v>22</v>
      </c>
      <c r="P10680">
        <v>95436</v>
      </c>
      <c r="Q10680">
        <v>9590</v>
      </c>
      <c r="R10680" t="s">
        <v>23</v>
      </c>
      <c r="S10680" s="1" t="s">
        <v>34218</v>
      </c>
    </row>
    <row r="10681" spans="1:19" x14ac:dyDescent="0.25">
      <c r="A10681">
        <v>101479236</v>
      </c>
      <c r="B10681" t="s">
        <v>14032</v>
      </c>
      <c r="C10681" t="s">
        <v>86</v>
      </c>
      <c r="G10681" t="s">
        <v>23954</v>
      </c>
      <c r="H10681" t="s">
        <v>1293</v>
      </c>
      <c r="I10681" t="s">
        <v>22</v>
      </c>
      <c r="J10681">
        <v>95060</v>
      </c>
      <c r="K10681">
        <v>3627</v>
      </c>
      <c r="L10681" t="s">
        <v>23</v>
      </c>
      <c r="M10681" t="s">
        <v>23954</v>
      </c>
      <c r="N10681" t="s">
        <v>1293</v>
      </c>
      <c r="O10681" t="s">
        <v>22</v>
      </c>
      <c r="P10681">
        <v>95060</v>
      </c>
      <c r="Q10681">
        <v>3627</v>
      </c>
      <c r="R10681" t="s">
        <v>23</v>
      </c>
      <c r="S10681" s="1" t="s">
        <v>34218</v>
      </c>
    </row>
    <row r="10682" spans="1:19" x14ac:dyDescent="0.25">
      <c r="A10682">
        <v>101479286</v>
      </c>
      <c r="B10682" t="s">
        <v>23955</v>
      </c>
      <c r="C10682" t="s">
        <v>20178</v>
      </c>
      <c r="G10682" t="s">
        <v>23956</v>
      </c>
      <c r="H10682" t="s">
        <v>12507</v>
      </c>
      <c r="I10682" t="s">
        <v>84</v>
      </c>
      <c r="J10682">
        <v>98902</v>
      </c>
      <c r="K10682">
        <v>4214</v>
      </c>
      <c r="L10682" t="s">
        <v>23</v>
      </c>
      <c r="M10682" t="s">
        <v>23956</v>
      </c>
      <c r="N10682" t="s">
        <v>12507</v>
      </c>
      <c r="O10682" t="s">
        <v>84</v>
      </c>
      <c r="P10682">
        <v>98902</v>
      </c>
      <c r="Q10682">
        <v>4214</v>
      </c>
      <c r="R10682" t="s">
        <v>23</v>
      </c>
      <c r="S10682" s="1" t="s">
        <v>34218</v>
      </c>
    </row>
    <row r="10683" spans="1:19" x14ac:dyDescent="0.25">
      <c r="A10683">
        <v>101479304</v>
      </c>
      <c r="B10683" t="s">
        <v>23957</v>
      </c>
      <c r="C10683" t="s">
        <v>274</v>
      </c>
      <c r="G10683" t="s">
        <v>23958</v>
      </c>
      <c r="H10683" t="s">
        <v>61</v>
      </c>
      <c r="I10683" t="s">
        <v>62</v>
      </c>
      <c r="J10683">
        <v>73109</v>
      </c>
      <c r="K10683">
        <v>2212</v>
      </c>
      <c r="L10683" t="s">
        <v>23</v>
      </c>
      <c r="M10683" t="s">
        <v>23958</v>
      </c>
      <c r="N10683" t="s">
        <v>61</v>
      </c>
      <c r="O10683" t="s">
        <v>62</v>
      </c>
      <c r="P10683">
        <v>73109</v>
      </c>
      <c r="Q10683">
        <v>2212</v>
      </c>
      <c r="R10683" t="s">
        <v>23</v>
      </c>
      <c r="S10683" s="1" t="s">
        <v>34218</v>
      </c>
    </row>
    <row r="10684" spans="1:19" x14ac:dyDescent="0.25">
      <c r="A10684">
        <v>101479329</v>
      </c>
      <c r="B10684" t="s">
        <v>6207</v>
      </c>
      <c r="C10684" t="s">
        <v>23959</v>
      </c>
      <c r="G10684" t="s">
        <v>23960</v>
      </c>
      <c r="H10684" t="s">
        <v>16641</v>
      </c>
      <c r="I10684" t="s">
        <v>71</v>
      </c>
      <c r="J10684">
        <v>80863</v>
      </c>
      <c r="K10684">
        <v>8307</v>
      </c>
      <c r="L10684" t="s">
        <v>23</v>
      </c>
      <c r="M10684" t="s">
        <v>23960</v>
      </c>
      <c r="N10684" t="s">
        <v>16641</v>
      </c>
      <c r="O10684" t="s">
        <v>71</v>
      </c>
      <c r="P10684">
        <v>80863</v>
      </c>
      <c r="Q10684">
        <v>8307</v>
      </c>
      <c r="R10684" t="s">
        <v>23</v>
      </c>
      <c r="S10684" s="1" t="s">
        <v>34218</v>
      </c>
    </row>
    <row r="10685" spans="1:19" x14ac:dyDescent="0.25">
      <c r="A10685">
        <v>101438030</v>
      </c>
      <c r="B10685" t="s">
        <v>744</v>
      </c>
      <c r="C10685" t="s">
        <v>16567</v>
      </c>
      <c r="G10685" t="s">
        <v>23961</v>
      </c>
      <c r="H10685" t="s">
        <v>6494</v>
      </c>
      <c r="I10685" t="s">
        <v>236</v>
      </c>
      <c r="J10685" t="s">
        <v>23962</v>
      </c>
      <c r="K10685">
        <v>7932</v>
      </c>
      <c r="L10685" t="s">
        <v>23</v>
      </c>
      <c r="M10685" t="s">
        <v>23961</v>
      </c>
      <c r="N10685" t="s">
        <v>6494</v>
      </c>
      <c r="O10685" t="s">
        <v>236</v>
      </c>
      <c r="P10685" t="s">
        <v>23962</v>
      </c>
      <c r="Q10685">
        <v>7932</v>
      </c>
      <c r="R10685" t="s">
        <v>23</v>
      </c>
      <c r="S10685" s="1" t="s">
        <v>34218</v>
      </c>
    </row>
    <row r="10686" spans="1:19" x14ac:dyDescent="0.25">
      <c r="A10686">
        <v>101431581</v>
      </c>
      <c r="B10686" t="s">
        <v>23963</v>
      </c>
      <c r="C10686" t="s">
        <v>585</v>
      </c>
      <c r="G10686" t="s">
        <v>23964</v>
      </c>
      <c r="H10686" t="s">
        <v>6151</v>
      </c>
      <c r="I10686" t="s">
        <v>33</v>
      </c>
      <c r="J10686">
        <v>17601</v>
      </c>
      <c r="K10686">
        <v>4306</v>
      </c>
      <c r="L10686" t="s">
        <v>23</v>
      </c>
      <c r="M10686" t="s">
        <v>23964</v>
      </c>
      <c r="N10686" t="s">
        <v>6151</v>
      </c>
      <c r="O10686" t="s">
        <v>33</v>
      </c>
      <c r="P10686">
        <v>17601</v>
      </c>
      <c r="Q10686">
        <v>4306</v>
      </c>
      <c r="R10686" t="s">
        <v>23</v>
      </c>
      <c r="S10686" s="1" t="s">
        <v>34218</v>
      </c>
    </row>
    <row r="10687" spans="1:19" x14ac:dyDescent="0.25">
      <c r="A10687">
        <v>101398124</v>
      </c>
      <c r="B10687" t="s">
        <v>10596</v>
      </c>
      <c r="C10687" t="s">
        <v>1549</v>
      </c>
      <c r="G10687" t="s">
        <v>23965</v>
      </c>
      <c r="H10687" t="s">
        <v>653</v>
      </c>
      <c r="I10687" t="s">
        <v>117</v>
      </c>
      <c r="J10687">
        <v>10040</v>
      </c>
      <c r="L10687" t="s">
        <v>23</v>
      </c>
      <c r="M10687" t="s">
        <v>23965</v>
      </c>
      <c r="N10687" t="s">
        <v>653</v>
      </c>
      <c r="O10687" t="s">
        <v>117</v>
      </c>
      <c r="P10687">
        <v>10040</v>
      </c>
      <c r="R10687" t="s">
        <v>23</v>
      </c>
      <c r="S10687" s="1" t="s">
        <v>34218</v>
      </c>
    </row>
    <row r="10688" spans="1:19" x14ac:dyDescent="0.25">
      <c r="A10688">
        <v>101306055</v>
      </c>
      <c r="B10688" t="s">
        <v>23966</v>
      </c>
      <c r="C10688" t="s">
        <v>1959</v>
      </c>
      <c r="G10688" t="s">
        <v>23967</v>
      </c>
      <c r="H10688" t="s">
        <v>13062</v>
      </c>
      <c r="I10688" t="s">
        <v>52</v>
      </c>
      <c r="J10688">
        <v>32901</v>
      </c>
      <c r="K10688">
        <v>4419</v>
      </c>
      <c r="L10688" t="s">
        <v>23</v>
      </c>
      <c r="M10688" t="s">
        <v>23967</v>
      </c>
      <c r="N10688" t="s">
        <v>13062</v>
      </c>
      <c r="O10688" t="s">
        <v>52</v>
      </c>
      <c r="P10688">
        <v>32901</v>
      </c>
      <c r="Q10688">
        <v>4419</v>
      </c>
      <c r="R10688" t="s">
        <v>23</v>
      </c>
      <c r="S10688" s="1" t="s">
        <v>34218</v>
      </c>
    </row>
    <row r="10689" spans="1:19" x14ac:dyDescent="0.25">
      <c r="A10689">
        <v>101467016</v>
      </c>
      <c r="B10689" t="s">
        <v>2376</v>
      </c>
      <c r="C10689" t="s">
        <v>102</v>
      </c>
      <c r="G10689" t="s">
        <v>23968</v>
      </c>
      <c r="H10689" t="s">
        <v>10445</v>
      </c>
      <c r="I10689" t="s">
        <v>22</v>
      </c>
      <c r="J10689">
        <v>91304</v>
      </c>
      <c r="K10689">
        <v>5803</v>
      </c>
      <c r="L10689" t="s">
        <v>23</v>
      </c>
      <c r="M10689" t="s">
        <v>23968</v>
      </c>
      <c r="N10689" t="s">
        <v>10445</v>
      </c>
      <c r="O10689" t="s">
        <v>22</v>
      </c>
      <c r="P10689">
        <v>91304</v>
      </c>
      <c r="Q10689">
        <v>5803</v>
      </c>
      <c r="R10689" t="s">
        <v>23</v>
      </c>
      <c r="S10689" s="1" t="s">
        <v>34218</v>
      </c>
    </row>
    <row r="10690" spans="1:19" x14ac:dyDescent="0.25">
      <c r="A10690">
        <v>101451815</v>
      </c>
      <c r="B10690" t="s">
        <v>3115</v>
      </c>
      <c r="C10690" t="s">
        <v>2518</v>
      </c>
      <c r="G10690" t="s">
        <v>23969</v>
      </c>
      <c r="H10690" t="s">
        <v>4799</v>
      </c>
      <c r="I10690" t="s">
        <v>22</v>
      </c>
      <c r="J10690">
        <v>95670</v>
      </c>
      <c r="L10690" t="s">
        <v>23</v>
      </c>
      <c r="M10690" t="s">
        <v>23969</v>
      </c>
      <c r="N10690" t="s">
        <v>4799</v>
      </c>
      <c r="O10690" t="s">
        <v>22</v>
      </c>
      <c r="P10690">
        <v>95670</v>
      </c>
      <c r="R10690" t="s">
        <v>23</v>
      </c>
      <c r="S10690" s="1" t="s">
        <v>34218</v>
      </c>
    </row>
    <row r="10691" spans="1:19" x14ac:dyDescent="0.25">
      <c r="A10691">
        <v>101467794</v>
      </c>
      <c r="B10691" t="s">
        <v>23970</v>
      </c>
      <c r="C10691" t="s">
        <v>3460</v>
      </c>
      <c r="G10691" t="s">
        <v>23971</v>
      </c>
      <c r="H10691" t="s">
        <v>12242</v>
      </c>
      <c r="I10691" t="s">
        <v>140</v>
      </c>
      <c r="J10691">
        <v>48451</v>
      </c>
      <c r="K10691">
        <v>9765</v>
      </c>
      <c r="L10691" t="s">
        <v>23</v>
      </c>
      <c r="M10691" t="s">
        <v>23971</v>
      </c>
      <c r="N10691" t="s">
        <v>12242</v>
      </c>
      <c r="O10691" t="s">
        <v>140</v>
      </c>
      <c r="P10691">
        <v>48451</v>
      </c>
      <c r="Q10691">
        <v>9765</v>
      </c>
      <c r="R10691" t="s">
        <v>23</v>
      </c>
      <c r="S10691" s="1" t="s">
        <v>34218</v>
      </c>
    </row>
    <row r="10692" spans="1:19" x14ac:dyDescent="0.25">
      <c r="A10692">
        <v>101443940</v>
      </c>
      <c r="B10692" t="s">
        <v>23972</v>
      </c>
      <c r="C10692" t="s">
        <v>644</v>
      </c>
      <c r="G10692" t="s">
        <v>23973</v>
      </c>
      <c r="H10692" t="s">
        <v>4326</v>
      </c>
      <c r="I10692" t="s">
        <v>71</v>
      </c>
      <c r="J10692" t="s">
        <v>23974</v>
      </c>
      <c r="K10692">
        <v>2811</v>
      </c>
      <c r="L10692" t="s">
        <v>23</v>
      </c>
      <c r="M10692" t="s">
        <v>23973</v>
      </c>
      <c r="N10692" t="s">
        <v>4326</v>
      </c>
      <c r="O10692" t="s">
        <v>71</v>
      </c>
      <c r="P10692" t="s">
        <v>23974</v>
      </c>
      <c r="Q10692">
        <v>2811</v>
      </c>
      <c r="R10692" t="s">
        <v>23</v>
      </c>
      <c r="S10692" s="1" t="s">
        <v>34218</v>
      </c>
    </row>
    <row r="10693" spans="1:19" x14ac:dyDescent="0.25">
      <c r="A10693">
        <v>101294036</v>
      </c>
      <c r="B10693" t="s">
        <v>23975</v>
      </c>
      <c r="C10693" t="s">
        <v>180</v>
      </c>
      <c r="G10693" t="s">
        <v>23976</v>
      </c>
      <c r="H10693" t="s">
        <v>3169</v>
      </c>
      <c r="I10693" t="s">
        <v>84</v>
      </c>
      <c r="J10693">
        <v>98406</v>
      </c>
      <c r="K10693">
        <v>5445</v>
      </c>
      <c r="L10693" t="s">
        <v>23</v>
      </c>
      <c r="M10693" t="s">
        <v>23976</v>
      </c>
      <c r="N10693" t="s">
        <v>3169</v>
      </c>
      <c r="O10693" t="s">
        <v>84</v>
      </c>
      <c r="P10693">
        <v>98406</v>
      </c>
      <c r="Q10693">
        <v>5445</v>
      </c>
      <c r="R10693" t="s">
        <v>23</v>
      </c>
      <c r="S10693" s="1" t="s">
        <v>34218</v>
      </c>
    </row>
    <row r="10694" spans="1:19" x14ac:dyDescent="0.25">
      <c r="A10694">
        <v>101440140</v>
      </c>
      <c r="B10694" t="s">
        <v>4139</v>
      </c>
      <c r="C10694" t="s">
        <v>535</v>
      </c>
      <c r="G10694" t="s">
        <v>23977</v>
      </c>
      <c r="H10694" t="s">
        <v>21236</v>
      </c>
      <c r="I10694" t="s">
        <v>117</v>
      </c>
      <c r="J10694">
        <v>11362</v>
      </c>
      <c r="K10694">
        <v>1022</v>
      </c>
      <c r="L10694" t="s">
        <v>23</v>
      </c>
      <c r="M10694" t="s">
        <v>23977</v>
      </c>
      <c r="N10694" t="s">
        <v>21236</v>
      </c>
      <c r="O10694" t="s">
        <v>117</v>
      </c>
      <c r="P10694">
        <v>11362</v>
      </c>
      <c r="Q10694">
        <v>1022</v>
      </c>
      <c r="R10694" t="s">
        <v>23</v>
      </c>
      <c r="S10694" s="1" t="s">
        <v>34218</v>
      </c>
    </row>
    <row r="10695" spans="1:19" x14ac:dyDescent="0.25">
      <c r="A10695">
        <v>100529829</v>
      </c>
      <c r="B10695" t="s">
        <v>3554</v>
      </c>
      <c r="C10695" t="s">
        <v>6257</v>
      </c>
      <c r="G10695" t="s">
        <v>23978</v>
      </c>
      <c r="H10695" t="s">
        <v>10819</v>
      </c>
      <c r="I10695" t="s">
        <v>1387</v>
      </c>
      <c r="J10695">
        <v>35803</v>
      </c>
      <c r="K10695">
        <v>2216</v>
      </c>
      <c r="L10695" t="s">
        <v>23</v>
      </c>
      <c r="M10695" t="s">
        <v>23978</v>
      </c>
      <c r="N10695" t="s">
        <v>10819</v>
      </c>
      <c r="O10695" t="s">
        <v>1387</v>
      </c>
      <c r="P10695">
        <v>35803</v>
      </c>
      <c r="Q10695">
        <v>2216</v>
      </c>
      <c r="R10695" t="s">
        <v>23</v>
      </c>
      <c r="S10695" s="1" t="s">
        <v>34218</v>
      </c>
    </row>
    <row r="10696" spans="1:19" x14ac:dyDescent="0.25">
      <c r="A10696">
        <v>101446807</v>
      </c>
      <c r="B10696" t="s">
        <v>23979</v>
      </c>
      <c r="C10696" t="s">
        <v>644</v>
      </c>
      <c r="G10696" t="s">
        <v>23980</v>
      </c>
      <c r="H10696" t="s">
        <v>389</v>
      </c>
      <c r="I10696" t="s">
        <v>100</v>
      </c>
      <c r="J10696">
        <v>53225</v>
      </c>
      <c r="K10696">
        <v>1673</v>
      </c>
      <c r="L10696" t="s">
        <v>23</v>
      </c>
      <c r="M10696" t="s">
        <v>23980</v>
      </c>
      <c r="N10696" t="s">
        <v>389</v>
      </c>
      <c r="O10696" t="s">
        <v>100</v>
      </c>
      <c r="P10696">
        <v>53225</v>
      </c>
      <c r="Q10696">
        <v>1673</v>
      </c>
      <c r="R10696" t="s">
        <v>23</v>
      </c>
      <c r="S10696" s="1" t="s">
        <v>34218</v>
      </c>
    </row>
    <row r="10697" spans="1:19" x14ac:dyDescent="0.25">
      <c r="A10697">
        <v>101474348</v>
      </c>
      <c r="B10697" t="s">
        <v>23981</v>
      </c>
      <c r="C10697" t="s">
        <v>23982</v>
      </c>
      <c r="G10697" t="s">
        <v>23983</v>
      </c>
      <c r="H10697" t="s">
        <v>1985</v>
      </c>
      <c r="I10697" t="s">
        <v>71</v>
      </c>
      <c r="J10697">
        <v>80918</v>
      </c>
      <c r="K10697">
        <v>5232</v>
      </c>
      <c r="L10697" t="s">
        <v>23</v>
      </c>
      <c r="M10697" t="s">
        <v>23983</v>
      </c>
      <c r="N10697" t="s">
        <v>1985</v>
      </c>
      <c r="O10697" t="s">
        <v>71</v>
      </c>
      <c r="P10697">
        <v>80918</v>
      </c>
      <c r="Q10697">
        <v>5232</v>
      </c>
      <c r="R10697" t="s">
        <v>23</v>
      </c>
      <c r="S10697" s="1" t="s">
        <v>34218</v>
      </c>
    </row>
    <row r="10698" spans="1:19" x14ac:dyDescent="0.25">
      <c r="A10698">
        <v>101281894</v>
      </c>
      <c r="B10698" t="s">
        <v>23984</v>
      </c>
      <c r="C10698" t="s">
        <v>707</v>
      </c>
      <c r="G10698" t="s">
        <v>23985</v>
      </c>
      <c r="H10698" t="s">
        <v>7630</v>
      </c>
      <c r="I10698" t="s">
        <v>255</v>
      </c>
      <c r="J10698">
        <v>22043</v>
      </c>
      <c r="K10698">
        <v>1613</v>
      </c>
      <c r="L10698" t="s">
        <v>23</v>
      </c>
      <c r="M10698" t="s">
        <v>23985</v>
      </c>
      <c r="N10698" t="s">
        <v>7630</v>
      </c>
      <c r="O10698" t="s">
        <v>255</v>
      </c>
      <c r="P10698">
        <v>22043</v>
      </c>
      <c r="Q10698">
        <v>1613</v>
      </c>
      <c r="R10698" t="s">
        <v>23</v>
      </c>
      <c r="S10698" s="1" t="s">
        <v>34218</v>
      </c>
    </row>
    <row r="10699" spans="1:19" x14ac:dyDescent="0.25">
      <c r="A10699">
        <v>101265843</v>
      </c>
      <c r="B10699" t="s">
        <v>4779</v>
      </c>
      <c r="C10699" t="s">
        <v>252</v>
      </c>
      <c r="G10699" t="s">
        <v>23986</v>
      </c>
      <c r="H10699" t="s">
        <v>6629</v>
      </c>
      <c r="I10699" t="s">
        <v>38</v>
      </c>
      <c r="J10699">
        <v>77389</v>
      </c>
      <c r="K10699">
        <v>4152</v>
      </c>
      <c r="L10699" t="s">
        <v>23</v>
      </c>
      <c r="M10699" t="s">
        <v>23986</v>
      </c>
      <c r="N10699" t="s">
        <v>6629</v>
      </c>
      <c r="O10699" t="s">
        <v>38</v>
      </c>
      <c r="P10699">
        <v>77389</v>
      </c>
      <c r="Q10699">
        <v>4152</v>
      </c>
      <c r="R10699" t="s">
        <v>23</v>
      </c>
      <c r="S10699" s="1" t="s">
        <v>34218</v>
      </c>
    </row>
    <row r="10700" spans="1:19" x14ac:dyDescent="0.25">
      <c r="A10700">
        <v>101295105</v>
      </c>
      <c r="B10700" t="s">
        <v>23987</v>
      </c>
      <c r="C10700" t="s">
        <v>985</v>
      </c>
      <c r="G10700" t="s">
        <v>23988</v>
      </c>
      <c r="H10700" t="s">
        <v>23989</v>
      </c>
      <c r="I10700" t="s">
        <v>22</v>
      </c>
      <c r="J10700">
        <v>92284</v>
      </c>
      <c r="K10700">
        <v>1375</v>
      </c>
      <c r="L10700" t="s">
        <v>23</v>
      </c>
      <c r="M10700" t="s">
        <v>23988</v>
      </c>
      <c r="N10700" t="s">
        <v>23989</v>
      </c>
      <c r="O10700" t="s">
        <v>22</v>
      </c>
      <c r="P10700">
        <v>92284</v>
      </c>
      <c r="Q10700">
        <v>1375</v>
      </c>
      <c r="R10700" t="s">
        <v>23</v>
      </c>
      <c r="S10700" s="1" t="s">
        <v>34218</v>
      </c>
    </row>
    <row r="10701" spans="1:19" x14ac:dyDescent="0.25">
      <c r="A10701">
        <v>100764906</v>
      </c>
      <c r="B10701" t="s">
        <v>23990</v>
      </c>
      <c r="C10701" t="s">
        <v>1295</v>
      </c>
      <c r="G10701" t="s">
        <v>23991</v>
      </c>
      <c r="H10701" t="s">
        <v>130</v>
      </c>
      <c r="I10701" t="s">
        <v>22</v>
      </c>
      <c r="J10701" t="s">
        <v>23992</v>
      </c>
      <c r="K10701">
        <v>4633</v>
      </c>
      <c r="L10701" t="s">
        <v>23</v>
      </c>
      <c r="M10701" t="s">
        <v>23991</v>
      </c>
      <c r="N10701" t="s">
        <v>130</v>
      </c>
      <c r="O10701" t="s">
        <v>22</v>
      </c>
      <c r="P10701" t="s">
        <v>23992</v>
      </c>
      <c r="Q10701">
        <v>4633</v>
      </c>
      <c r="R10701" t="s">
        <v>23</v>
      </c>
      <c r="S10701" s="1" t="s">
        <v>34218</v>
      </c>
    </row>
    <row r="10702" spans="1:19" x14ac:dyDescent="0.25">
      <c r="A10702">
        <v>101441182</v>
      </c>
      <c r="B10702" t="s">
        <v>23993</v>
      </c>
      <c r="C10702" t="s">
        <v>644</v>
      </c>
      <c r="G10702" t="s">
        <v>23994</v>
      </c>
      <c r="H10702" t="s">
        <v>3797</v>
      </c>
      <c r="I10702" t="s">
        <v>84</v>
      </c>
      <c r="J10702">
        <v>98245</v>
      </c>
      <c r="K10702">
        <v>8317</v>
      </c>
      <c r="L10702" t="s">
        <v>23</v>
      </c>
      <c r="M10702" t="s">
        <v>23994</v>
      </c>
      <c r="N10702" t="s">
        <v>3797</v>
      </c>
      <c r="O10702" t="s">
        <v>84</v>
      </c>
      <c r="P10702">
        <v>98245</v>
      </c>
      <c r="Q10702">
        <v>8317</v>
      </c>
      <c r="R10702" t="s">
        <v>23</v>
      </c>
      <c r="S10702" s="1" t="s">
        <v>34218</v>
      </c>
    </row>
    <row r="10703" spans="1:19" x14ac:dyDescent="0.25">
      <c r="A10703">
        <v>100610745</v>
      </c>
      <c r="B10703" t="s">
        <v>23995</v>
      </c>
      <c r="C10703" t="s">
        <v>4245</v>
      </c>
      <c r="G10703" t="s">
        <v>23996</v>
      </c>
      <c r="H10703" t="s">
        <v>23997</v>
      </c>
      <c r="I10703" t="s">
        <v>236</v>
      </c>
      <c r="J10703">
        <v>1984</v>
      </c>
      <c r="L10703" t="s">
        <v>23</v>
      </c>
      <c r="M10703" t="s">
        <v>23996</v>
      </c>
      <c r="N10703" t="s">
        <v>23997</v>
      </c>
      <c r="O10703" t="s">
        <v>236</v>
      </c>
      <c r="P10703">
        <v>1984</v>
      </c>
      <c r="R10703" t="s">
        <v>23</v>
      </c>
      <c r="S10703" s="1" t="s">
        <v>34218</v>
      </c>
    </row>
    <row r="10704" spans="1:19" x14ac:dyDescent="0.25">
      <c r="A10704">
        <v>101309916</v>
      </c>
      <c r="B10704" t="s">
        <v>23998</v>
      </c>
      <c r="C10704" t="s">
        <v>1616</v>
      </c>
      <c r="G10704" t="s">
        <v>23999</v>
      </c>
      <c r="H10704" t="s">
        <v>24000</v>
      </c>
      <c r="I10704" t="s">
        <v>255</v>
      </c>
      <c r="J10704">
        <v>22958</v>
      </c>
      <c r="L10704" t="s">
        <v>23</v>
      </c>
      <c r="M10704" t="s">
        <v>23999</v>
      </c>
      <c r="N10704" t="s">
        <v>24000</v>
      </c>
      <c r="O10704" t="s">
        <v>255</v>
      </c>
      <c r="P10704">
        <v>22958</v>
      </c>
      <c r="R10704" t="s">
        <v>23</v>
      </c>
      <c r="S10704" s="1" t="s">
        <v>34218</v>
      </c>
    </row>
    <row r="10705" spans="1:19" x14ac:dyDescent="0.25">
      <c r="A10705">
        <v>101474424</v>
      </c>
      <c r="B10705" t="s">
        <v>24001</v>
      </c>
      <c r="C10705" t="s">
        <v>24002</v>
      </c>
      <c r="G10705" t="s">
        <v>24003</v>
      </c>
      <c r="H10705" t="s">
        <v>17783</v>
      </c>
      <c r="I10705" t="s">
        <v>148</v>
      </c>
      <c r="J10705">
        <v>20912</v>
      </c>
      <c r="K10705">
        <v>6235</v>
      </c>
      <c r="L10705" t="s">
        <v>23</v>
      </c>
      <c r="M10705" t="s">
        <v>24003</v>
      </c>
      <c r="N10705" t="s">
        <v>17783</v>
      </c>
      <c r="O10705" t="s">
        <v>148</v>
      </c>
      <c r="P10705">
        <v>20912</v>
      </c>
      <c r="Q10705">
        <v>6235</v>
      </c>
      <c r="R10705" t="s">
        <v>23</v>
      </c>
      <c r="S10705" s="1" t="s">
        <v>34218</v>
      </c>
    </row>
    <row r="10706" spans="1:19" x14ac:dyDescent="0.25">
      <c r="A10706">
        <v>101474431</v>
      </c>
      <c r="B10706" t="s">
        <v>24004</v>
      </c>
      <c r="C10706" t="s">
        <v>3590</v>
      </c>
      <c r="G10706" t="s">
        <v>24005</v>
      </c>
      <c r="H10706" t="s">
        <v>16283</v>
      </c>
      <c r="I10706" t="s">
        <v>52</v>
      </c>
      <c r="J10706">
        <v>33435</v>
      </c>
      <c r="K10706">
        <v>6101</v>
      </c>
      <c r="L10706" t="s">
        <v>23</v>
      </c>
      <c r="M10706" t="s">
        <v>24005</v>
      </c>
      <c r="N10706" t="s">
        <v>16283</v>
      </c>
      <c r="O10706" t="s">
        <v>52</v>
      </c>
      <c r="P10706">
        <v>33435</v>
      </c>
      <c r="Q10706">
        <v>6101</v>
      </c>
      <c r="R10706" t="s">
        <v>23</v>
      </c>
      <c r="S10706" s="1" t="s">
        <v>34218</v>
      </c>
    </row>
    <row r="10707" spans="1:19" x14ac:dyDescent="0.25">
      <c r="A10707">
        <v>101103391</v>
      </c>
      <c r="B10707" t="s">
        <v>24006</v>
      </c>
      <c r="C10707" t="s">
        <v>1327</v>
      </c>
      <c r="G10707" t="s">
        <v>24007</v>
      </c>
      <c r="H10707" t="s">
        <v>4128</v>
      </c>
      <c r="I10707" t="s">
        <v>148</v>
      </c>
      <c r="J10707">
        <v>21619</v>
      </c>
      <c r="K10707">
        <v>2842</v>
      </c>
      <c r="L10707" t="s">
        <v>23</v>
      </c>
      <c r="M10707" t="s">
        <v>24007</v>
      </c>
      <c r="N10707" t="s">
        <v>4128</v>
      </c>
      <c r="O10707" t="s">
        <v>148</v>
      </c>
      <c r="P10707">
        <v>21619</v>
      </c>
      <c r="Q10707">
        <v>2842</v>
      </c>
      <c r="R10707" t="s">
        <v>23</v>
      </c>
      <c r="S10707" s="1" t="s">
        <v>34218</v>
      </c>
    </row>
    <row r="10708" spans="1:19" x14ac:dyDescent="0.25">
      <c r="A10708">
        <v>101117337</v>
      </c>
      <c r="B10708" t="s">
        <v>5505</v>
      </c>
      <c r="C10708" t="s">
        <v>1873</v>
      </c>
      <c r="F10708" t="str">
        <f>"7194879053"</f>
        <v>7194879053</v>
      </c>
      <c r="G10708" t="s">
        <v>24008</v>
      </c>
      <c r="H10708" t="s">
        <v>408</v>
      </c>
      <c r="I10708" t="s">
        <v>57</v>
      </c>
      <c r="J10708">
        <v>46526</v>
      </c>
      <c r="K10708">
        <v>5856</v>
      </c>
      <c r="L10708" t="s">
        <v>23</v>
      </c>
      <c r="M10708" t="s">
        <v>24008</v>
      </c>
      <c r="N10708" t="s">
        <v>408</v>
      </c>
      <c r="O10708" t="s">
        <v>57</v>
      </c>
      <c r="P10708">
        <v>46526</v>
      </c>
      <c r="Q10708">
        <v>5856</v>
      </c>
      <c r="R10708" t="s">
        <v>23</v>
      </c>
      <c r="S10708" s="1" t="s">
        <v>34218</v>
      </c>
    </row>
    <row r="10709" spans="1:19" x14ac:dyDescent="0.25">
      <c r="A10709">
        <v>101423527</v>
      </c>
      <c r="B10709" t="s">
        <v>24009</v>
      </c>
      <c r="C10709" t="s">
        <v>6666</v>
      </c>
      <c r="G10709" t="s">
        <v>24010</v>
      </c>
      <c r="H10709" t="s">
        <v>2449</v>
      </c>
      <c r="I10709" t="s">
        <v>71</v>
      </c>
      <c r="J10709">
        <v>80121</v>
      </c>
      <c r="K10709">
        <v>2209</v>
      </c>
      <c r="L10709" t="s">
        <v>23</v>
      </c>
      <c r="M10709" t="s">
        <v>24010</v>
      </c>
      <c r="N10709" t="s">
        <v>2449</v>
      </c>
      <c r="O10709" t="s">
        <v>71</v>
      </c>
      <c r="P10709">
        <v>80121</v>
      </c>
      <c r="Q10709">
        <v>2209</v>
      </c>
      <c r="R10709" t="s">
        <v>23</v>
      </c>
      <c r="S10709" s="1" t="s">
        <v>34218</v>
      </c>
    </row>
    <row r="10710" spans="1:19" x14ac:dyDescent="0.25">
      <c r="A10710">
        <v>101474464</v>
      </c>
      <c r="B10710" t="s">
        <v>24011</v>
      </c>
      <c r="C10710" t="s">
        <v>699</v>
      </c>
      <c r="G10710" t="s">
        <v>24012</v>
      </c>
      <c r="H10710" t="s">
        <v>7045</v>
      </c>
      <c r="I10710" t="s">
        <v>140</v>
      </c>
      <c r="J10710">
        <v>48197</v>
      </c>
      <c r="K10710">
        <v>2934</v>
      </c>
      <c r="L10710" t="s">
        <v>23</v>
      </c>
      <c r="M10710" t="s">
        <v>24012</v>
      </c>
      <c r="N10710" t="s">
        <v>7045</v>
      </c>
      <c r="O10710" t="s">
        <v>140</v>
      </c>
      <c r="P10710">
        <v>48197</v>
      </c>
      <c r="Q10710">
        <v>2934</v>
      </c>
      <c r="R10710" t="s">
        <v>23</v>
      </c>
      <c r="S10710" s="1" t="s">
        <v>34218</v>
      </c>
    </row>
    <row r="10711" spans="1:19" x14ac:dyDescent="0.25">
      <c r="A10711">
        <v>101444881</v>
      </c>
      <c r="B10711" t="s">
        <v>2958</v>
      </c>
      <c r="C10711" t="s">
        <v>24013</v>
      </c>
      <c r="G10711" t="s">
        <v>24014</v>
      </c>
      <c r="H10711" t="s">
        <v>741</v>
      </c>
      <c r="I10711" t="s">
        <v>22</v>
      </c>
      <c r="J10711">
        <v>91367</v>
      </c>
      <c r="K10711">
        <v>6742</v>
      </c>
      <c r="L10711" t="s">
        <v>23</v>
      </c>
      <c r="M10711" t="s">
        <v>24014</v>
      </c>
      <c r="N10711" t="s">
        <v>741</v>
      </c>
      <c r="O10711" t="s">
        <v>22</v>
      </c>
      <c r="P10711">
        <v>91367</v>
      </c>
      <c r="Q10711">
        <v>6742</v>
      </c>
      <c r="R10711" t="s">
        <v>23</v>
      </c>
      <c r="S10711" s="1" t="s">
        <v>34218</v>
      </c>
    </row>
    <row r="10712" spans="1:19" x14ac:dyDescent="0.25">
      <c r="A10712">
        <v>101474485</v>
      </c>
      <c r="B10712" t="s">
        <v>24015</v>
      </c>
      <c r="C10712" t="s">
        <v>399</v>
      </c>
      <c r="G10712" t="s">
        <v>22672</v>
      </c>
      <c r="H10712" t="s">
        <v>1748</v>
      </c>
      <c r="I10712" t="s">
        <v>84</v>
      </c>
      <c r="J10712">
        <v>98223</v>
      </c>
      <c r="K10712">
        <v>7891</v>
      </c>
      <c r="L10712" t="s">
        <v>23</v>
      </c>
      <c r="M10712" t="s">
        <v>22672</v>
      </c>
      <c r="N10712" t="s">
        <v>1748</v>
      </c>
      <c r="O10712" t="s">
        <v>84</v>
      </c>
      <c r="P10712">
        <v>98223</v>
      </c>
      <c r="Q10712">
        <v>7891</v>
      </c>
      <c r="R10712" t="s">
        <v>23</v>
      </c>
      <c r="S10712" s="1" t="s">
        <v>34218</v>
      </c>
    </row>
    <row r="10713" spans="1:19" x14ac:dyDescent="0.25">
      <c r="A10713">
        <v>100788657</v>
      </c>
      <c r="B10713" t="s">
        <v>24016</v>
      </c>
      <c r="C10713" t="s">
        <v>1588</v>
      </c>
      <c r="G10713" t="s">
        <v>24017</v>
      </c>
      <c r="H10713" t="s">
        <v>24018</v>
      </c>
      <c r="I10713" t="s">
        <v>255</v>
      </c>
      <c r="J10713">
        <v>20141</v>
      </c>
      <c r="K10713">
        <v>1829</v>
      </c>
      <c r="L10713" t="s">
        <v>23</v>
      </c>
      <c r="M10713" t="s">
        <v>24017</v>
      </c>
      <c r="N10713" t="s">
        <v>24018</v>
      </c>
      <c r="O10713" t="s">
        <v>255</v>
      </c>
      <c r="P10713">
        <v>20141</v>
      </c>
      <c r="Q10713">
        <v>1829</v>
      </c>
      <c r="R10713" t="s">
        <v>23</v>
      </c>
      <c r="S10713" s="1" t="s">
        <v>34218</v>
      </c>
    </row>
    <row r="10714" spans="1:19" x14ac:dyDescent="0.25">
      <c r="A10714">
        <v>101271947</v>
      </c>
      <c r="B10714" t="s">
        <v>24019</v>
      </c>
      <c r="C10714" t="s">
        <v>24020</v>
      </c>
      <c r="G10714" t="s">
        <v>24021</v>
      </c>
      <c r="H10714" t="s">
        <v>357</v>
      </c>
      <c r="I10714" t="s">
        <v>255</v>
      </c>
      <c r="J10714">
        <v>22304</v>
      </c>
      <c r="K10714">
        <v>1447</v>
      </c>
      <c r="L10714" t="s">
        <v>23</v>
      </c>
      <c r="M10714" t="s">
        <v>24021</v>
      </c>
      <c r="N10714" t="s">
        <v>357</v>
      </c>
      <c r="O10714" t="s">
        <v>255</v>
      </c>
      <c r="P10714">
        <v>22304</v>
      </c>
      <c r="Q10714">
        <v>1447</v>
      </c>
      <c r="R10714" t="s">
        <v>23</v>
      </c>
      <c r="S10714" s="1" t="s">
        <v>34218</v>
      </c>
    </row>
    <row r="10715" spans="1:19" x14ac:dyDescent="0.25">
      <c r="A10715">
        <v>101306912</v>
      </c>
      <c r="B10715" t="s">
        <v>24022</v>
      </c>
      <c r="C10715" t="s">
        <v>5196</v>
      </c>
      <c r="G10715" t="s">
        <v>24023</v>
      </c>
      <c r="H10715" t="s">
        <v>393</v>
      </c>
      <c r="I10715" t="s">
        <v>71</v>
      </c>
      <c r="J10715">
        <v>80238</v>
      </c>
      <c r="K10715">
        <v>3057</v>
      </c>
      <c r="L10715" t="s">
        <v>23</v>
      </c>
      <c r="M10715" t="s">
        <v>24023</v>
      </c>
      <c r="N10715" t="s">
        <v>393</v>
      </c>
      <c r="O10715" t="s">
        <v>71</v>
      </c>
      <c r="P10715">
        <v>80238</v>
      </c>
      <c r="Q10715">
        <v>3057</v>
      </c>
      <c r="R10715" t="s">
        <v>23</v>
      </c>
      <c r="S10715" s="1" t="s">
        <v>34218</v>
      </c>
    </row>
    <row r="10716" spans="1:19" x14ac:dyDescent="0.25">
      <c r="A10716">
        <v>101408526</v>
      </c>
      <c r="B10716" t="s">
        <v>24024</v>
      </c>
      <c r="C10716" t="s">
        <v>1933</v>
      </c>
      <c r="G10716" t="s">
        <v>24025</v>
      </c>
      <c r="H10716" t="s">
        <v>471</v>
      </c>
      <c r="I10716" t="s">
        <v>365</v>
      </c>
      <c r="J10716">
        <v>85257</v>
      </c>
      <c r="L10716" t="s">
        <v>23</v>
      </c>
      <c r="M10716" t="s">
        <v>24025</v>
      </c>
      <c r="N10716" t="s">
        <v>471</v>
      </c>
      <c r="O10716" t="s">
        <v>365</v>
      </c>
      <c r="P10716">
        <v>85257</v>
      </c>
      <c r="R10716" t="s">
        <v>23</v>
      </c>
      <c r="S10716" s="1" t="s">
        <v>34218</v>
      </c>
    </row>
    <row r="10717" spans="1:19" x14ac:dyDescent="0.25">
      <c r="A10717">
        <v>101198161</v>
      </c>
      <c r="B10717" t="s">
        <v>14395</v>
      </c>
      <c r="C10717" t="s">
        <v>3714</v>
      </c>
      <c r="G10717" t="s">
        <v>24026</v>
      </c>
      <c r="H10717" t="s">
        <v>3132</v>
      </c>
      <c r="I10717" t="s">
        <v>22</v>
      </c>
      <c r="J10717">
        <v>92660</v>
      </c>
      <c r="L10717" t="s">
        <v>23</v>
      </c>
      <c r="M10717" t="s">
        <v>24026</v>
      </c>
      <c r="N10717" t="s">
        <v>3132</v>
      </c>
      <c r="O10717" t="s">
        <v>22</v>
      </c>
      <c r="P10717">
        <v>92660</v>
      </c>
      <c r="R10717" t="s">
        <v>23</v>
      </c>
      <c r="S10717" s="1" t="s">
        <v>34218</v>
      </c>
    </row>
    <row r="10718" spans="1:19" x14ac:dyDescent="0.25">
      <c r="A10718">
        <v>101431999</v>
      </c>
      <c r="B10718" t="s">
        <v>281</v>
      </c>
      <c r="C10718" t="s">
        <v>24027</v>
      </c>
      <c r="G10718" t="s">
        <v>24028</v>
      </c>
      <c r="H10718" t="s">
        <v>12079</v>
      </c>
      <c r="I10718" t="s">
        <v>117</v>
      </c>
      <c r="J10718">
        <v>11570</v>
      </c>
      <c r="K10718">
        <v>1002</v>
      </c>
      <c r="L10718" t="s">
        <v>23</v>
      </c>
      <c r="M10718" t="s">
        <v>24028</v>
      </c>
      <c r="N10718" t="s">
        <v>12079</v>
      </c>
      <c r="O10718" t="s">
        <v>117</v>
      </c>
      <c r="P10718">
        <v>11570</v>
      </c>
      <c r="Q10718">
        <v>1002</v>
      </c>
      <c r="R10718" t="s">
        <v>23</v>
      </c>
      <c r="S10718" s="1" t="s">
        <v>34218</v>
      </c>
    </row>
    <row r="10719" spans="1:19" x14ac:dyDescent="0.25">
      <c r="A10719">
        <v>101451927</v>
      </c>
      <c r="B10719" t="s">
        <v>24029</v>
      </c>
      <c r="C10719" t="s">
        <v>3704</v>
      </c>
      <c r="G10719" t="s">
        <v>24030</v>
      </c>
      <c r="H10719" t="s">
        <v>3129</v>
      </c>
      <c r="I10719" t="s">
        <v>84</v>
      </c>
      <c r="J10719">
        <v>99224</v>
      </c>
      <c r="K10719">
        <v>8211</v>
      </c>
      <c r="L10719" t="s">
        <v>23</v>
      </c>
      <c r="M10719" t="s">
        <v>24030</v>
      </c>
      <c r="N10719" t="s">
        <v>3129</v>
      </c>
      <c r="O10719" t="s">
        <v>84</v>
      </c>
      <c r="P10719">
        <v>99224</v>
      </c>
      <c r="Q10719">
        <v>8211</v>
      </c>
      <c r="R10719" t="s">
        <v>23</v>
      </c>
      <c r="S10719" s="1" t="s">
        <v>34218</v>
      </c>
    </row>
    <row r="10720" spans="1:19" x14ac:dyDescent="0.25">
      <c r="A10720">
        <v>101133685</v>
      </c>
      <c r="B10720" t="s">
        <v>24031</v>
      </c>
      <c r="C10720" t="s">
        <v>24032</v>
      </c>
      <c r="F10720" t="str">
        <f>"9194546468"</f>
        <v>9194546468</v>
      </c>
      <c r="G10720" t="s">
        <v>24033</v>
      </c>
      <c r="H10720" t="s">
        <v>567</v>
      </c>
      <c r="I10720" t="s">
        <v>446</v>
      </c>
      <c r="J10720">
        <v>27610</v>
      </c>
      <c r="K10720">
        <v>2391</v>
      </c>
      <c r="L10720" t="s">
        <v>23</v>
      </c>
      <c r="M10720" t="s">
        <v>24033</v>
      </c>
      <c r="N10720" t="s">
        <v>567</v>
      </c>
      <c r="O10720" t="s">
        <v>446</v>
      </c>
      <c r="P10720">
        <v>27610</v>
      </c>
      <c r="Q10720">
        <v>2391</v>
      </c>
      <c r="R10720" t="s">
        <v>23</v>
      </c>
      <c r="S10720" s="1" t="s">
        <v>34218</v>
      </c>
    </row>
    <row r="10721" spans="1:19" x14ac:dyDescent="0.25">
      <c r="A10721">
        <v>101436594</v>
      </c>
      <c r="B10721" t="s">
        <v>24034</v>
      </c>
      <c r="C10721" t="s">
        <v>14254</v>
      </c>
      <c r="G10721" t="s">
        <v>24035</v>
      </c>
      <c r="H10721" t="s">
        <v>21265</v>
      </c>
      <c r="I10721" t="s">
        <v>1000</v>
      </c>
      <c r="J10721">
        <v>59901</v>
      </c>
      <c r="K10721">
        <v>7362</v>
      </c>
      <c r="L10721" t="s">
        <v>23</v>
      </c>
      <c r="M10721" t="s">
        <v>24035</v>
      </c>
      <c r="N10721" t="s">
        <v>21265</v>
      </c>
      <c r="O10721" t="s">
        <v>1000</v>
      </c>
      <c r="P10721">
        <v>59901</v>
      </c>
      <c r="Q10721">
        <v>7362</v>
      </c>
      <c r="R10721" t="s">
        <v>23</v>
      </c>
      <c r="S10721" s="1" t="s">
        <v>34218</v>
      </c>
    </row>
    <row r="10722" spans="1:19" x14ac:dyDescent="0.25">
      <c r="A10722">
        <v>101254714</v>
      </c>
      <c r="B10722" t="s">
        <v>24036</v>
      </c>
      <c r="C10722" t="s">
        <v>24037</v>
      </c>
      <c r="G10722" t="s">
        <v>24038</v>
      </c>
      <c r="H10722" t="s">
        <v>5117</v>
      </c>
      <c r="I10722" t="s">
        <v>236</v>
      </c>
      <c r="J10722">
        <v>2482</v>
      </c>
      <c r="K10722">
        <v>6404</v>
      </c>
      <c r="L10722" t="s">
        <v>23</v>
      </c>
      <c r="M10722" t="s">
        <v>24038</v>
      </c>
      <c r="N10722" t="s">
        <v>5117</v>
      </c>
      <c r="O10722" t="s">
        <v>236</v>
      </c>
      <c r="P10722">
        <v>2482</v>
      </c>
      <c r="Q10722">
        <v>6404</v>
      </c>
      <c r="R10722" t="s">
        <v>23</v>
      </c>
      <c r="S10722" s="1" t="s">
        <v>34218</v>
      </c>
    </row>
    <row r="10723" spans="1:19" x14ac:dyDescent="0.25">
      <c r="A10723">
        <v>101336178</v>
      </c>
      <c r="B10723" t="s">
        <v>16559</v>
      </c>
      <c r="C10723" t="s">
        <v>90</v>
      </c>
      <c r="G10723" t="s">
        <v>24039</v>
      </c>
      <c r="H10723" t="s">
        <v>1604</v>
      </c>
      <c r="I10723" t="s">
        <v>148</v>
      </c>
      <c r="J10723">
        <v>21044</v>
      </c>
      <c r="K10723">
        <v>2210</v>
      </c>
      <c r="L10723" t="s">
        <v>23</v>
      </c>
      <c r="M10723" t="s">
        <v>24039</v>
      </c>
      <c r="N10723" t="s">
        <v>1604</v>
      </c>
      <c r="O10723" t="s">
        <v>148</v>
      </c>
      <c r="P10723">
        <v>21044</v>
      </c>
      <c r="Q10723">
        <v>2210</v>
      </c>
      <c r="R10723" t="s">
        <v>23</v>
      </c>
      <c r="S10723" s="1" t="s">
        <v>34218</v>
      </c>
    </row>
    <row r="10724" spans="1:19" x14ac:dyDescent="0.25">
      <c r="A10724">
        <v>101446617</v>
      </c>
      <c r="B10724" t="s">
        <v>24040</v>
      </c>
      <c r="C10724" t="s">
        <v>24041</v>
      </c>
      <c r="G10724" t="s">
        <v>24042</v>
      </c>
      <c r="H10724" t="s">
        <v>3481</v>
      </c>
      <c r="I10724" t="s">
        <v>140</v>
      </c>
      <c r="J10724">
        <v>49684</v>
      </c>
      <c r="K10724">
        <v>3208</v>
      </c>
      <c r="L10724" t="s">
        <v>23</v>
      </c>
      <c r="M10724" t="s">
        <v>24042</v>
      </c>
      <c r="N10724" t="s">
        <v>3481</v>
      </c>
      <c r="O10724" t="s">
        <v>140</v>
      </c>
      <c r="P10724">
        <v>49684</v>
      </c>
      <c r="Q10724">
        <v>3208</v>
      </c>
      <c r="R10724" t="s">
        <v>23</v>
      </c>
      <c r="S10724" s="1" t="s">
        <v>34218</v>
      </c>
    </row>
    <row r="10725" spans="1:19" x14ac:dyDescent="0.25">
      <c r="A10725">
        <v>101404255</v>
      </c>
      <c r="B10725" t="s">
        <v>24043</v>
      </c>
      <c r="C10725" t="s">
        <v>24044</v>
      </c>
      <c r="G10725" t="s">
        <v>24045</v>
      </c>
      <c r="H10725" t="s">
        <v>1246</v>
      </c>
      <c r="I10725" t="s">
        <v>140</v>
      </c>
      <c r="J10725">
        <v>49504</v>
      </c>
      <c r="K10725">
        <v>6261</v>
      </c>
      <c r="L10725" t="s">
        <v>23</v>
      </c>
      <c r="M10725" t="s">
        <v>24045</v>
      </c>
      <c r="N10725" t="s">
        <v>1246</v>
      </c>
      <c r="O10725" t="s">
        <v>140</v>
      </c>
      <c r="P10725">
        <v>49504</v>
      </c>
      <c r="Q10725">
        <v>6261</v>
      </c>
      <c r="R10725" t="s">
        <v>23</v>
      </c>
      <c r="S10725" s="1" t="s">
        <v>34218</v>
      </c>
    </row>
    <row r="10726" spans="1:19" x14ac:dyDescent="0.25">
      <c r="A10726">
        <v>101264112</v>
      </c>
      <c r="B10726" t="s">
        <v>1370</v>
      </c>
      <c r="C10726" t="s">
        <v>24046</v>
      </c>
      <c r="G10726" t="s">
        <v>24047</v>
      </c>
      <c r="H10726" t="s">
        <v>24048</v>
      </c>
      <c r="I10726" t="s">
        <v>191</v>
      </c>
      <c r="J10726">
        <v>4426</v>
      </c>
      <c r="K10726">
        <v>1330</v>
      </c>
      <c r="L10726" t="s">
        <v>23</v>
      </c>
      <c r="M10726" t="s">
        <v>24047</v>
      </c>
      <c r="N10726" t="s">
        <v>24048</v>
      </c>
      <c r="O10726" t="s">
        <v>191</v>
      </c>
      <c r="P10726">
        <v>4426</v>
      </c>
      <c r="Q10726">
        <v>1330</v>
      </c>
      <c r="R10726" t="s">
        <v>23</v>
      </c>
      <c r="S10726" s="1" t="s">
        <v>34218</v>
      </c>
    </row>
    <row r="10727" spans="1:19" x14ac:dyDescent="0.25">
      <c r="A10727">
        <v>101245900</v>
      </c>
      <c r="B10727" t="s">
        <v>24049</v>
      </c>
      <c r="C10727" t="s">
        <v>1374</v>
      </c>
      <c r="G10727" t="s">
        <v>24050</v>
      </c>
      <c r="H10727" t="s">
        <v>11284</v>
      </c>
      <c r="I10727" t="s">
        <v>250</v>
      </c>
      <c r="J10727">
        <v>7461</v>
      </c>
      <c r="K10727">
        <v>4858</v>
      </c>
      <c r="L10727" t="s">
        <v>23</v>
      </c>
      <c r="M10727" t="s">
        <v>24050</v>
      </c>
      <c r="N10727" t="s">
        <v>11284</v>
      </c>
      <c r="O10727" t="s">
        <v>250</v>
      </c>
      <c r="P10727">
        <v>7461</v>
      </c>
      <c r="Q10727">
        <v>4858</v>
      </c>
      <c r="R10727" t="s">
        <v>23</v>
      </c>
      <c r="S10727" s="1" t="s">
        <v>34218</v>
      </c>
    </row>
    <row r="10728" spans="1:19" x14ac:dyDescent="0.25">
      <c r="A10728">
        <v>101284164</v>
      </c>
      <c r="B10728" t="s">
        <v>6746</v>
      </c>
      <c r="C10728" t="s">
        <v>15849</v>
      </c>
      <c r="G10728" t="s">
        <v>24051</v>
      </c>
      <c r="H10728" t="s">
        <v>2711</v>
      </c>
      <c r="I10728" t="s">
        <v>236</v>
      </c>
      <c r="J10728">
        <v>1830</v>
      </c>
      <c r="K10728">
        <v>4209</v>
      </c>
      <c r="L10728" t="s">
        <v>23</v>
      </c>
      <c r="M10728" t="s">
        <v>24051</v>
      </c>
      <c r="N10728" t="s">
        <v>2711</v>
      </c>
      <c r="O10728" t="s">
        <v>236</v>
      </c>
      <c r="P10728">
        <v>1830</v>
      </c>
      <c r="Q10728">
        <v>4209</v>
      </c>
      <c r="R10728" t="s">
        <v>23</v>
      </c>
      <c r="S10728" s="1" t="s">
        <v>34218</v>
      </c>
    </row>
    <row r="10729" spans="1:19" x14ac:dyDescent="0.25">
      <c r="A10729">
        <v>101446885</v>
      </c>
      <c r="B10729" t="s">
        <v>276</v>
      </c>
      <c r="C10729" t="s">
        <v>1208</v>
      </c>
      <c r="G10729" t="s">
        <v>24052</v>
      </c>
      <c r="H10729" t="s">
        <v>5367</v>
      </c>
      <c r="I10729" t="s">
        <v>255</v>
      </c>
      <c r="J10729">
        <v>20164</v>
      </c>
      <c r="K10729">
        <v>1443</v>
      </c>
      <c r="L10729" t="s">
        <v>23</v>
      </c>
      <c r="M10729" t="s">
        <v>24052</v>
      </c>
      <c r="N10729" t="s">
        <v>5367</v>
      </c>
      <c r="O10729" t="s">
        <v>255</v>
      </c>
      <c r="P10729">
        <v>20164</v>
      </c>
      <c r="Q10729">
        <v>1443</v>
      </c>
      <c r="R10729" t="s">
        <v>23</v>
      </c>
      <c r="S10729" s="1" t="s">
        <v>34218</v>
      </c>
    </row>
    <row r="10730" spans="1:19" x14ac:dyDescent="0.25">
      <c r="A10730">
        <v>101272160</v>
      </c>
      <c r="B10730" t="s">
        <v>24053</v>
      </c>
      <c r="C10730" t="s">
        <v>24054</v>
      </c>
      <c r="G10730" t="s">
        <v>24055</v>
      </c>
      <c r="H10730" t="s">
        <v>14692</v>
      </c>
      <c r="I10730" t="s">
        <v>984</v>
      </c>
      <c r="J10730">
        <v>96772</v>
      </c>
      <c r="K10730">
        <v>360</v>
      </c>
      <c r="L10730" t="s">
        <v>23</v>
      </c>
      <c r="M10730" t="s">
        <v>24055</v>
      </c>
      <c r="N10730" t="s">
        <v>14692</v>
      </c>
      <c r="O10730" t="s">
        <v>984</v>
      </c>
      <c r="P10730">
        <v>96772</v>
      </c>
      <c r="Q10730">
        <v>360</v>
      </c>
      <c r="R10730" t="s">
        <v>23</v>
      </c>
      <c r="S10730" s="1" t="s">
        <v>34218</v>
      </c>
    </row>
    <row r="10731" spans="1:19" x14ac:dyDescent="0.25">
      <c r="A10731">
        <v>101272549</v>
      </c>
      <c r="B10731" t="s">
        <v>1393</v>
      </c>
      <c r="C10731" t="s">
        <v>24056</v>
      </c>
      <c r="G10731" t="s">
        <v>1395</v>
      </c>
      <c r="H10731" t="s">
        <v>1396</v>
      </c>
      <c r="I10731" t="s">
        <v>22</v>
      </c>
      <c r="J10731">
        <v>95602</v>
      </c>
      <c r="K10731">
        <v>9505</v>
      </c>
      <c r="L10731" t="s">
        <v>23</v>
      </c>
      <c r="M10731" t="s">
        <v>1395</v>
      </c>
      <c r="N10731" t="s">
        <v>1396</v>
      </c>
      <c r="O10731" t="s">
        <v>22</v>
      </c>
      <c r="P10731">
        <v>95602</v>
      </c>
      <c r="Q10731">
        <v>9505</v>
      </c>
      <c r="R10731" t="s">
        <v>23</v>
      </c>
      <c r="S10731" s="1" t="s">
        <v>34218</v>
      </c>
    </row>
    <row r="10732" spans="1:19" x14ac:dyDescent="0.25">
      <c r="A10732">
        <v>101149645</v>
      </c>
      <c r="B10732" t="s">
        <v>2490</v>
      </c>
      <c r="C10732" t="s">
        <v>579</v>
      </c>
      <c r="G10732" t="s">
        <v>24057</v>
      </c>
      <c r="H10732" t="s">
        <v>17783</v>
      </c>
      <c r="I10732" t="s">
        <v>148</v>
      </c>
      <c r="J10732">
        <v>20912</v>
      </c>
      <c r="K10732">
        <v>4657</v>
      </c>
      <c r="L10732" t="s">
        <v>23</v>
      </c>
      <c r="M10732" t="s">
        <v>24057</v>
      </c>
      <c r="N10732" t="s">
        <v>17783</v>
      </c>
      <c r="O10732" t="s">
        <v>148</v>
      </c>
      <c r="P10732">
        <v>20912</v>
      </c>
      <c r="Q10732">
        <v>4657</v>
      </c>
      <c r="R10732" t="s">
        <v>23</v>
      </c>
      <c r="S10732" s="1" t="s">
        <v>34218</v>
      </c>
    </row>
    <row r="10733" spans="1:19" x14ac:dyDescent="0.25">
      <c r="A10733">
        <v>101310189</v>
      </c>
      <c r="B10733" t="s">
        <v>24058</v>
      </c>
      <c r="C10733" t="s">
        <v>1588</v>
      </c>
      <c r="G10733" t="s">
        <v>24059</v>
      </c>
      <c r="H10733" t="s">
        <v>16786</v>
      </c>
      <c r="I10733" t="s">
        <v>187</v>
      </c>
      <c r="J10733">
        <v>55433</v>
      </c>
      <c r="K10733">
        <v>3453</v>
      </c>
      <c r="L10733" t="s">
        <v>23</v>
      </c>
      <c r="M10733" t="s">
        <v>24059</v>
      </c>
      <c r="N10733" t="s">
        <v>16786</v>
      </c>
      <c r="O10733" t="s">
        <v>187</v>
      </c>
      <c r="P10733">
        <v>55433</v>
      </c>
      <c r="Q10733">
        <v>3453</v>
      </c>
      <c r="R10733" t="s">
        <v>23</v>
      </c>
      <c r="S10733" s="1" t="s">
        <v>34218</v>
      </c>
    </row>
    <row r="10734" spans="1:19" x14ac:dyDescent="0.25">
      <c r="A10734">
        <v>100830764</v>
      </c>
      <c r="B10734" t="s">
        <v>11344</v>
      </c>
      <c r="C10734" t="s">
        <v>252</v>
      </c>
      <c r="G10734" t="s">
        <v>24060</v>
      </c>
      <c r="H10734" t="s">
        <v>14490</v>
      </c>
      <c r="I10734" t="s">
        <v>117</v>
      </c>
      <c r="J10734">
        <v>10989</v>
      </c>
      <c r="K10734">
        <v>2503</v>
      </c>
      <c r="L10734" t="s">
        <v>23</v>
      </c>
      <c r="M10734" t="s">
        <v>24060</v>
      </c>
      <c r="N10734" t="s">
        <v>14490</v>
      </c>
      <c r="O10734" t="s">
        <v>117</v>
      </c>
      <c r="P10734">
        <v>10989</v>
      </c>
      <c r="Q10734">
        <v>2503</v>
      </c>
      <c r="R10734" t="s">
        <v>23</v>
      </c>
      <c r="S10734" s="1" t="s">
        <v>34218</v>
      </c>
    </row>
    <row r="10735" spans="1:19" x14ac:dyDescent="0.25">
      <c r="A10735">
        <v>101431382</v>
      </c>
      <c r="B10735" t="s">
        <v>1164</v>
      </c>
      <c r="C10735" t="s">
        <v>432</v>
      </c>
      <c r="G10735" t="s">
        <v>24061</v>
      </c>
      <c r="H10735" t="s">
        <v>688</v>
      </c>
      <c r="I10735" t="s">
        <v>117</v>
      </c>
      <c r="J10735">
        <v>14612</v>
      </c>
      <c r="K10735">
        <v>2208</v>
      </c>
      <c r="L10735" t="s">
        <v>23</v>
      </c>
      <c r="M10735" t="s">
        <v>24061</v>
      </c>
      <c r="N10735" t="s">
        <v>688</v>
      </c>
      <c r="O10735" t="s">
        <v>117</v>
      </c>
      <c r="P10735">
        <v>14612</v>
      </c>
      <c r="Q10735">
        <v>2208</v>
      </c>
      <c r="R10735" t="s">
        <v>23</v>
      </c>
      <c r="S10735" s="1" t="s">
        <v>34218</v>
      </c>
    </row>
    <row r="10736" spans="1:19" x14ac:dyDescent="0.25">
      <c r="A10736">
        <v>101410407</v>
      </c>
      <c r="B10736" t="s">
        <v>24062</v>
      </c>
      <c r="C10736" t="s">
        <v>180</v>
      </c>
      <c r="G10736" t="s">
        <v>24063</v>
      </c>
      <c r="H10736" t="s">
        <v>21160</v>
      </c>
      <c r="I10736" t="s">
        <v>100</v>
      </c>
      <c r="J10736">
        <v>53125</v>
      </c>
      <c r="K10736">
        <v>1319</v>
      </c>
      <c r="L10736" t="s">
        <v>23</v>
      </c>
      <c r="M10736" t="s">
        <v>24063</v>
      </c>
      <c r="N10736" t="s">
        <v>21160</v>
      </c>
      <c r="O10736" t="s">
        <v>100</v>
      </c>
      <c r="P10736">
        <v>53125</v>
      </c>
      <c r="Q10736">
        <v>1319</v>
      </c>
      <c r="R10736" t="s">
        <v>23</v>
      </c>
      <c r="S10736" s="1" t="s">
        <v>34218</v>
      </c>
    </row>
    <row r="10737" spans="1:19" x14ac:dyDescent="0.25">
      <c r="A10737">
        <v>101447578</v>
      </c>
      <c r="B10737" t="s">
        <v>24064</v>
      </c>
      <c r="C10737" t="s">
        <v>3482</v>
      </c>
      <c r="G10737" t="s">
        <v>24065</v>
      </c>
      <c r="H10737" t="s">
        <v>3680</v>
      </c>
      <c r="I10737" t="s">
        <v>161</v>
      </c>
      <c r="J10737">
        <v>6824</v>
      </c>
      <c r="K10737">
        <v>6251</v>
      </c>
      <c r="L10737" t="s">
        <v>23</v>
      </c>
      <c r="M10737" t="s">
        <v>24065</v>
      </c>
      <c r="N10737" t="s">
        <v>3680</v>
      </c>
      <c r="O10737" t="s">
        <v>161</v>
      </c>
      <c r="P10737">
        <v>6824</v>
      </c>
      <c r="Q10737">
        <v>6251</v>
      </c>
      <c r="R10737" t="s">
        <v>23</v>
      </c>
      <c r="S10737" s="1" t="s">
        <v>34218</v>
      </c>
    </row>
    <row r="10738" spans="1:19" x14ac:dyDescent="0.25">
      <c r="A10738">
        <v>101362068</v>
      </c>
      <c r="B10738" t="s">
        <v>24066</v>
      </c>
      <c r="C10738" t="s">
        <v>3566</v>
      </c>
      <c r="G10738" t="s">
        <v>24067</v>
      </c>
      <c r="H10738" t="s">
        <v>21090</v>
      </c>
      <c r="I10738" t="s">
        <v>250</v>
      </c>
      <c r="J10738">
        <v>7920</v>
      </c>
      <c r="K10738">
        <v>3178</v>
      </c>
      <c r="L10738" t="s">
        <v>23</v>
      </c>
      <c r="M10738" t="s">
        <v>24067</v>
      </c>
      <c r="N10738" t="s">
        <v>21090</v>
      </c>
      <c r="O10738" t="s">
        <v>250</v>
      </c>
      <c r="P10738">
        <v>7920</v>
      </c>
      <c r="Q10738">
        <v>3178</v>
      </c>
      <c r="R10738" t="s">
        <v>23</v>
      </c>
      <c r="S10738" s="1" t="s">
        <v>34218</v>
      </c>
    </row>
    <row r="10739" spans="1:19" x14ac:dyDescent="0.25">
      <c r="A10739">
        <v>101363065</v>
      </c>
      <c r="B10739" t="s">
        <v>24068</v>
      </c>
      <c r="C10739" t="s">
        <v>8720</v>
      </c>
      <c r="G10739" t="s">
        <v>24069</v>
      </c>
      <c r="H10739" t="s">
        <v>12564</v>
      </c>
      <c r="I10739" t="s">
        <v>446</v>
      </c>
      <c r="J10739">
        <v>27408</v>
      </c>
      <c r="K10739">
        <v>8514</v>
      </c>
      <c r="L10739" t="s">
        <v>23</v>
      </c>
      <c r="M10739" t="s">
        <v>24069</v>
      </c>
      <c r="N10739" t="s">
        <v>12564</v>
      </c>
      <c r="O10739" t="s">
        <v>446</v>
      </c>
      <c r="P10739">
        <v>27408</v>
      </c>
      <c r="Q10739">
        <v>8514</v>
      </c>
      <c r="R10739" t="s">
        <v>23</v>
      </c>
      <c r="S10739" s="1" t="s">
        <v>34218</v>
      </c>
    </row>
    <row r="10740" spans="1:19" x14ac:dyDescent="0.25">
      <c r="A10740">
        <v>101397829</v>
      </c>
      <c r="B10740" t="s">
        <v>654</v>
      </c>
      <c r="C10740" t="s">
        <v>24070</v>
      </c>
      <c r="G10740" t="s">
        <v>24071</v>
      </c>
      <c r="H10740" t="s">
        <v>2841</v>
      </c>
      <c r="I10740" t="s">
        <v>71</v>
      </c>
      <c r="J10740">
        <v>80403</v>
      </c>
      <c r="K10740">
        <v>1537</v>
      </c>
      <c r="L10740" t="s">
        <v>23</v>
      </c>
      <c r="M10740" t="s">
        <v>24071</v>
      </c>
      <c r="N10740" t="s">
        <v>2841</v>
      </c>
      <c r="O10740" t="s">
        <v>71</v>
      </c>
      <c r="P10740">
        <v>80403</v>
      </c>
      <c r="Q10740">
        <v>1537</v>
      </c>
      <c r="R10740" t="s">
        <v>23</v>
      </c>
      <c r="S10740" s="1" t="s">
        <v>34218</v>
      </c>
    </row>
    <row r="10741" spans="1:19" x14ac:dyDescent="0.25">
      <c r="A10741">
        <v>101061977</v>
      </c>
      <c r="B10741" t="s">
        <v>1622</v>
      </c>
      <c r="C10741" t="s">
        <v>880</v>
      </c>
      <c r="G10741" t="s">
        <v>24072</v>
      </c>
      <c r="H10741" t="s">
        <v>24073</v>
      </c>
      <c r="I10741" t="s">
        <v>71</v>
      </c>
      <c r="J10741">
        <v>81152</v>
      </c>
      <c r="L10741" t="s">
        <v>23</v>
      </c>
      <c r="M10741" t="s">
        <v>24072</v>
      </c>
      <c r="N10741" t="s">
        <v>24073</v>
      </c>
      <c r="O10741" t="s">
        <v>71</v>
      </c>
      <c r="P10741">
        <v>81152</v>
      </c>
      <c r="R10741" t="s">
        <v>23</v>
      </c>
      <c r="S10741" s="1" t="s">
        <v>34218</v>
      </c>
    </row>
    <row r="10742" spans="1:19" x14ac:dyDescent="0.25">
      <c r="A10742">
        <v>101427232</v>
      </c>
      <c r="B10742" t="s">
        <v>882</v>
      </c>
      <c r="C10742" t="s">
        <v>309</v>
      </c>
      <c r="G10742" t="s">
        <v>24074</v>
      </c>
      <c r="H10742" t="s">
        <v>8644</v>
      </c>
      <c r="I10742" t="s">
        <v>22</v>
      </c>
      <c r="J10742">
        <v>95946</v>
      </c>
      <c r="K10742">
        <v>9335</v>
      </c>
      <c r="L10742" t="s">
        <v>23</v>
      </c>
      <c r="M10742" t="s">
        <v>24074</v>
      </c>
      <c r="N10742" t="s">
        <v>8644</v>
      </c>
      <c r="O10742" t="s">
        <v>22</v>
      </c>
      <c r="P10742">
        <v>95946</v>
      </c>
      <c r="Q10742">
        <v>9335</v>
      </c>
      <c r="R10742" t="s">
        <v>23</v>
      </c>
      <c r="S10742" s="1" t="s">
        <v>34218</v>
      </c>
    </row>
    <row r="10743" spans="1:19" x14ac:dyDescent="0.25">
      <c r="A10743">
        <v>101424418</v>
      </c>
      <c r="B10743" t="s">
        <v>188</v>
      </c>
      <c r="C10743" t="s">
        <v>440</v>
      </c>
      <c r="G10743" t="s">
        <v>24075</v>
      </c>
      <c r="H10743" t="s">
        <v>10819</v>
      </c>
      <c r="I10743" t="s">
        <v>1387</v>
      </c>
      <c r="J10743">
        <v>35803</v>
      </c>
      <c r="K10743">
        <v>1600</v>
      </c>
      <c r="L10743" t="s">
        <v>23</v>
      </c>
      <c r="M10743" t="s">
        <v>24075</v>
      </c>
      <c r="N10743" t="s">
        <v>10819</v>
      </c>
      <c r="O10743" t="s">
        <v>1387</v>
      </c>
      <c r="P10743">
        <v>35803</v>
      </c>
      <c r="Q10743">
        <v>1600</v>
      </c>
      <c r="R10743" t="s">
        <v>23</v>
      </c>
      <c r="S10743" s="1" t="s">
        <v>34218</v>
      </c>
    </row>
    <row r="10744" spans="1:19" x14ac:dyDescent="0.25">
      <c r="A10744">
        <v>101223512</v>
      </c>
      <c r="B10744" t="s">
        <v>24076</v>
      </c>
      <c r="C10744" t="s">
        <v>24077</v>
      </c>
      <c r="G10744" t="s">
        <v>24078</v>
      </c>
      <c r="H10744" t="s">
        <v>6192</v>
      </c>
      <c r="I10744" t="s">
        <v>117</v>
      </c>
      <c r="J10744">
        <v>11355</v>
      </c>
      <c r="K10744">
        <v>1719</v>
      </c>
      <c r="L10744" t="s">
        <v>23</v>
      </c>
      <c r="M10744" t="s">
        <v>24078</v>
      </c>
      <c r="N10744" t="s">
        <v>6192</v>
      </c>
      <c r="O10744" t="s">
        <v>117</v>
      </c>
      <c r="P10744">
        <v>11355</v>
      </c>
      <c r="Q10744">
        <v>1719</v>
      </c>
      <c r="R10744" t="s">
        <v>23</v>
      </c>
      <c r="S10744" s="1" t="s">
        <v>34218</v>
      </c>
    </row>
    <row r="10745" spans="1:19" x14ac:dyDescent="0.25">
      <c r="A10745">
        <v>101424197</v>
      </c>
      <c r="B10745" t="s">
        <v>2656</v>
      </c>
      <c r="C10745" t="s">
        <v>114</v>
      </c>
      <c r="G10745" t="s">
        <v>24079</v>
      </c>
      <c r="H10745" t="s">
        <v>1262</v>
      </c>
      <c r="I10745" t="s">
        <v>565</v>
      </c>
      <c r="J10745">
        <v>50010</v>
      </c>
      <c r="K10745">
        <v>5817</v>
      </c>
      <c r="L10745" t="s">
        <v>23</v>
      </c>
      <c r="M10745" t="s">
        <v>24079</v>
      </c>
      <c r="N10745" t="s">
        <v>1262</v>
      </c>
      <c r="O10745" t="s">
        <v>565</v>
      </c>
      <c r="P10745">
        <v>50010</v>
      </c>
      <c r="Q10745">
        <v>5817</v>
      </c>
      <c r="R10745" t="s">
        <v>23</v>
      </c>
      <c r="S10745" s="1" t="s">
        <v>34218</v>
      </c>
    </row>
    <row r="10746" spans="1:19" x14ac:dyDescent="0.25">
      <c r="A10746">
        <v>101263119</v>
      </c>
      <c r="B10746" t="s">
        <v>24080</v>
      </c>
      <c r="C10746" t="s">
        <v>2547</v>
      </c>
      <c r="G10746" t="s">
        <v>24081</v>
      </c>
      <c r="H10746" t="s">
        <v>653</v>
      </c>
      <c r="I10746" t="s">
        <v>117</v>
      </c>
      <c r="J10746">
        <v>10024</v>
      </c>
      <c r="K10746">
        <v>6893</v>
      </c>
      <c r="L10746" t="s">
        <v>23</v>
      </c>
      <c r="M10746" t="s">
        <v>24081</v>
      </c>
      <c r="N10746" t="s">
        <v>653</v>
      </c>
      <c r="O10746" t="s">
        <v>117</v>
      </c>
      <c r="P10746">
        <v>10024</v>
      </c>
      <c r="Q10746">
        <v>6893</v>
      </c>
      <c r="R10746" t="s">
        <v>23</v>
      </c>
      <c r="S10746" s="1" t="s">
        <v>34218</v>
      </c>
    </row>
    <row r="10747" spans="1:19" x14ac:dyDescent="0.25">
      <c r="A10747">
        <v>101145389</v>
      </c>
      <c r="B10747" t="s">
        <v>465</v>
      </c>
      <c r="C10747" t="s">
        <v>3909</v>
      </c>
      <c r="G10747" t="s">
        <v>24082</v>
      </c>
      <c r="H10747" t="s">
        <v>2086</v>
      </c>
      <c r="I10747" t="s">
        <v>178</v>
      </c>
      <c r="J10747">
        <v>45224</v>
      </c>
      <c r="K10747">
        <v>3043</v>
      </c>
      <c r="L10747" t="s">
        <v>23</v>
      </c>
      <c r="M10747" t="s">
        <v>24082</v>
      </c>
      <c r="N10747" t="s">
        <v>2086</v>
      </c>
      <c r="O10747" t="s">
        <v>178</v>
      </c>
      <c r="P10747">
        <v>45224</v>
      </c>
      <c r="Q10747">
        <v>3043</v>
      </c>
      <c r="R10747" t="s">
        <v>23</v>
      </c>
      <c r="S10747" s="1" t="s">
        <v>34218</v>
      </c>
    </row>
    <row r="10748" spans="1:19" x14ac:dyDescent="0.25">
      <c r="A10748">
        <v>101467942</v>
      </c>
      <c r="B10748" t="s">
        <v>8914</v>
      </c>
      <c r="C10748" t="s">
        <v>3590</v>
      </c>
      <c r="G10748" t="s">
        <v>24083</v>
      </c>
      <c r="H10748" t="s">
        <v>3130</v>
      </c>
      <c r="I10748" t="s">
        <v>38</v>
      </c>
      <c r="J10748">
        <v>75701</v>
      </c>
      <c r="K10748">
        <v>4136</v>
      </c>
      <c r="L10748" t="s">
        <v>23</v>
      </c>
      <c r="M10748" t="s">
        <v>24083</v>
      </c>
      <c r="N10748" t="s">
        <v>3130</v>
      </c>
      <c r="O10748" t="s">
        <v>38</v>
      </c>
      <c r="P10748">
        <v>75701</v>
      </c>
      <c r="Q10748">
        <v>4136</v>
      </c>
      <c r="R10748" t="s">
        <v>23</v>
      </c>
      <c r="S10748" s="1" t="s">
        <v>34218</v>
      </c>
    </row>
    <row r="10749" spans="1:19" x14ac:dyDescent="0.25">
      <c r="A10749">
        <v>101473024</v>
      </c>
      <c r="B10749" t="s">
        <v>8109</v>
      </c>
      <c r="C10749" t="s">
        <v>1616</v>
      </c>
      <c r="G10749" t="s">
        <v>24084</v>
      </c>
      <c r="H10749" t="s">
        <v>24085</v>
      </c>
      <c r="I10749" t="s">
        <v>639</v>
      </c>
      <c r="J10749">
        <v>87801</v>
      </c>
      <c r="K10749">
        <v>4886</v>
      </c>
      <c r="L10749" t="s">
        <v>23</v>
      </c>
      <c r="M10749" t="s">
        <v>24084</v>
      </c>
      <c r="N10749" t="s">
        <v>24085</v>
      </c>
      <c r="O10749" t="s">
        <v>639</v>
      </c>
      <c r="P10749">
        <v>87801</v>
      </c>
      <c r="Q10749">
        <v>4886</v>
      </c>
      <c r="R10749" t="s">
        <v>23</v>
      </c>
      <c r="S10749" s="1" t="s">
        <v>34218</v>
      </c>
    </row>
    <row r="10750" spans="1:19" x14ac:dyDescent="0.25">
      <c r="A10750">
        <v>101370894</v>
      </c>
      <c r="B10750" t="s">
        <v>18548</v>
      </c>
      <c r="C10750" t="s">
        <v>24086</v>
      </c>
      <c r="G10750" t="s">
        <v>24087</v>
      </c>
      <c r="H10750" t="s">
        <v>481</v>
      </c>
      <c r="I10750" t="s">
        <v>22</v>
      </c>
      <c r="J10750">
        <v>95120</v>
      </c>
      <c r="K10750">
        <v>4814</v>
      </c>
      <c r="L10750" t="s">
        <v>23</v>
      </c>
      <c r="M10750" t="s">
        <v>24087</v>
      </c>
      <c r="N10750" t="s">
        <v>481</v>
      </c>
      <c r="O10750" t="s">
        <v>22</v>
      </c>
      <c r="P10750">
        <v>95120</v>
      </c>
      <c r="Q10750">
        <v>4814</v>
      </c>
      <c r="R10750" t="s">
        <v>23</v>
      </c>
      <c r="S10750" s="1" t="s">
        <v>34218</v>
      </c>
    </row>
    <row r="10751" spans="1:19" x14ac:dyDescent="0.25">
      <c r="A10751">
        <v>101228256</v>
      </c>
      <c r="B10751" t="s">
        <v>24088</v>
      </c>
      <c r="C10751" t="s">
        <v>4228</v>
      </c>
      <c r="F10751" t="str">
        <f>"7737776158"</f>
        <v>7737776158</v>
      </c>
      <c r="G10751" t="s">
        <v>24089</v>
      </c>
      <c r="H10751" t="s">
        <v>134</v>
      </c>
      <c r="I10751" t="s">
        <v>135</v>
      </c>
      <c r="J10751">
        <v>60641</v>
      </c>
      <c r="K10751">
        <v>1913</v>
      </c>
      <c r="L10751" t="s">
        <v>23</v>
      </c>
      <c r="M10751" t="s">
        <v>24089</v>
      </c>
      <c r="N10751" t="s">
        <v>134</v>
      </c>
      <c r="O10751" t="s">
        <v>135</v>
      </c>
      <c r="P10751">
        <v>60641</v>
      </c>
      <c r="Q10751">
        <v>1913</v>
      </c>
      <c r="R10751" t="s">
        <v>23</v>
      </c>
      <c r="S10751" s="1" t="s">
        <v>34218</v>
      </c>
    </row>
    <row r="10752" spans="1:19" x14ac:dyDescent="0.25">
      <c r="A10752">
        <v>100680685</v>
      </c>
      <c r="B10752" t="s">
        <v>24090</v>
      </c>
      <c r="C10752" t="s">
        <v>4702</v>
      </c>
      <c r="G10752" t="s">
        <v>24091</v>
      </c>
      <c r="H10752" t="s">
        <v>2046</v>
      </c>
      <c r="I10752" t="s">
        <v>446</v>
      </c>
      <c r="J10752">
        <v>27707</v>
      </c>
      <c r="K10752">
        <v>3861</v>
      </c>
      <c r="L10752" t="s">
        <v>23</v>
      </c>
      <c r="M10752" t="s">
        <v>24091</v>
      </c>
      <c r="N10752" t="s">
        <v>2046</v>
      </c>
      <c r="O10752" t="s">
        <v>446</v>
      </c>
      <c r="P10752">
        <v>27707</v>
      </c>
      <c r="Q10752">
        <v>3861</v>
      </c>
      <c r="R10752" t="s">
        <v>23</v>
      </c>
      <c r="S10752" s="1" t="s">
        <v>34218</v>
      </c>
    </row>
    <row r="10753" spans="1:19" x14ac:dyDescent="0.25">
      <c r="A10753">
        <v>101428921</v>
      </c>
      <c r="B10753" t="s">
        <v>826</v>
      </c>
      <c r="C10753" t="s">
        <v>1179</v>
      </c>
      <c r="G10753" t="s">
        <v>24092</v>
      </c>
      <c r="H10753" t="s">
        <v>7846</v>
      </c>
      <c r="I10753" t="s">
        <v>22</v>
      </c>
      <c r="J10753">
        <v>95482</v>
      </c>
      <c r="K10753">
        <v>7555</v>
      </c>
      <c r="L10753" t="s">
        <v>23</v>
      </c>
      <c r="M10753" t="s">
        <v>24092</v>
      </c>
      <c r="N10753" t="s">
        <v>7846</v>
      </c>
      <c r="O10753" t="s">
        <v>22</v>
      </c>
      <c r="P10753">
        <v>95482</v>
      </c>
      <c r="Q10753">
        <v>7555</v>
      </c>
      <c r="R10753" t="s">
        <v>23</v>
      </c>
      <c r="S10753" s="1" t="s">
        <v>34218</v>
      </c>
    </row>
    <row r="10754" spans="1:19" x14ac:dyDescent="0.25">
      <c r="A10754">
        <v>101285353</v>
      </c>
      <c r="B10754" t="s">
        <v>24093</v>
      </c>
      <c r="C10754" t="s">
        <v>2603</v>
      </c>
      <c r="G10754" t="s">
        <v>24094</v>
      </c>
      <c r="H10754" t="s">
        <v>24095</v>
      </c>
      <c r="I10754" t="s">
        <v>140</v>
      </c>
      <c r="J10754">
        <v>49707</v>
      </c>
      <c r="K10754">
        <v>1235</v>
      </c>
      <c r="L10754" t="s">
        <v>23</v>
      </c>
      <c r="M10754" t="s">
        <v>24094</v>
      </c>
      <c r="N10754" t="s">
        <v>24095</v>
      </c>
      <c r="O10754" t="s">
        <v>140</v>
      </c>
      <c r="P10754">
        <v>49707</v>
      </c>
      <c r="Q10754">
        <v>1235</v>
      </c>
      <c r="R10754" t="s">
        <v>23</v>
      </c>
      <c r="S10754" s="1" t="s">
        <v>34218</v>
      </c>
    </row>
    <row r="10755" spans="1:19" x14ac:dyDescent="0.25">
      <c r="A10755">
        <v>100801879</v>
      </c>
      <c r="B10755" t="s">
        <v>24096</v>
      </c>
      <c r="C10755" t="s">
        <v>10916</v>
      </c>
      <c r="G10755" t="s">
        <v>24097</v>
      </c>
      <c r="H10755" t="s">
        <v>9036</v>
      </c>
      <c r="I10755" t="s">
        <v>33</v>
      </c>
      <c r="J10755" t="s">
        <v>24098</v>
      </c>
      <c r="K10755">
        <v>2878</v>
      </c>
      <c r="L10755" t="s">
        <v>23</v>
      </c>
      <c r="M10755" t="s">
        <v>24097</v>
      </c>
      <c r="N10755" t="s">
        <v>9036</v>
      </c>
      <c r="O10755" t="s">
        <v>33</v>
      </c>
      <c r="P10755" t="s">
        <v>24098</v>
      </c>
      <c r="Q10755">
        <v>2878</v>
      </c>
      <c r="R10755" t="s">
        <v>23</v>
      </c>
      <c r="S10755" s="1" t="s">
        <v>34218</v>
      </c>
    </row>
    <row r="10756" spans="1:19" x14ac:dyDescent="0.25">
      <c r="A10756">
        <v>101313367</v>
      </c>
      <c r="B10756" t="s">
        <v>24099</v>
      </c>
      <c r="C10756" t="s">
        <v>2603</v>
      </c>
      <c r="G10756" t="s">
        <v>24100</v>
      </c>
      <c r="H10756" t="s">
        <v>3608</v>
      </c>
      <c r="I10756" t="s">
        <v>140</v>
      </c>
      <c r="J10756" t="s">
        <v>24101</v>
      </c>
      <c r="K10756">
        <v>6627</v>
      </c>
      <c r="L10756" t="s">
        <v>23</v>
      </c>
      <c r="M10756" t="s">
        <v>24100</v>
      </c>
      <c r="N10756" t="s">
        <v>3608</v>
      </c>
      <c r="O10756" t="s">
        <v>140</v>
      </c>
      <c r="P10756" t="s">
        <v>24101</v>
      </c>
      <c r="Q10756">
        <v>6627</v>
      </c>
      <c r="R10756" t="s">
        <v>23</v>
      </c>
      <c r="S10756" s="1" t="s">
        <v>34218</v>
      </c>
    </row>
    <row r="10757" spans="1:19" x14ac:dyDescent="0.25">
      <c r="A10757">
        <v>101299283</v>
      </c>
      <c r="B10757" t="s">
        <v>24102</v>
      </c>
      <c r="C10757" t="s">
        <v>102</v>
      </c>
      <c r="G10757" t="s">
        <v>24103</v>
      </c>
      <c r="H10757" t="s">
        <v>12379</v>
      </c>
      <c r="I10757" t="s">
        <v>148</v>
      </c>
      <c r="J10757" t="s">
        <v>24104</v>
      </c>
      <c r="K10757">
        <v>5847</v>
      </c>
      <c r="L10757" t="s">
        <v>23</v>
      </c>
      <c r="M10757" t="s">
        <v>24103</v>
      </c>
      <c r="N10757" t="s">
        <v>12379</v>
      </c>
      <c r="O10757" t="s">
        <v>148</v>
      </c>
      <c r="P10757" t="s">
        <v>24104</v>
      </c>
      <c r="Q10757">
        <v>5847</v>
      </c>
      <c r="R10757" t="s">
        <v>23</v>
      </c>
      <c r="S10757" s="1" t="s">
        <v>34218</v>
      </c>
    </row>
    <row r="10758" spans="1:19" x14ac:dyDescent="0.25">
      <c r="A10758">
        <v>100934541</v>
      </c>
      <c r="B10758" t="s">
        <v>24105</v>
      </c>
      <c r="C10758" t="s">
        <v>1179</v>
      </c>
      <c r="F10758" t="str">
        <f>"3039320023"</f>
        <v>3039320023</v>
      </c>
      <c r="G10758" t="s">
        <v>24106</v>
      </c>
      <c r="H10758" t="s">
        <v>4069</v>
      </c>
      <c r="I10758" t="s">
        <v>71</v>
      </c>
      <c r="J10758" t="s">
        <v>24107</v>
      </c>
      <c r="K10758">
        <v>4072</v>
      </c>
      <c r="L10758" t="s">
        <v>23</v>
      </c>
      <c r="M10758" t="s">
        <v>24106</v>
      </c>
      <c r="N10758" t="s">
        <v>4069</v>
      </c>
      <c r="O10758" t="s">
        <v>71</v>
      </c>
      <c r="P10758" t="s">
        <v>24107</v>
      </c>
      <c r="Q10758">
        <v>4072</v>
      </c>
      <c r="R10758" t="s">
        <v>23</v>
      </c>
      <c r="S10758" s="1" t="s">
        <v>34218</v>
      </c>
    </row>
    <row r="10759" spans="1:19" x14ac:dyDescent="0.25">
      <c r="A10759">
        <v>101210835</v>
      </c>
      <c r="B10759" t="s">
        <v>3349</v>
      </c>
      <c r="C10759" t="s">
        <v>1873</v>
      </c>
      <c r="G10759" t="s">
        <v>24108</v>
      </c>
      <c r="H10759" t="s">
        <v>688</v>
      </c>
      <c r="I10759" t="s">
        <v>33</v>
      </c>
      <c r="J10759" t="s">
        <v>24109</v>
      </c>
      <c r="K10759">
        <v>1205</v>
      </c>
      <c r="L10759" t="s">
        <v>23</v>
      </c>
      <c r="M10759" t="s">
        <v>24108</v>
      </c>
      <c r="N10759" t="s">
        <v>688</v>
      </c>
      <c r="O10759" t="s">
        <v>33</v>
      </c>
      <c r="P10759" t="s">
        <v>24109</v>
      </c>
      <c r="Q10759">
        <v>1205</v>
      </c>
      <c r="R10759" t="s">
        <v>23</v>
      </c>
      <c r="S10759" s="1" t="s">
        <v>34218</v>
      </c>
    </row>
    <row r="10760" spans="1:19" x14ac:dyDescent="0.25">
      <c r="A10760">
        <v>101289760</v>
      </c>
      <c r="B10760" t="s">
        <v>24110</v>
      </c>
      <c r="C10760" t="s">
        <v>2127</v>
      </c>
      <c r="G10760" t="s">
        <v>24111</v>
      </c>
      <c r="H10760" t="s">
        <v>726</v>
      </c>
      <c r="I10760" t="s">
        <v>22</v>
      </c>
      <c r="J10760" t="s">
        <v>24112</v>
      </c>
      <c r="K10760">
        <v>2835</v>
      </c>
      <c r="L10760" t="s">
        <v>23</v>
      </c>
      <c r="M10760" t="s">
        <v>24111</v>
      </c>
      <c r="N10760" t="s">
        <v>726</v>
      </c>
      <c r="O10760" t="s">
        <v>22</v>
      </c>
      <c r="P10760" t="s">
        <v>24112</v>
      </c>
      <c r="Q10760">
        <v>2835</v>
      </c>
      <c r="R10760" t="s">
        <v>23</v>
      </c>
      <c r="S10760" s="1" t="s">
        <v>34218</v>
      </c>
    </row>
    <row r="10761" spans="1:19" x14ac:dyDescent="0.25">
      <c r="A10761">
        <v>101241670</v>
      </c>
      <c r="B10761" t="s">
        <v>12719</v>
      </c>
      <c r="C10761" t="s">
        <v>209</v>
      </c>
      <c r="F10761" t="str">
        <f>"4195149031"</f>
        <v>4195149031</v>
      </c>
      <c r="G10761" t="s">
        <v>24113</v>
      </c>
      <c r="H10761" t="s">
        <v>24114</v>
      </c>
      <c r="I10761" t="s">
        <v>178</v>
      </c>
      <c r="J10761">
        <v>43443</v>
      </c>
      <c r="L10761" t="s">
        <v>23</v>
      </c>
      <c r="M10761" t="s">
        <v>24113</v>
      </c>
      <c r="N10761" t="s">
        <v>24114</v>
      </c>
      <c r="O10761" t="s">
        <v>178</v>
      </c>
      <c r="P10761">
        <v>43443</v>
      </c>
      <c r="R10761" t="s">
        <v>23</v>
      </c>
      <c r="S10761" s="1" t="s">
        <v>34218</v>
      </c>
    </row>
    <row r="10762" spans="1:19" x14ac:dyDescent="0.25">
      <c r="A10762">
        <v>101113889</v>
      </c>
      <c r="B10762" t="s">
        <v>23858</v>
      </c>
      <c r="C10762" t="s">
        <v>838</v>
      </c>
      <c r="H10762" t="s">
        <v>1276</v>
      </c>
      <c r="I10762" t="s">
        <v>446</v>
      </c>
      <c r="J10762">
        <v>27516</v>
      </c>
      <c r="L10762" t="s">
        <v>23</v>
      </c>
      <c r="N10762" t="s">
        <v>1276</v>
      </c>
      <c r="O10762" t="s">
        <v>446</v>
      </c>
      <c r="P10762">
        <v>27516</v>
      </c>
      <c r="R10762" t="s">
        <v>23</v>
      </c>
      <c r="S10762" s="1" t="s">
        <v>34218</v>
      </c>
    </row>
    <row r="10763" spans="1:19" x14ac:dyDescent="0.25">
      <c r="A10763">
        <v>101281999</v>
      </c>
      <c r="B10763" t="s">
        <v>24115</v>
      </c>
      <c r="C10763" t="s">
        <v>24116</v>
      </c>
      <c r="F10763" t="str">
        <f>"6305879236"</f>
        <v>6305879236</v>
      </c>
      <c r="G10763" t="s">
        <v>24117</v>
      </c>
      <c r="H10763" t="s">
        <v>1193</v>
      </c>
      <c r="I10763" t="s">
        <v>135</v>
      </c>
      <c r="J10763" t="s">
        <v>24118</v>
      </c>
      <c r="L10763" t="s">
        <v>23</v>
      </c>
      <c r="M10763" t="s">
        <v>24117</v>
      </c>
      <c r="N10763" t="s">
        <v>1193</v>
      </c>
      <c r="O10763" t="s">
        <v>135</v>
      </c>
      <c r="P10763" t="s">
        <v>24118</v>
      </c>
      <c r="R10763" t="s">
        <v>23</v>
      </c>
      <c r="S10763" s="1" t="s">
        <v>34218</v>
      </c>
    </row>
    <row r="10764" spans="1:19" x14ac:dyDescent="0.25">
      <c r="A10764">
        <v>100559669</v>
      </c>
      <c r="B10764" t="s">
        <v>24119</v>
      </c>
      <c r="C10764" t="s">
        <v>24120</v>
      </c>
      <c r="G10764" t="s">
        <v>24121</v>
      </c>
      <c r="H10764" t="s">
        <v>1052</v>
      </c>
      <c r="I10764" t="s">
        <v>117</v>
      </c>
      <c r="J10764" t="s">
        <v>24122</v>
      </c>
      <c r="K10764">
        <v>1</v>
      </c>
      <c r="L10764" t="s">
        <v>23</v>
      </c>
      <c r="M10764" t="s">
        <v>24121</v>
      </c>
      <c r="N10764" t="s">
        <v>1052</v>
      </c>
      <c r="O10764" t="s">
        <v>117</v>
      </c>
      <c r="P10764" t="s">
        <v>24122</v>
      </c>
      <c r="Q10764">
        <v>1</v>
      </c>
      <c r="R10764" t="s">
        <v>23</v>
      </c>
      <c r="S10764" s="1" t="s">
        <v>34218</v>
      </c>
    </row>
    <row r="10765" spans="1:19" x14ac:dyDescent="0.25">
      <c r="A10765">
        <v>101420647</v>
      </c>
      <c r="B10765" t="s">
        <v>24123</v>
      </c>
      <c r="C10765" t="s">
        <v>15041</v>
      </c>
      <c r="G10765" t="s">
        <v>24124</v>
      </c>
      <c r="H10765" t="s">
        <v>653</v>
      </c>
      <c r="I10765" t="s">
        <v>117</v>
      </c>
      <c r="J10765" t="s">
        <v>24125</v>
      </c>
      <c r="K10765">
        <v>5125</v>
      </c>
      <c r="L10765" t="s">
        <v>23</v>
      </c>
      <c r="M10765" t="s">
        <v>24124</v>
      </c>
      <c r="N10765" t="s">
        <v>653</v>
      </c>
      <c r="O10765" t="s">
        <v>117</v>
      </c>
      <c r="P10765" t="s">
        <v>24125</v>
      </c>
      <c r="Q10765">
        <v>5125</v>
      </c>
      <c r="R10765" t="s">
        <v>23</v>
      </c>
      <c r="S10765" s="1" t="s">
        <v>34218</v>
      </c>
    </row>
    <row r="10766" spans="1:19" x14ac:dyDescent="0.25">
      <c r="A10766">
        <v>100733571</v>
      </c>
      <c r="B10766" t="s">
        <v>2980</v>
      </c>
      <c r="C10766" t="s">
        <v>4245</v>
      </c>
      <c r="F10766" t="str">
        <f>"7196860588"</f>
        <v>7196860588</v>
      </c>
      <c r="G10766" t="s">
        <v>24126</v>
      </c>
      <c r="H10766" t="s">
        <v>1985</v>
      </c>
      <c r="I10766" t="s">
        <v>71</v>
      </c>
      <c r="J10766" t="s">
        <v>24127</v>
      </c>
      <c r="K10766">
        <v>7632</v>
      </c>
      <c r="L10766" t="s">
        <v>23</v>
      </c>
      <c r="M10766" t="s">
        <v>24126</v>
      </c>
      <c r="N10766" t="s">
        <v>1985</v>
      </c>
      <c r="O10766" t="s">
        <v>71</v>
      </c>
      <c r="P10766" t="s">
        <v>24127</v>
      </c>
      <c r="Q10766">
        <v>7632</v>
      </c>
      <c r="R10766" t="s">
        <v>23</v>
      </c>
      <c r="S10766" s="1" t="s">
        <v>34218</v>
      </c>
    </row>
    <row r="10767" spans="1:19" x14ac:dyDescent="0.25">
      <c r="A10767">
        <v>101421604</v>
      </c>
      <c r="B10767" t="s">
        <v>24128</v>
      </c>
      <c r="C10767" t="s">
        <v>24129</v>
      </c>
      <c r="G10767" t="s">
        <v>24130</v>
      </c>
      <c r="H10767" t="s">
        <v>1957</v>
      </c>
      <c r="I10767" t="s">
        <v>100</v>
      </c>
      <c r="J10767" t="s">
        <v>24131</v>
      </c>
      <c r="K10767">
        <v>1938</v>
      </c>
      <c r="L10767" t="s">
        <v>23</v>
      </c>
      <c r="M10767" t="s">
        <v>24130</v>
      </c>
      <c r="N10767" t="s">
        <v>1957</v>
      </c>
      <c r="O10767" t="s">
        <v>100</v>
      </c>
      <c r="P10767" t="s">
        <v>24131</v>
      </c>
      <c r="Q10767">
        <v>1938</v>
      </c>
      <c r="R10767" t="s">
        <v>23</v>
      </c>
      <c r="S10767" s="1" t="s">
        <v>34218</v>
      </c>
    </row>
    <row r="10768" spans="1:19" x14ac:dyDescent="0.25">
      <c r="A10768">
        <v>101359354</v>
      </c>
      <c r="B10768" t="s">
        <v>3110</v>
      </c>
      <c r="C10768" t="s">
        <v>403</v>
      </c>
      <c r="G10768" t="s">
        <v>22619</v>
      </c>
      <c r="H10768" t="s">
        <v>21160</v>
      </c>
      <c r="I10768" t="s">
        <v>22</v>
      </c>
      <c r="J10768" t="s">
        <v>22620</v>
      </c>
      <c r="K10768">
        <v>1538</v>
      </c>
      <c r="L10768" t="s">
        <v>23</v>
      </c>
      <c r="M10768" t="s">
        <v>22619</v>
      </c>
      <c r="N10768" t="s">
        <v>21160</v>
      </c>
      <c r="O10768" t="s">
        <v>22</v>
      </c>
      <c r="P10768" t="s">
        <v>22620</v>
      </c>
      <c r="Q10768">
        <v>1538</v>
      </c>
      <c r="R10768" t="s">
        <v>23</v>
      </c>
      <c r="S10768" s="1" t="s">
        <v>34218</v>
      </c>
    </row>
    <row r="10769" spans="1:19" x14ac:dyDescent="0.25">
      <c r="A10769">
        <v>101297276</v>
      </c>
      <c r="B10769" t="s">
        <v>24132</v>
      </c>
      <c r="C10769" t="s">
        <v>582</v>
      </c>
      <c r="G10769" t="s">
        <v>24133</v>
      </c>
      <c r="H10769" t="s">
        <v>5908</v>
      </c>
      <c r="I10769" t="s">
        <v>52</v>
      </c>
      <c r="J10769" t="s">
        <v>24134</v>
      </c>
      <c r="K10769">
        <v>1650</v>
      </c>
      <c r="L10769" t="s">
        <v>23</v>
      </c>
      <c r="M10769" t="s">
        <v>24133</v>
      </c>
      <c r="N10769" t="s">
        <v>5908</v>
      </c>
      <c r="O10769" t="s">
        <v>52</v>
      </c>
      <c r="P10769" t="s">
        <v>24134</v>
      </c>
      <c r="Q10769">
        <v>1650</v>
      </c>
      <c r="R10769" t="s">
        <v>23</v>
      </c>
      <c r="S10769" s="1" t="s">
        <v>34218</v>
      </c>
    </row>
    <row r="10770" spans="1:19" x14ac:dyDescent="0.25">
      <c r="A10770">
        <v>100989168</v>
      </c>
      <c r="B10770" t="s">
        <v>24135</v>
      </c>
      <c r="C10770" t="s">
        <v>2790</v>
      </c>
      <c r="F10770" t="str">
        <f>"5058281193"</f>
        <v>5058281193</v>
      </c>
      <c r="G10770" t="s">
        <v>24136</v>
      </c>
      <c r="H10770" t="s">
        <v>638</v>
      </c>
      <c r="I10770" t="s">
        <v>639</v>
      </c>
      <c r="J10770" t="s">
        <v>24137</v>
      </c>
      <c r="K10770">
        <v>2766</v>
      </c>
      <c r="L10770" t="s">
        <v>23</v>
      </c>
      <c r="M10770" t="s">
        <v>24136</v>
      </c>
      <c r="N10770" t="s">
        <v>638</v>
      </c>
      <c r="O10770" t="s">
        <v>639</v>
      </c>
      <c r="P10770" t="s">
        <v>24137</v>
      </c>
      <c r="Q10770">
        <v>2766</v>
      </c>
      <c r="R10770" t="s">
        <v>23</v>
      </c>
      <c r="S10770" s="1" t="s">
        <v>34218</v>
      </c>
    </row>
    <row r="10771" spans="1:19" x14ac:dyDescent="0.25">
      <c r="A10771">
        <v>100600843</v>
      </c>
      <c r="B10771" t="s">
        <v>24138</v>
      </c>
      <c r="C10771" t="s">
        <v>132</v>
      </c>
      <c r="G10771" t="s">
        <v>24139</v>
      </c>
      <c r="H10771" t="s">
        <v>389</v>
      </c>
      <c r="I10771" t="s">
        <v>100</v>
      </c>
      <c r="J10771" t="s">
        <v>24140</v>
      </c>
      <c r="K10771">
        <v>3500</v>
      </c>
      <c r="L10771" t="s">
        <v>23</v>
      </c>
      <c r="M10771" t="s">
        <v>24139</v>
      </c>
      <c r="N10771" t="s">
        <v>389</v>
      </c>
      <c r="O10771" t="s">
        <v>100</v>
      </c>
      <c r="P10771" t="s">
        <v>24140</v>
      </c>
      <c r="Q10771">
        <v>3500</v>
      </c>
      <c r="R10771" t="s">
        <v>23</v>
      </c>
      <c r="S10771" s="1" t="s">
        <v>34218</v>
      </c>
    </row>
    <row r="10772" spans="1:19" x14ac:dyDescent="0.25">
      <c r="A10772">
        <v>101290616</v>
      </c>
      <c r="B10772" t="s">
        <v>24141</v>
      </c>
      <c r="C10772" t="s">
        <v>2248</v>
      </c>
      <c r="G10772" t="s">
        <v>24142</v>
      </c>
      <c r="H10772" t="s">
        <v>4069</v>
      </c>
      <c r="I10772" t="s">
        <v>71</v>
      </c>
      <c r="J10772" t="s">
        <v>24143</v>
      </c>
      <c r="K10772">
        <v>6102</v>
      </c>
      <c r="L10772" t="s">
        <v>23</v>
      </c>
      <c r="M10772" t="s">
        <v>24142</v>
      </c>
      <c r="N10772" t="s">
        <v>4069</v>
      </c>
      <c r="O10772" t="s">
        <v>71</v>
      </c>
      <c r="P10772" t="s">
        <v>24143</v>
      </c>
      <c r="Q10772">
        <v>6102</v>
      </c>
      <c r="R10772" t="s">
        <v>23</v>
      </c>
      <c r="S10772" s="1" t="s">
        <v>34218</v>
      </c>
    </row>
    <row r="10773" spans="1:19" x14ac:dyDescent="0.25">
      <c r="A10773">
        <v>101422123</v>
      </c>
      <c r="B10773" t="s">
        <v>2586</v>
      </c>
      <c r="C10773" t="s">
        <v>547</v>
      </c>
      <c r="G10773" t="s">
        <v>24144</v>
      </c>
      <c r="H10773" t="s">
        <v>56</v>
      </c>
      <c r="I10773" t="s">
        <v>57</v>
      </c>
      <c r="J10773">
        <v>46825</v>
      </c>
      <c r="K10773">
        <v>2168</v>
      </c>
      <c r="L10773" t="s">
        <v>23</v>
      </c>
      <c r="M10773" t="s">
        <v>24144</v>
      </c>
      <c r="N10773" t="s">
        <v>56</v>
      </c>
      <c r="O10773" t="s">
        <v>57</v>
      </c>
      <c r="P10773">
        <v>46825</v>
      </c>
      <c r="Q10773">
        <v>2168</v>
      </c>
      <c r="R10773" t="s">
        <v>23</v>
      </c>
      <c r="S10773" s="1" t="s">
        <v>34218</v>
      </c>
    </row>
    <row r="10774" spans="1:19" x14ac:dyDescent="0.25">
      <c r="A10774">
        <v>101309118</v>
      </c>
      <c r="B10774" t="s">
        <v>3228</v>
      </c>
      <c r="C10774" t="s">
        <v>575</v>
      </c>
      <c r="G10774" t="s">
        <v>24145</v>
      </c>
      <c r="H10774" t="s">
        <v>12153</v>
      </c>
      <c r="I10774" t="s">
        <v>250</v>
      </c>
      <c r="J10774" t="s">
        <v>24146</v>
      </c>
      <c r="K10774">
        <v>3654</v>
      </c>
      <c r="L10774" t="s">
        <v>23</v>
      </c>
      <c r="M10774" t="s">
        <v>24145</v>
      </c>
      <c r="N10774" t="s">
        <v>12153</v>
      </c>
      <c r="O10774" t="s">
        <v>250</v>
      </c>
      <c r="P10774" t="s">
        <v>24146</v>
      </c>
      <c r="Q10774">
        <v>3654</v>
      </c>
      <c r="R10774" t="s">
        <v>23</v>
      </c>
      <c r="S10774" s="1" t="s">
        <v>34218</v>
      </c>
    </row>
    <row r="10775" spans="1:19" x14ac:dyDescent="0.25">
      <c r="A10775">
        <v>101422435</v>
      </c>
      <c r="B10775" t="s">
        <v>24147</v>
      </c>
      <c r="C10775" t="s">
        <v>1873</v>
      </c>
      <c r="G10775" t="s">
        <v>24148</v>
      </c>
      <c r="H10775" t="s">
        <v>1402</v>
      </c>
      <c r="I10775" t="s">
        <v>38</v>
      </c>
      <c r="J10775">
        <v>77056</v>
      </c>
      <c r="K10775">
        <v>2147</v>
      </c>
      <c r="L10775" t="s">
        <v>23</v>
      </c>
      <c r="M10775" t="s">
        <v>24148</v>
      </c>
      <c r="N10775" t="s">
        <v>1402</v>
      </c>
      <c r="O10775" t="s">
        <v>38</v>
      </c>
      <c r="P10775">
        <v>77056</v>
      </c>
      <c r="Q10775">
        <v>2147</v>
      </c>
      <c r="R10775" t="s">
        <v>23</v>
      </c>
      <c r="S10775" s="1" t="s">
        <v>34218</v>
      </c>
    </row>
    <row r="10776" spans="1:19" x14ac:dyDescent="0.25">
      <c r="A10776">
        <v>101282923</v>
      </c>
      <c r="B10776" t="s">
        <v>24149</v>
      </c>
      <c r="C10776" t="s">
        <v>266</v>
      </c>
      <c r="G10776" t="s">
        <v>24150</v>
      </c>
      <c r="H10776" t="s">
        <v>3498</v>
      </c>
      <c r="I10776" t="s">
        <v>43</v>
      </c>
      <c r="J10776" t="s">
        <v>24151</v>
      </c>
      <c r="K10776">
        <v>6825</v>
      </c>
      <c r="L10776" t="s">
        <v>23</v>
      </c>
      <c r="M10776" t="s">
        <v>24150</v>
      </c>
      <c r="N10776" t="s">
        <v>3498</v>
      </c>
      <c r="O10776" t="s">
        <v>43</v>
      </c>
      <c r="P10776" t="s">
        <v>24151</v>
      </c>
      <c r="Q10776">
        <v>6825</v>
      </c>
      <c r="R10776" t="s">
        <v>23</v>
      </c>
      <c r="S10776" s="1" t="s">
        <v>34218</v>
      </c>
    </row>
    <row r="10777" spans="1:19" x14ac:dyDescent="0.25">
      <c r="A10777">
        <v>101443427</v>
      </c>
      <c r="B10777" t="s">
        <v>17062</v>
      </c>
      <c r="C10777" t="s">
        <v>167</v>
      </c>
      <c r="G10777" t="s">
        <v>24152</v>
      </c>
      <c r="H10777" t="s">
        <v>5413</v>
      </c>
      <c r="I10777" t="s">
        <v>161</v>
      </c>
      <c r="J10777" t="s">
        <v>24153</v>
      </c>
      <c r="K10777">
        <v>2167</v>
      </c>
      <c r="L10777" t="s">
        <v>23</v>
      </c>
      <c r="M10777" t="s">
        <v>24152</v>
      </c>
      <c r="N10777" t="s">
        <v>5413</v>
      </c>
      <c r="O10777" t="s">
        <v>161</v>
      </c>
      <c r="P10777" t="s">
        <v>24153</v>
      </c>
      <c r="Q10777">
        <v>2167</v>
      </c>
      <c r="R10777" t="s">
        <v>23</v>
      </c>
      <c r="S10777" s="1" t="s">
        <v>34218</v>
      </c>
    </row>
    <row r="10778" spans="1:19" x14ac:dyDescent="0.25">
      <c r="A10778">
        <v>101418485</v>
      </c>
      <c r="B10778" t="s">
        <v>24154</v>
      </c>
      <c r="C10778" t="s">
        <v>2057</v>
      </c>
      <c r="G10778" t="s">
        <v>24155</v>
      </c>
      <c r="H10778" t="s">
        <v>2403</v>
      </c>
      <c r="I10778" t="s">
        <v>117</v>
      </c>
      <c r="J10778" t="s">
        <v>24156</v>
      </c>
      <c r="K10778">
        <v>3823</v>
      </c>
      <c r="L10778" t="s">
        <v>23</v>
      </c>
      <c r="M10778" t="s">
        <v>24155</v>
      </c>
      <c r="N10778" t="s">
        <v>2403</v>
      </c>
      <c r="O10778" t="s">
        <v>117</v>
      </c>
      <c r="P10778" t="s">
        <v>24156</v>
      </c>
      <c r="Q10778">
        <v>3823</v>
      </c>
      <c r="R10778" t="s">
        <v>23</v>
      </c>
      <c r="S10778" s="1" t="s">
        <v>34218</v>
      </c>
    </row>
    <row r="10779" spans="1:19" x14ac:dyDescent="0.25">
      <c r="A10779">
        <v>101443452</v>
      </c>
      <c r="B10779" t="s">
        <v>24157</v>
      </c>
      <c r="C10779" t="s">
        <v>5347</v>
      </c>
      <c r="G10779" t="s">
        <v>24158</v>
      </c>
      <c r="H10779" t="s">
        <v>389</v>
      </c>
      <c r="I10779" t="s">
        <v>100</v>
      </c>
      <c r="J10779" t="s">
        <v>24159</v>
      </c>
      <c r="K10779">
        <v>2721</v>
      </c>
      <c r="L10779" t="s">
        <v>23</v>
      </c>
      <c r="M10779" t="s">
        <v>24158</v>
      </c>
      <c r="N10779" t="s">
        <v>389</v>
      </c>
      <c r="O10779" t="s">
        <v>100</v>
      </c>
      <c r="P10779" t="s">
        <v>24159</v>
      </c>
      <c r="Q10779">
        <v>2721</v>
      </c>
      <c r="R10779" t="s">
        <v>23</v>
      </c>
      <c r="S10779" s="1" t="s">
        <v>34218</v>
      </c>
    </row>
    <row r="10780" spans="1:19" x14ac:dyDescent="0.25">
      <c r="A10780">
        <v>101315382</v>
      </c>
      <c r="B10780" t="s">
        <v>933</v>
      </c>
      <c r="C10780" t="s">
        <v>535</v>
      </c>
      <c r="G10780" t="s">
        <v>24160</v>
      </c>
      <c r="H10780" t="s">
        <v>24161</v>
      </c>
      <c r="I10780" t="s">
        <v>1097</v>
      </c>
      <c r="J10780" t="s">
        <v>24162</v>
      </c>
      <c r="K10780">
        <v>9143</v>
      </c>
      <c r="L10780" t="s">
        <v>23</v>
      </c>
      <c r="M10780" t="s">
        <v>24160</v>
      </c>
      <c r="N10780" t="s">
        <v>24161</v>
      </c>
      <c r="O10780" t="s">
        <v>1097</v>
      </c>
      <c r="P10780" t="s">
        <v>24162</v>
      </c>
      <c r="Q10780">
        <v>9143</v>
      </c>
      <c r="R10780" t="s">
        <v>23</v>
      </c>
      <c r="S10780" s="1" t="s">
        <v>34218</v>
      </c>
    </row>
    <row r="10781" spans="1:19" x14ac:dyDescent="0.25">
      <c r="A10781">
        <v>101105846</v>
      </c>
      <c r="B10781" t="s">
        <v>16918</v>
      </c>
      <c r="C10781" t="s">
        <v>865</v>
      </c>
      <c r="F10781" t="str">
        <f>"2818285850"</f>
        <v>2818285850</v>
      </c>
      <c r="G10781" t="s">
        <v>24163</v>
      </c>
      <c r="H10781" t="s">
        <v>7162</v>
      </c>
      <c r="I10781" t="s">
        <v>38</v>
      </c>
      <c r="J10781">
        <v>77450</v>
      </c>
      <c r="L10781" t="s">
        <v>23</v>
      </c>
      <c r="M10781" t="s">
        <v>24163</v>
      </c>
      <c r="N10781" t="s">
        <v>7162</v>
      </c>
      <c r="O10781" t="s">
        <v>38</v>
      </c>
      <c r="P10781">
        <v>77450</v>
      </c>
      <c r="R10781" t="s">
        <v>23</v>
      </c>
      <c r="S10781" s="1" t="s">
        <v>34218</v>
      </c>
    </row>
    <row r="10782" spans="1:19" x14ac:dyDescent="0.25">
      <c r="A10782">
        <v>101404896</v>
      </c>
      <c r="B10782" t="s">
        <v>24164</v>
      </c>
      <c r="C10782" t="s">
        <v>4159</v>
      </c>
      <c r="G10782" t="s">
        <v>24165</v>
      </c>
      <c r="H10782" t="s">
        <v>496</v>
      </c>
      <c r="I10782" t="s">
        <v>22</v>
      </c>
      <c r="J10782" t="s">
        <v>24166</v>
      </c>
      <c r="K10782">
        <v>2409</v>
      </c>
      <c r="L10782" t="s">
        <v>23</v>
      </c>
      <c r="M10782" t="s">
        <v>24165</v>
      </c>
      <c r="N10782" t="s">
        <v>496</v>
      </c>
      <c r="O10782" t="s">
        <v>22</v>
      </c>
      <c r="P10782" t="s">
        <v>24166</v>
      </c>
      <c r="Q10782">
        <v>2409</v>
      </c>
      <c r="R10782" t="s">
        <v>23</v>
      </c>
      <c r="S10782" s="1" t="s">
        <v>34218</v>
      </c>
    </row>
    <row r="10783" spans="1:19" x14ac:dyDescent="0.25">
      <c r="A10783">
        <v>101416640</v>
      </c>
      <c r="B10783" t="s">
        <v>24167</v>
      </c>
      <c r="C10783" t="s">
        <v>3009</v>
      </c>
      <c r="G10783" t="s">
        <v>24168</v>
      </c>
      <c r="H10783" t="s">
        <v>412</v>
      </c>
      <c r="I10783" t="s">
        <v>117</v>
      </c>
      <c r="J10783" t="s">
        <v>24169</v>
      </c>
      <c r="K10783">
        <v>1805</v>
      </c>
      <c r="L10783" t="s">
        <v>23</v>
      </c>
      <c r="M10783" t="s">
        <v>24168</v>
      </c>
      <c r="N10783" t="s">
        <v>412</v>
      </c>
      <c r="O10783" t="s">
        <v>117</v>
      </c>
      <c r="P10783" t="s">
        <v>24169</v>
      </c>
      <c r="Q10783">
        <v>1805</v>
      </c>
      <c r="R10783" t="s">
        <v>23</v>
      </c>
      <c r="S10783" s="1" t="s">
        <v>34218</v>
      </c>
    </row>
    <row r="10784" spans="1:19" x14ac:dyDescent="0.25">
      <c r="A10784">
        <v>101443490</v>
      </c>
      <c r="B10784" t="s">
        <v>24170</v>
      </c>
      <c r="C10784" t="s">
        <v>24171</v>
      </c>
      <c r="G10784" t="s">
        <v>24172</v>
      </c>
      <c r="H10784" t="s">
        <v>869</v>
      </c>
      <c r="I10784" t="s">
        <v>52</v>
      </c>
      <c r="J10784" t="s">
        <v>24173</v>
      </c>
      <c r="K10784">
        <v>6110</v>
      </c>
      <c r="L10784" t="s">
        <v>23</v>
      </c>
      <c r="M10784" t="s">
        <v>24172</v>
      </c>
      <c r="N10784" t="s">
        <v>869</v>
      </c>
      <c r="O10784" t="s">
        <v>52</v>
      </c>
      <c r="P10784" t="s">
        <v>24173</v>
      </c>
      <c r="Q10784">
        <v>6110</v>
      </c>
      <c r="R10784" t="s">
        <v>23</v>
      </c>
      <c r="S10784" s="1" t="s">
        <v>34218</v>
      </c>
    </row>
    <row r="10785" spans="1:19" x14ac:dyDescent="0.25">
      <c r="A10785">
        <v>100685390</v>
      </c>
      <c r="B10785" t="s">
        <v>24174</v>
      </c>
      <c r="C10785" t="s">
        <v>158</v>
      </c>
      <c r="G10785" t="s">
        <v>24175</v>
      </c>
      <c r="H10785" t="s">
        <v>2046</v>
      </c>
      <c r="I10785" t="s">
        <v>446</v>
      </c>
      <c r="J10785" t="s">
        <v>24176</v>
      </c>
      <c r="K10785">
        <v>3611</v>
      </c>
      <c r="L10785" t="s">
        <v>23</v>
      </c>
      <c r="M10785" t="s">
        <v>24175</v>
      </c>
      <c r="N10785" t="s">
        <v>2046</v>
      </c>
      <c r="O10785" t="s">
        <v>446</v>
      </c>
      <c r="P10785" t="s">
        <v>24176</v>
      </c>
      <c r="Q10785">
        <v>3611</v>
      </c>
      <c r="R10785" t="s">
        <v>23</v>
      </c>
      <c r="S10785" s="1" t="s">
        <v>34218</v>
      </c>
    </row>
    <row r="10786" spans="1:19" x14ac:dyDescent="0.25">
      <c r="A10786">
        <v>101311558</v>
      </c>
      <c r="B10786" t="s">
        <v>21519</v>
      </c>
      <c r="C10786" t="s">
        <v>1153</v>
      </c>
      <c r="G10786" t="s">
        <v>24177</v>
      </c>
      <c r="H10786" t="s">
        <v>23843</v>
      </c>
      <c r="I10786" t="s">
        <v>117</v>
      </c>
      <c r="J10786" t="s">
        <v>24178</v>
      </c>
      <c r="K10786">
        <v>2580</v>
      </c>
      <c r="L10786" t="s">
        <v>23</v>
      </c>
      <c r="M10786" t="s">
        <v>24177</v>
      </c>
      <c r="N10786" t="s">
        <v>23843</v>
      </c>
      <c r="O10786" t="s">
        <v>117</v>
      </c>
      <c r="P10786" t="s">
        <v>24178</v>
      </c>
      <c r="Q10786">
        <v>2580</v>
      </c>
      <c r="R10786" t="s">
        <v>23</v>
      </c>
      <c r="S10786" s="1" t="s">
        <v>34218</v>
      </c>
    </row>
    <row r="10787" spans="1:19" x14ac:dyDescent="0.25">
      <c r="A10787">
        <v>101314458</v>
      </c>
      <c r="B10787" t="s">
        <v>5258</v>
      </c>
      <c r="C10787" t="s">
        <v>123</v>
      </c>
      <c r="G10787" t="s">
        <v>24179</v>
      </c>
      <c r="H10787" t="s">
        <v>573</v>
      </c>
      <c r="I10787" t="s">
        <v>33</v>
      </c>
      <c r="J10787" t="s">
        <v>24180</v>
      </c>
      <c r="K10787">
        <v>3719</v>
      </c>
      <c r="L10787" t="s">
        <v>23</v>
      </c>
      <c r="M10787" t="s">
        <v>24179</v>
      </c>
      <c r="N10787" t="s">
        <v>573</v>
      </c>
      <c r="O10787" t="s">
        <v>33</v>
      </c>
      <c r="P10787" t="s">
        <v>24180</v>
      </c>
      <c r="Q10787">
        <v>3719</v>
      </c>
      <c r="R10787" t="s">
        <v>23</v>
      </c>
      <c r="S10787" s="1" t="s">
        <v>34218</v>
      </c>
    </row>
    <row r="10788" spans="1:19" x14ac:dyDescent="0.25">
      <c r="A10788">
        <v>101412173</v>
      </c>
      <c r="B10788" t="s">
        <v>24181</v>
      </c>
      <c r="C10788" t="s">
        <v>208</v>
      </c>
      <c r="G10788" t="s">
        <v>24182</v>
      </c>
      <c r="H10788" t="s">
        <v>24183</v>
      </c>
      <c r="I10788" t="s">
        <v>178</v>
      </c>
      <c r="J10788" t="s">
        <v>24184</v>
      </c>
      <c r="K10788">
        <v>1632</v>
      </c>
      <c r="L10788" t="s">
        <v>23</v>
      </c>
      <c r="M10788" t="s">
        <v>24182</v>
      </c>
      <c r="N10788" t="s">
        <v>24183</v>
      </c>
      <c r="O10788" t="s">
        <v>178</v>
      </c>
      <c r="P10788" t="s">
        <v>24184</v>
      </c>
      <c r="Q10788">
        <v>1632</v>
      </c>
      <c r="R10788" t="s">
        <v>23</v>
      </c>
      <c r="S10788" s="1" t="s">
        <v>34218</v>
      </c>
    </row>
    <row r="10789" spans="1:19" x14ac:dyDescent="0.25">
      <c r="A10789">
        <v>100703809</v>
      </c>
      <c r="B10789" t="s">
        <v>24185</v>
      </c>
      <c r="C10789" t="s">
        <v>24186</v>
      </c>
      <c r="G10789" t="s">
        <v>24187</v>
      </c>
      <c r="H10789" t="s">
        <v>12838</v>
      </c>
      <c r="I10789" t="s">
        <v>178</v>
      </c>
      <c r="J10789" t="s">
        <v>24188</v>
      </c>
      <c r="K10789">
        <v>2556</v>
      </c>
      <c r="L10789" t="s">
        <v>23</v>
      </c>
      <c r="M10789" t="s">
        <v>24187</v>
      </c>
      <c r="N10789" t="s">
        <v>12838</v>
      </c>
      <c r="O10789" t="s">
        <v>178</v>
      </c>
      <c r="P10789" t="s">
        <v>24188</v>
      </c>
      <c r="Q10789">
        <v>2556</v>
      </c>
      <c r="R10789" t="s">
        <v>23</v>
      </c>
      <c r="S10789" s="1" t="s">
        <v>34218</v>
      </c>
    </row>
    <row r="10790" spans="1:19" x14ac:dyDescent="0.25">
      <c r="A10790">
        <v>101189714</v>
      </c>
      <c r="B10790" t="s">
        <v>24189</v>
      </c>
      <c r="C10790" t="s">
        <v>1205</v>
      </c>
      <c r="G10790" t="s">
        <v>24190</v>
      </c>
      <c r="H10790" t="s">
        <v>1293</v>
      </c>
      <c r="I10790" t="s">
        <v>22</v>
      </c>
      <c r="J10790" t="s">
        <v>24191</v>
      </c>
      <c r="K10790">
        <v>4301</v>
      </c>
      <c r="L10790" t="s">
        <v>23</v>
      </c>
      <c r="M10790" t="s">
        <v>24190</v>
      </c>
      <c r="N10790" t="s">
        <v>1293</v>
      </c>
      <c r="O10790" t="s">
        <v>22</v>
      </c>
      <c r="P10790" t="s">
        <v>24191</v>
      </c>
      <c r="Q10790">
        <v>4301</v>
      </c>
      <c r="R10790" t="s">
        <v>23</v>
      </c>
      <c r="S10790" s="1" t="s">
        <v>34218</v>
      </c>
    </row>
    <row r="10791" spans="1:19" x14ac:dyDescent="0.25">
      <c r="A10791">
        <v>101333838</v>
      </c>
      <c r="B10791" t="s">
        <v>24192</v>
      </c>
      <c r="C10791" t="s">
        <v>1027</v>
      </c>
      <c r="G10791" t="s">
        <v>24193</v>
      </c>
      <c r="H10791" t="s">
        <v>24194</v>
      </c>
      <c r="I10791" t="s">
        <v>117</v>
      </c>
      <c r="J10791" t="s">
        <v>24195</v>
      </c>
      <c r="K10791">
        <v>2814</v>
      </c>
      <c r="L10791" t="s">
        <v>23</v>
      </c>
      <c r="M10791" t="s">
        <v>24193</v>
      </c>
      <c r="N10791" t="s">
        <v>24194</v>
      </c>
      <c r="O10791" t="s">
        <v>117</v>
      </c>
      <c r="P10791" t="s">
        <v>24195</v>
      </c>
      <c r="Q10791">
        <v>2814</v>
      </c>
      <c r="R10791" t="s">
        <v>23</v>
      </c>
      <c r="S10791" s="1" t="s">
        <v>34218</v>
      </c>
    </row>
    <row r="10792" spans="1:19" x14ac:dyDescent="0.25">
      <c r="A10792">
        <v>101292832</v>
      </c>
      <c r="B10792" t="s">
        <v>24196</v>
      </c>
      <c r="C10792" t="s">
        <v>90</v>
      </c>
      <c r="F10792" t="str">
        <f>"4434180418"</f>
        <v>4434180418</v>
      </c>
      <c r="G10792" t="s">
        <v>24197</v>
      </c>
      <c r="H10792" t="s">
        <v>3074</v>
      </c>
      <c r="I10792" t="s">
        <v>148</v>
      </c>
      <c r="J10792" t="s">
        <v>24198</v>
      </c>
      <c r="K10792">
        <v>3863</v>
      </c>
      <c r="L10792" t="s">
        <v>23</v>
      </c>
      <c r="M10792" t="s">
        <v>24197</v>
      </c>
      <c r="N10792" t="s">
        <v>3074</v>
      </c>
      <c r="O10792" t="s">
        <v>148</v>
      </c>
      <c r="P10792" t="s">
        <v>24198</v>
      </c>
      <c r="Q10792">
        <v>3863</v>
      </c>
      <c r="R10792" t="s">
        <v>23</v>
      </c>
      <c r="S10792" s="1" t="s">
        <v>34218</v>
      </c>
    </row>
    <row r="10793" spans="1:19" x14ac:dyDescent="0.25">
      <c r="A10793">
        <v>100581501</v>
      </c>
      <c r="B10793" t="s">
        <v>24199</v>
      </c>
      <c r="C10793" t="s">
        <v>9601</v>
      </c>
      <c r="G10793" t="s">
        <v>24200</v>
      </c>
      <c r="H10793" t="s">
        <v>3867</v>
      </c>
      <c r="I10793" t="s">
        <v>38</v>
      </c>
      <c r="J10793">
        <v>75060</v>
      </c>
      <c r="K10793">
        <v>2640</v>
      </c>
      <c r="L10793" t="s">
        <v>23</v>
      </c>
      <c r="M10793" t="s">
        <v>24200</v>
      </c>
      <c r="N10793" t="s">
        <v>3867</v>
      </c>
      <c r="O10793" t="s">
        <v>38</v>
      </c>
      <c r="P10793">
        <v>75060</v>
      </c>
      <c r="Q10793">
        <v>2640</v>
      </c>
      <c r="R10793" t="s">
        <v>23</v>
      </c>
      <c r="S10793" s="1" t="s">
        <v>34218</v>
      </c>
    </row>
    <row r="10794" spans="1:19" x14ac:dyDescent="0.25">
      <c r="A10794">
        <v>100665278</v>
      </c>
      <c r="B10794" t="s">
        <v>24201</v>
      </c>
      <c r="C10794" t="s">
        <v>155</v>
      </c>
      <c r="F10794" t="str">
        <f>"5413508619"</f>
        <v>5413508619</v>
      </c>
      <c r="G10794" t="s">
        <v>24202</v>
      </c>
      <c r="H10794" t="s">
        <v>24203</v>
      </c>
      <c r="I10794" t="s">
        <v>43</v>
      </c>
      <c r="J10794" t="s">
        <v>24204</v>
      </c>
      <c r="K10794">
        <v>1522</v>
      </c>
      <c r="L10794" t="s">
        <v>23</v>
      </c>
      <c r="M10794" t="s">
        <v>24202</v>
      </c>
      <c r="N10794" t="s">
        <v>24203</v>
      </c>
      <c r="O10794" t="s">
        <v>43</v>
      </c>
      <c r="P10794" t="s">
        <v>24204</v>
      </c>
      <c r="Q10794">
        <v>1522</v>
      </c>
      <c r="R10794" t="s">
        <v>23</v>
      </c>
      <c r="S10794" s="1" t="s">
        <v>34218</v>
      </c>
    </row>
    <row r="10795" spans="1:19" x14ac:dyDescent="0.25">
      <c r="A10795">
        <v>101221456</v>
      </c>
      <c r="B10795" t="s">
        <v>24205</v>
      </c>
      <c r="C10795" t="s">
        <v>16135</v>
      </c>
      <c r="F10795" t="str">
        <f>"5104792665"</f>
        <v>5104792665</v>
      </c>
      <c r="G10795" t="s">
        <v>24206</v>
      </c>
      <c r="H10795" t="s">
        <v>88</v>
      </c>
      <c r="I10795" t="s">
        <v>22</v>
      </c>
      <c r="J10795" t="s">
        <v>24207</v>
      </c>
      <c r="K10795">
        <v>4040</v>
      </c>
      <c r="L10795" t="s">
        <v>23</v>
      </c>
      <c r="M10795" t="s">
        <v>24206</v>
      </c>
      <c r="N10795" t="s">
        <v>88</v>
      </c>
      <c r="O10795" t="s">
        <v>22</v>
      </c>
      <c r="P10795" t="s">
        <v>24207</v>
      </c>
      <c r="Q10795">
        <v>4040</v>
      </c>
      <c r="R10795" t="s">
        <v>23</v>
      </c>
      <c r="S10795" s="1" t="s">
        <v>34218</v>
      </c>
    </row>
    <row r="10796" spans="1:19" x14ac:dyDescent="0.25">
      <c r="A10796">
        <v>101479521</v>
      </c>
      <c r="B10796" t="s">
        <v>24208</v>
      </c>
      <c r="C10796" t="s">
        <v>90</v>
      </c>
      <c r="G10796" t="s">
        <v>24209</v>
      </c>
      <c r="H10796" t="s">
        <v>130</v>
      </c>
      <c r="I10796" t="s">
        <v>22</v>
      </c>
      <c r="J10796">
        <v>94116</v>
      </c>
      <c r="K10796">
        <v>2012</v>
      </c>
      <c r="L10796" t="s">
        <v>23</v>
      </c>
      <c r="M10796" t="s">
        <v>24209</v>
      </c>
      <c r="N10796" t="s">
        <v>130</v>
      </c>
      <c r="O10796" t="s">
        <v>22</v>
      </c>
      <c r="P10796">
        <v>94116</v>
      </c>
      <c r="Q10796">
        <v>2012</v>
      </c>
      <c r="R10796" t="s">
        <v>23</v>
      </c>
      <c r="S10796" s="1" t="s">
        <v>34218</v>
      </c>
    </row>
    <row r="10797" spans="1:19" x14ac:dyDescent="0.25">
      <c r="A10797">
        <v>101479646</v>
      </c>
      <c r="B10797" t="s">
        <v>2736</v>
      </c>
      <c r="C10797" t="s">
        <v>1757</v>
      </c>
      <c r="G10797" t="s">
        <v>24210</v>
      </c>
      <c r="H10797" t="s">
        <v>24211</v>
      </c>
      <c r="I10797" t="s">
        <v>22</v>
      </c>
      <c r="J10797">
        <v>92532</v>
      </c>
      <c r="K10797">
        <v>2023</v>
      </c>
      <c r="L10797" t="s">
        <v>23</v>
      </c>
      <c r="M10797" t="s">
        <v>24210</v>
      </c>
      <c r="N10797" t="s">
        <v>24211</v>
      </c>
      <c r="O10797" t="s">
        <v>22</v>
      </c>
      <c r="P10797">
        <v>92532</v>
      </c>
      <c r="Q10797">
        <v>2023</v>
      </c>
      <c r="R10797" t="s">
        <v>23</v>
      </c>
      <c r="S10797" s="1" t="s">
        <v>34218</v>
      </c>
    </row>
    <row r="10798" spans="1:19" x14ac:dyDescent="0.25">
      <c r="A10798">
        <v>101479700</v>
      </c>
      <c r="B10798" t="s">
        <v>24212</v>
      </c>
      <c r="C10798" t="s">
        <v>110</v>
      </c>
      <c r="G10798" t="s">
        <v>24213</v>
      </c>
      <c r="H10798" t="s">
        <v>5535</v>
      </c>
      <c r="I10798" t="s">
        <v>22</v>
      </c>
      <c r="J10798">
        <v>92845</v>
      </c>
      <c r="K10798">
        <v>2329</v>
      </c>
      <c r="L10798" t="s">
        <v>23</v>
      </c>
      <c r="M10798" t="s">
        <v>24213</v>
      </c>
      <c r="N10798" t="s">
        <v>5535</v>
      </c>
      <c r="O10798" t="s">
        <v>22</v>
      </c>
      <c r="P10798">
        <v>92845</v>
      </c>
      <c r="Q10798">
        <v>2329</v>
      </c>
      <c r="R10798" t="s">
        <v>23</v>
      </c>
      <c r="S10798" s="1" t="s">
        <v>34218</v>
      </c>
    </row>
    <row r="10799" spans="1:19" x14ac:dyDescent="0.25">
      <c r="A10799">
        <v>101423070</v>
      </c>
      <c r="B10799" t="s">
        <v>24214</v>
      </c>
      <c r="C10799" t="s">
        <v>247</v>
      </c>
      <c r="G10799" t="s">
        <v>24215</v>
      </c>
      <c r="H10799" t="s">
        <v>869</v>
      </c>
      <c r="I10799" t="s">
        <v>52</v>
      </c>
      <c r="J10799">
        <v>33187</v>
      </c>
      <c r="K10799">
        <v>711</v>
      </c>
      <c r="L10799" t="s">
        <v>23</v>
      </c>
      <c r="M10799" t="s">
        <v>24215</v>
      </c>
      <c r="N10799" t="s">
        <v>869</v>
      </c>
      <c r="O10799" t="s">
        <v>52</v>
      </c>
      <c r="P10799">
        <v>33187</v>
      </c>
      <c r="Q10799">
        <v>711</v>
      </c>
      <c r="R10799" t="s">
        <v>23</v>
      </c>
      <c r="S10799" s="1" t="s">
        <v>34218</v>
      </c>
    </row>
    <row r="10800" spans="1:19" x14ac:dyDescent="0.25">
      <c r="A10800">
        <v>101468445</v>
      </c>
      <c r="B10800" t="s">
        <v>12478</v>
      </c>
      <c r="C10800" t="s">
        <v>102</v>
      </c>
      <c r="G10800" t="s">
        <v>24216</v>
      </c>
      <c r="H10800" t="s">
        <v>24217</v>
      </c>
      <c r="I10800" t="s">
        <v>38</v>
      </c>
      <c r="J10800">
        <v>77441</v>
      </c>
      <c r="K10800">
        <v>1479</v>
      </c>
      <c r="L10800" t="s">
        <v>23</v>
      </c>
      <c r="M10800" t="s">
        <v>24216</v>
      </c>
      <c r="N10800" t="s">
        <v>24217</v>
      </c>
      <c r="O10800" t="s">
        <v>38</v>
      </c>
      <c r="P10800">
        <v>77441</v>
      </c>
      <c r="Q10800">
        <v>1479</v>
      </c>
      <c r="R10800" t="s">
        <v>23</v>
      </c>
      <c r="S10800" s="1" t="s">
        <v>34218</v>
      </c>
    </row>
    <row r="10801" spans="1:19" x14ac:dyDescent="0.25">
      <c r="A10801">
        <v>101299279</v>
      </c>
      <c r="B10801" t="s">
        <v>3828</v>
      </c>
      <c r="C10801" t="s">
        <v>3590</v>
      </c>
      <c r="G10801" t="s">
        <v>24218</v>
      </c>
      <c r="H10801" t="s">
        <v>331</v>
      </c>
      <c r="I10801" t="s">
        <v>332</v>
      </c>
      <c r="J10801">
        <v>84103</v>
      </c>
      <c r="K10801">
        <v>3211</v>
      </c>
      <c r="L10801" t="s">
        <v>23</v>
      </c>
      <c r="M10801" t="s">
        <v>24218</v>
      </c>
      <c r="N10801" t="s">
        <v>331</v>
      </c>
      <c r="O10801" t="s">
        <v>332</v>
      </c>
      <c r="P10801">
        <v>84103</v>
      </c>
      <c r="Q10801">
        <v>3211</v>
      </c>
      <c r="R10801" t="s">
        <v>23</v>
      </c>
      <c r="S10801" s="1" t="s">
        <v>34218</v>
      </c>
    </row>
    <row r="10802" spans="1:19" x14ac:dyDescent="0.25">
      <c r="A10802">
        <v>101466110</v>
      </c>
      <c r="B10802" t="s">
        <v>21874</v>
      </c>
      <c r="C10802" t="s">
        <v>3171</v>
      </c>
      <c r="G10802" t="s">
        <v>24219</v>
      </c>
      <c r="H10802" t="s">
        <v>24220</v>
      </c>
      <c r="I10802" t="s">
        <v>446</v>
      </c>
      <c r="J10802">
        <v>28712</v>
      </c>
      <c r="K10802">
        <v>9567</v>
      </c>
      <c r="L10802" t="s">
        <v>23</v>
      </c>
      <c r="M10802" t="s">
        <v>24219</v>
      </c>
      <c r="N10802" t="s">
        <v>24220</v>
      </c>
      <c r="O10802" t="s">
        <v>446</v>
      </c>
      <c r="P10802">
        <v>28712</v>
      </c>
      <c r="Q10802">
        <v>9567</v>
      </c>
      <c r="R10802" t="s">
        <v>23</v>
      </c>
      <c r="S10802" s="1" t="s">
        <v>34218</v>
      </c>
    </row>
    <row r="10803" spans="1:19" x14ac:dyDescent="0.25">
      <c r="A10803">
        <v>101470561</v>
      </c>
      <c r="B10803" t="s">
        <v>24221</v>
      </c>
      <c r="C10803" t="s">
        <v>2010</v>
      </c>
      <c r="G10803" t="s">
        <v>24222</v>
      </c>
      <c r="H10803" t="s">
        <v>3363</v>
      </c>
      <c r="I10803" t="s">
        <v>33</v>
      </c>
      <c r="J10803">
        <v>15216</v>
      </c>
      <c r="K10803">
        <v>1440</v>
      </c>
      <c r="L10803" t="s">
        <v>23</v>
      </c>
      <c r="M10803" t="s">
        <v>24222</v>
      </c>
      <c r="N10803" t="s">
        <v>3363</v>
      </c>
      <c r="O10803" t="s">
        <v>33</v>
      </c>
      <c r="P10803">
        <v>15216</v>
      </c>
      <c r="Q10803">
        <v>1440</v>
      </c>
      <c r="R10803" t="s">
        <v>23</v>
      </c>
      <c r="S10803" s="1" t="s">
        <v>34218</v>
      </c>
    </row>
    <row r="10804" spans="1:19" x14ac:dyDescent="0.25">
      <c r="A10804">
        <v>101435255</v>
      </c>
      <c r="B10804" t="s">
        <v>24223</v>
      </c>
      <c r="C10804" t="s">
        <v>24224</v>
      </c>
      <c r="G10804" t="s">
        <v>24225</v>
      </c>
      <c r="H10804" t="s">
        <v>1897</v>
      </c>
      <c r="I10804" t="s">
        <v>38</v>
      </c>
      <c r="J10804">
        <v>77401</v>
      </c>
      <c r="K10804">
        <v>3718</v>
      </c>
      <c r="L10804" t="s">
        <v>23</v>
      </c>
      <c r="M10804" t="s">
        <v>24225</v>
      </c>
      <c r="N10804" t="s">
        <v>1897</v>
      </c>
      <c r="O10804" t="s">
        <v>38</v>
      </c>
      <c r="P10804">
        <v>77401</v>
      </c>
      <c r="Q10804">
        <v>3718</v>
      </c>
      <c r="R10804" t="s">
        <v>23</v>
      </c>
      <c r="S10804" s="1" t="s">
        <v>34218</v>
      </c>
    </row>
    <row r="10805" spans="1:19" x14ac:dyDescent="0.25">
      <c r="A10805">
        <v>101242429</v>
      </c>
      <c r="B10805" t="s">
        <v>24226</v>
      </c>
      <c r="C10805" t="s">
        <v>119</v>
      </c>
      <c r="G10805" t="s">
        <v>24227</v>
      </c>
      <c r="H10805" t="s">
        <v>16912</v>
      </c>
      <c r="I10805" t="s">
        <v>43</v>
      </c>
      <c r="J10805">
        <v>97068</v>
      </c>
      <c r="K10805">
        <v>7216</v>
      </c>
      <c r="L10805" t="s">
        <v>23</v>
      </c>
      <c r="M10805" t="s">
        <v>24227</v>
      </c>
      <c r="N10805" t="s">
        <v>16912</v>
      </c>
      <c r="O10805" t="s">
        <v>43</v>
      </c>
      <c r="P10805">
        <v>97068</v>
      </c>
      <c r="Q10805">
        <v>7216</v>
      </c>
      <c r="R10805" t="s">
        <v>23</v>
      </c>
      <c r="S10805" s="1" t="s">
        <v>34218</v>
      </c>
    </row>
    <row r="10806" spans="1:19" x14ac:dyDescent="0.25">
      <c r="A10806">
        <v>100674992</v>
      </c>
      <c r="B10806" t="s">
        <v>13533</v>
      </c>
      <c r="C10806" t="s">
        <v>5599</v>
      </c>
      <c r="G10806" t="s">
        <v>24228</v>
      </c>
      <c r="H10806" t="s">
        <v>1766</v>
      </c>
      <c r="I10806" t="s">
        <v>22</v>
      </c>
      <c r="J10806">
        <v>94591</v>
      </c>
      <c r="K10806">
        <v>7907</v>
      </c>
      <c r="L10806" t="s">
        <v>23</v>
      </c>
      <c r="M10806" t="s">
        <v>24228</v>
      </c>
      <c r="N10806" t="s">
        <v>1766</v>
      </c>
      <c r="O10806" t="s">
        <v>22</v>
      </c>
      <c r="P10806">
        <v>94591</v>
      </c>
      <c r="Q10806">
        <v>7907</v>
      </c>
      <c r="R10806" t="s">
        <v>23</v>
      </c>
      <c r="S10806" s="1" t="s">
        <v>34218</v>
      </c>
    </row>
    <row r="10807" spans="1:19" x14ac:dyDescent="0.25">
      <c r="A10807">
        <v>100604768</v>
      </c>
      <c r="B10807" t="s">
        <v>24229</v>
      </c>
      <c r="C10807" t="s">
        <v>2941</v>
      </c>
      <c r="G10807" t="s">
        <v>24230</v>
      </c>
      <c r="H10807" t="s">
        <v>6321</v>
      </c>
      <c r="I10807" t="s">
        <v>117</v>
      </c>
      <c r="J10807">
        <v>12550</v>
      </c>
      <c r="K10807">
        <v>1509</v>
      </c>
      <c r="L10807" t="s">
        <v>23</v>
      </c>
      <c r="M10807" t="s">
        <v>24230</v>
      </c>
      <c r="N10807" t="s">
        <v>6321</v>
      </c>
      <c r="O10807" t="s">
        <v>117</v>
      </c>
      <c r="P10807">
        <v>12550</v>
      </c>
      <c r="Q10807">
        <v>1509</v>
      </c>
      <c r="R10807" t="s">
        <v>23</v>
      </c>
      <c r="S10807" s="1" t="s">
        <v>34218</v>
      </c>
    </row>
    <row r="10808" spans="1:19" x14ac:dyDescent="0.25">
      <c r="A10808">
        <v>101457760</v>
      </c>
      <c r="B10808" t="s">
        <v>727</v>
      </c>
      <c r="C10808" t="s">
        <v>383</v>
      </c>
      <c r="G10808" t="s">
        <v>24231</v>
      </c>
      <c r="H10808" t="s">
        <v>18973</v>
      </c>
      <c r="I10808" t="s">
        <v>28</v>
      </c>
      <c r="J10808">
        <v>30047</v>
      </c>
      <c r="K10808">
        <v>4710</v>
      </c>
      <c r="L10808" t="s">
        <v>23</v>
      </c>
      <c r="M10808" t="s">
        <v>24231</v>
      </c>
      <c r="N10808" t="s">
        <v>18973</v>
      </c>
      <c r="O10808" t="s">
        <v>28</v>
      </c>
      <c r="P10808">
        <v>30047</v>
      </c>
      <c r="Q10808">
        <v>4710</v>
      </c>
      <c r="R10808" t="s">
        <v>23</v>
      </c>
      <c r="S10808" s="1" t="s">
        <v>34218</v>
      </c>
    </row>
    <row r="10809" spans="1:19" x14ac:dyDescent="0.25">
      <c r="A10809">
        <v>101479975</v>
      </c>
      <c r="B10809" t="s">
        <v>23803</v>
      </c>
      <c r="C10809" t="s">
        <v>252</v>
      </c>
      <c r="G10809" t="s">
        <v>24232</v>
      </c>
      <c r="H10809" t="s">
        <v>8140</v>
      </c>
      <c r="I10809" t="s">
        <v>22</v>
      </c>
      <c r="J10809">
        <v>91711</v>
      </c>
      <c r="K10809">
        <v>4834</v>
      </c>
      <c r="L10809" t="s">
        <v>23</v>
      </c>
      <c r="M10809" t="s">
        <v>24232</v>
      </c>
      <c r="N10809" t="s">
        <v>8140</v>
      </c>
      <c r="O10809" t="s">
        <v>22</v>
      </c>
      <c r="P10809">
        <v>91711</v>
      </c>
      <c r="Q10809">
        <v>4834</v>
      </c>
      <c r="R10809" t="s">
        <v>23</v>
      </c>
      <c r="S10809" s="1" t="s">
        <v>34218</v>
      </c>
    </row>
    <row r="10810" spans="1:19" x14ac:dyDescent="0.25">
      <c r="A10810">
        <v>100800967</v>
      </c>
      <c r="B10810" t="s">
        <v>3089</v>
      </c>
      <c r="C10810" t="s">
        <v>1027</v>
      </c>
      <c r="G10810" t="s">
        <v>24233</v>
      </c>
      <c r="H10810" t="s">
        <v>6224</v>
      </c>
      <c r="I10810" t="s">
        <v>914</v>
      </c>
      <c r="J10810">
        <v>37914</v>
      </c>
      <c r="L10810" t="s">
        <v>23</v>
      </c>
      <c r="M10810" t="s">
        <v>24233</v>
      </c>
      <c r="N10810" t="s">
        <v>6224</v>
      </c>
      <c r="O10810" t="s">
        <v>914</v>
      </c>
      <c r="P10810">
        <v>37914</v>
      </c>
      <c r="R10810" t="s">
        <v>23</v>
      </c>
      <c r="S10810" s="1" t="s">
        <v>34218</v>
      </c>
    </row>
    <row r="10811" spans="1:19" x14ac:dyDescent="0.25">
      <c r="A10811">
        <v>101436601</v>
      </c>
      <c r="B10811" t="s">
        <v>7290</v>
      </c>
      <c r="C10811" t="s">
        <v>2127</v>
      </c>
      <c r="G10811" t="s">
        <v>24234</v>
      </c>
      <c r="H10811" t="s">
        <v>1355</v>
      </c>
      <c r="I10811" t="s">
        <v>178</v>
      </c>
      <c r="J10811">
        <v>45050</v>
      </c>
      <c r="K10811">
        <v>1185</v>
      </c>
      <c r="L10811" t="s">
        <v>23</v>
      </c>
      <c r="M10811" t="s">
        <v>24234</v>
      </c>
      <c r="N10811" t="s">
        <v>1355</v>
      </c>
      <c r="O10811" t="s">
        <v>178</v>
      </c>
      <c r="P10811">
        <v>45050</v>
      </c>
      <c r="Q10811">
        <v>1185</v>
      </c>
      <c r="R10811" t="s">
        <v>23</v>
      </c>
      <c r="S10811" s="1" t="s">
        <v>34218</v>
      </c>
    </row>
    <row r="10812" spans="1:19" x14ac:dyDescent="0.25">
      <c r="A10812">
        <v>101448014</v>
      </c>
      <c r="B10812" t="s">
        <v>1505</v>
      </c>
      <c r="C10812" t="s">
        <v>274</v>
      </c>
      <c r="G10812" t="s">
        <v>24235</v>
      </c>
      <c r="H10812" t="s">
        <v>24236</v>
      </c>
      <c r="I10812" t="s">
        <v>241</v>
      </c>
      <c r="J10812">
        <v>66202</v>
      </c>
      <c r="K10812">
        <v>3947</v>
      </c>
      <c r="L10812" t="s">
        <v>23</v>
      </c>
      <c r="M10812" t="s">
        <v>24235</v>
      </c>
      <c r="N10812" t="s">
        <v>24236</v>
      </c>
      <c r="O10812" t="s">
        <v>241</v>
      </c>
      <c r="P10812">
        <v>66202</v>
      </c>
      <c r="Q10812">
        <v>3947</v>
      </c>
      <c r="R10812" t="s">
        <v>23</v>
      </c>
      <c r="S10812" s="1" t="s">
        <v>34218</v>
      </c>
    </row>
    <row r="10813" spans="1:19" x14ac:dyDescent="0.25">
      <c r="A10813">
        <v>101423442</v>
      </c>
      <c r="B10813" t="s">
        <v>208</v>
      </c>
      <c r="C10813" t="s">
        <v>403</v>
      </c>
      <c r="G10813" t="s">
        <v>24237</v>
      </c>
      <c r="H10813" t="s">
        <v>5876</v>
      </c>
      <c r="I10813" t="s">
        <v>52</v>
      </c>
      <c r="J10813">
        <v>34203</v>
      </c>
      <c r="K10813">
        <v>7945</v>
      </c>
      <c r="L10813" t="s">
        <v>23</v>
      </c>
      <c r="M10813" t="s">
        <v>24237</v>
      </c>
      <c r="N10813" t="s">
        <v>5876</v>
      </c>
      <c r="O10813" t="s">
        <v>52</v>
      </c>
      <c r="P10813">
        <v>34203</v>
      </c>
      <c r="Q10813">
        <v>7945</v>
      </c>
      <c r="R10813" t="s">
        <v>23</v>
      </c>
      <c r="S10813" s="1" t="s">
        <v>34218</v>
      </c>
    </row>
    <row r="10814" spans="1:19" x14ac:dyDescent="0.25">
      <c r="A10814">
        <v>101233065</v>
      </c>
      <c r="B10814" t="s">
        <v>24238</v>
      </c>
      <c r="C10814" t="s">
        <v>1327</v>
      </c>
      <c r="G10814" t="s">
        <v>24239</v>
      </c>
      <c r="H10814" t="s">
        <v>264</v>
      </c>
      <c r="I10814" t="s">
        <v>117</v>
      </c>
      <c r="J10814">
        <v>14850</v>
      </c>
      <c r="K10814">
        <v>2710</v>
      </c>
      <c r="L10814" t="s">
        <v>23</v>
      </c>
      <c r="M10814" t="s">
        <v>24239</v>
      </c>
      <c r="N10814" t="s">
        <v>264</v>
      </c>
      <c r="O10814" t="s">
        <v>117</v>
      </c>
      <c r="P10814">
        <v>14850</v>
      </c>
      <c r="Q10814">
        <v>2710</v>
      </c>
      <c r="R10814" t="s">
        <v>23</v>
      </c>
      <c r="S10814" s="1" t="s">
        <v>34218</v>
      </c>
    </row>
    <row r="10815" spans="1:19" x14ac:dyDescent="0.25">
      <c r="A10815">
        <v>100609760</v>
      </c>
      <c r="B10815" t="s">
        <v>1057</v>
      </c>
      <c r="C10815" t="s">
        <v>123</v>
      </c>
      <c r="G10815" t="s">
        <v>24240</v>
      </c>
      <c r="H10815" t="s">
        <v>24241</v>
      </c>
      <c r="I10815" t="s">
        <v>191</v>
      </c>
      <c r="J10815">
        <v>4649</v>
      </c>
      <c r="K10815">
        <v>3145</v>
      </c>
      <c r="L10815" t="s">
        <v>23</v>
      </c>
      <c r="M10815" t="s">
        <v>24240</v>
      </c>
      <c r="N10815" t="s">
        <v>24241</v>
      </c>
      <c r="O10815" t="s">
        <v>191</v>
      </c>
      <c r="P10815">
        <v>4649</v>
      </c>
      <c r="Q10815">
        <v>3145</v>
      </c>
      <c r="R10815" t="s">
        <v>23</v>
      </c>
      <c r="S10815" s="1" t="s">
        <v>34218</v>
      </c>
    </row>
    <row r="10816" spans="1:19" x14ac:dyDescent="0.25">
      <c r="A10816">
        <v>101266940</v>
      </c>
      <c r="B10816" t="s">
        <v>24242</v>
      </c>
      <c r="C10816" t="s">
        <v>123</v>
      </c>
      <c r="G10816" t="s">
        <v>24243</v>
      </c>
      <c r="H10816" t="s">
        <v>134</v>
      </c>
      <c r="I10816" t="s">
        <v>135</v>
      </c>
      <c r="J10816">
        <v>60638</v>
      </c>
      <c r="K10816">
        <v>5067</v>
      </c>
      <c r="L10816" t="s">
        <v>23</v>
      </c>
      <c r="M10816" t="s">
        <v>24243</v>
      </c>
      <c r="N10816" t="s">
        <v>134</v>
      </c>
      <c r="O10816" t="s">
        <v>135</v>
      </c>
      <c r="P10816">
        <v>60638</v>
      </c>
      <c r="Q10816">
        <v>5067</v>
      </c>
      <c r="R10816" t="s">
        <v>23</v>
      </c>
      <c r="S10816" s="1" t="s">
        <v>34218</v>
      </c>
    </row>
    <row r="10817" spans="1:19" x14ac:dyDescent="0.25">
      <c r="A10817">
        <v>101454900</v>
      </c>
      <c r="B10817" t="s">
        <v>24244</v>
      </c>
      <c r="C10817" t="s">
        <v>2127</v>
      </c>
      <c r="G10817" t="s">
        <v>24245</v>
      </c>
      <c r="H10817" t="s">
        <v>653</v>
      </c>
      <c r="I10817" t="s">
        <v>117</v>
      </c>
      <c r="J10817">
        <v>10016</v>
      </c>
      <c r="K10817">
        <v>6854</v>
      </c>
      <c r="L10817" t="s">
        <v>23</v>
      </c>
      <c r="M10817" t="s">
        <v>24245</v>
      </c>
      <c r="N10817" t="s">
        <v>653</v>
      </c>
      <c r="O10817" t="s">
        <v>117</v>
      </c>
      <c r="P10817">
        <v>10016</v>
      </c>
      <c r="Q10817">
        <v>6854</v>
      </c>
      <c r="R10817" t="s">
        <v>23</v>
      </c>
      <c r="S10817" s="1" t="s">
        <v>34218</v>
      </c>
    </row>
    <row r="10818" spans="1:19" x14ac:dyDescent="0.25">
      <c r="A10818">
        <v>101290574</v>
      </c>
      <c r="B10818" t="s">
        <v>3843</v>
      </c>
      <c r="C10818" t="s">
        <v>5283</v>
      </c>
      <c r="G10818" t="s">
        <v>24246</v>
      </c>
      <c r="H10818" t="s">
        <v>653</v>
      </c>
      <c r="I10818" t="s">
        <v>117</v>
      </c>
      <c r="J10818">
        <v>10003</v>
      </c>
      <c r="L10818" t="s">
        <v>23</v>
      </c>
      <c r="M10818" t="s">
        <v>24246</v>
      </c>
      <c r="N10818" t="s">
        <v>653</v>
      </c>
      <c r="O10818" t="s">
        <v>117</v>
      </c>
      <c r="P10818">
        <v>10003</v>
      </c>
      <c r="R10818" t="s">
        <v>23</v>
      </c>
      <c r="S10818" s="1" t="s">
        <v>34218</v>
      </c>
    </row>
    <row r="10819" spans="1:19" x14ac:dyDescent="0.25">
      <c r="A10819">
        <v>100565610</v>
      </c>
      <c r="B10819" t="s">
        <v>13738</v>
      </c>
      <c r="C10819" t="s">
        <v>24247</v>
      </c>
      <c r="G10819" t="s">
        <v>24248</v>
      </c>
      <c r="H10819" t="s">
        <v>653</v>
      </c>
      <c r="I10819" t="s">
        <v>117</v>
      </c>
      <c r="J10819" t="s">
        <v>24249</v>
      </c>
      <c r="K10819">
        <v>5513</v>
      </c>
      <c r="L10819" t="s">
        <v>23</v>
      </c>
      <c r="M10819" t="s">
        <v>24248</v>
      </c>
      <c r="N10819" t="s">
        <v>653</v>
      </c>
      <c r="O10819" t="s">
        <v>117</v>
      </c>
      <c r="P10819" t="s">
        <v>24249</v>
      </c>
      <c r="Q10819">
        <v>5513</v>
      </c>
      <c r="R10819" t="s">
        <v>23</v>
      </c>
      <c r="S10819" s="1" t="s">
        <v>34218</v>
      </c>
    </row>
    <row r="10820" spans="1:19" x14ac:dyDescent="0.25">
      <c r="A10820">
        <v>101225559</v>
      </c>
      <c r="B10820" t="s">
        <v>24250</v>
      </c>
      <c r="C10820" t="s">
        <v>5610</v>
      </c>
      <c r="G10820" t="s">
        <v>24251</v>
      </c>
      <c r="H10820" t="s">
        <v>5838</v>
      </c>
      <c r="I10820" t="s">
        <v>914</v>
      </c>
      <c r="J10820" t="s">
        <v>24252</v>
      </c>
      <c r="K10820">
        <v>2412</v>
      </c>
      <c r="L10820" t="s">
        <v>23</v>
      </c>
      <c r="M10820" t="s">
        <v>24251</v>
      </c>
      <c r="N10820" t="s">
        <v>5838</v>
      </c>
      <c r="O10820" t="s">
        <v>914</v>
      </c>
      <c r="P10820" t="s">
        <v>24252</v>
      </c>
      <c r="Q10820">
        <v>2412</v>
      </c>
      <c r="R10820" t="s">
        <v>23</v>
      </c>
      <c r="S10820" s="1" t="s">
        <v>34218</v>
      </c>
    </row>
    <row r="10821" spans="1:19" x14ac:dyDescent="0.25">
      <c r="A10821">
        <v>101324512</v>
      </c>
      <c r="B10821" t="s">
        <v>6658</v>
      </c>
      <c r="C10821" t="s">
        <v>699</v>
      </c>
      <c r="G10821" t="s">
        <v>24253</v>
      </c>
      <c r="H10821" t="s">
        <v>9229</v>
      </c>
      <c r="I10821" t="s">
        <v>52</v>
      </c>
      <c r="J10821" t="s">
        <v>24254</v>
      </c>
      <c r="K10821">
        <v>3444</v>
      </c>
      <c r="L10821" t="s">
        <v>23</v>
      </c>
      <c r="M10821" t="s">
        <v>24253</v>
      </c>
      <c r="N10821" t="s">
        <v>9229</v>
      </c>
      <c r="O10821" t="s">
        <v>52</v>
      </c>
      <c r="P10821" t="s">
        <v>24254</v>
      </c>
      <c r="Q10821">
        <v>3444</v>
      </c>
      <c r="R10821" t="s">
        <v>23</v>
      </c>
      <c r="S10821" s="1" t="s">
        <v>34218</v>
      </c>
    </row>
    <row r="10822" spans="1:19" x14ac:dyDescent="0.25">
      <c r="A10822">
        <v>101325219</v>
      </c>
      <c r="B10822" t="s">
        <v>24255</v>
      </c>
      <c r="C10822" t="s">
        <v>301</v>
      </c>
      <c r="G10822" t="s">
        <v>24256</v>
      </c>
      <c r="H10822" t="s">
        <v>125</v>
      </c>
      <c r="I10822" t="s">
        <v>126</v>
      </c>
      <c r="J10822" t="s">
        <v>24257</v>
      </c>
      <c r="K10822">
        <v>2034</v>
      </c>
      <c r="L10822" t="s">
        <v>23</v>
      </c>
      <c r="M10822" t="s">
        <v>24256</v>
      </c>
      <c r="N10822" t="s">
        <v>125</v>
      </c>
      <c r="O10822" t="s">
        <v>126</v>
      </c>
      <c r="P10822" t="s">
        <v>24257</v>
      </c>
      <c r="Q10822">
        <v>2034</v>
      </c>
      <c r="R10822" t="s">
        <v>23</v>
      </c>
      <c r="S10822" s="1" t="s">
        <v>34218</v>
      </c>
    </row>
    <row r="10823" spans="1:19" x14ac:dyDescent="0.25">
      <c r="A10823">
        <v>101365533</v>
      </c>
      <c r="B10823" t="s">
        <v>24258</v>
      </c>
      <c r="C10823" t="s">
        <v>286</v>
      </c>
      <c r="G10823" t="s">
        <v>24259</v>
      </c>
      <c r="H10823" t="s">
        <v>7230</v>
      </c>
      <c r="I10823" t="s">
        <v>33</v>
      </c>
      <c r="J10823" t="s">
        <v>24260</v>
      </c>
      <c r="K10823">
        <v>1353</v>
      </c>
      <c r="L10823" t="s">
        <v>23</v>
      </c>
      <c r="M10823" t="s">
        <v>24259</v>
      </c>
      <c r="N10823" t="s">
        <v>7230</v>
      </c>
      <c r="O10823" t="s">
        <v>33</v>
      </c>
      <c r="P10823" t="s">
        <v>24260</v>
      </c>
      <c r="Q10823">
        <v>1353</v>
      </c>
      <c r="R10823" t="s">
        <v>23</v>
      </c>
      <c r="S10823" s="1" t="s">
        <v>34218</v>
      </c>
    </row>
    <row r="10824" spans="1:19" x14ac:dyDescent="0.25">
      <c r="A10824">
        <v>101327102</v>
      </c>
      <c r="B10824" t="s">
        <v>24261</v>
      </c>
      <c r="C10824" t="s">
        <v>4587</v>
      </c>
      <c r="G10824" t="s">
        <v>24262</v>
      </c>
      <c r="H10824" t="s">
        <v>412</v>
      </c>
      <c r="I10824" t="s">
        <v>117</v>
      </c>
      <c r="J10824" t="s">
        <v>24263</v>
      </c>
      <c r="K10824">
        <v>1335</v>
      </c>
      <c r="L10824" t="s">
        <v>23</v>
      </c>
      <c r="M10824" t="s">
        <v>24262</v>
      </c>
      <c r="N10824" t="s">
        <v>412</v>
      </c>
      <c r="O10824" t="s">
        <v>117</v>
      </c>
      <c r="P10824" t="s">
        <v>24263</v>
      </c>
      <c r="Q10824">
        <v>1335</v>
      </c>
      <c r="R10824" t="s">
        <v>23</v>
      </c>
      <c r="S10824" s="1" t="s">
        <v>34218</v>
      </c>
    </row>
    <row r="10825" spans="1:19" x14ac:dyDescent="0.25">
      <c r="A10825">
        <v>101280684</v>
      </c>
      <c r="B10825" t="s">
        <v>24264</v>
      </c>
      <c r="C10825" t="s">
        <v>395</v>
      </c>
      <c r="G10825" t="s">
        <v>24265</v>
      </c>
      <c r="H10825" t="s">
        <v>2434</v>
      </c>
      <c r="I10825" t="s">
        <v>161</v>
      </c>
      <c r="J10825" t="s">
        <v>24266</v>
      </c>
      <c r="K10825">
        <v>2209</v>
      </c>
      <c r="L10825" t="s">
        <v>23</v>
      </c>
      <c r="M10825" t="s">
        <v>24265</v>
      </c>
      <c r="N10825" t="s">
        <v>2434</v>
      </c>
      <c r="O10825" t="s">
        <v>161</v>
      </c>
      <c r="P10825" t="s">
        <v>24266</v>
      </c>
      <c r="Q10825">
        <v>2209</v>
      </c>
      <c r="R10825" t="s">
        <v>23</v>
      </c>
      <c r="S10825" s="1" t="s">
        <v>34218</v>
      </c>
    </row>
    <row r="10826" spans="1:19" x14ac:dyDescent="0.25">
      <c r="A10826">
        <v>100801971</v>
      </c>
      <c r="B10826" t="s">
        <v>1745</v>
      </c>
      <c r="C10826" t="s">
        <v>3817</v>
      </c>
      <c r="G10826" t="s">
        <v>24267</v>
      </c>
      <c r="H10826" t="s">
        <v>24268</v>
      </c>
      <c r="I10826" t="s">
        <v>52</v>
      </c>
      <c r="J10826" t="s">
        <v>24269</v>
      </c>
      <c r="K10826">
        <v>1718</v>
      </c>
      <c r="L10826" t="s">
        <v>23</v>
      </c>
      <c r="M10826" t="s">
        <v>24267</v>
      </c>
      <c r="N10826" t="s">
        <v>24268</v>
      </c>
      <c r="O10826" t="s">
        <v>52</v>
      </c>
      <c r="P10826" t="s">
        <v>24269</v>
      </c>
      <c r="Q10826">
        <v>1718</v>
      </c>
      <c r="R10826" t="s">
        <v>23</v>
      </c>
      <c r="S10826" s="1" t="s">
        <v>34218</v>
      </c>
    </row>
    <row r="10827" spans="1:19" x14ac:dyDescent="0.25">
      <c r="A10827">
        <v>101319155</v>
      </c>
      <c r="B10827" t="s">
        <v>654</v>
      </c>
      <c r="C10827" t="s">
        <v>403</v>
      </c>
      <c r="G10827" t="s">
        <v>24270</v>
      </c>
      <c r="H10827" t="s">
        <v>569</v>
      </c>
      <c r="I10827" t="s">
        <v>187</v>
      </c>
      <c r="J10827" t="s">
        <v>24271</v>
      </c>
      <c r="K10827">
        <v>3567</v>
      </c>
      <c r="L10827" t="s">
        <v>23</v>
      </c>
      <c r="M10827" t="s">
        <v>24270</v>
      </c>
      <c r="N10827" t="s">
        <v>569</v>
      </c>
      <c r="O10827" t="s">
        <v>187</v>
      </c>
      <c r="P10827" t="s">
        <v>24271</v>
      </c>
      <c r="Q10827">
        <v>3567</v>
      </c>
      <c r="R10827" t="s">
        <v>23</v>
      </c>
      <c r="S10827" s="1" t="s">
        <v>34218</v>
      </c>
    </row>
    <row r="10828" spans="1:19" x14ac:dyDescent="0.25">
      <c r="A10828">
        <v>101273233</v>
      </c>
      <c r="B10828" t="s">
        <v>3838</v>
      </c>
      <c r="C10828" t="s">
        <v>522</v>
      </c>
      <c r="G10828" t="s">
        <v>24272</v>
      </c>
      <c r="H10828" t="s">
        <v>9057</v>
      </c>
      <c r="I10828" t="s">
        <v>236</v>
      </c>
      <c r="J10828" t="s">
        <v>24273</v>
      </c>
      <c r="K10828">
        <v>9723</v>
      </c>
      <c r="L10828" t="s">
        <v>23</v>
      </c>
      <c r="M10828" t="s">
        <v>24272</v>
      </c>
      <c r="N10828" t="s">
        <v>9057</v>
      </c>
      <c r="O10828" t="s">
        <v>236</v>
      </c>
      <c r="P10828" t="s">
        <v>24273</v>
      </c>
      <c r="Q10828">
        <v>9723</v>
      </c>
      <c r="R10828" t="s">
        <v>23</v>
      </c>
      <c r="S10828" s="1" t="s">
        <v>34218</v>
      </c>
    </row>
    <row r="10829" spans="1:19" x14ac:dyDescent="0.25">
      <c r="A10829">
        <v>101418757</v>
      </c>
      <c r="B10829" t="s">
        <v>24274</v>
      </c>
      <c r="C10829" t="s">
        <v>24275</v>
      </c>
      <c r="G10829" t="s">
        <v>24276</v>
      </c>
      <c r="H10829" t="s">
        <v>8055</v>
      </c>
      <c r="I10829" t="s">
        <v>191</v>
      </c>
      <c r="J10829" t="s">
        <v>24277</v>
      </c>
      <c r="K10829">
        <v>6627</v>
      </c>
      <c r="L10829" t="s">
        <v>23</v>
      </c>
      <c r="M10829" t="s">
        <v>24276</v>
      </c>
      <c r="N10829" t="s">
        <v>8055</v>
      </c>
      <c r="O10829" t="s">
        <v>191</v>
      </c>
      <c r="P10829" t="s">
        <v>24277</v>
      </c>
      <c r="Q10829">
        <v>6627</v>
      </c>
      <c r="R10829" t="s">
        <v>23</v>
      </c>
      <c r="S10829" s="1" t="s">
        <v>34218</v>
      </c>
    </row>
    <row r="10830" spans="1:19" x14ac:dyDescent="0.25">
      <c r="A10830">
        <v>101240462</v>
      </c>
      <c r="B10830" t="s">
        <v>24278</v>
      </c>
      <c r="C10830" t="s">
        <v>3747</v>
      </c>
      <c r="G10830" t="s">
        <v>24279</v>
      </c>
      <c r="H10830" t="s">
        <v>12153</v>
      </c>
      <c r="I10830" t="s">
        <v>250</v>
      </c>
      <c r="J10830" t="s">
        <v>24280</v>
      </c>
      <c r="K10830">
        <v>2718</v>
      </c>
      <c r="L10830" t="s">
        <v>23</v>
      </c>
      <c r="M10830" t="s">
        <v>24279</v>
      </c>
      <c r="N10830" t="s">
        <v>12153</v>
      </c>
      <c r="O10830" t="s">
        <v>250</v>
      </c>
      <c r="P10830" t="s">
        <v>24280</v>
      </c>
      <c r="Q10830">
        <v>2718</v>
      </c>
      <c r="R10830" t="s">
        <v>23</v>
      </c>
      <c r="S10830" s="1" t="s">
        <v>34218</v>
      </c>
    </row>
    <row r="10831" spans="1:19" x14ac:dyDescent="0.25">
      <c r="A10831">
        <v>101326086</v>
      </c>
      <c r="B10831" t="s">
        <v>276</v>
      </c>
      <c r="C10831" t="s">
        <v>8130</v>
      </c>
      <c r="G10831" t="s">
        <v>24281</v>
      </c>
      <c r="H10831" t="s">
        <v>13035</v>
      </c>
      <c r="I10831" t="s">
        <v>140</v>
      </c>
      <c r="J10831" t="s">
        <v>24282</v>
      </c>
      <c r="K10831">
        <v>1285</v>
      </c>
      <c r="L10831" t="s">
        <v>23</v>
      </c>
      <c r="M10831" t="s">
        <v>24281</v>
      </c>
      <c r="N10831" t="s">
        <v>13035</v>
      </c>
      <c r="O10831" t="s">
        <v>140</v>
      </c>
      <c r="P10831" t="s">
        <v>24282</v>
      </c>
      <c r="Q10831">
        <v>1285</v>
      </c>
      <c r="R10831" t="s">
        <v>23</v>
      </c>
      <c r="S10831" s="1" t="s">
        <v>34218</v>
      </c>
    </row>
    <row r="10832" spans="1:19" x14ac:dyDescent="0.25">
      <c r="A10832">
        <v>101267036</v>
      </c>
      <c r="B10832" t="s">
        <v>24283</v>
      </c>
      <c r="C10832" t="s">
        <v>24284</v>
      </c>
      <c r="G10832" t="s">
        <v>24285</v>
      </c>
      <c r="H10832" t="s">
        <v>24286</v>
      </c>
      <c r="I10832" t="s">
        <v>236</v>
      </c>
      <c r="J10832" t="s">
        <v>24287</v>
      </c>
      <c r="K10832">
        <v>858</v>
      </c>
      <c r="L10832" t="s">
        <v>23</v>
      </c>
      <c r="M10832" t="s">
        <v>24285</v>
      </c>
      <c r="N10832" t="s">
        <v>24286</v>
      </c>
      <c r="O10832" t="s">
        <v>236</v>
      </c>
      <c r="P10832" t="s">
        <v>24287</v>
      </c>
      <c r="Q10832">
        <v>858</v>
      </c>
      <c r="R10832" t="s">
        <v>23</v>
      </c>
      <c r="S10832" s="1" t="s">
        <v>34218</v>
      </c>
    </row>
    <row r="10833" spans="1:19" x14ac:dyDescent="0.25">
      <c r="A10833">
        <v>101332677</v>
      </c>
      <c r="B10833" t="s">
        <v>24288</v>
      </c>
      <c r="C10833" t="s">
        <v>575</v>
      </c>
      <c r="G10833" t="s">
        <v>24289</v>
      </c>
      <c r="H10833" t="s">
        <v>6664</v>
      </c>
      <c r="I10833" t="s">
        <v>914</v>
      </c>
      <c r="J10833" t="s">
        <v>24290</v>
      </c>
      <c r="K10833">
        <v>3734</v>
      </c>
      <c r="L10833" t="s">
        <v>23</v>
      </c>
      <c r="M10833" t="s">
        <v>24289</v>
      </c>
      <c r="N10833" t="s">
        <v>6664</v>
      </c>
      <c r="O10833" t="s">
        <v>914</v>
      </c>
      <c r="P10833" t="s">
        <v>24290</v>
      </c>
      <c r="Q10833">
        <v>3734</v>
      </c>
      <c r="R10833" t="s">
        <v>23</v>
      </c>
      <c r="S10833" s="1" t="s">
        <v>34218</v>
      </c>
    </row>
    <row r="10834" spans="1:19" x14ac:dyDescent="0.25">
      <c r="A10834">
        <v>100729341</v>
      </c>
      <c r="B10834" t="s">
        <v>24291</v>
      </c>
      <c r="C10834" t="s">
        <v>403</v>
      </c>
      <c r="F10834" t="str">
        <f>"3037769890"</f>
        <v>3037769890</v>
      </c>
      <c r="G10834" t="s">
        <v>24292</v>
      </c>
      <c r="H10834" t="s">
        <v>438</v>
      </c>
      <c r="I10834" t="s">
        <v>71</v>
      </c>
      <c r="J10834" t="s">
        <v>24293</v>
      </c>
      <c r="K10834">
        <v>4548</v>
      </c>
      <c r="L10834" t="s">
        <v>23</v>
      </c>
      <c r="M10834" t="s">
        <v>24292</v>
      </c>
      <c r="N10834" t="s">
        <v>438</v>
      </c>
      <c r="O10834" t="s">
        <v>71</v>
      </c>
      <c r="P10834" t="s">
        <v>24293</v>
      </c>
      <c r="Q10834">
        <v>4548</v>
      </c>
      <c r="R10834" t="s">
        <v>23</v>
      </c>
      <c r="S10834" s="1" t="s">
        <v>34218</v>
      </c>
    </row>
    <row r="10835" spans="1:19" x14ac:dyDescent="0.25">
      <c r="A10835">
        <v>101331889</v>
      </c>
      <c r="B10835" t="s">
        <v>8436</v>
      </c>
      <c r="C10835" t="s">
        <v>390</v>
      </c>
      <c r="G10835" t="s">
        <v>24294</v>
      </c>
      <c r="H10835" t="s">
        <v>9572</v>
      </c>
      <c r="I10835" t="s">
        <v>236</v>
      </c>
      <c r="J10835" t="s">
        <v>24295</v>
      </c>
      <c r="K10835">
        <v>9414</v>
      </c>
      <c r="L10835" t="s">
        <v>23</v>
      </c>
      <c r="M10835" t="s">
        <v>24294</v>
      </c>
      <c r="N10835" t="s">
        <v>9572</v>
      </c>
      <c r="O10835" t="s">
        <v>236</v>
      </c>
      <c r="P10835" t="s">
        <v>24295</v>
      </c>
      <c r="Q10835">
        <v>9414</v>
      </c>
      <c r="R10835" t="s">
        <v>23</v>
      </c>
      <c r="S10835" s="1" t="s">
        <v>34218</v>
      </c>
    </row>
    <row r="10836" spans="1:19" x14ac:dyDescent="0.25">
      <c r="A10836">
        <v>101418779</v>
      </c>
      <c r="B10836" t="s">
        <v>24296</v>
      </c>
      <c r="C10836" t="s">
        <v>1773</v>
      </c>
      <c r="G10836" t="s">
        <v>24297</v>
      </c>
      <c r="H10836" t="s">
        <v>1725</v>
      </c>
      <c r="I10836" t="s">
        <v>22</v>
      </c>
      <c r="J10836" t="s">
        <v>24298</v>
      </c>
      <c r="K10836">
        <v>6213</v>
      </c>
      <c r="L10836" t="s">
        <v>23</v>
      </c>
      <c r="M10836" t="s">
        <v>24297</v>
      </c>
      <c r="N10836" t="s">
        <v>1725</v>
      </c>
      <c r="O10836" t="s">
        <v>22</v>
      </c>
      <c r="P10836" t="s">
        <v>24298</v>
      </c>
      <c r="Q10836">
        <v>6213</v>
      </c>
      <c r="R10836" t="s">
        <v>23</v>
      </c>
      <c r="S10836" s="1" t="s">
        <v>34218</v>
      </c>
    </row>
    <row r="10837" spans="1:19" x14ac:dyDescent="0.25">
      <c r="A10837">
        <v>100570567</v>
      </c>
      <c r="B10837" t="s">
        <v>3089</v>
      </c>
      <c r="C10837" t="s">
        <v>2547</v>
      </c>
      <c r="G10837" t="s">
        <v>24299</v>
      </c>
      <c r="H10837" t="s">
        <v>1019</v>
      </c>
      <c r="I10837" t="s">
        <v>84</v>
      </c>
      <c r="J10837" t="s">
        <v>24300</v>
      </c>
      <c r="K10837">
        <v>3265</v>
      </c>
      <c r="L10837" t="s">
        <v>23</v>
      </c>
      <c r="M10837" t="s">
        <v>24299</v>
      </c>
      <c r="N10837" t="s">
        <v>1019</v>
      </c>
      <c r="O10837" t="s">
        <v>84</v>
      </c>
      <c r="P10837" t="s">
        <v>24300</v>
      </c>
      <c r="Q10837">
        <v>3265</v>
      </c>
      <c r="R10837" t="s">
        <v>23</v>
      </c>
      <c r="S10837" s="1" t="s">
        <v>34218</v>
      </c>
    </row>
    <row r="10838" spans="1:19" x14ac:dyDescent="0.25">
      <c r="A10838">
        <v>100921491</v>
      </c>
      <c r="B10838" t="s">
        <v>6555</v>
      </c>
      <c r="C10838" t="s">
        <v>1306</v>
      </c>
      <c r="G10838" t="s">
        <v>24301</v>
      </c>
      <c r="H10838" t="s">
        <v>2375</v>
      </c>
      <c r="I10838" t="s">
        <v>100</v>
      </c>
      <c r="J10838" t="s">
        <v>24302</v>
      </c>
      <c r="K10838">
        <v>7800</v>
      </c>
      <c r="L10838" t="s">
        <v>23</v>
      </c>
      <c r="M10838" t="s">
        <v>24301</v>
      </c>
      <c r="N10838" t="s">
        <v>2375</v>
      </c>
      <c r="O10838" t="s">
        <v>100</v>
      </c>
      <c r="P10838" t="s">
        <v>24302</v>
      </c>
      <c r="Q10838">
        <v>7800</v>
      </c>
      <c r="R10838" t="s">
        <v>23</v>
      </c>
      <c r="S10838" s="1" t="s">
        <v>34218</v>
      </c>
    </row>
    <row r="10839" spans="1:19" x14ac:dyDescent="0.25">
      <c r="A10839">
        <v>101293948</v>
      </c>
      <c r="B10839" t="s">
        <v>11280</v>
      </c>
      <c r="C10839" t="s">
        <v>7569</v>
      </c>
      <c r="G10839" t="s">
        <v>24303</v>
      </c>
      <c r="H10839" t="s">
        <v>11379</v>
      </c>
      <c r="I10839" t="s">
        <v>2566</v>
      </c>
      <c r="J10839" t="s">
        <v>24304</v>
      </c>
      <c r="K10839">
        <v>5396</v>
      </c>
      <c r="L10839" t="s">
        <v>23</v>
      </c>
      <c r="M10839" t="s">
        <v>24303</v>
      </c>
      <c r="N10839" t="s">
        <v>11379</v>
      </c>
      <c r="O10839" t="s">
        <v>2566</v>
      </c>
      <c r="P10839" t="s">
        <v>24304</v>
      </c>
      <c r="Q10839">
        <v>5396</v>
      </c>
      <c r="R10839" t="s">
        <v>23</v>
      </c>
      <c r="S10839" s="1" t="s">
        <v>34218</v>
      </c>
    </row>
    <row r="10840" spans="1:19" x14ac:dyDescent="0.25">
      <c r="A10840">
        <v>101481163</v>
      </c>
      <c r="B10840" t="s">
        <v>24305</v>
      </c>
      <c r="C10840" t="s">
        <v>24306</v>
      </c>
      <c r="G10840" t="s">
        <v>24307</v>
      </c>
      <c r="H10840" t="s">
        <v>9329</v>
      </c>
      <c r="I10840" t="s">
        <v>38</v>
      </c>
      <c r="J10840">
        <v>78521</v>
      </c>
      <c r="K10840">
        <v>7368</v>
      </c>
      <c r="L10840" t="s">
        <v>23</v>
      </c>
      <c r="M10840" t="s">
        <v>24307</v>
      </c>
      <c r="N10840" t="s">
        <v>9329</v>
      </c>
      <c r="O10840" t="s">
        <v>38</v>
      </c>
      <c r="P10840">
        <v>78521</v>
      </c>
      <c r="Q10840">
        <v>7368</v>
      </c>
      <c r="R10840" t="s">
        <v>23</v>
      </c>
      <c r="S10840" s="1" t="s">
        <v>34218</v>
      </c>
    </row>
    <row r="10841" spans="1:19" x14ac:dyDescent="0.25">
      <c r="A10841">
        <v>101288563</v>
      </c>
      <c r="B10841" t="s">
        <v>1970</v>
      </c>
      <c r="C10841" t="s">
        <v>2127</v>
      </c>
      <c r="G10841" t="s">
        <v>24308</v>
      </c>
      <c r="H10841" t="s">
        <v>20096</v>
      </c>
      <c r="I10841" t="s">
        <v>140</v>
      </c>
      <c r="J10841">
        <v>48185</v>
      </c>
      <c r="K10841">
        <v>2133</v>
      </c>
      <c r="L10841" t="s">
        <v>23</v>
      </c>
      <c r="M10841" t="s">
        <v>24308</v>
      </c>
      <c r="N10841" t="s">
        <v>20096</v>
      </c>
      <c r="O10841" t="s">
        <v>140</v>
      </c>
      <c r="P10841">
        <v>48185</v>
      </c>
      <c r="Q10841">
        <v>2133</v>
      </c>
      <c r="R10841" t="s">
        <v>23</v>
      </c>
      <c r="S10841" s="1" t="s">
        <v>34218</v>
      </c>
    </row>
    <row r="10842" spans="1:19" x14ac:dyDescent="0.25">
      <c r="A10842">
        <v>100895930</v>
      </c>
      <c r="B10842" t="s">
        <v>24309</v>
      </c>
      <c r="C10842" t="s">
        <v>4488</v>
      </c>
      <c r="G10842" t="s">
        <v>24310</v>
      </c>
      <c r="H10842" t="s">
        <v>685</v>
      </c>
      <c r="I10842" t="s">
        <v>57</v>
      </c>
      <c r="J10842">
        <v>47402</v>
      </c>
      <c r="K10842">
        <v>4756</v>
      </c>
      <c r="L10842" t="s">
        <v>23</v>
      </c>
      <c r="M10842" t="s">
        <v>24310</v>
      </c>
      <c r="N10842" t="s">
        <v>685</v>
      </c>
      <c r="O10842" t="s">
        <v>57</v>
      </c>
      <c r="P10842">
        <v>47402</v>
      </c>
      <c r="Q10842">
        <v>4756</v>
      </c>
      <c r="R10842" t="s">
        <v>23</v>
      </c>
      <c r="S10842" s="1" t="s">
        <v>34218</v>
      </c>
    </row>
    <row r="10843" spans="1:19" x14ac:dyDescent="0.25">
      <c r="A10843">
        <v>101474733</v>
      </c>
      <c r="B10843" t="s">
        <v>11122</v>
      </c>
      <c r="C10843" t="s">
        <v>24311</v>
      </c>
      <c r="G10843" t="s">
        <v>24312</v>
      </c>
      <c r="H10843" t="s">
        <v>1105</v>
      </c>
      <c r="I10843" t="s">
        <v>117</v>
      </c>
      <c r="J10843">
        <v>10453</v>
      </c>
      <c r="K10843">
        <v>4932</v>
      </c>
      <c r="L10843" t="s">
        <v>23</v>
      </c>
      <c r="M10843" t="s">
        <v>24312</v>
      </c>
      <c r="N10843" t="s">
        <v>1105</v>
      </c>
      <c r="O10843" t="s">
        <v>117</v>
      </c>
      <c r="P10843">
        <v>10453</v>
      </c>
      <c r="Q10843">
        <v>4932</v>
      </c>
      <c r="R10843" t="s">
        <v>23</v>
      </c>
      <c r="S10843" s="1" t="s">
        <v>34218</v>
      </c>
    </row>
    <row r="10844" spans="1:19" x14ac:dyDescent="0.25">
      <c r="A10844">
        <v>101474826</v>
      </c>
      <c r="B10844" t="s">
        <v>24313</v>
      </c>
      <c r="C10844" t="s">
        <v>274</v>
      </c>
      <c r="G10844" t="s">
        <v>24314</v>
      </c>
      <c r="H10844" t="s">
        <v>12284</v>
      </c>
      <c r="I10844" t="s">
        <v>52</v>
      </c>
      <c r="J10844">
        <v>32757</v>
      </c>
      <c r="K10844">
        <v>8876</v>
      </c>
      <c r="L10844" t="s">
        <v>23</v>
      </c>
      <c r="M10844" t="s">
        <v>24314</v>
      </c>
      <c r="N10844" t="s">
        <v>12284</v>
      </c>
      <c r="O10844" t="s">
        <v>52</v>
      </c>
      <c r="P10844">
        <v>32757</v>
      </c>
      <c r="Q10844">
        <v>8876</v>
      </c>
      <c r="R10844" t="s">
        <v>23</v>
      </c>
      <c r="S10844" s="1" t="s">
        <v>34218</v>
      </c>
    </row>
    <row r="10845" spans="1:19" x14ac:dyDescent="0.25">
      <c r="A10845">
        <v>101474844</v>
      </c>
      <c r="B10845" t="s">
        <v>24315</v>
      </c>
      <c r="C10845" t="s">
        <v>403</v>
      </c>
      <c r="G10845" t="s">
        <v>24316</v>
      </c>
      <c r="H10845" t="s">
        <v>5683</v>
      </c>
      <c r="I10845" t="s">
        <v>52</v>
      </c>
      <c r="J10845">
        <v>32927</v>
      </c>
      <c r="K10845">
        <v>3913</v>
      </c>
      <c r="L10845" t="s">
        <v>23</v>
      </c>
      <c r="M10845" t="s">
        <v>24316</v>
      </c>
      <c r="N10845" t="s">
        <v>5683</v>
      </c>
      <c r="O10845" t="s">
        <v>52</v>
      </c>
      <c r="P10845">
        <v>32927</v>
      </c>
      <c r="Q10845">
        <v>3913</v>
      </c>
      <c r="R10845" t="s">
        <v>23</v>
      </c>
      <c r="S10845" s="1" t="s">
        <v>34218</v>
      </c>
    </row>
    <row r="10846" spans="1:19" x14ac:dyDescent="0.25">
      <c r="A10846">
        <v>101470253</v>
      </c>
      <c r="B10846" t="s">
        <v>4401</v>
      </c>
      <c r="C10846" t="s">
        <v>24317</v>
      </c>
      <c r="G10846" t="s">
        <v>24318</v>
      </c>
      <c r="H10846" t="s">
        <v>1604</v>
      </c>
      <c r="I10846" t="s">
        <v>1482</v>
      </c>
      <c r="J10846">
        <v>29204</v>
      </c>
      <c r="K10846">
        <v>4427</v>
      </c>
      <c r="L10846" t="s">
        <v>23</v>
      </c>
      <c r="M10846" t="s">
        <v>24318</v>
      </c>
      <c r="N10846" t="s">
        <v>1604</v>
      </c>
      <c r="O10846" t="s">
        <v>1482</v>
      </c>
      <c r="P10846">
        <v>29204</v>
      </c>
      <c r="Q10846">
        <v>4427</v>
      </c>
      <c r="R10846" t="s">
        <v>23</v>
      </c>
      <c r="S10846" s="1" t="s">
        <v>34218</v>
      </c>
    </row>
    <row r="10847" spans="1:19" x14ac:dyDescent="0.25">
      <c r="A10847">
        <v>100964274</v>
      </c>
      <c r="B10847" t="s">
        <v>2376</v>
      </c>
      <c r="C10847" t="s">
        <v>24319</v>
      </c>
      <c r="G10847" t="s">
        <v>24320</v>
      </c>
      <c r="H10847" t="s">
        <v>88</v>
      </c>
      <c r="I10847" t="s">
        <v>22</v>
      </c>
      <c r="J10847">
        <v>94602</v>
      </c>
      <c r="K10847">
        <v>1461</v>
      </c>
      <c r="L10847" t="s">
        <v>23</v>
      </c>
      <c r="M10847" t="s">
        <v>24320</v>
      </c>
      <c r="N10847" t="s">
        <v>88</v>
      </c>
      <c r="O10847" t="s">
        <v>22</v>
      </c>
      <c r="P10847">
        <v>94602</v>
      </c>
      <c r="Q10847">
        <v>1461</v>
      </c>
      <c r="R10847" t="s">
        <v>23</v>
      </c>
      <c r="S10847" s="1" t="s">
        <v>34218</v>
      </c>
    </row>
    <row r="10848" spans="1:19" x14ac:dyDescent="0.25">
      <c r="A10848">
        <v>101092998</v>
      </c>
      <c r="B10848" t="s">
        <v>24321</v>
      </c>
      <c r="C10848" t="s">
        <v>1773</v>
      </c>
      <c r="G10848" t="s">
        <v>24322</v>
      </c>
      <c r="H10848" t="s">
        <v>11002</v>
      </c>
      <c r="I10848" t="s">
        <v>43</v>
      </c>
      <c r="J10848">
        <v>97470</v>
      </c>
      <c r="K10848">
        <v>4317</v>
      </c>
      <c r="L10848" t="s">
        <v>23</v>
      </c>
      <c r="M10848" t="s">
        <v>24322</v>
      </c>
      <c r="N10848" t="s">
        <v>11002</v>
      </c>
      <c r="O10848" t="s">
        <v>43</v>
      </c>
      <c r="P10848">
        <v>97470</v>
      </c>
      <c r="Q10848">
        <v>4317</v>
      </c>
      <c r="R10848" t="s">
        <v>23</v>
      </c>
      <c r="S10848" s="1" t="s">
        <v>34218</v>
      </c>
    </row>
    <row r="10849" spans="1:19" x14ac:dyDescent="0.25">
      <c r="A10849">
        <v>101197169</v>
      </c>
      <c r="B10849" t="s">
        <v>24323</v>
      </c>
      <c r="C10849" t="s">
        <v>313</v>
      </c>
      <c r="G10849" t="s">
        <v>24324</v>
      </c>
      <c r="H10849" t="s">
        <v>24309</v>
      </c>
      <c r="I10849" t="s">
        <v>84</v>
      </c>
      <c r="J10849">
        <v>98019</v>
      </c>
      <c r="K10849">
        <v>8592</v>
      </c>
      <c r="L10849" t="s">
        <v>23</v>
      </c>
      <c r="M10849" t="s">
        <v>24324</v>
      </c>
      <c r="N10849" t="s">
        <v>24309</v>
      </c>
      <c r="O10849" t="s">
        <v>84</v>
      </c>
      <c r="P10849">
        <v>98019</v>
      </c>
      <c r="Q10849">
        <v>8592</v>
      </c>
      <c r="R10849" t="s">
        <v>23</v>
      </c>
      <c r="S10849" s="1" t="s">
        <v>34218</v>
      </c>
    </row>
    <row r="10850" spans="1:19" x14ac:dyDescent="0.25">
      <c r="A10850">
        <v>101469719</v>
      </c>
      <c r="B10850" t="s">
        <v>24325</v>
      </c>
      <c r="C10850" t="s">
        <v>2642</v>
      </c>
      <c r="G10850" t="s">
        <v>24326</v>
      </c>
      <c r="H10850" t="s">
        <v>5908</v>
      </c>
      <c r="I10850" t="s">
        <v>52</v>
      </c>
      <c r="J10850">
        <v>32968</v>
      </c>
      <c r="K10850">
        <v>2373</v>
      </c>
      <c r="L10850" t="s">
        <v>23</v>
      </c>
      <c r="M10850" t="s">
        <v>24326</v>
      </c>
      <c r="N10850" t="s">
        <v>5908</v>
      </c>
      <c r="O10850" t="s">
        <v>52</v>
      </c>
      <c r="P10850">
        <v>32968</v>
      </c>
      <c r="Q10850">
        <v>2373</v>
      </c>
      <c r="R10850" t="s">
        <v>23</v>
      </c>
      <c r="S10850" s="1" t="s">
        <v>34218</v>
      </c>
    </row>
    <row r="10851" spans="1:19" x14ac:dyDescent="0.25">
      <c r="A10851">
        <v>101413408</v>
      </c>
      <c r="B10851" t="s">
        <v>3970</v>
      </c>
      <c r="C10851" t="s">
        <v>5893</v>
      </c>
      <c r="G10851" t="s">
        <v>24327</v>
      </c>
      <c r="H10851" t="s">
        <v>169</v>
      </c>
      <c r="I10851" t="s">
        <v>170</v>
      </c>
      <c r="J10851">
        <v>20001</v>
      </c>
      <c r="L10851" t="s">
        <v>23</v>
      </c>
      <c r="M10851" t="s">
        <v>24327</v>
      </c>
      <c r="N10851" t="s">
        <v>169</v>
      </c>
      <c r="O10851" t="s">
        <v>170</v>
      </c>
      <c r="P10851">
        <v>20001</v>
      </c>
      <c r="R10851" t="s">
        <v>23</v>
      </c>
      <c r="S10851" s="1" t="s">
        <v>34218</v>
      </c>
    </row>
    <row r="10852" spans="1:19" x14ac:dyDescent="0.25">
      <c r="A10852">
        <v>101454731</v>
      </c>
      <c r="B10852" t="s">
        <v>21540</v>
      </c>
      <c r="C10852" t="s">
        <v>575</v>
      </c>
      <c r="G10852" t="s">
        <v>24328</v>
      </c>
      <c r="H10852" t="s">
        <v>24329</v>
      </c>
      <c r="I10852" t="s">
        <v>22</v>
      </c>
      <c r="J10852">
        <v>90638</v>
      </c>
      <c r="K10852">
        <v>3517</v>
      </c>
      <c r="L10852" t="s">
        <v>23</v>
      </c>
      <c r="M10852" t="s">
        <v>24328</v>
      </c>
      <c r="N10852" t="s">
        <v>24329</v>
      </c>
      <c r="O10852" t="s">
        <v>22</v>
      </c>
      <c r="P10852">
        <v>90638</v>
      </c>
      <c r="Q10852">
        <v>3517</v>
      </c>
      <c r="R10852" t="s">
        <v>23</v>
      </c>
      <c r="S10852" s="1" t="s">
        <v>34218</v>
      </c>
    </row>
    <row r="10853" spans="1:19" x14ac:dyDescent="0.25">
      <c r="A10853">
        <v>101466134</v>
      </c>
      <c r="B10853" t="s">
        <v>12281</v>
      </c>
      <c r="C10853" t="s">
        <v>155</v>
      </c>
      <c r="G10853" t="s">
        <v>24330</v>
      </c>
      <c r="H10853" t="s">
        <v>1402</v>
      </c>
      <c r="I10853" t="s">
        <v>38</v>
      </c>
      <c r="J10853">
        <v>77072</v>
      </c>
      <c r="K10853">
        <v>2128</v>
      </c>
      <c r="L10853" t="s">
        <v>23</v>
      </c>
      <c r="M10853" t="s">
        <v>24330</v>
      </c>
      <c r="N10853" t="s">
        <v>1402</v>
      </c>
      <c r="O10853" t="s">
        <v>38</v>
      </c>
      <c r="P10853">
        <v>77072</v>
      </c>
      <c r="Q10853">
        <v>2128</v>
      </c>
      <c r="R10853" t="s">
        <v>23</v>
      </c>
      <c r="S10853" s="1" t="s">
        <v>34218</v>
      </c>
    </row>
    <row r="10854" spans="1:19" x14ac:dyDescent="0.25">
      <c r="A10854">
        <v>101450177</v>
      </c>
      <c r="B10854" t="s">
        <v>24331</v>
      </c>
      <c r="C10854" t="s">
        <v>1153</v>
      </c>
      <c r="G10854" t="s">
        <v>24332</v>
      </c>
      <c r="H10854" t="s">
        <v>17956</v>
      </c>
      <c r="I10854" t="s">
        <v>117</v>
      </c>
      <c r="J10854">
        <v>11731</v>
      </c>
      <c r="K10854">
        <v>2311</v>
      </c>
      <c r="L10854" t="s">
        <v>23</v>
      </c>
      <c r="M10854" t="s">
        <v>24332</v>
      </c>
      <c r="N10854" t="s">
        <v>17956</v>
      </c>
      <c r="O10854" t="s">
        <v>117</v>
      </c>
      <c r="P10854">
        <v>11731</v>
      </c>
      <c r="Q10854">
        <v>2311</v>
      </c>
      <c r="R10854" t="s">
        <v>23</v>
      </c>
      <c r="S10854" s="1" t="s">
        <v>34218</v>
      </c>
    </row>
    <row r="10855" spans="1:19" x14ac:dyDescent="0.25">
      <c r="A10855">
        <v>100548055</v>
      </c>
      <c r="B10855" t="s">
        <v>24333</v>
      </c>
      <c r="C10855" t="s">
        <v>2084</v>
      </c>
      <c r="F10855" t="str">
        <f>"3862637871"</f>
        <v>3862637871</v>
      </c>
      <c r="G10855" t="s">
        <v>24334</v>
      </c>
      <c r="H10855" t="s">
        <v>10240</v>
      </c>
      <c r="I10855" t="s">
        <v>52</v>
      </c>
      <c r="J10855">
        <v>32136</v>
      </c>
      <c r="L10855" t="s">
        <v>23</v>
      </c>
      <c r="M10855" t="s">
        <v>24334</v>
      </c>
      <c r="N10855" t="s">
        <v>10240</v>
      </c>
      <c r="O10855" t="s">
        <v>52</v>
      </c>
      <c r="P10855">
        <v>32136</v>
      </c>
      <c r="R10855" t="s">
        <v>23</v>
      </c>
      <c r="S10855" s="1" t="s">
        <v>34218</v>
      </c>
    </row>
    <row r="10856" spans="1:19" x14ac:dyDescent="0.25">
      <c r="A10856">
        <v>101465293</v>
      </c>
      <c r="B10856" t="s">
        <v>24335</v>
      </c>
      <c r="C10856" t="s">
        <v>77</v>
      </c>
      <c r="G10856" t="s">
        <v>24336</v>
      </c>
      <c r="H10856" t="s">
        <v>2141</v>
      </c>
      <c r="I10856" t="s">
        <v>1000</v>
      </c>
      <c r="J10856">
        <v>59715</v>
      </c>
      <c r="K10856">
        <v>9264</v>
      </c>
      <c r="L10856" t="s">
        <v>23</v>
      </c>
      <c r="M10856" t="s">
        <v>24336</v>
      </c>
      <c r="N10856" t="s">
        <v>2141</v>
      </c>
      <c r="O10856" t="s">
        <v>1000</v>
      </c>
      <c r="P10856">
        <v>59715</v>
      </c>
      <c r="Q10856">
        <v>9264</v>
      </c>
      <c r="R10856" t="s">
        <v>23</v>
      </c>
      <c r="S10856" s="1" t="s">
        <v>34218</v>
      </c>
    </row>
    <row r="10857" spans="1:19" x14ac:dyDescent="0.25">
      <c r="A10857">
        <v>101069465</v>
      </c>
      <c r="B10857" t="s">
        <v>24337</v>
      </c>
      <c r="C10857" t="s">
        <v>5714</v>
      </c>
      <c r="G10857" t="s">
        <v>24338</v>
      </c>
      <c r="H10857" t="s">
        <v>24339</v>
      </c>
      <c r="I10857" t="s">
        <v>250</v>
      </c>
      <c r="J10857">
        <v>8406</v>
      </c>
      <c r="K10857">
        <v>3023</v>
      </c>
      <c r="L10857" t="s">
        <v>23</v>
      </c>
      <c r="M10857" t="s">
        <v>24338</v>
      </c>
      <c r="N10857" t="s">
        <v>24339</v>
      </c>
      <c r="O10857" t="s">
        <v>250</v>
      </c>
      <c r="P10857">
        <v>8406</v>
      </c>
      <c r="Q10857">
        <v>3023</v>
      </c>
      <c r="R10857" t="s">
        <v>23</v>
      </c>
      <c r="S10857" s="1" t="s">
        <v>34218</v>
      </c>
    </row>
    <row r="10858" spans="1:19" x14ac:dyDescent="0.25">
      <c r="A10858">
        <v>101448641</v>
      </c>
      <c r="B10858" t="s">
        <v>24340</v>
      </c>
      <c r="C10858" t="s">
        <v>119</v>
      </c>
      <c r="G10858" t="s">
        <v>24341</v>
      </c>
      <c r="H10858" t="s">
        <v>1985</v>
      </c>
      <c r="I10858" t="s">
        <v>71</v>
      </c>
      <c r="J10858">
        <v>80911</v>
      </c>
      <c r="K10858">
        <v>2535</v>
      </c>
      <c r="L10858" t="s">
        <v>23</v>
      </c>
      <c r="M10858" t="s">
        <v>24341</v>
      </c>
      <c r="N10858" t="s">
        <v>1985</v>
      </c>
      <c r="O10858" t="s">
        <v>71</v>
      </c>
      <c r="P10858">
        <v>80911</v>
      </c>
      <c r="Q10858">
        <v>2535</v>
      </c>
      <c r="R10858" t="s">
        <v>23</v>
      </c>
      <c r="S10858" s="1" t="s">
        <v>34218</v>
      </c>
    </row>
    <row r="10859" spans="1:19" x14ac:dyDescent="0.25">
      <c r="A10859">
        <v>101322013</v>
      </c>
      <c r="B10859" t="s">
        <v>24342</v>
      </c>
      <c r="C10859" t="s">
        <v>274</v>
      </c>
      <c r="G10859" t="s">
        <v>24343</v>
      </c>
      <c r="H10859" t="s">
        <v>591</v>
      </c>
      <c r="I10859" t="s">
        <v>84</v>
      </c>
      <c r="J10859">
        <v>98226</v>
      </c>
      <c r="K10859">
        <v>3613</v>
      </c>
      <c r="L10859" t="s">
        <v>23</v>
      </c>
      <c r="M10859" t="s">
        <v>24343</v>
      </c>
      <c r="N10859" t="s">
        <v>591</v>
      </c>
      <c r="O10859" t="s">
        <v>84</v>
      </c>
      <c r="P10859">
        <v>98226</v>
      </c>
      <c r="Q10859">
        <v>3613</v>
      </c>
      <c r="R10859" t="s">
        <v>23</v>
      </c>
      <c r="S10859" s="1" t="s">
        <v>34218</v>
      </c>
    </row>
    <row r="10860" spans="1:19" x14ac:dyDescent="0.25">
      <c r="A10860">
        <v>101448547</v>
      </c>
      <c r="B10860" t="s">
        <v>90</v>
      </c>
      <c r="C10860" t="s">
        <v>547</v>
      </c>
      <c r="G10860" t="s">
        <v>24344</v>
      </c>
      <c r="H10860" t="s">
        <v>10619</v>
      </c>
      <c r="I10860" t="s">
        <v>84</v>
      </c>
      <c r="J10860">
        <v>98155</v>
      </c>
      <c r="K10860">
        <v>6347</v>
      </c>
      <c r="L10860" t="s">
        <v>23</v>
      </c>
      <c r="M10860" t="s">
        <v>24344</v>
      </c>
      <c r="N10860" t="s">
        <v>10619</v>
      </c>
      <c r="O10860" t="s">
        <v>84</v>
      </c>
      <c r="P10860">
        <v>98155</v>
      </c>
      <c r="Q10860">
        <v>6347</v>
      </c>
      <c r="R10860" t="s">
        <v>23</v>
      </c>
      <c r="S10860" s="1" t="s">
        <v>34218</v>
      </c>
    </row>
    <row r="10861" spans="1:19" x14ac:dyDescent="0.25">
      <c r="A10861">
        <v>101449910</v>
      </c>
      <c r="B10861" t="s">
        <v>24345</v>
      </c>
      <c r="C10861" t="s">
        <v>24346</v>
      </c>
      <c r="G10861" t="s">
        <v>24347</v>
      </c>
      <c r="H10861" t="s">
        <v>758</v>
      </c>
      <c r="I10861" t="s">
        <v>148</v>
      </c>
      <c r="J10861">
        <v>20910</v>
      </c>
      <c r="K10861">
        <v>5534</v>
      </c>
      <c r="L10861" t="s">
        <v>23</v>
      </c>
      <c r="M10861" t="s">
        <v>24347</v>
      </c>
      <c r="N10861" t="s">
        <v>758</v>
      </c>
      <c r="O10861" t="s">
        <v>148</v>
      </c>
      <c r="P10861">
        <v>20910</v>
      </c>
      <c r="Q10861">
        <v>5534</v>
      </c>
      <c r="R10861" t="s">
        <v>23</v>
      </c>
      <c r="S10861" s="1" t="s">
        <v>34218</v>
      </c>
    </row>
    <row r="10862" spans="1:19" x14ac:dyDescent="0.25">
      <c r="A10862">
        <v>101065518</v>
      </c>
      <c r="B10862" t="s">
        <v>24348</v>
      </c>
      <c r="C10862" t="s">
        <v>24349</v>
      </c>
      <c r="G10862" t="s">
        <v>24350</v>
      </c>
      <c r="H10862" t="s">
        <v>24351</v>
      </c>
      <c r="I10862" t="s">
        <v>178</v>
      </c>
      <c r="J10862">
        <v>0</v>
      </c>
      <c r="L10862" t="s">
        <v>23</v>
      </c>
      <c r="M10862" t="s">
        <v>24350</v>
      </c>
      <c r="N10862" t="s">
        <v>24351</v>
      </c>
      <c r="O10862" t="s">
        <v>178</v>
      </c>
      <c r="P10862">
        <v>0</v>
      </c>
      <c r="R10862" t="s">
        <v>23</v>
      </c>
      <c r="S10862" s="1" t="s">
        <v>34218</v>
      </c>
    </row>
    <row r="10863" spans="1:19" x14ac:dyDescent="0.25">
      <c r="A10863">
        <v>101253353</v>
      </c>
      <c r="B10863" t="s">
        <v>24352</v>
      </c>
      <c r="C10863" t="s">
        <v>24353</v>
      </c>
      <c r="G10863" t="s">
        <v>24354</v>
      </c>
      <c r="H10863" t="s">
        <v>9651</v>
      </c>
      <c r="I10863" t="s">
        <v>52</v>
      </c>
      <c r="J10863">
        <v>33139</v>
      </c>
      <c r="K10863">
        <v>4568</v>
      </c>
      <c r="L10863" t="s">
        <v>23</v>
      </c>
      <c r="M10863" t="s">
        <v>24354</v>
      </c>
      <c r="N10863" t="s">
        <v>9651</v>
      </c>
      <c r="O10863" t="s">
        <v>52</v>
      </c>
      <c r="P10863">
        <v>33139</v>
      </c>
      <c r="Q10863">
        <v>4568</v>
      </c>
      <c r="R10863" t="s">
        <v>23</v>
      </c>
      <c r="S10863" s="1" t="s">
        <v>34218</v>
      </c>
    </row>
    <row r="10864" spans="1:19" x14ac:dyDescent="0.25">
      <c r="A10864">
        <v>101159575</v>
      </c>
      <c r="B10864" t="s">
        <v>24355</v>
      </c>
      <c r="C10864" t="s">
        <v>24356</v>
      </c>
      <c r="G10864" t="s">
        <v>24357</v>
      </c>
      <c r="H10864" t="s">
        <v>3794</v>
      </c>
      <c r="I10864" t="s">
        <v>1387</v>
      </c>
      <c r="J10864">
        <v>35619</v>
      </c>
      <c r="L10864" t="s">
        <v>23</v>
      </c>
      <c r="M10864" t="s">
        <v>24357</v>
      </c>
      <c r="N10864" t="s">
        <v>3794</v>
      </c>
      <c r="O10864" t="s">
        <v>1387</v>
      </c>
      <c r="P10864">
        <v>35619</v>
      </c>
      <c r="R10864" t="s">
        <v>23</v>
      </c>
      <c r="S10864" s="1" t="s">
        <v>34218</v>
      </c>
    </row>
    <row r="10865" spans="1:19" x14ac:dyDescent="0.25">
      <c r="A10865">
        <v>101328464</v>
      </c>
      <c r="B10865" t="s">
        <v>24358</v>
      </c>
      <c r="C10865" t="s">
        <v>1679</v>
      </c>
      <c r="G10865" t="s">
        <v>24359</v>
      </c>
      <c r="H10865" t="s">
        <v>1293</v>
      </c>
      <c r="I10865" t="s">
        <v>22</v>
      </c>
      <c r="J10865">
        <v>95062</v>
      </c>
      <c r="K10865">
        <v>5014</v>
      </c>
      <c r="L10865" t="s">
        <v>23</v>
      </c>
      <c r="M10865" t="s">
        <v>24359</v>
      </c>
      <c r="N10865" t="s">
        <v>1293</v>
      </c>
      <c r="O10865" t="s">
        <v>22</v>
      </c>
      <c r="P10865">
        <v>95062</v>
      </c>
      <c r="Q10865">
        <v>5014</v>
      </c>
      <c r="R10865" t="s">
        <v>23</v>
      </c>
      <c r="S10865" s="1" t="s">
        <v>34218</v>
      </c>
    </row>
    <row r="10866" spans="1:19" x14ac:dyDescent="0.25">
      <c r="A10866">
        <v>101338498</v>
      </c>
      <c r="B10866" t="s">
        <v>7471</v>
      </c>
      <c r="C10866" t="s">
        <v>535</v>
      </c>
      <c r="G10866" t="s">
        <v>24360</v>
      </c>
      <c r="H10866" t="s">
        <v>11550</v>
      </c>
      <c r="I10866" t="s">
        <v>52</v>
      </c>
      <c r="J10866">
        <v>33458</v>
      </c>
      <c r="K10866">
        <v>3886</v>
      </c>
      <c r="L10866" t="s">
        <v>23</v>
      </c>
      <c r="M10866" t="s">
        <v>24360</v>
      </c>
      <c r="N10866" t="s">
        <v>11550</v>
      </c>
      <c r="O10866" t="s">
        <v>52</v>
      </c>
      <c r="P10866">
        <v>33458</v>
      </c>
      <c r="Q10866">
        <v>3886</v>
      </c>
      <c r="R10866" t="s">
        <v>23</v>
      </c>
      <c r="S10866" s="1" t="s">
        <v>34218</v>
      </c>
    </row>
    <row r="10867" spans="1:19" x14ac:dyDescent="0.25">
      <c r="A10867">
        <v>101334441</v>
      </c>
      <c r="B10867" t="s">
        <v>24361</v>
      </c>
      <c r="C10867" t="s">
        <v>208</v>
      </c>
      <c r="G10867" t="s">
        <v>24362</v>
      </c>
      <c r="H10867" t="s">
        <v>24363</v>
      </c>
      <c r="I10867" t="s">
        <v>33</v>
      </c>
      <c r="J10867">
        <v>15001</v>
      </c>
      <c r="K10867">
        <v>5029</v>
      </c>
      <c r="L10867" t="s">
        <v>23</v>
      </c>
      <c r="M10867" t="s">
        <v>24362</v>
      </c>
      <c r="N10867" t="s">
        <v>24363</v>
      </c>
      <c r="O10867" t="s">
        <v>33</v>
      </c>
      <c r="P10867">
        <v>15001</v>
      </c>
      <c r="Q10867">
        <v>5029</v>
      </c>
      <c r="R10867" t="s">
        <v>23</v>
      </c>
      <c r="S10867" s="1" t="s">
        <v>34218</v>
      </c>
    </row>
    <row r="10868" spans="1:19" x14ac:dyDescent="0.25">
      <c r="A10868">
        <v>101423616</v>
      </c>
      <c r="B10868" t="s">
        <v>8540</v>
      </c>
      <c r="C10868" t="s">
        <v>2127</v>
      </c>
      <c r="G10868" t="s">
        <v>24364</v>
      </c>
      <c r="H10868" t="s">
        <v>6136</v>
      </c>
      <c r="I10868" t="s">
        <v>22</v>
      </c>
      <c r="J10868">
        <v>92627</v>
      </c>
      <c r="K10868">
        <v>3160</v>
      </c>
      <c r="L10868" t="s">
        <v>23</v>
      </c>
      <c r="M10868" t="s">
        <v>24364</v>
      </c>
      <c r="N10868" t="s">
        <v>6136</v>
      </c>
      <c r="O10868" t="s">
        <v>22</v>
      </c>
      <c r="P10868">
        <v>92627</v>
      </c>
      <c r="Q10868">
        <v>3160</v>
      </c>
      <c r="R10868" t="s">
        <v>23</v>
      </c>
      <c r="S10868" s="1" t="s">
        <v>34218</v>
      </c>
    </row>
    <row r="10869" spans="1:19" x14ac:dyDescent="0.25">
      <c r="A10869">
        <v>101112832</v>
      </c>
      <c r="B10869" t="s">
        <v>4691</v>
      </c>
      <c r="C10869" t="s">
        <v>10186</v>
      </c>
      <c r="G10869" t="s">
        <v>24365</v>
      </c>
      <c r="H10869" t="s">
        <v>24366</v>
      </c>
      <c r="I10869" t="s">
        <v>84</v>
      </c>
      <c r="J10869">
        <v>98047</v>
      </c>
      <c r="K10869">
        <v>1222</v>
      </c>
      <c r="L10869" t="s">
        <v>23</v>
      </c>
      <c r="M10869" t="s">
        <v>24365</v>
      </c>
      <c r="N10869" t="s">
        <v>24366</v>
      </c>
      <c r="O10869" t="s">
        <v>84</v>
      </c>
      <c r="P10869">
        <v>98047</v>
      </c>
      <c r="Q10869">
        <v>1222</v>
      </c>
      <c r="R10869" t="s">
        <v>23</v>
      </c>
      <c r="S10869" s="1" t="s">
        <v>34218</v>
      </c>
    </row>
    <row r="10870" spans="1:19" x14ac:dyDescent="0.25">
      <c r="A10870">
        <v>101480396</v>
      </c>
      <c r="B10870" t="s">
        <v>9786</v>
      </c>
      <c r="C10870" t="s">
        <v>367</v>
      </c>
      <c r="G10870" t="s">
        <v>24367</v>
      </c>
      <c r="H10870" t="s">
        <v>5070</v>
      </c>
      <c r="I10870" t="s">
        <v>84</v>
      </c>
      <c r="J10870">
        <v>98661</v>
      </c>
      <c r="K10870">
        <v>3513</v>
      </c>
      <c r="L10870" t="s">
        <v>23</v>
      </c>
      <c r="M10870" t="s">
        <v>24367</v>
      </c>
      <c r="N10870" t="s">
        <v>5070</v>
      </c>
      <c r="O10870" t="s">
        <v>84</v>
      </c>
      <c r="P10870">
        <v>98661</v>
      </c>
      <c r="Q10870">
        <v>3513</v>
      </c>
      <c r="R10870" t="s">
        <v>23</v>
      </c>
      <c r="S10870" s="1" t="s">
        <v>34218</v>
      </c>
    </row>
    <row r="10871" spans="1:19" x14ac:dyDescent="0.25">
      <c r="A10871">
        <v>101298928</v>
      </c>
      <c r="B10871" t="s">
        <v>5137</v>
      </c>
      <c r="C10871" t="s">
        <v>24368</v>
      </c>
      <c r="G10871" t="s">
        <v>24369</v>
      </c>
      <c r="H10871" t="s">
        <v>299</v>
      </c>
      <c r="I10871" t="s">
        <v>22</v>
      </c>
      <c r="J10871">
        <v>90066</v>
      </c>
      <c r="K10871">
        <v>3896</v>
      </c>
      <c r="L10871" t="s">
        <v>23</v>
      </c>
      <c r="M10871" t="s">
        <v>24369</v>
      </c>
      <c r="N10871" t="s">
        <v>299</v>
      </c>
      <c r="O10871" t="s">
        <v>22</v>
      </c>
      <c r="P10871">
        <v>90066</v>
      </c>
      <c r="Q10871">
        <v>3896</v>
      </c>
      <c r="R10871" t="s">
        <v>23</v>
      </c>
      <c r="S10871" s="1" t="s">
        <v>34218</v>
      </c>
    </row>
    <row r="10872" spans="1:19" x14ac:dyDescent="0.25">
      <c r="A10872">
        <v>101480436</v>
      </c>
      <c r="B10872" t="s">
        <v>24370</v>
      </c>
      <c r="C10872" t="s">
        <v>282</v>
      </c>
      <c r="G10872" t="s">
        <v>24371</v>
      </c>
      <c r="H10872" t="s">
        <v>569</v>
      </c>
      <c r="I10872" t="s">
        <v>187</v>
      </c>
      <c r="J10872">
        <v>55406</v>
      </c>
      <c r="K10872">
        <v>1808</v>
      </c>
      <c r="L10872" t="s">
        <v>23</v>
      </c>
      <c r="M10872" t="s">
        <v>24371</v>
      </c>
      <c r="N10872" t="s">
        <v>569</v>
      </c>
      <c r="O10872" t="s">
        <v>187</v>
      </c>
      <c r="P10872">
        <v>55406</v>
      </c>
      <c r="Q10872">
        <v>1808</v>
      </c>
      <c r="R10872" t="s">
        <v>23</v>
      </c>
      <c r="S10872" s="1" t="s">
        <v>34218</v>
      </c>
    </row>
    <row r="10873" spans="1:19" x14ac:dyDescent="0.25">
      <c r="A10873">
        <v>101480454</v>
      </c>
      <c r="B10873" t="s">
        <v>4586</v>
      </c>
      <c r="C10873" t="s">
        <v>1327</v>
      </c>
      <c r="G10873" t="s">
        <v>24372</v>
      </c>
      <c r="H10873" t="s">
        <v>15950</v>
      </c>
      <c r="I10873" t="s">
        <v>43</v>
      </c>
      <c r="J10873">
        <v>97479</v>
      </c>
      <c r="K10873">
        <v>7406</v>
      </c>
      <c r="L10873" t="s">
        <v>23</v>
      </c>
      <c r="M10873" t="s">
        <v>24372</v>
      </c>
      <c r="N10873" t="s">
        <v>15950</v>
      </c>
      <c r="O10873" t="s">
        <v>43</v>
      </c>
      <c r="P10873">
        <v>97479</v>
      </c>
      <c r="Q10873">
        <v>7406</v>
      </c>
      <c r="R10873" t="s">
        <v>23</v>
      </c>
      <c r="S10873" s="1" t="s">
        <v>34218</v>
      </c>
    </row>
    <row r="10874" spans="1:19" x14ac:dyDescent="0.25">
      <c r="A10874">
        <v>101450358</v>
      </c>
      <c r="B10874" t="s">
        <v>24373</v>
      </c>
      <c r="C10874" t="s">
        <v>90</v>
      </c>
      <c r="G10874" t="s">
        <v>24374</v>
      </c>
      <c r="H10874" t="s">
        <v>24375</v>
      </c>
      <c r="I10874" t="s">
        <v>148</v>
      </c>
      <c r="J10874">
        <v>21136</v>
      </c>
      <c r="K10874">
        <v>1716</v>
      </c>
      <c r="L10874" t="s">
        <v>23</v>
      </c>
      <c r="M10874" t="s">
        <v>24374</v>
      </c>
      <c r="N10874" t="s">
        <v>24375</v>
      </c>
      <c r="O10874" t="s">
        <v>148</v>
      </c>
      <c r="P10874">
        <v>21136</v>
      </c>
      <c r="Q10874">
        <v>1716</v>
      </c>
      <c r="R10874" t="s">
        <v>23</v>
      </c>
      <c r="S10874" s="1" t="s">
        <v>34218</v>
      </c>
    </row>
    <row r="10875" spans="1:19" x14ac:dyDescent="0.25">
      <c r="A10875">
        <v>101465612</v>
      </c>
      <c r="B10875" t="s">
        <v>8129</v>
      </c>
      <c r="C10875" t="s">
        <v>4512</v>
      </c>
      <c r="G10875" t="s">
        <v>24376</v>
      </c>
      <c r="H10875" t="s">
        <v>24377</v>
      </c>
      <c r="I10875" t="s">
        <v>140</v>
      </c>
      <c r="J10875">
        <v>48236</v>
      </c>
      <c r="K10875">
        <v>2906</v>
      </c>
      <c r="L10875" t="s">
        <v>23</v>
      </c>
      <c r="M10875" t="s">
        <v>24376</v>
      </c>
      <c r="N10875" t="s">
        <v>24377</v>
      </c>
      <c r="O10875" t="s">
        <v>140</v>
      </c>
      <c r="P10875">
        <v>48236</v>
      </c>
      <c r="Q10875">
        <v>2906</v>
      </c>
      <c r="R10875" t="s">
        <v>23</v>
      </c>
      <c r="S10875" s="1" t="s">
        <v>34218</v>
      </c>
    </row>
    <row r="10876" spans="1:19" x14ac:dyDescent="0.25">
      <c r="A10876">
        <v>101480471</v>
      </c>
      <c r="B10876" t="s">
        <v>24378</v>
      </c>
      <c r="C10876" t="s">
        <v>4046</v>
      </c>
      <c r="G10876" t="s">
        <v>24379</v>
      </c>
      <c r="H10876" t="s">
        <v>573</v>
      </c>
      <c r="I10876" t="s">
        <v>33</v>
      </c>
      <c r="J10876">
        <v>19106</v>
      </c>
      <c r="K10876">
        <v>2222</v>
      </c>
      <c r="L10876" t="s">
        <v>23</v>
      </c>
      <c r="M10876" t="s">
        <v>24379</v>
      </c>
      <c r="N10876" t="s">
        <v>573</v>
      </c>
      <c r="O10876" t="s">
        <v>33</v>
      </c>
      <c r="P10876">
        <v>19106</v>
      </c>
      <c r="Q10876">
        <v>2222</v>
      </c>
      <c r="R10876" t="s">
        <v>23</v>
      </c>
      <c r="S10876" s="1" t="s">
        <v>34218</v>
      </c>
    </row>
    <row r="10877" spans="1:19" x14ac:dyDescent="0.25">
      <c r="A10877">
        <v>101214533</v>
      </c>
      <c r="B10877" t="s">
        <v>18976</v>
      </c>
      <c r="C10877" t="s">
        <v>668</v>
      </c>
      <c r="G10877" t="s">
        <v>24380</v>
      </c>
      <c r="H10877" t="s">
        <v>3169</v>
      </c>
      <c r="I10877" t="s">
        <v>84</v>
      </c>
      <c r="J10877">
        <v>98409</v>
      </c>
      <c r="K10877">
        <v>3229</v>
      </c>
      <c r="L10877" t="s">
        <v>23</v>
      </c>
      <c r="M10877" t="s">
        <v>24380</v>
      </c>
      <c r="N10877" t="s">
        <v>3169</v>
      </c>
      <c r="O10877" t="s">
        <v>84</v>
      </c>
      <c r="P10877">
        <v>98409</v>
      </c>
      <c r="Q10877">
        <v>3229</v>
      </c>
      <c r="R10877" t="s">
        <v>23</v>
      </c>
      <c r="S10877" s="1" t="s">
        <v>34218</v>
      </c>
    </row>
    <row r="10878" spans="1:19" x14ac:dyDescent="0.25">
      <c r="A10878">
        <v>100738181</v>
      </c>
      <c r="B10878" t="s">
        <v>24381</v>
      </c>
      <c r="C10878" t="s">
        <v>30</v>
      </c>
      <c r="G10878" t="s">
        <v>24382</v>
      </c>
      <c r="H10878" t="s">
        <v>177</v>
      </c>
      <c r="I10878" t="s">
        <v>43</v>
      </c>
      <c r="J10878">
        <v>97520</v>
      </c>
      <c r="K10878">
        <v>8602</v>
      </c>
      <c r="L10878" t="s">
        <v>23</v>
      </c>
      <c r="M10878" t="s">
        <v>24382</v>
      </c>
      <c r="N10878" t="s">
        <v>177</v>
      </c>
      <c r="O10878" t="s">
        <v>43</v>
      </c>
      <c r="P10878">
        <v>97520</v>
      </c>
      <c r="Q10878">
        <v>8602</v>
      </c>
      <c r="R10878" t="s">
        <v>23</v>
      </c>
      <c r="S10878" s="1" t="s">
        <v>34218</v>
      </c>
    </row>
    <row r="10879" spans="1:19" x14ac:dyDescent="0.25">
      <c r="A10879">
        <v>100882909</v>
      </c>
      <c r="B10879" t="s">
        <v>24383</v>
      </c>
      <c r="C10879" t="s">
        <v>522</v>
      </c>
      <c r="G10879" t="s">
        <v>24384</v>
      </c>
      <c r="H10879" t="s">
        <v>24385</v>
      </c>
      <c r="I10879" t="s">
        <v>914</v>
      </c>
      <c r="J10879">
        <v>38016</v>
      </c>
      <c r="K10879">
        <v>8669</v>
      </c>
      <c r="L10879" t="s">
        <v>23</v>
      </c>
      <c r="M10879" t="s">
        <v>24384</v>
      </c>
      <c r="N10879" t="s">
        <v>24385</v>
      </c>
      <c r="O10879" t="s">
        <v>914</v>
      </c>
      <c r="P10879">
        <v>38016</v>
      </c>
      <c r="Q10879">
        <v>8669</v>
      </c>
      <c r="R10879" t="s">
        <v>23</v>
      </c>
      <c r="S10879" s="1" t="s">
        <v>34218</v>
      </c>
    </row>
    <row r="10880" spans="1:19" x14ac:dyDescent="0.25">
      <c r="A10880">
        <v>101466458</v>
      </c>
      <c r="B10880" t="s">
        <v>24386</v>
      </c>
      <c r="C10880" t="s">
        <v>4103</v>
      </c>
      <c r="G10880" t="s">
        <v>24387</v>
      </c>
      <c r="H10880" t="s">
        <v>2749</v>
      </c>
      <c r="I10880" t="s">
        <v>191</v>
      </c>
      <c r="J10880">
        <v>4011</v>
      </c>
      <c r="K10880">
        <v>2955</v>
      </c>
      <c r="L10880" t="s">
        <v>23</v>
      </c>
      <c r="M10880" t="s">
        <v>24387</v>
      </c>
      <c r="N10880" t="s">
        <v>2749</v>
      </c>
      <c r="O10880" t="s">
        <v>191</v>
      </c>
      <c r="P10880">
        <v>4011</v>
      </c>
      <c r="Q10880">
        <v>2955</v>
      </c>
      <c r="R10880" t="s">
        <v>23</v>
      </c>
      <c r="S10880" s="1" t="s">
        <v>34218</v>
      </c>
    </row>
    <row r="10881" spans="1:19" x14ac:dyDescent="0.25">
      <c r="A10881">
        <v>100752494</v>
      </c>
      <c r="B10881" t="s">
        <v>24388</v>
      </c>
      <c r="C10881" t="s">
        <v>5196</v>
      </c>
      <c r="G10881" t="s">
        <v>24389</v>
      </c>
      <c r="H10881" t="s">
        <v>2313</v>
      </c>
      <c r="I10881" t="s">
        <v>639</v>
      </c>
      <c r="J10881">
        <v>87124</v>
      </c>
      <c r="K10881">
        <v>1063</v>
      </c>
      <c r="L10881" t="s">
        <v>23</v>
      </c>
      <c r="M10881" t="s">
        <v>24389</v>
      </c>
      <c r="N10881" t="s">
        <v>2313</v>
      </c>
      <c r="O10881" t="s">
        <v>639</v>
      </c>
      <c r="P10881">
        <v>87124</v>
      </c>
      <c r="Q10881">
        <v>1063</v>
      </c>
      <c r="R10881" t="s">
        <v>23</v>
      </c>
      <c r="S10881" s="1" t="s">
        <v>34218</v>
      </c>
    </row>
    <row r="10882" spans="1:19" x14ac:dyDescent="0.25">
      <c r="A10882">
        <v>101450599</v>
      </c>
      <c r="B10882" t="s">
        <v>24390</v>
      </c>
      <c r="C10882" t="s">
        <v>390</v>
      </c>
      <c r="G10882" t="s">
        <v>24391</v>
      </c>
      <c r="H10882" t="s">
        <v>20659</v>
      </c>
      <c r="I10882" t="s">
        <v>4652</v>
      </c>
      <c r="J10882">
        <v>57104</v>
      </c>
      <c r="K10882">
        <v>7048</v>
      </c>
      <c r="L10882" t="s">
        <v>23</v>
      </c>
      <c r="M10882" t="s">
        <v>24391</v>
      </c>
      <c r="N10882" t="s">
        <v>20659</v>
      </c>
      <c r="O10882" t="s">
        <v>4652</v>
      </c>
      <c r="P10882">
        <v>57104</v>
      </c>
      <c r="Q10882">
        <v>7048</v>
      </c>
      <c r="R10882" t="s">
        <v>23</v>
      </c>
      <c r="S10882" s="1" t="s">
        <v>34218</v>
      </c>
    </row>
    <row r="10883" spans="1:19" x14ac:dyDescent="0.25">
      <c r="A10883">
        <v>101457290</v>
      </c>
      <c r="B10883" t="s">
        <v>2357</v>
      </c>
      <c r="C10883" t="s">
        <v>24392</v>
      </c>
      <c r="G10883" t="s">
        <v>24393</v>
      </c>
      <c r="H10883" t="s">
        <v>186</v>
      </c>
      <c r="I10883" t="s">
        <v>187</v>
      </c>
      <c r="J10883">
        <v>55305</v>
      </c>
      <c r="K10883">
        <v>5403</v>
      </c>
      <c r="L10883" t="s">
        <v>23</v>
      </c>
      <c r="M10883" t="s">
        <v>24393</v>
      </c>
      <c r="N10883" t="s">
        <v>186</v>
      </c>
      <c r="O10883" t="s">
        <v>187</v>
      </c>
      <c r="P10883">
        <v>55305</v>
      </c>
      <c r="Q10883">
        <v>5403</v>
      </c>
      <c r="R10883" t="s">
        <v>23</v>
      </c>
      <c r="S10883" s="1" t="s">
        <v>34218</v>
      </c>
    </row>
    <row r="10884" spans="1:19" x14ac:dyDescent="0.25">
      <c r="A10884">
        <v>101451737</v>
      </c>
      <c r="B10884" t="s">
        <v>24394</v>
      </c>
      <c r="C10884" t="s">
        <v>865</v>
      </c>
      <c r="G10884" t="s">
        <v>24395</v>
      </c>
      <c r="H10884" t="s">
        <v>6400</v>
      </c>
      <c r="I10884" t="s">
        <v>250</v>
      </c>
      <c r="J10884">
        <v>8312</v>
      </c>
      <c r="K10884">
        <v>2405</v>
      </c>
      <c r="L10884" t="s">
        <v>23</v>
      </c>
      <c r="M10884" t="s">
        <v>24395</v>
      </c>
      <c r="N10884" t="s">
        <v>6400</v>
      </c>
      <c r="O10884" t="s">
        <v>250</v>
      </c>
      <c r="P10884">
        <v>8312</v>
      </c>
      <c r="Q10884">
        <v>2405</v>
      </c>
      <c r="R10884" t="s">
        <v>23</v>
      </c>
      <c r="S10884" s="1" t="s">
        <v>34218</v>
      </c>
    </row>
    <row r="10885" spans="1:19" x14ac:dyDescent="0.25">
      <c r="A10885">
        <v>101293896</v>
      </c>
      <c r="B10885" t="s">
        <v>24396</v>
      </c>
      <c r="C10885" t="s">
        <v>16384</v>
      </c>
      <c r="G10885" t="s">
        <v>24397</v>
      </c>
      <c r="H10885" t="s">
        <v>17003</v>
      </c>
      <c r="I10885" t="s">
        <v>446</v>
      </c>
      <c r="J10885">
        <v>28787</v>
      </c>
      <c r="K10885">
        <v>9710</v>
      </c>
      <c r="L10885" t="s">
        <v>23</v>
      </c>
      <c r="M10885" t="s">
        <v>24397</v>
      </c>
      <c r="N10885" t="s">
        <v>17003</v>
      </c>
      <c r="O10885" t="s">
        <v>446</v>
      </c>
      <c r="P10885">
        <v>28787</v>
      </c>
      <c r="Q10885">
        <v>9710</v>
      </c>
      <c r="R10885" t="s">
        <v>23</v>
      </c>
      <c r="S10885" s="1" t="s">
        <v>34218</v>
      </c>
    </row>
    <row r="10886" spans="1:19" x14ac:dyDescent="0.25">
      <c r="A10886">
        <v>101452763</v>
      </c>
      <c r="B10886" t="s">
        <v>24398</v>
      </c>
      <c r="C10886" t="s">
        <v>2193</v>
      </c>
      <c r="G10886" t="s">
        <v>24399</v>
      </c>
      <c r="H10886" t="s">
        <v>1412</v>
      </c>
      <c r="I10886" t="s">
        <v>52</v>
      </c>
      <c r="J10886">
        <v>32801</v>
      </c>
      <c r="K10886">
        <v>4304</v>
      </c>
      <c r="L10886" t="s">
        <v>23</v>
      </c>
      <c r="M10886" t="s">
        <v>24399</v>
      </c>
      <c r="N10886" t="s">
        <v>1412</v>
      </c>
      <c r="O10886" t="s">
        <v>52</v>
      </c>
      <c r="P10886">
        <v>32801</v>
      </c>
      <c r="Q10886">
        <v>4304</v>
      </c>
      <c r="R10886" t="s">
        <v>23</v>
      </c>
      <c r="S10886" s="1" t="s">
        <v>34218</v>
      </c>
    </row>
    <row r="10887" spans="1:19" x14ac:dyDescent="0.25">
      <c r="A10887">
        <v>101289354</v>
      </c>
      <c r="B10887" t="s">
        <v>24400</v>
      </c>
      <c r="C10887" t="s">
        <v>3254</v>
      </c>
      <c r="G10887" t="s">
        <v>24401</v>
      </c>
      <c r="H10887" t="s">
        <v>638</v>
      </c>
      <c r="I10887" t="s">
        <v>639</v>
      </c>
      <c r="J10887">
        <v>87199</v>
      </c>
      <c r="K10887">
        <v>3811</v>
      </c>
      <c r="L10887" t="s">
        <v>23</v>
      </c>
      <c r="M10887" t="s">
        <v>24401</v>
      </c>
      <c r="N10887" t="s">
        <v>638</v>
      </c>
      <c r="O10887" t="s">
        <v>639</v>
      </c>
      <c r="P10887">
        <v>87199</v>
      </c>
      <c r="Q10887">
        <v>3811</v>
      </c>
      <c r="R10887" t="s">
        <v>23</v>
      </c>
      <c r="S10887" s="1" t="s">
        <v>34218</v>
      </c>
    </row>
    <row r="10888" spans="1:19" x14ac:dyDescent="0.25">
      <c r="A10888">
        <v>101471877</v>
      </c>
      <c r="B10888" t="s">
        <v>15347</v>
      </c>
      <c r="C10888" t="s">
        <v>167</v>
      </c>
      <c r="G10888" t="s">
        <v>24402</v>
      </c>
      <c r="H10888" t="s">
        <v>2399</v>
      </c>
      <c r="I10888" t="s">
        <v>71</v>
      </c>
      <c r="J10888">
        <v>80521</v>
      </c>
      <c r="L10888" t="s">
        <v>23</v>
      </c>
      <c r="M10888" t="s">
        <v>24402</v>
      </c>
      <c r="N10888" t="s">
        <v>2399</v>
      </c>
      <c r="O10888" t="s">
        <v>71</v>
      </c>
      <c r="P10888">
        <v>80521</v>
      </c>
      <c r="R10888" t="s">
        <v>23</v>
      </c>
      <c r="S10888" s="1" t="s">
        <v>34218</v>
      </c>
    </row>
    <row r="10889" spans="1:19" x14ac:dyDescent="0.25">
      <c r="A10889">
        <v>101469448</v>
      </c>
      <c r="B10889" t="s">
        <v>398</v>
      </c>
      <c r="C10889" t="s">
        <v>281</v>
      </c>
      <c r="G10889" t="s">
        <v>24403</v>
      </c>
      <c r="H10889" t="s">
        <v>24404</v>
      </c>
      <c r="I10889" t="s">
        <v>117</v>
      </c>
      <c r="J10889">
        <v>12548</v>
      </c>
      <c r="K10889">
        <v>5009</v>
      </c>
      <c r="L10889" t="s">
        <v>23</v>
      </c>
      <c r="M10889" t="s">
        <v>24403</v>
      </c>
      <c r="N10889" t="s">
        <v>24404</v>
      </c>
      <c r="O10889" t="s">
        <v>117</v>
      </c>
      <c r="P10889">
        <v>12548</v>
      </c>
      <c r="Q10889">
        <v>5009</v>
      </c>
      <c r="R10889" t="s">
        <v>23</v>
      </c>
      <c r="S10889" s="1" t="s">
        <v>34218</v>
      </c>
    </row>
    <row r="10890" spans="1:19" x14ac:dyDescent="0.25">
      <c r="A10890">
        <v>101426493</v>
      </c>
      <c r="B10890" t="s">
        <v>24405</v>
      </c>
      <c r="C10890" t="s">
        <v>180</v>
      </c>
      <c r="G10890" t="s">
        <v>24406</v>
      </c>
      <c r="H10890" t="s">
        <v>17428</v>
      </c>
      <c r="I10890" t="s">
        <v>117</v>
      </c>
      <c r="J10890">
        <v>10549</v>
      </c>
      <c r="K10890">
        <v>2036</v>
      </c>
      <c r="L10890" t="s">
        <v>23</v>
      </c>
      <c r="M10890" t="s">
        <v>24406</v>
      </c>
      <c r="N10890" t="s">
        <v>17428</v>
      </c>
      <c r="O10890" t="s">
        <v>117</v>
      </c>
      <c r="P10890">
        <v>10549</v>
      </c>
      <c r="Q10890">
        <v>2036</v>
      </c>
      <c r="R10890" t="s">
        <v>23</v>
      </c>
      <c r="S10890" s="1" t="s">
        <v>34218</v>
      </c>
    </row>
    <row r="10891" spans="1:19" x14ac:dyDescent="0.25">
      <c r="A10891">
        <v>101312448</v>
      </c>
      <c r="B10891" t="s">
        <v>281</v>
      </c>
      <c r="C10891" t="s">
        <v>575</v>
      </c>
      <c r="G10891" t="s">
        <v>24407</v>
      </c>
      <c r="H10891" t="s">
        <v>10374</v>
      </c>
      <c r="I10891" t="s">
        <v>236</v>
      </c>
      <c r="J10891">
        <v>2360</v>
      </c>
      <c r="K10891">
        <v>5265</v>
      </c>
      <c r="L10891" t="s">
        <v>23</v>
      </c>
      <c r="M10891" t="s">
        <v>24407</v>
      </c>
      <c r="N10891" t="s">
        <v>10374</v>
      </c>
      <c r="O10891" t="s">
        <v>236</v>
      </c>
      <c r="P10891">
        <v>2360</v>
      </c>
      <c r="Q10891">
        <v>5265</v>
      </c>
      <c r="R10891" t="s">
        <v>23</v>
      </c>
      <c r="S10891" s="1" t="s">
        <v>34218</v>
      </c>
    </row>
    <row r="10892" spans="1:19" x14ac:dyDescent="0.25">
      <c r="A10892">
        <v>101472027</v>
      </c>
      <c r="B10892" t="s">
        <v>14791</v>
      </c>
      <c r="C10892" t="s">
        <v>1036</v>
      </c>
      <c r="G10892" t="s">
        <v>24408</v>
      </c>
      <c r="H10892" t="s">
        <v>423</v>
      </c>
      <c r="I10892" t="s">
        <v>71</v>
      </c>
      <c r="J10892">
        <v>80304</v>
      </c>
      <c r="K10892">
        <v>754</v>
      </c>
      <c r="L10892" t="s">
        <v>23</v>
      </c>
      <c r="M10892" t="s">
        <v>24408</v>
      </c>
      <c r="N10892" t="s">
        <v>423</v>
      </c>
      <c r="O10892" t="s">
        <v>71</v>
      </c>
      <c r="P10892">
        <v>80304</v>
      </c>
      <c r="Q10892">
        <v>754</v>
      </c>
      <c r="R10892" t="s">
        <v>23</v>
      </c>
      <c r="S10892" s="1" t="s">
        <v>34218</v>
      </c>
    </row>
    <row r="10893" spans="1:19" x14ac:dyDescent="0.25">
      <c r="A10893">
        <v>100670551</v>
      </c>
      <c r="B10893" t="s">
        <v>24409</v>
      </c>
      <c r="C10893" t="s">
        <v>9963</v>
      </c>
      <c r="F10893" t="str">
        <f>"2077223091"</f>
        <v>2077223091</v>
      </c>
      <c r="G10893" t="s">
        <v>24410</v>
      </c>
      <c r="H10893" t="s">
        <v>1807</v>
      </c>
      <c r="I10893" t="s">
        <v>191</v>
      </c>
      <c r="J10893">
        <v>4921</v>
      </c>
      <c r="K10893">
        <v>3502</v>
      </c>
      <c r="L10893" t="s">
        <v>23</v>
      </c>
      <c r="M10893" t="s">
        <v>24410</v>
      </c>
      <c r="N10893" t="s">
        <v>1807</v>
      </c>
      <c r="O10893" t="s">
        <v>191</v>
      </c>
      <c r="P10893">
        <v>4921</v>
      </c>
      <c r="Q10893">
        <v>3502</v>
      </c>
      <c r="R10893" t="s">
        <v>23</v>
      </c>
      <c r="S10893" s="1" t="s">
        <v>34218</v>
      </c>
    </row>
    <row r="10894" spans="1:19" x14ac:dyDescent="0.25">
      <c r="A10894">
        <v>101474375</v>
      </c>
      <c r="B10894" t="s">
        <v>24411</v>
      </c>
      <c r="C10894" t="s">
        <v>12709</v>
      </c>
      <c r="G10894" t="s">
        <v>24412</v>
      </c>
      <c r="H10894" t="s">
        <v>6041</v>
      </c>
      <c r="I10894" t="s">
        <v>22</v>
      </c>
      <c r="J10894">
        <v>95476</v>
      </c>
      <c r="K10894">
        <v>4886</v>
      </c>
      <c r="L10894" t="s">
        <v>23</v>
      </c>
      <c r="M10894" t="s">
        <v>24412</v>
      </c>
      <c r="N10894" t="s">
        <v>6041</v>
      </c>
      <c r="O10894" t="s">
        <v>22</v>
      </c>
      <c r="P10894">
        <v>95476</v>
      </c>
      <c r="Q10894">
        <v>4886</v>
      </c>
      <c r="R10894" t="s">
        <v>23</v>
      </c>
      <c r="S10894" s="1" t="s">
        <v>34218</v>
      </c>
    </row>
    <row r="10895" spans="1:19" x14ac:dyDescent="0.25">
      <c r="A10895">
        <v>101294096</v>
      </c>
      <c r="B10895" t="s">
        <v>24413</v>
      </c>
      <c r="C10895" t="s">
        <v>2329</v>
      </c>
      <c r="G10895" t="s">
        <v>24414</v>
      </c>
      <c r="H10895" t="s">
        <v>16352</v>
      </c>
      <c r="I10895" t="s">
        <v>135</v>
      </c>
      <c r="J10895">
        <v>60060</v>
      </c>
      <c r="K10895">
        <v>6055</v>
      </c>
      <c r="L10895" t="s">
        <v>23</v>
      </c>
      <c r="M10895" t="s">
        <v>24414</v>
      </c>
      <c r="N10895" t="s">
        <v>16352</v>
      </c>
      <c r="O10895" t="s">
        <v>135</v>
      </c>
      <c r="P10895">
        <v>60060</v>
      </c>
      <c r="Q10895">
        <v>6055</v>
      </c>
      <c r="R10895" t="s">
        <v>23</v>
      </c>
      <c r="S10895" s="1" t="s">
        <v>34218</v>
      </c>
    </row>
    <row r="10896" spans="1:19" x14ac:dyDescent="0.25">
      <c r="A10896">
        <v>101466274</v>
      </c>
      <c r="B10896" t="s">
        <v>2132</v>
      </c>
      <c r="C10896" t="s">
        <v>6200</v>
      </c>
      <c r="G10896" t="s">
        <v>24415</v>
      </c>
      <c r="H10896" t="s">
        <v>12146</v>
      </c>
      <c r="I10896" t="s">
        <v>52</v>
      </c>
      <c r="J10896">
        <v>32751</v>
      </c>
      <c r="K10896">
        <v>3654</v>
      </c>
      <c r="L10896" t="s">
        <v>23</v>
      </c>
      <c r="M10896" t="s">
        <v>24415</v>
      </c>
      <c r="N10896" t="s">
        <v>12146</v>
      </c>
      <c r="O10896" t="s">
        <v>52</v>
      </c>
      <c r="P10896">
        <v>32751</v>
      </c>
      <c r="Q10896">
        <v>3654</v>
      </c>
      <c r="R10896" t="s">
        <v>23</v>
      </c>
      <c r="S10896" s="1" t="s">
        <v>34218</v>
      </c>
    </row>
    <row r="10897" spans="1:19" x14ac:dyDescent="0.25">
      <c r="A10897">
        <v>100749784</v>
      </c>
      <c r="B10897" t="s">
        <v>24416</v>
      </c>
      <c r="C10897" t="s">
        <v>585</v>
      </c>
      <c r="G10897" t="s">
        <v>24417</v>
      </c>
      <c r="H10897" t="s">
        <v>11658</v>
      </c>
      <c r="I10897" t="s">
        <v>307</v>
      </c>
      <c r="J10897">
        <v>5081</v>
      </c>
      <c r="K10897">
        <v>313</v>
      </c>
      <c r="L10897" t="s">
        <v>23</v>
      </c>
      <c r="M10897" t="s">
        <v>24417</v>
      </c>
      <c r="N10897" t="s">
        <v>11658</v>
      </c>
      <c r="O10897" t="s">
        <v>307</v>
      </c>
      <c r="P10897">
        <v>5081</v>
      </c>
      <c r="Q10897">
        <v>313</v>
      </c>
      <c r="R10897" t="s">
        <v>23</v>
      </c>
      <c r="S10897" s="1" t="s">
        <v>34218</v>
      </c>
    </row>
    <row r="10898" spans="1:19" x14ac:dyDescent="0.25">
      <c r="A10898">
        <v>101418634</v>
      </c>
      <c r="B10898" t="s">
        <v>24418</v>
      </c>
      <c r="C10898" t="s">
        <v>90</v>
      </c>
      <c r="G10898" t="s">
        <v>24419</v>
      </c>
      <c r="H10898" t="s">
        <v>1861</v>
      </c>
      <c r="I10898" t="s">
        <v>22</v>
      </c>
      <c r="J10898" t="s">
        <v>24420</v>
      </c>
      <c r="K10898">
        <v>1610</v>
      </c>
      <c r="L10898" t="s">
        <v>23</v>
      </c>
      <c r="M10898" t="s">
        <v>24419</v>
      </c>
      <c r="N10898" t="s">
        <v>1861</v>
      </c>
      <c r="O10898" t="s">
        <v>22</v>
      </c>
      <c r="P10898" t="s">
        <v>24420</v>
      </c>
      <c r="Q10898">
        <v>1610</v>
      </c>
      <c r="R10898" t="s">
        <v>23</v>
      </c>
      <c r="S10898" s="1" t="s">
        <v>34218</v>
      </c>
    </row>
    <row r="10899" spans="1:19" x14ac:dyDescent="0.25">
      <c r="A10899">
        <v>101334625</v>
      </c>
      <c r="B10899" t="s">
        <v>9826</v>
      </c>
      <c r="C10899" t="s">
        <v>613</v>
      </c>
      <c r="G10899" t="s">
        <v>24421</v>
      </c>
      <c r="H10899" t="s">
        <v>1229</v>
      </c>
      <c r="I10899" t="s">
        <v>38</v>
      </c>
      <c r="J10899" t="s">
        <v>24422</v>
      </c>
      <c r="K10899">
        <v>1201</v>
      </c>
      <c r="L10899" t="s">
        <v>23</v>
      </c>
      <c r="M10899" t="s">
        <v>24421</v>
      </c>
      <c r="N10899" t="s">
        <v>1229</v>
      </c>
      <c r="O10899" t="s">
        <v>38</v>
      </c>
      <c r="P10899" t="s">
        <v>24422</v>
      </c>
      <c r="Q10899">
        <v>1201</v>
      </c>
      <c r="R10899" t="s">
        <v>23</v>
      </c>
      <c r="S10899" s="1" t="s">
        <v>34218</v>
      </c>
    </row>
    <row r="10900" spans="1:19" x14ac:dyDescent="0.25">
      <c r="A10900">
        <v>101344271</v>
      </c>
      <c r="B10900" t="s">
        <v>24423</v>
      </c>
      <c r="C10900" t="s">
        <v>1069</v>
      </c>
      <c r="G10900" t="s">
        <v>24424</v>
      </c>
      <c r="H10900" t="s">
        <v>6509</v>
      </c>
      <c r="I10900" t="s">
        <v>187</v>
      </c>
      <c r="J10900" t="s">
        <v>24425</v>
      </c>
      <c r="K10900">
        <v>2162</v>
      </c>
      <c r="L10900" t="s">
        <v>23</v>
      </c>
      <c r="M10900" t="s">
        <v>24424</v>
      </c>
      <c r="N10900" t="s">
        <v>6509</v>
      </c>
      <c r="O10900" t="s">
        <v>187</v>
      </c>
      <c r="P10900" t="s">
        <v>24425</v>
      </c>
      <c r="Q10900">
        <v>2162</v>
      </c>
      <c r="R10900" t="s">
        <v>23</v>
      </c>
      <c r="S10900" s="1" t="s">
        <v>34218</v>
      </c>
    </row>
    <row r="10901" spans="1:19" x14ac:dyDescent="0.25">
      <c r="A10901">
        <v>100537716</v>
      </c>
      <c r="B10901" t="s">
        <v>24426</v>
      </c>
      <c r="C10901" t="s">
        <v>40</v>
      </c>
      <c r="G10901" t="s">
        <v>24427</v>
      </c>
      <c r="H10901" t="s">
        <v>567</v>
      </c>
      <c r="I10901" t="s">
        <v>446</v>
      </c>
      <c r="J10901" t="s">
        <v>24428</v>
      </c>
      <c r="K10901">
        <v>2572</v>
      </c>
      <c r="L10901" t="s">
        <v>23</v>
      </c>
      <c r="M10901" t="s">
        <v>24427</v>
      </c>
      <c r="N10901" t="s">
        <v>567</v>
      </c>
      <c r="O10901" t="s">
        <v>446</v>
      </c>
      <c r="P10901" t="s">
        <v>24428</v>
      </c>
      <c r="Q10901">
        <v>2572</v>
      </c>
      <c r="R10901" t="s">
        <v>23</v>
      </c>
      <c r="S10901" s="1" t="s">
        <v>34218</v>
      </c>
    </row>
    <row r="10902" spans="1:19" x14ac:dyDescent="0.25">
      <c r="A10902">
        <v>101413602</v>
      </c>
      <c r="B10902" t="s">
        <v>24429</v>
      </c>
      <c r="C10902" t="s">
        <v>225</v>
      </c>
      <c r="G10902" t="s">
        <v>24430</v>
      </c>
      <c r="H10902" t="s">
        <v>1402</v>
      </c>
      <c r="I10902" t="s">
        <v>38</v>
      </c>
      <c r="J10902" t="s">
        <v>24431</v>
      </c>
      <c r="K10902">
        <v>2142</v>
      </c>
      <c r="L10902" t="s">
        <v>23</v>
      </c>
      <c r="M10902" t="s">
        <v>24430</v>
      </c>
      <c r="N10902" t="s">
        <v>1402</v>
      </c>
      <c r="O10902" t="s">
        <v>38</v>
      </c>
      <c r="P10902" t="s">
        <v>24431</v>
      </c>
      <c r="Q10902">
        <v>2142</v>
      </c>
      <c r="R10902" t="s">
        <v>23</v>
      </c>
      <c r="S10902" s="1" t="s">
        <v>34218</v>
      </c>
    </row>
    <row r="10903" spans="1:19" x14ac:dyDescent="0.25">
      <c r="A10903">
        <v>101005882</v>
      </c>
      <c r="B10903" t="s">
        <v>24432</v>
      </c>
      <c r="C10903" t="s">
        <v>155</v>
      </c>
      <c r="G10903" t="s">
        <v>24433</v>
      </c>
      <c r="H10903" t="s">
        <v>7886</v>
      </c>
      <c r="I10903" t="s">
        <v>178</v>
      </c>
      <c r="J10903" t="s">
        <v>24434</v>
      </c>
      <c r="K10903">
        <v>2719</v>
      </c>
      <c r="L10903" t="s">
        <v>23</v>
      </c>
      <c r="M10903" t="s">
        <v>24433</v>
      </c>
      <c r="N10903" t="s">
        <v>7886</v>
      </c>
      <c r="O10903" t="s">
        <v>178</v>
      </c>
      <c r="P10903" t="s">
        <v>24434</v>
      </c>
      <c r="Q10903">
        <v>2719</v>
      </c>
      <c r="R10903" t="s">
        <v>23</v>
      </c>
      <c r="S10903" s="1" t="s">
        <v>34218</v>
      </c>
    </row>
    <row r="10904" spans="1:19" x14ac:dyDescent="0.25">
      <c r="A10904">
        <v>101253841</v>
      </c>
      <c r="B10904" t="s">
        <v>3696</v>
      </c>
      <c r="C10904" t="s">
        <v>1117</v>
      </c>
      <c r="G10904" t="s">
        <v>24435</v>
      </c>
      <c r="H10904" t="s">
        <v>20034</v>
      </c>
      <c r="I10904" t="s">
        <v>332</v>
      </c>
      <c r="J10904" t="s">
        <v>24436</v>
      </c>
      <c r="K10904">
        <v>6331</v>
      </c>
      <c r="L10904" t="s">
        <v>23</v>
      </c>
      <c r="M10904" t="s">
        <v>24435</v>
      </c>
      <c r="N10904" t="s">
        <v>20034</v>
      </c>
      <c r="O10904" t="s">
        <v>332</v>
      </c>
      <c r="P10904" t="s">
        <v>24436</v>
      </c>
      <c r="Q10904">
        <v>6331</v>
      </c>
      <c r="R10904" t="s">
        <v>23</v>
      </c>
      <c r="S10904" s="1" t="s">
        <v>34218</v>
      </c>
    </row>
    <row r="10905" spans="1:19" x14ac:dyDescent="0.25">
      <c r="A10905">
        <v>101174993</v>
      </c>
      <c r="B10905" t="s">
        <v>1625</v>
      </c>
      <c r="C10905" t="s">
        <v>1581</v>
      </c>
      <c r="G10905" t="s">
        <v>24437</v>
      </c>
      <c r="H10905" t="s">
        <v>112</v>
      </c>
      <c r="I10905" t="s">
        <v>22</v>
      </c>
      <c r="J10905" t="s">
        <v>24438</v>
      </c>
      <c r="K10905">
        <v>2859</v>
      </c>
      <c r="L10905" t="s">
        <v>23</v>
      </c>
      <c r="M10905" t="s">
        <v>24437</v>
      </c>
      <c r="N10905" t="s">
        <v>112</v>
      </c>
      <c r="O10905" t="s">
        <v>22</v>
      </c>
      <c r="P10905" t="s">
        <v>24438</v>
      </c>
      <c r="Q10905">
        <v>2859</v>
      </c>
      <c r="R10905" t="s">
        <v>23</v>
      </c>
      <c r="S10905" s="1" t="s">
        <v>34218</v>
      </c>
    </row>
    <row r="10906" spans="1:19" x14ac:dyDescent="0.25">
      <c r="A10906">
        <v>101303033</v>
      </c>
      <c r="B10906" t="s">
        <v>4747</v>
      </c>
      <c r="C10906" t="s">
        <v>123</v>
      </c>
      <c r="G10906" t="s">
        <v>24439</v>
      </c>
      <c r="H10906" t="s">
        <v>4617</v>
      </c>
      <c r="I10906" t="s">
        <v>117</v>
      </c>
      <c r="J10906" t="s">
        <v>24440</v>
      </c>
      <c r="K10906">
        <v>4435</v>
      </c>
      <c r="L10906" t="s">
        <v>23</v>
      </c>
      <c r="M10906" t="s">
        <v>24439</v>
      </c>
      <c r="N10906" t="s">
        <v>4617</v>
      </c>
      <c r="O10906" t="s">
        <v>117</v>
      </c>
      <c r="P10906" t="s">
        <v>24440</v>
      </c>
      <c r="Q10906">
        <v>4435</v>
      </c>
      <c r="R10906" t="s">
        <v>23</v>
      </c>
      <c r="S10906" s="1" t="s">
        <v>34218</v>
      </c>
    </row>
    <row r="10907" spans="1:19" x14ac:dyDescent="0.25">
      <c r="A10907">
        <v>101306468</v>
      </c>
      <c r="B10907" t="s">
        <v>24441</v>
      </c>
      <c r="C10907" t="s">
        <v>24442</v>
      </c>
      <c r="G10907" t="s">
        <v>24443</v>
      </c>
      <c r="H10907" t="s">
        <v>13992</v>
      </c>
      <c r="I10907" t="s">
        <v>52</v>
      </c>
      <c r="J10907" t="s">
        <v>24444</v>
      </c>
      <c r="K10907">
        <v>3014</v>
      </c>
      <c r="L10907" t="s">
        <v>23</v>
      </c>
      <c r="M10907" t="s">
        <v>24443</v>
      </c>
      <c r="N10907" t="s">
        <v>13992</v>
      </c>
      <c r="O10907" t="s">
        <v>52</v>
      </c>
      <c r="P10907" t="s">
        <v>24444</v>
      </c>
      <c r="Q10907">
        <v>3014</v>
      </c>
      <c r="R10907" t="s">
        <v>23</v>
      </c>
      <c r="S10907" s="1" t="s">
        <v>34218</v>
      </c>
    </row>
    <row r="10908" spans="1:19" x14ac:dyDescent="0.25">
      <c r="A10908">
        <v>101321893</v>
      </c>
      <c r="B10908" t="s">
        <v>2266</v>
      </c>
      <c r="C10908" t="s">
        <v>535</v>
      </c>
      <c r="G10908" t="s">
        <v>24445</v>
      </c>
      <c r="H10908" t="s">
        <v>7593</v>
      </c>
      <c r="I10908" t="s">
        <v>250</v>
      </c>
      <c r="J10908" t="s">
        <v>24446</v>
      </c>
      <c r="K10908">
        <v>1910</v>
      </c>
      <c r="L10908" t="s">
        <v>23</v>
      </c>
      <c r="M10908" t="s">
        <v>24445</v>
      </c>
      <c r="N10908" t="s">
        <v>7593</v>
      </c>
      <c r="O10908" t="s">
        <v>250</v>
      </c>
      <c r="P10908" t="s">
        <v>24446</v>
      </c>
      <c r="Q10908">
        <v>1910</v>
      </c>
      <c r="R10908" t="s">
        <v>23</v>
      </c>
      <c r="S10908" s="1" t="s">
        <v>34218</v>
      </c>
    </row>
    <row r="10909" spans="1:19" x14ac:dyDescent="0.25">
      <c r="A10909">
        <v>101421709</v>
      </c>
      <c r="B10909" t="s">
        <v>24447</v>
      </c>
      <c r="C10909" t="s">
        <v>2127</v>
      </c>
      <c r="G10909" t="s">
        <v>24448</v>
      </c>
      <c r="H10909" t="s">
        <v>1405</v>
      </c>
      <c r="I10909" t="s">
        <v>187</v>
      </c>
      <c r="J10909" t="s">
        <v>24449</v>
      </c>
      <c r="K10909">
        <v>2338</v>
      </c>
      <c r="L10909" t="s">
        <v>23</v>
      </c>
      <c r="M10909" t="s">
        <v>24448</v>
      </c>
      <c r="N10909" t="s">
        <v>1405</v>
      </c>
      <c r="O10909" t="s">
        <v>187</v>
      </c>
      <c r="P10909" t="s">
        <v>24449</v>
      </c>
      <c r="Q10909">
        <v>2338</v>
      </c>
      <c r="R10909" t="s">
        <v>23</v>
      </c>
      <c r="S10909" s="1" t="s">
        <v>34218</v>
      </c>
    </row>
    <row r="10910" spans="1:19" x14ac:dyDescent="0.25">
      <c r="A10910">
        <v>101364086</v>
      </c>
      <c r="B10910" t="s">
        <v>24450</v>
      </c>
      <c r="C10910" t="s">
        <v>90</v>
      </c>
      <c r="G10910" t="s">
        <v>24451</v>
      </c>
      <c r="H10910" t="s">
        <v>2696</v>
      </c>
      <c r="I10910" t="s">
        <v>52</v>
      </c>
      <c r="J10910" t="s">
        <v>24452</v>
      </c>
      <c r="K10910">
        <v>5846</v>
      </c>
      <c r="L10910" t="s">
        <v>23</v>
      </c>
      <c r="M10910" t="s">
        <v>24451</v>
      </c>
      <c r="N10910" t="s">
        <v>2696</v>
      </c>
      <c r="O10910" t="s">
        <v>52</v>
      </c>
      <c r="P10910" t="s">
        <v>24452</v>
      </c>
      <c r="Q10910">
        <v>5846</v>
      </c>
      <c r="R10910" t="s">
        <v>23</v>
      </c>
      <c r="S10910" s="1" t="s">
        <v>34218</v>
      </c>
    </row>
    <row r="10911" spans="1:19" x14ac:dyDescent="0.25">
      <c r="A10911">
        <v>101480545</v>
      </c>
      <c r="B10911" t="s">
        <v>24453</v>
      </c>
      <c r="C10911" t="s">
        <v>585</v>
      </c>
      <c r="G10911" t="s">
        <v>24454</v>
      </c>
      <c r="H10911" t="s">
        <v>24455</v>
      </c>
      <c r="I10911" t="s">
        <v>140</v>
      </c>
      <c r="J10911">
        <v>48350</v>
      </c>
      <c r="K10911">
        <v>3449</v>
      </c>
      <c r="L10911" t="s">
        <v>23</v>
      </c>
      <c r="M10911" t="s">
        <v>24454</v>
      </c>
      <c r="N10911" t="s">
        <v>24455</v>
      </c>
      <c r="O10911" t="s">
        <v>140</v>
      </c>
      <c r="P10911">
        <v>48350</v>
      </c>
      <c r="Q10911">
        <v>3449</v>
      </c>
      <c r="R10911" t="s">
        <v>23</v>
      </c>
      <c r="S10911" s="1" t="s">
        <v>34218</v>
      </c>
    </row>
    <row r="10912" spans="1:19" x14ac:dyDescent="0.25">
      <c r="A10912">
        <v>101180278</v>
      </c>
      <c r="B10912" t="s">
        <v>24456</v>
      </c>
      <c r="C10912" t="s">
        <v>3058</v>
      </c>
      <c r="G10912" t="s">
        <v>24457</v>
      </c>
      <c r="H10912" t="s">
        <v>23033</v>
      </c>
      <c r="I10912" t="s">
        <v>22</v>
      </c>
      <c r="J10912">
        <v>95467</v>
      </c>
      <c r="L10912" t="s">
        <v>23</v>
      </c>
      <c r="M10912" t="s">
        <v>24457</v>
      </c>
      <c r="N10912" t="s">
        <v>23033</v>
      </c>
      <c r="O10912" t="s">
        <v>22</v>
      </c>
      <c r="P10912">
        <v>95467</v>
      </c>
      <c r="R10912" t="s">
        <v>23</v>
      </c>
      <c r="S10912" s="1" t="s">
        <v>34218</v>
      </c>
    </row>
    <row r="10913" spans="1:19" x14ac:dyDescent="0.25">
      <c r="A10913">
        <v>101290401</v>
      </c>
      <c r="B10913" t="s">
        <v>7013</v>
      </c>
      <c r="C10913" t="s">
        <v>1398</v>
      </c>
      <c r="F10913" t="str">
        <f>"7603222729"</f>
        <v>7603222729</v>
      </c>
      <c r="G10913" t="s">
        <v>24458</v>
      </c>
      <c r="H10913" t="s">
        <v>4866</v>
      </c>
      <c r="I10913" t="s">
        <v>22</v>
      </c>
      <c r="J10913" t="s">
        <v>24459</v>
      </c>
      <c r="K10913">
        <v>7932</v>
      </c>
      <c r="L10913" t="s">
        <v>23</v>
      </c>
      <c r="M10913" t="s">
        <v>24458</v>
      </c>
      <c r="N10913" t="s">
        <v>4866</v>
      </c>
      <c r="O10913" t="s">
        <v>22</v>
      </c>
      <c r="P10913" t="s">
        <v>24459</v>
      </c>
      <c r="Q10913">
        <v>7932</v>
      </c>
      <c r="R10913" t="s">
        <v>23</v>
      </c>
      <c r="S10913" s="1" t="s">
        <v>34218</v>
      </c>
    </row>
    <row r="10914" spans="1:19" x14ac:dyDescent="0.25">
      <c r="A10914">
        <v>101476986</v>
      </c>
      <c r="B10914" t="s">
        <v>24460</v>
      </c>
      <c r="C10914" t="s">
        <v>1859</v>
      </c>
      <c r="G10914" t="s">
        <v>24461</v>
      </c>
      <c r="H10914" t="s">
        <v>726</v>
      </c>
      <c r="I10914" t="s">
        <v>22</v>
      </c>
      <c r="J10914">
        <v>90409</v>
      </c>
      <c r="K10914">
        <v>5114</v>
      </c>
      <c r="L10914" t="s">
        <v>23</v>
      </c>
      <c r="M10914" t="s">
        <v>24461</v>
      </c>
      <c r="N10914" t="s">
        <v>726</v>
      </c>
      <c r="O10914" t="s">
        <v>22</v>
      </c>
      <c r="P10914">
        <v>90409</v>
      </c>
      <c r="Q10914">
        <v>5114</v>
      </c>
      <c r="R10914" t="s">
        <v>23</v>
      </c>
      <c r="S10914" s="1" t="s">
        <v>34218</v>
      </c>
    </row>
    <row r="10915" spans="1:19" x14ac:dyDescent="0.25">
      <c r="A10915">
        <v>101479711</v>
      </c>
      <c r="B10915" t="s">
        <v>24462</v>
      </c>
      <c r="C10915" t="s">
        <v>24463</v>
      </c>
      <c r="G10915" t="s">
        <v>24464</v>
      </c>
      <c r="H10915" t="s">
        <v>108</v>
      </c>
      <c r="I10915" t="s">
        <v>22</v>
      </c>
      <c r="J10915">
        <v>93001</v>
      </c>
      <c r="K10915">
        <v>4409</v>
      </c>
      <c r="L10915" t="s">
        <v>23</v>
      </c>
      <c r="M10915" t="s">
        <v>24464</v>
      </c>
      <c r="N10915" t="s">
        <v>108</v>
      </c>
      <c r="O10915" t="s">
        <v>22</v>
      </c>
      <c r="P10915">
        <v>93001</v>
      </c>
      <c r="Q10915">
        <v>4409</v>
      </c>
      <c r="R10915" t="s">
        <v>23</v>
      </c>
      <c r="S10915" s="1" t="s">
        <v>34218</v>
      </c>
    </row>
    <row r="10916" spans="1:19" x14ac:dyDescent="0.25">
      <c r="A10916">
        <v>101234414</v>
      </c>
      <c r="B10916" t="s">
        <v>13155</v>
      </c>
      <c r="C10916" t="s">
        <v>2796</v>
      </c>
      <c r="G10916" t="s">
        <v>24465</v>
      </c>
      <c r="H10916" t="s">
        <v>653</v>
      </c>
      <c r="I10916" t="s">
        <v>117</v>
      </c>
      <c r="J10916">
        <v>10003</v>
      </c>
      <c r="K10916">
        <v>7636</v>
      </c>
      <c r="L10916" t="s">
        <v>23</v>
      </c>
      <c r="M10916" t="s">
        <v>24465</v>
      </c>
      <c r="N10916" t="s">
        <v>653</v>
      </c>
      <c r="O10916" t="s">
        <v>117</v>
      </c>
      <c r="P10916">
        <v>10003</v>
      </c>
      <c r="Q10916">
        <v>7636</v>
      </c>
      <c r="R10916" t="s">
        <v>23</v>
      </c>
      <c r="S10916" s="1" t="s">
        <v>34218</v>
      </c>
    </row>
    <row r="10917" spans="1:19" x14ac:dyDescent="0.25">
      <c r="A10917">
        <v>101480552</v>
      </c>
      <c r="B10917" t="s">
        <v>24466</v>
      </c>
      <c r="C10917" t="s">
        <v>24467</v>
      </c>
      <c r="G10917" t="s">
        <v>24468</v>
      </c>
      <c r="H10917" t="s">
        <v>2375</v>
      </c>
      <c r="I10917" t="s">
        <v>100</v>
      </c>
      <c r="J10917">
        <v>53711</v>
      </c>
      <c r="K10917">
        <v>1852</v>
      </c>
      <c r="L10917" t="s">
        <v>23</v>
      </c>
      <c r="M10917" t="s">
        <v>24468</v>
      </c>
      <c r="N10917" t="s">
        <v>2375</v>
      </c>
      <c r="O10917" t="s">
        <v>100</v>
      </c>
      <c r="P10917">
        <v>53711</v>
      </c>
      <c r="Q10917">
        <v>1852</v>
      </c>
      <c r="R10917" t="s">
        <v>23</v>
      </c>
      <c r="S10917" s="1" t="s">
        <v>34218</v>
      </c>
    </row>
    <row r="10918" spans="1:19" x14ac:dyDescent="0.25">
      <c r="A10918">
        <v>101480555</v>
      </c>
      <c r="B10918" t="s">
        <v>24469</v>
      </c>
      <c r="C10918" t="s">
        <v>8782</v>
      </c>
      <c r="G10918" t="s">
        <v>24470</v>
      </c>
      <c r="H10918" t="s">
        <v>3363</v>
      </c>
      <c r="I10918" t="s">
        <v>33</v>
      </c>
      <c r="J10918">
        <v>15226</v>
      </c>
      <c r="K10918">
        <v>2310</v>
      </c>
      <c r="L10918" t="s">
        <v>23</v>
      </c>
      <c r="M10918" t="s">
        <v>24470</v>
      </c>
      <c r="N10918" t="s">
        <v>3363</v>
      </c>
      <c r="O10918" t="s">
        <v>33</v>
      </c>
      <c r="P10918">
        <v>15226</v>
      </c>
      <c r="Q10918">
        <v>2310</v>
      </c>
      <c r="R10918" t="s">
        <v>23</v>
      </c>
      <c r="S10918" s="1" t="s">
        <v>34218</v>
      </c>
    </row>
    <row r="10919" spans="1:19" x14ac:dyDescent="0.25">
      <c r="A10919">
        <v>101307278</v>
      </c>
      <c r="B10919" t="s">
        <v>24471</v>
      </c>
      <c r="C10919" t="s">
        <v>4542</v>
      </c>
      <c r="G10919" t="s">
        <v>24472</v>
      </c>
      <c r="H10919" t="s">
        <v>5070</v>
      </c>
      <c r="I10919" t="s">
        <v>84</v>
      </c>
      <c r="J10919">
        <v>98664</v>
      </c>
      <c r="K10919">
        <v>2942</v>
      </c>
      <c r="L10919" t="s">
        <v>23</v>
      </c>
      <c r="M10919" t="s">
        <v>24472</v>
      </c>
      <c r="N10919" t="s">
        <v>5070</v>
      </c>
      <c r="O10919" t="s">
        <v>84</v>
      </c>
      <c r="P10919">
        <v>98664</v>
      </c>
      <c r="Q10919">
        <v>2942</v>
      </c>
      <c r="R10919" t="s">
        <v>23</v>
      </c>
      <c r="S10919" s="1" t="s">
        <v>34218</v>
      </c>
    </row>
    <row r="10920" spans="1:19" x14ac:dyDescent="0.25">
      <c r="A10920">
        <v>101453862</v>
      </c>
      <c r="B10920" t="s">
        <v>3625</v>
      </c>
      <c r="C10920" t="s">
        <v>2497</v>
      </c>
      <c r="G10920" t="s">
        <v>24473</v>
      </c>
      <c r="H10920" t="s">
        <v>5295</v>
      </c>
      <c r="I10920" t="s">
        <v>100</v>
      </c>
      <c r="J10920">
        <v>53901</v>
      </c>
      <c r="L10920" t="s">
        <v>23</v>
      </c>
      <c r="M10920" t="s">
        <v>24473</v>
      </c>
      <c r="N10920" t="s">
        <v>5295</v>
      </c>
      <c r="O10920" t="s">
        <v>100</v>
      </c>
      <c r="P10920">
        <v>53901</v>
      </c>
      <c r="R10920" t="s">
        <v>23</v>
      </c>
      <c r="S10920" s="1" t="s">
        <v>34218</v>
      </c>
    </row>
    <row r="10921" spans="1:19" x14ac:dyDescent="0.25">
      <c r="A10921">
        <v>101299865</v>
      </c>
      <c r="B10921" t="s">
        <v>2349</v>
      </c>
      <c r="C10921" t="s">
        <v>24474</v>
      </c>
      <c r="G10921" t="s">
        <v>24475</v>
      </c>
      <c r="H10921" t="s">
        <v>47</v>
      </c>
      <c r="I10921" t="s">
        <v>43</v>
      </c>
      <c r="J10921">
        <v>97504</v>
      </c>
      <c r="K10921">
        <v>5292</v>
      </c>
      <c r="L10921" t="s">
        <v>23</v>
      </c>
      <c r="M10921" t="s">
        <v>24475</v>
      </c>
      <c r="N10921" t="s">
        <v>47</v>
      </c>
      <c r="O10921" t="s">
        <v>43</v>
      </c>
      <c r="P10921">
        <v>97504</v>
      </c>
      <c r="Q10921">
        <v>5292</v>
      </c>
      <c r="R10921" t="s">
        <v>23</v>
      </c>
      <c r="S10921" s="1" t="s">
        <v>34218</v>
      </c>
    </row>
    <row r="10922" spans="1:19" x14ac:dyDescent="0.25">
      <c r="A10922">
        <v>101480562</v>
      </c>
      <c r="B10922" t="s">
        <v>21244</v>
      </c>
      <c r="C10922" t="s">
        <v>3110</v>
      </c>
      <c r="G10922" t="s">
        <v>24476</v>
      </c>
      <c r="H10922" t="s">
        <v>2279</v>
      </c>
      <c r="I10922" t="s">
        <v>52</v>
      </c>
      <c r="J10922">
        <v>33614</v>
      </c>
      <c r="K10922">
        <v>4201</v>
      </c>
      <c r="L10922" t="s">
        <v>23</v>
      </c>
      <c r="M10922" t="s">
        <v>24476</v>
      </c>
      <c r="N10922" t="s">
        <v>2279</v>
      </c>
      <c r="O10922" t="s">
        <v>52</v>
      </c>
      <c r="P10922">
        <v>33614</v>
      </c>
      <c r="Q10922">
        <v>4201</v>
      </c>
      <c r="R10922" t="s">
        <v>23</v>
      </c>
      <c r="S10922" s="1" t="s">
        <v>34218</v>
      </c>
    </row>
    <row r="10923" spans="1:19" x14ac:dyDescent="0.25">
      <c r="A10923">
        <v>101294451</v>
      </c>
      <c r="B10923" t="s">
        <v>11599</v>
      </c>
      <c r="C10923" t="s">
        <v>655</v>
      </c>
      <c r="G10923" t="s">
        <v>24477</v>
      </c>
      <c r="H10923" t="s">
        <v>1193</v>
      </c>
      <c r="I10923" t="s">
        <v>126</v>
      </c>
      <c r="J10923">
        <v>63303</v>
      </c>
      <c r="K10923">
        <v>4401</v>
      </c>
      <c r="L10923" t="s">
        <v>23</v>
      </c>
      <c r="M10923" t="s">
        <v>24477</v>
      </c>
      <c r="N10923" t="s">
        <v>1193</v>
      </c>
      <c r="O10923" t="s">
        <v>126</v>
      </c>
      <c r="P10923">
        <v>63303</v>
      </c>
      <c r="Q10923">
        <v>4401</v>
      </c>
      <c r="R10923" t="s">
        <v>23</v>
      </c>
      <c r="S10923" s="1" t="s">
        <v>34218</v>
      </c>
    </row>
    <row r="10924" spans="1:19" x14ac:dyDescent="0.25">
      <c r="A10924">
        <v>101455191</v>
      </c>
      <c r="B10924" t="s">
        <v>5009</v>
      </c>
      <c r="C10924" t="s">
        <v>644</v>
      </c>
      <c r="G10924" t="s">
        <v>24478</v>
      </c>
      <c r="H10924" t="s">
        <v>7139</v>
      </c>
      <c r="I10924" t="s">
        <v>38</v>
      </c>
      <c r="J10924">
        <v>76692</v>
      </c>
      <c r="K10924">
        <v>4883</v>
      </c>
      <c r="L10924" t="s">
        <v>23</v>
      </c>
      <c r="M10924" t="s">
        <v>24478</v>
      </c>
      <c r="N10924" t="s">
        <v>7139</v>
      </c>
      <c r="O10924" t="s">
        <v>38</v>
      </c>
      <c r="P10924">
        <v>76692</v>
      </c>
      <c r="Q10924">
        <v>4883</v>
      </c>
      <c r="R10924" t="s">
        <v>23</v>
      </c>
      <c r="S10924" s="1" t="s">
        <v>34218</v>
      </c>
    </row>
    <row r="10925" spans="1:19" x14ac:dyDescent="0.25">
      <c r="A10925">
        <v>100882338</v>
      </c>
      <c r="B10925" t="s">
        <v>24479</v>
      </c>
      <c r="C10925" t="s">
        <v>1298</v>
      </c>
      <c r="G10925" t="s">
        <v>24480</v>
      </c>
      <c r="H10925" t="s">
        <v>1186</v>
      </c>
      <c r="I10925" t="s">
        <v>1387</v>
      </c>
      <c r="J10925">
        <v>35475</v>
      </c>
      <c r="K10925">
        <v>2942</v>
      </c>
      <c r="L10925" t="s">
        <v>23</v>
      </c>
      <c r="M10925" t="s">
        <v>24480</v>
      </c>
      <c r="N10925" t="s">
        <v>1186</v>
      </c>
      <c r="O10925" t="s">
        <v>1387</v>
      </c>
      <c r="P10925">
        <v>35475</v>
      </c>
      <c r="Q10925">
        <v>2942</v>
      </c>
      <c r="R10925" t="s">
        <v>23</v>
      </c>
      <c r="S10925" s="1" t="s">
        <v>34218</v>
      </c>
    </row>
    <row r="10926" spans="1:19" x14ac:dyDescent="0.25">
      <c r="A10926">
        <v>101446658</v>
      </c>
      <c r="B10926" t="s">
        <v>2287</v>
      </c>
      <c r="C10926" t="s">
        <v>4956</v>
      </c>
      <c r="G10926" t="s">
        <v>24481</v>
      </c>
      <c r="H10926" t="s">
        <v>1052</v>
      </c>
      <c r="I10926" t="s">
        <v>22</v>
      </c>
      <c r="J10926">
        <v>94706</v>
      </c>
      <c r="L10926" t="s">
        <v>23</v>
      </c>
      <c r="M10926" t="s">
        <v>24481</v>
      </c>
      <c r="N10926" t="s">
        <v>1052</v>
      </c>
      <c r="O10926" t="s">
        <v>22</v>
      </c>
      <c r="P10926">
        <v>94706</v>
      </c>
      <c r="R10926" t="s">
        <v>23</v>
      </c>
      <c r="S10926" s="1" t="s">
        <v>34218</v>
      </c>
    </row>
    <row r="10927" spans="1:19" x14ac:dyDescent="0.25">
      <c r="A10927">
        <v>101278535</v>
      </c>
      <c r="B10927" t="s">
        <v>8135</v>
      </c>
      <c r="C10927" t="s">
        <v>641</v>
      </c>
      <c r="G10927" t="s">
        <v>24482</v>
      </c>
      <c r="H10927" t="s">
        <v>14771</v>
      </c>
      <c r="I10927" t="s">
        <v>250</v>
      </c>
      <c r="J10927">
        <v>7874</v>
      </c>
      <c r="K10927">
        <v>572</v>
      </c>
      <c r="L10927" t="s">
        <v>23</v>
      </c>
      <c r="M10927" t="s">
        <v>24482</v>
      </c>
      <c r="N10927" t="s">
        <v>14771</v>
      </c>
      <c r="O10927" t="s">
        <v>250</v>
      </c>
      <c r="P10927">
        <v>7874</v>
      </c>
      <c r="Q10927">
        <v>572</v>
      </c>
      <c r="R10927" t="s">
        <v>23</v>
      </c>
      <c r="S10927" s="1" t="s">
        <v>34218</v>
      </c>
    </row>
    <row r="10928" spans="1:19" x14ac:dyDescent="0.25">
      <c r="A10928">
        <v>101480572</v>
      </c>
      <c r="B10928" t="s">
        <v>1800</v>
      </c>
      <c r="C10928" t="s">
        <v>1309</v>
      </c>
      <c r="G10928" t="s">
        <v>24483</v>
      </c>
      <c r="H10928" t="s">
        <v>6041</v>
      </c>
      <c r="I10928" t="s">
        <v>22</v>
      </c>
      <c r="J10928">
        <v>95476</v>
      </c>
      <c r="K10928">
        <v>5322</v>
      </c>
      <c r="L10928" t="s">
        <v>23</v>
      </c>
      <c r="M10928" t="s">
        <v>24483</v>
      </c>
      <c r="N10928" t="s">
        <v>6041</v>
      </c>
      <c r="O10928" t="s">
        <v>22</v>
      </c>
      <c r="P10928">
        <v>95476</v>
      </c>
      <c r="Q10928">
        <v>5322</v>
      </c>
      <c r="R10928" t="s">
        <v>23</v>
      </c>
      <c r="S10928" s="1" t="s">
        <v>34218</v>
      </c>
    </row>
    <row r="10929" spans="1:19" x14ac:dyDescent="0.25">
      <c r="A10929">
        <v>100579717</v>
      </c>
      <c r="B10929" t="s">
        <v>6820</v>
      </c>
      <c r="C10929" t="s">
        <v>579</v>
      </c>
      <c r="G10929" t="s">
        <v>24484</v>
      </c>
      <c r="H10929" t="s">
        <v>389</v>
      </c>
      <c r="I10929" t="s">
        <v>100</v>
      </c>
      <c r="J10929">
        <v>53211</v>
      </c>
      <c r="K10929">
        <v>2924</v>
      </c>
      <c r="L10929" t="s">
        <v>23</v>
      </c>
      <c r="M10929" t="s">
        <v>24484</v>
      </c>
      <c r="N10929" t="s">
        <v>389</v>
      </c>
      <c r="O10929" t="s">
        <v>100</v>
      </c>
      <c r="P10929">
        <v>53211</v>
      </c>
      <c r="Q10929">
        <v>2924</v>
      </c>
      <c r="R10929" t="s">
        <v>23</v>
      </c>
      <c r="S10929" s="1" t="s">
        <v>34218</v>
      </c>
    </row>
    <row r="10930" spans="1:19" x14ac:dyDescent="0.25">
      <c r="A10930">
        <v>101473175</v>
      </c>
      <c r="B10930" t="s">
        <v>24485</v>
      </c>
      <c r="C10930" t="s">
        <v>4257</v>
      </c>
      <c r="G10930" t="s">
        <v>24486</v>
      </c>
      <c r="H10930" t="s">
        <v>10560</v>
      </c>
      <c r="I10930" t="s">
        <v>84</v>
      </c>
      <c r="J10930">
        <v>98512</v>
      </c>
      <c r="K10930">
        <v>8108</v>
      </c>
      <c r="L10930" t="s">
        <v>23</v>
      </c>
      <c r="M10930" t="s">
        <v>24486</v>
      </c>
      <c r="N10930" t="s">
        <v>10560</v>
      </c>
      <c r="O10930" t="s">
        <v>84</v>
      </c>
      <c r="P10930">
        <v>98512</v>
      </c>
      <c r="Q10930">
        <v>8108</v>
      </c>
      <c r="R10930" t="s">
        <v>23</v>
      </c>
      <c r="S10930" s="1" t="s">
        <v>34218</v>
      </c>
    </row>
    <row r="10931" spans="1:19" x14ac:dyDescent="0.25">
      <c r="A10931">
        <v>100690937</v>
      </c>
      <c r="B10931" t="s">
        <v>744</v>
      </c>
      <c r="C10931" t="s">
        <v>1208</v>
      </c>
      <c r="G10931" t="s">
        <v>24487</v>
      </c>
      <c r="H10931" t="s">
        <v>4920</v>
      </c>
      <c r="I10931" t="s">
        <v>57</v>
      </c>
      <c r="J10931">
        <v>47362</v>
      </c>
      <c r="K10931">
        <v>1761</v>
      </c>
      <c r="L10931" t="s">
        <v>23</v>
      </c>
      <c r="M10931" t="s">
        <v>24487</v>
      </c>
      <c r="N10931" t="s">
        <v>4920</v>
      </c>
      <c r="O10931" t="s">
        <v>57</v>
      </c>
      <c r="P10931">
        <v>47362</v>
      </c>
      <c r="Q10931">
        <v>1761</v>
      </c>
      <c r="R10931" t="s">
        <v>23</v>
      </c>
      <c r="S10931" s="1" t="s">
        <v>34218</v>
      </c>
    </row>
    <row r="10932" spans="1:19" x14ac:dyDescent="0.25">
      <c r="A10932">
        <v>101468584</v>
      </c>
      <c r="B10932" t="s">
        <v>1605</v>
      </c>
      <c r="C10932" t="s">
        <v>1327</v>
      </c>
      <c r="G10932" t="s">
        <v>24488</v>
      </c>
      <c r="H10932" t="s">
        <v>688</v>
      </c>
      <c r="I10932" t="s">
        <v>187</v>
      </c>
      <c r="J10932">
        <v>55901</v>
      </c>
      <c r="K10932">
        <v>2722</v>
      </c>
      <c r="L10932" t="s">
        <v>23</v>
      </c>
      <c r="M10932" t="s">
        <v>24488</v>
      </c>
      <c r="N10932" t="s">
        <v>688</v>
      </c>
      <c r="O10932" t="s">
        <v>187</v>
      </c>
      <c r="P10932">
        <v>55901</v>
      </c>
      <c r="Q10932">
        <v>2722</v>
      </c>
      <c r="R10932" t="s">
        <v>23</v>
      </c>
      <c r="S10932" s="1" t="s">
        <v>34218</v>
      </c>
    </row>
    <row r="10933" spans="1:19" x14ac:dyDescent="0.25">
      <c r="A10933">
        <v>101480578</v>
      </c>
      <c r="B10933" t="s">
        <v>7840</v>
      </c>
      <c r="C10933" t="s">
        <v>6445</v>
      </c>
      <c r="G10933" t="s">
        <v>24489</v>
      </c>
      <c r="H10933" t="s">
        <v>61</v>
      </c>
      <c r="I10933" t="s">
        <v>62</v>
      </c>
      <c r="J10933">
        <v>73118</v>
      </c>
      <c r="K10933">
        <v>7041</v>
      </c>
      <c r="L10933" t="s">
        <v>23</v>
      </c>
      <c r="M10933" t="s">
        <v>24489</v>
      </c>
      <c r="N10933" t="s">
        <v>61</v>
      </c>
      <c r="O10933" t="s">
        <v>62</v>
      </c>
      <c r="P10933">
        <v>73118</v>
      </c>
      <c r="Q10933">
        <v>7041</v>
      </c>
      <c r="R10933" t="s">
        <v>23</v>
      </c>
      <c r="S10933" s="1" t="s">
        <v>34218</v>
      </c>
    </row>
    <row r="10934" spans="1:19" x14ac:dyDescent="0.25">
      <c r="A10934">
        <v>101474622</v>
      </c>
      <c r="B10934" t="s">
        <v>24490</v>
      </c>
      <c r="C10934" t="s">
        <v>621</v>
      </c>
      <c r="G10934" t="s">
        <v>24491</v>
      </c>
      <c r="H10934" t="s">
        <v>1628</v>
      </c>
      <c r="I10934" t="s">
        <v>1000</v>
      </c>
      <c r="J10934">
        <v>59047</v>
      </c>
      <c r="K10934">
        <v>1957</v>
      </c>
      <c r="L10934" t="s">
        <v>23</v>
      </c>
      <c r="M10934" t="s">
        <v>24491</v>
      </c>
      <c r="N10934" t="s">
        <v>1628</v>
      </c>
      <c r="O10934" t="s">
        <v>1000</v>
      </c>
      <c r="P10934">
        <v>59047</v>
      </c>
      <c r="Q10934">
        <v>1957</v>
      </c>
      <c r="R10934" t="s">
        <v>23</v>
      </c>
      <c r="S10934" s="1" t="s">
        <v>34218</v>
      </c>
    </row>
    <row r="10935" spans="1:19" x14ac:dyDescent="0.25">
      <c r="A10935">
        <v>100978424</v>
      </c>
      <c r="B10935" t="s">
        <v>2219</v>
      </c>
      <c r="C10935" t="s">
        <v>119</v>
      </c>
      <c r="G10935" t="s">
        <v>24492</v>
      </c>
      <c r="H10935" t="s">
        <v>24493</v>
      </c>
      <c r="I10935" t="s">
        <v>250</v>
      </c>
      <c r="J10935">
        <v>7008</v>
      </c>
      <c r="L10935" t="s">
        <v>23</v>
      </c>
      <c r="M10935" t="s">
        <v>24492</v>
      </c>
      <c r="N10935" t="s">
        <v>24493</v>
      </c>
      <c r="O10935" t="s">
        <v>250</v>
      </c>
      <c r="P10935">
        <v>7008</v>
      </c>
      <c r="R10935" t="s">
        <v>23</v>
      </c>
      <c r="S10935" s="1" t="s">
        <v>34218</v>
      </c>
    </row>
    <row r="10936" spans="1:19" x14ac:dyDescent="0.25">
      <c r="A10936">
        <v>101193170</v>
      </c>
      <c r="B10936" t="s">
        <v>24494</v>
      </c>
      <c r="C10936" t="s">
        <v>1124</v>
      </c>
      <c r="F10936" t="str">
        <f>"4015975375"</f>
        <v>4015975375</v>
      </c>
      <c r="G10936" t="s">
        <v>19522</v>
      </c>
      <c r="H10936" t="s">
        <v>24495</v>
      </c>
      <c r="I10936" t="s">
        <v>662</v>
      </c>
      <c r="J10936">
        <v>2824</v>
      </c>
      <c r="K10936">
        <v>247</v>
      </c>
      <c r="L10936" t="s">
        <v>23</v>
      </c>
      <c r="M10936" t="s">
        <v>19522</v>
      </c>
      <c r="N10936" t="s">
        <v>24495</v>
      </c>
      <c r="O10936" t="s">
        <v>662</v>
      </c>
      <c r="P10936">
        <v>2824</v>
      </c>
      <c r="Q10936">
        <v>247</v>
      </c>
      <c r="R10936" t="s">
        <v>23</v>
      </c>
      <c r="S10936" s="1" t="s">
        <v>34218</v>
      </c>
    </row>
    <row r="10937" spans="1:19" x14ac:dyDescent="0.25">
      <c r="A10937">
        <v>101187085</v>
      </c>
      <c r="B10937" t="s">
        <v>24496</v>
      </c>
      <c r="C10937" t="s">
        <v>25</v>
      </c>
      <c r="G10937" t="s">
        <v>24497</v>
      </c>
      <c r="H10937" t="s">
        <v>186</v>
      </c>
      <c r="I10937" t="s">
        <v>187</v>
      </c>
      <c r="J10937">
        <v>55305</v>
      </c>
      <c r="K10937">
        <v>3440</v>
      </c>
      <c r="L10937" t="s">
        <v>23</v>
      </c>
      <c r="M10937" t="s">
        <v>24497</v>
      </c>
      <c r="N10937" t="s">
        <v>186</v>
      </c>
      <c r="O10937" t="s">
        <v>187</v>
      </c>
      <c r="P10937">
        <v>55305</v>
      </c>
      <c r="Q10937">
        <v>3440</v>
      </c>
      <c r="R10937" t="s">
        <v>23</v>
      </c>
      <c r="S10937" s="1" t="s">
        <v>34218</v>
      </c>
    </row>
    <row r="10938" spans="1:19" x14ac:dyDescent="0.25">
      <c r="A10938">
        <v>101480583</v>
      </c>
      <c r="B10938" t="s">
        <v>1164</v>
      </c>
      <c r="C10938" t="s">
        <v>403</v>
      </c>
      <c r="G10938" t="s">
        <v>24498</v>
      </c>
      <c r="H10938" t="s">
        <v>24499</v>
      </c>
      <c r="I10938" t="s">
        <v>236</v>
      </c>
      <c r="J10938">
        <v>2559</v>
      </c>
      <c r="K10938">
        <v>2075</v>
      </c>
      <c r="L10938" t="s">
        <v>23</v>
      </c>
      <c r="M10938" t="s">
        <v>24498</v>
      </c>
      <c r="N10938" t="s">
        <v>24499</v>
      </c>
      <c r="O10938" t="s">
        <v>236</v>
      </c>
      <c r="P10938">
        <v>2559</v>
      </c>
      <c r="Q10938">
        <v>2075</v>
      </c>
      <c r="R10938" t="s">
        <v>23</v>
      </c>
      <c r="S10938" s="1" t="s">
        <v>34218</v>
      </c>
    </row>
    <row r="10939" spans="1:19" x14ac:dyDescent="0.25">
      <c r="A10939">
        <v>101480585</v>
      </c>
      <c r="B10939" t="s">
        <v>3956</v>
      </c>
      <c r="C10939" t="s">
        <v>367</v>
      </c>
      <c r="G10939" t="s">
        <v>24500</v>
      </c>
      <c r="H10939" t="s">
        <v>1318</v>
      </c>
      <c r="I10939" t="s">
        <v>22</v>
      </c>
      <c r="J10939">
        <v>94598</v>
      </c>
      <c r="K10939">
        <v>5120</v>
      </c>
      <c r="L10939" t="s">
        <v>23</v>
      </c>
      <c r="M10939" t="s">
        <v>24500</v>
      </c>
      <c r="N10939" t="s">
        <v>1318</v>
      </c>
      <c r="O10939" t="s">
        <v>22</v>
      </c>
      <c r="P10939">
        <v>94598</v>
      </c>
      <c r="Q10939">
        <v>5120</v>
      </c>
      <c r="R10939" t="s">
        <v>23</v>
      </c>
      <c r="S10939" s="1" t="s">
        <v>34218</v>
      </c>
    </row>
    <row r="10940" spans="1:19" x14ac:dyDescent="0.25">
      <c r="A10940">
        <v>101394622</v>
      </c>
      <c r="B10940" t="s">
        <v>24501</v>
      </c>
      <c r="C10940" t="s">
        <v>1043</v>
      </c>
      <c r="G10940" t="s">
        <v>24502</v>
      </c>
      <c r="H10940" t="s">
        <v>2601</v>
      </c>
      <c r="I10940" t="s">
        <v>22</v>
      </c>
      <c r="J10940">
        <v>93940</v>
      </c>
      <c r="K10940">
        <v>7469</v>
      </c>
      <c r="L10940" t="s">
        <v>23</v>
      </c>
      <c r="M10940" t="s">
        <v>24502</v>
      </c>
      <c r="N10940" t="s">
        <v>2601</v>
      </c>
      <c r="O10940" t="s">
        <v>22</v>
      </c>
      <c r="P10940">
        <v>93940</v>
      </c>
      <c r="Q10940">
        <v>7469</v>
      </c>
      <c r="R10940" t="s">
        <v>23</v>
      </c>
      <c r="S10940" s="1" t="s">
        <v>34218</v>
      </c>
    </row>
    <row r="10941" spans="1:19" x14ac:dyDescent="0.25">
      <c r="A10941">
        <v>101454432</v>
      </c>
      <c r="B10941" t="s">
        <v>24503</v>
      </c>
      <c r="C10941" t="s">
        <v>1278</v>
      </c>
      <c r="G10941" t="s">
        <v>24504</v>
      </c>
      <c r="H10941" t="s">
        <v>6781</v>
      </c>
      <c r="I10941" t="s">
        <v>33</v>
      </c>
      <c r="J10941">
        <v>19083</v>
      </c>
      <c r="K10941">
        <v>3915</v>
      </c>
      <c r="L10941" t="s">
        <v>23</v>
      </c>
      <c r="M10941" t="s">
        <v>24504</v>
      </c>
      <c r="N10941" t="s">
        <v>6781</v>
      </c>
      <c r="O10941" t="s">
        <v>33</v>
      </c>
      <c r="P10941">
        <v>19083</v>
      </c>
      <c r="Q10941">
        <v>3915</v>
      </c>
      <c r="R10941" t="s">
        <v>23</v>
      </c>
      <c r="S10941" s="1" t="s">
        <v>34218</v>
      </c>
    </row>
    <row r="10942" spans="1:19" x14ac:dyDescent="0.25">
      <c r="A10942">
        <v>101465548</v>
      </c>
      <c r="B10942" t="s">
        <v>24505</v>
      </c>
      <c r="C10942" t="s">
        <v>90</v>
      </c>
      <c r="G10942" t="s">
        <v>24506</v>
      </c>
      <c r="H10942" t="s">
        <v>653</v>
      </c>
      <c r="I10942" t="s">
        <v>117</v>
      </c>
      <c r="J10942">
        <v>10003</v>
      </c>
      <c r="K10942">
        <v>4110</v>
      </c>
      <c r="L10942" t="s">
        <v>23</v>
      </c>
      <c r="M10942" t="s">
        <v>24506</v>
      </c>
      <c r="N10942" t="s">
        <v>653</v>
      </c>
      <c r="O10942" t="s">
        <v>117</v>
      </c>
      <c r="P10942">
        <v>10003</v>
      </c>
      <c r="Q10942">
        <v>4110</v>
      </c>
      <c r="R10942" t="s">
        <v>23</v>
      </c>
      <c r="S10942" s="1" t="s">
        <v>34218</v>
      </c>
    </row>
    <row r="10943" spans="1:19" x14ac:dyDescent="0.25">
      <c r="A10943">
        <v>101432277</v>
      </c>
      <c r="B10943" t="s">
        <v>24507</v>
      </c>
      <c r="C10943" t="s">
        <v>24508</v>
      </c>
      <c r="G10943" t="s">
        <v>24509</v>
      </c>
      <c r="H10943" t="s">
        <v>1293</v>
      </c>
      <c r="I10943" t="s">
        <v>22</v>
      </c>
      <c r="J10943">
        <v>95065</v>
      </c>
      <c r="K10943">
        <v>9727</v>
      </c>
      <c r="L10943" t="s">
        <v>23</v>
      </c>
      <c r="M10943" t="s">
        <v>24509</v>
      </c>
      <c r="N10943" t="s">
        <v>1293</v>
      </c>
      <c r="O10943" t="s">
        <v>22</v>
      </c>
      <c r="P10943">
        <v>95065</v>
      </c>
      <c r="Q10943">
        <v>9727</v>
      </c>
      <c r="R10943" t="s">
        <v>23</v>
      </c>
      <c r="S10943" s="1" t="s">
        <v>34218</v>
      </c>
    </row>
    <row r="10944" spans="1:19" x14ac:dyDescent="0.25">
      <c r="A10944">
        <v>101088309</v>
      </c>
      <c r="B10944" t="s">
        <v>23734</v>
      </c>
      <c r="C10944" t="s">
        <v>1746</v>
      </c>
      <c r="G10944" t="s">
        <v>24510</v>
      </c>
      <c r="H10944" t="s">
        <v>393</v>
      </c>
      <c r="I10944" t="s">
        <v>71</v>
      </c>
      <c r="J10944">
        <v>80220</v>
      </c>
      <c r="K10944">
        <v>4449</v>
      </c>
      <c r="L10944" t="s">
        <v>23</v>
      </c>
      <c r="M10944" t="s">
        <v>24510</v>
      </c>
      <c r="N10944" t="s">
        <v>393</v>
      </c>
      <c r="O10944" t="s">
        <v>71</v>
      </c>
      <c r="P10944">
        <v>80220</v>
      </c>
      <c r="Q10944">
        <v>4449</v>
      </c>
      <c r="R10944" t="s">
        <v>23</v>
      </c>
      <c r="S10944" s="1" t="s">
        <v>34218</v>
      </c>
    </row>
    <row r="10945" spans="1:19" x14ac:dyDescent="0.25">
      <c r="A10945">
        <v>101448934</v>
      </c>
      <c r="B10945" t="s">
        <v>24511</v>
      </c>
      <c r="C10945" t="s">
        <v>1086</v>
      </c>
      <c r="G10945" t="s">
        <v>24512</v>
      </c>
      <c r="H10945" t="s">
        <v>24513</v>
      </c>
      <c r="I10945" t="s">
        <v>187</v>
      </c>
      <c r="J10945">
        <v>56253</v>
      </c>
      <c r="K10945">
        <v>9762</v>
      </c>
      <c r="L10945" t="s">
        <v>23</v>
      </c>
      <c r="M10945" t="s">
        <v>24512</v>
      </c>
      <c r="N10945" t="s">
        <v>24513</v>
      </c>
      <c r="O10945" t="s">
        <v>187</v>
      </c>
      <c r="P10945">
        <v>56253</v>
      </c>
      <c r="Q10945">
        <v>9762</v>
      </c>
      <c r="R10945" t="s">
        <v>23</v>
      </c>
      <c r="S10945" s="1" t="s">
        <v>34218</v>
      </c>
    </row>
    <row r="10946" spans="1:19" x14ac:dyDescent="0.25">
      <c r="A10946">
        <v>100514932</v>
      </c>
      <c r="B10946" t="s">
        <v>24514</v>
      </c>
      <c r="C10946" t="s">
        <v>247</v>
      </c>
      <c r="G10946" t="s">
        <v>24515</v>
      </c>
      <c r="H10946" t="s">
        <v>19486</v>
      </c>
      <c r="I10946" t="s">
        <v>236</v>
      </c>
      <c r="J10946">
        <v>1034</v>
      </c>
      <c r="K10946">
        <v>9701</v>
      </c>
      <c r="L10946" t="s">
        <v>23</v>
      </c>
      <c r="M10946" t="s">
        <v>24515</v>
      </c>
      <c r="N10946" t="s">
        <v>19486</v>
      </c>
      <c r="O10946" t="s">
        <v>236</v>
      </c>
      <c r="P10946">
        <v>1034</v>
      </c>
      <c r="Q10946">
        <v>9701</v>
      </c>
      <c r="R10946" t="s">
        <v>23</v>
      </c>
      <c r="S10946" s="1" t="s">
        <v>34218</v>
      </c>
    </row>
    <row r="10947" spans="1:19" x14ac:dyDescent="0.25">
      <c r="A10947">
        <v>101480605</v>
      </c>
      <c r="B10947" t="s">
        <v>4982</v>
      </c>
      <c r="C10947" t="s">
        <v>1977</v>
      </c>
      <c r="G10947" t="s">
        <v>24516</v>
      </c>
      <c r="H10947" t="s">
        <v>1293</v>
      </c>
      <c r="I10947" t="s">
        <v>22</v>
      </c>
      <c r="J10947">
        <v>95062</v>
      </c>
      <c r="K10947">
        <v>3556</v>
      </c>
      <c r="L10947" t="s">
        <v>23</v>
      </c>
      <c r="M10947" t="s">
        <v>24516</v>
      </c>
      <c r="N10947" t="s">
        <v>1293</v>
      </c>
      <c r="O10947" t="s">
        <v>22</v>
      </c>
      <c r="P10947">
        <v>95062</v>
      </c>
      <c r="Q10947">
        <v>3556</v>
      </c>
      <c r="R10947" t="s">
        <v>23</v>
      </c>
      <c r="S10947" s="1" t="s">
        <v>34218</v>
      </c>
    </row>
    <row r="10948" spans="1:19" x14ac:dyDescent="0.25">
      <c r="A10948">
        <v>101480606</v>
      </c>
      <c r="B10948" t="s">
        <v>1698</v>
      </c>
      <c r="C10948" t="s">
        <v>1506</v>
      </c>
      <c r="G10948" t="s">
        <v>24517</v>
      </c>
      <c r="H10948" t="s">
        <v>3473</v>
      </c>
      <c r="I10948" t="s">
        <v>126</v>
      </c>
      <c r="J10948">
        <v>63021</v>
      </c>
      <c r="K10948">
        <v>5264</v>
      </c>
      <c r="L10948" t="s">
        <v>23</v>
      </c>
      <c r="M10948" t="s">
        <v>24517</v>
      </c>
      <c r="N10948" t="s">
        <v>3473</v>
      </c>
      <c r="O10948" t="s">
        <v>126</v>
      </c>
      <c r="P10948">
        <v>63021</v>
      </c>
      <c r="Q10948">
        <v>5264</v>
      </c>
      <c r="R10948" t="s">
        <v>23</v>
      </c>
      <c r="S10948" s="1" t="s">
        <v>34218</v>
      </c>
    </row>
    <row r="10949" spans="1:19" x14ac:dyDescent="0.25">
      <c r="A10949">
        <v>101480608</v>
      </c>
      <c r="B10949" t="s">
        <v>4515</v>
      </c>
      <c r="C10949" t="s">
        <v>24518</v>
      </c>
      <c r="G10949" t="s">
        <v>24519</v>
      </c>
      <c r="H10949" t="s">
        <v>315</v>
      </c>
      <c r="I10949" t="s">
        <v>22</v>
      </c>
      <c r="J10949">
        <v>93422</v>
      </c>
      <c r="K10949">
        <v>4929</v>
      </c>
      <c r="L10949" t="s">
        <v>23</v>
      </c>
      <c r="M10949" t="s">
        <v>24519</v>
      </c>
      <c r="N10949" t="s">
        <v>315</v>
      </c>
      <c r="O10949" t="s">
        <v>22</v>
      </c>
      <c r="P10949">
        <v>93422</v>
      </c>
      <c r="Q10949">
        <v>4929</v>
      </c>
      <c r="R10949" t="s">
        <v>23</v>
      </c>
      <c r="S10949" s="1" t="s">
        <v>34218</v>
      </c>
    </row>
    <row r="10950" spans="1:19" x14ac:dyDescent="0.25">
      <c r="A10950">
        <v>101480613</v>
      </c>
      <c r="B10950" t="s">
        <v>22649</v>
      </c>
      <c r="C10950" t="s">
        <v>158</v>
      </c>
      <c r="G10950" t="s">
        <v>24520</v>
      </c>
      <c r="H10950" t="s">
        <v>10537</v>
      </c>
      <c r="I10950" t="s">
        <v>307</v>
      </c>
      <c r="J10950">
        <v>5482</v>
      </c>
      <c r="L10950" t="s">
        <v>23</v>
      </c>
      <c r="M10950" t="s">
        <v>24520</v>
      </c>
      <c r="N10950" t="s">
        <v>10537</v>
      </c>
      <c r="O10950" t="s">
        <v>307</v>
      </c>
      <c r="P10950">
        <v>5482</v>
      </c>
      <c r="R10950" t="s">
        <v>23</v>
      </c>
      <c r="S10950" s="1" t="s">
        <v>34218</v>
      </c>
    </row>
    <row r="10951" spans="1:19" x14ac:dyDescent="0.25">
      <c r="A10951">
        <v>101372945</v>
      </c>
      <c r="B10951" t="s">
        <v>24521</v>
      </c>
      <c r="C10951" t="s">
        <v>24522</v>
      </c>
      <c r="G10951" t="s">
        <v>24523</v>
      </c>
      <c r="H10951" t="s">
        <v>24524</v>
      </c>
      <c r="I10951" t="s">
        <v>140</v>
      </c>
      <c r="J10951">
        <v>48322</v>
      </c>
      <c r="K10951">
        <v>4581</v>
      </c>
      <c r="L10951" t="s">
        <v>23</v>
      </c>
      <c r="M10951" t="s">
        <v>24523</v>
      </c>
      <c r="N10951" t="s">
        <v>24524</v>
      </c>
      <c r="O10951" t="s">
        <v>140</v>
      </c>
      <c r="P10951">
        <v>48322</v>
      </c>
      <c r="Q10951">
        <v>4581</v>
      </c>
      <c r="R10951" t="s">
        <v>23</v>
      </c>
      <c r="S10951" s="1" t="s">
        <v>34218</v>
      </c>
    </row>
    <row r="10952" spans="1:19" x14ac:dyDescent="0.25">
      <c r="A10952">
        <v>101302480</v>
      </c>
      <c r="B10952" t="s">
        <v>5821</v>
      </c>
      <c r="C10952" t="s">
        <v>24525</v>
      </c>
      <c r="G10952" t="s">
        <v>24526</v>
      </c>
      <c r="H10952" t="s">
        <v>7579</v>
      </c>
      <c r="I10952" t="s">
        <v>43</v>
      </c>
      <c r="J10952">
        <v>97224</v>
      </c>
      <c r="K10952">
        <v>5441</v>
      </c>
      <c r="L10952" t="s">
        <v>23</v>
      </c>
      <c r="M10952" t="s">
        <v>24526</v>
      </c>
      <c r="N10952" t="s">
        <v>7579</v>
      </c>
      <c r="O10952" t="s">
        <v>43</v>
      </c>
      <c r="P10952">
        <v>97224</v>
      </c>
      <c r="Q10952">
        <v>5441</v>
      </c>
      <c r="R10952" t="s">
        <v>23</v>
      </c>
      <c r="S10952" s="1" t="s">
        <v>34218</v>
      </c>
    </row>
    <row r="10953" spans="1:19" x14ac:dyDescent="0.25">
      <c r="A10953">
        <v>100747653</v>
      </c>
      <c r="B10953" t="s">
        <v>24527</v>
      </c>
      <c r="C10953" t="s">
        <v>24528</v>
      </c>
      <c r="G10953" t="s">
        <v>24529</v>
      </c>
      <c r="H10953" t="s">
        <v>393</v>
      </c>
      <c r="I10953" t="s">
        <v>71</v>
      </c>
      <c r="J10953">
        <v>80246</v>
      </c>
      <c r="K10953">
        <v>1644</v>
      </c>
      <c r="L10953" t="s">
        <v>23</v>
      </c>
      <c r="M10953" t="s">
        <v>24529</v>
      </c>
      <c r="N10953" t="s">
        <v>393</v>
      </c>
      <c r="O10953" t="s">
        <v>71</v>
      </c>
      <c r="P10953">
        <v>80246</v>
      </c>
      <c r="Q10953">
        <v>1644</v>
      </c>
      <c r="R10953" t="s">
        <v>23</v>
      </c>
      <c r="S10953" s="1" t="s">
        <v>34218</v>
      </c>
    </row>
    <row r="10954" spans="1:19" x14ac:dyDescent="0.25">
      <c r="A10954">
        <v>101281613</v>
      </c>
      <c r="B10954" t="s">
        <v>24530</v>
      </c>
      <c r="C10954" t="s">
        <v>158</v>
      </c>
      <c r="G10954" t="s">
        <v>24531</v>
      </c>
      <c r="H10954" t="s">
        <v>21</v>
      </c>
      <c r="I10954" t="s">
        <v>22</v>
      </c>
      <c r="J10954">
        <v>95405</v>
      </c>
      <c r="K10954">
        <v>4539</v>
      </c>
      <c r="L10954" t="s">
        <v>23</v>
      </c>
      <c r="M10954" t="s">
        <v>24531</v>
      </c>
      <c r="N10954" t="s">
        <v>21</v>
      </c>
      <c r="O10954" t="s">
        <v>22</v>
      </c>
      <c r="P10954">
        <v>95405</v>
      </c>
      <c r="Q10954">
        <v>4539</v>
      </c>
      <c r="R10954" t="s">
        <v>23</v>
      </c>
      <c r="S10954" s="1" t="s">
        <v>34218</v>
      </c>
    </row>
    <row r="10955" spans="1:19" x14ac:dyDescent="0.25">
      <c r="A10955">
        <v>101480623</v>
      </c>
      <c r="B10955" t="s">
        <v>24532</v>
      </c>
      <c r="C10955" t="s">
        <v>3843</v>
      </c>
      <c r="G10955" t="s">
        <v>24533</v>
      </c>
      <c r="H10955" t="s">
        <v>15814</v>
      </c>
      <c r="I10955" t="s">
        <v>161</v>
      </c>
      <c r="J10955">
        <v>6791</v>
      </c>
      <c r="K10955">
        <v>277</v>
      </c>
      <c r="L10955" t="s">
        <v>23</v>
      </c>
      <c r="M10955" t="s">
        <v>24533</v>
      </c>
      <c r="N10955" t="s">
        <v>15814</v>
      </c>
      <c r="O10955" t="s">
        <v>161</v>
      </c>
      <c r="P10955">
        <v>6791</v>
      </c>
      <c r="Q10955">
        <v>277</v>
      </c>
      <c r="R10955" t="s">
        <v>23</v>
      </c>
      <c r="S10955" s="1" t="s">
        <v>34218</v>
      </c>
    </row>
    <row r="10956" spans="1:19" x14ac:dyDescent="0.25">
      <c r="A10956">
        <v>101474605</v>
      </c>
      <c r="B10956" t="s">
        <v>24534</v>
      </c>
      <c r="C10956" t="s">
        <v>24535</v>
      </c>
      <c r="G10956" t="s">
        <v>19021</v>
      </c>
      <c r="H10956" t="s">
        <v>22825</v>
      </c>
      <c r="I10956" t="s">
        <v>327</v>
      </c>
      <c r="J10956">
        <v>24938</v>
      </c>
      <c r="K10956">
        <v>147</v>
      </c>
      <c r="L10956" t="s">
        <v>23</v>
      </c>
      <c r="M10956" t="s">
        <v>19021</v>
      </c>
      <c r="N10956" t="s">
        <v>22825</v>
      </c>
      <c r="O10956" t="s">
        <v>327</v>
      </c>
      <c r="P10956">
        <v>24938</v>
      </c>
      <c r="Q10956">
        <v>147</v>
      </c>
      <c r="R10956" t="s">
        <v>23</v>
      </c>
      <c r="S10956" s="1" t="s">
        <v>34218</v>
      </c>
    </row>
    <row r="10957" spans="1:19" x14ac:dyDescent="0.25">
      <c r="A10957">
        <v>101420735</v>
      </c>
      <c r="B10957" t="s">
        <v>744</v>
      </c>
      <c r="C10957" t="s">
        <v>24536</v>
      </c>
      <c r="G10957" t="s">
        <v>24537</v>
      </c>
      <c r="H10957" t="s">
        <v>7649</v>
      </c>
      <c r="I10957" t="s">
        <v>57</v>
      </c>
      <c r="J10957">
        <v>46256</v>
      </c>
      <c r="K10957">
        <v>1358</v>
      </c>
      <c r="L10957" t="s">
        <v>23</v>
      </c>
      <c r="M10957" t="s">
        <v>24537</v>
      </c>
      <c r="N10957" t="s">
        <v>7649</v>
      </c>
      <c r="O10957" t="s">
        <v>57</v>
      </c>
      <c r="P10957">
        <v>46256</v>
      </c>
      <c r="Q10957">
        <v>1358</v>
      </c>
      <c r="R10957" t="s">
        <v>23</v>
      </c>
      <c r="S10957" s="1" t="s">
        <v>34218</v>
      </c>
    </row>
    <row r="10958" spans="1:19" x14ac:dyDescent="0.25">
      <c r="A10958">
        <v>100865934</v>
      </c>
      <c r="B10958" t="s">
        <v>24538</v>
      </c>
      <c r="C10958" t="s">
        <v>571</v>
      </c>
      <c r="G10958" t="s">
        <v>24539</v>
      </c>
      <c r="H10958" t="s">
        <v>357</v>
      </c>
      <c r="I10958" t="s">
        <v>255</v>
      </c>
      <c r="J10958">
        <v>22304</v>
      </c>
      <c r="K10958">
        <v>1510</v>
      </c>
      <c r="L10958" t="s">
        <v>23</v>
      </c>
      <c r="M10958" t="s">
        <v>24539</v>
      </c>
      <c r="N10958" t="s">
        <v>357</v>
      </c>
      <c r="O10958" t="s">
        <v>255</v>
      </c>
      <c r="P10958">
        <v>22304</v>
      </c>
      <c r="Q10958">
        <v>1510</v>
      </c>
      <c r="R10958" t="s">
        <v>23</v>
      </c>
      <c r="S10958" s="1" t="s">
        <v>34218</v>
      </c>
    </row>
    <row r="10959" spans="1:19" x14ac:dyDescent="0.25">
      <c r="A10959">
        <v>101019005</v>
      </c>
      <c r="B10959" t="s">
        <v>3708</v>
      </c>
      <c r="C10959" t="s">
        <v>313</v>
      </c>
      <c r="G10959" t="s">
        <v>24540</v>
      </c>
      <c r="H10959" t="s">
        <v>9268</v>
      </c>
      <c r="I10959" t="s">
        <v>348</v>
      </c>
      <c r="J10959">
        <v>83669</v>
      </c>
      <c r="K10959">
        <v>5088</v>
      </c>
      <c r="L10959" t="s">
        <v>23</v>
      </c>
      <c r="M10959" t="s">
        <v>24540</v>
      </c>
      <c r="N10959" t="s">
        <v>9268</v>
      </c>
      <c r="O10959" t="s">
        <v>348</v>
      </c>
      <c r="P10959">
        <v>83669</v>
      </c>
      <c r="Q10959">
        <v>5088</v>
      </c>
      <c r="R10959" t="s">
        <v>23</v>
      </c>
      <c r="S10959" s="1" t="s">
        <v>34218</v>
      </c>
    </row>
    <row r="10960" spans="1:19" x14ac:dyDescent="0.25">
      <c r="A10960">
        <v>101467826</v>
      </c>
      <c r="B10960" t="s">
        <v>654</v>
      </c>
      <c r="C10960" t="s">
        <v>114</v>
      </c>
      <c r="G10960" t="s">
        <v>24541</v>
      </c>
      <c r="H10960" t="s">
        <v>2279</v>
      </c>
      <c r="I10960" t="s">
        <v>52</v>
      </c>
      <c r="J10960">
        <v>33618</v>
      </c>
      <c r="K10960">
        <v>5301</v>
      </c>
      <c r="L10960" t="s">
        <v>23</v>
      </c>
      <c r="M10960" t="s">
        <v>24541</v>
      </c>
      <c r="N10960" t="s">
        <v>2279</v>
      </c>
      <c r="O10960" t="s">
        <v>52</v>
      </c>
      <c r="P10960">
        <v>33618</v>
      </c>
      <c r="Q10960">
        <v>5301</v>
      </c>
      <c r="R10960" t="s">
        <v>23</v>
      </c>
      <c r="S10960" s="1" t="s">
        <v>34218</v>
      </c>
    </row>
    <row r="10961" spans="1:19" x14ac:dyDescent="0.25">
      <c r="A10961">
        <v>100747125</v>
      </c>
      <c r="B10961" t="s">
        <v>7463</v>
      </c>
      <c r="C10961" t="s">
        <v>24542</v>
      </c>
      <c r="G10961" t="s">
        <v>24543</v>
      </c>
      <c r="H10961" t="s">
        <v>4592</v>
      </c>
      <c r="I10961" t="s">
        <v>148</v>
      </c>
      <c r="J10961">
        <v>21234</v>
      </c>
      <c r="K10961">
        <v>3710</v>
      </c>
      <c r="L10961" t="s">
        <v>23</v>
      </c>
      <c r="M10961" t="s">
        <v>24543</v>
      </c>
      <c r="N10961" t="s">
        <v>4592</v>
      </c>
      <c r="O10961" t="s">
        <v>148</v>
      </c>
      <c r="P10961">
        <v>21234</v>
      </c>
      <c r="Q10961">
        <v>3710</v>
      </c>
      <c r="R10961" t="s">
        <v>23</v>
      </c>
      <c r="S10961" s="1" t="s">
        <v>34218</v>
      </c>
    </row>
    <row r="10962" spans="1:19" x14ac:dyDescent="0.25">
      <c r="A10962">
        <v>101472043</v>
      </c>
      <c r="B10962" t="s">
        <v>6681</v>
      </c>
      <c r="C10962" t="s">
        <v>90</v>
      </c>
      <c r="G10962" t="s">
        <v>24544</v>
      </c>
      <c r="H10962" t="s">
        <v>3302</v>
      </c>
      <c r="I10962" t="s">
        <v>22</v>
      </c>
      <c r="J10962">
        <v>92545</v>
      </c>
      <c r="K10962">
        <v>2285</v>
      </c>
      <c r="L10962" t="s">
        <v>23</v>
      </c>
      <c r="M10962" t="s">
        <v>24544</v>
      </c>
      <c r="N10962" t="s">
        <v>3302</v>
      </c>
      <c r="O10962" t="s">
        <v>22</v>
      </c>
      <c r="P10962">
        <v>92545</v>
      </c>
      <c r="Q10962">
        <v>2285</v>
      </c>
      <c r="R10962" t="s">
        <v>23</v>
      </c>
      <c r="S10962" s="1" t="s">
        <v>34218</v>
      </c>
    </row>
    <row r="10963" spans="1:19" x14ac:dyDescent="0.25">
      <c r="A10963">
        <v>101419176</v>
      </c>
      <c r="B10963" t="s">
        <v>24545</v>
      </c>
      <c r="C10963" t="s">
        <v>10927</v>
      </c>
      <c r="G10963" t="s">
        <v>24546</v>
      </c>
      <c r="H10963" t="s">
        <v>24547</v>
      </c>
      <c r="I10963" t="s">
        <v>236</v>
      </c>
      <c r="J10963">
        <v>2554</v>
      </c>
      <c r="K10963">
        <v>2766</v>
      </c>
      <c r="L10963" t="s">
        <v>23</v>
      </c>
      <c r="M10963" t="s">
        <v>24546</v>
      </c>
      <c r="N10963" t="s">
        <v>24547</v>
      </c>
      <c r="O10963" t="s">
        <v>236</v>
      </c>
      <c r="P10963">
        <v>2554</v>
      </c>
      <c r="Q10963">
        <v>2766</v>
      </c>
      <c r="R10963" t="s">
        <v>23</v>
      </c>
      <c r="S10963" s="1" t="s">
        <v>34218</v>
      </c>
    </row>
    <row r="10964" spans="1:19" x14ac:dyDescent="0.25">
      <c r="A10964">
        <v>100659466</v>
      </c>
      <c r="B10964" t="s">
        <v>24548</v>
      </c>
      <c r="C10964" t="s">
        <v>251</v>
      </c>
      <c r="F10964" t="str">
        <f>"7032310313"</f>
        <v>7032310313</v>
      </c>
      <c r="G10964" t="s">
        <v>24549</v>
      </c>
      <c r="H10964" t="s">
        <v>18105</v>
      </c>
      <c r="I10964" t="s">
        <v>255</v>
      </c>
      <c r="J10964">
        <v>22116</v>
      </c>
      <c r="L10964" t="s">
        <v>23</v>
      </c>
      <c r="M10964" t="s">
        <v>24549</v>
      </c>
      <c r="N10964" t="s">
        <v>18105</v>
      </c>
      <c r="O10964" t="s">
        <v>255</v>
      </c>
      <c r="P10964">
        <v>22116</v>
      </c>
      <c r="R10964" t="s">
        <v>23</v>
      </c>
      <c r="S10964" s="1" t="s">
        <v>34218</v>
      </c>
    </row>
    <row r="10965" spans="1:19" x14ac:dyDescent="0.25">
      <c r="A10965">
        <v>100693839</v>
      </c>
      <c r="B10965" t="s">
        <v>14056</v>
      </c>
      <c r="C10965" t="s">
        <v>2220</v>
      </c>
      <c r="G10965" t="s">
        <v>24550</v>
      </c>
      <c r="H10965" t="s">
        <v>299</v>
      </c>
      <c r="I10965" t="s">
        <v>22</v>
      </c>
      <c r="J10965">
        <v>90012</v>
      </c>
      <c r="K10965">
        <v>1834</v>
      </c>
      <c r="L10965" t="s">
        <v>23</v>
      </c>
      <c r="M10965" t="s">
        <v>24550</v>
      </c>
      <c r="N10965" t="s">
        <v>299</v>
      </c>
      <c r="O10965" t="s">
        <v>22</v>
      </c>
      <c r="P10965">
        <v>90012</v>
      </c>
      <c r="Q10965">
        <v>1834</v>
      </c>
      <c r="R10965" t="s">
        <v>23</v>
      </c>
      <c r="S10965" s="1" t="s">
        <v>34218</v>
      </c>
    </row>
    <row r="10966" spans="1:19" x14ac:dyDescent="0.25">
      <c r="A10966">
        <v>101325746</v>
      </c>
      <c r="B10966" t="s">
        <v>24551</v>
      </c>
      <c r="C10966" t="s">
        <v>24552</v>
      </c>
      <c r="G10966" t="s">
        <v>24553</v>
      </c>
      <c r="H10966" t="s">
        <v>2100</v>
      </c>
      <c r="I10966" t="s">
        <v>52</v>
      </c>
      <c r="J10966">
        <v>33301</v>
      </c>
      <c r="K10966">
        <v>1410</v>
      </c>
      <c r="L10966" t="s">
        <v>23</v>
      </c>
      <c r="M10966" t="s">
        <v>24553</v>
      </c>
      <c r="N10966" t="s">
        <v>2100</v>
      </c>
      <c r="O10966" t="s">
        <v>52</v>
      </c>
      <c r="P10966">
        <v>33301</v>
      </c>
      <c r="Q10966">
        <v>1410</v>
      </c>
      <c r="R10966" t="s">
        <v>23</v>
      </c>
      <c r="S10966" s="1" t="s">
        <v>34218</v>
      </c>
    </row>
    <row r="10967" spans="1:19" x14ac:dyDescent="0.25">
      <c r="A10967">
        <v>101065080</v>
      </c>
      <c r="B10967" t="s">
        <v>24554</v>
      </c>
      <c r="C10967" t="s">
        <v>247</v>
      </c>
      <c r="G10967" t="s">
        <v>24555</v>
      </c>
      <c r="H10967" t="s">
        <v>24556</v>
      </c>
      <c r="I10967" t="s">
        <v>117</v>
      </c>
      <c r="J10967">
        <v>14886</v>
      </c>
      <c r="K10967">
        <v>9106</v>
      </c>
      <c r="L10967" t="s">
        <v>23</v>
      </c>
      <c r="M10967" t="s">
        <v>24555</v>
      </c>
      <c r="N10967" t="s">
        <v>24556</v>
      </c>
      <c r="O10967" t="s">
        <v>117</v>
      </c>
      <c r="P10967">
        <v>14886</v>
      </c>
      <c r="Q10967">
        <v>9106</v>
      </c>
      <c r="R10967" t="s">
        <v>23</v>
      </c>
      <c r="S10967" s="1" t="s">
        <v>34218</v>
      </c>
    </row>
    <row r="10968" spans="1:19" x14ac:dyDescent="0.25">
      <c r="A10968">
        <v>101438318</v>
      </c>
      <c r="B10968" t="s">
        <v>24557</v>
      </c>
      <c r="C10968" t="s">
        <v>1824</v>
      </c>
      <c r="G10968">
        <v>2306</v>
      </c>
      <c r="H10968" t="s">
        <v>21</v>
      </c>
      <c r="I10968" t="s">
        <v>22</v>
      </c>
      <c r="J10968">
        <v>95401</v>
      </c>
      <c r="L10968" t="s">
        <v>23</v>
      </c>
      <c r="M10968">
        <v>2306</v>
      </c>
      <c r="N10968" t="s">
        <v>21</v>
      </c>
      <c r="O10968" t="s">
        <v>22</v>
      </c>
      <c r="P10968">
        <v>95401</v>
      </c>
      <c r="R10968" t="s">
        <v>23</v>
      </c>
      <c r="S10968" s="1" t="s">
        <v>34218</v>
      </c>
    </row>
    <row r="10969" spans="1:19" x14ac:dyDescent="0.25">
      <c r="A10969">
        <v>101276688</v>
      </c>
      <c r="B10969" t="s">
        <v>24558</v>
      </c>
      <c r="C10969" t="s">
        <v>535</v>
      </c>
      <c r="G10969" t="s">
        <v>24559</v>
      </c>
      <c r="H10969" t="s">
        <v>7343</v>
      </c>
      <c r="I10969" t="s">
        <v>33</v>
      </c>
      <c r="J10969">
        <v>18073</v>
      </c>
      <c r="L10969" t="s">
        <v>23</v>
      </c>
      <c r="M10969" t="s">
        <v>24559</v>
      </c>
      <c r="N10969" t="s">
        <v>7343</v>
      </c>
      <c r="O10969" t="s">
        <v>33</v>
      </c>
      <c r="P10969">
        <v>18073</v>
      </c>
      <c r="R10969" t="s">
        <v>23</v>
      </c>
      <c r="S10969" s="1" t="s">
        <v>34218</v>
      </c>
    </row>
    <row r="10970" spans="1:19" x14ac:dyDescent="0.25">
      <c r="A10970">
        <v>100515232</v>
      </c>
      <c r="B10970" t="s">
        <v>13533</v>
      </c>
      <c r="C10970" t="s">
        <v>1859</v>
      </c>
      <c r="G10970" t="s">
        <v>24560</v>
      </c>
      <c r="H10970" t="s">
        <v>2215</v>
      </c>
      <c r="I10970" t="s">
        <v>84</v>
      </c>
      <c r="J10970">
        <v>98363</v>
      </c>
      <c r="L10970" t="s">
        <v>23</v>
      </c>
      <c r="M10970" t="s">
        <v>24560</v>
      </c>
      <c r="N10970" t="s">
        <v>2215</v>
      </c>
      <c r="O10970" t="s">
        <v>84</v>
      </c>
      <c r="P10970">
        <v>98363</v>
      </c>
      <c r="R10970" t="s">
        <v>23</v>
      </c>
      <c r="S10970" s="1" t="s">
        <v>34218</v>
      </c>
    </row>
    <row r="10971" spans="1:19" x14ac:dyDescent="0.25">
      <c r="A10971">
        <v>101012274</v>
      </c>
      <c r="B10971" t="s">
        <v>3184</v>
      </c>
      <c r="C10971" t="s">
        <v>1676</v>
      </c>
      <c r="G10971" t="s">
        <v>24561</v>
      </c>
      <c r="H10971" t="s">
        <v>2984</v>
      </c>
      <c r="I10971" t="s">
        <v>28</v>
      </c>
      <c r="J10971" t="s">
        <v>24562</v>
      </c>
      <c r="K10971">
        <v>5741</v>
      </c>
      <c r="L10971" t="s">
        <v>23</v>
      </c>
      <c r="M10971" t="s">
        <v>24561</v>
      </c>
      <c r="N10971" t="s">
        <v>2984</v>
      </c>
      <c r="O10971" t="s">
        <v>28</v>
      </c>
      <c r="P10971" t="s">
        <v>24562</v>
      </c>
      <c r="Q10971">
        <v>5741</v>
      </c>
      <c r="R10971" t="s">
        <v>23</v>
      </c>
      <c r="S10971" s="1" t="s">
        <v>34218</v>
      </c>
    </row>
    <row r="10972" spans="1:19" x14ac:dyDescent="0.25">
      <c r="A10972">
        <v>101287150</v>
      </c>
      <c r="B10972" t="s">
        <v>24563</v>
      </c>
      <c r="C10972" t="s">
        <v>30</v>
      </c>
      <c r="G10972" t="s">
        <v>24564</v>
      </c>
      <c r="H10972" t="s">
        <v>5620</v>
      </c>
      <c r="I10972" t="s">
        <v>236</v>
      </c>
      <c r="J10972">
        <v>1950</v>
      </c>
      <c r="K10972">
        <v>3008</v>
      </c>
      <c r="L10972" t="s">
        <v>23</v>
      </c>
      <c r="M10972" t="s">
        <v>24564</v>
      </c>
      <c r="N10972" t="s">
        <v>5620</v>
      </c>
      <c r="O10972" t="s">
        <v>236</v>
      </c>
      <c r="P10972">
        <v>1950</v>
      </c>
      <c r="Q10972">
        <v>3008</v>
      </c>
      <c r="R10972" t="s">
        <v>23</v>
      </c>
      <c r="S10972" s="1" t="s">
        <v>34218</v>
      </c>
    </row>
    <row r="10973" spans="1:19" x14ac:dyDescent="0.25">
      <c r="A10973">
        <v>101465910</v>
      </c>
      <c r="B10973" t="s">
        <v>24565</v>
      </c>
      <c r="C10973" t="s">
        <v>3714</v>
      </c>
      <c r="G10973" t="s">
        <v>24566</v>
      </c>
      <c r="H10973" t="s">
        <v>24567</v>
      </c>
      <c r="I10973" t="s">
        <v>38</v>
      </c>
      <c r="J10973">
        <v>76107</v>
      </c>
      <c r="K10973">
        <v>4230</v>
      </c>
      <c r="L10973" t="s">
        <v>23</v>
      </c>
      <c r="M10973" t="s">
        <v>24566</v>
      </c>
      <c r="N10973" t="s">
        <v>24567</v>
      </c>
      <c r="O10973" t="s">
        <v>38</v>
      </c>
      <c r="P10973">
        <v>76107</v>
      </c>
      <c r="Q10973">
        <v>4230</v>
      </c>
      <c r="R10973" t="s">
        <v>23</v>
      </c>
      <c r="S10973" s="1" t="s">
        <v>34218</v>
      </c>
    </row>
    <row r="10974" spans="1:19" x14ac:dyDescent="0.25">
      <c r="A10974">
        <v>101479480</v>
      </c>
      <c r="B10974" t="s">
        <v>24568</v>
      </c>
      <c r="C10974" t="s">
        <v>575</v>
      </c>
      <c r="G10974" t="s">
        <v>24569</v>
      </c>
      <c r="H10974" t="s">
        <v>9399</v>
      </c>
      <c r="I10974" t="s">
        <v>22</v>
      </c>
      <c r="J10974">
        <v>94022</v>
      </c>
      <c r="K10974">
        <v>1145</v>
      </c>
      <c r="L10974" t="s">
        <v>23</v>
      </c>
      <c r="M10974" t="s">
        <v>24569</v>
      </c>
      <c r="N10974" t="s">
        <v>9399</v>
      </c>
      <c r="O10974" t="s">
        <v>22</v>
      </c>
      <c r="P10974">
        <v>94022</v>
      </c>
      <c r="Q10974">
        <v>1145</v>
      </c>
      <c r="R10974" t="s">
        <v>23</v>
      </c>
      <c r="S10974" s="1" t="s">
        <v>34218</v>
      </c>
    </row>
    <row r="10975" spans="1:19" x14ac:dyDescent="0.25">
      <c r="A10975">
        <v>101479648</v>
      </c>
      <c r="B10975" t="s">
        <v>13269</v>
      </c>
      <c r="C10975" t="s">
        <v>132</v>
      </c>
      <c r="G10975" t="s">
        <v>24570</v>
      </c>
      <c r="H10975" t="s">
        <v>3302</v>
      </c>
      <c r="I10975" t="s">
        <v>22</v>
      </c>
      <c r="J10975">
        <v>92544</v>
      </c>
      <c r="K10975">
        <v>6723</v>
      </c>
      <c r="L10975" t="s">
        <v>23</v>
      </c>
      <c r="M10975" t="s">
        <v>24570</v>
      </c>
      <c r="N10975" t="s">
        <v>3302</v>
      </c>
      <c r="O10975" t="s">
        <v>22</v>
      </c>
      <c r="P10975">
        <v>92544</v>
      </c>
      <c r="Q10975">
        <v>6723</v>
      </c>
      <c r="R10975" t="s">
        <v>23</v>
      </c>
      <c r="S10975" s="1" t="s">
        <v>34218</v>
      </c>
    </row>
    <row r="10976" spans="1:19" x14ac:dyDescent="0.25">
      <c r="A10976">
        <v>101470504</v>
      </c>
      <c r="B10976" t="s">
        <v>24571</v>
      </c>
      <c r="C10976" t="s">
        <v>158</v>
      </c>
      <c r="G10976" t="s">
        <v>24572</v>
      </c>
      <c r="H10976" t="s">
        <v>4495</v>
      </c>
      <c r="I10976" t="s">
        <v>22</v>
      </c>
      <c r="J10976">
        <v>91020</v>
      </c>
      <c r="K10976">
        <v>1512</v>
      </c>
      <c r="L10976" t="s">
        <v>23</v>
      </c>
      <c r="M10976" t="s">
        <v>24572</v>
      </c>
      <c r="N10976" t="s">
        <v>4495</v>
      </c>
      <c r="O10976" t="s">
        <v>22</v>
      </c>
      <c r="P10976">
        <v>91020</v>
      </c>
      <c r="Q10976">
        <v>1512</v>
      </c>
      <c r="R10976" t="s">
        <v>23</v>
      </c>
      <c r="S10976" s="1" t="s">
        <v>34218</v>
      </c>
    </row>
    <row r="10977" spans="1:19" x14ac:dyDescent="0.25">
      <c r="A10977">
        <v>100554426</v>
      </c>
      <c r="B10977" t="s">
        <v>24573</v>
      </c>
      <c r="C10977" t="s">
        <v>9642</v>
      </c>
      <c r="G10977" t="s">
        <v>24574</v>
      </c>
      <c r="H10977" t="s">
        <v>2601</v>
      </c>
      <c r="I10977" t="s">
        <v>22</v>
      </c>
      <c r="J10977">
        <v>93940</v>
      </c>
      <c r="K10977">
        <v>1611</v>
      </c>
      <c r="L10977" t="s">
        <v>23</v>
      </c>
      <c r="M10977" t="s">
        <v>24574</v>
      </c>
      <c r="N10977" t="s">
        <v>2601</v>
      </c>
      <c r="O10977" t="s">
        <v>22</v>
      </c>
      <c r="P10977">
        <v>93940</v>
      </c>
      <c r="Q10977">
        <v>1611</v>
      </c>
      <c r="R10977" t="s">
        <v>23</v>
      </c>
      <c r="S10977" s="1" t="s">
        <v>34218</v>
      </c>
    </row>
    <row r="10978" spans="1:19" x14ac:dyDescent="0.25">
      <c r="A10978">
        <v>101057481</v>
      </c>
      <c r="B10978" t="s">
        <v>24575</v>
      </c>
      <c r="C10978" t="s">
        <v>1007</v>
      </c>
      <c r="G10978" t="s">
        <v>24576</v>
      </c>
      <c r="H10978" t="s">
        <v>1402</v>
      </c>
      <c r="I10978" t="s">
        <v>38</v>
      </c>
      <c r="J10978">
        <v>77035</v>
      </c>
      <c r="K10978">
        <v>5914</v>
      </c>
      <c r="L10978" t="s">
        <v>23</v>
      </c>
      <c r="M10978" t="s">
        <v>24576</v>
      </c>
      <c r="N10978" t="s">
        <v>1402</v>
      </c>
      <c r="O10978" t="s">
        <v>38</v>
      </c>
      <c r="P10978">
        <v>77035</v>
      </c>
      <c r="Q10978">
        <v>5914</v>
      </c>
      <c r="R10978" t="s">
        <v>23</v>
      </c>
      <c r="S10978" s="1" t="s">
        <v>34218</v>
      </c>
    </row>
    <row r="10979" spans="1:19" x14ac:dyDescent="0.25">
      <c r="A10979">
        <v>101470522</v>
      </c>
      <c r="B10979" t="s">
        <v>11891</v>
      </c>
      <c r="C10979" t="s">
        <v>24577</v>
      </c>
      <c r="G10979" t="s">
        <v>24578</v>
      </c>
      <c r="H10979" t="s">
        <v>775</v>
      </c>
      <c r="I10979" t="s">
        <v>22</v>
      </c>
      <c r="J10979">
        <v>95076</v>
      </c>
      <c r="K10979">
        <v>136</v>
      </c>
      <c r="L10979" t="s">
        <v>23</v>
      </c>
      <c r="M10979" t="s">
        <v>24578</v>
      </c>
      <c r="N10979" t="s">
        <v>775</v>
      </c>
      <c r="O10979" t="s">
        <v>22</v>
      </c>
      <c r="P10979">
        <v>95076</v>
      </c>
      <c r="Q10979">
        <v>136</v>
      </c>
      <c r="R10979" t="s">
        <v>23</v>
      </c>
      <c r="S10979" s="1" t="s">
        <v>34218</v>
      </c>
    </row>
    <row r="10980" spans="1:19" x14ac:dyDescent="0.25">
      <c r="A10980">
        <v>101470528</v>
      </c>
      <c r="B10980" t="s">
        <v>4530</v>
      </c>
      <c r="C10980" t="s">
        <v>3066</v>
      </c>
      <c r="G10980" t="s">
        <v>4532</v>
      </c>
      <c r="H10980" t="s">
        <v>1489</v>
      </c>
      <c r="I10980" t="s">
        <v>62</v>
      </c>
      <c r="J10980">
        <v>74137</v>
      </c>
      <c r="K10980">
        <v>3645</v>
      </c>
      <c r="L10980" t="s">
        <v>23</v>
      </c>
      <c r="M10980" t="s">
        <v>4532</v>
      </c>
      <c r="N10980" t="s">
        <v>1489</v>
      </c>
      <c r="O10980" t="s">
        <v>62</v>
      </c>
      <c r="P10980">
        <v>74137</v>
      </c>
      <c r="Q10980">
        <v>3645</v>
      </c>
      <c r="R10980" t="s">
        <v>23</v>
      </c>
      <c r="S10980" s="1" t="s">
        <v>34218</v>
      </c>
    </row>
    <row r="10981" spans="1:19" x14ac:dyDescent="0.25">
      <c r="A10981">
        <v>100771579</v>
      </c>
      <c r="B10981" t="s">
        <v>24579</v>
      </c>
      <c r="C10981" t="s">
        <v>1285</v>
      </c>
      <c r="G10981" t="s">
        <v>24580</v>
      </c>
      <c r="H10981" t="s">
        <v>423</v>
      </c>
      <c r="I10981" t="s">
        <v>71</v>
      </c>
      <c r="J10981">
        <v>80305</v>
      </c>
      <c r="K10981">
        <v>7038</v>
      </c>
      <c r="L10981" t="s">
        <v>23</v>
      </c>
      <c r="M10981" t="s">
        <v>24580</v>
      </c>
      <c r="N10981" t="s">
        <v>423</v>
      </c>
      <c r="O10981" t="s">
        <v>71</v>
      </c>
      <c r="P10981">
        <v>80305</v>
      </c>
      <c r="Q10981">
        <v>7038</v>
      </c>
      <c r="R10981" t="s">
        <v>23</v>
      </c>
      <c r="S10981" s="1" t="s">
        <v>34218</v>
      </c>
    </row>
    <row r="10982" spans="1:19" x14ac:dyDescent="0.25">
      <c r="A10982">
        <v>101079012</v>
      </c>
      <c r="B10982" t="s">
        <v>11551</v>
      </c>
      <c r="C10982" t="s">
        <v>282</v>
      </c>
      <c r="G10982" t="s">
        <v>24581</v>
      </c>
      <c r="H10982" t="s">
        <v>1754</v>
      </c>
      <c r="I10982" t="s">
        <v>135</v>
      </c>
      <c r="J10982">
        <v>60203</v>
      </c>
      <c r="K10982">
        <v>1627</v>
      </c>
      <c r="L10982" t="s">
        <v>23</v>
      </c>
      <c r="M10982" t="s">
        <v>24581</v>
      </c>
      <c r="N10982" t="s">
        <v>1754</v>
      </c>
      <c r="O10982" t="s">
        <v>135</v>
      </c>
      <c r="P10982">
        <v>60203</v>
      </c>
      <c r="Q10982">
        <v>1627</v>
      </c>
      <c r="R10982" t="s">
        <v>23</v>
      </c>
      <c r="S10982" s="1" t="s">
        <v>34218</v>
      </c>
    </row>
    <row r="10983" spans="1:19" x14ac:dyDescent="0.25">
      <c r="A10983">
        <v>100536012</v>
      </c>
      <c r="B10983" t="s">
        <v>2300</v>
      </c>
      <c r="C10983" t="s">
        <v>1124</v>
      </c>
      <c r="F10983" t="str">
        <f>"6192661355"</f>
        <v>6192661355</v>
      </c>
      <c r="G10983" t="s">
        <v>24582</v>
      </c>
      <c r="H10983" t="s">
        <v>198</v>
      </c>
      <c r="I10983" t="s">
        <v>22</v>
      </c>
      <c r="J10983">
        <v>92105</v>
      </c>
      <c r="K10983">
        <v>5153</v>
      </c>
      <c r="L10983" t="s">
        <v>23</v>
      </c>
      <c r="M10983" t="s">
        <v>24582</v>
      </c>
      <c r="N10983" t="s">
        <v>198</v>
      </c>
      <c r="O10983" t="s">
        <v>22</v>
      </c>
      <c r="P10983">
        <v>92105</v>
      </c>
      <c r="Q10983">
        <v>5153</v>
      </c>
      <c r="R10983" t="s">
        <v>23</v>
      </c>
      <c r="S10983" s="1" t="s">
        <v>34218</v>
      </c>
    </row>
    <row r="10984" spans="1:19" x14ac:dyDescent="0.25">
      <c r="A10984">
        <v>101470539</v>
      </c>
      <c r="B10984" t="s">
        <v>2891</v>
      </c>
      <c r="C10984" t="s">
        <v>5274</v>
      </c>
      <c r="G10984" t="s">
        <v>24583</v>
      </c>
      <c r="H10984" t="s">
        <v>108</v>
      </c>
      <c r="I10984" t="s">
        <v>22</v>
      </c>
      <c r="J10984">
        <v>93004</v>
      </c>
      <c r="K10984">
        <v>2884</v>
      </c>
      <c r="L10984" t="s">
        <v>23</v>
      </c>
      <c r="M10984" t="s">
        <v>24583</v>
      </c>
      <c r="N10984" t="s">
        <v>108</v>
      </c>
      <c r="O10984" t="s">
        <v>22</v>
      </c>
      <c r="P10984">
        <v>93004</v>
      </c>
      <c r="Q10984">
        <v>2884</v>
      </c>
      <c r="R10984" t="s">
        <v>23</v>
      </c>
      <c r="S10984" s="1" t="s">
        <v>34218</v>
      </c>
    </row>
    <row r="10985" spans="1:19" x14ac:dyDescent="0.25">
      <c r="A10985">
        <v>101333129</v>
      </c>
      <c r="B10985" t="s">
        <v>24584</v>
      </c>
      <c r="C10985" t="s">
        <v>865</v>
      </c>
      <c r="G10985" t="s">
        <v>24585</v>
      </c>
      <c r="H10985" t="s">
        <v>11625</v>
      </c>
      <c r="I10985" t="s">
        <v>2310</v>
      </c>
      <c r="J10985">
        <v>19901</v>
      </c>
      <c r="K10985">
        <v>2430</v>
      </c>
      <c r="L10985" t="s">
        <v>23</v>
      </c>
      <c r="M10985" t="s">
        <v>24585</v>
      </c>
      <c r="N10985" t="s">
        <v>11625</v>
      </c>
      <c r="O10985" t="s">
        <v>2310</v>
      </c>
      <c r="P10985">
        <v>19901</v>
      </c>
      <c r="Q10985">
        <v>2430</v>
      </c>
      <c r="R10985" t="s">
        <v>23</v>
      </c>
      <c r="S10985" s="1" t="s">
        <v>34218</v>
      </c>
    </row>
    <row r="10986" spans="1:19" x14ac:dyDescent="0.25">
      <c r="A10986">
        <v>101311627</v>
      </c>
      <c r="B10986" t="s">
        <v>24586</v>
      </c>
      <c r="C10986" t="s">
        <v>1036</v>
      </c>
      <c r="G10986" t="s">
        <v>24587</v>
      </c>
      <c r="H10986" t="s">
        <v>1463</v>
      </c>
      <c r="I10986" t="s">
        <v>236</v>
      </c>
      <c r="J10986">
        <v>1902</v>
      </c>
      <c r="K10986">
        <v>3268</v>
      </c>
      <c r="L10986" t="s">
        <v>23</v>
      </c>
      <c r="M10986" t="s">
        <v>24587</v>
      </c>
      <c r="N10986" t="s">
        <v>1463</v>
      </c>
      <c r="O10986" t="s">
        <v>236</v>
      </c>
      <c r="P10986">
        <v>1902</v>
      </c>
      <c r="Q10986">
        <v>3268</v>
      </c>
      <c r="R10986" t="s">
        <v>23</v>
      </c>
      <c r="S10986" s="1" t="s">
        <v>34218</v>
      </c>
    </row>
    <row r="10987" spans="1:19" x14ac:dyDescent="0.25">
      <c r="A10987">
        <v>100871142</v>
      </c>
      <c r="B10987" t="s">
        <v>12478</v>
      </c>
      <c r="C10987" t="s">
        <v>25</v>
      </c>
      <c r="G10987" t="s">
        <v>24588</v>
      </c>
      <c r="H10987" t="s">
        <v>445</v>
      </c>
      <c r="I10987" t="s">
        <v>446</v>
      </c>
      <c r="J10987">
        <v>28806</v>
      </c>
      <c r="K10987">
        <v>2933</v>
      </c>
      <c r="L10987" t="s">
        <v>23</v>
      </c>
      <c r="M10987" t="s">
        <v>24588</v>
      </c>
      <c r="N10987" t="s">
        <v>445</v>
      </c>
      <c r="O10987" t="s">
        <v>446</v>
      </c>
      <c r="P10987">
        <v>28806</v>
      </c>
      <c r="Q10987">
        <v>2933</v>
      </c>
      <c r="R10987" t="s">
        <v>23</v>
      </c>
      <c r="S10987" s="1" t="s">
        <v>34218</v>
      </c>
    </row>
    <row r="10988" spans="1:19" x14ac:dyDescent="0.25">
      <c r="A10988">
        <v>101470219</v>
      </c>
      <c r="B10988" t="s">
        <v>4696</v>
      </c>
      <c r="C10988" t="s">
        <v>309</v>
      </c>
      <c r="G10988" t="s">
        <v>24589</v>
      </c>
      <c r="H10988" t="s">
        <v>8841</v>
      </c>
      <c r="I10988" t="s">
        <v>22</v>
      </c>
      <c r="J10988">
        <v>94024</v>
      </c>
      <c r="K10988">
        <v>5230</v>
      </c>
      <c r="L10988" t="s">
        <v>23</v>
      </c>
      <c r="M10988" t="s">
        <v>24589</v>
      </c>
      <c r="N10988" t="s">
        <v>8841</v>
      </c>
      <c r="O10988" t="s">
        <v>22</v>
      </c>
      <c r="P10988">
        <v>94024</v>
      </c>
      <c r="Q10988">
        <v>5230</v>
      </c>
      <c r="R10988" t="s">
        <v>23</v>
      </c>
      <c r="S10988" s="1" t="s">
        <v>34218</v>
      </c>
    </row>
    <row r="10989" spans="1:19" x14ac:dyDescent="0.25">
      <c r="A10989">
        <v>101470222</v>
      </c>
      <c r="B10989" t="s">
        <v>24590</v>
      </c>
      <c r="C10989" t="s">
        <v>102</v>
      </c>
      <c r="G10989" t="s">
        <v>24591</v>
      </c>
      <c r="H10989" t="s">
        <v>17261</v>
      </c>
      <c r="I10989" t="s">
        <v>100</v>
      </c>
      <c r="J10989">
        <v>54449</v>
      </c>
      <c r="K10989">
        <v>1211</v>
      </c>
      <c r="L10989" t="s">
        <v>23</v>
      </c>
      <c r="M10989" t="s">
        <v>24591</v>
      </c>
      <c r="N10989" t="s">
        <v>17261</v>
      </c>
      <c r="O10989" t="s">
        <v>100</v>
      </c>
      <c r="P10989">
        <v>54449</v>
      </c>
      <c r="Q10989">
        <v>1211</v>
      </c>
      <c r="R10989" t="s">
        <v>23</v>
      </c>
      <c r="S10989" s="1" t="s">
        <v>34218</v>
      </c>
    </row>
    <row r="10990" spans="1:19" x14ac:dyDescent="0.25">
      <c r="A10990">
        <v>101467416</v>
      </c>
      <c r="B10990" t="s">
        <v>2132</v>
      </c>
      <c r="C10990" t="s">
        <v>2642</v>
      </c>
      <c r="G10990" t="s">
        <v>24592</v>
      </c>
      <c r="H10990" t="s">
        <v>1318</v>
      </c>
      <c r="I10990" t="s">
        <v>22</v>
      </c>
      <c r="J10990">
        <v>94598</v>
      </c>
      <c r="K10990">
        <v>1719</v>
      </c>
      <c r="L10990" t="s">
        <v>23</v>
      </c>
      <c r="M10990" t="s">
        <v>24592</v>
      </c>
      <c r="N10990" t="s">
        <v>1318</v>
      </c>
      <c r="O10990" t="s">
        <v>22</v>
      </c>
      <c r="P10990">
        <v>94598</v>
      </c>
      <c r="Q10990">
        <v>1719</v>
      </c>
      <c r="R10990" t="s">
        <v>23</v>
      </c>
      <c r="S10990" s="1" t="s">
        <v>34218</v>
      </c>
    </row>
    <row r="10991" spans="1:19" x14ac:dyDescent="0.25">
      <c r="A10991">
        <v>101479766</v>
      </c>
      <c r="B10991" t="s">
        <v>858</v>
      </c>
      <c r="C10991" t="s">
        <v>1208</v>
      </c>
      <c r="G10991" t="s">
        <v>24593</v>
      </c>
      <c r="H10991" t="s">
        <v>23930</v>
      </c>
      <c r="I10991" t="s">
        <v>22</v>
      </c>
      <c r="J10991">
        <v>93442</v>
      </c>
      <c r="K10991">
        <v>2429</v>
      </c>
      <c r="L10991" t="s">
        <v>23</v>
      </c>
      <c r="M10991" t="s">
        <v>24593</v>
      </c>
      <c r="N10991" t="s">
        <v>23930</v>
      </c>
      <c r="O10991" t="s">
        <v>22</v>
      </c>
      <c r="P10991">
        <v>93442</v>
      </c>
      <c r="Q10991">
        <v>2429</v>
      </c>
      <c r="R10991" t="s">
        <v>23</v>
      </c>
      <c r="S10991" s="1" t="s">
        <v>34218</v>
      </c>
    </row>
    <row r="10992" spans="1:19" x14ac:dyDescent="0.25">
      <c r="A10992">
        <v>101479773</v>
      </c>
      <c r="B10992" t="s">
        <v>8406</v>
      </c>
      <c r="C10992" t="s">
        <v>2873</v>
      </c>
      <c r="G10992" t="s">
        <v>24594</v>
      </c>
      <c r="H10992" t="s">
        <v>169</v>
      </c>
      <c r="I10992" t="s">
        <v>170</v>
      </c>
      <c r="J10992">
        <v>20003</v>
      </c>
      <c r="K10992">
        <v>2840</v>
      </c>
      <c r="L10992" t="s">
        <v>23</v>
      </c>
      <c r="M10992" t="s">
        <v>24594</v>
      </c>
      <c r="N10992" t="s">
        <v>169</v>
      </c>
      <c r="O10992" t="s">
        <v>170</v>
      </c>
      <c r="P10992">
        <v>20003</v>
      </c>
      <c r="Q10992">
        <v>2840</v>
      </c>
      <c r="R10992" t="s">
        <v>23</v>
      </c>
      <c r="S10992" s="1" t="s">
        <v>34218</v>
      </c>
    </row>
    <row r="10993" spans="1:19" x14ac:dyDescent="0.25">
      <c r="A10993">
        <v>101479780</v>
      </c>
      <c r="B10993" t="s">
        <v>24595</v>
      </c>
      <c r="C10993" t="s">
        <v>180</v>
      </c>
      <c r="G10993" t="s">
        <v>24596</v>
      </c>
      <c r="H10993" t="s">
        <v>24597</v>
      </c>
      <c r="I10993" t="s">
        <v>148</v>
      </c>
      <c r="J10993">
        <v>21793</v>
      </c>
      <c r="K10993">
        <v>8129</v>
      </c>
      <c r="L10993" t="s">
        <v>23</v>
      </c>
      <c r="M10993" t="s">
        <v>24596</v>
      </c>
      <c r="N10993" t="s">
        <v>24597</v>
      </c>
      <c r="O10993" t="s">
        <v>148</v>
      </c>
      <c r="P10993">
        <v>21793</v>
      </c>
      <c r="Q10993">
        <v>8129</v>
      </c>
      <c r="R10993" t="s">
        <v>23</v>
      </c>
      <c r="S10993" s="1" t="s">
        <v>34218</v>
      </c>
    </row>
    <row r="10994" spans="1:19" x14ac:dyDescent="0.25">
      <c r="A10994">
        <v>101479805</v>
      </c>
      <c r="B10994" t="s">
        <v>24598</v>
      </c>
      <c r="C10994" t="s">
        <v>1306</v>
      </c>
      <c r="G10994" t="s">
        <v>24599</v>
      </c>
      <c r="H10994" t="s">
        <v>1048</v>
      </c>
      <c r="I10994" t="s">
        <v>446</v>
      </c>
      <c r="J10994">
        <v>28791</v>
      </c>
      <c r="K10994">
        <v>2496</v>
      </c>
      <c r="L10994" t="s">
        <v>23</v>
      </c>
      <c r="M10994" t="s">
        <v>24599</v>
      </c>
      <c r="N10994" t="s">
        <v>1048</v>
      </c>
      <c r="O10994" t="s">
        <v>446</v>
      </c>
      <c r="P10994">
        <v>28791</v>
      </c>
      <c r="Q10994">
        <v>2496</v>
      </c>
      <c r="R10994" t="s">
        <v>23</v>
      </c>
      <c r="S10994" s="1" t="s">
        <v>34218</v>
      </c>
    </row>
    <row r="10995" spans="1:19" x14ac:dyDescent="0.25">
      <c r="A10995">
        <v>101479948</v>
      </c>
      <c r="B10995" t="s">
        <v>24600</v>
      </c>
      <c r="C10995" t="s">
        <v>1542</v>
      </c>
      <c r="G10995" t="s">
        <v>24601</v>
      </c>
      <c r="H10995" t="s">
        <v>1538</v>
      </c>
      <c r="I10995" t="s">
        <v>22</v>
      </c>
      <c r="J10995">
        <v>91403</v>
      </c>
      <c r="K10995">
        <v>3761</v>
      </c>
      <c r="L10995" t="s">
        <v>23</v>
      </c>
      <c r="M10995" t="s">
        <v>24601</v>
      </c>
      <c r="N10995" t="s">
        <v>1538</v>
      </c>
      <c r="O10995" t="s">
        <v>22</v>
      </c>
      <c r="P10995">
        <v>91403</v>
      </c>
      <c r="Q10995">
        <v>3761</v>
      </c>
      <c r="R10995" t="s">
        <v>23</v>
      </c>
      <c r="S10995" s="1" t="s">
        <v>34218</v>
      </c>
    </row>
    <row r="10996" spans="1:19" x14ac:dyDescent="0.25">
      <c r="A10996">
        <v>101479998</v>
      </c>
      <c r="B10996" t="s">
        <v>24602</v>
      </c>
      <c r="C10996" t="s">
        <v>180</v>
      </c>
      <c r="G10996" t="s">
        <v>24603</v>
      </c>
      <c r="H10996" t="s">
        <v>2948</v>
      </c>
      <c r="I10996" t="s">
        <v>22</v>
      </c>
      <c r="J10996">
        <v>91913</v>
      </c>
      <c r="K10996">
        <v>3706</v>
      </c>
      <c r="L10996" t="s">
        <v>23</v>
      </c>
      <c r="M10996" t="s">
        <v>24603</v>
      </c>
      <c r="N10996" t="s">
        <v>2948</v>
      </c>
      <c r="O10996" t="s">
        <v>22</v>
      </c>
      <c r="P10996">
        <v>91913</v>
      </c>
      <c r="Q10996">
        <v>3706</v>
      </c>
      <c r="R10996" t="s">
        <v>23</v>
      </c>
      <c r="S10996" s="1" t="s">
        <v>34218</v>
      </c>
    </row>
    <row r="10997" spans="1:19" x14ac:dyDescent="0.25">
      <c r="A10997">
        <v>101331337</v>
      </c>
      <c r="B10997" t="s">
        <v>24604</v>
      </c>
      <c r="C10997" t="s">
        <v>24605</v>
      </c>
      <c r="G10997" t="s">
        <v>24606</v>
      </c>
      <c r="H10997" t="s">
        <v>24607</v>
      </c>
      <c r="I10997" t="s">
        <v>140</v>
      </c>
      <c r="J10997">
        <v>48600</v>
      </c>
      <c r="L10997" t="s">
        <v>23</v>
      </c>
      <c r="M10997" t="s">
        <v>24606</v>
      </c>
      <c r="N10997" t="s">
        <v>24607</v>
      </c>
      <c r="O10997" t="s">
        <v>140</v>
      </c>
      <c r="P10997">
        <v>48600</v>
      </c>
      <c r="R10997" t="s">
        <v>23</v>
      </c>
      <c r="S10997" s="1" t="s">
        <v>34218</v>
      </c>
    </row>
    <row r="10998" spans="1:19" x14ac:dyDescent="0.25">
      <c r="A10998">
        <v>101481168</v>
      </c>
      <c r="B10998" t="s">
        <v>24608</v>
      </c>
      <c r="C10998" t="s">
        <v>763</v>
      </c>
      <c r="G10998" t="s">
        <v>24609</v>
      </c>
      <c r="H10998" t="s">
        <v>4859</v>
      </c>
      <c r="I10998" t="s">
        <v>148</v>
      </c>
      <c r="J10998">
        <v>20878</v>
      </c>
      <c r="L10998" t="s">
        <v>23</v>
      </c>
      <c r="M10998" t="s">
        <v>24609</v>
      </c>
      <c r="N10998" t="s">
        <v>4859</v>
      </c>
      <c r="O10998" t="s">
        <v>148</v>
      </c>
      <c r="P10998">
        <v>20878</v>
      </c>
      <c r="R10998" t="s">
        <v>23</v>
      </c>
      <c r="S10998" s="1" t="s">
        <v>34218</v>
      </c>
    </row>
    <row r="10999" spans="1:19" x14ac:dyDescent="0.25">
      <c r="A10999">
        <v>101467816</v>
      </c>
      <c r="B10999" t="s">
        <v>24610</v>
      </c>
      <c r="C10999" t="s">
        <v>24611</v>
      </c>
      <c r="H10999" t="s">
        <v>24612</v>
      </c>
      <c r="I10999" t="s">
        <v>24612</v>
      </c>
      <c r="J10999">
        <v>94280</v>
      </c>
      <c r="L10999" t="s">
        <v>24613</v>
      </c>
      <c r="N10999" t="s">
        <v>24612</v>
      </c>
      <c r="O10999" t="s">
        <v>24612</v>
      </c>
      <c r="P10999">
        <v>94280</v>
      </c>
      <c r="R10999" t="s">
        <v>24613</v>
      </c>
      <c r="S10999" s="1" t="s">
        <v>34218</v>
      </c>
    </row>
    <row r="11000" spans="1:19" x14ac:dyDescent="0.25">
      <c r="A11000">
        <v>101474742</v>
      </c>
      <c r="B11000" t="s">
        <v>24614</v>
      </c>
      <c r="C11000" t="s">
        <v>1671</v>
      </c>
      <c r="G11000" t="s">
        <v>24615</v>
      </c>
      <c r="H11000" t="s">
        <v>1105</v>
      </c>
      <c r="I11000" t="s">
        <v>117</v>
      </c>
      <c r="J11000">
        <v>10471</v>
      </c>
      <c r="K11000">
        <v>2521</v>
      </c>
      <c r="L11000" t="s">
        <v>23</v>
      </c>
      <c r="M11000" t="s">
        <v>24615</v>
      </c>
      <c r="N11000" t="s">
        <v>1105</v>
      </c>
      <c r="O11000" t="s">
        <v>117</v>
      </c>
      <c r="P11000">
        <v>10471</v>
      </c>
      <c r="Q11000">
        <v>2521</v>
      </c>
      <c r="R11000" t="s">
        <v>23</v>
      </c>
      <c r="S11000" s="1" t="s">
        <v>34218</v>
      </c>
    </row>
    <row r="11001" spans="1:19" x14ac:dyDescent="0.25">
      <c r="A11001">
        <v>101474785</v>
      </c>
      <c r="B11001" t="s">
        <v>24616</v>
      </c>
      <c r="C11001" t="s">
        <v>1050</v>
      </c>
      <c r="G11001" t="s">
        <v>24617</v>
      </c>
      <c r="H11001" t="s">
        <v>1931</v>
      </c>
      <c r="I11001" t="s">
        <v>117</v>
      </c>
      <c r="J11001">
        <v>10930</v>
      </c>
      <c r="K11001">
        <v>2637</v>
      </c>
      <c r="L11001" t="s">
        <v>23</v>
      </c>
      <c r="M11001" t="s">
        <v>24617</v>
      </c>
      <c r="N11001" t="s">
        <v>1931</v>
      </c>
      <c r="O11001" t="s">
        <v>117</v>
      </c>
      <c r="P11001">
        <v>10930</v>
      </c>
      <c r="Q11001">
        <v>2637</v>
      </c>
      <c r="R11001" t="s">
        <v>23</v>
      </c>
      <c r="S11001" s="1" t="s">
        <v>34218</v>
      </c>
    </row>
    <row r="11002" spans="1:19" x14ac:dyDescent="0.25">
      <c r="A11002">
        <v>101474853</v>
      </c>
      <c r="B11002" t="s">
        <v>24618</v>
      </c>
      <c r="C11002" t="s">
        <v>1374</v>
      </c>
      <c r="G11002" t="s">
        <v>24619</v>
      </c>
      <c r="H11002" t="s">
        <v>20437</v>
      </c>
      <c r="I11002" t="s">
        <v>52</v>
      </c>
      <c r="J11002">
        <v>33009</v>
      </c>
      <c r="K11002">
        <v>2962</v>
      </c>
      <c r="L11002" t="s">
        <v>23</v>
      </c>
      <c r="M11002" t="s">
        <v>24619</v>
      </c>
      <c r="N11002" t="s">
        <v>20437</v>
      </c>
      <c r="O11002" t="s">
        <v>52</v>
      </c>
      <c r="P11002">
        <v>33009</v>
      </c>
      <c r="Q11002">
        <v>2962</v>
      </c>
      <c r="R11002" t="s">
        <v>23</v>
      </c>
      <c r="S11002" s="1" t="s">
        <v>34218</v>
      </c>
    </row>
    <row r="11003" spans="1:19" x14ac:dyDescent="0.25">
      <c r="A11003">
        <v>100763960</v>
      </c>
      <c r="B11003" t="s">
        <v>24620</v>
      </c>
      <c r="C11003" t="s">
        <v>1669</v>
      </c>
      <c r="G11003" t="s">
        <v>24621</v>
      </c>
      <c r="H11003" t="s">
        <v>567</v>
      </c>
      <c r="I11003" t="s">
        <v>446</v>
      </c>
      <c r="J11003">
        <v>27615</v>
      </c>
      <c r="K11003">
        <v>8520</v>
      </c>
      <c r="L11003" t="s">
        <v>23</v>
      </c>
      <c r="M11003" t="s">
        <v>24621</v>
      </c>
      <c r="N11003" t="s">
        <v>567</v>
      </c>
      <c r="O11003" t="s">
        <v>446</v>
      </c>
      <c r="P11003">
        <v>27615</v>
      </c>
      <c r="Q11003">
        <v>8520</v>
      </c>
      <c r="R11003" t="s">
        <v>23</v>
      </c>
      <c r="S11003" s="1" t="s">
        <v>34218</v>
      </c>
    </row>
    <row r="11004" spans="1:19" x14ac:dyDescent="0.25">
      <c r="A11004">
        <v>101300485</v>
      </c>
      <c r="B11004" t="s">
        <v>3510</v>
      </c>
      <c r="C11004" t="s">
        <v>1377</v>
      </c>
      <c r="G11004" t="s">
        <v>24622</v>
      </c>
      <c r="H11004" t="s">
        <v>134</v>
      </c>
      <c r="I11004" t="s">
        <v>135</v>
      </c>
      <c r="J11004">
        <v>60657</v>
      </c>
      <c r="K11004">
        <v>5114</v>
      </c>
      <c r="L11004" t="s">
        <v>23</v>
      </c>
      <c r="M11004" t="s">
        <v>24622</v>
      </c>
      <c r="N11004" t="s">
        <v>134</v>
      </c>
      <c r="O11004" t="s">
        <v>135</v>
      </c>
      <c r="P11004">
        <v>60657</v>
      </c>
      <c r="Q11004">
        <v>5114</v>
      </c>
      <c r="R11004" t="s">
        <v>23</v>
      </c>
      <c r="S11004" s="1" t="s">
        <v>34218</v>
      </c>
    </row>
    <row r="11005" spans="1:19" x14ac:dyDescent="0.25">
      <c r="A11005">
        <v>100636648</v>
      </c>
      <c r="B11005" t="s">
        <v>1591</v>
      </c>
      <c r="C11005" t="s">
        <v>11921</v>
      </c>
      <c r="G11005" t="s">
        <v>24623</v>
      </c>
      <c r="H11005" t="s">
        <v>4772</v>
      </c>
      <c r="I11005" t="s">
        <v>22</v>
      </c>
      <c r="J11005">
        <v>91361</v>
      </c>
      <c r="L11005" t="s">
        <v>23</v>
      </c>
      <c r="M11005" t="s">
        <v>24623</v>
      </c>
      <c r="N11005" t="s">
        <v>4772</v>
      </c>
      <c r="O11005" t="s">
        <v>22</v>
      </c>
      <c r="P11005">
        <v>91361</v>
      </c>
      <c r="R11005" t="s">
        <v>23</v>
      </c>
      <c r="S11005" s="1" t="s">
        <v>34218</v>
      </c>
    </row>
    <row r="11006" spans="1:19" x14ac:dyDescent="0.25">
      <c r="A11006">
        <v>101450872</v>
      </c>
      <c r="B11006" t="s">
        <v>8903</v>
      </c>
      <c r="C11006" t="s">
        <v>10908</v>
      </c>
      <c r="G11006" t="s">
        <v>24624</v>
      </c>
      <c r="H11006" t="s">
        <v>1885</v>
      </c>
      <c r="I11006" t="s">
        <v>22</v>
      </c>
      <c r="J11006">
        <v>90277</v>
      </c>
      <c r="L11006" t="s">
        <v>23</v>
      </c>
      <c r="M11006" t="s">
        <v>24624</v>
      </c>
      <c r="N11006" t="s">
        <v>1885</v>
      </c>
      <c r="O11006" t="s">
        <v>22</v>
      </c>
      <c r="P11006">
        <v>90277</v>
      </c>
      <c r="R11006" t="s">
        <v>23</v>
      </c>
      <c r="S11006" s="1" t="s">
        <v>34218</v>
      </c>
    </row>
    <row r="11007" spans="1:19" x14ac:dyDescent="0.25">
      <c r="A11007">
        <v>101473986</v>
      </c>
      <c r="B11007" t="s">
        <v>24625</v>
      </c>
      <c r="C11007" t="s">
        <v>1506</v>
      </c>
      <c r="G11007" t="s">
        <v>24626</v>
      </c>
      <c r="H11007" t="s">
        <v>481</v>
      </c>
      <c r="I11007" t="s">
        <v>22</v>
      </c>
      <c r="J11007">
        <v>95126</v>
      </c>
      <c r="K11007">
        <v>1828</v>
      </c>
      <c r="L11007" t="s">
        <v>23</v>
      </c>
      <c r="M11007" t="s">
        <v>24626</v>
      </c>
      <c r="N11007" t="s">
        <v>481</v>
      </c>
      <c r="O11007" t="s">
        <v>22</v>
      </c>
      <c r="P11007">
        <v>95126</v>
      </c>
      <c r="Q11007">
        <v>1828</v>
      </c>
      <c r="R11007" t="s">
        <v>23</v>
      </c>
      <c r="S11007" s="1" t="s">
        <v>34218</v>
      </c>
    </row>
    <row r="11008" spans="1:19" x14ac:dyDescent="0.25">
      <c r="A11008">
        <v>101474030</v>
      </c>
      <c r="B11008" t="s">
        <v>24627</v>
      </c>
      <c r="C11008" t="s">
        <v>1298</v>
      </c>
      <c r="G11008" t="s">
        <v>24628</v>
      </c>
      <c r="H11008" t="s">
        <v>1261</v>
      </c>
      <c r="I11008" t="s">
        <v>22</v>
      </c>
      <c r="J11008">
        <v>95501</v>
      </c>
      <c r="K11008">
        <v>318</v>
      </c>
      <c r="L11008" t="s">
        <v>23</v>
      </c>
      <c r="M11008" t="s">
        <v>24628</v>
      </c>
      <c r="N11008" t="s">
        <v>1261</v>
      </c>
      <c r="O11008" t="s">
        <v>22</v>
      </c>
      <c r="P11008">
        <v>95501</v>
      </c>
      <c r="Q11008">
        <v>318</v>
      </c>
      <c r="R11008" t="s">
        <v>23</v>
      </c>
      <c r="S11008" s="1" t="s">
        <v>34218</v>
      </c>
    </row>
    <row r="11009" spans="1:19" x14ac:dyDescent="0.25">
      <c r="A11009">
        <v>100522161</v>
      </c>
      <c r="B11009" t="s">
        <v>1164</v>
      </c>
      <c r="C11009" t="s">
        <v>1350</v>
      </c>
      <c r="G11009" t="s">
        <v>24629</v>
      </c>
      <c r="H11009" t="s">
        <v>174</v>
      </c>
      <c r="I11009" t="s">
        <v>22</v>
      </c>
      <c r="J11009">
        <v>93110</v>
      </c>
      <c r="K11009">
        <v>1221</v>
      </c>
      <c r="L11009" t="s">
        <v>23</v>
      </c>
      <c r="M11009" t="s">
        <v>24629</v>
      </c>
      <c r="N11009" t="s">
        <v>174</v>
      </c>
      <c r="O11009" t="s">
        <v>22</v>
      </c>
      <c r="P11009">
        <v>93110</v>
      </c>
      <c r="Q11009">
        <v>1221</v>
      </c>
      <c r="R11009" t="s">
        <v>23</v>
      </c>
      <c r="S11009" s="1" t="s">
        <v>34218</v>
      </c>
    </row>
    <row r="11010" spans="1:19" x14ac:dyDescent="0.25">
      <c r="A11010">
        <v>101469357</v>
      </c>
      <c r="B11010" t="s">
        <v>24630</v>
      </c>
      <c r="C11010" t="s">
        <v>1542</v>
      </c>
      <c r="G11010" t="s">
        <v>24631</v>
      </c>
      <c r="H11010" t="s">
        <v>4446</v>
      </c>
      <c r="I11010" t="s">
        <v>446</v>
      </c>
      <c r="J11010">
        <v>27278</v>
      </c>
      <c r="K11010">
        <v>2083</v>
      </c>
      <c r="L11010" t="s">
        <v>23</v>
      </c>
      <c r="M11010" t="s">
        <v>24631</v>
      </c>
      <c r="N11010" t="s">
        <v>4446</v>
      </c>
      <c r="O11010" t="s">
        <v>446</v>
      </c>
      <c r="P11010">
        <v>27278</v>
      </c>
      <c r="Q11010">
        <v>2083</v>
      </c>
      <c r="R11010" t="s">
        <v>23</v>
      </c>
      <c r="S11010" s="1" t="s">
        <v>34218</v>
      </c>
    </row>
    <row r="11011" spans="1:19" x14ac:dyDescent="0.25">
      <c r="A11011">
        <v>101255957</v>
      </c>
      <c r="B11011" t="s">
        <v>24632</v>
      </c>
      <c r="C11011" t="s">
        <v>1036</v>
      </c>
      <c r="G11011" t="s">
        <v>24633</v>
      </c>
      <c r="H11011" t="s">
        <v>5929</v>
      </c>
      <c r="I11011" t="s">
        <v>565</v>
      </c>
      <c r="J11011">
        <v>52804</v>
      </c>
      <c r="K11011">
        <v>4012</v>
      </c>
      <c r="L11011" t="s">
        <v>23</v>
      </c>
      <c r="M11011" t="s">
        <v>24633</v>
      </c>
      <c r="N11011" t="s">
        <v>5929</v>
      </c>
      <c r="O11011" t="s">
        <v>565</v>
      </c>
      <c r="P11011">
        <v>52804</v>
      </c>
      <c r="Q11011">
        <v>4012</v>
      </c>
      <c r="R11011" t="s">
        <v>23</v>
      </c>
      <c r="S11011" s="1" t="s">
        <v>34218</v>
      </c>
    </row>
    <row r="11012" spans="1:19" x14ac:dyDescent="0.25">
      <c r="A11012">
        <v>101220828</v>
      </c>
      <c r="B11012" t="s">
        <v>1089</v>
      </c>
      <c r="C11012" t="s">
        <v>4956</v>
      </c>
      <c r="G11012" t="s">
        <v>24634</v>
      </c>
      <c r="H11012" t="s">
        <v>24635</v>
      </c>
      <c r="I11012" t="s">
        <v>38</v>
      </c>
      <c r="J11012">
        <v>78612</v>
      </c>
      <c r="K11012">
        <v>3254</v>
      </c>
      <c r="L11012" t="s">
        <v>23</v>
      </c>
      <c r="M11012" t="s">
        <v>24634</v>
      </c>
      <c r="N11012" t="s">
        <v>24635</v>
      </c>
      <c r="O11012" t="s">
        <v>38</v>
      </c>
      <c r="P11012">
        <v>78612</v>
      </c>
      <c r="Q11012">
        <v>3254</v>
      </c>
      <c r="R11012" t="s">
        <v>23</v>
      </c>
      <c r="S11012" s="1" t="s">
        <v>34218</v>
      </c>
    </row>
    <row r="11013" spans="1:19" x14ac:dyDescent="0.25">
      <c r="A11013">
        <v>101474919</v>
      </c>
      <c r="B11013" t="s">
        <v>1234</v>
      </c>
      <c r="C11013" t="s">
        <v>90</v>
      </c>
      <c r="G11013" t="s">
        <v>24636</v>
      </c>
      <c r="H11013" t="s">
        <v>1045</v>
      </c>
      <c r="I11013" t="s">
        <v>52</v>
      </c>
      <c r="J11013">
        <v>33324</v>
      </c>
      <c r="K11013">
        <v>4753</v>
      </c>
      <c r="L11013" t="s">
        <v>23</v>
      </c>
      <c r="M11013" t="s">
        <v>24636</v>
      </c>
      <c r="N11013" t="s">
        <v>1045</v>
      </c>
      <c r="O11013" t="s">
        <v>52</v>
      </c>
      <c r="P11013">
        <v>33324</v>
      </c>
      <c r="Q11013">
        <v>4753</v>
      </c>
      <c r="R11013" t="s">
        <v>23</v>
      </c>
      <c r="S11013" s="1" t="s">
        <v>34218</v>
      </c>
    </row>
    <row r="11014" spans="1:19" x14ac:dyDescent="0.25">
      <c r="A11014">
        <v>100918368</v>
      </c>
      <c r="B11014" t="s">
        <v>24637</v>
      </c>
      <c r="C11014" t="s">
        <v>2127</v>
      </c>
      <c r="G11014" t="s">
        <v>24638</v>
      </c>
      <c r="H11014" t="s">
        <v>5295</v>
      </c>
      <c r="I11014" t="s">
        <v>140</v>
      </c>
      <c r="J11014">
        <v>49002</v>
      </c>
      <c r="L11014" t="s">
        <v>23</v>
      </c>
      <c r="M11014" t="s">
        <v>24638</v>
      </c>
      <c r="N11014" t="s">
        <v>5295</v>
      </c>
      <c r="O11014" t="s">
        <v>140</v>
      </c>
      <c r="P11014">
        <v>49002</v>
      </c>
      <c r="R11014" t="s">
        <v>23</v>
      </c>
      <c r="S11014" s="1" t="s">
        <v>34218</v>
      </c>
    </row>
    <row r="11015" spans="1:19" x14ac:dyDescent="0.25">
      <c r="A11015">
        <v>101470037</v>
      </c>
      <c r="B11015" t="s">
        <v>24639</v>
      </c>
      <c r="C11015" t="s">
        <v>6315</v>
      </c>
      <c r="G11015">
        <v>6</v>
      </c>
      <c r="H11015" t="s">
        <v>2175</v>
      </c>
      <c r="I11015" t="s">
        <v>71</v>
      </c>
      <c r="J11015">
        <v>80111</v>
      </c>
      <c r="L11015" t="s">
        <v>23</v>
      </c>
      <c r="M11015">
        <v>6</v>
      </c>
      <c r="N11015" t="s">
        <v>2175</v>
      </c>
      <c r="O11015" t="s">
        <v>71</v>
      </c>
      <c r="P11015">
        <v>80111</v>
      </c>
      <c r="R11015" t="s">
        <v>23</v>
      </c>
      <c r="S11015" s="1" t="s">
        <v>34218</v>
      </c>
    </row>
    <row r="11016" spans="1:19" x14ac:dyDescent="0.25">
      <c r="A11016">
        <v>100560774</v>
      </c>
      <c r="B11016" t="s">
        <v>24640</v>
      </c>
      <c r="C11016" t="s">
        <v>1205</v>
      </c>
      <c r="G11016" t="s">
        <v>24641</v>
      </c>
      <c r="H11016" t="s">
        <v>672</v>
      </c>
      <c r="I11016" t="s">
        <v>178</v>
      </c>
      <c r="J11016">
        <v>45349</v>
      </c>
      <c r="K11016">
        <v>194</v>
      </c>
      <c r="L11016" t="s">
        <v>23</v>
      </c>
      <c r="M11016" t="s">
        <v>24641</v>
      </c>
      <c r="N11016" t="s">
        <v>672</v>
      </c>
      <c r="O11016" t="s">
        <v>178</v>
      </c>
      <c r="P11016">
        <v>45349</v>
      </c>
      <c r="Q11016">
        <v>194</v>
      </c>
      <c r="R11016" t="s">
        <v>23</v>
      </c>
      <c r="S11016" s="1" t="s">
        <v>34218</v>
      </c>
    </row>
    <row r="11017" spans="1:19" x14ac:dyDescent="0.25">
      <c r="A11017">
        <v>101472187</v>
      </c>
      <c r="B11017" t="s">
        <v>6638</v>
      </c>
      <c r="C11017" t="s">
        <v>24642</v>
      </c>
      <c r="G11017" t="s">
        <v>24643</v>
      </c>
      <c r="H11017" t="s">
        <v>2514</v>
      </c>
      <c r="I11017" t="s">
        <v>236</v>
      </c>
      <c r="J11017">
        <v>2128</v>
      </c>
      <c r="K11017">
        <v>2142</v>
      </c>
      <c r="L11017" t="s">
        <v>23</v>
      </c>
      <c r="M11017" t="s">
        <v>24643</v>
      </c>
      <c r="N11017" t="s">
        <v>2514</v>
      </c>
      <c r="O11017" t="s">
        <v>236</v>
      </c>
      <c r="P11017">
        <v>2128</v>
      </c>
      <c r="Q11017">
        <v>2142</v>
      </c>
      <c r="R11017" t="s">
        <v>23</v>
      </c>
      <c r="S11017" s="1" t="s">
        <v>34218</v>
      </c>
    </row>
    <row r="11018" spans="1:19" x14ac:dyDescent="0.25">
      <c r="A11018">
        <v>101277942</v>
      </c>
      <c r="B11018" t="s">
        <v>4734</v>
      </c>
      <c r="C11018" t="s">
        <v>1598</v>
      </c>
      <c r="G11018" t="s">
        <v>24644</v>
      </c>
      <c r="H11018" t="s">
        <v>7252</v>
      </c>
      <c r="I11018" t="s">
        <v>327</v>
      </c>
      <c r="J11018" t="s">
        <v>24645</v>
      </c>
      <c r="K11018">
        <v>1046</v>
      </c>
      <c r="L11018" t="s">
        <v>23</v>
      </c>
      <c r="M11018" t="s">
        <v>24644</v>
      </c>
      <c r="N11018" t="s">
        <v>7252</v>
      </c>
      <c r="O11018" t="s">
        <v>327</v>
      </c>
      <c r="P11018" t="s">
        <v>24645</v>
      </c>
      <c r="Q11018">
        <v>1046</v>
      </c>
      <c r="R11018" t="s">
        <v>23</v>
      </c>
      <c r="S11018" s="1" t="s">
        <v>34218</v>
      </c>
    </row>
    <row r="11019" spans="1:19" x14ac:dyDescent="0.25">
      <c r="A11019">
        <v>101232970</v>
      </c>
      <c r="B11019" t="s">
        <v>24646</v>
      </c>
      <c r="C11019" t="s">
        <v>12345</v>
      </c>
      <c r="G11019" t="s">
        <v>24647</v>
      </c>
      <c r="H11019" t="s">
        <v>1318</v>
      </c>
      <c r="I11019" t="s">
        <v>22</v>
      </c>
      <c r="J11019">
        <v>94597</v>
      </c>
      <c r="K11019">
        <v>7917</v>
      </c>
      <c r="L11019" t="s">
        <v>23</v>
      </c>
      <c r="M11019" t="s">
        <v>24647</v>
      </c>
      <c r="N11019" t="s">
        <v>1318</v>
      </c>
      <c r="O11019" t="s">
        <v>22</v>
      </c>
      <c r="P11019">
        <v>94597</v>
      </c>
      <c r="Q11019">
        <v>7917</v>
      </c>
      <c r="R11019" t="s">
        <v>23</v>
      </c>
      <c r="S11019" s="1" t="s">
        <v>34218</v>
      </c>
    </row>
    <row r="11020" spans="1:19" x14ac:dyDescent="0.25">
      <c r="A11020">
        <v>101265587</v>
      </c>
      <c r="B11020" t="s">
        <v>24648</v>
      </c>
      <c r="C11020" t="s">
        <v>1487</v>
      </c>
      <c r="G11020" t="s">
        <v>24649</v>
      </c>
      <c r="H11020" t="s">
        <v>2367</v>
      </c>
      <c r="I11020" t="s">
        <v>255</v>
      </c>
      <c r="J11020">
        <v>23502</v>
      </c>
      <c r="K11020">
        <v>3507</v>
      </c>
      <c r="L11020" t="s">
        <v>23</v>
      </c>
      <c r="M11020" t="s">
        <v>24649</v>
      </c>
      <c r="N11020" t="s">
        <v>2367</v>
      </c>
      <c r="O11020" t="s">
        <v>255</v>
      </c>
      <c r="P11020">
        <v>23502</v>
      </c>
      <c r="Q11020">
        <v>3507</v>
      </c>
      <c r="R11020" t="s">
        <v>23</v>
      </c>
      <c r="S11020" s="1" t="s">
        <v>34218</v>
      </c>
    </row>
    <row r="11021" spans="1:19" x14ac:dyDescent="0.25">
      <c r="A11021">
        <v>101474427</v>
      </c>
      <c r="B11021" t="s">
        <v>4956</v>
      </c>
      <c r="C11021" t="s">
        <v>535</v>
      </c>
      <c r="G11021" t="s">
        <v>23091</v>
      </c>
      <c r="H11021" t="s">
        <v>4150</v>
      </c>
      <c r="I11021" t="s">
        <v>365</v>
      </c>
      <c r="J11021">
        <v>85383</v>
      </c>
      <c r="K11021">
        <v>7823</v>
      </c>
      <c r="L11021" t="s">
        <v>23</v>
      </c>
      <c r="M11021" t="s">
        <v>23091</v>
      </c>
      <c r="N11021" t="s">
        <v>4150</v>
      </c>
      <c r="O11021" t="s">
        <v>365</v>
      </c>
      <c r="P11021">
        <v>85383</v>
      </c>
      <c r="Q11021">
        <v>7823</v>
      </c>
      <c r="R11021" t="s">
        <v>23</v>
      </c>
      <c r="S11021" s="1" t="s">
        <v>34218</v>
      </c>
    </row>
    <row r="11022" spans="1:19" x14ac:dyDescent="0.25">
      <c r="A11022">
        <v>101468903</v>
      </c>
      <c r="B11022" t="s">
        <v>1176</v>
      </c>
      <c r="C11022" t="s">
        <v>4502</v>
      </c>
      <c r="G11022" t="s">
        <v>24650</v>
      </c>
      <c r="H11022" t="s">
        <v>1439</v>
      </c>
      <c r="I11022" t="s">
        <v>365</v>
      </c>
      <c r="J11022">
        <v>85736</v>
      </c>
      <c r="K11022">
        <v>2020</v>
      </c>
      <c r="L11022" t="s">
        <v>23</v>
      </c>
      <c r="M11022" t="s">
        <v>24650</v>
      </c>
      <c r="N11022" t="s">
        <v>1439</v>
      </c>
      <c r="O11022" t="s">
        <v>365</v>
      </c>
      <c r="P11022">
        <v>85736</v>
      </c>
      <c r="Q11022">
        <v>2020</v>
      </c>
      <c r="R11022" t="s">
        <v>23</v>
      </c>
      <c r="S11022" s="1" t="s">
        <v>34218</v>
      </c>
    </row>
    <row r="11023" spans="1:19" x14ac:dyDescent="0.25">
      <c r="A11023">
        <v>101335014</v>
      </c>
      <c r="B11023" t="s">
        <v>24651</v>
      </c>
      <c r="C11023" t="s">
        <v>24652</v>
      </c>
      <c r="G11023" t="s">
        <v>24653</v>
      </c>
      <c r="H11023" t="s">
        <v>2132</v>
      </c>
      <c r="I11023" t="s">
        <v>250</v>
      </c>
      <c r="J11023">
        <v>7059</v>
      </c>
      <c r="K11023">
        <v>2720</v>
      </c>
      <c r="L11023" t="s">
        <v>23</v>
      </c>
      <c r="M11023" t="s">
        <v>24653</v>
      </c>
      <c r="N11023" t="s">
        <v>2132</v>
      </c>
      <c r="O11023" t="s">
        <v>250</v>
      </c>
      <c r="P11023">
        <v>7059</v>
      </c>
      <c r="Q11023">
        <v>2720</v>
      </c>
      <c r="R11023" t="s">
        <v>23</v>
      </c>
      <c r="S11023" s="1" t="s">
        <v>34218</v>
      </c>
    </row>
    <row r="11024" spans="1:19" x14ac:dyDescent="0.25">
      <c r="A11024">
        <v>101434326</v>
      </c>
      <c r="B11024" t="s">
        <v>654</v>
      </c>
      <c r="C11024" t="s">
        <v>24654</v>
      </c>
      <c r="G11024" t="s">
        <v>24655</v>
      </c>
      <c r="H11024" t="s">
        <v>737</v>
      </c>
      <c r="I11024" t="s">
        <v>255</v>
      </c>
      <c r="J11024" t="s">
        <v>24656</v>
      </c>
      <c r="K11024">
        <v>4870</v>
      </c>
      <c r="L11024" t="s">
        <v>23</v>
      </c>
      <c r="M11024" t="s">
        <v>24655</v>
      </c>
      <c r="N11024" t="s">
        <v>737</v>
      </c>
      <c r="O11024" t="s">
        <v>255</v>
      </c>
      <c r="P11024" t="s">
        <v>24656</v>
      </c>
      <c r="Q11024">
        <v>4870</v>
      </c>
      <c r="R11024" t="s">
        <v>23</v>
      </c>
      <c r="S11024" s="1" t="s">
        <v>34218</v>
      </c>
    </row>
    <row r="11025" spans="1:19" x14ac:dyDescent="0.25">
      <c r="A11025">
        <v>101332507</v>
      </c>
      <c r="B11025" t="s">
        <v>1628</v>
      </c>
      <c r="C11025" t="s">
        <v>13280</v>
      </c>
      <c r="G11025">
        <v>690</v>
      </c>
      <c r="H11025" t="s">
        <v>24657</v>
      </c>
      <c r="I11025" t="s">
        <v>135</v>
      </c>
      <c r="J11025">
        <v>62208</v>
      </c>
      <c r="L11025" t="s">
        <v>23</v>
      </c>
      <c r="M11025">
        <v>690</v>
      </c>
      <c r="N11025" t="s">
        <v>24657</v>
      </c>
      <c r="O11025" t="s">
        <v>135</v>
      </c>
      <c r="P11025">
        <v>62208</v>
      </c>
      <c r="R11025" t="s">
        <v>23</v>
      </c>
      <c r="S11025" s="1" t="s">
        <v>34218</v>
      </c>
    </row>
    <row r="11026" spans="1:19" x14ac:dyDescent="0.25">
      <c r="A11026">
        <v>101465538</v>
      </c>
      <c r="B11026" t="s">
        <v>24658</v>
      </c>
      <c r="C11026" t="s">
        <v>6214</v>
      </c>
      <c r="G11026" t="s">
        <v>24659</v>
      </c>
      <c r="H11026" t="s">
        <v>2020</v>
      </c>
      <c r="I11026" t="s">
        <v>100</v>
      </c>
      <c r="J11026">
        <v>54914</v>
      </c>
      <c r="K11026">
        <v>3602</v>
      </c>
      <c r="L11026" t="s">
        <v>23</v>
      </c>
      <c r="M11026" t="s">
        <v>24659</v>
      </c>
      <c r="N11026" t="s">
        <v>2020</v>
      </c>
      <c r="O11026" t="s">
        <v>100</v>
      </c>
      <c r="P11026">
        <v>54914</v>
      </c>
      <c r="Q11026">
        <v>3602</v>
      </c>
      <c r="R11026" t="s">
        <v>23</v>
      </c>
      <c r="S11026" s="1" t="s">
        <v>34218</v>
      </c>
    </row>
    <row r="11027" spans="1:19" x14ac:dyDescent="0.25">
      <c r="A11027">
        <v>100810880</v>
      </c>
      <c r="B11027" t="s">
        <v>24660</v>
      </c>
      <c r="C11027" t="s">
        <v>30</v>
      </c>
      <c r="G11027" t="s">
        <v>24661</v>
      </c>
      <c r="H11027" t="s">
        <v>423</v>
      </c>
      <c r="I11027" t="s">
        <v>71</v>
      </c>
      <c r="J11027">
        <v>80301</v>
      </c>
      <c r="K11027">
        <v>1708</v>
      </c>
      <c r="L11027" t="s">
        <v>23</v>
      </c>
      <c r="M11027" t="s">
        <v>24661</v>
      </c>
      <c r="N11027" t="s">
        <v>423</v>
      </c>
      <c r="O11027" t="s">
        <v>71</v>
      </c>
      <c r="P11027">
        <v>80301</v>
      </c>
      <c r="Q11027">
        <v>1708</v>
      </c>
      <c r="R11027" t="s">
        <v>23</v>
      </c>
      <c r="S11027" s="1" t="s">
        <v>34218</v>
      </c>
    </row>
    <row r="11028" spans="1:19" x14ac:dyDescent="0.25">
      <c r="A11028">
        <v>101265628</v>
      </c>
      <c r="B11028" t="s">
        <v>2479</v>
      </c>
      <c r="C11028" t="s">
        <v>90</v>
      </c>
      <c r="G11028" t="s">
        <v>24662</v>
      </c>
      <c r="H11028" t="s">
        <v>638</v>
      </c>
      <c r="I11028" t="s">
        <v>639</v>
      </c>
      <c r="J11028">
        <v>87112</v>
      </c>
      <c r="K11028">
        <v>5002</v>
      </c>
      <c r="L11028" t="s">
        <v>23</v>
      </c>
      <c r="M11028" t="s">
        <v>24662</v>
      </c>
      <c r="N11028" t="s">
        <v>638</v>
      </c>
      <c r="O11028" t="s">
        <v>639</v>
      </c>
      <c r="P11028">
        <v>87112</v>
      </c>
      <c r="Q11028">
        <v>5002</v>
      </c>
      <c r="R11028" t="s">
        <v>23</v>
      </c>
      <c r="S11028" s="1" t="s">
        <v>34218</v>
      </c>
    </row>
    <row r="11029" spans="1:19" x14ac:dyDescent="0.25">
      <c r="A11029">
        <v>101474477</v>
      </c>
      <c r="B11029" t="s">
        <v>24663</v>
      </c>
      <c r="C11029" t="s">
        <v>1933</v>
      </c>
      <c r="G11029" t="s">
        <v>24664</v>
      </c>
      <c r="H11029" t="s">
        <v>24665</v>
      </c>
      <c r="I11029" t="s">
        <v>236</v>
      </c>
      <c r="J11029">
        <v>1545</v>
      </c>
      <c r="K11029">
        <v>2155</v>
      </c>
      <c r="L11029" t="s">
        <v>23</v>
      </c>
      <c r="M11029" t="s">
        <v>24664</v>
      </c>
      <c r="N11029" t="s">
        <v>24665</v>
      </c>
      <c r="O11029" t="s">
        <v>236</v>
      </c>
      <c r="P11029">
        <v>1545</v>
      </c>
      <c r="Q11029">
        <v>2155</v>
      </c>
      <c r="R11029" t="s">
        <v>23</v>
      </c>
      <c r="S11029" s="1" t="s">
        <v>34218</v>
      </c>
    </row>
    <row r="11030" spans="1:19" x14ac:dyDescent="0.25">
      <c r="A11030">
        <v>100528801</v>
      </c>
      <c r="B11030" t="s">
        <v>3279</v>
      </c>
      <c r="C11030" t="s">
        <v>286</v>
      </c>
      <c r="G11030" t="s">
        <v>24666</v>
      </c>
      <c r="H11030" t="s">
        <v>19515</v>
      </c>
      <c r="I11030" t="s">
        <v>236</v>
      </c>
      <c r="J11030">
        <v>2370</v>
      </c>
      <c r="K11030">
        <v>2509</v>
      </c>
      <c r="L11030" t="s">
        <v>23</v>
      </c>
      <c r="M11030" t="s">
        <v>24666</v>
      </c>
      <c r="N11030" t="s">
        <v>19515</v>
      </c>
      <c r="O11030" t="s">
        <v>236</v>
      </c>
      <c r="P11030">
        <v>2370</v>
      </c>
      <c r="Q11030">
        <v>2509</v>
      </c>
      <c r="R11030" t="s">
        <v>23</v>
      </c>
      <c r="S11030" s="1" t="s">
        <v>34218</v>
      </c>
    </row>
    <row r="11031" spans="1:19" x14ac:dyDescent="0.25">
      <c r="A11031">
        <v>101451559</v>
      </c>
      <c r="B11031" t="s">
        <v>24667</v>
      </c>
      <c r="C11031" t="s">
        <v>18118</v>
      </c>
      <c r="G11031" t="s">
        <v>24668</v>
      </c>
      <c r="H11031" t="s">
        <v>24669</v>
      </c>
      <c r="I11031" t="s">
        <v>57</v>
      </c>
      <c r="J11031">
        <v>46514</v>
      </c>
      <c r="K11031">
        <v>8558</v>
      </c>
      <c r="L11031" t="s">
        <v>23</v>
      </c>
      <c r="M11031" t="s">
        <v>24668</v>
      </c>
      <c r="N11031" t="s">
        <v>24669</v>
      </c>
      <c r="O11031" t="s">
        <v>57</v>
      </c>
      <c r="P11031">
        <v>46514</v>
      </c>
      <c r="Q11031">
        <v>8558</v>
      </c>
      <c r="R11031" t="s">
        <v>23</v>
      </c>
      <c r="S11031" s="1" t="s">
        <v>34218</v>
      </c>
    </row>
    <row r="11032" spans="1:19" x14ac:dyDescent="0.25">
      <c r="A11032">
        <v>100516148</v>
      </c>
      <c r="B11032" t="s">
        <v>3843</v>
      </c>
      <c r="C11032" t="s">
        <v>440</v>
      </c>
      <c r="G11032" t="s">
        <v>24670</v>
      </c>
      <c r="H11032" t="s">
        <v>169</v>
      </c>
      <c r="I11032" t="s">
        <v>170</v>
      </c>
      <c r="J11032">
        <v>20002</v>
      </c>
      <c r="K11032">
        <v>5618</v>
      </c>
      <c r="L11032" t="s">
        <v>23</v>
      </c>
      <c r="M11032" t="s">
        <v>24670</v>
      </c>
      <c r="N11032" t="s">
        <v>169</v>
      </c>
      <c r="O11032" t="s">
        <v>170</v>
      </c>
      <c r="P11032">
        <v>20002</v>
      </c>
      <c r="Q11032">
        <v>5618</v>
      </c>
      <c r="R11032" t="s">
        <v>23</v>
      </c>
      <c r="S11032" s="1" t="s">
        <v>34218</v>
      </c>
    </row>
    <row r="11033" spans="1:19" x14ac:dyDescent="0.25">
      <c r="A11033">
        <v>100917244</v>
      </c>
      <c r="B11033" t="s">
        <v>13058</v>
      </c>
      <c r="C11033" t="s">
        <v>2411</v>
      </c>
      <c r="G11033">
        <v>1171</v>
      </c>
      <c r="H11033" t="s">
        <v>423</v>
      </c>
      <c r="I11033" t="s">
        <v>71</v>
      </c>
      <c r="J11033">
        <v>80303</v>
      </c>
      <c r="L11033" t="s">
        <v>23</v>
      </c>
      <c r="M11033">
        <v>1171</v>
      </c>
      <c r="N11033" t="s">
        <v>423</v>
      </c>
      <c r="O11033" t="s">
        <v>71</v>
      </c>
      <c r="P11033">
        <v>80303</v>
      </c>
      <c r="R11033" t="s">
        <v>23</v>
      </c>
      <c r="S11033" s="1" t="s">
        <v>34218</v>
      </c>
    </row>
    <row r="11034" spans="1:19" x14ac:dyDescent="0.25">
      <c r="A11034">
        <v>100971408</v>
      </c>
      <c r="B11034" t="s">
        <v>10910</v>
      </c>
      <c r="C11034" t="s">
        <v>24671</v>
      </c>
      <c r="G11034" t="s">
        <v>24672</v>
      </c>
      <c r="H11034" t="s">
        <v>5795</v>
      </c>
      <c r="I11034" t="s">
        <v>255</v>
      </c>
      <c r="J11034" t="s">
        <v>24673</v>
      </c>
      <c r="K11034">
        <v>3837</v>
      </c>
      <c r="L11034" t="s">
        <v>23</v>
      </c>
      <c r="M11034" t="s">
        <v>24672</v>
      </c>
      <c r="N11034" t="s">
        <v>5795</v>
      </c>
      <c r="O11034" t="s">
        <v>255</v>
      </c>
      <c r="P11034" t="s">
        <v>24673</v>
      </c>
      <c r="Q11034">
        <v>3837</v>
      </c>
      <c r="R11034" t="s">
        <v>23</v>
      </c>
      <c r="S11034" s="1" t="s">
        <v>34218</v>
      </c>
    </row>
    <row r="11035" spans="1:19" x14ac:dyDescent="0.25">
      <c r="A11035">
        <v>100857903</v>
      </c>
      <c r="B11035" t="s">
        <v>24674</v>
      </c>
      <c r="C11035" t="s">
        <v>382</v>
      </c>
      <c r="G11035" t="s">
        <v>24675</v>
      </c>
      <c r="H11035" t="s">
        <v>11980</v>
      </c>
      <c r="I11035" t="s">
        <v>43</v>
      </c>
      <c r="J11035">
        <v>97540</v>
      </c>
      <c r="K11035">
        <v>8630</v>
      </c>
      <c r="L11035" t="s">
        <v>23</v>
      </c>
      <c r="M11035" t="s">
        <v>24675</v>
      </c>
      <c r="N11035" t="s">
        <v>11980</v>
      </c>
      <c r="O11035" t="s">
        <v>43</v>
      </c>
      <c r="P11035">
        <v>97540</v>
      </c>
      <c r="Q11035">
        <v>8630</v>
      </c>
      <c r="R11035" t="s">
        <v>23</v>
      </c>
      <c r="S11035" s="1" t="s">
        <v>34218</v>
      </c>
    </row>
    <row r="11036" spans="1:19" x14ac:dyDescent="0.25">
      <c r="A11036">
        <v>101451835</v>
      </c>
      <c r="B11036" t="s">
        <v>6903</v>
      </c>
      <c r="C11036" t="s">
        <v>13278</v>
      </c>
      <c r="G11036" t="s">
        <v>24676</v>
      </c>
      <c r="H11036" t="s">
        <v>423</v>
      </c>
      <c r="I11036" t="s">
        <v>71</v>
      </c>
      <c r="J11036">
        <v>80301</v>
      </c>
      <c r="K11036">
        <v>1707</v>
      </c>
      <c r="L11036" t="s">
        <v>23</v>
      </c>
      <c r="M11036" t="s">
        <v>24676</v>
      </c>
      <c r="N11036" t="s">
        <v>423</v>
      </c>
      <c r="O11036" t="s">
        <v>71</v>
      </c>
      <c r="P11036">
        <v>80301</v>
      </c>
      <c r="Q11036">
        <v>1707</v>
      </c>
      <c r="R11036" t="s">
        <v>23</v>
      </c>
      <c r="S11036" s="1" t="s">
        <v>34218</v>
      </c>
    </row>
    <row r="11037" spans="1:19" x14ac:dyDescent="0.25">
      <c r="A11037">
        <v>100878814</v>
      </c>
      <c r="B11037" t="s">
        <v>1164</v>
      </c>
      <c r="C11037" t="s">
        <v>1887</v>
      </c>
      <c r="G11037" t="s">
        <v>24677</v>
      </c>
      <c r="H11037" t="s">
        <v>1827</v>
      </c>
      <c r="I11037" t="s">
        <v>178</v>
      </c>
      <c r="J11037">
        <v>45013</v>
      </c>
      <c r="K11037">
        <v>1785</v>
      </c>
      <c r="L11037" t="s">
        <v>23</v>
      </c>
      <c r="M11037" t="s">
        <v>24677</v>
      </c>
      <c r="N11037" t="s">
        <v>1827</v>
      </c>
      <c r="O11037" t="s">
        <v>178</v>
      </c>
      <c r="P11037">
        <v>45013</v>
      </c>
      <c r="Q11037">
        <v>1785</v>
      </c>
      <c r="R11037" t="s">
        <v>23</v>
      </c>
      <c r="S11037" s="1" t="s">
        <v>34218</v>
      </c>
    </row>
    <row r="11038" spans="1:19" x14ac:dyDescent="0.25">
      <c r="A11038">
        <v>101345192</v>
      </c>
      <c r="B11038" t="s">
        <v>24678</v>
      </c>
      <c r="C11038" t="s">
        <v>1212</v>
      </c>
      <c r="G11038" t="s">
        <v>24679</v>
      </c>
      <c r="H11038" t="s">
        <v>16868</v>
      </c>
      <c r="I11038" t="s">
        <v>84</v>
      </c>
      <c r="J11038">
        <v>98844</v>
      </c>
      <c r="K11038">
        <v>2267</v>
      </c>
      <c r="L11038" t="s">
        <v>23</v>
      </c>
      <c r="M11038" t="s">
        <v>24679</v>
      </c>
      <c r="N11038" t="s">
        <v>16868</v>
      </c>
      <c r="O11038" t="s">
        <v>84</v>
      </c>
      <c r="P11038">
        <v>98844</v>
      </c>
      <c r="Q11038">
        <v>2267</v>
      </c>
      <c r="R11038" t="s">
        <v>23</v>
      </c>
      <c r="S11038" s="1" t="s">
        <v>34218</v>
      </c>
    </row>
    <row r="11039" spans="1:19" x14ac:dyDescent="0.25">
      <c r="A11039">
        <v>101422880</v>
      </c>
      <c r="B11039" t="s">
        <v>3447</v>
      </c>
      <c r="C11039" t="s">
        <v>49</v>
      </c>
      <c r="G11039" t="s">
        <v>24680</v>
      </c>
      <c r="H11039" t="s">
        <v>11594</v>
      </c>
      <c r="I11039" t="s">
        <v>22</v>
      </c>
      <c r="J11039">
        <v>95004</v>
      </c>
      <c r="K11039">
        <v>9710</v>
      </c>
      <c r="L11039" t="s">
        <v>23</v>
      </c>
      <c r="M11039" t="s">
        <v>24680</v>
      </c>
      <c r="N11039" t="s">
        <v>11594</v>
      </c>
      <c r="O11039" t="s">
        <v>22</v>
      </c>
      <c r="P11039">
        <v>95004</v>
      </c>
      <c r="Q11039">
        <v>9710</v>
      </c>
      <c r="R11039" t="s">
        <v>23</v>
      </c>
      <c r="S11039" s="1" t="s">
        <v>34218</v>
      </c>
    </row>
    <row r="11040" spans="1:19" x14ac:dyDescent="0.25">
      <c r="A11040">
        <v>101237719</v>
      </c>
      <c r="B11040" t="s">
        <v>22649</v>
      </c>
      <c r="C11040" t="s">
        <v>5868</v>
      </c>
      <c r="G11040" t="s">
        <v>24681</v>
      </c>
      <c r="H11040" t="s">
        <v>1667</v>
      </c>
      <c r="I11040" t="s">
        <v>140</v>
      </c>
      <c r="J11040">
        <v>48183</v>
      </c>
      <c r="K11040">
        <v>2003</v>
      </c>
      <c r="L11040" t="s">
        <v>23</v>
      </c>
      <c r="M11040" t="s">
        <v>24681</v>
      </c>
      <c r="N11040" t="s">
        <v>1667</v>
      </c>
      <c r="O11040" t="s">
        <v>140</v>
      </c>
      <c r="P11040">
        <v>48183</v>
      </c>
      <c r="Q11040">
        <v>2003</v>
      </c>
      <c r="R11040" t="s">
        <v>23</v>
      </c>
      <c r="S11040" s="1" t="s">
        <v>34218</v>
      </c>
    </row>
    <row r="11041" spans="1:19" x14ac:dyDescent="0.25">
      <c r="A11041">
        <v>101451941</v>
      </c>
      <c r="B11041" t="s">
        <v>16712</v>
      </c>
      <c r="C11041" t="s">
        <v>2127</v>
      </c>
      <c r="G11041" t="s">
        <v>24682</v>
      </c>
      <c r="H11041" t="s">
        <v>1019</v>
      </c>
      <c r="I11041" t="s">
        <v>84</v>
      </c>
      <c r="J11041">
        <v>98034</v>
      </c>
      <c r="K11041">
        <v>5358</v>
      </c>
      <c r="L11041" t="s">
        <v>23</v>
      </c>
      <c r="M11041" t="s">
        <v>24682</v>
      </c>
      <c r="N11041" t="s">
        <v>1019</v>
      </c>
      <c r="O11041" t="s">
        <v>84</v>
      </c>
      <c r="P11041">
        <v>98034</v>
      </c>
      <c r="Q11041">
        <v>5358</v>
      </c>
      <c r="R11041" t="s">
        <v>23</v>
      </c>
      <c r="S11041" s="1" t="s">
        <v>34218</v>
      </c>
    </row>
    <row r="11042" spans="1:19" x14ac:dyDescent="0.25">
      <c r="A11042">
        <v>101435254</v>
      </c>
      <c r="B11042" t="s">
        <v>24683</v>
      </c>
      <c r="C11042" t="s">
        <v>838</v>
      </c>
      <c r="G11042" t="s">
        <v>24684</v>
      </c>
      <c r="H11042" t="s">
        <v>22671</v>
      </c>
      <c r="I11042" t="s">
        <v>117</v>
      </c>
      <c r="J11042">
        <v>13606</v>
      </c>
      <c r="K11042">
        <v>3106</v>
      </c>
      <c r="L11042" t="s">
        <v>23</v>
      </c>
      <c r="M11042" t="s">
        <v>24684</v>
      </c>
      <c r="N11042" t="s">
        <v>22671</v>
      </c>
      <c r="O11042" t="s">
        <v>117</v>
      </c>
      <c r="P11042">
        <v>13606</v>
      </c>
      <c r="Q11042">
        <v>3106</v>
      </c>
      <c r="R11042" t="s">
        <v>23</v>
      </c>
      <c r="S11042" s="1" t="s">
        <v>34218</v>
      </c>
    </row>
    <row r="11043" spans="1:19" x14ac:dyDescent="0.25">
      <c r="A11043">
        <v>101310673</v>
      </c>
      <c r="B11043" t="s">
        <v>24685</v>
      </c>
      <c r="C11043" t="s">
        <v>1323</v>
      </c>
      <c r="G11043" t="s">
        <v>24686</v>
      </c>
      <c r="H11043" t="s">
        <v>14629</v>
      </c>
      <c r="I11043" t="s">
        <v>43</v>
      </c>
      <c r="J11043">
        <v>97502</v>
      </c>
      <c r="K11043">
        <v>2097</v>
      </c>
      <c r="L11043" t="s">
        <v>23</v>
      </c>
      <c r="M11043" t="s">
        <v>24686</v>
      </c>
      <c r="N11043" t="s">
        <v>14629</v>
      </c>
      <c r="O11043" t="s">
        <v>43</v>
      </c>
      <c r="P11043">
        <v>97502</v>
      </c>
      <c r="Q11043">
        <v>2097</v>
      </c>
      <c r="R11043" t="s">
        <v>23</v>
      </c>
      <c r="S11043" s="1" t="s">
        <v>34218</v>
      </c>
    </row>
    <row r="11044" spans="1:19" x14ac:dyDescent="0.25">
      <c r="A11044">
        <v>101299877</v>
      </c>
      <c r="B11044" t="s">
        <v>21861</v>
      </c>
      <c r="C11044" t="s">
        <v>1873</v>
      </c>
      <c r="G11044" t="s">
        <v>24687</v>
      </c>
      <c r="H11044" t="s">
        <v>445</v>
      </c>
      <c r="I11044" t="s">
        <v>446</v>
      </c>
      <c r="J11044">
        <v>28805</v>
      </c>
      <c r="K11044">
        <v>3405</v>
      </c>
      <c r="L11044" t="s">
        <v>23</v>
      </c>
      <c r="M11044" t="s">
        <v>24687</v>
      </c>
      <c r="N11044" t="s">
        <v>445</v>
      </c>
      <c r="O11044" t="s">
        <v>446</v>
      </c>
      <c r="P11044">
        <v>28805</v>
      </c>
      <c r="Q11044">
        <v>3405</v>
      </c>
      <c r="R11044" t="s">
        <v>23</v>
      </c>
      <c r="S11044" s="1" t="s">
        <v>34218</v>
      </c>
    </row>
    <row r="11045" spans="1:19" x14ac:dyDescent="0.25">
      <c r="A11045">
        <v>101438144</v>
      </c>
      <c r="B11045" t="s">
        <v>24688</v>
      </c>
      <c r="C11045" t="s">
        <v>1078</v>
      </c>
      <c r="G11045" t="s">
        <v>24689</v>
      </c>
      <c r="H11045" t="s">
        <v>481</v>
      </c>
      <c r="I11045" t="s">
        <v>22</v>
      </c>
      <c r="J11045">
        <v>95112</v>
      </c>
      <c r="K11045">
        <v>3030</v>
      </c>
      <c r="L11045" t="s">
        <v>23</v>
      </c>
      <c r="M11045" t="s">
        <v>24689</v>
      </c>
      <c r="N11045" t="s">
        <v>481</v>
      </c>
      <c r="O11045" t="s">
        <v>22</v>
      </c>
      <c r="P11045">
        <v>95112</v>
      </c>
      <c r="Q11045">
        <v>3030</v>
      </c>
      <c r="R11045" t="s">
        <v>23</v>
      </c>
      <c r="S11045" s="1" t="s">
        <v>34218</v>
      </c>
    </row>
    <row r="11046" spans="1:19" x14ac:dyDescent="0.25">
      <c r="A11046">
        <v>101299999</v>
      </c>
      <c r="B11046" t="s">
        <v>3774</v>
      </c>
      <c r="C11046" t="s">
        <v>1714</v>
      </c>
      <c r="G11046" t="s">
        <v>24690</v>
      </c>
      <c r="H11046" t="s">
        <v>130</v>
      </c>
      <c r="I11046" t="s">
        <v>22</v>
      </c>
      <c r="J11046">
        <v>94121</v>
      </c>
      <c r="K11046">
        <v>3513</v>
      </c>
      <c r="L11046" t="s">
        <v>23</v>
      </c>
      <c r="M11046" t="s">
        <v>24690</v>
      </c>
      <c r="N11046" t="s">
        <v>130</v>
      </c>
      <c r="O11046" t="s">
        <v>22</v>
      </c>
      <c r="P11046">
        <v>94121</v>
      </c>
      <c r="Q11046">
        <v>3513</v>
      </c>
      <c r="R11046" t="s">
        <v>23</v>
      </c>
      <c r="S11046" s="1" t="s">
        <v>34218</v>
      </c>
    </row>
    <row r="11047" spans="1:19" x14ac:dyDescent="0.25">
      <c r="A11047">
        <v>101332500</v>
      </c>
      <c r="B11047" t="s">
        <v>1800</v>
      </c>
      <c r="C11047" t="s">
        <v>1555</v>
      </c>
      <c r="G11047" t="s">
        <v>24691</v>
      </c>
      <c r="H11047" t="s">
        <v>299</v>
      </c>
      <c r="I11047" t="s">
        <v>22</v>
      </c>
      <c r="J11047">
        <v>90048</v>
      </c>
      <c r="K11047">
        <v>4608</v>
      </c>
      <c r="L11047" t="s">
        <v>23</v>
      </c>
      <c r="M11047" t="s">
        <v>24691</v>
      </c>
      <c r="N11047" t="s">
        <v>299</v>
      </c>
      <c r="O11047" t="s">
        <v>22</v>
      </c>
      <c r="P11047">
        <v>90048</v>
      </c>
      <c r="Q11047">
        <v>4608</v>
      </c>
      <c r="R11047" t="s">
        <v>23</v>
      </c>
      <c r="S11047" s="1" t="s">
        <v>34218</v>
      </c>
    </row>
    <row r="11048" spans="1:19" x14ac:dyDescent="0.25">
      <c r="A11048">
        <v>101204471</v>
      </c>
      <c r="B11048" t="s">
        <v>3505</v>
      </c>
      <c r="C11048" t="s">
        <v>123</v>
      </c>
      <c r="F11048" t="str">
        <f>"2012406689"</f>
        <v>2012406689</v>
      </c>
      <c r="G11048" t="s">
        <v>24692</v>
      </c>
      <c r="H11048" t="s">
        <v>14984</v>
      </c>
      <c r="I11048" t="s">
        <v>52</v>
      </c>
      <c r="J11048" t="s">
        <v>24693</v>
      </c>
      <c r="K11048">
        <v>8140</v>
      </c>
      <c r="L11048" t="s">
        <v>23</v>
      </c>
      <c r="M11048" t="s">
        <v>24692</v>
      </c>
      <c r="N11048" t="s">
        <v>14984</v>
      </c>
      <c r="O11048" t="s">
        <v>52</v>
      </c>
      <c r="P11048" t="s">
        <v>24693</v>
      </c>
      <c r="Q11048">
        <v>8140</v>
      </c>
      <c r="R11048" t="s">
        <v>23</v>
      </c>
      <c r="S11048" s="1" t="s">
        <v>34218</v>
      </c>
    </row>
    <row r="11049" spans="1:19" x14ac:dyDescent="0.25">
      <c r="A11049">
        <v>100634219</v>
      </c>
      <c r="B11049" t="s">
        <v>7471</v>
      </c>
      <c r="C11049" t="s">
        <v>4644</v>
      </c>
      <c r="G11049" t="s">
        <v>24694</v>
      </c>
      <c r="H11049" t="s">
        <v>7994</v>
      </c>
      <c r="I11049" t="s">
        <v>84</v>
      </c>
      <c r="J11049" t="s">
        <v>24695</v>
      </c>
      <c r="K11049">
        <v>5912</v>
      </c>
      <c r="L11049" t="s">
        <v>23</v>
      </c>
      <c r="M11049" t="s">
        <v>24694</v>
      </c>
      <c r="N11049" t="s">
        <v>7994</v>
      </c>
      <c r="O11049" t="s">
        <v>84</v>
      </c>
      <c r="P11049" t="s">
        <v>24695</v>
      </c>
      <c r="Q11049">
        <v>5912</v>
      </c>
      <c r="R11049" t="s">
        <v>23</v>
      </c>
      <c r="S11049" s="1" t="s">
        <v>34218</v>
      </c>
    </row>
    <row r="11050" spans="1:19" x14ac:dyDescent="0.25">
      <c r="A11050">
        <v>100731716</v>
      </c>
      <c r="B11050" t="s">
        <v>24696</v>
      </c>
      <c r="C11050" t="s">
        <v>1588</v>
      </c>
      <c r="F11050" t="str">
        <f>"4345107644"</f>
        <v>4345107644</v>
      </c>
      <c r="G11050" t="s">
        <v>24697</v>
      </c>
      <c r="H11050" t="s">
        <v>24698</v>
      </c>
      <c r="I11050" t="s">
        <v>255</v>
      </c>
      <c r="J11050" t="s">
        <v>24699</v>
      </c>
      <c r="K11050">
        <v>2419</v>
      </c>
      <c r="L11050" t="s">
        <v>23</v>
      </c>
      <c r="M11050" t="s">
        <v>24697</v>
      </c>
      <c r="N11050" t="s">
        <v>24698</v>
      </c>
      <c r="O11050" t="s">
        <v>255</v>
      </c>
      <c r="P11050" t="s">
        <v>24699</v>
      </c>
      <c r="Q11050">
        <v>2419</v>
      </c>
      <c r="R11050" t="s">
        <v>23</v>
      </c>
      <c r="S11050" s="1" t="s">
        <v>34218</v>
      </c>
    </row>
    <row r="11051" spans="1:19" x14ac:dyDescent="0.25">
      <c r="A11051">
        <v>101419754</v>
      </c>
      <c r="B11051" t="s">
        <v>19035</v>
      </c>
      <c r="C11051" t="s">
        <v>15347</v>
      </c>
      <c r="G11051" t="s">
        <v>24700</v>
      </c>
      <c r="H11051" t="s">
        <v>10743</v>
      </c>
      <c r="I11051" t="s">
        <v>135</v>
      </c>
      <c r="J11051" t="s">
        <v>24701</v>
      </c>
      <c r="K11051">
        <v>2433</v>
      </c>
      <c r="L11051" t="s">
        <v>23</v>
      </c>
      <c r="M11051" t="s">
        <v>24700</v>
      </c>
      <c r="N11051" t="s">
        <v>10743</v>
      </c>
      <c r="O11051" t="s">
        <v>135</v>
      </c>
      <c r="P11051" t="s">
        <v>24701</v>
      </c>
      <c r="Q11051">
        <v>2433</v>
      </c>
      <c r="R11051" t="s">
        <v>23</v>
      </c>
      <c r="S11051" s="1" t="s">
        <v>34218</v>
      </c>
    </row>
    <row r="11052" spans="1:19" x14ac:dyDescent="0.25">
      <c r="A11052">
        <v>100806103</v>
      </c>
      <c r="B11052" t="s">
        <v>24702</v>
      </c>
      <c r="C11052" t="s">
        <v>810</v>
      </c>
      <c r="F11052" t="str">
        <f>"3103253253"</f>
        <v>3103253253</v>
      </c>
      <c r="H11052" t="s">
        <v>5269</v>
      </c>
      <c r="I11052" t="s">
        <v>22</v>
      </c>
      <c r="J11052">
        <v>90505</v>
      </c>
      <c r="L11052" t="s">
        <v>23</v>
      </c>
      <c r="N11052" t="s">
        <v>5269</v>
      </c>
      <c r="O11052" t="s">
        <v>22</v>
      </c>
      <c r="P11052">
        <v>90505</v>
      </c>
      <c r="R11052" t="s">
        <v>23</v>
      </c>
      <c r="S11052" s="1" t="s">
        <v>34218</v>
      </c>
    </row>
    <row r="11053" spans="1:19" x14ac:dyDescent="0.25">
      <c r="A11053">
        <v>101422295</v>
      </c>
      <c r="B11053" t="s">
        <v>10871</v>
      </c>
      <c r="C11053" t="s">
        <v>24703</v>
      </c>
      <c r="G11053" t="s">
        <v>24704</v>
      </c>
      <c r="H11053" t="s">
        <v>5194</v>
      </c>
      <c r="I11053" t="s">
        <v>307</v>
      </c>
      <c r="J11053" t="s">
        <v>24705</v>
      </c>
      <c r="K11053">
        <v>2225</v>
      </c>
      <c r="L11053" t="s">
        <v>23</v>
      </c>
      <c r="M11053" t="s">
        <v>24704</v>
      </c>
      <c r="N11053" t="s">
        <v>5194</v>
      </c>
      <c r="O11053" t="s">
        <v>307</v>
      </c>
      <c r="P11053" t="s">
        <v>24705</v>
      </c>
      <c r="Q11053">
        <v>2225</v>
      </c>
      <c r="R11053" t="s">
        <v>23</v>
      </c>
      <c r="S11053" s="1" t="s">
        <v>34218</v>
      </c>
    </row>
    <row r="11054" spans="1:19" x14ac:dyDescent="0.25">
      <c r="A11054">
        <v>101247114</v>
      </c>
      <c r="B11054" t="s">
        <v>4679</v>
      </c>
      <c r="C11054" t="s">
        <v>25</v>
      </c>
      <c r="G11054" t="s">
        <v>24706</v>
      </c>
      <c r="H11054" t="s">
        <v>16826</v>
      </c>
      <c r="I11054" t="s">
        <v>307</v>
      </c>
      <c r="J11054">
        <v>5452</v>
      </c>
      <c r="K11054">
        <v>4031</v>
      </c>
      <c r="L11054" t="s">
        <v>23</v>
      </c>
      <c r="M11054" t="s">
        <v>24706</v>
      </c>
      <c r="N11054" t="s">
        <v>16826</v>
      </c>
      <c r="O11054" t="s">
        <v>307</v>
      </c>
      <c r="P11054">
        <v>5452</v>
      </c>
      <c r="Q11054">
        <v>4031</v>
      </c>
      <c r="R11054" t="s">
        <v>23</v>
      </c>
      <c r="S11054" s="1" t="s">
        <v>34218</v>
      </c>
    </row>
    <row r="11055" spans="1:19" x14ac:dyDescent="0.25">
      <c r="A11055">
        <v>101394848</v>
      </c>
      <c r="B11055" t="s">
        <v>24707</v>
      </c>
      <c r="C11055" t="s">
        <v>2603</v>
      </c>
      <c r="G11055" t="s">
        <v>24708</v>
      </c>
      <c r="H11055" t="s">
        <v>21109</v>
      </c>
      <c r="I11055" t="s">
        <v>984</v>
      </c>
      <c r="J11055" t="s">
        <v>24709</v>
      </c>
      <c r="K11055">
        <v>3144</v>
      </c>
      <c r="L11055" t="s">
        <v>23</v>
      </c>
      <c r="M11055" t="s">
        <v>24708</v>
      </c>
      <c r="N11055" t="s">
        <v>21109</v>
      </c>
      <c r="O11055" t="s">
        <v>984</v>
      </c>
      <c r="P11055" t="s">
        <v>24709</v>
      </c>
      <c r="Q11055">
        <v>3144</v>
      </c>
      <c r="R11055" t="s">
        <v>23</v>
      </c>
      <c r="S11055" s="1" t="s">
        <v>34218</v>
      </c>
    </row>
    <row r="11056" spans="1:19" x14ac:dyDescent="0.25">
      <c r="A11056">
        <v>100798508</v>
      </c>
      <c r="B11056" t="s">
        <v>24004</v>
      </c>
      <c r="C11056" t="s">
        <v>12345</v>
      </c>
      <c r="G11056" t="s">
        <v>24710</v>
      </c>
      <c r="H11056" t="s">
        <v>2684</v>
      </c>
      <c r="I11056" t="s">
        <v>22</v>
      </c>
      <c r="J11056">
        <v>94901</v>
      </c>
      <c r="K11056">
        <v>8206</v>
      </c>
      <c r="L11056" t="s">
        <v>23</v>
      </c>
      <c r="M11056" t="s">
        <v>24710</v>
      </c>
      <c r="N11056" t="s">
        <v>2684</v>
      </c>
      <c r="O11056" t="s">
        <v>22</v>
      </c>
      <c r="P11056">
        <v>94901</v>
      </c>
      <c r="Q11056">
        <v>8206</v>
      </c>
      <c r="R11056" t="s">
        <v>23</v>
      </c>
      <c r="S11056" s="1" t="s">
        <v>34218</v>
      </c>
    </row>
    <row r="11057" spans="1:19" x14ac:dyDescent="0.25">
      <c r="A11057">
        <v>101302389</v>
      </c>
      <c r="B11057" t="s">
        <v>24711</v>
      </c>
      <c r="C11057" t="s">
        <v>3361</v>
      </c>
      <c r="G11057" t="s">
        <v>24712</v>
      </c>
      <c r="H11057" t="s">
        <v>2136</v>
      </c>
      <c r="I11057" t="s">
        <v>117</v>
      </c>
      <c r="J11057" t="s">
        <v>24713</v>
      </c>
      <c r="K11057">
        <v>6016</v>
      </c>
      <c r="L11057" t="s">
        <v>23</v>
      </c>
      <c r="M11057" t="s">
        <v>24712</v>
      </c>
      <c r="N11057" t="s">
        <v>2136</v>
      </c>
      <c r="O11057" t="s">
        <v>117</v>
      </c>
      <c r="P11057" t="s">
        <v>24713</v>
      </c>
      <c r="Q11057">
        <v>6016</v>
      </c>
      <c r="R11057" t="s">
        <v>23</v>
      </c>
      <c r="S11057" s="1" t="s">
        <v>34218</v>
      </c>
    </row>
    <row r="11058" spans="1:19" x14ac:dyDescent="0.25">
      <c r="A11058">
        <v>101480631</v>
      </c>
      <c r="B11058" t="s">
        <v>24714</v>
      </c>
      <c r="C11058" t="s">
        <v>2010</v>
      </c>
      <c r="G11058" t="s">
        <v>24715</v>
      </c>
      <c r="H11058" t="s">
        <v>10995</v>
      </c>
      <c r="I11058" t="s">
        <v>135</v>
      </c>
      <c r="J11058">
        <v>60435</v>
      </c>
      <c r="K11058">
        <v>8104</v>
      </c>
      <c r="L11058" t="s">
        <v>23</v>
      </c>
      <c r="M11058" t="s">
        <v>24715</v>
      </c>
      <c r="N11058" t="s">
        <v>10995</v>
      </c>
      <c r="O11058" t="s">
        <v>135</v>
      </c>
      <c r="P11058">
        <v>60435</v>
      </c>
      <c r="Q11058">
        <v>8104</v>
      </c>
      <c r="R11058" t="s">
        <v>23</v>
      </c>
      <c r="S11058" s="1" t="s">
        <v>34218</v>
      </c>
    </row>
    <row r="11059" spans="1:19" x14ac:dyDescent="0.25">
      <c r="A11059">
        <v>100677222</v>
      </c>
      <c r="B11059" t="s">
        <v>24716</v>
      </c>
      <c r="C11059" t="s">
        <v>4273</v>
      </c>
      <c r="G11059" t="s">
        <v>24717</v>
      </c>
      <c r="H11059" t="s">
        <v>14283</v>
      </c>
      <c r="I11059" t="s">
        <v>255</v>
      </c>
      <c r="J11059">
        <v>22938</v>
      </c>
      <c r="K11059">
        <v>2333</v>
      </c>
      <c r="L11059" t="s">
        <v>23</v>
      </c>
      <c r="M11059" t="s">
        <v>24717</v>
      </c>
      <c r="N11059" t="s">
        <v>14283</v>
      </c>
      <c r="O11059" t="s">
        <v>255</v>
      </c>
      <c r="P11059">
        <v>22938</v>
      </c>
      <c r="Q11059">
        <v>2333</v>
      </c>
      <c r="R11059" t="s">
        <v>23</v>
      </c>
      <c r="S11059" s="1" t="s">
        <v>34218</v>
      </c>
    </row>
    <row r="11060" spans="1:19" x14ac:dyDescent="0.25">
      <c r="A11060">
        <v>100568931</v>
      </c>
      <c r="B11060" t="s">
        <v>24718</v>
      </c>
      <c r="C11060" t="s">
        <v>40</v>
      </c>
      <c r="G11060" t="s">
        <v>24719</v>
      </c>
      <c r="H11060" t="s">
        <v>4495</v>
      </c>
      <c r="I11060" t="s">
        <v>71</v>
      </c>
      <c r="J11060">
        <v>81402</v>
      </c>
      <c r="K11060">
        <v>3097</v>
      </c>
      <c r="L11060" t="s">
        <v>23</v>
      </c>
      <c r="M11060" t="s">
        <v>24719</v>
      </c>
      <c r="N11060" t="s">
        <v>4495</v>
      </c>
      <c r="O11060" t="s">
        <v>71</v>
      </c>
      <c r="P11060">
        <v>81402</v>
      </c>
      <c r="Q11060">
        <v>3097</v>
      </c>
      <c r="R11060" t="s">
        <v>23</v>
      </c>
      <c r="S11060" s="1" t="s">
        <v>34218</v>
      </c>
    </row>
    <row r="11061" spans="1:19" x14ac:dyDescent="0.25">
      <c r="A11061">
        <v>101346676</v>
      </c>
      <c r="B11061" t="s">
        <v>497</v>
      </c>
      <c r="C11061" t="s">
        <v>3583</v>
      </c>
      <c r="G11061" t="s">
        <v>24720</v>
      </c>
      <c r="H11061" t="s">
        <v>2910</v>
      </c>
      <c r="I11061" t="s">
        <v>52</v>
      </c>
      <c r="J11061" t="s">
        <v>24721</v>
      </c>
      <c r="K11061">
        <v>5308</v>
      </c>
      <c r="L11061" t="s">
        <v>23</v>
      </c>
      <c r="M11061" t="s">
        <v>24720</v>
      </c>
      <c r="N11061" t="s">
        <v>2910</v>
      </c>
      <c r="O11061" t="s">
        <v>52</v>
      </c>
      <c r="P11061" t="s">
        <v>24721</v>
      </c>
      <c r="Q11061">
        <v>5308</v>
      </c>
      <c r="R11061" t="s">
        <v>23</v>
      </c>
      <c r="S11061" s="1" t="s">
        <v>34218</v>
      </c>
    </row>
    <row r="11062" spans="1:19" x14ac:dyDescent="0.25">
      <c r="A11062">
        <v>101443456</v>
      </c>
      <c r="B11062" t="s">
        <v>22596</v>
      </c>
      <c r="C11062" t="s">
        <v>1959</v>
      </c>
      <c r="G11062" t="s">
        <v>24722</v>
      </c>
      <c r="H11062" t="s">
        <v>3130</v>
      </c>
      <c r="I11062" t="s">
        <v>38</v>
      </c>
      <c r="J11062" t="s">
        <v>24723</v>
      </c>
      <c r="K11062">
        <v>5440</v>
      </c>
      <c r="L11062" t="s">
        <v>23</v>
      </c>
      <c r="M11062" t="s">
        <v>24722</v>
      </c>
      <c r="N11062" t="s">
        <v>3130</v>
      </c>
      <c r="O11062" t="s">
        <v>38</v>
      </c>
      <c r="P11062" t="s">
        <v>24723</v>
      </c>
      <c r="Q11062">
        <v>5440</v>
      </c>
      <c r="R11062" t="s">
        <v>23</v>
      </c>
      <c r="S11062" s="1" t="s">
        <v>34218</v>
      </c>
    </row>
    <row r="11063" spans="1:19" x14ac:dyDescent="0.25">
      <c r="A11063">
        <v>101410763</v>
      </c>
      <c r="B11063" t="s">
        <v>24724</v>
      </c>
      <c r="C11063" t="s">
        <v>24725</v>
      </c>
      <c r="G11063" t="s">
        <v>24726</v>
      </c>
      <c r="H11063" t="s">
        <v>66</v>
      </c>
      <c r="I11063" t="s">
        <v>22</v>
      </c>
      <c r="J11063" t="s">
        <v>24727</v>
      </c>
      <c r="K11063">
        <v>3126</v>
      </c>
      <c r="L11063" t="s">
        <v>23</v>
      </c>
      <c r="M11063" t="s">
        <v>24726</v>
      </c>
      <c r="N11063" t="s">
        <v>66</v>
      </c>
      <c r="O11063" t="s">
        <v>22</v>
      </c>
      <c r="P11063" t="s">
        <v>24727</v>
      </c>
      <c r="Q11063">
        <v>3126</v>
      </c>
      <c r="R11063" t="s">
        <v>23</v>
      </c>
      <c r="S11063" s="1" t="s">
        <v>34218</v>
      </c>
    </row>
    <row r="11064" spans="1:19" x14ac:dyDescent="0.25">
      <c r="A11064">
        <v>100883526</v>
      </c>
      <c r="B11064" t="s">
        <v>24728</v>
      </c>
      <c r="C11064" t="s">
        <v>1124</v>
      </c>
      <c r="G11064" t="s">
        <v>24729</v>
      </c>
      <c r="H11064" t="s">
        <v>134</v>
      </c>
      <c r="I11064" t="s">
        <v>135</v>
      </c>
      <c r="J11064" t="s">
        <v>24730</v>
      </c>
      <c r="K11064">
        <v>1124</v>
      </c>
      <c r="L11064" t="s">
        <v>23</v>
      </c>
      <c r="M11064" t="s">
        <v>24729</v>
      </c>
      <c r="N11064" t="s">
        <v>134</v>
      </c>
      <c r="O11064" t="s">
        <v>135</v>
      </c>
      <c r="P11064" t="s">
        <v>24730</v>
      </c>
      <c r="Q11064">
        <v>1124</v>
      </c>
      <c r="R11064" t="s">
        <v>23</v>
      </c>
      <c r="S11064" s="1" t="s">
        <v>34218</v>
      </c>
    </row>
    <row r="11065" spans="1:19" x14ac:dyDescent="0.25">
      <c r="A11065">
        <v>101331497</v>
      </c>
      <c r="B11065" t="s">
        <v>7130</v>
      </c>
      <c r="C11065" t="s">
        <v>13294</v>
      </c>
      <c r="G11065" t="s">
        <v>24731</v>
      </c>
      <c r="H11065" t="s">
        <v>5626</v>
      </c>
      <c r="I11065" t="s">
        <v>100</v>
      </c>
      <c r="J11065" t="s">
        <v>24732</v>
      </c>
      <c r="K11065">
        <v>1824</v>
      </c>
      <c r="L11065" t="s">
        <v>23</v>
      </c>
      <c r="M11065" t="s">
        <v>24731</v>
      </c>
      <c r="N11065" t="s">
        <v>5626</v>
      </c>
      <c r="O11065" t="s">
        <v>100</v>
      </c>
      <c r="P11065" t="s">
        <v>24732</v>
      </c>
      <c r="Q11065">
        <v>1824</v>
      </c>
      <c r="R11065" t="s">
        <v>23</v>
      </c>
      <c r="S11065" s="1" t="s">
        <v>34218</v>
      </c>
    </row>
    <row r="11066" spans="1:19" x14ac:dyDescent="0.25">
      <c r="A11066">
        <v>101293458</v>
      </c>
      <c r="B11066" t="s">
        <v>24733</v>
      </c>
      <c r="C11066" t="s">
        <v>2047</v>
      </c>
      <c r="G11066" t="s">
        <v>24734</v>
      </c>
      <c r="H11066" t="s">
        <v>5905</v>
      </c>
      <c r="I11066" t="s">
        <v>33</v>
      </c>
      <c r="J11066" t="s">
        <v>24735</v>
      </c>
      <c r="K11066">
        <v>4305</v>
      </c>
      <c r="L11066" t="s">
        <v>23</v>
      </c>
      <c r="M11066" t="s">
        <v>24734</v>
      </c>
      <c r="N11066" t="s">
        <v>5905</v>
      </c>
      <c r="O11066" t="s">
        <v>33</v>
      </c>
      <c r="P11066" t="s">
        <v>24735</v>
      </c>
      <c r="Q11066">
        <v>4305</v>
      </c>
      <c r="R11066" t="s">
        <v>23</v>
      </c>
      <c r="S11066" s="1" t="s">
        <v>34218</v>
      </c>
    </row>
    <row r="11067" spans="1:19" x14ac:dyDescent="0.25">
      <c r="A11067">
        <v>101407734</v>
      </c>
      <c r="B11067" t="s">
        <v>24736</v>
      </c>
      <c r="C11067" t="s">
        <v>90</v>
      </c>
      <c r="G11067" t="s">
        <v>24737</v>
      </c>
      <c r="H11067" t="s">
        <v>13725</v>
      </c>
      <c r="I11067" t="s">
        <v>52</v>
      </c>
      <c r="J11067" t="s">
        <v>24738</v>
      </c>
      <c r="K11067">
        <v>2866</v>
      </c>
      <c r="L11067" t="s">
        <v>23</v>
      </c>
      <c r="M11067" t="s">
        <v>24737</v>
      </c>
      <c r="N11067" t="s">
        <v>13725</v>
      </c>
      <c r="O11067" t="s">
        <v>52</v>
      </c>
      <c r="P11067" t="s">
        <v>24738</v>
      </c>
      <c r="Q11067">
        <v>2866</v>
      </c>
      <c r="R11067" t="s">
        <v>23</v>
      </c>
      <c r="S11067" s="1" t="s">
        <v>34218</v>
      </c>
    </row>
    <row r="11068" spans="1:19" x14ac:dyDescent="0.25">
      <c r="A11068">
        <v>101418943</v>
      </c>
      <c r="B11068" t="s">
        <v>11995</v>
      </c>
      <c r="C11068" t="s">
        <v>6384</v>
      </c>
      <c r="G11068" t="s">
        <v>23019</v>
      </c>
      <c r="H11068" t="s">
        <v>913</v>
      </c>
      <c r="I11068" t="s">
        <v>914</v>
      </c>
      <c r="J11068" t="s">
        <v>23020</v>
      </c>
      <c r="K11068">
        <v>1453</v>
      </c>
      <c r="L11068" t="s">
        <v>23</v>
      </c>
      <c r="M11068" t="s">
        <v>23019</v>
      </c>
      <c r="N11068" t="s">
        <v>913</v>
      </c>
      <c r="O11068" t="s">
        <v>914</v>
      </c>
      <c r="P11068" t="s">
        <v>23020</v>
      </c>
      <c r="Q11068">
        <v>1453</v>
      </c>
      <c r="R11068" t="s">
        <v>23</v>
      </c>
      <c r="S11068" s="1" t="s">
        <v>34218</v>
      </c>
    </row>
    <row r="11069" spans="1:19" x14ac:dyDescent="0.25">
      <c r="A11069">
        <v>100849779</v>
      </c>
      <c r="B11069" t="s">
        <v>14465</v>
      </c>
      <c r="C11069" t="s">
        <v>350</v>
      </c>
      <c r="G11069" t="s">
        <v>24739</v>
      </c>
      <c r="H11069" t="s">
        <v>573</v>
      </c>
      <c r="I11069" t="s">
        <v>33</v>
      </c>
      <c r="J11069" t="s">
        <v>24740</v>
      </c>
      <c r="K11069">
        <v>3109</v>
      </c>
      <c r="L11069" t="s">
        <v>23</v>
      </c>
      <c r="M11069" t="s">
        <v>24739</v>
      </c>
      <c r="N11069" t="s">
        <v>573</v>
      </c>
      <c r="O11069" t="s">
        <v>33</v>
      </c>
      <c r="P11069" t="s">
        <v>24740</v>
      </c>
      <c r="Q11069">
        <v>3109</v>
      </c>
      <c r="R11069" t="s">
        <v>23</v>
      </c>
      <c r="S11069" s="1" t="s">
        <v>34218</v>
      </c>
    </row>
    <row r="11070" spans="1:19" x14ac:dyDescent="0.25">
      <c r="A11070">
        <v>101326118</v>
      </c>
      <c r="B11070" t="s">
        <v>24741</v>
      </c>
      <c r="C11070" t="s">
        <v>535</v>
      </c>
      <c r="G11070" t="s">
        <v>24742</v>
      </c>
      <c r="H11070" t="s">
        <v>198</v>
      </c>
      <c r="I11070" t="s">
        <v>22</v>
      </c>
      <c r="J11070" t="s">
        <v>24743</v>
      </c>
      <c r="K11070">
        <v>5422</v>
      </c>
      <c r="L11070" t="s">
        <v>23</v>
      </c>
      <c r="M11070" t="s">
        <v>24742</v>
      </c>
      <c r="N11070" t="s">
        <v>198</v>
      </c>
      <c r="O11070" t="s">
        <v>22</v>
      </c>
      <c r="P11070" t="s">
        <v>24743</v>
      </c>
      <c r="Q11070">
        <v>5422</v>
      </c>
      <c r="R11070" t="s">
        <v>23</v>
      </c>
      <c r="S11070" s="1" t="s">
        <v>34218</v>
      </c>
    </row>
    <row r="11071" spans="1:19" x14ac:dyDescent="0.25">
      <c r="A11071">
        <v>101019844</v>
      </c>
      <c r="B11071" t="s">
        <v>17062</v>
      </c>
      <c r="C11071" t="s">
        <v>452</v>
      </c>
      <c r="G11071" t="s">
        <v>24744</v>
      </c>
      <c r="H11071" t="s">
        <v>4514</v>
      </c>
      <c r="I11071" t="s">
        <v>2537</v>
      </c>
      <c r="J11071" t="s">
        <v>24745</v>
      </c>
      <c r="K11071">
        <v>8252</v>
      </c>
      <c r="L11071" t="s">
        <v>23</v>
      </c>
      <c r="M11071" t="s">
        <v>24744</v>
      </c>
      <c r="N11071" t="s">
        <v>4514</v>
      </c>
      <c r="O11071" t="s">
        <v>2537</v>
      </c>
      <c r="P11071" t="s">
        <v>24745</v>
      </c>
      <c r="Q11071">
        <v>8252</v>
      </c>
      <c r="R11071" t="s">
        <v>23</v>
      </c>
      <c r="S11071" s="1" t="s">
        <v>34218</v>
      </c>
    </row>
    <row r="11072" spans="1:19" x14ac:dyDescent="0.25">
      <c r="A11072">
        <v>100948341</v>
      </c>
      <c r="B11072" t="s">
        <v>24746</v>
      </c>
      <c r="C11072" t="s">
        <v>24747</v>
      </c>
      <c r="G11072" t="s">
        <v>24748</v>
      </c>
      <c r="H11072" t="s">
        <v>79</v>
      </c>
      <c r="I11072" t="s">
        <v>22</v>
      </c>
      <c r="J11072">
        <v>90210</v>
      </c>
      <c r="L11072" t="s">
        <v>23</v>
      </c>
      <c r="M11072" t="s">
        <v>24748</v>
      </c>
      <c r="N11072" t="s">
        <v>79</v>
      </c>
      <c r="O11072" t="s">
        <v>22</v>
      </c>
      <c r="P11072">
        <v>90210</v>
      </c>
      <c r="R11072" t="s">
        <v>23</v>
      </c>
      <c r="S11072" s="1" t="s">
        <v>34218</v>
      </c>
    </row>
    <row r="11073" spans="1:19" x14ac:dyDescent="0.25">
      <c r="A11073">
        <v>101382767</v>
      </c>
      <c r="B11073" t="s">
        <v>24749</v>
      </c>
      <c r="C11073" t="s">
        <v>820</v>
      </c>
      <c r="G11073" t="s">
        <v>24750</v>
      </c>
      <c r="H11073" t="s">
        <v>1787</v>
      </c>
      <c r="I11073" t="s">
        <v>702</v>
      </c>
      <c r="J11073">
        <v>89123</v>
      </c>
      <c r="L11073" t="s">
        <v>23</v>
      </c>
      <c r="M11073" t="s">
        <v>24750</v>
      </c>
      <c r="N11073" t="s">
        <v>1787</v>
      </c>
      <c r="O11073" t="s">
        <v>702</v>
      </c>
      <c r="P11073">
        <v>89123</v>
      </c>
      <c r="R11073" t="s">
        <v>23</v>
      </c>
      <c r="S11073" s="1" t="s">
        <v>34218</v>
      </c>
    </row>
    <row r="11074" spans="1:19" x14ac:dyDescent="0.25">
      <c r="A11074">
        <v>101474860</v>
      </c>
      <c r="B11074" t="s">
        <v>10326</v>
      </c>
      <c r="C11074" t="s">
        <v>68</v>
      </c>
      <c r="G11074" t="s">
        <v>24751</v>
      </c>
      <c r="H11074" t="s">
        <v>2696</v>
      </c>
      <c r="I11074" t="s">
        <v>52</v>
      </c>
      <c r="J11074">
        <v>33021</v>
      </c>
      <c r="K11074">
        <v>4021</v>
      </c>
      <c r="L11074" t="s">
        <v>23</v>
      </c>
      <c r="M11074" t="s">
        <v>24751</v>
      </c>
      <c r="N11074" t="s">
        <v>2696</v>
      </c>
      <c r="O11074" t="s">
        <v>52</v>
      </c>
      <c r="P11074">
        <v>33021</v>
      </c>
      <c r="Q11074">
        <v>4021</v>
      </c>
      <c r="R11074" t="s">
        <v>23</v>
      </c>
      <c r="S11074" s="1" t="s">
        <v>34218</v>
      </c>
    </row>
    <row r="11075" spans="1:19" x14ac:dyDescent="0.25">
      <c r="A11075">
        <v>101474878</v>
      </c>
      <c r="B11075" t="s">
        <v>1355</v>
      </c>
      <c r="C11075" t="s">
        <v>247</v>
      </c>
      <c r="G11075" t="s">
        <v>24752</v>
      </c>
      <c r="H11075" t="s">
        <v>6881</v>
      </c>
      <c r="I11075" t="s">
        <v>52</v>
      </c>
      <c r="J11075">
        <v>33064</v>
      </c>
      <c r="K11075">
        <v>6371</v>
      </c>
      <c r="L11075" t="s">
        <v>23</v>
      </c>
      <c r="M11075" t="s">
        <v>24752</v>
      </c>
      <c r="N11075" t="s">
        <v>6881</v>
      </c>
      <c r="O11075" t="s">
        <v>52</v>
      </c>
      <c r="P11075">
        <v>33064</v>
      </c>
      <c r="Q11075">
        <v>6371</v>
      </c>
      <c r="R11075" t="s">
        <v>23</v>
      </c>
      <c r="S11075" s="1" t="s">
        <v>34218</v>
      </c>
    </row>
    <row r="11076" spans="1:19" x14ac:dyDescent="0.25">
      <c r="A11076">
        <v>101480091</v>
      </c>
      <c r="B11076" t="s">
        <v>24753</v>
      </c>
      <c r="C11076" t="s">
        <v>531</v>
      </c>
      <c r="G11076" t="s">
        <v>24754</v>
      </c>
      <c r="H11076" t="s">
        <v>24755</v>
      </c>
      <c r="I11076" t="s">
        <v>84</v>
      </c>
      <c r="J11076">
        <v>98801</v>
      </c>
      <c r="K11076">
        <v>6332</v>
      </c>
      <c r="L11076" t="s">
        <v>23</v>
      </c>
      <c r="M11076" t="s">
        <v>24754</v>
      </c>
      <c r="N11076" t="s">
        <v>24755</v>
      </c>
      <c r="O11076" t="s">
        <v>84</v>
      </c>
      <c r="P11076">
        <v>98801</v>
      </c>
      <c r="Q11076">
        <v>6332</v>
      </c>
      <c r="R11076" t="s">
        <v>23</v>
      </c>
      <c r="S11076" s="1" t="s">
        <v>34218</v>
      </c>
    </row>
    <row r="11077" spans="1:19" x14ac:dyDescent="0.25">
      <c r="A11077">
        <v>101480116</v>
      </c>
      <c r="B11077" t="s">
        <v>10503</v>
      </c>
      <c r="C11077" t="s">
        <v>5836</v>
      </c>
      <c r="G11077" t="s">
        <v>24756</v>
      </c>
      <c r="H11077" t="s">
        <v>3129</v>
      </c>
      <c r="I11077" t="s">
        <v>84</v>
      </c>
      <c r="J11077">
        <v>99218</v>
      </c>
      <c r="K11077">
        <v>2058</v>
      </c>
      <c r="L11077" t="s">
        <v>23</v>
      </c>
      <c r="M11077" t="s">
        <v>24756</v>
      </c>
      <c r="N11077" t="s">
        <v>3129</v>
      </c>
      <c r="O11077" t="s">
        <v>84</v>
      </c>
      <c r="P11077">
        <v>99218</v>
      </c>
      <c r="Q11077">
        <v>2058</v>
      </c>
      <c r="R11077" t="s">
        <v>23</v>
      </c>
      <c r="S11077" s="1" t="s">
        <v>34218</v>
      </c>
    </row>
    <row r="11078" spans="1:19" x14ac:dyDescent="0.25">
      <c r="A11078">
        <v>101480123</v>
      </c>
      <c r="B11078" t="s">
        <v>744</v>
      </c>
      <c r="C11078" t="s">
        <v>1444</v>
      </c>
      <c r="G11078" t="s">
        <v>24757</v>
      </c>
      <c r="H11078" t="s">
        <v>22736</v>
      </c>
      <c r="I11078" t="s">
        <v>84</v>
      </c>
      <c r="J11078">
        <v>99352</v>
      </c>
      <c r="K11078">
        <v>8568</v>
      </c>
      <c r="L11078" t="s">
        <v>23</v>
      </c>
      <c r="M11078" t="s">
        <v>24757</v>
      </c>
      <c r="N11078" t="s">
        <v>22736</v>
      </c>
      <c r="O11078" t="s">
        <v>84</v>
      </c>
      <c r="P11078">
        <v>99352</v>
      </c>
      <c r="Q11078">
        <v>8568</v>
      </c>
      <c r="R11078" t="s">
        <v>23</v>
      </c>
      <c r="S11078" s="1" t="s">
        <v>34218</v>
      </c>
    </row>
    <row r="11079" spans="1:19" x14ac:dyDescent="0.25">
      <c r="A11079">
        <v>101480194</v>
      </c>
      <c r="B11079" t="s">
        <v>24758</v>
      </c>
      <c r="C11079" t="s">
        <v>24759</v>
      </c>
      <c r="G11079" t="s">
        <v>24760</v>
      </c>
      <c r="H11079" t="s">
        <v>11941</v>
      </c>
      <c r="I11079" t="s">
        <v>250</v>
      </c>
      <c r="J11079">
        <v>7052</v>
      </c>
      <c r="K11079">
        <v>3220</v>
      </c>
      <c r="L11079" t="s">
        <v>23</v>
      </c>
      <c r="M11079" t="s">
        <v>24760</v>
      </c>
      <c r="N11079" t="s">
        <v>11941</v>
      </c>
      <c r="O11079" t="s">
        <v>250</v>
      </c>
      <c r="P11079">
        <v>7052</v>
      </c>
      <c r="Q11079">
        <v>3220</v>
      </c>
      <c r="R11079" t="s">
        <v>23</v>
      </c>
      <c r="S11079" s="1" t="s">
        <v>34218</v>
      </c>
    </row>
    <row r="11080" spans="1:19" x14ac:dyDescent="0.25">
      <c r="A11080">
        <v>101480212</v>
      </c>
      <c r="B11080" t="s">
        <v>24761</v>
      </c>
      <c r="C11080" t="s">
        <v>274</v>
      </c>
      <c r="G11080" t="s">
        <v>24762</v>
      </c>
      <c r="H11080" t="s">
        <v>9246</v>
      </c>
      <c r="I11080" t="s">
        <v>117</v>
      </c>
      <c r="J11080">
        <v>10583</v>
      </c>
      <c r="K11080">
        <v>3839</v>
      </c>
      <c r="L11080" t="s">
        <v>23</v>
      </c>
      <c r="M11080" t="s">
        <v>24762</v>
      </c>
      <c r="N11080" t="s">
        <v>9246</v>
      </c>
      <c r="O11080" t="s">
        <v>117</v>
      </c>
      <c r="P11080">
        <v>10583</v>
      </c>
      <c r="Q11080">
        <v>3839</v>
      </c>
      <c r="R11080" t="s">
        <v>23</v>
      </c>
      <c r="S11080" s="1" t="s">
        <v>34218</v>
      </c>
    </row>
    <row r="11081" spans="1:19" x14ac:dyDescent="0.25">
      <c r="A11081">
        <v>101480269</v>
      </c>
      <c r="B11081" t="s">
        <v>7506</v>
      </c>
      <c r="C11081" t="s">
        <v>4273</v>
      </c>
      <c r="G11081" t="s">
        <v>24763</v>
      </c>
      <c r="H11081" t="s">
        <v>1531</v>
      </c>
      <c r="I11081" t="s">
        <v>84</v>
      </c>
      <c r="J11081">
        <v>98144</v>
      </c>
      <c r="K11081">
        <v>3307</v>
      </c>
      <c r="L11081" t="s">
        <v>23</v>
      </c>
      <c r="M11081" t="s">
        <v>24763</v>
      </c>
      <c r="N11081" t="s">
        <v>1531</v>
      </c>
      <c r="O11081" t="s">
        <v>84</v>
      </c>
      <c r="P11081">
        <v>98144</v>
      </c>
      <c r="Q11081">
        <v>3307</v>
      </c>
      <c r="R11081" t="s">
        <v>23</v>
      </c>
      <c r="S11081" s="1" t="s">
        <v>34218</v>
      </c>
    </row>
    <row r="11082" spans="1:19" x14ac:dyDescent="0.25">
      <c r="A11082">
        <v>101480337</v>
      </c>
      <c r="B11082" t="s">
        <v>24764</v>
      </c>
      <c r="C11082" t="s">
        <v>1873</v>
      </c>
      <c r="G11082" t="s">
        <v>24765</v>
      </c>
      <c r="H11082" t="s">
        <v>3473</v>
      </c>
      <c r="I11082" t="s">
        <v>84</v>
      </c>
      <c r="J11082">
        <v>98353</v>
      </c>
      <c r="K11082">
        <v>419</v>
      </c>
      <c r="L11082" t="s">
        <v>23</v>
      </c>
      <c r="M11082" t="s">
        <v>24765</v>
      </c>
      <c r="N11082" t="s">
        <v>3473</v>
      </c>
      <c r="O11082" t="s">
        <v>84</v>
      </c>
      <c r="P11082">
        <v>98353</v>
      </c>
      <c r="Q11082">
        <v>419</v>
      </c>
      <c r="R11082" t="s">
        <v>23</v>
      </c>
      <c r="S11082" s="1" t="s">
        <v>34218</v>
      </c>
    </row>
    <row r="11083" spans="1:19" x14ac:dyDescent="0.25">
      <c r="A11083">
        <v>101290298</v>
      </c>
      <c r="B11083" t="s">
        <v>18753</v>
      </c>
      <c r="C11083" t="s">
        <v>24766</v>
      </c>
      <c r="G11083" t="s">
        <v>24767</v>
      </c>
      <c r="H11083" t="s">
        <v>1439</v>
      </c>
      <c r="I11083" t="s">
        <v>365</v>
      </c>
      <c r="J11083">
        <v>85701</v>
      </c>
      <c r="K11083">
        <v>2400</v>
      </c>
      <c r="L11083" t="s">
        <v>23</v>
      </c>
      <c r="M11083" t="s">
        <v>24767</v>
      </c>
      <c r="N11083" t="s">
        <v>1439</v>
      </c>
      <c r="O11083" t="s">
        <v>365</v>
      </c>
      <c r="P11083">
        <v>85701</v>
      </c>
      <c r="Q11083">
        <v>2400</v>
      </c>
      <c r="R11083" t="s">
        <v>23</v>
      </c>
      <c r="S11083" s="1" t="s">
        <v>34218</v>
      </c>
    </row>
    <row r="11084" spans="1:19" x14ac:dyDescent="0.25">
      <c r="A11084">
        <v>101466522</v>
      </c>
      <c r="B11084" t="s">
        <v>24768</v>
      </c>
      <c r="C11084" t="s">
        <v>1671</v>
      </c>
      <c r="G11084" t="s">
        <v>24769</v>
      </c>
      <c r="H11084" t="s">
        <v>2375</v>
      </c>
      <c r="I11084" t="s">
        <v>914</v>
      </c>
      <c r="J11084">
        <v>37115</v>
      </c>
      <c r="K11084">
        <v>6036</v>
      </c>
      <c r="L11084" t="s">
        <v>23</v>
      </c>
      <c r="M11084" t="s">
        <v>24769</v>
      </c>
      <c r="N11084" t="s">
        <v>2375</v>
      </c>
      <c r="O11084" t="s">
        <v>914</v>
      </c>
      <c r="P11084">
        <v>37115</v>
      </c>
      <c r="Q11084">
        <v>6036</v>
      </c>
      <c r="R11084" t="s">
        <v>23</v>
      </c>
      <c r="S11084" s="1" t="s">
        <v>34218</v>
      </c>
    </row>
    <row r="11085" spans="1:19" x14ac:dyDescent="0.25">
      <c r="A11085">
        <v>101304745</v>
      </c>
      <c r="B11085" t="s">
        <v>7450</v>
      </c>
      <c r="C11085" t="s">
        <v>8445</v>
      </c>
      <c r="G11085" t="s">
        <v>24770</v>
      </c>
      <c r="H11085" t="s">
        <v>12564</v>
      </c>
      <c r="I11085" t="s">
        <v>446</v>
      </c>
      <c r="J11085">
        <v>27410</v>
      </c>
      <c r="K11085">
        <v>8424</v>
      </c>
      <c r="L11085" t="s">
        <v>23</v>
      </c>
      <c r="M11085" t="s">
        <v>24770</v>
      </c>
      <c r="N11085" t="s">
        <v>12564</v>
      </c>
      <c r="O11085" t="s">
        <v>446</v>
      </c>
      <c r="P11085">
        <v>27410</v>
      </c>
      <c r="Q11085">
        <v>8424</v>
      </c>
      <c r="R11085" t="s">
        <v>23</v>
      </c>
      <c r="S11085" s="1" t="s">
        <v>34218</v>
      </c>
    </row>
    <row r="11086" spans="1:19" x14ac:dyDescent="0.25">
      <c r="A11086">
        <v>101465326</v>
      </c>
      <c r="B11086" t="s">
        <v>24771</v>
      </c>
      <c r="C11086" t="s">
        <v>4188</v>
      </c>
      <c r="G11086" t="s">
        <v>24772</v>
      </c>
      <c r="H11086" t="s">
        <v>1229</v>
      </c>
      <c r="I11086" t="s">
        <v>38</v>
      </c>
      <c r="J11086">
        <v>78247</v>
      </c>
      <c r="K11086">
        <v>2112</v>
      </c>
      <c r="L11086" t="s">
        <v>23</v>
      </c>
      <c r="M11086" t="s">
        <v>24772</v>
      </c>
      <c r="N11086" t="s">
        <v>1229</v>
      </c>
      <c r="O11086" t="s">
        <v>38</v>
      </c>
      <c r="P11086">
        <v>78247</v>
      </c>
      <c r="Q11086">
        <v>2112</v>
      </c>
      <c r="R11086" t="s">
        <v>23</v>
      </c>
      <c r="S11086" s="1" t="s">
        <v>34218</v>
      </c>
    </row>
    <row r="11087" spans="1:19" x14ac:dyDescent="0.25">
      <c r="A11087">
        <v>101448827</v>
      </c>
      <c r="B11087" t="s">
        <v>1274</v>
      </c>
      <c r="C11087" t="s">
        <v>5274</v>
      </c>
      <c r="G11087" t="s">
        <v>24773</v>
      </c>
      <c r="H11087" t="s">
        <v>14497</v>
      </c>
      <c r="I11087" t="s">
        <v>236</v>
      </c>
      <c r="J11087">
        <v>2338</v>
      </c>
      <c r="K11087">
        <v>2239</v>
      </c>
      <c r="L11087" t="s">
        <v>23</v>
      </c>
      <c r="M11087" t="s">
        <v>24773</v>
      </c>
      <c r="N11087" t="s">
        <v>14497</v>
      </c>
      <c r="O11087" t="s">
        <v>236</v>
      </c>
      <c r="P11087">
        <v>2338</v>
      </c>
      <c r="Q11087">
        <v>2239</v>
      </c>
      <c r="R11087" t="s">
        <v>23</v>
      </c>
      <c r="S11087" s="1" t="s">
        <v>34218</v>
      </c>
    </row>
    <row r="11088" spans="1:19" x14ac:dyDescent="0.25">
      <c r="A11088">
        <v>101227786</v>
      </c>
      <c r="B11088" t="s">
        <v>24774</v>
      </c>
      <c r="C11088" t="s">
        <v>24775</v>
      </c>
      <c r="G11088" t="s">
        <v>24776</v>
      </c>
      <c r="H11088" t="s">
        <v>569</v>
      </c>
      <c r="I11088" t="s">
        <v>187</v>
      </c>
      <c r="J11088">
        <v>55406</v>
      </c>
      <c r="L11088" t="s">
        <v>23</v>
      </c>
      <c r="M11088" t="s">
        <v>24776</v>
      </c>
      <c r="N11088" t="s">
        <v>569</v>
      </c>
      <c r="O11088" t="s">
        <v>187</v>
      </c>
      <c r="P11088">
        <v>55406</v>
      </c>
      <c r="R11088" t="s">
        <v>23</v>
      </c>
      <c r="S11088" s="1" t="s">
        <v>34218</v>
      </c>
    </row>
    <row r="11089" spans="1:19" x14ac:dyDescent="0.25">
      <c r="A11089">
        <v>100646090</v>
      </c>
      <c r="B11089" t="s">
        <v>14182</v>
      </c>
      <c r="C11089" t="s">
        <v>12606</v>
      </c>
      <c r="G11089" t="s">
        <v>24777</v>
      </c>
      <c r="H11089" t="s">
        <v>6668</v>
      </c>
      <c r="I11089" t="s">
        <v>140</v>
      </c>
      <c r="J11089">
        <v>48126</v>
      </c>
      <c r="K11089">
        <v>1426</v>
      </c>
      <c r="L11089" t="s">
        <v>23</v>
      </c>
      <c r="M11089" t="s">
        <v>24777</v>
      </c>
      <c r="N11089" t="s">
        <v>6668</v>
      </c>
      <c r="O11089" t="s">
        <v>140</v>
      </c>
      <c r="P11089">
        <v>48126</v>
      </c>
      <c r="Q11089">
        <v>1426</v>
      </c>
      <c r="R11089" t="s">
        <v>23</v>
      </c>
      <c r="S11089" s="1" t="s">
        <v>34218</v>
      </c>
    </row>
    <row r="11090" spans="1:19" x14ac:dyDescent="0.25">
      <c r="A11090">
        <v>101419972</v>
      </c>
      <c r="B11090" t="s">
        <v>15358</v>
      </c>
      <c r="C11090" t="s">
        <v>498</v>
      </c>
      <c r="G11090" t="s">
        <v>15359</v>
      </c>
      <c r="H11090" t="s">
        <v>112</v>
      </c>
      <c r="I11090" t="s">
        <v>22</v>
      </c>
      <c r="J11090">
        <v>93117</v>
      </c>
      <c r="K11090">
        <v>1500</v>
      </c>
      <c r="L11090" t="s">
        <v>23</v>
      </c>
      <c r="M11090" t="s">
        <v>15359</v>
      </c>
      <c r="N11090" t="s">
        <v>112</v>
      </c>
      <c r="O11090" t="s">
        <v>22</v>
      </c>
      <c r="P11090">
        <v>93117</v>
      </c>
      <c r="Q11090">
        <v>1500</v>
      </c>
      <c r="R11090" t="s">
        <v>23</v>
      </c>
      <c r="S11090" s="1" t="s">
        <v>34218</v>
      </c>
    </row>
    <row r="11091" spans="1:19" x14ac:dyDescent="0.25">
      <c r="A11091">
        <v>100941109</v>
      </c>
      <c r="B11091" t="s">
        <v>10967</v>
      </c>
      <c r="C11091" t="s">
        <v>731</v>
      </c>
      <c r="G11091" t="s">
        <v>24778</v>
      </c>
      <c r="H11091" t="s">
        <v>299</v>
      </c>
      <c r="I11091" t="s">
        <v>22</v>
      </c>
      <c r="J11091">
        <v>90032</v>
      </c>
      <c r="K11091">
        <v>1505</v>
      </c>
      <c r="L11091" t="s">
        <v>23</v>
      </c>
      <c r="M11091" t="s">
        <v>24778</v>
      </c>
      <c r="N11091" t="s">
        <v>299</v>
      </c>
      <c r="O11091" t="s">
        <v>22</v>
      </c>
      <c r="P11091">
        <v>90032</v>
      </c>
      <c r="Q11091">
        <v>1505</v>
      </c>
      <c r="R11091" t="s">
        <v>23</v>
      </c>
      <c r="S11091" s="1" t="s">
        <v>34218</v>
      </c>
    </row>
    <row r="11092" spans="1:19" x14ac:dyDescent="0.25">
      <c r="A11092">
        <v>101418588</v>
      </c>
      <c r="B11092" t="s">
        <v>3696</v>
      </c>
      <c r="C11092" t="s">
        <v>1309</v>
      </c>
      <c r="G11092" t="s">
        <v>24779</v>
      </c>
      <c r="H11092" t="s">
        <v>471</v>
      </c>
      <c r="I11092" t="s">
        <v>365</v>
      </c>
      <c r="J11092">
        <v>85266</v>
      </c>
      <c r="K11092">
        <v>1856</v>
      </c>
      <c r="L11092" t="s">
        <v>23</v>
      </c>
      <c r="M11092" t="s">
        <v>24779</v>
      </c>
      <c r="N11092" t="s">
        <v>471</v>
      </c>
      <c r="O11092" t="s">
        <v>365</v>
      </c>
      <c r="P11092">
        <v>85266</v>
      </c>
      <c r="Q11092">
        <v>1856</v>
      </c>
      <c r="R11092" t="s">
        <v>23</v>
      </c>
      <c r="S11092" s="1" t="s">
        <v>34218</v>
      </c>
    </row>
    <row r="11093" spans="1:19" x14ac:dyDescent="0.25">
      <c r="A11093">
        <v>101431675</v>
      </c>
      <c r="B11093" t="s">
        <v>24780</v>
      </c>
      <c r="C11093" t="s">
        <v>24781</v>
      </c>
      <c r="G11093" t="s">
        <v>24782</v>
      </c>
      <c r="H11093" t="s">
        <v>24783</v>
      </c>
      <c r="I11093" t="s">
        <v>22</v>
      </c>
      <c r="J11093">
        <v>91773</v>
      </c>
      <c r="K11093">
        <v>4043</v>
      </c>
      <c r="L11093" t="s">
        <v>23</v>
      </c>
      <c r="M11093" t="s">
        <v>24782</v>
      </c>
      <c r="N11093" t="s">
        <v>24783</v>
      </c>
      <c r="O11093" t="s">
        <v>22</v>
      </c>
      <c r="P11093">
        <v>91773</v>
      </c>
      <c r="Q11093">
        <v>4043</v>
      </c>
      <c r="R11093" t="s">
        <v>23</v>
      </c>
      <c r="S11093" s="1" t="s">
        <v>34218</v>
      </c>
    </row>
    <row r="11094" spans="1:19" x14ac:dyDescent="0.25">
      <c r="A11094">
        <v>100722985</v>
      </c>
      <c r="B11094" t="s">
        <v>9932</v>
      </c>
      <c r="C11094" t="s">
        <v>8144</v>
      </c>
      <c r="G11094" t="s">
        <v>24784</v>
      </c>
      <c r="H11094" t="s">
        <v>1276</v>
      </c>
      <c r="I11094" t="s">
        <v>446</v>
      </c>
      <c r="J11094">
        <v>27514</v>
      </c>
      <c r="K11094">
        <v>1434</v>
      </c>
      <c r="L11094" t="s">
        <v>23</v>
      </c>
      <c r="M11094" t="s">
        <v>24784</v>
      </c>
      <c r="N11094" t="s">
        <v>1276</v>
      </c>
      <c r="O11094" t="s">
        <v>446</v>
      </c>
      <c r="P11094">
        <v>27514</v>
      </c>
      <c r="Q11094">
        <v>1434</v>
      </c>
      <c r="R11094" t="s">
        <v>23</v>
      </c>
      <c r="S11094" s="1" t="s">
        <v>34218</v>
      </c>
    </row>
    <row r="11095" spans="1:19" x14ac:dyDescent="0.25">
      <c r="A11095">
        <v>101471699</v>
      </c>
      <c r="B11095" t="s">
        <v>2333</v>
      </c>
      <c r="C11095" t="s">
        <v>12738</v>
      </c>
      <c r="G11095" t="s">
        <v>24785</v>
      </c>
      <c r="H11095" t="s">
        <v>1431</v>
      </c>
      <c r="I11095" t="s">
        <v>639</v>
      </c>
      <c r="J11095">
        <v>87501</v>
      </c>
      <c r="K11095">
        <v>6101</v>
      </c>
      <c r="L11095" t="s">
        <v>23</v>
      </c>
      <c r="M11095" t="s">
        <v>24785</v>
      </c>
      <c r="N11095" t="s">
        <v>1431</v>
      </c>
      <c r="O11095" t="s">
        <v>639</v>
      </c>
      <c r="P11095">
        <v>87501</v>
      </c>
      <c r="Q11095">
        <v>6101</v>
      </c>
      <c r="R11095" t="s">
        <v>23</v>
      </c>
      <c r="S11095" s="1" t="s">
        <v>34218</v>
      </c>
    </row>
    <row r="11096" spans="1:19" x14ac:dyDescent="0.25">
      <c r="A11096">
        <v>101471704</v>
      </c>
      <c r="B11096" t="s">
        <v>24786</v>
      </c>
      <c r="C11096" t="s">
        <v>86</v>
      </c>
      <c r="G11096" t="s">
        <v>24787</v>
      </c>
      <c r="H11096" t="s">
        <v>8997</v>
      </c>
      <c r="I11096" t="s">
        <v>662</v>
      </c>
      <c r="J11096">
        <v>2906</v>
      </c>
      <c r="K11096">
        <v>2909</v>
      </c>
      <c r="L11096" t="s">
        <v>23</v>
      </c>
      <c r="M11096" t="s">
        <v>24787</v>
      </c>
      <c r="N11096" t="s">
        <v>8997</v>
      </c>
      <c r="O11096" t="s">
        <v>662</v>
      </c>
      <c r="P11096">
        <v>2906</v>
      </c>
      <c r="Q11096">
        <v>2909</v>
      </c>
      <c r="R11096" t="s">
        <v>23</v>
      </c>
      <c r="S11096" s="1" t="s">
        <v>34218</v>
      </c>
    </row>
    <row r="11097" spans="1:19" x14ac:dyDescent="0.25">
      <c r="A11097">
        <v>101122729</v>
      </c>
      <c r="B11097" t="s">
        <v>24788</v>
      </c>
      <c r="C11097" t="s">
        <v>123</v>
      </c>
      <c r="G11097" t="s">
        <v>24789</v>
      </c>
      <c r="H11097" t="s">
        <v>11343</v>
      </c>
      <c r="I11097" t="s">
        <v>33</v>
      </c>
      <c r="J11097">
        <v>18974</v>
      </c>
      <c r="K11097">
        <v>6111</v>
      </c>
      <c r="L11097" t="s">
        <v>23</v>
      </c>
      <c r="M11097" t="s">
        <v>24789</v>
      </c>
      <c r="N11097" t="s">
        <v>11343</v>
      </c>
      <c r="O11097" t="s">
        <v>33</v>
      </c>
      <c r="P11097">
        <v>18974</v>
      </c>
      <c r="Q11097">
        <v>6111</v>
      </c>
      <c r="R11097" t="s">
        <v>23</v>
      </c>
      <c r="S11097" s="1" t="s">
        <v>34218</v>
      </c>
    </row>
    <row r="11098" spans="1:19" x14ac:dyDescent="0.25">
      <c r="A11098">
        <v>101471456</v>
      </c>
      <c r="B11098" t="s">
        <v>29</v>
      </c>
      <c r="C11098" t="s">
        <v>13429</v>
      </c>
      <c r="G11098" t="s">
        <v>24790</v>
      </c>
      <c r="H11098" t="s">
        <v>24791</v>
      </c>
      <c r="I11098" t="s">
        <v>140</v>
      </c>
      <c r="J11098">
        <v>48890</v>
      </c>
      <c r="K11098">
        <v>9024</v>
      </c>
      <c r="L11098" t="s">
        <v>23</v>
      </c>
      <c r="M11098" t="s">
        <v>24790</v>
      </c>
      <c r="N11098" t="s">
        <v>24791</v>
      </c>
      <c r="O11098" t="s">
        <v>140</v>
      </c>
      <c r="P11098">
        <v>48890</v>
      </c>
      <c r="Q11098">
        <v>9024</v>
      </c>
      <c r="R11098" t="s">
        <v>23</v>
      </c>
      <c r="S11098" s="1" t="s">
        <v>34218</v>
      </c>
    </row>
    <row r="11099" spans="1:19" x14ac:dyDescent="0.25">
      <c r="A11099">
        <v>101471755</v>
      </c>
      <c r="B11099" t="s">
        <v>24792</v>
      </c>
      <c r="C11099" t="s">
        <v>12821</v>
      </c>
      <c r="G11099" t="s">
        <v>24793</v>
      </c>
      <c r="H11099" t="s">
        <v>24794</v>
      </c>
      <c r="I11099" t="s">
        <v>117</v>
      </c>
      <c r="J11099">
        <v>11001</v>
      </c>
      <c r="K11099">
        <v>3307</v>
      </c>
      <c r="L11099" t="s">
        <v>23</v>
      </c>
      <c r="M11099" t="s">
        <v>24793</v>
      </c>
      <c r="N11099" t="s">
        <v>24794</v>
      </c>
      <c r="O11099" t="s">
        <v>117</v>
      </c>
      <c r="P11099">
        <v>11001</v>
      </c>
      <c r="Q11099">
        <v>3307</v>
      </c>
      <c r="R11099" t="s">
        <v>23</v>
      </c>
      <c r="S11099" s="1" t="s">
        <v>34218</v>
      </c>
    </row>
    <row r="11100" spans="1:19" x14ac:dyDescent="0.25">
      <c r="A11100">
        <v>101471757</v>
      </c>
      <c r="B11100" t="s">
        <v>6084</v>
      </c>
      <c r="C11100" t="s">
        <v>483</v>
      </c>
      <c r="G11100" t="s">
        <v>24795</v>
      </c>
      <c r="H11100" t="s">
        <v>2046</v>
      </c>
      <c r="I11100" t="s">
        <v>446</v>
      </c>
      <c r="J11100">
        <v>27703</v>
      </c>
      <c r="K11100">
        <v>8875</v>
      </c>
      <c r="L11100" t="s">
        <v>23</v>
      </c>
      <c r="M11100" t="s">
        <v>24795</v>
      </c>
      <c r="N11100" t="s">
        <v>2046</v>
      </c>
      <c r="O11100" t="s">
        <v>446</v>
      </c>
      <c r="P11100">
        <v>27703</v>
      </c>
      <c r="Q11100">
        <v>8875</v>
      </c>
      <c r="R11100" t="s">
        <v>23</v>
      </c>
      <c r="S11100" s="1" t="s">
        <v>34218</v>
      </c>
    </row>
    <row r="11101" spans="1:19" x14ac:dyDescent="0.25">
      <c r="A11101">
        <v>100824751</v>
      </c>
      <c r="B11101" t="s">
        <v>6147</v>
      </c>
      <c r="C11101" t="s">
        <v>24796</v>
      </c>
      <c r="G11101" t="s">
        <v>24797</v>
      </c>
      <c r="H11101" t="s">
        <v>4108</v>
      </c>
      <c r="I11101" t="s">
        <v>236</v>
      </c>
      <c r="J11101">
        <v>2184</v>
      </c>
      <c r="K11101">
        <v>8671</v>
      </c>
      <c r="L11101" t="s">
        <v>23</v>
      </c>
      <c r="M11101" t="s">
        <v>24797</v>
      </c>
      <c r="N11101" t="s">
        <v>4108</v>
      </c>
      <c r="O11101" t="s">
        <v>236</v>
      </c>
      <c r="P11101">
        <v>2184</v>
      </c>
      <c r="Q11101">
        <v>8671</v>
      </c>
      <c r="R11101" t="s">
        <v>23</v>
      </c>
      <c r="S11101" s="1" t="s">
        <v>34218</v>
      </c>
    </row>
    <row r="11102" spans="1:19" x14ac:dyDescent="0.25">
      <c r="A11102">
        <v>101435176</v>
      </c>
      <c r="B11102" t="s">
        <v>24798</v>
      </c>
      <c r="C11102" t="s">
        <v>274</v>
      </c>
      <c r="G11102" t="s">
        <v>24799</v>
      </c>
      <c r="H11102" t="s">
        <v>10562</v>
      </c>
      <c r="I11102" t="s">
        <v>255</v>
      </c>
      <c r="J11102">
        <v>20171</v>
      </c>
      <c r="K11102">
        <v>2134</v>
      </c>
      <c r="L11102" t="s">
        <v>23</v>
      </c>
      <c r="M11102" t="s">
        <v>24799</v>
      </c>
      <c r="N11102" t="s">
        <v>10562</v>
      </c>
      <c r="O11102" t="s">
        <v>255</v>
      </c>
      <c r="P11102">
        <v>20171</v>
      </c>
      <c r="Q11102">
        <v>2134</v>
      </c>
      <c r="R11102" t="s">
        <v>23</v>
      </c>
      <c r="S11102" s="1" t="s">
        <v>34218</v>
      </c>
    </row>
    <row r="11103" spans="1:19" x14ac:dyDescent="0.25">
      <c r="A11103">
        <v>101307667</v>
      </c>
      <c r="B11103" t="s">
        <v>8253</v>
      </c>
      <c r="C11103" t="s">
        <v>1384</v>
      </c>
      <c r="G11103" t="s">
        <v>24800</v>
      </c>
      <c r="H11103" t="s">
        <v>134</v>
      </c>
      <c r="I11103" t="s">
        <v>135</v>
      </c>
      <c r="J11103" t="s">
        <v>24801</v>
      </c>
      <c r="K11103">
        <v>6222</v>
      </c>
      <c r="L11103" t="s">
        <v>23</v>
      </c>
      <c r="M11103" t="s">
        <v>24800</v>
      </c>
      <c r="N11103" t="s">
        <v>134</v>
      </c>
      <c r="O11103" t="s">
        <v>135</v>
      </c>
      <c r="P11103" t="s">
        <v>24801</v>
      </c>
      <c r="Q11103">
        <v>6222</v>
      </c>
      <c r="R11103" t="s">
        <v>23</v>
      </c>
      <c r="S11103" s="1" t="s">
        <v>34218</v>
      </c>
    </row>
    <row r="11104" spans="1:19" x14ac:dyDescent="0.25">
      <c r="A11104">
        <v>101474779</v>
      </c>
      <c r="B11104" t="s">
        <v>24085</v>
      </c>
      <c r="C11104" t="s">
        <v>4828</v>
      </c>
      <c r="G11104" t="s">
        <v>24802</v>
      </c>
      <c r="H11104" t="s">
        <v>4400</v>
      </c>
      <c r="I11104" t="s">
        <v>117</v>
      </c>
      <c r="J11104">
        <v>10710</v>
      </c>
      <c r="K11104">
        <v>2806</v>
      </c>
      <c r="L11104" t="s">
        <v>23</v>
      </c>
      <c r="M11104" t="s">
        <v>24802</v>
      </c>
      <c r="N11104" t="s">
        <v>4400</v>
      </c>
      <c r="O11104" t="s">
        <v>117</v>
      </c>
      <c r="P11104">
        <v>10710</v>
      </c>
      <c r="Q11104">
        <v>2806</v>
      </c>
      <c r="R11104" t="s">
        <v>23</v>
      </c>
      <c r="S11104" s="1" t="s">
        <v>34218</v>
      </c>
    </row>
    <row r="11105" spans="1:19" x14ac:dyDescent="0.25">
      <c r="A11105">
        <v>101474780</v>
      </c>
      <c r="B11105" t="s">
        <v>6058</v>
      </c>
      <c r="C11105" t="s">
        <v>1327</v>
      </c>
      <c r="G11105" t="s">
        <v>24803</v>
      </c>
      <c r="H11105" t="s">
        <v>4400</v>
      </c>
      <c r="I11105" t="s">
        <v>117</v>
      </c>
      <c r="J11105">
        <v>10710</v>
      </c>
      <c r="K11105">
        <v>2806</v>
      </c>
      <c r="L11105" t="s">
        <v>23</v>
      </c>
      <c r="M11105" t="s">
        <v>24803</v>
      </c>
      <c r="N11105" t="s">
        <v>4400</v>
      </c>
      <c r="O11105" t="s">
        <v>117</v>
      </c>
      <c r="P11105">
        <v>10710</v>
      </c>
      <c r="Q11105">
        <v>2806</v>
      </c>
      <c r="R11105" t="s">
        <v>23</v>
      </c>
      <c r="S11105" s="1" t="s">
        <v>34218</v>
      </c>
    </row>
    <row r="11106" spans="1:19" x14ac:dyDescent="0.25">
      <c r="A11106">
        <v>101480175</v>
      </c>
      <c r="B11106" t="s">
        <v>24804</v>
      </c>
      <c r="C11106" t="s">
        <v>329</v>
      </c>
      <c r="G11106" t="s">
        <v>24805</v>
      </c>
      <c r="H11106" t="s">
        <v>5037</v>
      </c>
      <c r="I11106" t="s">
        <v>236</v>
      </c>
      <c r="J11106">
        <v>2478</v>
      </c>
      <c r="K11106">
        <v>4416</v>
      </c>
      <c r="L11106" t="s">
        <v>23</v>
      </c>
      <c r="M11106" t="s">
        <v>24805</v>
      </c>
      <c r="N11106" t="s">
        <v>5037</v>
      </c>
      <c r="O11106" t="s">
        <v>236</v>
      </c>
      <c r="P11106">
        <v>2478</v>
      </c>
      <c r="Q11106">
        <v>4416</v>
      </c>
      <c r="R11106" t="s">
        <v>23</v>
      </c>
      <c r="S11106" s="1" t="s">
        <v>34218</v>
      </c>
    </row>
    <row r="11107" spans="1:19" x14ac:dyDescent="0.25">
      <c r="A11107">
        <v>101480224</v>
      </c>
      <c r="B11107" t="s">
        <v>8467</v>
      </c>
      <c r="C11107" t="s">
        <v>582</v>
      </c>
      <c r="G11107" t="s">
        <v>24806</v>
      </c>
      <c r="H11107" t="s">
        <v>3089</v>
      </c>
      <c r="I11107" t="s">
        <v>117</v>
      </c>
      <c r="J11107">
        <v>14172</v>
      </c>
      <c r="K11107">
        <v>9619</v>
      </c>
      <c r="L11107" t="s">
        <v>23</v>
      </c>
      <c r="M11107" t="s">
        <v>24806</v>
      </c>
      <c r="N11107" t="s">
        <v>3089</v>
      </c>
      <c r="O11107" t="s">
        <v>117</v>
      </c>
      <c r="P11107">
        <v>14172</v>
      </c>
      <c r="Q11107">
        <v>9619</v>
      </c>
      <c r="R11107" t="s">
        <v>23</v>
      </c>
      <c r="S11107" s="1" t="s">
        <v>34218</v>
      </c>
    </row>
    <row r="11108" spans="1:19" x14ac:dyDescent="0.25">
      <c r="A11108">
        <v>101480292</v>
      </c>
      <c r="B11108" t="s">
        <v>24807</v>
      </c>
      <c r="C11108" t="s">
        <v>24808</v>
      </c>
      <c r="G11108" t="s">
        <v>24809</v>
      </c>
      <c r="H11108" t="s">
        <v>591</v>
      </c>
      <c r="I11108" t="s">
        <v>84</v>
      </c>
      <c r="J11108">
        <v>98225</v>
      </c>
      <c r="K11108">
        <v>3341</v>
      </c>
      <c r="L11108" t="s">
        <v>23</v>
      </c>
      <c r="M11108" t="s">
        <v>24809</v>
      </c>
      <c r="N11108" t="s">
        <v>591</v>
      </c>
      <c r="O11108" t="s">
        <v>84</v>
      </c>
      <c r="P11108">
        <v>98225</v>
      </c>
      <c r="Q11108">
        <v>3341</v>
      </c>
      <c r="R11108" t="s">
        <v>23</v>
      </c>
      <c r="S11108" s="1" t="s">
        <v>34218</v>
      </c>
    </row>
    <row r="11109" spans="1:19" x14ac:dyDescent="0.25">
      <c r="A11109">
        <v>101480339</v>
      </c>
      <c r="B11109" t="s">
        <v>793</v>
      </c>
      <c r="C11109" t="s">
        <v>18274</v>
      </c>
      <c r="G11109" t="s">
        <v>24810</v>
      </c>
      <c r="H11109" t="s">
        <v>24811</v>
      </c>
      <c r="I11109" t="s">
        <v>84</v>
      </c>
      <c r="J11109">
        <v>98359</v>
      </c>
      <c r="K11109">
        <v>4512</v>
      </c>
      <c r="L11109" t="s">
        <v>23</v>
      </c>
      <c r="M11109" t="s">
        <v>24810</v>
      </c>
      <c r="N11109" t="s">
        <v>24811</v>
      </c>
      <c r="O11109" t="s">
        <v>84</v>
      </c>
      <c r="P11109">
        <v>98359</v>
      </c>
      <c r="Q11109">
        <v>4512</v>
      </c>
      <c r="R11109" t="s">
        <v>23</v>
      </c>
      <c r="S11109" s="1" t="s">
        <v>34218</v>
      </c>
    </row>
    <row r="11110" spans="1:19" x14ac:dyDescent="0.25">
      <c r="A11110">
        <v>101437205</v>
      </c>
      <c r="B11110" t="s">
        <v>276</v>
      </c>
      <c r="C11110" t="s">
        <v>428</v>
      </c>
      <c r="G11110" t="s">
        <v>22924</v>
      </c>
      <c r="H11110" t="s">
        <v>10487</v>
      </c>
      <c r="I11110" t="s">
        <v>565</v>
      </c>
      <c r="J11110">
        <v>52406</v>
      </c>
      <c r="K11110">
        <v>278</v>
      </c>
      <c r="L11110" t="s">
        <v>23</v>
      </c>
      <c r="M11110" t="s">
        <v>22924</v>
      </c>
      <c r="N11110" t="s">
        <v>10487</v>
      </c>
      <c r="O11110" t="s">
        <v>565</v>
      </c>
      <c r="P11110">
        <v>52406</v>
      </c>
      <c r="Q11110">
        <v>278</v>
      </c>
      <c r="R11110" t="s">
        <v>23</v>
      </c>
      <c r="S11110" s="1" t="s">
        <v>34218</v>
      </c>
    </row>
    <row r="11111" spans="1:19" x14ac:dyDescent="0.25">
      <c r="A11111">
        <v>100813965</v>
      </c>
      <c r="B11111" t="s">
        <v>3650</v>
      </c>
      <c r="C11111" t="s">
        <v>2127</v>
      </c>
      <c r="G11111" t="s">
        <v>24812</v>
      </c>
      <c r="H11111" t="s">
        <v>24813</v>
      </c>
      <c r="I11111" t="s">
        <v>84</v>
      </c>
      <c r="J11111">
        <v>98390</v>
      </c>
      <c r="K11111">
        <v>1450</v>
      </c>
      <c r="L11111" t="s">
        <v>23</v>
      </c>
      <c r="M11111" t="s">
        <v>24812</v>
      </c>
      <c r="N11111" t="s">
        <v>24813</v>
      </c>
      <c r="O11111" t="s">
        <v>84</v>
      </c>
      <c r="P11111">
        <v>98390</v>
      </c>
      <c r="Q11111">
        <v>1450</v>
      </c>
      <c r="R11111" t="s">
        <v>23</v>
      </c>
      <c r="S11111" s="1" t="s">
        <v>34218</v>
      </c>
    </row>
    <row r="11112" spans="1:19" x14ac:dyDescent="0.25">
      <c r="A11112">
        <v>101296182</v>
      </c>
      <c r="B11112" t="s">
        <v>18722</v>
      </c>
      <c r="C11112" t="s">
        <v>11488</v>
      </c>
      <c r="G11112" t="s">
        <v>24814</v>
      </c>
      <c r="H11112" t="s">
        <v>23421</v>
      </c>
      <c r="I11112" t="s">
        <v>135</v>
      </c>
      <c r="J11112">
        <v>62450</v>
      </c>
      <c r="K11112">
        <v>2852</v>
      </c>
      <c r="L11112" t="s">
        <v>23</v>
      </c>
      <c r="M11112" t="s">
        <v>24814</v>
      </c>
      <c r="N11112" t="s">
        <v>23421</v>
      </c>
      <c r="O11112" t="s">
        <v>135</v>
      </c>
      <c r="P11112">
        <v>62450</v>
      </c>
      <c r="Q11112">
        <v>2852</v>
      </c>
      <c r="R11112" t="s">
        <v>23</v>
      </c>
      <c r="S11112" s="1" t="s">
        <v>34218</v>
      </c>
    </row>
    <row r="11113" spans="1:19" x14ac:dyDescent="0.25">
      <c r="A11113">
        <v>101233856</v>
      </c>
      <c r="B11113" t="s">
        <v>19790</v>
      </c>
      <c r="C11113" t="s">
        <v>1036</v>
      </c>
      <c r="G11113" t="s">
        <v>24815</v>
      </c>
      <c r="H11113" t="s">
        <v>6727</v>
      </c>
      <c r="I11113" t="s">
        <v>52</v>
      </c>
      <c r="J11113">
        <v>33403</v>
      </c>
      <c r="K11113">
        <v>1056</v>
      </c>
      <c r="L11113" t="s">
        <v>23</v>
      </c>
      <c r="M11113" t="s">
        <v>24815</v>
      </c>
      <c r="N11113" t="s">
        <v>6727</v>
      </c>
      <c r="O11113" t="s">
        <v>52</v>
      </c>
      <c r="P11113">
        <v>33403</v>
      </c>
      <c r="Q11113">
        <v>1056</v>
      </c>
      <c r="R11113" t="s">
        <v>23</v>
      </c>
      <c r="S11113" s="1" t="s">
        <v>34218</v>
      </c>
    </row>
    <row r="11114" spans="1:19" x14ac:dyDescent="0.25">
      <c r="A11114">
        <v>101311465</v>
      </c>
      <c r="B11114" t="s">
        <v>3625</v>
      </c>
      <c r="C11114" t="s">
        <v>1616</v>
      </c>
      <c r="G11114" t="s">
        <v>24816</v>
      </c>
      <c r="H11114" t="s">
        <v>4400</v>
      </c>
      <c r="I11114" t="s">
        <v>117</v>
      </c>
      <c r="J11114">
        <v>10705</v>
      </c>
      <c r="K11114">
        <v>2812</v>
      </c>
      <c r="L11114" t="s">
        <v>23</v>
      </c>
      <c r="M11114" t="s">
        <v>24816</v>
      </c>
      <c r="N11114" t="s">
        <v>4400</v>
      </c>
      <c r="O11114" t="s">
        <v>117</v>
      </c>
      <c r="P11114">
        <v>10705</v>
      </c>
      <c r="Q11114">
        <v>2812</v>
      </c>
      <c r="R11114" t="s">
        <v>23</v>
      </c>
      <c r="S11114" s="1" t="s">
        <v>34218</v>
      </c>
    </row>
    <row r="11115" spans="1:19" x14ac:dyDescent="0.25">
      <c r="A11115">
        <v>101471628</v>
      </c>
      <c r="B11115" t="s">
        <v>18722</v>
      </c>
      <c r="C11115" t="s">
        <v>30</v>
      </c>
      <c r="G11115" t="s">
        <v>24817</v>
      </c>
      <c r="H11115" t="s">
        <v>1452</v>
      </c>
      <c r="I11115" t="s">
        <v>43</v>
      </c>
      <c r="J11115">
        <v>97405</v>
      </c>
      <c r="L11115" t="s">
        <v>23</v>
      </c>
      <c r="M11115" t="s">
        <v>24817</v>
      </c>
      <c r="N11115" t="s">
        <v>1452</v>
      </c>
      <c r="O11115" t="s">
        <v>43</v>
      </c>
      <c r="P11115">
        <v>97405</v>
      </c>
      <c r="R11115" t="s">
        <v>23</v>
      </c>
      <c r="S11115" s="1" t="s">
        <v>34218</v>
      </c>
    </row>
    <row r="11116" spans="1:19" x14ac:dyDescent="0.25">
      <c r="A11116">
        <v>101365484</v>
      </c>
      <c r="B11116" t="s">
        <v>24818</v>
      </c>
      <c r="C11116" t="s">
        <v>24819</v>
      </c>
      <c r="G11116" t="s">
        <v>24820</v>
      </c>
      <c r="H11116" t="s">
        <v>17654</v>
      </c>
      <c r="I11116" t="s">
        <v>22</v>
      </c>
      <c r="J11116">
        <v>91042</v>
      </c>
      <c r="K11116">
        <v>3410</v>
      </c>
      <c r="L11116" t="s">
        <v>23</v>
      </c>
      <c r="M11116" t="s">
        <v>24820</v>
      </c>
      <c r="N11116" t="s">
        <v>17654</v>
      </c>
      <c r="O11116" t="s">
        <v>22</v>
      </c>
      <c r="P11116">
        <v>91042</v>
      </c>
      <c r="Q11116">
        <v>3410</v>
      </c>
      <c r="R11116" t="s">
        <v>23</v>
      </c>
      <c r="S11116" s="1" t="s">
        <v>34218</v>
      </c>
    </row>
    <row r="11117" spans="1:19" x14ac:dyDescent="0.25">
      <c r="A11117">
        <v>101348209</v>
      </c>
      <c r="B11117" t="s">
        <v>3650</v>
      </c>
      <c r="C11117" t="s">
        <v>24821</v>
      </c>
      <c r="G11117" t="s">
        <v>24822</v>
      </c>
      <c r="H11117" t="s">
        <v>2684</v>
      </c>
      <c r="I11117" t="s">
        <v>22</v>
      </c>
      <c r="J11117">
        <v>94903</v>
      </c>
      <c r="K11117">
        <v>3854</v>
      </c>
      <c r="L11117" t="s">
        <v>23</v>
      </c>
      <c r="M11117" t="s">
        <v>24822</v>
      </c>
      <c r="N11117" t="s">
        <v>2684</v>
      </c>
      <c r="O11117" t="s">
        <v>22</v>
      </c>
      <c r="P11117">
        <v>94903</v>
      </c>
      <c r="Q11117">
        <v>3854</v>
      </c>
      <c r="R11117" t="s">
        <v>23</v>
      </c>
      <c r="S11117" s="1" t="s">
        <v>34218</v>
      </c>
    </row>
    <row r="11118" spans="1:19" x14ac:dyDescent="0.25">
      <c r="A11118">
        <v>101419932</v>
      </c>
      <c r="B11118" t="s">
        <v>13404</v>
      </c>
      <c r="C11118" t="s">
        <v>30</v>
      </c>
      <c r="G11118" t="s">
        <v>13405</v>
      </c>
      <c r="H11118" t="s">
        <v>13406</v>
      </c>
      <c r="I11118" t="s">
        <v>100</v>
      </c>
      <c r="J11118">
        <v>54143</v>
      </c>
      <c r="K11118">
        <v>3230</v>
      </c>
      <c r="L11118" t="s">
        <v>23</v>
      </c>
      <c r="M11118" t="s">
        <v>13405</v>
      </c>
      <c r="N11118" t="s">
        <v>13406</v>
      </c>
      <c r="O11118" t="s">
        <v>100</v>
      </c>
      <c r="P11118">
        <v>54143</v>
      </c>
      <c r="Q11118">
        <v>3230</v>
      </c>
      <c r="R11118" t="s">
        <v>23</v>
      </c>
      <c r="S11118" s="1" t="s">
        <v>34218</v>
      </c>
    </row>
    <row r="11119" spans="1:19" x14ac:dyDescent="0.25">
      <c r="A11119">
        <v>101455312</v>
      </c>
      <c r="B11119" t="s">
        <v>1164</v>
      </c>
      <c r="C11119" t="s">
        <v>172</v>
      </c>
      <c r="G11119" t="s">
        <v>24823</v>
      </c>
      <c r="H11119" t="s">
        <v>5595</v>
      </c>
      <c r="I11119" t="s">
        <v>33</v>
      </c>
      <c r="J11119">
        <v>17325</v>
      </c>
      <c r="K11119">
        <v>7723</v>
      </c>
      <c r="L11119" t="s">
        <v>23</v>
      </c>
      <c r="M11119" t="s">
        <v>24823</v>
      </c>
      <c r="N11119" t="s">
        <v>5595</v>
      </c>
      <c r="O11119" t="s">
        <v>33</v>
      </c>
      <c r="P11119">
        <v>17325</v>
      </c>
      <c r="Q11119">
        <v>7723</v>
      </c>
      <c r="R11119" t="s">
        <v>23</v>
      </c>
      <c r="S11119" s="1" t="s">
        <v>34218</v>
      </c>
    </row>
    <row r="11120" spans="1:19" x14ac:dyDescent="0.25">
      <c r="A11120">
        <v>101220743</v>
      </c>
      <c r="B11120" t="s">
        <v>11899</v>
      </c>
      <c r="C11120" t="s">
        <v>959</v>
      </c>
      <c r="G11120" t="s">
        <v>24824</v>
      </c>
      <c r="H11120" t="s">
        <v>24825</v>
      </c>
      <c r="I11120" t="s">
        <v>1387</v>
      </c>
      <c r="J11120">
        <v>36207</v>
      </c>
      <c r="K11120">
        <v>6230</v>
      </c>
      <c r="L11120" t="s">
        <v>23</v>
      </c>
      <c r="M11120" t="s">
        <v>24824</v>
      </c>
      <c r="N11120" t="s">
        <v>24825</v>
      </c>
      <c r="O11120" t="s">
        <v>1387</v>
      </c>
      <c r="P11120">
        <v>36207</v>
      </c>
      <c r="Q11120">
        <v>6230</v>
      </c>
      <c r="R11120" t="s">
        <v>23</v>
      </c>
      <c r="S11120" s="1" t="s">
        <v>34218</v>
      </c>
    </row>
    <row r="11121" spans="1:19" x14ac:dyDescent="0.25">
      <c r="A11121">
        <v>101467035</v>
      </c>
      <c r="B11121" t="s">
        <v>24826</v>
      </c>
      <c r="C11121" t="s">
        <v>522</v>
      </c>
      <c r="G11121" t="s">
        <v>24827</v>
      </c>
      <c r="H11121" t="s">
        <v>7630</v>
      </c>
      <c r="I11121" t="s">
        <v>255</v>
      </c>
      <c r="J11121">
        <v>22043</v>
      </c>
      <c r="L11121" t="s">
        <v>23</v>
      </c>
      <c r="M11121" t="s">
        <v>24827</v>
      </c>
      <c r="N11121" t="s">
        <v>7630</v>
      </c>
      <c r="O11121" t="s">
        <v>255</v>
      </c>
      <c r="P11121">
        <v>22043</v>
      </c>
      <c r="R11121" t="s">
        <v>23</v>
      </c>
      <c r="S11121" s="1" t="s">
        <v>34218</v>
      </c>
    </row>
    <row r="11122" spans="1:19" x14ac:dyDescent="0.25">
      <c r="A11122">
        <v>101358591</v>
      </c>
      <c r="B11122" t="s">
        <v>24828</v>
      </c>
      <c r="C11122" t="s">
        <v>1588</v>
      </c>
      <c r="G11122" t="s">
        <v>24829</v>
      </c>
      <c r="H11122" t="s">
        <v>3485</v>
      </c>
      <c r="I11122" t="s">
        <v>914</v>
      </c>
      <c r="J11122">
        <v>37604</v>
      </c>
      <c r="K11122">
        <v>3708</v>
      </c>
      <c r="L11122" t="s">
        <v>23</v>
      </c>
      <c r="M11122" t="s">
        <v>24829</v>
      </c>
      <c r="N11122" t="s">
        <v>3485</v>
      </c>
      <c r="O11122" t="s">
        <v>914</v>
      </c>
      <c r="P11122">
        <v>37604</v>
      </c>
      <c r="Q11122">
        <v>3708</v>
      </c>
      <c r="R11122" t="s">
        <v>23</v>
      </c>
      <c r="S11122" s="1" t="s">
        <v>34218</v>
      </c>
    </row>
    <row r="11123" spans="1:19" x14ac:dyDescent="0.25">
      <c r="A11123">
        <v>101471709</v>
      </c>
      <c r="B11123" t="s">
        <v>15867</v>
      </c>
      <c r="C11123" t="s">
        <v>644</v>
      </c>
      <c r="G11123" t="s">
        <v>15868</v>
      </c>
      <c r="H11123" t="s">
        <v>15869</v>
      </c>
      <c r="I11123" t="s">
        <v>84</v>
      </c>
      <c r="J11123">
        <v>98671</v>
      </c>
      <c r="K11123">
        <v>8534</v>
      </c>
      <c r="L11123" t="s">
        <v>23</v>
      </c>
      <c r="M11123" t="s">
        <v>15868</v>
      </c>
      <c r="N11123" t="s">
        <v>15869</v>
      </c>
      <c r="O11123" t="s">
        <v>84</v>
      </c>
      <c r="P11123">
        <v>98671</v>
      </c>
      <c r="Q11123">
        <v>8534</v>
      </c>
      <c r="R11123" t="s">
        <v>23</v>
      </c>
      <c r="S11123" s="1" t="s">
        <v>34218</v>
      </c>
    </row>
    <row r="11124" spans="1:19" x14ac:dyDescent="0.25">
      <c r="A11124">
        <v>101466469</v>
      </c>
      <c r="B11124" t="s">
        <v>24830</v>
      </c>
      <c r="C11124" t="s">
        <v>274</v>
      </c>
      <c r="G11124" t="s">
        <v>24831</v>
      </c>
      <c r="H11124" t="s">
        <v>2006</v>
      </c>
      <c r="I11124" t="s">
        <v>52</v>
      </c>
      <c r="J11124">
        <v>33480</v>
      </c>
      <c r="K11124">
        <v>291</v>
      </c>
      <c r="L11124" t="s">
        <v>23</v>
      </c>
      <c r="M11124" t="s">
        <v>24831</v>
      </c>
      <c r="N11124" t="s">
        <v>2006</v>
      </c>
      <c r="O11124" t="s">
        <v>52</v>
      </c>
      <c r="P11124">
        <v>33480</v>
      </c>
      <c r="Q11124">
        <v>291</v>
      </c>
      <c r="R11124" t="s">
        <v>23</v>
      </c>
      <c r="S11124" s="1" t="s">
        <v>34218</v>
      </c>
    </row>
    <row r="11125" spans="1:19" x14ac:dyDescent="0.25">
      <c r="A11125">
        <v>101411529</v>
      </c>
      <c r="B11125" t="s">
        <v>4966</v>
      </c>
      <c r="C11125" t="s">
        <v>1298</v>
      </c>
      <c r="G11125" t="s">
        <v>24832</v>
      </c>
      <c r="H11125" t="s">
        <v>24833</v>
      </c>
      <c r="I11125" t="s">
        <v>236</v>
      </c>
      <c r="J11125">
        <v>1569</v>
      </c>
      <c r="K11125">
        <v>1882</v>
      </c>
      <c r="L11125" t="s">
        <v>23</v>
      </c>
      <c r="M11125" t="s">
        <v>24832</v>
      </c>
      <c r="N11125" t="s">
        <v>24833</v>
      </c>
      <c r="O11125" t="s">
        <v>236</v>
      </c>
      <c r="P11125">
        <v>1569</v>
      </c>
      <c r="Q11125">
        <v>1882</v>
      </c>
      <c r="R11125" t="s">
        <v>23</v>
      </c>
      <c r="S11125" s="1" t="s">
        <v>34218</v>
      </c>
    </row>
    <row r="11126" spans="1:19" x14ac:dyDescent="0.25">
      <c r="A11126">
        <v>101236851</v>
      </c>
      <c r="B11126" t="s">
        <v>24834</v>
      </c>
      <c r="C11126" t="s">
        <v>137</v>
      </c>
      <c r="G11126" t="s">
        <v>24835</v>
      </c>
      <c r="H11126" t="s">
        <v>1975</v>
      </c>
      <c r="I11126" t="s">
        <v>52</v>
      </c>
      <c r="J11126">
        <v>33321</v>
      </c>
      <c r="K11126">
        <v>5300</v>
      </c>
      <c r="L11126" t="s">
        <v>23</v>
      </c>
      <c r="M11126" t="s">
        <v>24835</v>
      </c>
      <c r="N11126" t="s">
        <v>1975</v>
      </c>
      <c r="O11126" t="s">
        <v>52</v>
      </c>
      <c r="P11126">
        <v>33321</v>
      </c>
      <c r="Q11126">
        <v>5300</v>
      </c>
      <c r="R11126" t="s">
        <v>23</v>
      </c>
      <c r="S11126" s="1" t="s">
        <v>34218</v>
      </c>
    </row>
    <row r="11127" spans="1:19" x14ac:dyDescent="0.25">
      <c r="A11127">
        <v>100537620</v>
      </c>
      <c r="B11127" t="s">
        <v>2043</v>
      </c>
      <c r="C11127" t="s">
        <v>24836</v>
      </c>
      <c r="G11127" t="s">
        <v>24837</v>
      </c>
      <c r="H11127" t="s">
        <v>1019</v>
      </c>
      <c r="I11127" t="s">
        <v>84</v>
      </c>
      <c r="J11127">
        <v>98034</v>
      </c>
      <c r="K11127">
        <v>3242</v>
      </c>
      <c r="L11127" t="s">
        <v>23</v>
      </c>
      <c r="M11127" t="s">
        <v>24837</v>
      </c>
      <c r="N11127" t="s">
        <v>1019</v>
      </c>
      <c r="O11127" t="s">
        <v>84</v>
      </c>
      <c r="P11127">
        <v>98034</v>
      </c>
      <c r="Q11127">
        <v>3242</v>
      </c>
      <c r="R11127" t="s">
        <v>23</v>
      </c>
      <c r="S11127" s="1" t="s">
        <v>34218</v>
      </c>
    </row>
    <row r="11128" spans="1:19" x14ac:dyDescent="0.25">
      <c r="A11128">
        <v>101453761</v>
      </c>
      <c r="B11128" t="s">
        <v>24838</v>
      </c>
      <c r="C11128" t="s">
        <v>585</v>
      </c>
      <c r="G11128" t="s">
        <v>24839</v>
      </c>
      <c r="H11128" t="s">
        <v>2696</v>
      </c>
      <c r="I11128" t="s">
        <v>52</v>
      </c>
      <c r="J11128">
        <v>33024</v>
      </c>
      <c r="K11128">
        <v>2125</v>
      </c>
      <c r="L11128" t="s">
        <v>23</v>
      </c>
      <c r="M11128" t="s">
        <v>24839</v>
      </c>
      <c r="N11128" t="s">
        <v>2696</v>
      </c>
      <c r="O11128" t="s">
        <v>52</v>
      </c>
      <c r="P11128">
        <v>33024</v>
      </c>
      <c r="Q11128">
        <v>2125</v>
      </c>
      <c r="R11128" t="s">
        <v>23</v>
      </c>
      <c r="S11128" s="1" t="s">
        <v>34218</v>
      </c>
    </row>
    <row r="11129" spans="1:19" x14ac:dyDescent="0.25">
      <c r="A11129">
        <v>101311243</v>
      </c>
      <c r="B11129" t="s">
        <v>1335</v>
      </c>
      <c r="C11129" t="s">
        <v>24840</v>
      </c>
      <c r="G11129" t="s">
        <v>24841</v>
      </c>
      <c r="H11129" t="s">
        <v>5795</v>
      </c>
      <c r="I11129" t="s">
        <v>255</v>
      </c>
      <c r="J11129">
        <v>20112</v>
      </c>
      <c r="K11129">
        <v>3100</v>
      </c>
      <c r="L11129" t="s">
        <v>23</v>
      </c>
      <c r="M11129" t="s">
        <v>24841</v>
      </c>
      <c r="N11129" t="s">
        <v>5795</v>
      </c>
      <c r="O11129" t="s">
        <v>255</v>
      </c>
      <c r="P11129">
        <v>20112</v>
      </c>
      <c r="Q11129">
        <v>3100</v>
      </c>
      <c r="R11129" t="s">
        <v>23</v>
      </c>
      <c r="S11129" s="1" t="s">
        <v>34218</v>
      </c>
    </row>
    <row r="11130" spans="1:19" x14ac:dyDescent="0.25">
      <c r="A11130">
        <v>101453880</v>
      </c>
      <c r="B11130" t="s">
        <v>1581</v>
      </c>
      <c r="C11130" t="s">
        <v>1295</v>
      </c>
      <c r="G11130" t="s">
        <v>24842</v>
      </c>
      <c r="H11130" t="s">
        <v>9439</v>
      </c>
      <c r="I11130" t="s">
        <v>140</v>
      </c>
      <c r="J11130">
        <v>49316</v>
      </c>
      <c r="K11130">
        <v>9536</v>
      </c>
      <c r="L11130" t="s">
        <v>23</v>
      </c>
      <c r="M11130" t="s">
        <v>24842</v>
      </c>
      <c r="N11130" t="s">
        <v>9439</v>
      </c>
      <c r="O11130" t="s">
        <v>140</v>
      </c>
      <c r="P11130">
        <v>49316</v>
      </c>
      <c r="Q11130">
        <v>9536</v>
      </c>
      <c r="R11130" t="s">
        <v>23</v>
      </c>
      <c r="S11130" s="1" t="s">
        <v>34218</v>
      </c>
    </row>
    <row r="11131" spans="1:19" x14ac:dyDescent="0.25">
      <c r="A11131">
        <v>101465870</v>
      </c>
      <c r="B11131" t="s">
        <v>24843</v>
      </c>
      <c r="C11131" t="s">
        <v>890</v>
      </c>
      <c r="G11131" t="s">
        <v>24844</v>
      </c>
      <c r="H11131" t="s">
        <v>2859</v>
      </c>
      <c r="I11131" t="s">
        <v>33</v>
      </c>
      <c r="J11131">
        <v>19605</v>
      </c>
      <c r="K11131">
        <v>1427</v>
      </c>
      <c r="L11131" t="s">
        <v>23</v>
      </c>
      <c r="M11131" t="s">
        <v>24844</v>
      </c>
      <c r="N11131" t="s">
        <v>2859</v>
      </c>
      <c r="O11131" t="s">
        <v>33</v>
      </c>
      <c r="P11131">
        <v>19605</v>
      </c>
      <c r="Q11131">
        <v>1427</v>
      </c>
      <c r="R11131" t="s">
        <v>23</v>
      </c>
      <c r="S11131" s="1" t="s">
        <v>34218</v>
      </c>
    </row>
    <row r="11132" spans="1:19" x14ac:dyDescent="0.25">
      <c r="A11132">
        <v>101474413</v>
      </c>
      <c r="B11132" t="s">
        <v>24845</v>
      </c>
      <c r="C11132" t="s">
        <v>24846</v>
      </c>
      <c r="G11132" t="s">
        <v>24847</v>
      </c>
      <c r="H11132" t="s">
        <v>12571</v>
      </c>
      <c r="I11132" t="s">
        <v>178</v>
      </c>
      <c r="J11132">
        <v>44129</v>
      </c>
      <c r="K11132">
        <v>3139</v>
      </c>
      <c r="L11132" t="s">
        <v>23</v>
      </c>
      <c r="M11132" t="s">
        <v>24847</v>
      </c>
      <c r="N11132" t="s">
        <v>12571</v>
      </c>
      <c r="O11132" t="s">
        <v>178</v>
      </c>
      <c r="P11132">
        <v>44129</v>
      </c>
      <c r="Q11132">
        <v>3139</v>
      </c>
      <c r="R11132" t="s">
        <v>23</v>
      </c>
      <c r="S11132" s="1" t="s">
        <v>34218</v>
      </c>
    </row>
    <row r="11133" spans="1:19" x14ac:dyDescent="0.25">
      <c r="A11133">
        <v>101051976</v>
      </c>
      <c r="B11133" t="s">
        <v>24848</v>
      </c>
      <c r="C11133" t="s">
        <v>24849</v>
      </c>
      <c r="G11133" t="s">
        <v>24850</v>
      </c>
      <c r="H11133" t="s">
        <v>682</v>
      </c>
      <c r="I11133" t="s">
        <v>365</v>
      </c>
      <c r="J11133">
        <v>85085</v>
      </c>
      <c r="K11133">
        <v>7708</v>
      </c>
      <c r="L11133" t="s">
        <v>23</v>
      </c>
      <c r="M11133" t="s">
        <v>24850</v>
      </c>
      <c r="N11133" t="s">
        <v>682</v>
      </c>
      <c r="O11133" t="s">
        <v>365</v>
      </c>
      <c r="P11133">
        <v>85085</v>
      </c>
      <c r="Q11133">
        <v>7708</v>
      </c>
      <c r="R11133" t="s">
        <v>23</v>
      </c>
      <c r="S11133" s="1" t="s">
        <v>34218</v>
      </c>
    </row>
    <row r="11134" spans="1:19" x14ac:dyDescent="0.25">
      <c r="A11134">
        <v>101035937</v>
      </c>
      <c r="B11134" t="s">
        <v>24851</v>
      </c>
      <c r="C11134" t="s">
        <v>1043</v>
      </c>
      <c r="G11134" t="s">
        <v>24852</v>
      </c>
      <c r="H11134" t="s">
        <v>2091</v>
      </c>
      <c r="I11134" t="s">
        <v>117</v>
      </c>
      <c r="J11134">
        <v>13210</v>
      </c>
      <c r="K11134">
        <v>4136</v>
      </c>
      <c r="L11134" t="s">
        <v>23</v>
      </c>
      <c r="M11134" t="s">
        <v>24852</v>
      </c>
      <c r="N11134" t="s">
        <v>2091</v>
      </c>
      <c r="O11134" t="s">
        <v>117</v>
      </c>
      <c r="P11134">
        <v>13210</v>
      </c>
      <c r="Q11134">
        <v>4136</v>
      </c>
      <c r="R11134" t="s">
        <v>23</v>
      </c>
      <c r="S11134" s="1" t="s">
        <v>34218</v>
      </c>
    </row>
    <row r="11135" spans="1:19" x14ac:dyDescent="0.25">
      <c r="A11135">
        <v>100727749</v>
      </c>
      <c r="B11135" t="s">
        <v>24853</v>
      </c>
      <c r="C11135" t="s">
        <v>2365</v>
      </c>
      <c r="H11135" t="s">
        <v>9851</v>
      </c>
      <c r="I11135" t="s">
        <v>52</v>
      </c>
      <c r="J11135">
        <v>34744</v>
      </c>
      <c r="L11135" t="s">
        <v>23</v>
      </c>
      <c r="N11135" t="s">
        <v>9851</v>
      </c>
      <c r="O11135" t="s">
        <v>52</v>
      </c>
      <c r="P11135">
        <v>34744</v>
      </c>
      <c r="R11135" t="s">
        <v>23</v>
      </c>
      <c r="S11135" s="1" t="s">
        <v>34218</v>
      </c>
    </row>
    <row r="11136" spans="1:19" x14ac:dyDescent="0.25">
      <c r="A11136">
        <v>101472108</v>
      </c>
      <c r="B11136" t="s">
        <v>24854</v>
      </c>
      <c r="C11136" t="s">
        <v>2193</v>
      </c>
      <c r="G11136" t="s">
        <v>24855</v>
      </c>
      <c r="H11136" t="s">
        <v>4429</v>
      </c>
      <c r="I11136" t="s">
        <v>135</v>
      </c>
      <c r="J11136">
        <v>60545</v>
      </c>
      <c r="K11136">
        <v>2019</v>
      </c>
      <c r="L11136" t="s">
        <v>23</v>
      </c>
      <c r="M11136" t="s">
        <v>24855</v>
      </c>
      <c r="N11136" t="s">
        <v>4429</v>
      </c>
      <c r="O11136" t="s">
        <v>135</v>
      </c>
      <c r="P11136">
        <v>60545</v>
      </c>
      <c r="Q11136">
        <v>2019</v>
      </c>
      <c r="R11136" t="s">
        <v>23</v>
      </c>
      <c r="S11136" s="1" t="s">
        <v>34218</v>
      </c>
    </row>
    <row r="11137" spans="1:19" x14ac:dyDescent="0.25">
      <c r="A11137">
        <v>101043296</v>
      </c>
      <c r="B11137" t="s">
        <v>3209</v>
      </c>
      <c r="C11137" t="s">
        <v>18206</v>
      </c>
      <c r="G11137" t="s">
        <v>24856</v>
      </c>
      <c r="H11137" t="s">
        <v>24857</v>
      </c>
      <c r="I11137" t="s">
        <v>84</v>
      </c>
      <c r="J11137">
        <v>98023</v>
      </c>
      <c r="K11137">
        <v>2831</v>
      </c>
      <c r="L11137" t="s">
        <v>23</v>
      </c>
      <c r="M11137" t="s">
        <v>24856</v>
      </c>
      <c r="N11137" t="s">
        <v>24857</v>
      </c>
      <c r="O11137" t="s">
        <v>84</v>
      </c>
      <c r="P11137">
        <v>98023</v>
      </c>
      <c r="Q11137">
        <v>2831</v>
      </c>
      <c r="R11137" t="s">
        <v>23</v>
      </c>
      <c r="S11137" s="1" t="s">
        <v>34218</v>
      </c>
    </row>
    <row r="11138" spans="1:19" x14ac:dyDescent="0.25">
      <c r="A11138">
        <v>101430995</v>
      </c>
      <c r="B11138" t="s">
        <v>24858</v>
      </c>
      <c r="C11138" t="s">
        <v>23401</v>
      </c>
      <c r="G11138" t="s">
        <v>24859</v>
      </c>
      <c r="H11138" t="s">
        <v>299</v>
      </c>
      <c r="I11138" t="s">
        <v>22</v>
      </c>
      <c r="J11138">
        <v>90019</v>
      </c>
      <c r="K11138">
        <v>1718</v>
      </c>
      <c r="L11138" t="s">
        <v>23</v>
      </c>
      <c r="M11138" t="s">
        <v>24859</v>
      </c>
      <c r="N11138" t="s">
        <v>299</v>
      </c>
      <c r="O11138" t="s">
        <v>22</v>
      </c>
      <c r="P11138">
        <v>90019</v>
      </c>
      <c r="Q11138">
        <v>1718</v>
      </c>
      <c r="R11138" t="s">
        <v>23</v>
      </c>
      <c r="S11138" s="1" t="s">
        <v>34218</v>
      </c>
    </row>
    <row r="11139" spans="1:19" x14ac:dyDescent="0.25">
      <c r="A11139">
        <v>101330862</v>
      </c>
      <c r="B11139" t="s">
        <v>9494</v>
      </c>
      <c r="C11139" t="s">
        <v>1873</v>
      </c>
      <c r="G11139" t="s">
        <v>24860</v>
      </c>
      <c r="H11139" t="s">
        <v>27</v>
      </c>
      <c r="I11139" t="s">
        <v>28</v>
      </c>
      <c r="J11139">
        <v>30318</v>
      </c>
      <c r="K11139">
        <v>1714</v>
      </c>
      <c r="L11139" t="s">
        <v>23</v>
      </c>
      <c r="M11139" t="s">
        <v>24860</v>
      </c>
      <c r="N11139" t="s">
        <v>27</v>
      </c>
      <c r="O11139" t="s">
        <v>28</v>
      </c>
      <c r="P11139">
        <v>30318</v>
      </c>
      <c r="Q11139">
        <v>1714</v>
      </c>
      <c r="R11139" t="s">
        <v>23</v>
      </c>
      <c r="S11139" s="1" t="s">
        <v>34218</v>
      </c>
    </row>
    <row r="11140" spans="1:19" x14ac:dyDescent="0.25">
      <c r="A11140">
        <v>101440666</v>
      </c>
      <c r="B11140" t="s">
        <v>24861</v>
      </c>
      <c r="C11140" t="s">
        <v>1363</v>
      </c>
      <c r="G11140" t="s">
        <v>24862</v>
      </c>
      <c r="H11140" t="s">
        <v>3142</v>
      </c>
      <c r="I11140" t="s">
        <v>117</v>
      </c>
      <c r="J11140">
        <v>13601</v>
      </c>
      <c r="K11140">
        <v>5843</v>
      </c>
      <c r="L11140" t="s">
        <v>23</v>
      </c>
      <c r="M11140" t="s">
        <v>24862</v>
      </c>
      <c r="N11140" t="s">
        <v>3142</v>
      </c>
      <c r="O11140" t="s">
        <v>117</v>
      </c>
      <c r="P11140">
        <v>13601</v>
      </c>
      <c r="Q11140">
        <v>5843</v>
      </c>
      <c r="R11140" t="s">
        <v>23</v>
      </c>
      <c r="S11140" s="1" t="s">
        <v>34218</v>
      </c>
    </row>
    <row r="11141" spans="1:19" x14ac:dyDescent="0.25">
      <c r="A11141">
        <v>100998401</v>
      </c>
      <c r="B11141" t="s">
        <v>24863</v>
      </c>
      <c r="C11141" t="s">
        <v>19726</v>
      </c>
      <c r="G11141" t="s">
        <v>24864</v>
      </c>
      <c r="H11141" t="s">
        <v>2784</v>
      </c>
      <c r="I11141" t="s">
        <v>140</v>
      </c>
      <c r="J11141">
        <v>48083</v>
      </c>
      <c r="L11141" t="s">
        <v>23</v>
      </c>
      <c r="M11141" t="s">
        <v>24864</v>
      </c>
      <c r="N11141" t="s">
        <v>2784</v>
      </c>
      <c r="O11141" t="s">
        <v>140</v>
      </c>
      <c r="P11141">
        <v>48083</v>
      </c>
      <c r="R11141" t="s">
        <v>23</v>
      </c>
      <c r="S11141" s="1" t="s">
        <v>34218</v>
      </c>
    </row>
    <row r="11142" spans="1:19" x14ac:dyDescent="0.25">
      <c r="A11142">
        <v>101450272</v>
      </c>
      <c r="B11142" t="s">
        <v>10741</v>
      </c>
      <c r="C11142" t="s">
        <v>1153</v>
      </c>
      <c r="G11142" t="s">
        <v>24865</v>
      </c>
      <c r="H11142" t="s">
        <v>2375</v>
      </c>
      <c r="I11142" t="s">
        <v>100</v>
      </c>
      <c r="J11142">
        <v>53704</v>
      </c>
      <c r="K11142">
        <v>1340</v>
      </c>
      <c r="L11142" t="s">
        <v>23</v>
      </c>
      <c r="M11142" t="s">
        <v>24865</v>
      </c>
      <c r="N11142" t="s">
        <v>2375</v>
      </c>
      <c r="O11142" t="s">
        <v>100</v>
      </c>
      <c r="P11142">
        <v>53704</v>
      </c>
      <c r="Q11142">
        <v>1340</v>
      </c>
      <c r="R11142" t="s">
        <v>23</v>
      </c>
      <c r="S11142" s="1" t="s">
        <v>34218</v>
      </c>
    </row>
    <row r="11143" spans="1:19" x14ac:dyDescent="0.25">
      <c r="A11143">
        <v>101410852</v>
      </c>
      <c r="B11143" t="s">
        <v>744</v>
      </c>
      <c r="C11143" t="s">
        <v>30</v>
      </c>
      <c r="G11143" t="s">
        <v>24866</v>
      </c>
      <c r="H11143" t="s">
        <v>2674</v>
      </c>
      <c r="I11143" t="s">
        <v>22</v>
      </c>
      <c r="J11143">
        <v>95949</v>
      </c>
      <c r="K11143">
        <v>9476</v>
      </c>
      <c r="L11143" t="s">
        <v>23</v>
      </c>
      <c r="M11143" t="s">
        <v>24866</v>
      </c>
      <c r="N11143" t="s">
        <v>2674</v>
      </c>
      <c r="O11143" t="s">
        <v>22</v>
      </c>
      <c r="P11143">
        <v>95949</v>
      </c>
      <c r="Q11143">
        <v>9476</v>
      </c>
      <c r="R11143" t="s">
        <v>23</v>
      </c>
      <c r="S11143" s="1" t="s">
        <v>34218</v>
      </c>
    </row>
    <row r="11144" spans="1:19" x14ac:dyDescent="0.25">
      <c r="A11144">
        <v>101452827</v>
      </c>
      <c r="B11144" t="s">
        <v>24348</v>
      </c>
      <c r="C11144" t="s">
        <v>3633</v>
      </c>
      <c r="G11144" t="s">
        <v>24867</v>
      </c>
      <c r="H11144" t="s">
        <v>2841</v>
      </c>
      <c r="I11144" t="s">
        <v>71</v>
      </c>
      <c r="J11144">
        <v>80403</v>
      </c>
      <c r="K11144">
        <v>1055</v>
      </c>
      <c r="L11144" t="s">
        <v>23</v>
      </c>
      <c r="M11144" t="s">
        <v>24867</v>
      </c>
      <c r="N11144" t="s">
        <v>2841</v>
      </c>
      <c r="O11144" t="s">
        <v>71</v>
      </c>
      <c r="P11144">
        <v>80403</v>
      </c>
      <c r="Q11144">
        <v>1055</v>
      </c>
      <c r="R11144" t="s">
        <v>23</v>
      </c>
      <c r="S11144" s="1" t="s">
        <v>34218</v>
      </c>
    </row>
    <row r="11145" spans="1:19" x14ac:dyDescent="0.25">
      <c r="A11145">
        <v>101474308</v>
      </c>
      <c r="B11145" t="s">
        <v>21129</v>
      </c>
      <c r="C11145" t="s">
        <v>367</v>
      </c>
      <c r="G11145" t="s">
        <v>24868</v>
      </c>
      <c r="H11145" t="s">
        <v>2809</v>
      </c>
      <c r="I11145" t="s">
        <v>22</v>
      </c>
      <c r="J11145">
        <v>91377</v>
      </c>
      <c r="K11145">
        <v>1127</v>
      </c>
      <c r="L11145" t="s">
        <v>23</v>
      </c>
      <c r="M11145" t="s">
        <v>24868</v>
      </c>
      <c r="N11145" t="s">
        <v>2809</v>
      </c>
      <c r="O11145" t="s">
        <v>22</v>
      </c>
      <c r="P11145">
        <v>91377</v>
      </c>
      <c r="Q11145">
        <v>1127</v>
      </c>
      <c r="R11145" t="s">
        <v>23</v>
      </c>
      <c r="S11145" s="1" t="s">
        <v>34218</v>
      </c>
    </row>
    <row r="11146" spans="1:19" x14ac:dyDescent="0.25">
      <c r="A11146">
        <v>101474313</v>
      </c>
      <c r="B11146" t="s">
        <v>24869</v>
      </c>
      <c r="C11146" t="s">
        <v>15815</v>
      </c>
      <c r="G11146" t="s">
        <v>24870</v>
      </c>
      <c r="H11146" t="s">
        <v>705</v>
      </c>
      <c r="I11146" t="s">
        <v>22</v>
      </c>
      <c r="J11146">
        <v>94501</v>
      </c>
      <c r="K11146">
        <v>1259</v>
      </c>
      <c r="L11146" t="s">
        <v>23</v>
      </c>
      <c r="M11146" t="s">
        <v>24870</v>
      </c>
      <c r="N11146" t="s">
        <v>705</v>
      </c>
      <c r="O11146" t="s">
        <v>22</v>
      </c>
      <c r="P11146">
        <v>94501</v>
      </c>
      <c r="Q11146">
        <v>1259</v>
      </c>
      <c r="R11146" t="s">
        <v>23</v>
      </c>
      <c r="S11146" s="1" t="s">
        <v>34218</v>
      </c>
    </row>
    <row r="11147" spans="1:19" x14ac:dyDescent="0.25">
      <c r="A11147">
        <v>101248324</v>
      </c>
      <c r="B11147" t="s">
        <v>3228</v>
      </c>
      <c r="C11147" t="s">
        <v>1671</v>
      </c>
      <c r="G11147" t="s">
        <v>24871</v>
      </c>
      <c r="H11147" t="s">
        <v>18857</v>
      </c>
      <c r="I11147" t="s">
        <v>38</v>
      </c>
      <c r="J11147">
        <v>77385</v>
      </c>
      <c r="K11147">
        <v>9534</v>
      </c>
      <c r="L11147" t="s">
        <v>23</v>
      </c>
      <c r="M11147" t="s">
        <v>24871</v>
      </c>
      <c r="N11147" t="s">
        <v>18857</v>
      </c>
      <c r="O11147" t="s">
        <v>38</v>
      </c>
      <c r="P11147">
        <v>77385</v>
      </c>
      <c r="Q11147">
        <v>9534</v>
      </c>
      <c r="R11147" t="s">
        <v>23</v>
      </c>
      <c r="S11147" s="1" t="s">
        <v>34218</v>
      </c>
    </row>
    <row r="11148" spans="1:19" x14ac:dyDescent="0.25">
      <c r="A11148">
        <v>101447176</v>
      </c>
      <c r="B11148" t="s">
        <v>24872</v>
      </c>
      <c r="C11148" t="s">
        <v>2776</v>
      </c>
      <c r="G11148" t="s">
        <v>24873</v>
      </c>
      <c r="H11148" t="s">
        <v>24874</v>
      </c>
      <c r="I11148" t="s">
        <v>117</v>
      </c>
      <c r="J11148">
        <v>12480</v>
      </c>
      <c r="K11148">
        <v>5318</v>
      </c>
      <c r="L11148" t="s">
        <v>23</v>
      </c>
      <c r="M11148" t="s">
        <v>24873</v>
      </c>
      <c r="N11148" t="s">
        <v>24874</v>
      </c>
      <c r="O11148" t="s">
        <v>117</v>
      </c>
      <c r="P11148">
        <v>12480</v>
      </c>
      <c r="Q11148">
        <v>5318</v>
      </c>
      <c r="R11148" t="s">
        <v>23</v>
      </c>
      <c r="S11148" s="1" t="s">
        <v>34218</v>
      </c>
    </row>
    <row r="11149" spans="1:19" x14ac:dyDescent="0.25">
      <c r="A11149">
        <v>101474193</v>
      </c>
      <c r="B11149" t="s">
        <v>24875</v>
      </c>
      <c r="C11149" t="s">
        <v>3511</v>
      </c>
      <c r="G11149" t="s">
        <v>24876</v>
      </c>
      <c r="H11149" t="s">
        <v>2050</v>
      </c>
      <c r="I11149" t="s">
        <v>255</v>
      </c>
      <c r="J11149">
        <v>22827</v>
      </c>
      <c r="K11149">
        <v>1135</v>
      </c>
      <c r="L11149" t="s">
        <v>23</v>
      </c>
      <c r="M11149" t="s">
        <v>24876</v>
      </c>
      <c r="N11149" t="s">
        <v>2050</v>
      </c>
      <c r="O11149" t="s">
        <v>255</v>
      </c>
      <c r="P11149">
        <v>22827</v>
      </c>
      <c r="Q11149">
        <v>1135</v>
      </c>
      <c r="R11149" t="s">
        <v>23</v>
      </c>
      <c r="S11149" s="1" t="s">
        <v>34218</v>
      </c>
    </row>
    <row r="11150" spans="1:19" x14ac:dyDescent="0.25">
      <c r="A11150">
        <v>101473176</v>
      </c>
      <c r="B11150" t="s">
        <v>18599</v>
      </c>
      <c r="C11150" t="s">
        <v>432</v>
      </c>
      <c r="G11150" t="s">
        <v>24877</v>
      </c>
      <c r="H11150" t="s">
        <v>2523</v>
      </c>
      <c r="I11150" t="s">
        <v>307</v>
      </c>
      <c r="J11150">
        <v>5301</v>
      </c>
      <c r="K11150">
        <v>8348</v>
      </c>
      <c r="L11150" t="s">
        <v>23</v>
      </c>
      <c r="M11150" t="s">
        <v>24877</v>
      </c>
      <c r="N11150" t="s">
        <v>2523</v>
      </c>
      <c r="O11150" t="s">
        <v>307</v>
      </c>
      <c r="P11150">
        <v>5301</v>
      </c>
      <c r="Q11150">
        <v>8348</v>
      </c>
      <c r="R11150" t="s">
        <v>23</v>
      </c>
      <c r="S11150" s="1" t="s">
        <v>34218</v>
      </c>
    </row>
    <row r="11151" spans="1:19" x14ac:dyDescent="0.25">
      <c r="A11151">
        <v>100515159</v>
      </c>
      <c r="B11151" t="s">
        <v>144</v>
      </c>
      <c r="C11151" t="s">
        <v>24878</v>
      </c>
      <c r="G11151" t="s">
        <v>24879</v>
      </c>
      <c r="H11151" t="s">
        <v>7232</v>
      </c>
      <c r="I11151" t="s">
        <v>71</v>
      </c>
      <c r="J11151">
        <v>80439</v>
      </c>
      <c r="K11151">
        <v>6656</v>
      </c>
      <c r="L11151" t="s">
        <v>23</v>
      </c>
      <c r="M11151" t="s">
        <v>24879</v>
      </c>
      <c r="N11151" t="s">
        <v>7232</v>
      </c>
      <c r="O11151" t="s">
        <v>71</v>
      </c>
      <c r="P11151">
        <v>80439</v>
      </c>
      <c r="Q11151">
        <v>6656</v>
      </c>
      <c r="R11151" t="s">
        <v>23</v>
      </c>
      <c r="S11151" s="1" t="s">
        <v>34218</v>
      </c>
    </row>
    <row r="11152" spans="1:19" x14ac:dyDescent="0.25">
      <c r="A11152">
        <v>101470361</v>
      </c>
      <c r="B11152" t="s">
        <v>24880</v>
      </c>
      <c r="C11152" t="s">
        <v>5665</v>
      </c>
      <c r="G11152" t="s">
        <v>24881</v>
      </c>
      <c r="H11152" t="s">
        <v>23312</v>
      </c>
      <c r="I11152" t="s">
        <v>52</v>
      </c>
      <c r="J11152">
        <v>33308</v>
      </c>
      <c r="K11152">
        <v>2916</v>
      </c>
      <c r="L11152" t="s">
        <v>23</v>
      </c>
      <c r="M11152" t="s">
        <v>24881</v>
      </c>
      <c r="N11152" t="s">
        <v>23312</v>
      </c>
      <c r="O11152" t="s">
        <v>52</v>
      </c>
      <c r="P11152">
        <v>33308</v>
      </c>
      <c r="Q11152">
        <v>2916</v>
      </c>
      <c r="R11152" t="s">
        <v>23</v>
      </c>
      <c r="S11152" s="1" t="s">
        <v>34218</v>
      </c>
    </row>
    <row r="11153" spans="1:19" x14ac:dyDescent="0.25">
      <c r="A11153">
        <v>101112249</v>
      </c>
      <c r="B11153" t="s">
        <v>1144</v>
      </c>
      <c r="C11153" t="s">
        <v>838</v>
      </c>
      <c r="F11153" t="str">
        <f>"2074062501"</f>
        <v>2074062501</v>
      </c>
      <c r="G11153" t="s">
        <v>24882</v>
      </c>
      <c r="H11153" t="s">
        <v>2749</v>
      </c>
      <c r="I11153" t="s">
        <v>191</v>
      </c>
      <c r="J11153" t="s">
        <v>24883</v>
      </c>
      <c r="K11153">
        <v>7840</v>
      </c>
      <c r="L11153" t="s">
        <v>23</v>
      </c>
      <c r="M11153" t="s">
        <v>24882</v>
      </c>
      <c r="N11153" t="s">
        <v>2749</v>
      </c>
      <c r="O11153" t="s">
        <v>191</v>
      </c>
      <c r="P11153" t="s">
        <v>24883</v>
      </c>
      <c r="Q11153">
        <v>7840</v>
      </c>
      <c r="R11153" t="s">
        <v>23</v>
      </c>
      <c r="S11153" s="1" t="s">
        <v>34218</v>
      </c>
    </row>
    <row r="11154" spans="1:19" x14ac:dyDescent="0.25">
      <c r="A11154">
        <v>101206787</v>
      </c>
      <c r="B11154" t="s">
        <v>24884</v>
      </c>
      <c r="C11154" t="s">
        <v>3714</v>
      </c>
      <c r="G11154" t="s">
        <v>24885</v>
      </c>
      <c r="H11154" t="s">
        <v>1452</v>
      </c>
      <c r="I11154" t="s">
        <v>43</v>
      </c>
      <c r="J11154">
        <v>97402</v>
      </c>
      <c r="K11154">
        <v>1613</v>
      </c>
      <c r="L11154" t="s">
        <v>23</v>
      </c>
      <c r="M11154" t="s">
        <v>24885</v>
      </c>
      <c r="N11154" t="s">
        <v>1452</v>
      </c>
      <c r="O11154" t="s">
        <v>43</v>
      </c>
      <c r="P11154">
        <v>97402</v>
      </c>
      <c r="Q11154">
        <v>1613</v>
      </c>
      <c r="R11154" t="s">
        <v>23</v>
      </c>
      <c r="S11154" s="1" t="s">
        <v>34218</v>
      </c>
    </row>
    <row r="11155" spans="1:19" x14ac:dyDescent="0.25">
      <c r="A11155">
        <v>100797586</v>
      </c>
      <c r="B11155" t="s">
        <v>24886</v>
      </c>
      <c r="C11155" t="s">
        <v>216</v>
      </c>
      <c r="G11155" t="s">
        <v>24887</v>
      </c>
      <c r="H11155" t="s">
        <v>24888</v>
      </c>
      <c r="I11155" t="s">
        <v>1097</v>
      </c>
      <c r="J11155">
        <v>40003</v>
      </c>
      <c r="L11155" t="s">
        <v>23</v>
      </c>
      <c r="M11155" t="s">
        <v>24887</v>
      </c>
      <c r="N11155" t="s">
        <v>24888</v>
      </c>
      <c r="O11155" t="s">
        <v>1097</v>
      </c>
      <c r="P11155">
        <v>40003</v>
      </c>
      <c r="R11155" t="s">
        <v>23</v>
      </c>
      <c r="S11155" s="1" t="s">
        <v>34218</v>
      </c>
    </row>
    <row r="11156" spans="1:19" x14ac:dyDescent="0.25">
      <c r="A11156">
        <v>100943470</v>
      </c>
      <c r="B11156" t="s">
        <v>24889</v>
      </c>
      <c r="C11156" t="s">
        <v>4218</v>
      </c>
      <c r="G11156" t="s">
        <v>24890</v>
      </c>
      <c r="H11156" t="s">
        <v>4540</v>
      </c>
      <c r="I11156" t="s">
        <v>28</v>
      </c>
      <c r="J11156">
        <v>30028</v>
      </c>
      <c r="K11156">
        <v>6521</v>
      </c>
      <c r="L11156" t="s">
        <v>23</v>
      </c>
      <c r="M11156" t="s">
        <v>24890</v>
      </c>
      <c r="N11156" t="s">
        <v>4540</v>
      </c>
      <c r="O11156" t="s">
        <v>28</v>
      </c>
      <c r="P11156">
        <v>30028</v>
      </c>
      <c r="Q11156">
        <v>6521</v>
      </c>
      <c r="R11156" t="s">
        <v>23</v>
      </c>
      <c r="S11156" s="1" t="s">
        <v>34218</v>
      </c>
    </row>
    <row r="11157" spans="1:19" x14ac:dyDescent="0.25">
      <c r="A11157">
        <v>101450184</v>
      </c>
      <c r="B11157" t="s">
        <v>24891</v>
      </c>
      <c r="C11157" t="s">
        <v>155</v>
      </c>
      <c r="G11157" t="s">
        <v>24892</v>
      </c>
      <c r="H11157" t="s">
        <v>471</v>
      </c>
      <c r="I11157" t="s">
        <v>365</v>
      </c>
      <c r="J11157">
        <v>85258</v>
      </c>
      <c r="K11157">
        <v>9137</v>
      </c>
      <c r="L11157" t="s">
        <v>23</v>
      </c>
      <c r="M11157" t="s">
        <v>24892</v>
      </c>
      <c r="N11157" t="s">
        <v>471</v>
      </c>
      <c r="O11157" t="s">
        <v>365</v>
      </c>
      <c r="P11157">
        <v>85258</v>
      </c>
      <c r="Q11157">
        <v>9137</v>
      </c>
      <c r="R11157" t="s">
        <v>23</v>
      </c>
      <c r="S11157" s="1" t="s">
        <v>34218</v>
      </c>
    </row>
    <row r="11158" spans="1:19" x14ac:dyDescent="0.25">
      <c r="A11158">
        <v>100526531</v>
      </c>
      <c r="B11158" t="s">
        <v>24893</v>
      </c>
      <c r="C11158" t="s">
        <v>24894</v>
      </c>
      <c r="G11158" t="s">
        <v>24895</v>
      </c>
      <c r="H11158" t="s">
        <v>10838</v>
      </c>
      <c r="I11158" t="s">
        <v>38</v>
      </c>
      <c r="J11158">
        <v>75002</v>
      </c>
      <c r="K11158">
        <v>6313</v>
      </c>
      <c r="L11158" t="s">
        <v>23</v>
      </c>
      <c r="M11158" t="s">
        <v>24895</v>
      </c>
      <c r="N11158" t="s">
        <v>10838</v>
      </c>
      <c r="O11158" t="s">
        <v>38</v>
      </c>
      <c r="P11158">
        <v>75002</v>
      </c>
      <c r="Q11158">
        <v>6313</v>
      </c>
      <c r="R11158" t="s">
        <v>23</v>
      </c>
      <c r="S11158" s="1" t="s">
        <v>34218</v>
      </c>
    </row>
    <row r="11159" spans="1:19" x14ac:dyDescent="0.25">
      <c r="A11159">
        <v>101479451</v>
      </c>
      <c r="B11159" t="s">
        <v>5769</v>
      </c>
      <c r="C11159" t="s">
        <v>102</v>
      </c>
      <c r="G11159" t="s">
        <v>24896</v>
      </c>
      <c r="H11159" t="s">
        <v>6151</v>
      </c>
      <c r="I11159" t="s">
        <v>22</v>
      </c>
      <c r="J11159">
        <v>93535</v>
      </c>
      <c r="K11159">
        <v>2714</v>
      </c>
      <c r="L11159" t="s">
        <v>23</v>
      </c>
      <c r="M11159" t="s">
        <v>24896</v>
      </c>
      <c r="N11159" t="s">
        <v>6151</v>
      </c>
      <c r="O11159" t="s">
        <v>22</v>
      </c>
      <c r="P11159">
        <v>93535</v>
      </c>
      <c r="Q11159">
        <v>2714</v>
      </c>
      <c r="R11159" t="s">
        <v>23</v>
      </c>
      <c r="S11159" s="1" t="s">
        <v>34218</v>
      </c>
    </row>
    <row r="11160" spans="1:19" x14ac:dyDescent="0.25">
      <c r="A11160">
        <v>101479534</v>
      </c>
      <c r="B11160" t="s">
        <v>4136</v>
      </c>
      <c r="C11160" t="s">
        <v>5274</v>
      </c>
      <c r="G11160" t="s">
        <v>24897</v>
      </c>
      <c r="H11160" t="s">
        <v>130</v>
      </c>
      <c r="I11160" t="s">
        <v>22</v>
      </c>
      <c r="J11160">
        <v>94121</v>
      </c>
      <c r="K11160">
        <v>3013</v>
      </c>
      <c r="L11160" t="s">
        <v>23</v>
      </c>
      <c r="M11160" t="s">
        <v>24897</v>
      </c>
      <c r="N11160" t="s">
        <v>130</v>
      </c>
      <c r="O11160" t="s">
        <v>22</v>
      </c>
      <c r="P11160">
        <v>94121</v>
      </c>
      <c r="Q11160">
        <v>3013</v>
      </c>
      <c r="R11160" t="s">
        <v>23</v>
      </c>
      <c r="S11160" s="1" t="s">
        <v>34218</v>
      </c>
    </row>
    <row r="11161" spans="1:19" x14ac:dyDescent="0.25">
      <c r="A11161">
        <v>101479537</v>
      </c>
      <c r="B11161" t="s">
        <v>10757</v>
      </c>
      <c r="C11161" t="s">
        <v>403</v>
      </c>
      <c r="G11161" t="s">
        <v>24898</v>
      </c>
      <c r="H11161" t="s">
        <v>130</v>
      </c>
      <c r="I11161" t="s">
        <v>22</v>
      </c>
      <c r="J11161">
        <v>94122</v>
      </c>
      <c r="K11161">
        <v>2637</v>
      </c>
      <c r="L11161" t="s">
        <v>23</v>
      </c>
      <c r="M11161" t="s">
        <v>24898</v>
      </c>
      <c r="N11161" t="s">
        <v>130</v>
      </c>
      <c r="O11161" t="s">
        <v>22</v>
      </c>
      <c r="P11161">
        <v>94122</v>
      </c>
      <c r="Q11161">
        <v>2637</v>
      </c>
      <c r="R11161" t="s">
        <v>23</v>
      </c>
      <c r="S11161" s="1" t="s">
        <v>34218</v>
      </c>
    </row>
    <row r="11162" spans="1:19" x14ac:dyDescent="0.25">
      <c r="A11162">
        <v>101479552</v>
      </c>
      <c r="B11162" t="s">
        <v>3629</v>
      </c>
      <c r="C11162" t="s">
        <v>2033</v>
      </c>
      <c r="G11162" t="s">
        <v>24899</v>
      </c>
      <c r="H11162" t="s">
        <v>5278</v>
      </c>
      <c r="I11162" t="s">
        <v>22</v>
      </c>
      <c r="J11162">
        <v>94403</v>
      </c>
      <c r="K11162">
        <v>4321</v>
      </c>
      <c r="L11162" t="s">
        <v>23</v>
      </c>
      <c r="M11162" t="s">
        <v>24899</v>
      </c>
      <c r="N11162" t="s">
        <v>5278</v>
      </c>
      <c r="O11162" t="s">
        <v>22</v>
      </c>
      <c r="P11162">
        <v>94403</v>
      </c>
      <c r="Q11162">
        <v>4321</v>
      </c>
      <c r="R11162" t="s">
        <v>23</v>
      </c>
      <c r="S11162" s="1" t="s">
        <v>34218</v>
      </c>
    </row>
    <row r="11163" spans="1:19" x14ac:dyDescent="0.25">
      <c r="A11163">
        <v>101479619</v>
      </c>
      <c r="B11163" t="s">
        <v>19066</v>
      </c>
      <c r="C11163" t="s">
        <v>18196</v>
      </c>
      <c r="G11163" t="s">
        <v>24900</v>
      </c>
      <c r="H11163" t="s">
        <v>16110</v>
      </c>
      <c r="I11163" t="s">
        <v>22</v>
      </c>
      <c r="J11163">
        <v>92253</v>
      </c>
      <c r="K11163">
        <v>6527</v>
      </c>
      <c r="L11163" t="s">
        <v>23</v>
      </c>
      <c r="M11163" t="s">
        <v>24900</v>
      </c>
      <c r="N11163" t="s">
        <v>16110</v>
      </c>
      <c r="O11163" t="s">
        <v>22</v>
      </c>
      <c r="P11163">
        <v>92253</v>
      </c>
      <c r="Q11163">
        <v>6527</v>
      </c>
      <c r="R11163" t="s">
        <v>23</v>
      </c>
      <c r="S11163" s="1" t="s">
        <v>34218</v>
      </c>
    </row>
    <row r="11164" spans="1:19" x14ac:dyDescent="0.25">
      <c r="A11164">
        <v>101479701</v>
      </c>
      <c r="B11164" t="s">
        <v>24901</v>
      </c>
      <c r="C11164" t="s">
        <v>209</v>
      </c>
      <c r="G11164" t="s">
        <v>24902</v>
      </c>
      <c r="H11164" t="s">
        <v>6273</v>
      </c>
      <c r="I11164" t="s">
        <v>22</v>
      </c>
      <c r="J11164">
        <v>92865</v>
      </c>
      <c r="K11164">
        <v>3326</v>
      </c>
      <c r="L11164" t="s">
        <v>23</v>
      </c>
      <c r="M11164" t="s">
        <v>24902</v>
      </c>
      <c r="N11164" t="s">
        <v>6273</v>
      </c>
      <c r="O11164" t="s">
        <v>22</v>
      </c>
      <c r="P11164">
        <v>92865</v>
      </c>
      <c r="Q11164">
        <v>3326</v>
      </c>
      <c r="R11164" t="s">
        <v>23</v>
      </c>
      <c r="S11164" s="1" t="s">
        <v>34218</v>
      </c>
    </row>
    <row r="11165" spans="1:19" x14ac:dyDescent="0.25">
      <c r="A11165">
        <v>100536823</v>
      </c>
      <c r="B11165" t="s">
        <v>13121</v>
      </c>
      <c r="C11165" t="s">
        <v>24903</v>
      </c>
      <c r="G11165" t="s">
        <v>24904</v>
      </c>
      <c r="H11165" t="s">
        <v>15562</v>
      </c>
      <c r="I11165" t="s">
        <v>52</v>
      </c>
      <c r="J11165">
        <v>34275</v>
      </c>
      <c r="K11165">
        <v>2625</v>
      </c>
      <c r="L11165" t="s">
        <v>23</v>
      </c>
      <c r="M11165" t="s">
        <v>24904</v>
      </c>
      <c r="N11165" t="s">
        <v>15562</v>
      </c>
      <c r="O11165" t="s">
        <v>52</v>
      </c>
      <c r="P11165">
        <v>34275</v>
      </c>
      <c r="Q11165">
        <v>2625</v>
      </c>
      <c r="R11165" t="s">
        <v>23</v>
      </c>
      <c r="S11165" s="1" t="s">
        <v>34218</v>
      </c>
    </row>
    <row r="11166" spans="1:19" x14ac:dyDescent="0.25">
      <c r="A11166">
        <v>101437626</v>
      </c>
      <c r="B11166" t="s">
        <v>24905</v>
      </c>
      <c r="C11166" t="s">
        <v>24906</v>
      </c>
      <c r="G11166" t="s">
        <v>24907</v>
      </c>
      <c r="H11166" t="s">
        <v>3625</v>
      </c>
      <c r="I11166" t="s">
        <v>22</v>
      </c>
      <c r="J11166">
        <v>95008</v>
      </c>
      <c r="K11166">
        <v>4441</v>
      </c>
      <c r="L11166" t="s">
        <v>23</v>
      </c>
      <c r="M11166" t="s">
        <v>24907</v>
      </c>
      <c r="N11166" t="s">
        <v>3625</v>
      </c>
      <c r="O11166" t="s">
        <v>22</v>
      </c>
      <c r="P11166">
        <v>95008</v>
      </c>
      <c r="Q11166">
        <v>4441</v>
      </c>
      <c r="R11166" t="s">
        <v>23</v>
      </c>
      <c r="S11166" s="1" t="s">
        <v>34218</v>
      </c>
    </row>
    <row r="11167" spans="1:19" x14ac:dyDescent="0.25">
      <c r="A11167">
        <v>101466983</v>
      </c>
      <c r="B11167" t="s">
        <v>17522</v>
      </c>
      <c r="C11167" t="s">
        <v>466</v>
      </c>
      <c r="G11167" t="s">
        <v>24908</v>
      </c>
      <c r="H11167" t="s">
        <v>299</v>
      </c>
      <c r="I11167" t="s">
        <v>22</v>
      </c>
      <c r="J11167">
        <v>90034</v>
      </c>
      <c r="K11167">
        <v>4999</v>
      </c>
      <c r="L11167" t="s">
        <v>23</v>
      </c>
      <c r="M11167" t="s">
        <v>24908</v>
      </c>
      <c r="N11167" t="s">
        <v>299</v>
      </c>
      <c r="O11167" t="s">
        <v>22</v>
      </c>
      <c r="P11167">
        <v>90034</v>
      </c>
      <c r="Q11167">
        <v>4999</v>
      </c>
      <c r="R11167" t="s">
        <v>23</v>
      </c>
      <c r="S11167" s="1" t="s">
        <v>34218</v>
      </c>
    </row>
    <row r="11168" spans="1:19" x14ac:dyDescent="0.25">
      <c r="A11168">
        <v>101466703</v>
      </c>
      <c r="B11168" t="s">
        <v>15691</v>
      </c>
      <c r="C11168" t="s">
        <v>24909</v>
      </c>
      <c r="G11168" t="s">
        <v>24910</v>
      </c>
      <c r="H11168" t="s">
        <v>4391</v>
      </c>
      <c r="I11168" t="s">
        <v>662</v>
      </c>
      <c r="J11168">
        <v>2840</v>
      </c>
      <c r="K11168">
        <v>4313</v>
      </c>
      <c r="L11168" t="s">
        <v>23</v>
      </c>
      <c r="M11168" t="s">
        <v>24910</v>
      </c>
      <c r="N11168" t="s">
        <v>4391</v>
      </c>
      <c r="O11168" t="s">
        <v>662</v>
      </c>
      <c r="P11168">
        <v>2840</v>
      </c>
      <c r="Q11168">
        <v>4313</v>
      </c>
      <c r="R11168" t="s">
        <v>23</v>
      </c>
      <c r="S11168" s="1" t="s">
        <v>34218</v>
      </c>
    </row>
    <row r="11169" spans="1:19" x14ac:dyDescent="0.25">
      <c r="A11169">
        <v>101231015</v>
      </c>
      <c r="B11169" t="s">
        <v>1234</v>
      </c>
      <c r="C11169" t="s">
        <v>1492</v>
      </c>
      <c r="G11169" t="s">
        <v>24911</v>
      </c>
      <c r="H11169" t="s">
        <v>1390</v>
      </c>
      <c r="I11169" t="s">
        <v>140</v>
      </c>
      <c r="J11169">
        <v>48111</v>
      </c>
      <c r="K11169">
        <v>3608</v>
      </c>
      <c r="L11169" t="s">
        <v>23</v>
      </c>
      <c r="M11169" t="s">
        <v>24911</v>
      </c>
      <c r="N11169" t="s">
        <v>1390</v>
      </c>
      <c r="O11169" t="s">
        <v>140</v>
      </c>
      <c r="P11169">
        <v>48111</v>
      </c>
      <c r="Q11169">
        <v>3608</v>
      </c>
      <c r="R11169" t="s">
        <v>23</v>
      </c>
      <c r="S11169" s="1" t="s">
        <v>34218</v>
      </c>
    </row>
    <row r="11170" spans="1:19" x14ac:dyDescent="0.25">
      <c r="A11170">
        <v>101215369</v>
      </c>
      <c r="B11170" t="s">
        <v>812</v>
      </c>
      <c r="C11170" t="s">
        <v>77</v>
      </c>
      <c r="F11170" t="str">
        <f>"6106689361"</f>
        <v>6106689361</v>
      </c>
      <c r="G11170" t="s">
        <v>24912</v>
      </c>
      <c r="H11170" t="s">
        <v>1835</v>
      </c>
      <c r="I11170" t="s">
        <v>33</v>
      </c>
      <c r="J11170">
        <v>19087</v>
      </c>
      <c r="K11170">
        <v>4736</v>
      </c>
      <c r="L11170" t="s">
        <v>23</v>
      </c>
      <c r="M11170" t="s">
        <v>24912</v>
      </c>
      <c r="N11170" t="s">
        <v>1835</v>
      </c>
      <c r="O11170" t="s">
        <v>33</v>
      </c>
      <c r="P11170">
        <v>19087</v>
      </c>
      <c r="Q11170">
        <v>4736</v>
      </c>
      <c r="R11170" t="s">
        <v>23</v>
      </c>
      <c r="S11170" s="1" t="s">
        <v>34218</v>
      </c>
    </row>
    <row r="11171" spans="1:19" x14ac:dyDescent="0.25">
      <c r="A11171">
        <v>101470220</v>
      </c>
      <c r="B11171" t="s">
        <v>24913</v>
      </c>
      <c r="C11171" t="s">
        <v>600</v>
      </c>
      <c r="G11171" t="s">
        <v>24914</v>
      </c>
      <c r="H11171" t="s">
        <v>2313</v>
      </c>
      <c r="I11171" t="s">
        <v>639</v>
      </c>
      <c r="J11171">
        <v>87124</v>
      </c>
      <c r="K11171">
        <v>2002</v>
      </c>
      <c r="L11171" t="s">
        <v>23</v>
      </c>
      <c r="M11171" t="s">
        <v>24914</v>
      </c>
      <c r="N11171" t="s">
        <v>2313</v>
      </c>
      <c r="O11171" t="s">
        <v>639</v>
      </c>
      <c r="P11171">
        <v>87124</v>
      </c>
      <c r="Q11171">
        <v>2002</v>
      </c>
      <c r="R11171" t="s">
        <v>23</v>
      </c>
      <c r="S11171" s="1" t="s">
        <v>34218</v>
      </c>
    </row>
    <row r="11172" spans="1:19" x14ac:dyDescent="0.25">
      <c r="A11172">
        <v>101470224</v>
      </c>
      <c r="B11172" t="s">
        <v>24915</v>
      </c>
      <c r="C11172" t="s">
        <v>24916</v>
      </c>
      <c r="G11172" t="s">
        <v>24917</v>
      </c>
      <c r="H11172" t="s">
        <v>24918</v>
      </c>
      <c r="I11172" t="s">
        <v>52</v>
      </c>
      <c r="J11172">
        <v>33852</v>
      </c>
      <c r="K11172">
        <v>5235</v>
      </c>
      <c r="L11172" t="s">
        <v>23</v>
      </c>
      <c r="M11172" t="s">
        <v>24917</v>
      </c>
      <c r="N11172" t="s">
        <v>24918</v>
      </c>
      <c r="O11172" t="s">
        <v>52</v>
      </c>
      <c r="P11172">
        <v>33852</v>
      </c>
      <c r="Q11172">
        <v>5235</v>
      </c>
      <c r="R11172" t="s">
        <v>23</v>
      </c>
      <c r="S11172" s="1" t="s">
        <v>34218</v>
      </c>
    </row>
    <row r="11173" spans="1:19" x14ac:dyDescent="0.25">
      <c r="A11173">
        <v>101432953</v>
      </c>
      <c r="B11173" t="s">
        <v>24919</v>
      </c>
      <c r="C11173" t="s">
        <v>329</v>
      </c>
      <c r="G11173" t="s">
        <v>24920</v>
      </c>
      <c r="H11173" t="s">
        <v>24921</v>
      </c>
      <c r="I11173" t="s">
        <v>161</v>
      </c>
      <c r="J11173">
        <v>6118</v>
      </c>
      <c r="K11173">
        <v>1007</v>
      </c>
      <c r="L11173" t="s">
        <v>23</v>
      </c>
      <c r="M11173" t="s">
        <v>24920</v>
      </c>
      <c r="N11173" t="s">
        <v>24921</v>
      </c>
      <c r="O11173" t="s">
        <v>161</v>
      </c>
      <c r="P11173">
        <v>6118</v>
      </c>
      <c r="Q11173">
        <v>1007</v>
      </c>
      <c r="R11173" t="s">
        <v>23</v>
      </c>
      <c r="S11173" s="1" t="s">
        <v>34218</v>
      </c>
    </row>
    <row r="11174" spans="1:19" x14ac:dyDescent="0.25">
      <c r="A11174">
        <v>101466246</v>
      </c>
      <c r="B11174" t="s">
        <v>9108</v>
      </c>
      <c r="C11174" t="s">
        <v>644</v>
      </c>
      <c r="G11174" t="s">
        <v>24922</v>
      </c>
      <c r="H11174" t="s">
        <v>24923</v>
      </c>
      <c r="I11174" t="s">
        <v>117</v>
      </c>
      <c r="J11174">
        <v>11740</v>
      </c>
      <c r="K11174">
        <v>2133</v>
      </c>
      <c r="L11174" t="s">
        <v>23</v>
      </c>
      <c r="M11174" t="s">
        <v>24922</v>
      </c>
      <c r="N11174" t="s">
        <v>24923</v>
      </c>
      <c r="O11174" t="s">
        <v>117</v>
      </c>
      <c r="P11174">
        <v>11740</v>
      </c>
      <c r="Q11174">
        <v>2133</v>
      </c>
      <c r="R11174" t="s">
        <v>23</v>
      </c>
      <c r="S11174" s="1" t="s">
        <v>34218</v>
      </c>
    </row>
    <row r="11175" spans="1:19" x14ac:dyDescent="0.25">
      <c r="A11175">
        <v>100995819</v>
      </c>
      <c r="B11175" t="s">
        <v>24924</v>
      </c>
      <c r="C11175" t="s">
        <v>2653</v>
      </c>
      <c r="G11175" t="s">
        <v>24925</v>
      </c>
      <c r="H11175" t="s">
        <v>9229</v>
      </c>
      <c r="I11175" t="s">
        <v>52</v>
      </c>
      <c r="J11175">
        <v>33919</v>
      </c>
      <c r="K11175">
        <v>6714</v>
      </c>
      <c r="L11175" t="s">
        <v>23</v>
      </c>
      <c r="M11175" t="s">
        <v>24925</v>
      </c>
      <c r="N11175" t="s">
        <v>9229</v>
      </c>
      <c r="O11175" t="s">
        <v>52</v>
      </c>
      <c r="P11175">
        <v>33919</v>
      </c>
      <c r="Q11175">
        <v>6714</v>
      </c>
      <c r="R11175" t="s">
        <v>23</v>
      </c>
      <c r="S11175" s="1" t="s">
        <v>34218</v>
      </c>
    </row>
    <row r="11176" spans="1:19" x14ac:dyDescent="0.25">
      <c r="A11176">
        <v>100661455</v>
      </c>
      <c r="B11176" t="s">
        <v>2385</v>
      </c>
      <c r="C11176" t="s">
        <v>874</v>
      </c>
      <c r="G11176" t="s">
        <v>24926</v>
      </c>
      <c r="H11176" t="s">
        <v>7886</v>
      </c>
      <c r="I11176" t="s">
        <v>33</v>
      </c>
      <c r="J11176">
        <v>17501</v>
      </c>
      <c r="K11176">
        <v>1459</v>
      </c>
      <c r="L11176" t="s">
        <v>23</v>
      </c>
      <c r="M11176" t="s">
        <v>24926</v>
      </c>
      <c r="N11176" t="s">
        <v>7886</v>
      </c>
      <c r="O11176" t="s">
        <v>33</v>
      </c>
      <c r="P11176">
        <v>17501</v>
      </c>
      <c r="Q11176">
        <v>1459</v>
      </c>
      <c r="R11176" t="s">
        <v>23</v>
      </c>
      <c r="S11176" s="1" t="s">
        <v>34218</v>
      </c>
    </row>
    <row r="11177" spans="1:19" x14ac:dyDescent="0.25">
      <c r="A11177">
        <v>101479751</v>
      </c>
      <c r="B11177" t="s">
        <v>24927</v>
      </c>
      <c r="C11177" t="s">
        <v>440</v>
      </c>
      <c r="G11177" t="s">
        <v>24928</v>
      </c>
      <c r="H11177" t="s">
        <v>1400</v>
      </c>
      <c r="I11177" t="s">
        <v>22</v>
      </c>
      <c r="J11177">
        <v>93312</v>
      </c>
      <c r="K11177">
        <v>5144</v>
      </c>
      <c r="L11177" t="s">
        <v>23</v>
      </c>
      <c r="M11177" t="s">
        <v>24928</v>
      </c>
      <c r="N11177" t="s">
        <v>1400</v>
      </c>
      <c r="O11177" t="s">
        <v>22</v>
      </c>
      <c r="P11177">
        <v>93312</v>
      </c>
      <c r="Q11177">
        <v>5144</v>
      </c>
      <c r="R11177" t="s">
        <v>23</v>
      </c>
      <c r="S11177" s="1" t="s">
        <v>34218</v>
      </c>
    </row>
    <row r="11178" spans="1:19" x14ac:dyDescent="0.25">
      <c r="A11178">
        <v>101479902</v>
      </c>
      <c r="B11178" t="s">
        <v>2656</v>
      </c>
      <c r="C11178" t="s">
        <v>9360</v>
      </c>
      <c r="G11178" t="s">
        <v>24929</v>
      </c>
      <c r="H11178" t="s">
        <v>24930</v>
      </c>
      <c r="I11178" t="s">
        <v>187</v>
      </c>
      <c r="J11178">
        <v>55955</v>
      </c>
      <c r="K11178">
        <v>7044</v>
      </c>
      <c r="L11178" t="s">
        <v>23</v>
      </c>
      <c r="M11178" t="s">
        <v>24929</v>
      </c>
      <c r="N11178" t="s">
        <v>24930</v>
      </c>
      <c r="O11178" t="s">
        <v>187</v>
      </c>
      <c r="P11178">
        <v>55955</v>
      </c>
      <c r="Q11178">
        <v>7044</v>
      </c>
      <c r="R11178" t="s">
        <v>23</v>
      </c>
      <c r="S11178" s="1" t="s">
        <v>34218</v>
      </c>
    </row>
    <row r="11179" spans="1:19" x14ac:dyDescent="0.25">
      <c r="A11179">
        <v>101479955</v>
      </c>
      <c r="B11179" t="s">
        <v>24931</v>
      </c>
      <c r="C11179" t="s">
        <v>102</v>
      </c>
      <c r="G11179" t="s">
        <v>24932</v>
      </c>
      <c r="H11179" t="s">
        <v>3876</v>
      </c>
      <c r="I11179" t="s">
        <v>22</v>
      </c>
      <c r="J11179">
        <v>91406</v>
      </c>
      <c r="K11179">
        <v>4636</v>
      </c>
      <c r="L11179" t="s">
        <v>23</v>
      </c>
      <c r="M11179" t="s">
        <v>24932</v>
      </c>
      <c r="N11179" t="s">
        <v>3876</v>
      </c>
      <c r="O11179" t="s">
        <v>22</v>
      </c>
      <c r="P11179">
        <v>91406</v>
      </c>
      <c r="Q11179">
        <v>4636</v>
      </c>
      <c r="R11179" t="s">
        <v>23</v>
      </c>
      <c r="S11179" s="1" t="s">
        <v>34218</v>
      </c>
    </row>
    <row r="11180" spans="1:19" x14ac:dyDescent="0.25">
      <c r="A11180">
        <v>101479970</v>
      </c>
      <c r="B11180" t="s">
        <v>12139</v>
      </c>
      <c r="C11180" t="s">
        <v>24933</v>
      </c>
      <c r="G11180" t="s">
        <v>24934</v>
      </c>
      <c r="H11180" t="s">
        <v>15539</v>
      </c>
      <c r="I11180" t="s">
        <v>22</v>
      </c>
      <c r="J11180">
        <v>91709</v>
      </c>
      <c r="K11180">
        <v>2445</v>
      </c>
      <c r="L11180" t="s">
        <v>23</v>
      </c>
      <c r="M11180" t="s">
        <v>24934</v>
      </c>
      <c r="N11180" t="s">
        <v>15539</v>
      </c>
      <c r="O11180" t="s">
        <v>22</v>
      </c>
      <c r="P11180">
        <v>91709</v>
      </c>
      <c r="Q11180">
        <v>2445</v>
      </c>
      <c r="R11180" t="s">
        <v>23</v>
      </c>
      <c r="S11180" s="1" t="s">
        <v>34218</v>
      </c>
    </row>
    <row r="11181" spans="1:19" x14ac:dyDescent="0.25">
      <c r="A11181">
        <v>101481166</v>
      </c>
      <c r="B11181" t="s">
        <v>24935</v>
      </c>
      <c r="C11181" t="s">
        <v>13278</v>
      </c>
      <c r="G11181" t="s">
        <v>24936</v>
      </c>
      <c r="H11181" t="s">
        <v>3680</v>
      </c>
      <c r="I11181" t="s">
        <v>161</v>
      </c>
      <c r="J11181">
        <v>6825</v>
      </c>
      <c r="K11181">
        <v>4403</v>
      </c>
      <c r="L11181" t="s">
        <v>23</v>
      </c>
      <c r="M11181" t="s">
        <v>24936</v>
      </c>
      <c r="N11181" t="s">
        <v>3680</v>
      </c>
      <c r="O11181" t="s">
        <v>161</v>
      </c>
      <c r="P11181">
        <v>6825</v>
      </c>
      <c r="Q11181">
        <v>4403</v>
      </c>
      <c r="R11181" t="s">
        <v>23</v>
      </c>
      <c r="S11181" s="1" t="s">
        <v>34218</v>
      </c>
    </row>
    <row r="11182" spans="1:19" x14ac:dyDescent="0.25">
      <c r="A11182">
        <v>101471238</v>
      </c>
      <c r="B11182" t="s">
        <v>6179</v>
      </c>
      <c r="C11182" t="s">
        <v>2741</v>
      </c>
      <c r="G11182" t="s">
        <v>24937</v>
      </c>
      <c r="H11182" t="s">
        <v>9016</v>
      </c>
      <c r="I11182" t="s">
        <v>84</v>
      </c>
      <c r="J11182">
        <v>98027</v>
      </c>
      <c r="K11182">
        <v>2960</v>
      </c>
      <c r="L11182" t="s">
        <v>23</v>
      </c>
      <c r="M11182" t="s">
        <v>24937</v>
      </c>
      <c r="N11182" t="s">
        <v>9016</v>
      </c>
      <c r="O11182" t="s">
        <v>84</v>
      </c>
      <c r="P11182">
        <v>98027</v>
      </c>
      <c r="Q11182">
        <v>2960</v>
      </c>
      <c r="R11182" t="s">
        <v>23</v>
      </c>
      <c r="S11182" s="1" t="s">
        <v>34218</v>
      </c>
    </row>
    <row r="11183" spans="1:19" x14ac:dyDescent="0.25">
      <c r="A11183">
        <v>101474731</v>
      </c>
      <c r="B11183" t="s">
        <v>24938</v>
      </c>
      <c r="C11183" t="s">
        <v>15768</v>
      </c>
      <c r="G11183" t="s">
        <v>24939</v>
      </c>
      <c r="H11183" t="s">
        <v>2319</v>
      </c>
      <c r="I11183" t="s">
        <v>117</v>
      </c>
      <c r="J11183">
        <v>10314</v>
      </c>
      <c r="K11183">
        <v>5042</v>
      </c>
      <c r="L11183" t="s">
        <v>23</v>
      </c>
      <c r="M11183" t="s">
        <v>24939</v>
      </c>
      <c r="N11183" t="s">
        <v>2319</v>
      </c>
      <c r="O11183" t="s">
        <v>117</v>
      </c>
      <c r="P11183">
        <v>10314</v>
      </c>
      <c r="Q11183">
        <v>5042</v>
      </c>
      <c r="R11183" t="s">
        <v>23</v>
      </c>
      <c r="S11183" s="1" t="s">
        <v>34218</v>
      </c>
    </row>
    <row r="11184" spans="1:19" x14ac:dyDescent="0.25">
      <c r="A11184">
        <v>101474914</v>
      </c>
      <c r="B11184" t="s">
        <v>24940</v>
      </c>
      <c r="C11184" t="s">
        <v>24941</v>
      </c>
      <c r="G11184" t="s">
        <v>24942</v>
      </c>
      <c r="H11184" t="s">
        <v>2129</v>
      </c>
      <c r="I11184" t="s">
        <v>52</v>
      </c>
      <c r="J11184">
        <v>33319</v>
      </c>
      <c r="K11184">
        <v>4902</v>
      </c>
      <c r="L11184" t="s">
        <v>23</v>
      </c>
      <c r="M11184" t="s">
        <v>24942</v>
      </c>
      <c r="N11184" t="s">
        <v>2129</v>
      </c>
      <c r="O11184" t="s">
        <v>52</v>
      </c>
      <c r="P11184">
        <v>33319</v>
      </c>
      <c r="Q11184">
        <v>4902</v>
      </c>
      <c r="R11184" t="s">
        <v>23</v>
      </c>
      <c r="S11184" s="1" t="s">
        <v>34218</v>
      </c>
    </row>
    <row r="11185" spans="1:19" x14ac:dyDescent="0.25">
      <c r="A11185">
        <v>101480052</v>
      </c>
      <c r="B11185" t="s">
        <v>6289</v>
      </c>
      <c r="C11185" t="s">
        <v>1124</v>
      </c>
      <c r="G11185" t="s">
        <v>24943</v>
      </c>
      <c r="H11185" t="s">
        <v>198</v>
      </c>
      <c r="I11185" t="s">
        <v>22</v>
      </c>
      <c r="J11185">
        <v>92103</v>
      </c>
      <c r="K11185">
        <v>4713</v>
      </c>
      <c r="L11185" t="s">
        <v>23</v>
      </c>
      <c r="M11185" t="s">
        <v>24943</v>
      </c>
      <c r="N11185" t="s">
        <v>198</v>
      </c>
      <c r="O11185" t="s">
        <v>22</v>
      </c>
      <c r="P11185">
        <v>92103</v>
      </c>
      <c r="Q11185">
        <v>4713</v>
      </c>
      <c r="R11185" t="s">
        <v>23</v>
      </c>
      <c r="S11185" s="1" t="s">
        <v>34218</v>
      </c>
    </row>
    <row r="11186" spans="1:19" x14ac:dyDescent="0.25">
      <c r="A11186">
        <v>101480119</v>
      </c>
      <c r="B11186" t="s">
        <v>24944</v>
      </c>
      <c r="C11186" t="s">
        <v>1382</v>
      </c>
      <c r="G11186" t="s">
        <v>24945</v>
      </c>
      <c r="H11186" t="s">
        <v>14267</v>
      </c>
      <c r="I11186" t="s">
        <v>84</v>
      </c>
      <c r="J11186">
        <v>99337</v>
      </c>
      <c r="K11186">
        <v>4614</v>
      </c>
      <c r="L11186" t="s">
        <v>23</v>
      </c>
      <c r="M11186" t="s">
        <v>24945</v>
      </c>
      <c r="N11186" t="s">
        <v>14267</v>
      </c>
      <c r="O11186" t="s">
        <v>84</v>
      </c>
      <c r="P11186">
        <v>99337</v>
      </c>
      <c r="Q11186">
        <v>4614</v>
      </c>
      <c r="R11186" t="s">
        <v>23</v>
      </c>
      <c r="S11186" s="1" t="s">
        <v>34218</v>
      </c>
    </row>
    <row r="11187" spans="1:19" x14ac:dyDescent="0.25">
      <c r="A11187">
        <v>101480308</v>
      </c>
      <c r="B11187" t="s">
        <v>3956</v>
      </c>
      <c r="C11187" t="s">
        <v>30</v>
      </c>
      <c r="G11187" t="s">
        <v>24946</v>
      </c>
      <c r="H11187" t="s">
        <v>9689</v>
      </c>
      <c r="I11187" t="s">
        <v>84</v>
      </c>
      <c r="J11187">
        <v>98249</v>
      </c>
      <c r="K11187">
        <v>9725</v>
      </c>
      <c r="L11187" t="s">
        <v>23</v>
      </c>
      <c r="M11187" t="s">
        <v>24946</v>
      </c>
      <c r="N11187" t="s">
        <v>9689</v>
      </c>
      <c r="O11187" t="s">
        <v>84</v>
      </c>
      <c r="P11187">
        <v>98249</v>
      </c>
      <c r="Q11187">
        <v>9725</v>
      </c>
      <c r="R11187" t="s">
        <v>23</v>
      </c>
      <c r="S11187" s="1" t="s">
        <v>34218</v>
      </c>
    </row>
    <row r="11188" spans="1:19" x14ac:dyDescent="0.25">
      <c r="A11188">
        <v>101319905</v>
      </c>
      <c r="B11188" t="s">
        <v>1049</v>
      </c>
      <c r="C11188" t="s">
        <v>24947</v>
      </c>
      <c r="G11188" t="s">
        <v>24948</v>
      </c>
      <c r="H11188" t="s">
        <v>1531</v>
      </c>
      <c r="I11188" t="s">
        <v>84</v>
      </c>
      <c r="J11188">
        <v>98116</v>
      </c>
      <c r="K11188">
        <v>2074</v>
      </c>
      <c r="L11188" t="s">
        <v>23</v>
      </c>
      <c r="M11188" t="s">
        <v>24948</v>
      </c>
      <c r="N11188" t="s">
        <v>1531</v>
      </c>
      <c r="O11188" t="s">
        <v>84</v>
      </c>
      <c r="P11188">
        <v>98116</v>
      </c>
      <c r="Q11188">
        <v>2074</v>
      </c>
      <c r="R11188" t="s">
        <v>23</v>
      </c>
      <c r="S11188" s="1" t="s">
        <v>34218</v>
      </c>
    </row>
    <row r="11189" spans="1:19" x14ac:dyDescent="0.25">
      <c r="A11189">
        <v>101321309</v>
      </c>
      <c r="B11189" t="s">
        <v>3921</v>
      </c>
      <c r="C11189" t="s">
        <v>155</v>
      </c>
      <c r="G11189" t="s">
        <v>24949</v>
      </c>
      <c r="H11189" t="s">
        <v>3363</v>
      </c>
      <c r="I11189" t="s">
        <v>33</v>
      </c>
      <c r="J11189">
        <v>15217</v>
      </c>
      <c r="K11189">
        <v>1919</v>
      </c>
      <c r="L11189" t="s">
        <v>23</v>
      </c>
      <c r="M11189" t="s">
        <v>24949</v>
      </c>
      <c r="N11189" t="s">
        <v>3363</v>
      </c>
      <c r="O11189" t="s">
        <v>33</v>
      </c>
      <c r="P11189">
        <v>15217</v>
      </c>
      <c r="Q11189">
        <v>1919</v>
      </c>
      <c r="R11189" t="s">
        <v>23</v>
      </c>
      <c r="S11189" s="1" t="s">
        <v>34218</v>
      </c>
    </row>
    <row r="11190" spans="1:19" x14ac:dyDescent="0.25">
      <c r="A11190">
        <v>101379675</v>
      </c>
      <c r="B11190" t="s">
        <v>24950</v>
      </c>
      <c r="C11190" t="s">
        <v>1241</v>
      </c>
      <c r="G11190" t="s">
        <v>24951</v>
      </c>
      <c r="H11190" t="s">
        <v>481</v>
      </c>
      <c r="I11190" t="s">
        <v>22</v>
      </c>
      <c r="J11190">
        <v>95138</v>
      </c>
      <c r="L11190" t="s">
        <v>23</v>
      </c>
      <c r="M11190" t="s">
        <v>24951</v>
      </c>
      <c r="N11190" t="s">
        <v>481</v>
      </c>
      <c r="O11190" t="s">
        <v>22</v>
      </c>
      <c r="P11190">
        <v>95138</v>
      </c>
      <c r="R11190" t="s">
        <v>23</v>
      </c>
      <c r="S11190" s="1" t="s">
        <v>34218</v>
      </c>
    </row>
    <row r="11191" spans="1:19" x14ac:dyDescent="0.25">
      <c r="A11191">
        <v>101431789</v>
      </c>
      <c r="B11191" t="s">
        <v>3629</v>
      </c>
      <c r="C11191" t="s">
        <v>3460</v>
      </c>
      <c r="G11191" t="s">
        <v>24952</v>
      </c>
      <c r="H11191" t="s">
        <v>1105</v>
      </c>
      <c r="I11191" t="s">
        <v>117</v>
      </c>
      <c r="J11191">
        <v>10458</v>
      </c>
      <c r="K11191">
        <v>1902</v>
      </c>
      <c r="L11191" t="s">
        <v>23</v>
      </c>
      <c r="M11191" t="s">
        <v>24952</v>
      </c>
      <c r="N11191" t="s">
        <v>1105</v>
      </c>
      <c r="O11191" t="s">
        <v>117</v>
      </c>
      <c r="P11191">
        <v>10458</v>
      </c>
      <c r="Q11191">
        <v>1902</v>
      </c>
      <c r="R11191" t="s">
        <v>23</v>
      </c>
      <c r="S11191" s="1" t="s">
        <v>34218</v>
      </c>
    </row>
    <row r="11192" spans="1:19" x14ac:dyDescent="0.25">
      <c r="A11192">
        <v>101471602</v>
      </c>
      <c r="B11192" t="s">
        <v>3857</v>
      </c>
      <c r="C11192" t="s">
        <v>763</v>
      </c>
      <c r="G11192" t="s">
        <v>24953</v>
      </c>
      <c r="H11192" t="s">
        <v>12736</v>
      </c>
      <c r="I11192" t="s">
        <v>38</v>
      </c>
      <c r="J11192">
        <v>75032</v>
      </c>
      <c r="K11192">
        <v>6406</v>
      </c>
      <c r="L11192" t="s">
        <v>23</v>
      </c>
      <c r="M11192" t="s">
        <v>24953</v>
      </c>
      <c r="N11192" t="s">
        <v>12736</v>
      </c>
      <c r="O11192" t="s">
        <v>38</v>
      </c>
      <c r="P11192">
        <v>75032</v>
      </c>
      <c r="Q11192">
        <v>6406</v>
      </c>
      <c r="R11192" t="s">
        <v>23</v>
      </c>
      <c r="S11192" s="1" t="s">
        <v>34218</v>
      </c>
    </row>
    <row r="11193" spans="1:19" x14ac:dyDescent="0.25">
      <c r="A11193">
        <v>101453114</v>
      </c>
      <c r="B11193" t="s">
        <v>5151</v>
      </c>
      <c r="C11193" t="s">
        <v>102</v>
      </c>
      <c r="G11193" t="s">
        <v>24954</v>
      </c>
      <c r="H11193" t="s">
        <v>1748</v>
      </c>
      <c r="I11193" t="s">
        <v>255</v>
      </c>
      <c r="J11193">
        <v>22204</v>
      </c>
      <c r="K11193">
        <v>4926</v>
      </c>
      <c r="L11193" t="s">
        <v>23</v>
      </c>
      <c r="M11193" t="s">
        <v>24954</v>
      </c>
      <c r="N11193" t="s">
        <v>1748</v>
      </c>
      <c r="O11193" t="s">
        <v>255</v>
      </c>
      <c r="P11193">
        <v>22204</v>
      </c>
      <c r="Q11193">
        <v>4926</v>
      </c>
      <c r="R11193" t="s">
        <v>23</v>
      </c>
      <c r="S11193" s="1" t="s">
        <v>34218</v>
      </c>
    </row>
    <row r="11194" spans="1:19" x14ac:dyDescent="0.25">
      <c r="A11194">
        <v>101431016</v>
      </c>
      <c r="B11194" t="s">
        <v>24955</v>
      </c>
      <c r="C11194" t="s">
        <v>2127</v>
      </c>
      <c r="G11194" t="s">
        <v>24956</v>
      </c>
      <c r="H11194" t="s">
        <v>1086</v>
      </c>
      <c r="I11194" t="s">
        <v>446</v>
      </c>
      <c r="J11194">
        <v>28211</v>
      </c>
      <c r="K11194">
        <v>5147</v>
      </c>
      <c r="L11194" t="s">
        <v>23</v>
      </c>
      <c r="M11194" t="s">
        <v>24956</v>
      </c>
      <c r="N11194" t="s">
        <v>1086</v>
      </c>
      <c r="O11194" t="s">
        <v>446</v>
      </c>
      <c r="P11194">
        <v>28211</v>
      </c>
      <c r="Q11194">
        <v>5147</v>
      </c>
      <c r="R11194" t="s">
        <v>23</v>
      </c>
      <c r="S11194" s="1" t="s">
        <v>34218</v>
      </c>
    </row>
    <row r="11195" spans="1:19" x14ac:dyDescent="0.25">
      <c r="A11195">
        <v>101454020</v>
      </c>
      <c r="B11195" t="s">
        <v>24957</v>
      </c>
      <c r="C11195" t="s">
        <v>281</v>
      </c>
      <c r="F11195" t="str">
        <f>"4104657025"</f>
        <v>4104657025</v>
      </c>
      <c r="G11195" t="s">
        <v>24958</v>
      </c>
      <c r="H11195" t="s">
        <v>5732</v>
      </c>
      <c r="I11195" t="s">
        <v>148</v>
      </c>
      <c r="J11195">
        <v>21043</v>
      </c>
      <c r="K11195">
        <v>1968</v>
      </c>
      <c r="L11195" t="s">
        <v>23</v>
      </c>
      <c r="M11195" t="s">
        <v>24958</v>
      </c>
      <c r="N11195" t="s">
        <v>5732</v>
      </c>
      <c r="O11195" t="s">
        <v>148</v>
      </c>
      <c r="P11195">
        <v>21043</v>
      </c>
      <c r="Q11195">
        <v>1968</v>
      </c>
      <c r="R11195" t="s">
        <v>23</v>
      </c>
      <c r="S11195" s="1" t="s">
        <v>34218</v>
      </c>
    </row>
    <row r="11196" spans="1:19" x14ac:dyDescent="0.25">
      <c r="A11196">
        <v>101221589</v>
      </c>
      <c r="B11196" t="s">
        <v>1164</v>
      </c>
      <c r="C11196" t="s">
        <v>8613</v>
      </c>
      <c r="G11196" t="s">
        <v>24959</v>
      </c>
      <c r="H11196" t="s">
        <v>3211</v>
      </c>
      <c r="I11196" t="s">
        <v>250</v>
      </c>
      <c r="J11196">
        <v>7960</v>
      </c>
      <c r="K11196">
        <v>6771</v>
      </c>
      <c r="L11196" t="s">
        <v>23</v>
      </c>
      <c r="M11196" t="s">
        <v>24959</v>
      </c>
      <c r="N11196" t="s">
        <v>3211</v>
      </c>
      <c r="O11196" t="s">
        <v>250</v>
      </c>
      <c r="P11196">
        <v>7960</v>
      </c>
      <c r="Q11196">
        <v>6771</v>
      </c>
      <c r="R11196" t="s">
        <v>23</v>
      </c>
      <c r="S11196" s="1" t="s">
        <v>34218</v>
      </c>
    </row>
    <row r="11197" spans="1:19" x14ac:dyDescent="0.25">
      <c r="A11197">
        <v>100519681</v>
      </c>
      <c r="B11197" t="s">
        <v>24960</v>
      </c>
      <c r="C11197" t="s">
        <v>1208</v>
      </c>
      <c r="G11197" t="s">
        <v>24961</v>
      </c>
      <c r="H11197" t="s">
        <v>83</v>
      </c>
      <c r="I11197" t="s">
        <v>84</v>
      </c>
      <c r="J11197">
        <v>98221</v>
      </c>
      <c r="K11197">
        <v>8783</v>
      </c>
      <c r="L11197" t="s">
        <v>23</v>
      </c>
      <c r="M11197" t="s">
        <v>24961</v>
      </c>
      <c r="N11197" t="s">
        <v>83</v>
      </c>
      <c r="O11197" t="s">
        <v>84</v>
      </c>
      <c r="P11197">
        <v>98221</v>
      </c>
      <c r="Q11197">
        <v>8783</v>
      </c>
      <c r="R11197" t="s">
        <v>23</v>
      </c>
      <c r="S11197" s="1" t="s">
        <v>34218</v>
      </c>
    </row>
    <row r="11198" spans="1:19" x14ac:dyDescent="0.25">
      <c r="A11198">
        <v>100812088</v>
      </c>
      <c r="B11198" t="s">
        <v>24962</v>
      </c>
      <c r="C11198" t="s">
        <v>1773</v>
      </c>
      <c r="F11198" t="str">
        <f>"3524450000"</f>
        <v>3524450000</v>
      </c>
      <c r="G11198" t="s">
        <v>24963</v>
      </c>
      <c r="H11198" t="s">
        <v>1250</v>
      </c>
      <c r="I11198" t="s">
        <v>52</v>
      </c>
      <c r="J11198">
        <v>34481</v>
      </c>
      <c r="K11198">
        <v>9112</v>
      </c>
      <c r="L11198" t="s">
        <v>23</v>
      </c>
      <c r="M11198" t="s">
        <v>24963</v>
      </c>
      <c r="N11198" t="s">
        <v>1250</v>
      </c>
      <c r="O11198" t="s">
        <v>52</v>
      </c>
      <c r="P11198">
        <v>34481</v>
      </c>
      <c r="Q11198">
        <v>9112</v>
      </c>
      <c r="R11198" t="s">
        <v>23</v>
      </c>
      <c r="S11198" s="1" t="s">
        <v>34218</v>
      </c>
    </row>
    <row r="11199" spans="1:19" x14ac:dyDescent="0.25">
      <c r="A11199">
        <v>101372393</v>
      </c>
      <c r="B11199" t="s">
        <v>24964</v>
      </c>
      <c r="C11199" t="s">
        <v>2642</v>
      </c>
      <c r="G11199" t="s">
        <v>23514</v>
      </c>
      <c r="H11199" t="s">
        <v>4953</v>
      </c>
      <c r="I11199" t="s">
        <v>2566</v>
      </c>
      <c r="J11199">
        <v>99801</v>
      </c>
      <c r="K11199">
        <v>9999</v>
      </c>
      <c r="L11199" t="s">
        <v>23</v>
      </c>
      <c r="M11199" t="s">
        <v>23514</v>
      </c>
      <c r="N11199" t="s">
        <v>4953</v>
      </c>
      <c r="O11199" t="s">
        <v>2566</v>
      </c>
      <c r="P11199">
        <v>99801</v>
      </c>
      <c r="Q11199">
        <v>9999</v>
      </c>
      <c r="R11199" t="s">
        <v>23</v>
      </c>
      <c r="S11199" s="1" t="s">
        <v>34218</v>
      </c>
    </row>
    <row r="11200" spans="1:19" x14ac:dyDescent="0.25">
      <c r="A11200">
        <v>101450329</v>
      </c>
      <c r="B11200" t="s">
        <v>11178</v>
      </c>
      <c r="C11200" t="s">
        <v>24965</v>
      </c>
      <c r="G11200" t="s">
        <v>24966</v>
      </c>
      <c r="H11200" t="s">
        <v>682</v>
      </c>
      <c r="I11200" t="s">
        <v>365</v>
      </c>
      <c r="J11200">
        <v>85051</v>
      </c>
      <c r="L11200" t="s">
        <v>23</v>
      </c>
      <c r="M11200" t="s">
        <v>24966</v>
      </c>
      <c r="N11200" t="s">
        <v>682</v>
      </c>
      <c r="O11200" t="s">
        <v>365</v>
      </c>
      <c r="P11200">
        <v>85051</v>
      </c>
      <c r="R11200" t="s">
        <v>23</v>
      </c>
      <c r="S11200" s="1" t="s">
        <v>34218</v>
      </c>
    </row>
    <row r="11201" spans="1:19" x14ac:dyDescent="0.25">
      <c r="A11201">
        <v>100693864</v>
      </c>
      <c r="B11201" t="s">
        <v>24967</v>
      </c>
      <c r="C11201" t="s">
        <v>24968</v>
      </c>
      <c r="G11201" t="s">
        <v>24969</v>
      </c>
      <c r="H11201" t="s">
        <v>10866</v>
      </c>
      <c r="I11201" t="s">
        <v>187</v>
      </c>
      <c r="J11201">
        <v>56001</v>
      </c>
      <c r="K11201">
        <v>5195</v>
      </c>
      <c r="L11201" t="s">
        <v>23</v>
      </c>
      <c r="M11201" t="s">
        <v>24969</v>
      </c>
      <c r="N11201" t="s">
        <v>10866</v>
      </c>
      <c r="O11201" t="s">
        <v>187</v>
      </c>
      <c r="P11201">
        <v>56001</v>
      </c>
      <c r="Q11201">
        <v>5195</v>
      </c>
      <c r="R11201" t="s">
        <v>23</v>
      </c>
      <c r="S11201" s="1" t="s">
        <v>34218</v>
      </c>
    </row>
    <row r="11202" spans="1:19" x14ac:dyDescent="0.25">
      <c r="A11202">
        <v>101166979</v>
      </c>
      <c r="B11202" t="s">
        <v>19790</v>
      </c>
      <c r="C11202" t="s">
        <v>4587</v>
      </c>
      <c r="G11202" t="s">
        <v>24970</v>
      </c>
      <c r="H11202" t="s">
        <v>357</v>
      </c>
      <c r="I11202" t="s">
        <v>255</v>
      </c>
      <c r="J11202" t="s">
        <v>24971</v>
      </c>
      <c r="K11202">
        <v>1741</v>
      </c>
      <c r="L11202" t="s">
        <v>23</v>
      </c>
      <c r="M11202" t="s">
        <v>24970</v>
      </c>
      <c r="N11202" t="s">
        <v>357</v>
      </c>
      <c r="O11202" t="s">
        <v>255</v>
      </c>
      <c r="P11202" t="s">
        <v>24971</v>
      </c>
      <c r="Q11202">
        <v>1741</v>
      </c>
      <c r="R11202" t="s">
        <v>23</v>
      </c>
      <c r="S11202" s="1" t="s">
        <v>34218</v>
      </c>
    </row>
    <row r="11203" spans="1:19" x14ac:dyDescent="0.25">
      <c r="A11203">
        <v>101305991</v>
      </c>
      <c r="B11203" t="s">
        <v>15433</v>
      </c>
      <c r="C11203" t="s">
        <v>880</v>
      </c>
      <c r="G11203" t="s">
        <v>24972</v>
      </c>
      <c r="H11203" t="s">
        <v>8962</v>
      </c>
      <c r="I11203" t="s">
        <v>22</v>
      </c>
      <c r="J11203" t="s">
        <v>24973</v>
      </c>
      <c r="K11203">
        <v>5332</v>
      </c>
      <c r="L11203" t="s">
        <v>23</v>
      </c>
      <c r="M11203" t="s">
        <v>24972</v>
      </c>
      <c r="N11203" t="s">
        <v>8962</v>
      </c>
      <c r="O11203" t="s">
        <v>22</v>
      </c>
      <c r="P11203" t="s">
        <v>24973</v>
      </c>
      <c r="Q11203">
        <v>5332</v>
      </c>
      <c r="R11203" t="s">
        <v>23</v>
      </c>
      <c r="S11203" s="1" t="s">
        <v>34218</v>
      </c>
    </row>
    <row r="11204" spans="1:19" x14ac:dyDescent="0.25">
      <c r="A11204">
        <v>101311527</v>
      </c>
      <c r="B11204" t="s">
        <v>24974</v>
      </c>
      <c r="C11204" t="s">
        <v>1205</v>
      </c>
      <c r="G11204" t="s">
        <v>24975</v>
      </c>
      <c r="H11204" t="s">
        <v>23524</v>
      </c>
      <c r="I11204" t="s">
        <v>84</v>
      </c>
      <c r="J11204" t="s">
        <v>24976</v>
      </c>
      <c r="K11204">
        <v>9210</v>
      </c>
      <c r="L11204" t="s">
        <v>23</v>
      </c>
      <c r="M11204" t="s">
        <v>24975</v>
      </c>
      <c r="N11204" t="s">
        <v>23524</v>
      </c>
      <c r="O11204" t="s">
        <v>84</v>
      </c>
      <c r="P11204" t="s">
        <v>24976</v>
      </c>
      <c r="Q11204">
        <v>9210</v>
      </c>
      <c r="R11204" t="s">
        <v>23</v>
      </c>
      <c r="S11204" s="1" t="s">
        <v>34218</v>
      </c>
    </row>
    <row r="11205" spans="1:19" x14ac:dyDescent="0.25">
      <c r="A11205">
        <v>100944464</v>
      </c>
      <c r="B11205" t="s">
        <v>6257</v>
      </c>
      <c r="C11205" t="s">
        <v>2547</v>
      </c>
      <c r="H11205" t="s">
        <v>1412</v>
      </c>
      <c r="I11205" t="s">
        <v>52</v>
      </c>
      <c r="J11205">
        <v>32184</v>
      </c>
      <c r="L11205" t="s">
        <v>23</v>
      </c>
      <c r="N11205" t="s">
        <v>1412</v>
      </c>
      <c r="O11205" t="s">
        <v>52</v>
      </c>
      <c r="P11205">
        <v>32184</v>
      </c>
      <c r="R11205" t="s">
        <v>23</v>
      </c>
      <c r="S11205" s="1" t="s">
        <v>34218</v>
      </c>
    </row>
    <row r="11206" spans="1:19" x14ac:dyDescent="0.25">
      <c r="A11206">
        <v>100748370</v>
      </c>
      <c r="B11206" t="s">
        <v>24977</v>
      </c>
      <c r="C11206" t="s">
        <v>49</v>
      </c>
      <c r="G11206" t="s">
        <v>24978</v>
      </c>
      <c r="H11206" t="s">
        <v>11112</v>
      </c>
      <c r="I11206" t="s">
        <v>140</v>
      </c>
      <c r="J11206" t="s">
        <v>24979</v>
      </c>
      <c r="K11206">
        <v>1603</v>
      </c>
      <c r="L11206" t="s">
        <v>23</v>
      </c>
      <c r="M11206" t="s">
        <v>24978</v>
      </c>
      <c r="N11206" t="s">
        <v>11112</v>
      </c>
      <c r="O11206" t="s">
        <v>140</v>
      </c>
      <c r="P11206" t="s">
        <v>24979</v>
      </c>
      <c r="Q11206">
        <v>1603</v>
      </c>
      <c r="R11206" t="s">
        <v>23</v>
      </c>
      <c r="S11206" s="1" t="s">
        <v>34218</v>
      </c>
    </row>
    <row r="11207" spans="1:19" x14ac:dyDescent="0.25">
      <c r="A11207">
        <v>101234170</v>
      </c>
      <c r="B11207" t="s">
        <v>24980</v>
      </c>
      <c r="C11207" t="s">
        <v>3017</v>
      </c>
      <c r="G11207" t="s">
        <v>24981</v>
      </c>
      <c r="H11207" t="s">
        <v>264</v>
      </c>
      <c r="I11207" t="s">
        <v>117</v>
      </c>
      <c r="J11207" t="s">
        <v>24982</v>
      </c>
      <c r="K11207">
        <v>2755</v>
      </c>
      <c r="L11207" t="s">
        <v>23</v>
      </c>
      <c r="M11207" t="s">
        <v>24981</v>
      </c>
      <c r="N11207" t="s">
        <v>264</v>
      </c>
      <c r="O11207" t="s">
        <v>117</v>
      </c>
      <c r="P11207" t="s">
        <v>24982</v>
      </c>
      <c r="Q11207">
        <v>2755</v>
      </c>
      <c r="R11207" t="s">
        <v>23</v>
      </c>
      <c r="S11207" s="1" t="s">
        <v>34218</v>
      </c>
    </row>
    <row r="11208" spans="1:19" x14ac:dyDescent="0.25">
      <c r="A11208">
        <v>100942687</v>
      </c>
      <c r="B11208" t="s">
        <v>24983</v>
      </c>
      <c r="C11208" t="s">
        <v>3705</v>
      </c>
      <c r="G11208" t="s">
        <v>24984</v>
      </c>
      <c r="H11208" t="s">
        <v>1857</v>
      </c>
      <c r="I11208" t="s">
        <v>702</v>
      </c>
      <c r="J11208" t="s">
        <v>24985</v>
      </c>
      <c r="K11208">
        <v>3388</v>
      </c>
      <c r="L11208" t="s">
        <v>23</v>
      </c>
      <c r="M11208" t="s">
        <v>24984</v>
      </c>
      <c r="N11208" t="s">
        <v>1857</v>
      </c>
      <c r="O11208" t="s">
        <v>702</v>
      </c>
      <c r="P11208" t="s">
        <v>24985</v>
      </c>
      <c r="Q11208">
        <v>3388</v>
      </c>
      <c r="R11208" t="s">
        <v>23</v>
      </c>
      <c r="S11208" s="1" t="s">
        <v>34218</v>
      </c>
    </row>
    <row r="11209" spans="1:19" x14ac:dyDescent="0.25">
      <c r="A11209">
        <v>101205525</v>
      </c>
      <c r="B11209" t="s">
        <v>24986</v>
      </c>
      <c r="C11209" t="s">
        <v>119</v>
      </c>
      <c r="G11209" t="s">
        <v>24987</v>
      </c>
      <c r="H11209" t="s">
        <v>21</v>
      </c>
      <c r="I11209" t="s">
        <v>22</v>
      </c>
      <c r="J11209" t="s">
        <v>24988</v>
      </c>
      <c r="K11209">
        <v>5512</v>
      </c>
      <c r="L11209" t="s">
        <v>23</v>
      </c>
      <c r="M11209" t="s">
        <v>24987</v>
      </c>
      <c r="N11209" t="s">
        <v>21</v>
      </c>
      <c r="O11209" t="s">
        <v>22</v>
      </c>
      <c r="P11209" t="s">
        <v>24988</v>
      </c>
      <c r="Q11209">
        <v>5512</v>
      </c>
      <c r="R11209" t="s">
        <v>23</v>
      </c>
      <c r="S11209" s="1" t="s">
        <v>34218</v>
      </c>
    </row>
    <row r="11210" spans="1:19" x14ac:dyDescent="0.25">
      <c r="A11210">
        <v>100537702</v>
      </c>
      <c r="B11210" t="s">
        <v>2637</v>
      </c>
      <c r="C11210" t="s">
        <v>543</v>
      </c>
      <c r="F11210" t="str">
        <f>"9703666700"</f>
        <v>9703666700</v>
      </c>
      <c r="G11210" t="s">
        <v>24989</v>
      </c>
      <c r="H11210" t="s">
        <v>24990</v>
      </c>
      <c r="I11210" t="s">
        <v>71</v>
      </c>
      <c r="J11210" t="s">
        <v>24991</v>
      </c>
      <c r="K11210">
        <v>2737</v>
      </c>
      <c r="L11210" t="s">
        <v>23</v>
      </c>
      <c r="M11210" t="s">
        <v>24989</v>
      </c>
      <c r="N11210" t="s">
        <v>24990</v>
      </c>
      <c r="O11210" t="s">
        <v>71</v>
      </c>
      <c r="P11210" t="s">
        <v>24991</v>
      </c>
      <c r="Q11210">
        <v>2737</v>
      </c>
      <c r="R11210" t="s">
        <v>23</v>
      </c>
      <c r="S11210" s="1" t="s">
        <v>34218</v>
      </c>
    </row>
    <row r="11211" spans="1:19" x14ac:dyDescent="0.25">
      <c r="A11211">
        <v>100537007</v>
      </c>
      <c r="B11211" t="s">
        <v>4018</v>
      </c>
      <c r="C11211" t="s">
        <v>3590</v>
      </c>
      <c r="G11211" t="s">
        <v>24992</v>
      </c>
      <c r="H11211" t="s">
        <v>1439</v>
      </c>
      <c r="I11211" t="s">
        <v>365</v>
      </c>
      <c r="J11211">
        <v>85739</v>
      </c>
      <c r="K11211">
        <v>1225</v>
      </c>
      <c r="L11211" t="s">
        <v>23</v>
      </c>
      <c r="M11211" t="s">
        <v>24992</v>
      </c>
      <c r="N11211" t="s">
        <v>1439</v>
      </c>
      <c r="O11211" t="s">
        <v>365</v>
      </c>
      <c r="P11211">
        <v>85739</v>
      </c>
      <c r="Q11211">
        <v>1225</v>
      </c>
      <c r="R11211" t="s">
        <v>23</v>
      </c>
      <c r="S11211" s="1" t="s">
        <v>34218</v>
      </c>
    </row>
    <row r="11212" spans="1:19" x14ac:dyDescent="0.25">
      <c r="A11212">
        <v>101319842</v>
      </c>
      <c r="B11212" t="s">
        <v>24993</v>
      </c>
      <c r="C11212" t="s">
        <v>2329</v>
      </c>
      <c r="G11212" t="s">
        <v>24994</v>
      </c>
      <c r="H11212" t="s">
        <v>24995</v>
      </c>
      <c r="I11212" t="s">
        <v>33</v>
      </c>
      <c r="J11212">
        <v>16046</v>
      </c>
      <c r="K11212">
        <v>730</v>
      </c>
      <c r="L11212" t="s">
        <v>23</v>
      </c>
      <c r="M11212" t="s">
        <v>24994</v>
      </c>
      <c r="N11212" t="s">
        <v>24995</v>
      </c>
      <c r="O11212" t="s">
        <v>33</v>
      </c>
      <c r="P11212">
        <v>16046</v>
      </c>
      <c r="Q11212">
        <v>730</v>
      </c>
      <c r="R11212" t="s">
        <v>23</v>
      </c>
      <c r="S11212" s="1" t="s">
        <v>34218</v>
      </c>
    </row>
    <row r="11213" spans="1:19" x14ac:dyDescent="0.25">
      <c r="A11213">
        <v>101299249</v>
      </c>
      <c r="B11213" t="s">
        <v>24996</v>
      </c>
      <c r="C11213" t="s">
        <v>689</v>
      </c>
      <c r="G11213" t="s">
        <v>24997</v>
      </c>
      <c r="H11213" t="s">
        <v>24998</v>
      </c>
      <c r="I11213" t="s">
        <v>161</v>
      </c>
      <c r="J11213" t="s">
        <v>24999</v>
      </c>
      <c r="K11213">
        <v>4910</v>
      </c>
      <c r="L11213" t="s">
        <v>23</v>
      </c>
      <c r="M11213" t="s">
        <v>24997</v>
      </c>
      <c r="N11213" t="s">
        <v>24998</v>
      </c>
      <c r="O11213" t="s">
        <v>161</v>
      </c>
      <c r="P11213" t="s">
        <v>24999</v>
      </c>
      <c r="Q11213">
        <v>4910</v>
      </c>
      <c r="R11213" t="s">
        <v>23</v>
      </c>
      <c r="S11213" s="1" t="s">
        <v>34218</v>
      </c>
    </row>
    <row r="11214" spans="1:19" x14ac:dyDescent="0.25">
      <c r="A11214">
        <v>101310705</v>
      </c>
      <c r="B11214" t="s">
        <v>25000</v>
      </c>
      <c r="C11214" t="s">
        <v>739</v>
      </c>
      <c r="G11214" t="s">
        <v>25001</v>
      </c>
      <c r="H11214" t="s">
        <v>7920</v>
      </c>
      <c r="I11214" t="s">
        <v>100</v>
      </c>
      <c r="J11214" t="s">
        <v>25002</v>
      </c>
      <c r="K11214">
        <v>1715</v>
      </c>
      <c r="L11214" t="s">
        <v>23</v>
      </c>
      <c r="M11214" t="s">
        <v>25001</v>
      </c>
      <c r="N11214" t="s">
        <v>7920</v>
      </c>
      <c r="O11214" t="s">
        <v>100</v>
      </c>
      <c r="P11214" t="s">
        <v>25002</v>
      </c>
      <c r="Q11214">
        <v>1715</v>
      </c>
      <c r="R11214" t="s">
        <v>23</v>
      </c>
      <c r="S11214" s="1" t="s">
        <v>34218</v>
      </c>
    </row>
    <row r="11215" spans="1:19" x14ac:dyDescent="0.25">
      <c r="A11215">
        <v>100515813</v>
      </c>
      <c r="B11215" t="s">
        <v>1598</v>
      </c>
      <c r="C11215" t="s">
        <v>4140</v>
      </c>
      <c r="G11215" t="s">
        <v>25003</v>
      </c>
      <c r="H11215" t="s">
        <v>682</v>
      </c>
      <c r="I11215" t="s">
        <v>365</v>
      </c>
      <c r="J11215" t="s">
        <v>25004</v>
      </c>
      <c r="K11215">
        <v>7082</v>
      </c>
      <c r="L11215" t="s">
        <v>23</v>
      </c>
      <c r="M11215" t="s">
        <v>25003</v>
      </c>
      <c r="N11215" t="s">
        <v>682</v>
      </c>
      <c r="O11215" t="s">
        <v>365</v>
      </c>
      <c r="P11215" t="s">
        <v>25004</v>
      </c>
      <c r="Q11215">
        <v>7082</v>
      </c>
      <c r="R11215" t="s">
        <v>23</v>
      </c>
      <c r="S11215" s="1" t="s">
        <v>34218</v>
      </c>
    </row>
    <row r="11216" spans="1:19" x14ac:dyDescent="0.25">
      <c r="A11216">
        <v>101274671</v>
      </c>
      <c r="B11216" t="s">
        <v>25005</v>
      </c>
      <c r="C11216" t="s">
        <v>2420</v>
      </c>
      <c r="G11216" t="s">
        <v>25006</v>
      </c>
      <c r="H11216" t="s">
        <v>2208</v>
      </c>
      <c r="I11216" t="s">
        <v>135</v>
      </c>
      <c r="J11216" t="s">
        <v>25007</v>
      </c>
      <c r="K11216">
        <v>8322</v>
      </c>
      <c r="L11216" t="s">
        <v>23</v>
      </c>
      <c r="M11216" t="s">
        <v>25006</v>
      </c>
      <c r="N11216" t="s">
        <v>2208</v>
      </c>
      <c r="O11216" t="s">
        <v>135</v>
      </c>
      <c r="P11216" t="s">
        <v>25007</v>
      </c>
      <c r="Q11216">
        <v>8322</v>
      </c>
      <c r="R11216" t="s">
        <v>23</v>
      </c>
      <c r="S11216" s="1" t="s">
        <v>34218</v>
      </c>
    </row>
    <row r="11217" spans="1:19" x14ac:dyDescent="0.25">
      <c r="A11217">
        <v>100888970</v>
      </c>
      <c r="B11217" t="s">
        <v>10913</v>
      </c>
      <c r="C11217" t="s">
        <v>382</v>
      </c>
      <c r="G11217" t="s">
        <v>25008</v>
      </c>
      <c r="H11217" t="s">
        <v>653</v>
      </c>
      <c r="I11217" t="s">
        <v>117</v>
      </c>
      <c r="J11217" t="s">
        <v>25009</v>
      </c>
      <c r="K11217">
        <v>1935</v>
      </c>
      <c r="L11217" t="s">
        <v>23</v>
      </c>
      <c r="M11217" t="s">
        <v>25008</v>
      </c>
      <c r="N11217" t="s">
        <v>653</v>
      </c>
      <c r="O11217" t="s">
        <v>117</v>
      </c>
      <c r="P11217" t="s">
        <v>25009</v>
      </c>
      <c r="Q11217">
        <v>1935</v>
      </c>
      <c r="R11217" t="s">
        <v>23</v>
      </c>
      <c r="S11217" s="1" t="s">
        <v>34218</v>
      </c>
    </row>
    <row r="11218" spans="1:19" x14ac:dyDescent="0.25">
      <c r="A11218">
        <v>101443502</v>
      </c>
      <c r="B11218" t="s">
        <v>4747</v>
      </c>
      <c r="C11218" t="s">
        <v>11143</v>
      </c>
      <c r="G11218" t="s">
        <v>25010</v>
      </c>
      <c r="H11218" t="s">
        <v>3902</v>
      </c>
      <c r="I11218" t="s">
        <v>22</v>
      </c>
      <c r="J11218" t="s">
        <v>25011</v>
      </c>
      <c r="K11218">
        <v>3050</v>
      </c>
      <c r="L11218" t="s">
        <v>23</v>
      </c>
      <c r="M11218" t="s">
        <v>25010</v>
      </c>
      <c r="N11218" t="s">
        <v>3902</v>
      </c>
      <c r="O11218" t="s">
        <v>22</v>
      </c>
      <c r="P11218" t="s">
        <v>25011</v>
      </c>
      <c r="Q11218">
        <v>3050</v>
      </c>
      <c r="R11218" t="s">
        <v>23</v>
      </c>
      <c r="S11218" s="1" t="s">
        <v>34218</v>
      </c>
    </row>
    <row r="11219" spans="1:19" x14ac:dyDescent="0.25">
      <c r="A11219">
        <v>101443533</v>
      </c>
      <c r="B11219" t="s">
        <v>25012</v>
      </c>
      <c r="C11219" t="s">
        <v>313</v>
      </c>
      <c r="G11219" t="s">
        <v>25013</v>
      </c>
      <c r="H11219" t="s">
        <v>471</v>
      </c>
      <c r="I11219" t="s">
        <v>365</v>
      </c>
      <c r="J11219" t="s">
        <v>25014</v>
      </c>
      <c r="K11219">
        <v>1835</v>
      </c>
      <c r="L11219" t="s">
        <v>23</v>
      </c>
      <c r="M11219" t="s">
        <v>25013</v>
      </c>
      <c r="N11219" t="s">
        <v>471</v>
      </c>
      <c r="O11219" t="s">
        <v>365</v>
      </c>
      <c r="P11219" t="s">
        <v>25014</v>
      </c>
      <c r="Q11219">
        <v>1835</v>
      </c>
      <c r="R11219" t="s">
        <v>23</v>
      </c>
      <c r="S11219" s="1" t="s">
        <v>34218</v>
      </c>
    </row>
    <row r="11220" spans="1:19" x14ac:dyDescent="0.25">
      <c r="A11220">
        <v>101420900</v>
      </c>
      <c r="B11220" t="s">
        <v>25015</v>
      </c>
      <c r="C11220" t="s">
        <v>522</v>
      </c>
      <c r="G11220" t="s">
        <v>25016</v>
      </c>
      <c r="H11220" t="s">
        <v>10093</v>
      </c>
      <c r="I11220" t="s">
        <v>84</v>
      </c>
      <c r="J11220" t="s">
        <v>25017</v>
      </c>
      <c r="K11220">
        <v>7391</v>
      </c>
      <c r="L11220" t="s">
        <v>23</v>
      </c>
      <c r="M11220" t="s">
        <v>25016</v>
      </c>
      <c r="N11220" t="s">
        <v>10093</v>
      </c>
      <c r="O11220" t="s">
        <v>84</v>
      </c>
      <c r="P11220" t="s">
        <v>25017</v>
      </c>
      <c r="Q11220">
        <v>7391</v>
      </c>
      <c r="R11220" t="s">
        <v>23</v>
      </c>
      <c r="S11220" s="1" t="s">
        <v>34218</v>
      </c>
    </row>
    <row r="11221" spans="1:19" x14ac:dyDescent="0.25">
      <c r="A11221">
        <v>101314449</v>
      </c>
      <c r="B11221" t="s">
        <v>25018</v>
      </c>
      <c r="C11221" t="s">
        <v>119</v>
      </c>
      <c r="G11221" t="s">
        <v>25019</v>
      </c>
      <c r="H11221" t="s">
        <v>1863</v>
      </c>
      <c r="I11221" t="s">
        <v>126</v>
      </c>
      <c r="J11221" t="s">
        <v>25020</v>
      </c>
      <c r="K11221">
        <v>1244</v>
      </c>
      <c r="L11221" t="s">
        <v>23</v>
      </c>
      <c r="M11221" t="s">
        <v>25019</v>
      </c>
      <c r="N11221" t="s">
        <v>1863</v>
      </c>
      <c r="O11221" t="s">
        <v>126</v>
      </c>
      <c r="P11221" t="s">
        <v>25020</v>
      </c>
      <c r="Q11221">
        <v>1244</v>
      </c>
      <c r="R11221" t="s">
        <v>23</v>
      </c>
      <c r="S11221" s="1" t="s">
        <v>34218</v>
      </c>
    </row>
    <row r="11222" spans="1:19" x14ac:dyDescent="0.25">
      <c r="A11222">
        <v>101250389</v>
      </c>
      <c r="B11222" t="s">
        <v>3927</v>
      </c>
      <c r="C11222" t="s">
        <v>7884</v>
      </c>
      <c r="G11222" t="s">
        <v>25021</v>
      </c>
      <c r="H11222" t="s">
        <v>5892</v>
      </c>
      <c r="I11222" t="s">
        <v>22</v>
      </c>
      <c r="J11222" t="s">
        <v>25022</v>
      </c>
      <c r="K11222">
        <v>1145</v>
      </c>
      <c r="L11222" t="s">
        <v>23</v>
      </c>
      <c r="M11222" t="s">
        <v>25021</v>
      </c>
      <c r="N11222" t="s">
        <v>5892</v>
      </c>
      <c r="O11222" t="s">
        <v>22</v>
      </c>
      <c r="P11222" t="s">
        <v>25022</v>
      </c>
      <c r="Q11222">
        <v>1145</v>
      </c>
      <c r="R11222" t="s">
        <v>23</v>
      </c>
      <c r="S11222" s="1" t="s">
        <v>34218</v>
      </c>
    </row>
    <row r="11223" spans="1:19" x14ac:dyDescent="0.25">
      <c r="A11223">
        <v>101419883</v>
      </c>
      <c r="B11223" t="s">
        <v>25023</v>
      </c>
      <c r="C11223" t="s">
        <v>90</v>
      </c>
      <c r="G11223" t="s">
        <v>25024</v>
      </c>
      <c r="H11223" t="s">
        <v>13722</v>
      </c>
      <c r="I11223" t="s">
        <v>327</v>
      </c>
      <c r="J11223" t="s">
        <v>25025</v>
      </c>
      <c r="K11223">
        <v>1156</v>
      </c>
      <c r="L11223" t="s">
        <v>23</v>
      </c>
      <c r="M11223" t="s">
        <v>25024</v>
      </c>
      <c r="N11223" t="s">
        <v>13722</v>
      </c>
      <c r="O11223" t="s">
        <v>327</v>
      </c>
      <c r="P11223" t="s">
        <v>25025</v>
      </c>
      <c r="Q11223">
        <v>1156</v>
      </c>
      <c r="R11223" t="s">
        <v>23</v>
      </c>
      <c r="S11223" s="1" t="s">
        <v>34218</v>
      </c>
    </row>
    <row r="11224" spans="1:19" x14ac:dyDescent="0.25">
      <c r="A11224">
        <v>101265978</v>
      </c>
      <c r="B11224" t="s">
        <v>25026</v>
      </c>
      <c r="C11224" t="s">
        <v>123</v>
      </c>
      <c r="G11224" t="s">
        <v>25027</v>
      </c>
      <c r="H11224" t="s">
        <v>1151</v>
      </c>
      <c r="I11224" t="s">
        <v>43</v>
      </c>
      <c r="J11224" t="s">
        <v>25028</v>
      </c>
      <c r="K11224">
        <v>9477</v>
      </c>
      <c r="L11224" t="s">
        <v>23</v>
      </c>
      <c r="M11224" t="s">
        <v>25027</v>
      </c>
      <c r="N11224" t="s">
        <v>1151</v>
      </c>
      <c r="O11224" t="s">
        <v>43</v>
      </c>
      <c r="P11224" t="s">
        <v>25028</v>
      </c>
      <c r="Q11224">
        <v>9477</v>
      </c>
      <c r="R11224" t="s">
        <v>23</v>
      </c>
      <c r="S11224" s="1" t="s">
        <v>34218</v>
      </c>
    </row>
    <row r="11225" spans="1:19" x14ac:dyDescent="0.25">
      <c r="A11225">
        <v>100983869</v>
      </c>
      <c r="B11225" t="s">
        <v>4594</v>
      </c>
      <c r="C11225" t="s">
        <v>1591</v>
      </c>
      <c r="G11225" t="s">
        <v>25029</v>
      </c>
      <c r="H11225" t="s">
        <v>8244</v>
      </c>
      <c r="I11225" t="s">
        <v>250</v>
      </c>
      <c r="J11225" t="s">
        <v>25030</v>
      </c>
      <c r="K11225">
        <v>1153</v>
      </c>
      <c r="L11225" t="s">
        <v>23</v>
      </c>
      <c r="M11225" t="s">
        <v>25029</v>
      </c>
      <c r="N11225" t="s">
        <v>8244</v>
      </c>
      <c r="O11225" t="s">
        <v>250</v>
      </c>
      <c r="P11225" t="s">
        <v>25030</v>
      </c>
      <c r="Q11225">
        <v>1153</v>
      </c>
      <c r="R11225" t="s">
        <v>23</v>
      </c>
      <c r="S11225" s="1" t="s">
        <v>34218</v>
      </c>
    </row>
    <row r="11226" spans="1:19" x14ac:dyDescent="0.25">
      <c r="A11226">
        <v>101471669</v>
      </c>
      <c r="B11226" t="s">
        <v>25031</v>
      </c>
      <c r="C11226" t="s">
        <v>123</v>
      </c>
      <c r="G11226" t="s">
        <v>25032</v>
      </c>
      <c r="H11226" t="s">
        <v>25033</v>
      </c>
      <c r="I11226" t="s">
        <v>178</v>
      </c>
      <c r="J11226">
        <v>44833</v>
      </c>
      <c r="K11226">
        <v>9084</v>
      </c>
      <c r="L11226" t="s">
        <v>23</v>
      </c>
      <c r="M11226" t="s">
        <v>25032</v>
      </c>
      <c r="N11226" t="s">
        <v>25033</v>
      </c>
      <c r="O11226" t="s">
        <v>178</v>
      </c>
      <c r="P11226">
        <v>44833</v>
      </c>
      <c r="Q11226">
        <v>9084</v>
      </c>
      <c r="R11226" t="s">
        <v>23</v>
      </c>
      <c r="S11226" s="1" t="s">
        <v>34218</v>
      </c>
    </row>
    <row r="11227" spans="1:19" x14ac:dyDescent="0.25">
      <c r="A11227">
        <v>100978495</v>
      </c>
      <c r="B11227" t="s">
        <v>25034</v>
      </c>
      <c r="C11227" t="s">
        <v>390</v>
      </c>
      <c r="G11227" t="s">
        <v>25035</v>
      </c>
      <c r="H11227" t="s">
        <v>1293</v>
      </c>
      <c r="I11227" t="s">
        <v>22</v>
      </c>
      <c r="J11227">
        <v>95065</v>
      </c>
      <c r="L11227" t="s">
        <v>23</v>
      </c>
      <c r="M11227" t="s">
        <v>25035</v>
      </c>
      <c r="N11227" t="s">
        <v>1293</v>
      </c>
      <c r="O11227" t="s">
        <v>22</v>
      </c>
      <c r="P11227">
        <v>95065</v>
      </c>
      <c r="R11227" t="s">
        <v>23</v>
      </c>
      <c r="S11227" s="1" t="s">
        <v>34218</v>
      </c>
    </row>
    <row r="11228" spans="1:19" x14ac:dyDescent="0.25">
      <c r="A11228">
        <v>100635209</v>
      </c>
      <c r="B11228" t="s">
        <v>497</v>
      </c>
      <c r="C11228" t="s">
        <v>15822</v>
      </c>
      <c r="G11228" t="s">
        <v>25036</v>
      </c>
      <c r="H11228" t="s">
        <v>25037</v>
      </c>
      <c r="I11228" t="s">
        <v>307</v>
      </c>
      <c r="J11228">
        <v>5257</v>
      </c>
      <c r="K11228">
        <v>362</v>
      </c>
      <c r="L11228" t="s">
        <v>23</v>
      </c>
      <c r="M11228" t="s">
        <v>25036</v>
      </c>
      <c r="N11228" t="s">
        <v>25037</v>
      </c>
      <c r="O11228" t="s">
        <v>307</v>
      </c>
      <c r="P11228">
        <v>5257</v>
      </c>
      <c r="Q11228">
        <v>362</v>
      </c>
      <c r="R11228" t="s">
        <v>23</v>
      </c>
      <c r="S11228" s="1" t="s">
        <v>34218</v>
      </c>
    </row>
    <row r="11229" spans="1:19" x14ac:dyDescent="0.25">
      <c r="A11229">
        <v>101288201</v>
      </c>
      <c r="B11229" t="s">
        <v>7830</v>
      </c>
      <c r="C11229" t="s">
        <v>45</v>
      </c>
      <c r="G11229" t="s">
        <v>25038</v>
      </c>
      <c r="H11229" t="s">
        <v>6571</v>
      </c>
      <c r="I11229" t="s">
        <v>52</v>
      </c>
      <c r="J11229">
        <v>34222</v>
      </c>
      <c r="K11229">
        <v>3869</v>
      </c>
      <c r="L11229" t="s">
        <v>23</v>
      </c>
      <c r="M11229" t="s">
        <v>25038</v>
      </c>
      <c r="N11229" t="s">
        <v>6571</v>
      </c>
      <c r="O11229" t="s">
        <v>52</v>
      </c>
      <c r="P11229">
        <v>34222</v>
      </c>
      <c r="Q11229">
        <v>3869</v>
      </c>
      <c r="R11229" t="s">
        <v>23</v>
      </c>
      <c r="S11229" s="1" t="s">
        <v>34218</v>
      </c>
    </row>
    <row r="11230" spans="1:19" x14ac:dyDescent="0.25">
      <c r="A11230">
        <v>101480581</v>
      </c>
      <c r="B11230" t="s">
        <v>14567</v>
      </c>
      <c r="C11230" t="s">
        <v>1647</v>
      </c>
      <c r="G11230" t="s">
        <v>25039</v>
      </c>
      <c r="H11230" t="s">
        <v>25040</v>
      </c>
      <c r="I11230" t="s">
        <v>446</v>
      </c>
      <c r="J11230">
        <v>27302</v>
      </c>
      <c r="K11230">
        <v>9232</v>
      </c>
      <c r="L11230" t="s">
        <v>23</v>
      </c>
      <c r="M11230" t="s">
        <v>25039</v>
      </c>
      <c r="N11230" t="s">
        <v>25040</v>
      </c>
      <c r="O11230" t="s">
        <v>446</v>
      </c>
      <c r="P11230">
        <v>27302</v>
      </c>
      <c r="Q11230">
        <v>9232</v>
      </c>
      <c r="R11230" t="s">
        <v>23</v>
      </c>
      <c r="S11230" s="1" t="s">
        <v>34218</v>
      </c>
    </row>
    <row r="11231" spans="1:19" x14ac:dyDescent="0.25">
      <c r="A11231">
        <v>101422570</v>
      </c>
      <c r="B11231" t="s">
        <v>8803</v>
      </c>
      <c r="C11231" t="s">
        <v>25</v>
      </c>
      <c r="G11231" t="s">
        <v>25041</v>
      </c>
      <c r="H11231" t="s">
        <v>23524</v>
      </c>
      <c r="I11231" t="s">
        <v>84</v>
      </c>
      <c r="J11231">
        <v>98370</v>
      </c>
      <c r="K11231">
        <v>6315</v>
      </c>
      <c r="L11231" t="s">
        <v>23</v>
      </c>
      <c r="M11231" t="s">
        <v>25041</v>
      </c>
      <c r="N11231" t="s">
        <v>23524</v>
      </c>
      <c r="O11231" t="s">
        <v>84</v>
      </c>
      <c r="P11231">
        <v>98370</v>
      </c>
      <c r="Q11231">
        <v>6315</v>
      </c>
      <c r="R11231" t="s">
        <v>23</v>
      </c>
      <c r="S11231" s="1" t="s">
        <v>34218</v>
      </c>
    </row>
    <row r="11232" spans="1:19" x14ac:dyDescent="0.25">
      <c r="A11232">
        <v>100619255</v>
      </c>
      <c r="B11232" t="s">
        <v>3494</v>
      </c>
      <c r="C11232" t="s">
        <v>25042</v>
      </c>
      <c r="G11232" t="s">
        <v>25043</v>
      </c>
      <c r="H11232" t="s">
        <v>15475</v>
      </c>
      <c r="I11232" t="s">
        <v>52</v>
      </c>
      <c r="J11232">
        <v>32789</v>
      </c>
      <c r="K11232">
        <v>2635</v>
      </c>
      <c r="L11232" t="s">
        <v>23</v>
      </c>
      <c r="M11232" t="s">
        <v>25043</v>
      </c>
      <c r="N11232" t="s">
        <v>15475</v>
      </c>
      <c r="O11232" t="s">
        <v>52</v>
      </c>
      <c r="P11232">
        <v>32789</v>
      </c>
      <c r="Q11232">
        <v>2635</v>
      </c>
      <c r="R11232" t="s">
        <v>23</v>
      </c>
      <c r="S11232" s="1" t="s">
        <v>34218</v>
      </c>
    </row>
    <row r="11233" spans="1:19" x14ac:dyDescent="0.25">
      <c r="A11233">
        <v>101480589</v>
      </c>
      <c r="B11233" t="s">
        <v>276</v>
      </c>
      <c r="C11233" t="s">
        <v>5671</v>
      </c>
      <c r="G11233" t="s">
        <v>25044</v>
      </c>
      <c r="H11233" t="s">
        <v>591</v>
      </c>
      <c r="I11233" t="s">
        <v>84</v>
      </c>
      <c r="J11233">
        <v>98226</v>
      </c>
      <c r="K11233">
        <v>9720</v>
      </c>
      <c r="L11233" t="s">
        <v>23</v>
      </c>
      <c r="M11233" t="s">
        <v>25044</v>
      </c>
      <c r="N11233" t="s">
        <v>591</v>
      </c>
      <c r="O11233" t="s">
        <v>84</v>
      </c>
      <c r="P11233">
        <v>98226</v>
      </c>
      <c r="Q11233">
        <v>9720</v>
      </c>
      <c r="R11233" t="s">
        <v>23</v>
      </c>
      <c r="S11233" s="1" t="s">
        <v>34218</v>
      </c>
    </row>
    <row r="11234" spans="1:19" x14ac:dyDescent="0.25">
      <c r="A11234">
        <v>101421640</v>
      </c>
      <c r="B11234" t="s">
        <v>20917</v>
      </c>
      <c r="C11234" t="s">
        <v>86</v>
      </c>
      <c r="G11234" t="s">
        <v>25045</v>
      </c>
      <c r="H11234" t="s">
        <v>653</v>
      </c>
      <c r="I11234" t="s">
        <v>117</v>
      </c>
      <c r="J11234">
        <v>10012</v>
      </c>
      <c r="L11234" t="s">
        <v>23</v>
      </c>
      <c r="M11234" t="s">
        <v>25045</v>
      </c>
      <c r="N11234" t="s">
        <v>653</v>
      </c>
      <c r="O11234" t="s">
        <v>117</v>
      </c>
      <c r="P11234">
        <v>10012</v>
      </c>
      <c r="R11234" t="s">
        <v>23</v>
      </c>
      <c r="S11234" s="1" t="s">
        <v>34218</v>
      </c>
    </row>
    <row r="11235" spans="1:19" x14ac:dyDescent="0.25">
      <c r="A11235">
        <v>101224230</v>
      </c>
      <c r="B11235" t="s">
        <v>25046</v>
      </c>
      <c r="C11235" t="s">
        <v>2776</v>
      </c>
      <c r="G11235" t="s">
        <v>25047</v>
      </c>
      <c r="H11235" t="s">
        <v>419</v>
      </c>
      <c r="I11235" t="s">
        <v>38</v>
      </c>
      <c r="J11235">
        <v>76118</v>
      </c>
      <c r="K11235">
        <v>7800</v>
      </c>
      <c r="L11235" t="s">
        <v>23</v>
      </c>
      <c r="M11235" t="s">
        <v>25047</v>
      </c>
      <c r="N11235" t="s">
        <v>419</v>
      </c>
      <c r="O11235" t="s">
        <v>38</v>
      </c>
      <c r="P11235">
        <v>76118</v>
      </c>
      <c r="Q11235">
        <v>7800</v>
      </c>
      <c r="R11235" t="s">
        <v>23</v>
      </c>
      <c r="S11235" s="1" t="s">
        <v>34218</v>
      </c>
    </row>
    <row r="11236" spans="1:19" x14ac:dyDescent="0.25">
      <c r="A11236">
        <v>100956534</v>
      </c>
      <c r="B11236" t="s">
        <v>37</v>
      </c>
      <c r="C11236" t="s">
        <v>6003</v>
      </c>
      <c r="G11236" t="s">
        <v>25048</v>
      </c>
      <c r="H11236" t="s">
        <v>2499</v>
      </c>
      <c r="I11236" t="s">
        <v>22</v>
      </c>
      <c r="J11236">
        <v>94920</v>
      </c>
      <c r="K11236">
        <v>2143</v>
      </c>
      <c r="L11236" t="s">
        <v>23</v>
      </c>
      <c r="M11236" t="s">
        <v>25048</v>
      </c>
      <c r="N11236" t="s">
        <v>2499</v>
      </c>
      <c r="O11236" t="s">
        <v>22</v>
      </c>
      <c r="P11236">
        <v>94920</v>
      </c>
      <c r="Q11236">
        <v>2143</v>
      </c>
      <c r="R11236" t="s">
        <v>23</v>
      </c>
      <c r="S11236" s="1" t="s">
        <v>34218</v>
      </c>
    </row>
    <row r="11237" spans="1:19" x14ac:dyDescent="0.25">
      <c r="A11237">
        <v>101479208</v>
      </c>
      <c r="B11237" t="s">
        <v>786</v>
      </c>
      <c r="C11237" t="s">
        <v>25049</v>
      </c>
      <c r="G11237" t="s">
        <v>25050</v>
      </c>
      <c r="H11237" t="s">
        <v>496</v>
      </c>
      <c r="I11237" t="s">
        <v>22</v>
      </c>
      <c r="J11237">
        <v>94952</v>
      </c>
      <c r="K11237">
        <v>2178</v>
      </c>
      <c r="L11237" t="s">
        <v>23</v>
      </c>
      <c r="M11237" t="s">
        <v>25050</v>
      </c>
      <c r="N11237" t="s">
        <v>496</v>
      </c>
      <c r="O11237" t="s">
        <v>22</v>
      </c>
      <c r="P11237">
        <v>94952</v>
      </c>
      <c r="Q11237">
        <v>2178</v>
      </c>
      <c r="R11237" t="s">
        <v>23</v>
      </c>
      <c r="S11237" s="1" t="s">
        <v>34218</v>
      </c>
    </row>
    <row r="11238" spans="1:19" x14ac:dyDescent="0.25">
      <c r="A11238">
        <v>101303157</v>
      </c>
      <c r="B11238" t="s">
        <v>25051</v>
      </c>
      <c r="C11238" t="s">
        <v>145</v>
      </c>
      <c r="G11238" t="s">
        <v>25052</v>
      </c>
      <c r="H11238" t="s">
        <v>653</v>
      </c>
      <c r="I11238" t="s">
        <v>117</v>
      </c>
      <c r="J11238">
        <v>10010</v>
      </c>
      <c r="K11238">
        <v>4011</v>
      </c>
      <c r="L11238" t="s">
        <v>23</v>
      </c>
      <c r="M11238" t="s">
        <v>25052</v>
      </c>
      <c r="N11238" t="s">
        <v>653</v>
      </c>
      <c r="O11238" t="s">
        <v>117</v>
      </c>
      <c r="P11238">
        <v>10010</v>
      </c>
      <c r="Q11238">
        <v>4011</v>
      </c>
      <c r="R11238" t="s">
        <v>23</v>
      </c>
      <c r="S11238" s="1" t="s">
        <v>34218</v>
      </c>
    </row>
    <row r="11239" spans="1:19" x14ac:dyDescent="0.25">
      <c r="A11239">
        <v>101268399</v>
      </c>
      <c r="B11239" t="s">
        <v>21353</v>
      </c>
      <c r="C11239" t="s">
        <v>3566</v>
      </c>
      <c r="G11239" t="s">
        <v>25053</v>
      </c>
      <c r="H11239" t="s">
        <v>25054</v>
      </c>
      <c r="I11239" t="s">
        <v>446</v>
      </c>
      <c r="J11239">
        <v>27284</v>
      </c>
      <c r="L11239" t="s">
        <v>23</v>
      </c>
      <c r="M11239" t="s">
        <v>25053</v>
      </c>
      <c r="N11239" t="s">
        <v>25054</v>
      </c>
      <c r="O11239" t="s">
        <v>446</v>
      </c>
      <c r="P11239">
        <v>27284</v>
      </c>
      <c r="R11239" t="s">
        <v>23</v>
      </c>
      <c r="S11239" s="1" t="s">
        <v>34218</v>
      </c>
    </row>
    <row r="11240" spans="1:19" x14ac:dyDescent="0.25">
      <c r="A11240">
        <v>101199185</v>
      </c>
      <c r="B11240" t="s">
        <v>25055</v>
      </c>
      <c r="C11240" t="s">
        <v>1992</v>
      </c>
      <c r="G11240" t="s">
        <v>25056</v>
      </c>
      <c r="H11240" t="s">
        <v>577</v>
      </c>
      <c r="I11240" t="s">
        <v>84</v>
      </c>
      <c r="J11240">
        <v>98642</v>
      </c>
      <c r="K11240">
        <v>7929</v>
      </c>
      <c r="L11240" t="s">
        <v>23</v>
      </c>
      <c r="M11240" t="s">
        <v>25056</v>
      </c>
      <c r="N11240" t="s">
        <v>577</v>
      </c>
      <c r="O11240" t="s">
        <v>84</v>
      </c>
      <c r="P11240">
        <v>98642</v>
      </c>
      <c r="Q11240">
        <v>7929</v>
      </c>
      <c r="R11240" t="s">
        <v>23</v>
      </c>
      <c r="S11240" s="1" t="s">
        <v>34218</v>
      </c>
    </row>
    <row r="11241" spans="1:19" x14ac:dyDescent="0.25">
      <c r="A11241">
        <v>100571212</v>
      </c>
      <c r="B11241" t="s">
        <v>25057</v>
      </c>
      <c r="C11241" t="s">
        <v>25058</v>
      </c>
      <c r="G11241" t="s">
        <v>25059</v>
      </c>
      <c r="H11241" t="s">
        <v>11094</v>
      </c>
      <c r="I11241" t="s">
        <v>33</v>
      </c>
      <c r="J11241">
        <v>17050</v>
      </c>
      <c r="K11241">
        <v>4104</v>
      </c>
      <c r="L11241" t="s">
        <v>23</v>
      </c>
      <c r="M11241" t="s">
        <v>25059</v>
      </c>
      <c r="N11241" t="s">
        <v>11094</v>
      </c>
      <c r="O11241" t="s">
        <v>33</v>
      </c>
      <c r="P11241">
        <v>17050</v>
      </c>
      <c r="Q11241">
        <v>4104</v>
      </c>
      <c r="R11241" t="s">
        <v>23</v>
      </c>
      <c r="S11241" s="1" t="s">
        <v>34218</v>
      </c>
    </row>
    <row r="11242" spans="1:19" x14ac:dyDescent="0.25">
      <c r="A11242">
        <v>101476077</v>
      </c>
      <c r="B11242" t="s">
        <v>25060</v>
      </c>
      <c r="C11242" t="s">
        <v>440</v>
      </c>
      <c r="G11242" t="s">
        <v>25061</v>
      </c>
      <c r="H11242" t="s">
        <v>12762</v>
      </c>
      <c r="I11242" t="s">
        <v>117</v>
      </c>
      <c r="J11242">
        <v>14217</v>
      </c>
      <c r="K11242">
        <v>1343</v>
      </c>
      <c r="L11242" t="s">
        <v>23</v>
      </c>
      <c r="M11242" t="s">
        <v>25061</v>
      </c>
      <c r="N11242" t="s">
        <v>12762</v>
      </c>
      <c r="O11242" t="s">
        <v>117</v>
      </c>
      <c r="P11242">
        <v>14217</v>
      </c>
      <c r="Q11242">
        <v>1343</v>
      </c>
      <c r="R11242" t="s">
        <v>23</v>
      </c>
      <c r="S11242" s="1" t="s">
        <v>34218</v>
      </c>
    </row>
    <row r="11243" spans="1:19" x14ac:dyDescent="0.25">
      <c r="A11243">
        <v>101258764</v>
      </c>
      <c r="B11243" t="s">
        <v>25062</v>
      </c>
      <c r="C11243" t="s">
        <v>2938</v>
      </c>
      <c r="G11243" t="s">
        <v>25063</v>
      </c>
      <c r="H11243" t="s">
        <v>25064</v>
      </c>
      <c r="I11243" t="s">
        <v>43</v>
      </c>
      <c r="J11243">
        <v>67800</v>
      </c>
      <c r="L11243" t="s">
        <v>23</v>
      </c>
      <c r="M11243" t="s">
        <v>25063</v>
      </c>
      <c r="N11243" t="s">
        <v>25064</v>
      </c>
      <c r="O11243" t="s">
        <v>43</v>
      </c>
      <c r="P11243">
        <v>67800</v>
      </c>
      <c r="R11243" t="s">
        <v>23</v>
      </c>
      <c r="S11243" s="1" t="s">
        <v>34218</v>
      </c>
    </row>
    <row r="11244" spans="1:19" x14ac:dyDescent="0.25">
      <c r="A11244">
        <v>101473168</v>
      </c>
      <c r="B11244" t="s">
        <v>25065</v>
      </c>
      <c r="C11244" t="s">
        <v>7615</v>
      </c>
      <c r="G11244" t="s">
        <v>25066</v>
      </c>
      <c r="H11244" t="s">
        <v>25067</v>
      </c>
      <c r="I11244" t="s">
        <v>52</v>
      </c>
      <c r="J11244">
        <v>32097</v>
      </c>
      <c r="K11244">
        <v>3519</v>
      </c>
      <c r="L11244" t="s">
        <v>23</v>
      </c>
      <c r="M11244" t="s">
        <v>25066</v>
      </c>
      <c r="N11244" t="s">
        <v>25067</v>
      </c>
      <c r="O11244" t="s">
        <v>52</v>
      </c>
      <c r="P11244">
        <v>32097</v>
      </c>
      <c r="Q11244">
        <v>3519</v>
      </c>
      <c r="R11244" t="s">
        <v>23</v>
      </c>
      <c r="S11244" s="1" t="s">
        <v>34218</v>
      </c>
    </row>
    <row r="11245" spans="1:19" x14ac:dyDescent="0.25">
      <c r="A11245">
        <v>100889824</v>
      </c>
      <c r="B11245" t="s">
        <v>25068</v>
      </c>
      <c r="C11245" t="s">
        <v>2248</v>
      </c>
      <c r="G11245" t="s">
        <v>25069</v>
      </c>
      <c r="H11245" t="s">
        <v>10484</v>
      </c>
      <c r="I11245" t="s">
        <v>52</v>
      </c>
      <c r="J11245">
        <v>32130</v>
      </c>
      <c r="K11245">
        <v>3208</v>
      </c>
      <c r="L11245" t="s">
        <v>23</v>
      </c>
      <c r="M11245" t="s">
        <v>25069</v>
      </c>
      <c r="N11245" t="s">
        <v>10484</v>
      </c>
      <c r="O11245" t="s">
        <v>52</v>
      </c>
      <c r="P11245">
        <v>32130</v>
      </c>
      <c r="Q11245">
        <v>3208</v>
      </c>
      <c r="R11245" t="s">
        <v>23</v>
      </c>
      <c r="S11245" s="1" t="s">
        <v>34218</v>
      </c>
    </row>
    <row r="11246" spans="1:19" x14ac:dyDescent="0.25">
      <c r="A11246">
        <v>100829584</v>
      </c>
      <c r="B11246" t="s">
        <v>4388</v>
      </c>
      <c r="C11246" t="s">
        <v>1506</v>
      </c>
      <c r="G11246" t="s">
        <v>25070</v>
      </c>
      <c r="H11246" t="s">
        <v>471</v>
      </c>
      <c r="I11246" t="s">
        <v>365</v>
      </c>
      <c r="J11246">
        <v>85259</v>
      </c>
      <c r="K11246">
        <v>8118</v>
      </c>
      <c r="L11246" t="s">
        <v>23</v>
      </c>
      <c r="M11246" t="s">
        <v>25070</v>
      </c>
      <c r="N11246" t="s">
        <v>471</v>
      </c>
      <c r="O11246" t="s">
        <v>365</v>
      </c>
      <c r="P11246">
        <v>85259</v>
      </c>
      <c r="Q11246">
        <v>8118</v>
      </c>
      <c r="R11246" t="s">
        <v>23</v>
      </c>
      <c r="S11246" s="1" t="s">
        <v>34218</v>
      </c>
    </row>
    <row r="11247" spans="1:19" x14ac:dyDescent="0.25">
      <c r="A11247">
        <v>101480427</v>
      </c>
      <c r="B11247" t="s">
        <v>25071</v>
      </c>
      <c r="C11247" t="s">
        <v>25072</v>
      </c>
      <c r="G11247" t="s">
        <v>25073</v>
      </c>
      <c r="H11247" t="s">
        <v>701</v>
      </c>
      <c r="I11247" t="s">
        <v>702</v>
      </c>
      <c r="J11247">
        <v>89031</v>
      </c>
      <c r="K11247">
        <v>3009</v>
      </c>
      <c r="L11247" t="s">
        <v>23</v>
      </c>
      <c r="M11247" t="s">
        <v>25073</v>
      </c>
      <c r="N11247" t="s">
        <v>701</v>
      </c>
      <c r="O11247" t="s">
        <v>702</v>
      </c>
      <c r="P11247">
        <v>89031</v>
      </c>
      <c r="Q11247">
        <v>3009</v>
      </c>
      <c r="R11247" t="s">
        <v>23</v>
      </c>
      <c r="S11247" s="1" t="s">
        <v>34218</v>
      </c>
    </row>
    <row r="11248" spans="1:19" x14ac:dyDescent="0.25">
      <c r="A11248">
        <v>100922871</v>
      </c>
      <c r="B11248" t="s">
        <v>25074</v>
      </c>
      <c r="C11248" t="s">
        <v>132</v>
      </c>
      <c r="G11248" t="s">
        <v>23514</v>
      </c>
      <c r="H11248" t="s">
        <v>14692</v>
      </c>
      <c r="I11248" t="s">
        <v>984</v>
      </c>
      <c r="J11248">
        <v>96772</v>
      </c>
      <c r="K11248">
        <v>9999</v>
      </c>
      <c r="L11248" t="s">
        <v>23</v>
      </c>
      <c r="M11248" t="s">
        <v>23514</v>
      </c>
      <c r="N11248" t="s">
        <v>14692</v>
      </c>
      <c r="O11248" t="s">
        <v>984</v>
      </c>
      <c r="P11248">
        <v>96772</v>
      </c>
      <c r="Q11248">
        <v>9999</v>
      </c>
      <c r="R11248" t="s">
        <v>23</v>
      </c>
      <c r="S11248" s="1" t="s">
        <v>34218</v>
      </c>
    </row>
    <row r="11249" spans="1:19" x14ac:dyDescent="0.25">
      <c r="A11249">
        <v>100655196</v>
      </c>
      <c r="B11249" t="s">
        <v>16979</v>
      </c>
      <c r="C11249" t="s">
        <v>25075</v>
      </c>
      <c r="G11249" t="s">
        <v>25076</v>
      </c>
      <c r="H11249" t="s">
        <v>13612</v>
      </c>
      <c r="I11249" t="s">
        <v>191</v>
      </c>
      <c r="J11249">
        <v>4553</v>
      </c>
      <c r="L11249" t="s">
        <v>23</v>
      </c>
      <c r="M11249" t="s">
        <v>25076</v>
      </c>
      <c r="N11249" t="s">
        <v>13612</v>
      </c>
      <c r="O11249" t="s">
        <v>191</v>
      </c>
      <c r="P11249">
        <v>4553</v>
      </c>
      <c r="R11249" t="s">
        <v>23</v>
      </c>
      <c r="S11249" s="1" t="s">
        <v>34218</v>
      </c>
    </row>
    <row r="11250" spans="1:19" x14ac:dyDescent="0.25">
      <c r="A11250">
        <v>101480627</v>
      </c>
      <c r="B11250" t="s">
        <v>4751</v>
      </c>
      <c r="C11250" t="s">
        <v>286</v>
      </c>
      <c r="G11250" t="s">
        <v>4752</v>
      </c>
      <c r="H11250" t="s">
        <v>4753</v>
      </c>
      <c r="I11250" t="s">
        <v>161</v>
      </c>
      <c r="J11250">
        <v>6473</v>
      </c>
      <c r="K11250">
        <v>2943</v>
      </c>
      <c r="L11250" t="s">
        <v>23</v>
      </c>
      <c r="M11250" t="s">
        <v>4752</v>
      </c>
      <c r="N11250" t="s">
        <v>4753</v>
      </c>
      <c r="O11250" t="s">
        <v>161</v>
      </c>
      <c r="P11250">
        <v>6473</v>
      </c>
      <c r="Q11250">
        <v>2943</v>
      </c>
      <c r="R11250" t="s">
        <v>23</v>
      </c>
      <c r="S11250" s="1" t="s">
        <v>34218</v>
      </c>
    </row>
    <row r="11251" spans="1:19" x14ac:dyDescent="0.25">
      <c r="A11251">
        <v>101480634</v>
      </c>
      <c r="B11251" t="s">
        <v>9268</v>
      </c>
      <c r="C11251" t="s">
        <v>25077</v>
      </c>
      <c r="G11251" t="s">
        <v>25078</v>
      </c>
      <c r="H11251" t="s">
        <v>12820</v>
      </c>
      <c r="I11251" t="s">
        <v>161</v>
      </c>
      <c r="J11251">
        <v>6830</v>
      </c>
      <c r="K11251">
        <v>3851</v>
      </c>
      <c r="L11251" t="s">
        <v>23</v>
      </c>
      <c r="M11251" t="s">
        <v>25078</v>
      </c>
      <c r="N11251" t="s">
        <v>12820</v>
      </c>
      <c r="O11251" t="s">
        <v>161</v>
      </c>
      <c r="P11251">
        <v>6830</v>
      </c>
      <c r="Q11251">
        <v>3851</v>
      </c>
      <c r="R11251" t="s">
        <v>23</v>
      </c>
      <c r="S11251" s="1" t="s">
        <v>34218</v>
      </c>
    </row>
    <row r="11252" spans="1:19" x14ac:dyDescent="0.25">
      <c r="A11252">
        <v>101472222</v>
      </c>
      <c r="B11252" t="s">
        <v>25079</v>
      </c>
      <c r="C11252" t="s">
        <v>132</v>
      </c>
      <c r="G11252" t="s">
        <v>25080</v>
      </c>
      <c r="H11252" t="s">
        <v>299</v>
      </c>
      <c r="I11252" t="s">
        <v>22</v>
      </c>
      <c r="J11252">
        <v>90045</v>
      </c>
      <c r="K11252">
        <v>4332</v>
      </c>
      <c r="L11252" t="s">
        <v>23</v>
      </c>
      <c r="M11252" t="s">
        <v>25080</v>
      </c>
      <c r="N11252" t="s">
        <v>299</v>
      </c>
      <c r="O11252" t="s">
        <v>22</v>
      </c>
      <c r="P11252">
        <v>90045</v>
      </c>
      <c r="Q11252">
        <v>4332</v>
      </c>
      <c r="R11252" t="s">
        <v>23</v>
      </c>
      <c r="S11252" s="1" t="s">
        <v>34218</v>
      </c>
    </row>
    <row r="11253" spans="1:19" x14ac:dyDescent="0.25">
      <c r="A11253">
        <v>101299880</v>
      </c>
      <c r="B11253" t="s">
        <v>25081</v>
      </c>
      <c r="C11253" t="s">
        <v>266</v>
      </c>
      <c r="G11253" t="s">
        <v>25082</v>
      </c>
      <c r="H11253" t="s">
        <v>7039</v>
      </c>
      <c r="I11253" t="s">
        <v>236</v>
      </c>
      <c r="J11253">
        <v>1028</v>
      </c>
      <c r="K11253">
        <v>806</v>
      </c>
      <c r="L11253" t="s">
        <v>23</v>
      </c>
      <c r="M11253" t="s">
        <v>25082</v>
      </c>
      <c r="N11253" t="s">
        <v>7039</v>
      </c>
      <c r="O11253" t="s">
        <v>236</v>
      </c>
      <c r="P11253">
        <v>1028</v>
      </c>
      <c r="Q11253">
        <v>806</v>
      </c>
      <c r="R11253" t="s">
        <v>23</v>
      </c>
      <c r="S11253" s="1" t="s">
        <v>34218</v>
      </c>
    </row>
    <row r="11254" spans="1:19" x14ac:dyDescent="0.25">
      <c r="A11254">
        <v>101450541</v>
      </c>
      <c r="B11254" t="s">
        <v>1134</v>
      </c>
      <c r="C11254" t="s">
        <v>25083</v>
      </c>
      <c r="G11254" t="s">
        <v>25084</v>
      </c>
      <c r="H11254" t="s">
        <v>25085</v>
      </c>
      <c r="I11254" t="s">
        <v>250</v>
      </c>
      <c r="J11254">
        <v>7901</v>
      </c>
      <c r="K11254">
        <v>6700</v>
      </c>
      <c r="L11254" t="s">
        <v>23</v>
      </c>
      <c r="M11254" t="s">
        <v>25084</v>
      </c>
      <c r="N11254" t="s">
        <v>25085</v>
      </c>
      <c r="O11254" t="s">
        <v>250</v>
      </c>
      <c r="P11254">
        <v>7901</v>
      </c>
      <c r="Q11254">
        <v>6700</v>
      </c>
      <c r="R11254" t="s">
        <v>23</v>
      </c>
      <c r="S11254" s="1" t="s">
        <v>34218</v>
      </c>
    </row>
    <row r="11255" spans="1:19" x14ac:dyDescent="0.25">
      <c r="A11255">
        <v>101220779</v>
      </c>
      <c r="B11255" t="s">
        <v>25086</v>
      </c>
      <c r="C11255" t="s">
        <v>627</v>
      </c>
      <c r="G11255" t="s">
        <v>25087</v>
      </c>
      <c r="H11255" t="s">
        <v>2431</v>
      </c>
      <c r="I11255" t="s">
        <v>662</v>
      </c>
      <c r="J11255">
        <v>2920</v>
      </c>
      <c r="K11255">
        <v>4603</v>
      </c>
      <c r="L11255" t="s">
        <v>23</v>
      </c>
      <c r="M11255" t="s">
        <v>25087</v>
      </c>
      <c r="N11255" t="s">
        <v>2431</v>
      </c>
      <c r="O11255" t="s">
        <v>662</v>
      </c>
      <c r="P11255">
        <v>2920</v>
      </c>
      <c r="Q11255">
        <v>4603</v>
      </c>
      <c r="R11255" t="s">
        <v>23</v>
      </c>
      <c r="S11255" s="1" t="s">
        <v>34218</v>
      </c>
    </row>
    <row r="11256" spans="1:19" x14ac:dyDescent="0.25">
      <c r="A11256">
        <v>101161758</v>
      </c>
      <c r="B11256" t="s">
        <v>17085</v>
      </c>
      <c r="C11256" t="s">
        <v>382</v>
      </c>
      <c r="G11256" t="s">
        <v>25088</v>
      </c>
      <c r="H11256" t="s">
        <v>25089</v>
      </c>
      <c r="I11256" t="s">
        <v>126</v>
      </c>
      <c r="J11256">
        <v>63043</v>
      </c>
      <c r="L11256" t="s">
        <v>23</v>
      </c>
      <c r="M11256" t="s">
        <v>25088</v>
      </c>
      <c r="N11256" t="s">
        <v>25089</v>
      </c>
      <c r="O11256" t="s">
        <v>126</v>
      </c>
      <c r="P11256">
        <v>63043</v>
      </c>
      <c r="R11256" t="s">
        <v>23</v>
      </c>
      <c r="S11256" s="1" t="s">
        <v>34218</v>
      </c>
    </row>
    <row r="11257" spans="1:19" x14ac:dyDescent="0.25">
      <c r="A11257">
        <v>101446573</v>
      </c>
      <c r="B11257" t="s">
        <v>25090</v>
      </c>
      <c r="C11257" t="s">
        <v>25091</v>
      </c>
      <c r="G11257" t="s">
        <v>25092</v>
      </c>
      <c r="H11257" t="s">
        <v>227</v>
      </c>
      <c r="I11257" t="s">
        <v>43</v>
      </c>
      <c r="J11257">
        <v>97214</v>
      </c>
      <c r="K11257">
        <v>5970</v>
      </c>
      <c r="L11257" t="s">
        <v>23</v>
      </c>
      <c r="M11257" t="s">
        <v>25092</v>
      </c>
      <c r="N11257" t="s">
        <v>227</v>
      </c>
      <c r="O11257" t="s">
        <v>43</v>
      </c>
      <c r="P11257">
        <v>97214</v>
      </c>
      <c r="Q11257">
        <v>5970</v>
      </c>
      <c r="R11257" t="s">
        <v>23</v>
      </c>
      <c r="S11257" s="1" t="s">
        <v>34218</v>
      </c>
    </row>
    <row r="11258" spans="1:19" x14ac:dyDescent="0.25">
      <c r="A11258">
        <v>101441943</v>
      </c>
      <c r="B11258" t="s">
        <v>25093</v>
      </c>
      <c r="C11258" t="s">
        <v>25094</v>
      </c>
      <c r="G11258" t="s">
        <v>25095</v>
      </c>
      <c r="H11258" t="s">
        <v>3186</v>
      </c>
      <c r="I11258" t="s">
        <v>22</v>
      </c>
      <c r="J11258">
        <v>90603</v>
      </c>
      <c r="K11258">
        <v>3213</v>
      </c>
      <c r="L11258" t="s">
        <v>23</v>
      </c>
      <c r="M11258" t="s">
        <v>25095</v>
      </c>
      <c r="N11258" t="s">
        <v>3186</v>
      </c>
      <c r="O11258" t="s">
        <v>22</v>
      </c>
      <c r="P11258">
        <v>90603</v>
      </c>
      <c r="Q11258">
        <v>3213</v>
      </c>
      <c r="R11258" t="s">
        <v>23</v>
      </c>
      <c r="S11258" s="1" t="s">
        <v>34218</v>
      </c>
    </row>
    <row r="11259" spans="1:19" x14ac:dyDescent="0.25">
      <c r="A11259">
        <v>100675000</v>
      </c>
      <c r="B11259" t="s">
        <v>25096</v>
      </c>
      <c r="C11259" t="s">
        <v>1295</v>
      </c>
      <c r="G11259" t="s">
        <v>25097</v>
      </c>
      <c r="H11259" t="s">
        <v>12045</v>
      </c>
      <c r="I11259" t="s">
        <v>84</v>
      </c>
      <c r="J11259">
        <v>98632</v>
      </c>
      <c r="K11259">
        <v>1504</v>
      </c>
      <c r="L11259" t="s">
        <v>23</v>
      </c>
      <c r="M11259" t="s">
        <v>25097</v>
      </c>
      <c r="N11259" t="s">
        <v>12045</v>
      </c>
      <c r="O11259" t="s">
        <v>84</v>
      </c>
      <c r="P11259">
        <v>98632</v>
      </c>
      <c r="Q11259">
        <v>1504</v>
      </c>
      <c r="R11259" t="s">
        <v>23</v>
      </c>
      <c r="S11259" s="1" t="s">
        <v>34218</v>
      </c>
    </row>
    <row r="11260" spans="1:19" x14ac:dyDescent="0.25">
      <c r="A11260">
        <v>101422102</v>
      </c>
      <c r="B11260" t="s">
        <v>3843</v>
      </c>
      <c r="C11260" t="s">
        <v>1859</v>
      </c>
      <c r="G11260" t="s">
        <v>25098</v>
      </c>
      <c r="H11260" t="s">
        <v>1086</v>
      </c>
      <c r="I11260" t="s">
        <v>446</v>
      </c>
      <c r="J11260">
        <v>28278</v>
      </c>
      <c r="L11260" t="s">
        <v>23</v>
      </c>
      <c r="M11260" t="s">
        <v>25098</v>
      </c>
      <c r="N11260" t="s">
        <v>1086</v>
      </c>
      <c r="O11260" t="s">
        <v>446</v>
      </c>
      <c r="P11260">
        <v>28278</v>
      </c>
      <c r="R11260" t="s">
        <v>23</v>
      </c>
      <c r="S11260" s="1" t="s">
        <v>34218</v>
      </c>
    </row>
    <row r="11261" spans="1:19" x14ac:dyDescent="0.25">
      <c r="A11261">
        <v>100570605</v>
      </c>
      <c r="B11261" t="s">
        <v>16320</v>
      </c>
      <c r="C11261" t="s">
        <v>1731</v>
      </c>
      <c r="G11261" t="s">
        <v>25099</v>
      </c>
      <c r="H11261" t="s">
        <v>1026</v>
      </c>
      <c r="I11261" t="s">
        <v>135</v>
      </c>
      <c r="J11261">
        <v>60010</v>
      </c>
      <c r="K11261">
        <v>4041</v>
      </c>
      <c r="L11261" t="s">
        <v>23</v>
      </c>
      <c r="M11261" t="s">
        <v>25099</v>
      </c>
      <c r="N11261" t="s">
        <v>1026</v>
      </c>
      <c r="O11261" t="s">
        <v>135</v>
      </c>
      <c r="P11261">
        <v>60010</v>
      </c>
      <c r="Q11261">
        <v>4041</v>
      </c>
      <c r="R11261" t="s">
        <v>23</v>
      </c>
      <c r="S11261" s="1" t="s">
        <v>34218</v>
      </c>
    </row>
    <row r="11262" spans="1:19" x14ac:dyDescent="0.25">
      <c r="A11262">
        <v>100799905</v>
      </c>
      <c r="B11262" t="s">
        <v>25100</v>
      </c>
      <c r="C11262" t="s">
        <v>1309</v>
      </c>
      <c r="G11262" t="s">
        <v>25101</v>
      </c>
      <c r="H11262" t="s">
        <v>1096</v>
      </c>
      <c r="I11262" t="s">
        <v>1097</v>
      </c>
      <c r="J11262">
        <v>40299</v>
      </c>
      <c r="K11262">
        <v>4656</v>
      </c>
      <c r="L11262" t="s">
        <v>23</v>
      </c>
      <c r="M11262" t="s">
        <v>25101</v>
      </c>
      <c r="N11262" t="s">
        <v>1096</v>
      </c>
      <c r="O11262" t="s">
        <v>1097</v>
      </c>
      <c r="P11262">
        <v>40299</v>
      </c>
      <c r="Q11262">
        <v>4656</v>
      </c>
      <c r="R11262" t="s">
        <v>23</v>
      </c>
      <c r="S11262" s="1" t="s">
        <v>34218</v>
      </c>
    </row>
    <row r="11263" spans="1:19" x14ac:dyDescent="0.25">
      <c r="A11263">
        <v>101480637</v>
      </c>
      <c r="B11263" t="s">
        <v>216</v>
      </c>
      <c r="C11263" t="s">
        <v>180</v>
      </c>
      <c r="G11263" t="s">
        <v>25102</v>
      </c>
      <c r="H11263" t="s">
        <v>198</v>
      </c>
      <c r="I11263" t="s">
        <v>22</v>
      </c>
      <c r="J11263">
        <v>92124</v>
      </c>
      <c r="K11263">
        <v>2119</v>
      </c>
      <c r="L11263" t="s">
        <v>23</v>
      </c>
      <c r="M11263" t="s">
        <v>25102</v>
      </c>
      <c r="N11263" t="s">
        <v>198</v>
      </c>
      <c r="O11263" t="s">
        <v>22</v>
      </c>
      <c r="P11263">
        <v>92124</v>
      </c>
      <c r="Q11263">
        <v>2119</v>
      </c>
      <c r="R11263" t="s">
        <v>23</v>
      </c>
      <c r="S11263" s="1" t="s">
        <v>34218</v>
      </c>
    </row>
    <row r="11264" spans="1:19" x14ac:dyDescent="0.25">
      <c r="A11264">
        <v>101480638</v>
      </c>
      <c r="B11264" t="s">
        <v>25103</v>
      </c>
      <c r="C11264" t="s">
        <v>1588</v>
      </c>
      <c r="G11264" t="s">
        <v>25104</v>
      </c>
      <c r="H11264" t="s">
        <v>5892</v>
      </c>
      <c r="I11264" t="s">
        <v>22</v>
      </c>
      <c r="J11264">
        <v>92708</v>
      </c>
      <c r="K11264">
        <v>4583</v>
      </c>
      <c r="L11264" t="s">
        <v>23</v>
      </c>
      <c r="M11264" t="s">
        <v>25104</v>
      </c>
      <c r="N11264" t="s">
        <v>5892</v>
      </c>
      <c r="O11264" t="s">
        <v>22</v>
      </c>
      <c r="P11264">
        <v>92708</v>
      </c>
      <c r="Q11264">
        <v>4583</v>
      </c>
      <c r="R11264" t="s">
        <v>23</v>
      </c>
      <c r="S11264" s="1" t="s">
        <v>34218</v>
      </c>
    </row>
    <row r="11265" spans="1:19" x14ac:dyDescent="0.25">
      <c r="A11265">
        <v>101480639</v>
      </c>
      <c r="B11265" t="s">
        <v>25105</v>
      </c>
      <c r="C11265" t="s">
        <v>4926</v>
      </c>
      <c r="G11265" t="s">
        <v>25106</v>
      </c>
      <c r="H11265" t="s">
        <v>25107</v>
      </c>
      <c r="I11265" t="s">
        <v>187</v>
      </c>
      <c r="J11265">
        <v>55315</v>
      </c>
      <c r="K11265">
        <v>9509</v>
      </c>
      <c r="L11265" t="s">
        <v>23</v>
      </c>
      <c r="M11265" t="s">
        <v>25106</v>
      </c>
      <c r="N11265" t="s">
        <v>25107</v>
      </c>
      <c r="O11265" t="s">
        <v>187</v>
      </c>
      <c r="P11265">
        <v>55315</v>
      </c>
      <c r="Q11265">
        <v>9509</v>
      </c>
      <c r="R11265" t="s">
        <v>23</v>
      </c>
      <c r="S11265" s="1" t="s">
        <v>34218</v>
      </c>
    </row>
    <row r="11266" spans="1:19" x14ac:dyDescent="0.25">
      <c r="A11266">
        <v>101420665</v>
      </c>
      <c r="B11266" t="s">
        <v>25108</v>
      </c>
      <c r="C11266" t="s">
        <v>554</v>
      </c>
      <c r="G11266" t="s">
        <v>25109</v>
      </c>
      <c r="H11266" t="s">
        <v>88</v>
      </c>
      <c r="I11266" t="s">
        <v>250</v>
      </c>
      <c r="J11266">
        <v>7436</v>
      </c>
      <c r="K11266">
        <v>2900</v>
      </c>
      <c r="L11266" t="s">
        <v>23</v>
      </c>
      <c r="M11266" t="s">
        <v>25109</v>
      </c>
      <c r="N11266" t="s">
        <v>88</v>
      </c>
      <c r="O11266" t="s">
        <v>250</v>
      </c>
      <c r="P11266">
        <v>7436</v>
      </c>
      <c r="Q11266">
        <v>2900</v>
      </c>
      <c r="R11266" t="s">
        <v>23</v>
      </c>
      <c r="S11266" s="1" t="s">
        <v>34218</v>
      </c>
    </row>
    <row r="11267" spans="1:19" x14ac:dyDescent="0.25">
      <c r="A11267">
        <v>101480643</v>
      </c>
      <c r="B11267" t="s">
        <v>76</v>
      </c>
      <c r="C11267" t="s">
        <v>874</v>
      </c>
      <c r="G11267" t="s">
        <v>25110</v>
      </c>
      <c r="H11267" t="s">
        <v>21247</v>
      </c>
      <c r="I11267" t="s">
        <v>52</v>
      </c>
      <c r="J11267">
        <v>34601</v>
      </c>
      <c r="K11267">
        <v>6506</v>
      </c>
      <c r="L11267" t="s">
        <v>23</v>
      </c>
      <c r="M11267" t="s">
        <v>25110</v>
      </c>
      <c r="N11267" t="s">
        <v>21247</v>
      </c>
      <c r="O11267" t="s">
        <v>52</v>
      </c>
      <c r="P11267">
        <v>34601</v>
      </c>
      <c r="Q11267">
        <v>6506</v>
      </c>
      <c r="R11267" t="s">
        <v>23</v>
      </c>
      <c r="S11267" s="1" t="s">
        <v>34218</v>
      </c>
    </row>
    <row r="11268" spans="1:19" x14ac:dyDescent="0.25">
      <c r="A11268">
        <v>101360332</v>
      </c>
      <c r="B11268" t="s">
        <v>12776</v>
      </c>
      <c r="C11268" t="s">
        <v>5671</v>
      </c>
      <c r="G11268" t="s">
        <v>25111</v>
      </c>
      <c r="H11268" t="s">
        <v>14275</v>
      </c>
      <c r="I11268" t="s">
        <v>140</v>
      </c>
      <c r="J11268">
        <v>48193</v>
      </c>
      <c r="K11268">
        <v>7735</v>
      </c>
      <c r="L11268" t="s">
        <v>23</v>
      </c>
      <c r="M11268" t="s">
        <v>25111</v>
      </c>
      <c r="N11268" t="s">
        <v>14275</v>
      </c>
      <c r="O11268" t="s">
        <v>140</v>
      </c>
      <c r="P11268">
        <v>48193</v>
      </c>
      <c r="Q11268">
        <v>7735</v>
      </c>
      <c r="R11268" t="s">
        <v>23</v>
      </c>
      <c r="S11268" s="1" t="s">
        <v>34218</v>
      </c>
    </row>
    <row r="11269" spans="1:19" x14ac:dyDescent="0.25">
      <c r="A11269">
        <v>101434173</v>
      </c>
      <c r="B11269" t="s">
        <v>25112</v>
      </c>
      <c r="C11269" t="s">
        <v>25113</v>
      </c>
      <c r="G11269" t="s">
        <v>25114</v>
      </c>
      <c r="H11269" t="s">
        <v>3363</v>
      </c>
      <c r="I11269" t="s">
        <v>33</v>
      </c>
      <c r="J11269">
        <v>15213</v>
      </c>
      <c r="K11269">
        <v>2742</v>
      </c>
      <c r="L11269" t="s">
        <v>23</v>
      </c>
      <c r="M11269" t="s">
        <v>25114</v>
      </c>
      <c r="N11269" t="s">
        <v>3363</v>
      </c>
      <c r="O11269" t="s">
        <v>33</v>
      </c>
      <c r="P11269">
        <v>15213</v>
      </c>
      <c r="Q11269">
        <v>2742</v>
      </c>
      <c r="R11269" t="s">
        <v>23</v>
      </c>
      <c r="S11269" s="1" t="s">
        <v>34218</v>
      </c>
    </row>
    <row r="11270" spans="1:19" x14ac:dyDescent="0.25">
      <c r="A11270">
        <v>101480651</v>
      </c>
      <c r="B11270" t="s">
        <v>4067</v>
      </c>
      <c r="C11270" t="s">
        <v>25115</v>
      </c>
      <c r="G11270" t="s">
        <v>25116</v>
      </c>
      <c r="H11270" t="s">
        <v>380</v>
      </c>
      <c r="I11270" t="s">
        <v>38</v>
      </c>
      <c r="J11270">
        <v>75228</v>
      </c>
      <c r="K11270">
        <v>5435</v>
      </c>
      <c r="L11270" t="s">
        <v>23</v>
      </c>
      <c r="M11270" t="s">
        <v>25116</v>
      </c>
      <c r="N11270" t="s">
        <v>380</v>
      </c>
      <c r="O11270" t="s">
        <v>38</v>
      </c>
      <c r="P11270">
        <v>75228</v>
      </c>
      <c r="Q11270">
        <v>5435</v>
      </c>
      <c r="R11270" t="s">
        <v>23</v>
      </c>
      <c r="S11270" s="1" t="s">
        <v>34218</v>
      </c>
    </row>
    <row r="11271" spans="1:19" x14ac:dyDescent="0.25">
      <c r="A11271">
        <v>101005540</v>
      </c>
      <c r="B11271" t="s">
        <v>25117</v>
      </c>
      <c r="C11271" t="s">
        <v>4359</v>
      </c>
      <c r="G11271" t="s">
        <v>25118</v>
      </c>
      <c r="H11271" t="s">
        <v>9485</v>
      </c>
      <c r="I11271" t="s">
        <v>365</v>
      </c>
      <c r="J11271">
        <v>85375</v>
      </c>
      <c r="K11271">
        <v>3800</v>
      </c>
      <c r="L11271" t="s">
        <v>23</v>
      </c>
      <c r="M11271" t="s">
        <v>25118</v>
      </c>
      <c r="N11271" t="s">
        <v>9485</v>
      </c>
      <c r="O11271" t="s">
        <v>365</v>
      </c>
      <c r="P11271">
        <v>85375</v>
      </c>
      <c r="Q11271">
        <v>3800</v>
      </c>
      <c r="R11271" t="s">
        <v>23</v>
      </c>
      <c r="S11271" s="1" t="s">
        <v>34218</v>
      </c>
    </row>
    <row r="11272" spans="1:19" x14ac:dyDescent="0.25">
      <c r="A11272">
        <v>101472924</v>
      </c>
      <c r="B11272" t="s">
        <v>12712</v>
      </c>
      <c r="C11272" t="s">
        <v>916</v>
      </c>
      <c r="G11272" t="s">
        <v>25119</v>
      </c>
      <c r="H11272" t="s">
        <v>8728</v>
      </c>
      <c r="I11272" t="s">
        <v>22</v>
      </c>
      <c r="J11272">
        <v>92637</v>
      </c>
      <c r="K11272">
        <v>6708</v>
      </c>
      <c r="L11272" t="s">
        <v>23</v>
      </c>
      <c r="M11272" t="s">
        <v>25119</v>
      </c>
      <c r="N11272" t="s">
        <v>8728</v>
      </c>
      <c r="O11272" t="s">
        <v>22</v>
      </c>
      <c r="P11272">
        <v>92637</v>
      </c>
      <c r="Q11272">
        <v>6708</v>
      </c>
      <c r="R11272" t="s">
        <v>23</v>
      </c>
      <c r="S11272" s="1" t="s">
        <v>34218</v>
      </c>
    </row>
    <row r="11273" spans="1:19" x14ac:dyDescent="0.25">
      <c r="A11273">
        <v>100516161</v>
      </c>
      <c r="B11273" t="s">
        <v>76</v>
      </c>
      <c r="C11273" t="s">
        <v>5283</v>
      </c>
      <c r="G11273" t="s">
        <v>25120</v>
      </c>
      <c r="H11273" t="s">
        <v>8140</v>
      </c>
      <c r="I11273" t="s">
        <v>22</v>
      </c>
      <c r="J11273">
        <v>91711</v>
      </c>
      <c r="K11273">
        <v>2753</v>
      </c>
      <c r="L11273" t="s">
        <v>23</v>
      </c>
      <c r="M11273" t="s">
        <v>25120</v>
      </c>
      <c r="N11273" t="s">
        <v>8140</v>
      </c>
      <c r="O11273" t="s">
        <v>22</v>
      </c>
      <c r="P11273">
        <v>91711</v>
      </c>
      <c r="Q11273">
        <v>2753</v>
      </c>
      <c r="R11273" t="s">
        <v>23</v>
      </c>
      <c r="S11273" s="1" t="s">
        <v>34218</v>
      </c>
    </row>
    <row r="11274" spans="1:19" x14ac:dyDescent="0.25">
      <c r="A11274">
        <v>101479421</v>
      </c>
      <c r="B11274" t="s">
        <v>25121</v>
      </c>
      <c r="C11274" t="s">
        <v>25122</v>
      </c>
      <c r="G11274" t="s">
        <v>25123</v>
      </c>
      <c r="H11274" t="s">
        <v>25124</v>
      </c>
      <c r="I11274" t="s">
        <v>22</v>
      </c>
      <c r="J11274">
        <v>95956</v>
      </c>
      <c r="L11274" t="s">
        <v>23</v>
      </c>
      <c r="M11274" t="s">
        <v>25123</v>
      </c>
      <c r="N11274" t="s">
        <v>25124</v>
      </c>
      <c r="O11274" t="s">
        <v>22</v>
      </c>
      <c r="P11274">
        <v>95956</v>
      </c>
      <c r="R11274" t="s">
        <v>23</v>
      </c>
      <c r="S11274" s="1" t="s">
        <v>34218</v>
      </c>
    </row>
    <row r="11275" spans="1:19" x14ac:dyDescent="0.25">
      <c r="A11275">
        <v>100713848</v>
      </c>
      <c r="B11275" t="s">
        <v>276</v>
      </c>
      <c r="C11275" t="s">
        <v>305</v>
      </c>
      <c r="G11275" t="s">
        <v>25125</v>
      </c>
      <c r="H11275" t="s">
        <v>6001</v>
      </c>
      <c r="I11275" t="s">
        <v>84</v>
      </c>
      <c r="J11275">
        <v>98290</v>
      </c>
      <c r="K11275">
        <v>2059</v>
      </c>
      <c r="L11275" t="s">
        <v>23</v>
      </c>
      <c r="M11275" t="s">
        <v>25125</v>
      </c>
      <c r="N11275" t="s">
        <v>6001</v>
      </c>
      <c r="O11275" t="s">
        <v>84</v>
      </c>
      <c r="P11275">
        <v>98290</v>
      </c>
      <c r="Q11275">
        <v>2059</v>
      </c>
      <c r="R11275" t="s">
        <v>23</v>
      </c>
      <c r="S11275" s="1" t="s">
        <v>34218</v>
      </c>
    </row>
    <row r="11276" spans="1:19" x14ac:dyDescent="0.25">
      <c r="A11276">
        <v>101229967</v>
      </c>
      <c r="B11276" t="s">
        <v>25126</v>
      </c>
      <c r="C11276" t="s">
        <v>3951</v>
      </c>
      <c r="G11276" t="s">
        <v>25127</v>
      </c>
      <c r="H11276" t="s">
        <v>471</v>
      </c>
      <c r="I11276" t="s">
        <v>365</v>
      </c>
      <c r="J11276">
        <v>85259</v>
      </c>
      <c r="K11276">
        <v>6122</v>
      </c>
      <c r="L11276" t="s">
        <v>23</v>
      </c>
      <c r="M11276" t="s">
        <v>25127</v>
      </c>
      <c r="N11276" t="s">
        <v>471</v>
      </c>
      <c r="O11276" t="s">
        <v>365</v>
      </c>
      <c r="P11276">
        <v>85259</v>
      </c>
      <c r="Q11276">
        <v>6122</v>
      </c>
      <c r="R11276" t="s">
        <v>23</v>
      </c>
      <c r="S11276" s="1" t="s">
        <v>34218</v>
      </c>
    </row>
    <row r="11277" spans="1:19" x14ac:dyDescent="0.25">
      <c r="A11277">
        <v>101342138</v>
      </c>
      <c r="B11277" t="s">
        <v>25128</v>
      </c>
      <c r="C11277" t="s">
        <v>329</v>
      </c>
      <c r="G11277" t="s">
        <v>25129</v>
      </c>
      <c r="H11277" t="s">
        <v>25130</v>
      </c>
      <c r="I11277" t="s">
        <v>446</v>
      </c>
      <c r="J11277">
        <v>27563</v>
      </c>
      <c r="K11277">
        <v>9237</v>
      </c>
      <c r="L11277" t="s">
        <v>23</v>
      </c>
      <c r="M11277" t="s">
        <v>25129</v>
      </c>
      <c r="N11277" t="s">
        <v>25130</v>
      </c>
      <c r="O11277" t="s">
        <v>446</v>
      </c>
      <c r="P11277">
        <v>27563</v>
      </c>
      <c r="Q11277">
        <v>9237</v>
      </c>
      <c r="R11277" t="s">
        <v>23</v>
      </c>
      <c r="S11277" s="1" t="s">
        <v>34218</v>
      </c>
    </row>
    <row r="11278" spans="1:19" x14ac:dyDescent="0.25">
      <c r="A11278">
        <v>101343991</v>
      </c>
      <c r="B11278" t="s">
        <v>1745</v>
      </c>
      <c r="C11278" t="s">
        <v>266</v>
      </c>
      <c r="G11278" t="s">
        <v>25131</v>
      </c>
      <c r="H11278" t="s">
        <v>650</v>
      </c>
      <c r="I11278" t="s">
        <v>22</v>
      </c>
      <c r="J11278">
        <v>95818</v>
      </c>
      <c r="K11278">
        <v>3600</v>
      </c>
      <c r="L11278" t="s">
        <v>23</v>
      </c>
      <c r="M11278" t="s">
        <v>25131</v>
      </c>
      <c r="N11278" t="s">
        <v>650</v>
      </c>
      <c r="O11278" t="s">
        <v>22</v>
      </c>
      <c r="P11278">
        <v>95818</v>
      </c>
      <c r="Q11278">
        <v>3600</v>
      </c>
      <c r="R11278" t="s">
        <v>23</v>
      </c>
      <c r="S11278" s="1" t="s">
        <v>34218</v>
      </c>
    </row>
    <row r="11279" spans="1:19" x14ac:dyDescent="0.25">
      <c r="A11279">
        <v>101342257</v>
      </c>
      <c r="B11279" t="s">
        <v>25132</v>
      </c>
      <c r="C11279" t="s">
        <v>22875</v>
      </c>
      <c r="G11279" t="s">
        <v>25133</v>
      </c>
      <c r="H11279" t="s">
        <v>25134</v>
      </c>
      <c r="I11279" t="s">
        <v>187</v>
      </c>
      <c r="J11279">
        <v>56374</v>
      </c>
      <c r="K11279">
        <v>2020</v>
      </c>
      <c r="L11279" t="s">
        <v>23</v>
      </c>
      <c r="M11279" t="s">
        <v>25133</v>
      </c>
      <c r="N11279" t="s">
        <v>25134</v>
      </c>
      <c r="O11279" t="s">
        <v>187</v>
      </c>
      <c r="P11279">
        <v>56374</v>
      </c>
      <c r="Q11279">
        <v>2020</v>
      </c>
      <c r="R11279" t="s">
        <v>23</v>
      </c>
      <c r="S11279" s="1" t="s">
        <v>34218</v>
      </c>
    </row>
    <row r="11280" spans="1:19" x14ac:dyDescent="0.25">
      <c r="A11280">
        <v>101215943</v>
      </c>
      <c r="B11280" t="s">
        <v>25135</v>
      </c>
      <c r="C11280" t="s">
        <v>19953</v>
      </c>
      <c r="G11280" t="s">
        <v>25136</v>
      </c>
      <c r="H11280" t="s">
        <v>56</v>
      </c>
      <c r="I11280" t="s">
        <v>57</v>
      </c>
      <c r="J11280">
        <v>46807</v>
      </c>
      <c r="K11280">
        <v>2521</v>
      </c>
      <c r="L11280" t="s">
        <v>23</v>
      </c>
      <c r="M11280" t="s">
        <v>25136</v>
      </c>
      <c r="N11280" t="s">
        <v>56</v>
      </c>
      <c r="O11280" t="s">
        <v>57</v>
      </c>
      <c r="P11280">
        <v>46807</v>
      </c>
      <c r="Q11280">
        <v>2521</v>
      </c>
      <c r="R11280" t="s">
        <v>23</v>
      </c>
      <c r="S11280" s="1" t="s">
        <v>34218</v>
      </c>
    </row>
    <row r="11281" spans="1:19" x14ac:dyDescent="0.25">
      <c r="A11281">
        <v>101217027</v>
      </c>
      <c r="B11281" t="s">
        <v>25137</v>
      </c>
      <c r="C11281" t="s">
        <v>25138</v>
      </c>
      <c r="F11281" t="str">
        <f>"9165389619"</f>
        <v>9165389619</v>
      </c>
      <c r="G11281" t="s">
        <v>25139</v>
      </c>
      <c r="H11281" t="s">
        <v>650</v>
      </c>
      <c r="I11281" t="s">
        <v>22</v>
      </c>
      <c r="J11281">
        <v>95820</v>
      </c>
      <c r="K11281">
        <v>4232</v>
      </c>
      <c r="L11281" t="s">
        <v>23</v>
      </c>
      <c r="M11281" t="s">
        <v>25139</v>
      </c>
      <c r="N11281" t="s">
        <v>650</v>
      </c>
      <c r="O11281" t="s">
        <v>22</v>
      </c>
      <c r="P11281">
        <v>95820</v>
      </c>
      <c r="Q11281">
        <v>4232</v>
      </c>
      <c r="R11281" t="s">
        <v>23</v>
      </c>
      <c r="S11281" s="1" t="s">
        <v>34218</v>
      </c>
    </row>
    <row r="11282" spans="1:19" x14ac:dyDescent="0.25">
      <c r="A11282">
        <v>101217209</v>
      </c>
      <c r="B11282" t="s">
        <v>25140</v>
      </c>
      <c r="C11282" t="s">
        <v>4427</v>
      </c>
      <c r="G11282" t="s">
        <v>25141</v>
      </c>
      <c r="H11282" t="s">
        <v>13596</v>
      </c>
      <c r="I11282" t="s">
        <v>28</v>
      </c>
      <c r="J11282">
        <v>30152</v>
      </c>
      <c r="K11282">
        <v>4640</v>
      </c>
      <c r="L11282" t="s">
        <v>23</v>
      </c>
      <c r="M11282" t="s">
        <v>25141</v>
      </c>
      <c r="N11282" t="s">
        <v>13596</v>
      </c>
      <c r="O11282" t="s">
        <v>28</v>
      </c>
      <c r="P11282">
        <v>30152</v>
      </c>
      <c r="Q11282">
        <v>4640</v>
      </c>
      <c r="R11282" t="s">
        <v>23</v>
      </c>
      <c r="S11282" s="1" t="s">
        <v>34218</v>
      </c>
    </row>
    <row r="11283" spans="1:19" x14ac:dyDescent="0.25">
      <c r="A11283">
        <v>101224667</v>
      </c>
      <c r="B11283" t="s">
        <v>7637</v>
      </c>
      <c r="C11283" t="s">
        <v>1873</v>
      </c>
      <c r="G11283" t="s">
        <v>25142</v>
      </c>
      <c r="H11283" t="s">
        <v>1504</v>
      </c>
      <c r="I11283" t="s">
        <v>250</v>
      </c>
      <c r="J11283">
        <v>8510</v>
      </c>
      <c r="K11283">
        <v>1719</v>
      </c>
      <c r="L11283" t="s">
        <v>23</v>
      </c>
      <c r="M11283" t="s">
        <v>25142</v>
      </c>
      <c r="N11283" t="s">
        <v>1504</v>
      </c>
      <c r="O11283" t="s">
        <v>250</v>
      </c>
      <c r="P11283">
        <v>8510</v>
      </c>
      <c r="Q11283">
        <v>1719</v>
      </c>
      <c r="R11283" t="s">
        <v>23</v>
      </c>
      <c r="S11283" s="1" t="s">
        <v>34218</v>
      </c>
    </row>
    <row r="11284" spans="1:19" x14ac:dyDescent="0.25">
      <c r="A11284">
        <v>101224748</v>
      </c>
      <c r="B11284" t="s">
        <v>1242</v>
      </c>
      <c r="C11284" t="s">
        <v>1309</v>
      </c>
      <c r="G11284" t="s">
        <v>25143</v>
      </c>
      <c r="H11284" t="s">
        <v>2894</v>
      </c>
      <c r="I11284" t="s">
        <v>178</v>
      </c>
      <c r="J11284">
        <v>43606</v>
      </c>
      <c r="K11284">
        <v>3642</v>
      </c>
      <c r="L11284" t="s">
        <v>23</v>
      </c>
      <c r="M11284" t="s">
        <v>25143</v>
      </c>
      <c r="N11284" t="s">
        <v>2894</v>
      </c>
      <c r="O11284" t="s">
        <v>178</v>
      </c>
      <c r="P11284">
        <v>43606</v>
      </c>
      <c r="Q11284">
        <v>3642</v>
      </c>
      <c r="R11284" t="s">
        <v>23</v>
      </c>
      <c r="S11284" s="1" t="s">
        <v>34218</v>
      </c>
    </row>
    <row r="11285" spans="1:19" x14ac:dyDescent="0.25">
      <c r="A11285">
        <v>101224731</v>
      </c>
      <c r="B11285" t="s">
        <v>25144</v>
      </c>
      <c r="C11285" t="s">
        <v>1463</v>
      </c>
      <c r="G11285" t="s">
        <v>25145</v>
      </c>
      <c r="H11285" t="s">
        <v>4510</v>
      </c>
      <c r="I11285" t="s">
        <v>84</v>
      </c>
      <c r="J11285">
        <v>98204</v>
      </c>
      <c r="K11285">
        <v>2722</v>
      </c>
      <c r="L11285" t="s">
        <v>23</v>
      </c>
      <c r="M11285" t="s">
        <v>25145</v>
      </c>
      <c r="N11285" t="s">
        <v>4510</v>
      </c>
      <c r="O11285" t="s">
        <v>84</v>
      </c>
      <c r="P11285">
        <v>98204</v>
      </c>
      <c r="Q11285">
        <v>2722</v>
      </c>
      <c r="R11285" t="s">
        <v>23</v>
      </c>
      <c r="S11285" s="1" t="s">
        <v>34218</v>
      </c>
    </row>
    <row r="11286" spans="1:19" x14ac:dyDescent="0.25">
      <c r="A11286">
        <v>101230421</v>
      </c>
      <c r="B11286" t="s">
        <v>25146</v>
      </c>
      <c r="C11286" t="s">
        <v>1036</v>
      </c>
      <c r="G11286" t="s">
        <v>25147</v>
      </c>
      <c r="H11286" t="s">
        <v>741</v>
      </c>
      <c r="I11286" t="s">
        <v>22</v>
      </c>
      <c r="J11286">
        <v>91303</v>
      </c>
      <c r="K11286">
        <v>3065</v>
      </c>
      <c r="L11286" t="s">
        <v>23</v>
      </c>
      <c r="M11286" t="s">
        <v>25147</v>
      </c>
      <c r="N11286" t="s">
        <v>741</v>
      </c>
      <c r="O11286" t="s">
        <v>22</v>
      </c>
      <c r="P11286">
        <v>91303</v>
      </c>
      <c r="Q11286">
        <v>3065</v>
      </c>
      <c r="R11286" t="s">
        <v>23</v>
      </c>
      <c r="S11286" s="1" t="s">
        <v>34218</v>
      </c>
    </row>
    <row r="11287" spans="1:19" x14ac:dyDescent="0.25">
      <c r="A11287">
        <v>101434702</v>
      </c>
      <c r="B11287" t="s">
        <v>3109</v>
      </c>
      <c r="C11287" t="s">
        <v>2599</v>
      </c>
      <c r="G11287" t="s">
        <v>25148</v>
      </c>
      <c r="H11287" t="s">
        <v>130</v>
      </c>
      <c r="I11287" t="s">
        <v>22</v>
      </c>
      <c r="J11287">
        <v>94131</v>
      </c>
      <c r="K11287">
        <v>3016</v>
      </c>
      <c r="L11287" t="s">
        <v>23</v>
      </c>
      <c r="M11287" t="s">
        <v>25148</v>
      </c>
      <c r="N11287" t="s">
        <v>130</v>
      </c>
      <c r="O11287" t="s">
        <v>22</v>
      </c>
      <c r="P11287">
        <v>94131</v>
      </c>
      <c r="Q11287">
        <v>3016</v>
      </c>
      <c r="R11287" t="s">
        <v>23</v>
      </c>
      <c r="S11287" s="1" t="s">
        <v>34218</v>
      </c>
    </row>
    <row r="11288" spans="1:19" x14ac:dyDescent="0.25">
      <c r="A11288">
        <v>101329243</v>
      </c>
      <c r="B11288" t="s">
        <v>1889</v>
      </c>
      <c r="C11288" t="s">
        <v>119</v>
      </c>
      <c r="G11288" t="s">
        <v>25149</v>
      </c>
      <c r="H11288" t="s">
        <v>761</v>
      </c>
      <c r="I11288" t="s">
        <v>236</v>
      </c>
      <c r="J11288">
        <v>1742</v>
      </c>
      <c r="K11288">
        <v>5301</v>
      </c>
      <c r="L11288" t="s">
        <v>23</v>
      </c>
      <c r="M11288" t="s">
        <v>25149</v>
      </c>
      <c r="N11288" t="s">
        <v>761</v>
      </c>
      <c r="O11288" t="s">
        <v>236</v>
      </c>
      <c r="P11288">
        <v>1742</v>
      </c>
      <c r="Q11288">
        <v>5301</v>
      </c>
      <c r="R11288" t="s">
        <v>23</v>
      </c>
      <c r="S11288" s="1" t="s">
        <v>34218</v>
      </c>
    </row>
    <row r="11289" spans="1:19" x14ac:dyDescent="0.25">
      <c r="A11289">
        <v>101466127</v>
      </c>
      <c r="B11289" t="s">
        <v>12434</v>
      </c>
      <c r="C11289" t="s">
        <v>1153</v>
      </c>
      <c r="G11289" t="s">
        <v>10192</v>
      </c>
      <c r="H11289" t="s">
        <v>2847</v>
      </c>
      <c r="I11289" t="s">
        <v>365</v>
      </c>
      <c r="J11289">
        <v>86322</v>
      </c>
      <c r="L11289" t="s">
        <v>23</v>
      </c>
      <c r="M11289" t="s">
        <v>10192</v>
      </c>
      <c r="N11289" t="s">
        <v>2847</v>
      </c>
      <c r="O11289" t="s">
        <v>365</v>
      </c>
      <c r="P11289">
        <v>86322</v>
      </c>
      <c r="R11289" t="s">
        <v>23</v>
      </c>
      <c r="S11289" s="1" t="s">
        <v>34218</v>
      </c>
    </row>
    <row r="11290" spans="1:19" x14ac:dyDescent="0.25">
      <c r="A11290">
        <v>101261058</v>
      </c>
      <c r="B11290" t="s">
        <v>25150</v>
      </c>
      <c r="C11290" t="s">
        <v>483</v>
      </c>
      <c r="G11290" t="s">
        <v>3709</v>
      </c>
      <c r="H11290" t="s">
        <v>6831</v>
      </c>
      <c r="I11290" t="s">
        <v>22</v>
      </c>
      <c r="J11290">
        <v>95448</v>
      </c>
      <c r="K11290">
        <v>296</v>
      </c>
      <c r="L11290" t="s">
        <v>23</v>
      </c>
      <c r="M11290" t="s">
        <v>3709</v>
      </c>
      <c r="N11290" t="s">
        <v>6831</v>
      </c>
      <c r="O11290" t="s">
        <v>22</v>
      </c>
      <c r="P11290">
        <v>95448</v>
      </c>
      <c r="Q11290">
        <v>296</v>
      </c>
      <c r="R11290" t="s">
        <v>23</v>
      </c>
      <c r="S11290" s="1" t="s">
        <v>34218</v>
      </c>
    </row>
    <row r="11291" spans="1:19" x14ac:dyDescent="0.25">
      <c r="A11291">
        <v>101306675</v>
      </c>
      <c r="B11291" t="s">
        <v>25151</v>
      </c>
      <c r="C11291" t="s">
        <v>2343</v>
      </c>
      <c r="G11291" t="s">
        <v>25152</v>
      </c>
      <c r="H11291" t="s">
        <v>25153</v>
      </c>
      <c r="I11291" t="s">
        <v>332</v>
      </c>
      <c r="J11291">
        <v>84405</v>
      </c>
      <c r="K11291">
        <v>5550</v>
      </c>
      <c r="L11291" t="s">
        <v>23</v>
      </c>
      <c r="M11291" t="s">
        <v>25152</v>
      </c>
      <c r="N11291" t="s">
        <v>25153</v>
      </c>
      <c r="O11291" t="s">
        <v>332</v>
      </c>
      <c r="P11291">
        <v>84405</v>
      </c>
      <c r="Q11291">
        <v>5550</v>
      </c>
      <c r="R11291" t="s">
        <v>23</v>
      </c>
      <c r="S11291" s="1" t="s">
        <v>34218</v>
      </c>
    </row>
    <row r="11292" spans="1:19" x14ac:dyDescent="0.25">
      <c r="A11292">
        <v>101466642</v>
      </c>
      <c r="B11292" t="s">
        <v>25154</v>
      </c>
      <c r="C11292" t="s">
        <v>803</v>
      </c>
      <c r="G11292" t="s">
        <v>25155</v>
      </c>
      <c r="H11292" t="s">
        <v>10113</v>
      </c>
      <c r="I11292" t="s">
        <v>161</v>
      </c>
      <c r="J11292">
        <v>6897</v>
      </c>
      <c r="K11292">
        <v>1908</v>
      </c>
      <c r="L11292" t="s">
        <v>23</v>
      </c>
      <c r="M11292" t="s">
        <v>25155</v>
      </c>
      <c r="N11292" t="s">
        <v>10113</v>
      </c>
      <c r="O11292" t="s">
        <v>161</v>
      </c>
      <c r="P11292">
        <v>6897</v>
      </c>
      <c r="Q11292">
        <v>1908</v>
      </c>
      <c r="R11292" t="s">
        <v>23</v>
      </c>
      <c r="S11292" s="1" t="s">
        <v>34218</v>
      </c>
    </row>
    <row r="11293" spans="1:19" x14ac:dyDescent="0.25">
      <c r="A11293">
        <v>100603762</v>
      </c>
      <c r="B11293" t="s">
        <v>25156</v>
      </c>
      <c r="C11293" t="s">
        <v>102</v>
      </c>
      <c r="G11293" t="s">
        <v>25157</v>
      </c>
      <c r="H11293" t="s">
        <v>11932</v>
      </c>
      <c r="I11293" t="s">
        <v>43</v>
      </c>
      <c r="J11293">
        <v>97269</v>
      </c>
      <c r="K11293">
        <v>2250</v>
      </c>
      <c r="L11293" t="s">
        <v>23</v>
      </c>
      <c r="M11293" t="s">
        <v>25157</v>
      </c>
      <c r="N11293" t="s">
        <v>11932</v>
      </c>
      <c r="O11293" t="s">
        <v>43</v>
      </c>
      <c r="P11293">
        <v>97269</v>
      </c>
      <c r="Q11293">
        <v>2250</v>
      </c>
      <c r="R11293" t="s">
        <v>23</v>
      </c>
      <c r="S11293" s="1" t="s">
        <v>34218</v>
      </c>
    </row>
    <row r="11294" spans="1:19" x14ac:dyDescent="0.25">
      <c r="A11294">
        <v>101446962</v>
      </c>
      <c r="B11294" t="s">
        <v>25158</v>
      </c>
      <c r="C11294" t="s">
        <v>25159</v>
      </c>
      <c r="G11294" t="s">
        <v>25160</v>
      </c>
      <c r="H11294" t="s">
        <v>2175</v>
      </c>
      <c r="I11294" t="s">
        <v>71</v>
      </c>
      <c r="J11294">
        <v>80113</v>
      </c>
      <c r="L11294" t="s">
        <v>23</v>
      </c>
      <c r="M11294" t="s">
        <v>25160</v>
      </c>
      <c r="N11294" t="s">
        <v>2175</v>
      </c>
      <c r="O11294" t="s">
        <v>71</v>
      </c>
      <c r="P11294">
        <v>80113</v>
      </c>
      <c r="R11294" t="s">
        <v>23</v>
      </c>
      <c r="S11294" s="1" t="s">
        <v>34218</v>
      </c>
    </row>
    <row r="11295" spans="1:19" x14ac:dyDescent="0.25">
      <c r="A11295">
        <v>101467425</v>
      </c>
      <c r="B11295" t="s">
        <v>5610</v>
      </c>
      <c r="C11295" t="s">
        <v>1374</v>
      </c>
      <c r="G11295" t="s">
        <v>25161</v>
      </c>
      <c r="H11295" t="s">
        <v>3286</v>
      </c>
      <c r="I11295" t="s">
        <v>22</v>
      </c>
      <c r="J11295">
        <v>92832</v>
      </c>
      <c r="K11295">
        <v>1607</v>
      </c>
      <c r="L11295" t="s">
        <v>23</v>
      </c>
      <c r="M11295" t="s">
        <v>25161</v>
      </c>
      <c r="N11295" t="s">
        <v>3286</v>
      </c>
      <c r="O11295" t="s">
        <v>22</v>
      </c>
      <c r="P11295">
        <v>92832</v>
      </c>
      <c r="Q11295">
        <v>1607</v>
      </c>
      <c r="R11295" t="s">
        <v>23</v>
      </c>
      <c r="S11295" s="1" t="s">
        <v>34218</v>
      </c>
    </row>
    <row r="11296" spans="1:19" x14ac:dyDescent="0.25">
      <c r="A11296">
        <v>101274644</v>
      </c>
      <c r="B11296" t="s">
        <v>8868</v>
      </c>
      <c r="C11296" t="s">
        <v>13414</v>
      </c>
      <c r="G11296" t="s">
        <v>25162</v>
      </c>
      <c r="H11296" t="s">
        <v>9229</v>
      </c>
      <c r="I11296" t="s">
        <v>52</v>
      </c>
      <c r="J11296" t="s">
        <v>25163</v>
      </c>
      <c r="K11296">
        <v>1608</v>
      </c>
      <c r="L11296" t="s">
        <v>23</v>
      </c>
      <c r="M11296" t="s">
        <v>25162</v>
      </c>
      <c r="N11296" t="s">
        <v>9229</v>
      </c>
      <c r="O11296" t="s">
        <v>52</v>
      </c>
      <c r="P11296" t="s">
        <v>25163</v>
      </c>
      <c r="Q11296">
        <v>1608</v>
      </c>
      <c r="R11296" t="s">
        <v>23</v>
      </c>
      <c r="S11296" s="1" t="s">
        <v>34218</v>
      </c>
    </row>
    <row r="11297" spans="1:19" x14ac:dyDescent="0.25">
      <c r="A11297">
        <v>101303588</v>
      </c>
      <c r="B11297" t="s">
        <v>25164</v>
      </c>
      <c r="C11297" t="s">
        <v>21876</v>
      </c>
      <c r="G11297" t="s">
        <v>25165</v>
      </c>
      <c r="H11297" t="s">
        <v>25166</v>
      </c>
      <c r="I11297" t="s">
        <v>255</v>
      </c>
      <c r="J11297" t="s">
        <v>25167</v>
      </c>
      <c r="K11297">
        <v>3086</v>
      </c>
      <c r="L11297" t="s">
        <v>23</v>
      </c>
      <c r="M11297" t="s">
        <v>25165</v>
      </c>
      <c r="N11297" t="s">
        <v>25166</v>
      </c>
      <c r="O11297" t="s">
        <v>255</v>
      </c>
      <c r="P11297" t="s">
        <v>25167</v>
      </c>
      <c r="Q11297">
        <v>3086</v>
      </c>
      <c r="R11297" t="s">
        <v>23</v>
      </c>
      <c r="S11297" s="1" t="s">
        <v>34218</v>
      </c>
    </row>
    <row r="11298" spans="1:19" x14ac:dyDescent="0.25">
      <c r="A11298">
        <v>100886988</v>
      </c>
      <c r="B11298" t="s">
        <v>308</v>
      </c>
      <c r="C11298" t="s">
        <v>25168</v>
      </c>
      <c r="G11298" t="s">
        <v>25169</v>
      </c>
      <c r="H11298" t="s">
        <v>303</v>
      </c>
      <c r="I11298" t="s">
        <v>1226</v>
      </c>
      <c r="J11298">
        <v>39206</v>
      </c>
      <c r="L11298" t="s">
        <v>23</v>
      </c>
      <c r="M11298" t="s">
        <v>25169</v>
      </c>
      <c r="N11298" t="s">
        <v>303</v>
      </c>
      <c r="O11298" t="s">
        <v>1226</v>
      </c>
      <c r="P11298">
        <v>39206</v>
      </c>
      <c r="R11298" t="s">
        <v>23</v>
      </c>
      <c r="S11298" s="1" t="s">
        <v>34218</v>
      </c>
    </row>
    <row r="11299" spans="1:19" x14ac:dyDescent="0.25">
      <c r="A11299">
        <v>101467695</v>
      </c>
      <c r="B11299" t="s">
        <v>1872</v>
      </c>
      <c r="C11299" t="s">
        <v>3130</v>
      </c>
      <c r="G11299" t="s">
        <v>25170</v>
      </c>
      <c r="H11299" t="s">
        <v>705</v>
      </c>
      <c r="I11299" t="s">
        <v>22</v>
      </c>
      <c r="J11299">
        <v>94501</v>
      </c>
      <c r="K11299">
        <v>2229</v>
      </c>
      <c r="L11299" t="s">
        <v>23</v>
      </c>
      <c r="M11299" t="s">
        <v>25170</v>
      </c>
      <c r="N11299" t="s">
        <v>705</v>
      </c>
      <c r="O11299" t="s">
        <v>22</v>
      </c>
      <c r="P11299">
        <v>94501</v>
      </c>
      <c r="Q11299">
        <v>2229</v>
      </c>
      <c r="R11299" t="s">
        <v>23</v>
      </c>
      <c r="S11299" s="1" t="s">
        <v>34218</v>
      </c>
    </row>
    <row r="11300" spans="1:19" x14ac:dyDescent="0.25">
      <c r="A11300">
        <v>101198036</v>
      </c>
      <c r="B11300" t="s">
        <v>25171</v>
      </c>
      <c r="C11300" t="s">
        <v>155</v>
      </c>
      <c r="G11300" t="s">
        <v>25172</v>
      </c>
      <c r="H11300" t="s">
        <v>2523</v>
      </c>
      <c r="I11300" t="s">
        <v>161</v>
      </c>
      <c r="J11300">
        <v>6437</v>
      </c>
      <c r="K11300">
        <v>1382</v>
      </c>
      <c r="L11300" t="s">
        <v>23</v>
      </c>
      <c r="M11300" t="s">
        <v>25172</v>
      </c>
      <c r="N11300" t="s">
        <v>2523</v>
      </c>
      <c r="O11300" t="s">
        <v>161</v>
      </c>
      <c r="P11300">
        <v>6437</v>
      </c>
      <c r="Q11300">
        <v>1382</v>
      </c>
      <c r="R11300" t="s">
        <v>23</v>
      </c>
      <c r="S11300" s="1" t="s">
        <v>34218</v>
      </c>
    </row>
    <row r="11301" spans="1:19" x14ac:dyDescent="0.25">
      <c r="A11301">
        <v>100664331</v>
      </c>
      <c r="B11301" t="s">
        <v>13531</v>
      </c>
      <c r="C11301" t="s">
        <v>329</v>
      </c>
      <c r="G11301" t="s">
        <v>25173</v>
      </c>
      <c r="H11301" t="s">
        <v>682</v>
      </c>
      <c r="I11301" t="s">
        <v>365</v>
      </c>
      <c r="J11301">
        <v>85086</v>
      </c>
      <c r="L11301" t="s">
        <v>23</v>
      </c>
      <c r="M11301" t="s">
        <v>25173</v>
      </c>
      <c r="N11301" t="s">
        <v>682</v>
      </c>
      <c r="O11301" t="s">
        <v>365</v>
      </c>
      <c r="P11301">
        <v>85086</v>
      </c>
      <c r="R11301" t="s">
        <v>23</v>
      </c>
      <c r="S11301" s="1" t="s">
        <v>34218</v>
      </c>
    </row>
    <row r="11302" spans="1:19" x14ac:dyDescent="0.25">
      <c r="A11302">
        <v>101323762</v>
      </c>
      <c r="B11302" t="s">
        <v>25174</v>
      </c>
      <c r="C11302" t="s">
        <v>557</v>
      </c>
      <c r="G11302" t="s">
        <v>25175</v>
      </c>
      <c r="H11302" t="s">
        <v>13315</v>
      </c>
      <c r="I11302" t="s">
        <v>33</v>
      </c>
      <c r="J11302">
        <v>15009</v>
      </c>
      <c r="K11302">
        <v>2730</v>
      </c>
      <c r="L11302" t="s">
        <v>23</v>
      </c>
      <c r="M11302" t="s">
        <v>25175</v>
      </c>
      <c r="N11302" t="s">
        <v>13315</v>
      </c>
      <c r="O11302" t="s">
        <v>33</v>
      </c>
      <c r="P11302">
        <v>15009</v>
      </c>
      <c r="Q11302">
        <v>2730</v>
      </c>
      <c r="R11302" t="s">
        <v>23</v>
      </c>
      <c r="S11302" s="1" t="s">
        <v>34218</v>
      </c>
    </row>
    <row r="11303" spans="1:19" x14ac:dyDescent="0.25">
      <c r="A11303">
        <v>101274647</v>
      </c>
      <c r="B11303" t="s">
        <v>3167</v>
      </c>
      <c r="C11303" t="s">
        <v>2892</v>
      </c>
      <c r="G11303" t="s">
        <v>25176</v>
      </c>
      <c r="H11303" t="s">
        <v>24455</v>
      </c>
      <c r="I11303" t="s">
        <v>140</v>
      </c>
      <c r="J11303">
        <v>48350</v>
      </c>
      <c r="K11303">
        <v>2649</v>
      </c>
      <c r="L11303" t="s">
        <v>23</v>
      </c>
      <c r="M11303" t="s">
        <v>25176</v>
      </c>
      <c r="N11303" t="s">
        <v>24455</v>
      </c>
      <c r="O11303" t="s">
        <v>140</v>
      </c>
      <c r="P11303">
        <v>48350</v>
      </c>
      <c r="Q11303">
        <v>2649</v>
      </c>
      <c r="R11303" t="s">
        <v>23</v>
      </c>
      <c r="S11303" s="1" t="s">
        <v>34218</v>
      </c>
    </row>
    <row r="11304" spans="1:19" x14ac:dyDescent="0.25">
      <c r="A11304">
        <v>101130992</v>
      </c>
      <c r="B11304" t="s">
        <v>2357</v>
      </c>
      <c r="C11304" t="s">
        <v>4956</v>
      </c>
      <c r="G11304" t="s">
        <v>25177</v>
      </c>
      <c r="H11304" t="s">
        <v>737</v>
      </c>
      <c r="I11304" t="s">
        <v>255</v>
      </c>
      <c r="J11304">
        <v>23451</v>
      </c>
      <c r="K11304">
        <v>2274</v>
      </c>
      <c r="L11304" t="s">
        <v>23</v>
      </c>
      <c r="M11304" t="s">
        <v>25177</v>
      </c>
      <c r="N11304" t="s">
        <v>737</v>
      </c>
      <c r="O11304" t="s">
        <v>255</v>
      </c>
      <c r="P11304">
        <v>23451</v>
      </c>
      <c r="Q11304">
        <v>2274</v>
      </c>
      <c r="R11304" t="s">
        <v>23</v>
      </c>
      <c r="S11304" s="1" t="s">
        <v>34218</v>
      </c>
    </row>
    <row r="11305" spans="1:19" x14ac:dyDescent="0.25">
      <c r="A11305">
        <v>100515633</v>
      </c>
      <c r="B11305" t="s">
        <v>20060</v>
      </c>
      <c r="C11305" t="s">
        <v>167</v>
      </c>
      <c r="G11305" t="s">
        <v>25178</v>
      </c>
      <c r="H11305" t="s">
        <v>16436</v>
      </c>
      <c r="I11305" t="s">
        <v>52</v>
      </c>
      <c r="J11305">
        <v>32404</v>
      </c>
      <c r="L11305" t="s">
        <v>23</v>
      </c>
      <c r="M11305" t="s">
        <v>25178</v>
      </c>
      <c r="N11305" t="s">
        <v>16436</v>
      </c>
      <c r="O11305" t="s">
        <v>52</v>
      </c>
      <c r="P11305">
        <v>32404</v>
      </c>
      <c r="R11305" t="s">
        <v>23</v>
      </c>
      <c r="S11305" s="1" t="s">
        <v>34218</v>
      </c>
    </row>
    <row r="11306" spans="1:19" x14ac:dyDescent="0.25">
      <c r="A11306">
        <v>101470166</v>
      </c>
      <c r="B11306" t="s">
        <v>22384</v>
      </c>
      <c r="C11306" t="s">
        <v>102</v>
      </c>
      <c r="G11306" t="s">
        <v>25179</v>
      </c>
      <c r="H11306" t="s">
        <v>2910</v>
      </c>
      <c r="I11306" t="s">
        <v>52</v>
      </c>
      <c r="J11306">
        <v>34237</v>
      </c>
      <c r="K11306">
        <v>3678</v>
      </c>
      <c r="L11306" t="s">
        <v>23</v>
      </c>
      <c r="M11306" t="s">
        <v>25179</v>
      </c>
      <c r="N11306" t="s">
        <v>2910</v>
      </c>
      <c r="O11306" t="s">
        <v>52</v>
      </c>
      <c r="P11306">
        <v>34237</v>
      </c>
      <c r="Q11306">
        <v>3678</v>
      </c>
      <c r="R11306" t="s">
        <v>23</v>
      </c>
      <c r="S11306" s="1" t="s">
        <v>34218</v>
      </c>
    </row>
    <row r="11307" spans="1:19" x14ac:dyDescent="0.25">
      <c r="A11307">
        <v>101430925</v>
      </c>
      <c r="B11307" t="s">
        <v>3696</v>
      </c>
      <c r="C11307" t="s">
        <v>803</v>
      </c>
      <c r="G11307" t="s">
        <v>25180</v>
      </c>
      <c r="H11307" t="s">
        <v>13536</v>
      </c>
      <c r="I11307" t="s">
        <v>236</v>
      </c>
      <c r="J11307">
        <v>2152</v>
      </c>
      <c r="K11307">
        <v>1114</v>
      </c>
      <c r="L11307" t="s">
        <v>23</v>
      </c>
      <c r="M11307" t="s">
        <v>25180</v>
      </c>
      <c r="N11307" t="s">
        <v>13536</v>
      </c>
      <c r="O11307" t="s">
        <v>236</v>
      </c>
      <c r="P11307">
        <v>2152</v>
      </c>
      <c r="Q11307">
        <v>1114</v>
      </c>
      <c r="R11307" t="s">
        <v>23</v>
      </c>
      <c r="S11307" s="1" t="s">
        <v>34218</v>
      </c>
    </row>
    <row r="11308" spans="1:19" x14ac:dyDescent="0.25">
      <c r="A11308">
        <v>101468137</v>
      </c>
      <c r="B11308" t="s">
        <v>25181</v>
      </c>
      <c r="C11308" t="s">
        <v>1161</v>
      </c>
      <c r="G11308" t="s">
        <v>25182</v>
      </c>
      <c r="H11308" t="s">
        <v>650</v>
      </c>
      <c r="I11308" t="s">
        <v>22</v>
      </c>
      <c r="J11308">
        <v>95822</v>
      </c>
      <c r="K11308">
        <v>1637</v>
      </c>
      <c r="L11308" t="s">
        <v>23</v>
      </c>
      <c r="M11308" t="s">
        <v>25182</v>
      </c>
      <c r="N11308" t="s">
        <v>650</v>
      </c>
      <c r="O11308" t="s">
        <v>22</v>
      </c>
      <c r="P11308">
        <v>95822</v>
      </c>
      <c r="Q11308">
        <v>1637</v>
      </c>
      <c r="R11308" t="s">
        <v>23</v>
      </c>
      <c r="S11308" s="1" t="s">
        <v>34218</v>
      </c>
    </row>
    <row r="11309" spans="1:19" x14ac:dyDescent="0.25">
      <c r="A11309">
        <v>101029842</v>
      </c>
      <c r="B11309" t="s">
        <v>14032</v>
      </c>
      <c r="C11309" t="s">
        <v>382</v>
      </c>
      <c r="G11309" t="s">
        <v>25183</v>
      </c>
      <c r="H11309" t="s">
        <v>160</v>
      </c>
      <c r="I11309" t="s">
        <v>161</v>
      </c>
      <c r="J11309">
        <v>6704</v>
      </c>
      <c r="K11309">
        <v>1010</v>
      </c>
      <c r="L11309" t="s">
        <v>23</v>
      </c>
      <c r="M11309" t="s">
        <v>25183</v>
      </c>
      <c r="N11309" t="s">
        <v>160</v>
      </c>
      <c r="O11309" t="s">
        <v>161</v>
      </c>
      <c r="P11309">
        <v>6704</v>
      </c>
      <c r="Q11309">
        <v>1010</v>
      </c>
      <c r="R11309" t="s">
        <v>23</v>
      </c>
      <c r="S11309" s="1" t="s">
        <v>34218</v>
      </c>
    </row>
    <row r="11310" spans="1:19" x14ac:dyDescent="0.25">
      <c r="A11310">
        <v>101406314</v>
      </c>
      <c r="B11310" t="s">
        <v>25184</v>
      </c>
      <c r="C11310" t="s">
        <v>90</v>
      </c>
      <c r="G11310" t="s">
        <v>25185</v>
      </c>
      <c r="H11310" t="s">
        <v>836</v>
      </c>
      <c r="I11310" t="s">
        <v>353</v>
      </c>
      <c r="J11310">
        <v>3592</v>
      </c>
      <c r="K11310">
        <v>7140</v>
      </c>
      <c r="L11310" t="s">
        <v>23</v>
      </c>
      <c r="M11310" t="s">
        <v>25185</v>
      </c>
      <c r="N11310" t="s">
        <v>836</v>
      </c>
      <c r="O11310" t="s">
        <v>353</v>
      </c>
      <c r="P11310">
        <v>3592</v>
      </c>
      <c r="Q11310">
        <v>7140</v>
      </c>
      <c r="R11310" t="s">
        <v>23</v>
      </c>
      <c r="S11310" s="1" t="s">
        <v>34218</v>
      </c>
    </row>
    <row r="11311" spans="1:19" x14ac:dyDescent="0.25">
      <c r="A11311">
        <v>101294405</v>
      </c>
      <c r="B11311" t="s">
        <v>25186</v>
      </c>
      <c r="C11311" t="s">
        <v>11143</v>
      </c>
      <c r="G11311" t="s">
        <v>25187</v>
      </c>
      <c r="H11311" t="s">
        <v>2605</v>
      </c>
      <c r="I11311" t="s">
        <v>117</v>
      </c>
      <c r="J11311">
        <v>11968</v>
      </c>
      <c r="K11311">
        <v>2235</v>
      </c>
      <c r="L11311" t="s">
        <v>23</v>
      </c>
      <c r="M11311" t="s">
        <v>25187</v>
      </c>
      <c r="N11311" t="s">
        <v>2605</v>
      </c>
      <c r="O11311" t="s">
        <v>117</v>
      </c>
      <c r="P11311">
        <v>11968</v>
      </c>
      <c r="Q11311">
        <v>2235</v>
      </c>
      <c r="R11311" t="s">
        <v>23</v>
      </c>
      <c r="S11311" s="1" t="s">
        <v>34218</v>
      </c>
    </row>
    <row r="11312" spans="1:19" x14ac:dyDescent="0.25">
      <c r="A11312">
        <v>100621557</v>
      </c>
      <c r="B11312" t="s">
        <v>25188</v>
      </c>
      <c r="C11312" t="s">
        <v>9252</v>
      </c>
      <c r="G11312" t="s">
        <v>25189</v>
      </c>
      <c r="H11312" t="s">
        <v>4646</v>
      </c>
      <c r="I11312" t="s">
        <v>250</v>
      </c>
      <c r="J11312">
        <v>8873</v>
      </c>
      <c r="K11312">
        <v>3331</v>
      </c>
      <c r="L11312" t="s">
        <v>23</v>
      </c>
      <c r="M11312" t="s">
        <v>25189</v>
      </c>
      <c r="N11312" t="s">
        <v>4646</v>
      </c>
      <c r="O11312" t="s">
        <v>250</v>
      </c>
      <c r="P11312">
        <v>8873</v>
      </c>
      <c r="Q11312">
        <v>3331</v>
      </c>
      <c r="R11312" t="s">
        <v>23</v>
      </c>
      <c r="S11312" s="1" t="s">
        <v>34218</v>
      </c>
    </row>
    <row r="11313" spans="1:19" x14ac:dyDescent="0.25">
      <c r="A11313">
        <v>100869790</v>
      </c>
      <c r="B11313" t="s">
        <v>25190</v>
      </c>
      <c r="C11313" t="s">
        <v>432</v>
      </c>
      <c r="H11313" t="s">
        <v>25191</v>
      </c>
      <c r="I11313" t="s">
        <v>365</v>
      </c>
      <c r="J11313">
        <v>0</v>
      </c>
      <c r="L11313" t="s">
        <v>25192</v>
      </c>
      <c r="N11313" t="s">
        <v>25191</v>
      </c>
      <c r="O11313" t="s">
        <v>365</v>
      </c>
      <c r="P11313">
        <v>0</v>
      </c>
      <c r="R11313" t="s">
        <v>25192</v>
      </c>
      <c r="S11313" s="1" t="s">
        <v>34218</v>
      </c>
    </row>
    <row r="11314" spans="1:19" x14ac:dyDescent="0.25">
      <c r="A11314">
        <v>101457424</v>
      </c>
      <c r="B11314" t="s">
        <v>19035</v>
      </c>
      <c r="C11314" t="s">
        <v>1027</v>
      </c>
      <c r="G11314" t="s">
        <v>25193</v>
      </c>
      <c r="H11314" t="s">
        <v>1293</v>
      </c>
      <c r="I11314" t="s">
        <v>22</v>
      </c>
      <c r="J11314">
        <v>95060</v>
      </c>
      <c r="K11314">
        <v>4023</v>
      </c>
      <c r="L11314" t="s">
        <v>23</v>
      </c>
      <c r="M11314" t="s">
        <v>25193</v>
      </c>
      <c r="N11314" t="s">
        <v>1293</v>
      </c>
      <c r="O11314" t="s">
        <v>22</v>
      </c>
      <c r="P11314">
        <v>95060</v>
      </c>
      <c r="Q11314">
        <v>4023</v>
      </c>
      <c r="R11314" t="s">
        <v>23</v>
      </c>
      <c r="S11314" s="1" t="s">
        <v>34218</v>
      </c>
    </row>
    <row r="11315" spans="1:19" x14ac:dyDescent="0.25">
      <c r="A11315">
        <v>101475125</v>
      </c>
      <c r="B11315" t="s">
        <v>918</v>
      </c>
      <c r="C11315" t="s">
        <v>102</v>
      </c>
      <c r="G11315" t="s">
        <v>25194</v>
      </c>
      <c r="H11315" t="s">
        <v>5940</v>
      </c>
      <c r="I11315" t="s">
        <v>52</v>
      </c>
      <c r="J11315">
        <v>32609</v>
      </c>
      <c r="K11315">
        <v>2217</v>
      </c>
      <c r="L11315" t="s">
        <v>23</v>
      </c>
      <c r="M11315" t="s">
        <v>25194</v>
      </c>
      <c r="N11315" t="s">
        <v>5940</v>
      </c>
      <c r="O11315" t="s">
        <v>52</v>
      </c>
      <c r="P11315">
        <v>32609</v>
      </c>
      <c r="Q11315">
        <v>2217</v>
      </c>
      <c r="R11315" t="s">
        <v>23</v>
      </c>
      <c r="S11315" s="1" t="s">
        <v>34218</v>
      </c>
    </row>
    <row r="11316" spans="1:19" x14ac:dyDescent="0.25">
      <c r="A11316">
        <v>101475159</v>
      </c>
      <c r="B11316" t="s">
        <v>402</v>
      </c>
      <c r="C11316" t="s">
        <v>14178</v>
      </c>
      <c r="G11316" t="s">
        <v>25195</v>
      </c>
      <c r="H11316" t="s">
        <v>25196</v>
      </c>
      <c r="I11316" t="s">
        <v>446</v>
      </c>
      <c r="J11316">
        <v>28001</v>
      </c>
      <c r="K11316">
        <v>2923</v>
      </c>
      <c r="L11316" t="s">
        <v>23</v>
      </c>
      <c r="M11316" t="s">
        <v>25195</v>
      </c>
      <c r="N11316" t="s">
        <v>25196</v>
      </c>
      <c r="O11316" t="s">
        <v>446</v>
      </c>
      <c r="P11316">
        <v>28001</v>
      </c>
      <c r="Q11316">
        <v>2923</v>
      </c>
      <c r="R11316" t="s">
        <v>23</v>
      </c>
      <c r="S11316" s="1" t="s">
        <v>34218</v>
      </c>
    </row>
    <row r="11317" spans="1:19" x14ac:dyDescent="0.25">
      <c r="A11317">
        <v>101475442</v>
      </c>
      <c r="B11317" t="s">
        <v>25197</v>
      </c>
      <c r="C11317" t="s">
        <v>25198</v>
      </c>
      <c r="G11317" t="s">
        <v>25199</v>
      </c>
      <c r="H11317" t="s">
        <v>1276</v>
      </c>
      <c r="I11317" t="s">
        <v>446</v>
      </c>
      <c r="J11317">
        <v>27514</v>
      </c>
      <c r="K11317">
        <v>1443</v>
      </c>
      <c r="L11317" t="s">
        <v>23</v>
      </c>
      <c r="M11317" t="s">
        <v>25199</v>
      </c>
      <c r="N11317" t="s">
        <v>1276</v>
      </c>
      <c r="O11317" t="s">
        <v>446</v>
      </c>
      <c r="P11317">
        <v>27514</v>
      </c>
      <c r="Q11317">
        <v>1443</v>
      </c>
      <c r="R11317" t="s">
        <v>23</v>
      </c>
      <c r="S11317" s="1" t="s">
        <v>34218</v>
      </c>
    </row>
    <row r="11318" spans="1:19" x14ac:dyDescent="0.25">
      <c r="A11318">
        <v>101475474</v>
      </c>
      <c r="B11318" t="s">
        <v>893</v>
      </c>
      <c r="C11318" t="s">
        <v>1306</v>
      </c>
      <c r="G11318" t="s">
        <v>25200</v>
      </c>
      <c r="H11318" t="s">
        <v>2309</v>
      </c>
      <c r="I11318" t="s">
        <v>2310</v>
      </c>
      <c r="J11318">
        <v>19810</v>
      </c>
      <c r="K11318">
        <v>1133</v>
      </c>
      <c r="L11318" t="s">
        <v>23</v>
      </c>
      <c r="M11318" t="s">
        <v>25200</v>
      </c>
      <c r="N11318" t="s">
        <v>2309</v>
      </c>
      <c r="O11318" t="s">
        <v>2310</v>
      </c>
      <c r="P11318">
        <v>19810</v>
      </c>
      <c r="Q11318">
        <v>1133</v>
      </c>
      <c r="R11318" t="s">
        <v>23</v>
      </c>
      <c r="S11318" s="1" t="s">
        <v>34218</v>
      </c>
    </row>
    <row r="11319" spans="1:19" x14ac:dyDescent="0.25">
      <c r="A11319">
        <v>101475491</v>
      </c>
      <c r="B11319" t="s">
        <v>25201</v>
      </c>
      <c r="C11319" t="s">
        <v>3110</v>
      </c>
      <c r="G11319" t="s">
        <v>25202</v>
      </c>
      <c r="H11319" t="s">
        <v>169</v>
      </c>
      <c r="I11319" t="s">
        <v>170</v>
      </c>
      <c r="J11319">
        <v>20011</v>
      </c>
      <c r="K11319">
        <v>7028</v>
      </c>
      <c r="L11319" t="s">
        <v>23</v>
      </c>
      <c r="M11319" t="s">
        <v>25202</v>
      </c>
      <c r="N11319" t="s">
        <v>169</v>
      </c>
      <c r="O11319" t="s">
        <v>170</v>
      </c>
      <c r="P11319">
        <v>20011</v>
      </c>
      <c r="Q11319">
        <v>7028</v>
      </c>
      <c r="R11319" t="s">
        <v>23</v>
      </c>
      <c r="S11319" s="1" t="s">
        <v>34218</v>
      </c>
    </row>
    <row r="11320" spans="1:19" x14ac:dyDescent="0.25">
      <c r="A11320">
        <v>101475544</v>
      </c>
      <c r="B11320" t="s">
        <v>21018</v>
      </c>
      <c r="C11320" t="s">
        <v>403</v>
      </c>
      <c r="G11320" t="s">
        <v>25203</v>
      </c>
      <c r="H11320" t="s">
        <v>758</v>
      </c>
      <c r="I11320" t="s">
        <v>148</v>
      </c>
      <c r="J11320">
        <v>20901</v>
      </c>
      <c r="K11320">
        <v>4901</v>
      </c>
      <c r="L11320" t="s">
        <v>23</v>
      </c>
      <c r="M11320" t="s">
        <v>25203</v>
      </c>
      <c r="N11320" t="s">
        <v>758</v>
      </c>
      <c r="O11320" t="s">
        <v>148</v>
      </c>
      <c r="P11320">
        <v>20901</v>
      </c>
      <c r="Q11320">
        <v>4901</v>
      </c>
      <c r="R11320" t="s">
        <v>23</v>
      </c>
      <c r="S11320" s="1" t="s">
        <v>34218</v>
      </c>
    </row>
    <row r="11321" spans="1:19" x14ac:dyDescent="0.25">
      <c r="A11321">
        <v>101475561</v>
      </c>
      <c r="B11321" t="s">
        <v>2382</v>
      </c>
      <c r="C11321" t="s">
        <v>5256</v>
      </c>
      <c r="G11321" t="s">
        <v>25204</v>
      </c>
      <c r="H11321" t="s">
        <v>5732</v>
      </c>
      <c r="I11321" t="s">
        <v>148</v>
      </c>
      <c r="J11321">
        <v>21042</v>
      </c>
      <c r="K11321">
        <v>2733</v>
      </c>
      <c r="L11321" t="s">
        <v>23</v>
      </c>
      <c r="M11321" t="s">
        <v>25204</v>
      </c>
      <c r="N11321" t="s">
        <v>5732</v>
      </c>
      <c r="O11321" t="s">
        <v>148</v>
      </c>
      <c r="P11321">
        <v>21042</v>
      </c>
      <c r="Q11321">
        <v>2733</v>
      </c>
      <c r="R11321" t="s">
        <v>23</v>
      </c>
      <c r="S11321" s="1" t="s">
        <v>34218</v>
      </c>
    </row>
    <row r="11322" spans="1:19" x14ac:dyDescent="0.25">
      <c r="A11322">
        <v>101475625</v>
      </c>
      <c r="B11322" t="s">
        <v>12544</v>
      </c>
      <c r="C11322" t="s">
        <v>4284</v>
      </c>
      <c r="G11322" t="s">
        <v>25205</v>
      </c>
      <c r="H11322" t="s">
        <v>4869</v>
      </c>
      <c r="I11322" t="s">
        <v>178</v>
      </c>
      <c r="J11322">
        <v>45601</v>
      </c>
      <c r="K11322">
        <v>1408</v>
      </c>
      <c r="L11322" t="s">
        <v>23</v>
      </c>
      <c r="M11322" t="s">
        <v>25205</v>
      </c>
      <c r="N11322" t="s">
        <v>4869</v>
      </c>
      <c r="O11322" t="s">
        <v>178</v>
      </c>
      <c r="P11322">
        <v>45601</v>
      </c>
      <c r="Q11322">
        <v>1408</v>
      </c>
      <c r="R11322" t="s">
        <v>23</v>
      </c>
      <c r="S11322" s="1" t="s">
        <v>34218</v>
      </c>
    </row>
    <row r="11323" spans="1:19" x14ac:dyDescent="0.25">
      <c r="A11323">
        <v>101475728</v>
      </c>
      <c r="B11323" t="s">
        <v>1330</v>
      </c>
      <c r="C11323" t="s">
        <v>1043</v>
      </c>
      <c r="G11323" t="s">
        <v>25206</v>
      </c>
      <c r="H11323" t="s">
        <v>4096</v>
      </c>
      <c r="I11323" t="s">
        <v>33</v>
      </c>
      <c r="J11323">
        <v>17543</v>
      </c>
      <c r="K11323">
        <v>1601</v>
      </c>
      <c r="L11323" t="s">
        <v>23</v>
      </c>
      <c r="M11323" t="s">
        <v>25206</v>
      </c>
      <c r="N11323" t="s">
        <v>4096</v>
      </c>
      <c r="O11323" t="s">
        <v>33</v>
      </c>
      <c r="P11323">
        <v>17543</v>
      </c>
      <c r="Q11323">
        <v>1601</v>
      </c>
      <c r="R11323" t="s">
        <v>23</v>
      </c>
      <c r="S11323" s="1" t="s">
        <v>34218</v>
      </c>
    </row>
    <row r="11324" spans="1:19" x14ac:dyDescent="0.25">
      <c r="A11324">
        <v>101475745</v>
      </c>
      <c r="B11324" t="s">
        <v>25207</v>
      </c>
      <c r="C11324" t="s">
        <v>30</v>
      </c>
      <c r="G11324" t="s">
        <v>25208</v>
      </c>
      <c r="H11324" t="s">
        <v>21183</v>
      </c>
      <c r="I11324" t="s">
        <v>33</v>
      </c>
      <c r="J11324">
        <v>18066</v>
      </c>
      <c r="K11324">
        <v>3248</v>
      </c>
      <c r="L11324" t="s">
        <v>23</v>
      </c>
      <c r="M11324" t="s">
        <v>25208</v>
      </c>
      <c r="N11324" t="s">
        <v>21183</v>
      </c>
      <c r="O11324" t="s">
        <v>33</v>
      </c>
      <c r="P11324">
        <v>18066</v>
      </c>
      <c r="Q11324">
        <v>3248</v>
      </c>
      <c r="R11324" t="s">
        <v>23</v>
      </c>
      <c r="S11324" s="1" t="s">
        <v>34218</v>
      </c>
    </row>
    <row r="11325" spans="1:19" x14ac:dyDescent="0.25">
      <c r="A11325">
        <v>101475794</v>
      </c>
      <c r="B11325" t="s">
        <v>25209</v>
      </c>
      <c r="C11325" t="s">
        <v>1374</v>
      </c>
      <c r="G11325" t="s">
        <v>25210</v>
      </c>
      <c r="H11325" t="s">
        <v>4247</v>
      </c>
      <c r="I11325" t="s">
        <v>33</v>
      </c>
      <c r="J11325">
        <v>19067</v>
      </c>
      <c r="K11325">
        <v>7410</v>
      </c>
      <c r="L11325" t="s">
        <v>23</v>
      </c>
      <c r="M11325" t="s">
        <v>25210</v>
      </c>
      <c r="N11325" t="s">
        <v>4247</v>
      </c>
      <c r="O11325" t="s">
        <v>33</v>
      </c>
      <c r="P11325">
        <v>19067</v>
      </c>
      <c r="Q11325">
        <v>7410</v>
      </c>
      <c r="R11325" t="s">
        <v>23</v>
      </c>
      <c r="S11325" s="1" t="s">
        <v>34218</v>
      </c>
    </row>
    <row r="11326" spans="1:19" x14ac:dyDescent="0.25">
      <c r="A11326">
        <v>101475944</v>
      </c>
      <c r="B11326" t="s">
        <v>25211</v>
      </c>
      <c r="C11326" t="s">
        <v>8451</v>
      </c>
      <c r="G11326" t="s">
        <v>25212</v>
      </c>
      <c r="H11326" t="s">
        <v>25213</v>
      </c>
      <c r="I11326" t="s">
        <v>178</v>
      </c>
      <c r="J11326">
        <v>44133</v>
      </c>
      <c r="K11326">
        <v>2994</v>
      </c>
      <c r="L11326" t="s">
        <v>23</v>
      </c>
      <c r="M11326" t="s">
        <v>25212</v>
      </c>
      <c r="N11326" t="s">
        <v>25213</v>
      </c>
      <c r="O11326" t="s">
        <v>178</v>
      </c>
      <c r="P11326">
        <v>44133</v>
      </c>
      <c r="Q11326">
        <v>2994</v>
      </c>
      <c r="R11326" t="s">
        <v>23</v>
      </c>
      <c r="S11326" s="1" t="s">
        <v>34218</v>
      </c>
    </row>
    <row r="11327" spans="1:19" x14ac:dyDescent="0.25">
      <c r="A11327">
        <v>101475980</v>
      </c>
      <c r="B11327" t="s">
        <v>1872</v>
      </c>
      <c r="C11327" t="s">
        <v>102</v>
      </c>
      <c r="G11327" t="s">
        <v>25214</v>
      </c>
      <c r="H11327" t="s">
        <v>2701</v>
      </c>
      <c r="I11327" t="s">
        <v>178</v>
      </c>
      <c r="J11327">
        <v>45005</v>
      </c>
      <c r="K11327">
        <v>2306</v>
      </c>
      <c r="L11327" t="s">
        <v>23</v>
      </c>
      <c r="M11327" t="s">
        <v>25214</v>
      </c>
      <c r="N11327" t="s">
        <v>2701</v>
      </c>
      <c r="O11327" t="s">
        <v>178</v>
      </c>
      <c r="P11327">
        <v>45005</v>
      </c>
      <c r="Q11327">
        <v>2306</v>
      </c>
      <c r="R11327" t="s">
        <v>23</v>
      </c>
      <c r="S11327" s="1" t="s">
        <v>34218</v>
      </c>
    </row>
    <row r="11328" spans="1:19" x14ac:dyDescent="0.25">
      <c r="A11328">
        <v>101476063</v>
      </c>
      <c r="B11328" t="s">
        <v>25215</v>
      </c>
      <c r="C11328" t="s">
        <v>1363</v>
      </c>
      <c r="G11328" t="s">
        <v>25216</v>
      </c>
      <c r="H11328" t="s">
        <v>7440</v>
      </c>
      <c r="I11328" t="s">
        <v>117</v>
      </c>
      <c r="J11328">
        <v>14075</v>
      </c>
      <c r="K11328">
        <v>6522</v>
      </c>
      <c r="L11328" t="s">
        <v>23</v>
      </c>
      <c r="M11328" t="s">
        <v>25216</v>
      </c>
      <c r="N11328" t="s">
        <v>7440</v>
      </c>
      <c r="O11328" t="s">
        <v>117</v>
      </c>
      <c r="P11328">
        <v>14075</v>
      </c>
      <c r="Q11328">
        <v>6522</v>
      </c>
      <c r="R11328" t="s">
        <v>23</v>
      </c>
      <c r="S11328" s="1" t="s">
        <v>34218</v>
      </c>
    </row>
    <row r="11329" spans="1:19" x14ac:dyDescent="0.25">
      <c r="A11329">
        <v>101476163</v>
      </c>
      <c r="B11329" t="s">
        <v>1581</v>
      </c>
      <c r="C11329" t="s">
        <v>2417</v>
      </c>
      <c r="G11329" t="s">
        <v>25217</v>
      </c>
      <c r="H11329" t="s">
        <v>25218</v>
      </c>
      <c r="I11329" t="s">
        <v>33</v>
      </c>
      <c r="J11329">
        <v>15317</v>
      </c>
      <c r="K11329">
        <v>3136</v>
      </c>
      <c r="L11329" t="s">
        <v>23</v>
      </c>
      <c r="M11329" t="s">
        <v>25217</v>
      </c>
      <c r="N11329" t="s">
        <v>25218</v>
      </c>
      <c r="O11329" t="s">
        <v>33</v>
      </c>
      <c r="P11329">
        <v>15317</v>
      </c>
      <c r="Q11329">
        <v>3136</v>
      </c>
      <c r="R11329" t="s">
        <v>23</v>
      </c>
      <c r="S11329" s="1" t="s">
        <v>34218</v>
      </c>
    </row>
    <row r="11330" spans="1:19" x14ac:dyDescent="0.25">
      <c r="A11330">
        <v>101476212</v>
      </c>
      <c r="B11330" t="s">
        <v>2368</v>
      </c>
      <c r="C11330" t="s">
        <v>1107</v>
      </c>
      <c r="G11330" t="s">
        <v>25219</v>
      </c>
      <c r="H11330" t="s">
        <v>1048</v>
      </c>
      <c r="I11330" t="s">
        <v>914</v>
      </c>
      <c r="J11330">
        <v>37075</v>
      </c>
      <c r="K11330">
        <v>5209</v>
      </c>
      <c r="L11330" t="s">
        <v>23</v>
      </c>
      <c r="M11330" t="s">
        <v>25219</v>
      </c>
      <c r="N11330" t="s">
        <v>1048</v>
      </c>
      <c r="O11330" t="s">
        <v>914</v>
      </c>
      <c r="P11330">
        <v>37075</v>
      </c>
      <c r="Q11330">
        <v>5209</v>
      </c>
      <c r="R11330" t="s">
        <v>23</v>
      </c>
      <c r="S11330" s="1" t="s">
        <v>34218</v>
      </c>
    </row>
    <row r="11331" spans="1:19" x14ac:dyDescent="0.25">
      <c r="A11331">
        <v>101476246</v>
      </c>
      <c r="B11331" t="s">
        <v>980</v>
      </c>
      <c r="C11331" t="s">
        <v>1298</v>
      </c>
      <c r="G11331" t="s">
        <v>25220</v>
      </c>
      <c r="H11331" t="s">
        <v>25221</v>
      </c>
      <c r="I11331" t="s">
        <v>914</v>
      </c>
      <c r="J11331">
        <v>37660</v>
      </c>
      <c r="K11331">
        <v>7657</v>
      </c>
      <c r="L11331" t="s">
        <v>23</v>
      </c>
      <c r="M11331" t="s">
        <v>25220</v>
      </c>
      <c r="N11331" t="s">
        <v>25221</v>
      </c>
      <c r="O11331" t="s">
        <v>914</v>
      </c>
      <c r="P11331">
        <v>37660</v>
      </c>
      <c r="Q11331">
        <v>7657</v>
      </c>
      <c r="R11331" t="s">
        <v>23</v>
      </c>
      <c r="S11331" s="1" t="s">
        <v>34218</v>
      </c>
    </row>
    <row r="11332" spans="1:19" x14ac:dyDescent="0.25">
      <c r="A11332">
        <v>101476280</v>
      </c>
      <c r="B11332" t="s">
        <v>25222</v>
      </c>
      <c r="C11332" t="s">
        <v>25223</v>
      </c>
      <c r="G11332" t="s">
        <v>25224</v>
      </c>
      <c r="H11332" t="s">
        <v>13967</v>
      </c>
      <c r="I11332" t="s">
        <v>1226</v>
      </c>
      <c r="J11332">
        <v>38655</v>
      </c>
      <c r="K11332">
        <v>5330</v>
      </c>
      <c r="L11332" t="s">
        <v>23</v>
      </c>
      <c r="M11332" t="s">
        <v>25224</v>
      </c>
      <c r="N11332" t="s">
        <v>13967</v>
      </c>
      <c r="O11332" t="s">
        <v>1226</v>
      </c>
      <c r="P11332">
        <v>38655</v>
      </c>
      <c r="Q11332">
        <v>5330</v>
      </c>
      <c r="R11332" t="s">
        <v>23</v>
      </c>
      <c r="S11332" s="1" t="s">
        <v>34218</v>
      </c>
    </row>
    <row r="11333" spans="1:19" x14ac:dyDescent="0.25">
      <c r="A11333">
        <v>101476466</v>
      </c>
      <c r="B11333" t="s">
        <v>25225</v>
      </c>
      <c r="C11333" t="s">
        <v>367</v>
      </c>
      <c r="G11333" t="s">
        <v>25226</v>
      </c>
      <c r="H11333" t="s">
        <v>3449</v>
      </c>
      <c r="I11333" t="s">
        <v>117</v>
      </c>
      <c r="J11333">
        <v>12401</v>
      </c>
      <c r="K11333">
        <v>6612</v>
      </c>
      <c r="L11333" t="s">
        <v>23</v>
      </c>
      <c r="M11333" t="s">
        <v>25226</v>
      </c>
      <c r="N11333" t="s">
        <v>3449</v>
      </c>
      <c r="O11333" t="s">
        <v>117</v>
      </c>
      <c r="P11333">
        <v>12401</v>
      </c>
      <c r="Q11333">
        <v>6612</v>
      </c>
      <c r="R11333" t="s">
        <v>23</v>
      </c>
      <c r="S11333" s="1" t="s">
        <v>34218</v>
      </c>
    </row>
    <row r="11334" spans="1:19" x14ac:dyDescent="0.25">
      <c r="A11334">
        <v>101476566</v>
      </c>
      <c r="B11334" t="s">
        <v>22114</v>
      </c>
      <c r="C11334" t="s">
        <v>30</v>
      </c>
      <c r="G11334" t="s">
        <v>25227</v>
      </c>
      <c r="H11334" t="s">
        <v>2963</v>
      </c>
      <c r="I11334" t="s">
        <v>52</v>
      </c>
      <c r="J11334">
        <v>33982</v>
      </c>
      <c r="K11334">
        <v>9695</v>
      </c>
      <c r="L11334" t="s">
        <v>23</v>
      </c>
      <c r="M11334" t="s">
        <v>25227</v>
      </c>
      <c r="N11334" t="s">
        <v>2963</v>
      </c>
      <c r="O11334" t="s">
        <v>52</v>
      </c>
      <c r="P11334">
        <v>33982</v>
      </c>
      <c r="Q11334">
        <v>9695</v>
      </c>
      <c r="R11334" t="s">
        <v>23</v>
      </c>
      <c r="S11334" s="1" t="s">
        <v>34218</v>
      </c>
    </row>
    <row r="11335" spans="1:19" x14ac:dyDescent="0.25">
      <c r="A11335">
        <v>101470252</v>
      </c>
      <c r="B11335" t="s">
        <v>1889</v>
      </c>
      <c r="C11335" t="s">
        <v>6375</v>
      </c>
      <c r="G11335" t="s">
        <v>25228</v>
      </c>
      <c r="H11335" t="s">
        <v>19061</v>
      </c>
      <c r="I11335" t="s">
        <v>22</v>
      </c>
      <c r="J11335">
        <v>92376</v>
      </c>
      <c r="K11335">
        <v>3877</v>
      </c>
      <c r="L11335" t="s">
        <v>23</v>
      </c>
      <c r="M11335" t="s">
        <v>25228</v>
      </c>
      <c r="N11335" t="s">
        <v>19061</v>
      </c>
      <c r="O11335" t="s">
        <v>22</v>
      </c>
      <c r="P11335">
        <v>92376</v>
      </c>
      <c r="Q11335">
        <v>3877</v>
      </c>
      <c r="R11335" t="s">
        <v>23</v>
      </c>
      <c r="S11335" s="1" t="s">
        <v>34218</v>
      </c>
    </row>
    <row r="11336" spans="1:19" x14ac:dyDescent="0.25">
      <c r="A11336">
        <v>101226114</v>
      </c>
      <c r="B11336" t="s">
        <v>4623</v>
      </c>
      <c r="C11336" t="s">
        <v>114</v>
      </c>
      <c r="G11336" t="s">
        <v>25229</v>
      </c>
      <c r="H11336" t="s">
        <v>653</v>
      </c>
      <c r="I11336" t="s">
        <v>117</v>
      </c>
      <c r="J11336">
        <v>10277</v>
      </c>
      <c r="K11336">
        <v>1</v>
      </c>
      <c r="L11336" t="s">
        <v>23</v>
      </c>
      <c r="M11336" t="s">
        <v>25229</v>
      </c>
      <c r="N11336" t="s">
        <v>653</v>
      </c>
      <c r="O11336" t="s">
        <v>117</v>
      </c>
      <c r="P11336">
        <v>10277</v>
      </c>
      <c r="Q11336">
        <v>1</v>
      </c>
      <c r="R11336" t="s">
        <v>23</v>
      </c>
      <c r="S11336" s="1" t="s">
        <v>34218</v>
      </c>
    </row>
    <row r="11337" spans="1:19" x14ac:dyDescent="0.25">
      <c r="A11337">
        <v>101203143</v>
      </c>
      <c r="B11337" t="s">
        <v>25230</v>
      </c>
      <c r="C11337" t="s">
        <v>894</v>
      </c>
      <c r="G11337" t="s">
        <v>25231</v>
      </c>
      <c r="H11337" t="s">
        <v>139</v>
      </c>
      <c r="I11337" t="s">
        <v>178</v>
      </c>
      <c r="J11337">
        <v>44714</v>
      </c>
      <c r="K11337">
        <v>2002</v>
      </c>
      <c r="L11337" t="s">
        <v>23</v>
      </c>
      <c r="M11337" t="s">
        <v>25231</v>
      </c>
      <c r="N11337" t="s">
        <v>139</v>
      </c>
      <c r="O11337" t="s">
        <v>178</v>
      </c>
      <c r="P11337">
        <v>44714</v>
      </c>
      <c r="Q11337">
        <v>2002</v>
      </c>
      <c r="R11337" t="s">
        <v>23</v>
      </c>
      <c r="S11337" s="1" t="s">
        <v>34218</v>
      </c>
    </row>
    <row r="11338" spans="1:19" x14ac:dyDescent="0.25">
      <c r="A11338">
        <v>101471608</v>
      </c>
      <c r="B11338" t="s">
        <v>25232</v>
      </c>
      <c r="C11338" t="s">
        <v>11308</v>
      </c>
      <c r="G11338" t="s">
        <v>25233</v>
      </c>
      <c r="H11338" t="s">
        <v>4675</v>
      </c>
      <c r="I11338" t="s">
        <v>984</v>
      </c>
      <c r="J11338">
        <v>96708</v>
      </c>
      <c r="K11338">
        <v>1461</v>
      </c>
      <c r="L11338" t="s">
        <v>23</v>
      </c>
      <c r="M11338" t="s">
        <v>25233</v>
      </c>
      <c r="N11338" t="s">
        <v>4675</v>
      </c>
      <c r="O11338" t="s">
        <v>984</v>
      </c>
      <c r="P11338">
        <v>96708</v>
      </c>
      <c r="Q11338">
        <v>1461</v>
      </c>
      <c r="R11338" t="s">
        <v>23</v>
      </c>
      <c r="S11338" s="1" t="s">
        <v>34218</v>
      </c>
    </row>
    <row r="11339" spans="1:19" x14ac:dyDescent="0.25">
      <c r="A11339">
        <v>100644388</v>
      </c>
      <c r="B11339" t="s">
        <v>11117</v>
      </c>
      <c r="C11339" t="s">
        <v>30</v>
      </c>
      <c r="G11339" t="s">
        <v>25234</v>
      </c>
      <c r="H11339" t="s">
        <v>7214</v>
      </c>
      <c r="I11339" t="s">
        <v>2566</v>
      </c>
      <c r="J11339">
        <v>99712</v>
      </c>
      <c r="K11339">
        <v>2502</v>
      </c>
      <c r="L11339" t="s">
        <v>23</v>
      </c>
      <c r="M11339" t="s">
        <v>25234</v>
      </c>
      <c r="N11339" t="s">
        <v>7214</v>
      </c>
      <c r="O11339" t="s">
        <v>2566</v>
      </c>
      <c r="P11339">
        <v>99712</v>
      </c>
      <c r="Q11339">
        <v>2502</v>
      </c>
      <c r="R11339" t="s">
        <v>23</v>
      </c>
      <c r="S11339" s="1" t="s">
        <v>34218</v>
      </c>
    </row>
    <row r="11340" spans="1:19" x14ac:dyDescent="0.25">
      <c r="A11340">
        <v>101418546</v>
      </c>
      <c r="B11340" t="s">
        <v>11714</v>
      </c>
      <c r="C11340" t="s">
        <v>11308</v>
      </c>
      <c r="G11340" t="s">
        <v>25235</v>
      </c>
      <c r="H11340" t="s">
        <v>1748</v>
      </c>
      <c r="I11340" t="s">
        <v>236</v>
      </c>
      <c r="J11340">
        <v>2476</v>
      </c>
      <c r="K11340">
        <v>4208</v>
      </c>
      <c r="L11340" t="s">
        <v>23</v>
      </c>
      <c r="M11340" t="s">
        <v>25235</v>
      </c>
      <c r="N11340" t="s">
        <v>1748</v>
      </c>
      <c r="O11340" t="s">
        <v>236</v>
      </c>
      <c r="P11340">
        <v>2476</v>
      </c>
      <c r="Q11340">
        <v>4208</v>
      </c>
      <c r="R11340" t="s">
        <v>23</v>
      </c>
      <c r="S11340" s="1" t="s">
        <v>34218</v>
      </c>
    </row>
    <row r="11341" spans="1:19" x14ac:dyDescent="0.25">
      <c r="A11341">
        <v>101426629</v>
      </c>
      <c r="B11341" t="s">
        <v>25236</v>
      </c>
      <c r="C11341" t="s">
        <v>1933</v>
      </c>
      <c r="G11341" t="s">
        <v>25237</v>
      </c>
      <c r="H11341" t="s">
        <v>130</v>
      </c>
      <c r="I11341" t="s">
        <v>22</v>
      </c>
      <c r="J11341">
        <v>94118</v>
      </c>
      <c r="K11341">
        <v>2128</v>
      </c>
      <c r="L11341" t="s">
        <v>23</v>
      </c>
      <c r="M11341" t="s">
        <v>25237</v>
      </c>
      <c r="N11341" t="s">
        <v>130</v>
      </c>
      <c r="O11341" t="s">
        <v>22</v>
      </c>
      <c r="P11341">
        <v>94118</v>
      </c>
      <c r="Q11341">
        <v>2128</v>
      </c>
      <c r="R11341" t="s">
        <v>23</v>
      </c>
      <c r="S11341" s="1" t="s">
        <v>34218</v>
      </c>
    </row>
    <row r="11342" spans="1:19" x14ac:dyDescent="0.25">
      <c r="A11342">
        <v>101314058</v>
      </c>
      <c r="B11342" t="s">
        <v>6530</v>
      </c>
      <c r="C11342" t="s">
        <v>90</v>
      </c>
      <c r="G11342" t="s">
        <v>25238</v>
      </c>
      <c r="H11342" t="s">
        <v>3723</v>
      </c>
      <c r="I11342" t="s">
        <v>22</v>
      </c>
      <c r="J11342">
        <v>92240</v>
      </c>
      <c r="K11342">
        <v>3508</v>
      </c>
      <c r="L11342" t="s">
        <v>23</v>
      </c>
      <c r="M11342" t="s">
        <v>25238</v>
      </c>
      <c r="N11342" t="s">
        <v>3723</v>
      </c>
      <c r="O11342" t="s">
        <v>22</v>
      </c>
      <c r="P11342">
        <v>92240</v>
      </c>
      <c r="Q11342">
        <v>3508</v>
      </c>
      <c r="R11342" t="s">
        <v>23</v>
      </c>
      <c r="S11342" s="1" t="s">
        <v>34218</v>
      </c>
    </row>
    <row r="11343" spans="1:19" x14ac:dyDescent="0.25">
      <c r="A11343">
        <v>101469290</v>
      </c>
      <c r="B11343" t="s">
        <v>5382</v>
      </c>
      <c r="C11343" t="s">
        <v>24186</v>
      </c>
      <c r="G11343" t="s">
        <v>25239</v>
      </c>
      <c r="H11343" t="s">
        <v>4570</v>
      </c>
      <c r="I11343" t="s">
        <v>52</v>
      </c>
      <c r="J11343">
        <v>34292</v>
      </c>
      <c r="K11343">
        <v>2217</v>
      </c>
      <c r="L11343" t="s">
        <v>23</v>
      </c>
      <c r="M11343" t="s">
        <v>25239</v>
      </c>
      <c r="N11343" t="s">
        <v>4570</v>
      </c>
      <c r="O11343" t="s">
        <v>52</v>
      </c>
      <c r="P11343">
        <v>34292</v>
      </c>
      <c r="Q11343">
        <v>2217</v>
      </c>
      <c r="R11343" t="s">
        <v>23</v>
      </c>
      <c r="S11343" s="1" t="s">
        <v>34218</v>
      </c>
    </row>
    <row r="11344" spans="1:19" x14ac:dyDescent="0.25">
      <c r="A11344">
        <v>100905572</v>
      </c>
      <c r="B11344" t="s">
        <v>25240</v>
      </c>
      <c r="C11344" t="s">
        <v>1463</v>
      </c>
      <c r="G11344" t="s">
        <v>25241</v>
      </c>
      <c r="H11344" t="s">
        <v>1293</v>
      </c>
      <c r="I11344" t="s">
        <v>22</v>
      </c>
      <c r="J11344">
        <v>95060</v>
      </c>
      <c r="K11344">
        <v>6455</v>
      </c>
      <c r="L11344" t="s">
        <v>23</v>
      </c>
      <c r="M11344" t="s">
        <v>25241</v>
      </c>
      <c r="N11344" t="s">
        <v>1293</v>
      </c>
      <c r="O11344" t="s">
        <v>22</v>
      </c>
      <c r="P11344">
        <v>95060</v>
      </c>
      <c r="Q11344">
        <v>6455</v>
      </c>
      <c r="R11344" t="s">
        <v>23</v>
      </c>
      <c r="S11344" s="1" t="s">
        <v>34218</v>
      </c>
    </row>
    <row r="11345" spans="1:19" x14ac:dyDescent="0.25">
      <c r="A11345">
        <v>100831412</v>
      </c>
      <c r="B11345" t="s">
        <v>12300</v>
      </c>
      <c r="C11345" t="s">
        <v>102</v>
      </c>
      <c r="G11345" t="s">
        <v>25242</v>
      </c>
      <c r="H11345" t="s">
        <v>25243</v>
      </c>
      <c r="I11345" t="s">
        <v>353</v>
      </c>
      <c r="J11345">
        <v>3456</v>
      </c>
      <c r="L11345" t="s">
        <v>23</v>
      </c>
      <c r="M11345" t="s">
        <v>25242</v>
      </c>
      <c r="N11345" t="s">
        <v>25243</v>
      </c>
      <c r="O11345" t="s">
        <v>353</v>
      </c>
      <c r="P11345">
        <v>3456</v>
      </c>
      <c r="R11345" t="s">
        <v>23</v>
      </c>
      <c r="S11345" s="1" t="s">
        <v>34218</v>
      </c>
    </row>
    <row r="11346" spans="1:19" x14ac:dyDescent="0.25">
      <c r="A11346">
        <v>101454992</v>
      </c>
      <c r="B11346" t="s">
        <v>16031</v>
      </c>
      <c r="C11346" t="s">
        <v>475</v>
      </c>
      <c r="G11346" t="s">
        <v>25244</v>
      </c>
      <c r="H11346" t="s">
        <v>25245</v>
      </c>
      <c r="I11346" t="s">
        <v>914</v>
      </c>
      <c r="J11346">
        <v>37122</v>
      </c>
      <c r="K11346">
        <v>8521</v>
      </c>
      <c r="L11346" t="s">
        <v>23</v>
      </c>
      <c r="M11346" t="s">
        <v>25244</v>
      </c>
      <c r="N11346" t="s">
        <v>25245</v>
      </c>
      <c r="O11346" t="s">
        <v>914</v>
      </c>
      <c r="P11346">
        <v>37122</v>
      </c>
      <c r="Q11346">
        <v>8521</v>
      </c>
      <c r="R11346" t="s">
        <v>23</v>
      </c>
      <c r="S11346" s="1" t="s">
        <v>34218</v>
      </c>
    </row>
    <row r="11347" spans="1:19" x14ac:dyDescent="0.25">
      <c r="A11347">
        <v>101329575</v>
      </c>
      <c r="B11347" t="s">
        <v>2656</v>
      </c>
      <c r="C11347" t="s">
        <v>1036</v>
      </c>
      <c r="G11347" t="s">
        <v>25246</v>
      </c>
      <c r="H11347" t="s">
        <v>653</v>
      </c>
      <c r="I11347" t="s">
        <v>117</v>
      </c>
      <c r="J11347">
        <v>10010</v>
      </c>
      <c r="K11347">
        <v>6800</v>
      </c>
      <c r="L11347" t="s">
        <v>23</v>
      </c>
      <c r="M11347" t="s">
        <v>25246</v>
      </c>
      <c r="N11347" t="s">
        <v>653</v>
      </c>
      <c r="O11347" t="s">
        <v>117</v>
      </c>
      <c r="P11347">
        <v>10010</v>
      </c>
      <c r="Q11347">
        <v>6800</v>
      </c>
      <c r="R11347" t="s">
        <v>23</v>
      </c>
      <c r="S11347" s="1" t="s">
        <v>34218</v>
      </c>
    </row>
    <row r="11348" spans="1:19" x14ac:dyDescent="0.25">
      <c r="A11348">
        <v>101426971</v>
      </c>
      <c r="B11348" t="s">
        <v>13865</v>
      </c>
      <c r="C11348" t="s">
        <v>15323</v>
      </c>
      <c r="G11348" t="s">
        <v>25247</v>
      </c>
      <c r="H11348" t="s">
        <v>18659</v>
      </c>
      <c r="I11348" t="s">
        <v>43</v>
      </c>
      <c r="J11348">
        <v>97019</v>
      </c>
      <c r="K11348">
        <v>9634</v>
      </c>
      <c r="L11348" t="s">
        <v>23</v>
      </c>
      <c r="M11348" t="s">
        <v>25247</v>
      </c>
      <c r="N11348" t="s">
        <v>18659</v>
      </c>
      <c r="O11348" t="s">
        <v>43</v>
      </c>
      <c r="P11348">
        <v>97019</v>
      </c>
      <c r="Q11348">
        <v>9634</v>
      </c>
      <c r="R11348" t="s">
        <v>23</v>
      </c>
      <c r="S11348" s="1" t="s">
        <v>34218</v>
      </c>
    </row>
    <row r="11349" spans="1:19" x14ac:dyDescent="0.25">
      <c r="A11349">
        <v>101430750</v>
      </c>
      <c r="B11349" t="s">
        <v>11599</v>
      </c>
      <c r="C11349" t="s">
        <v>1043</v>
      </c>
      <c r="G11349" t="s">
        <v>25248</v>
      </c>
      <c r="H11349" t="s">
        <v>5940</v>
      </c>
      <c r="I11349" t="s">
        <v>52</v>
      </c>
      <c r="J11349">
        <v>32608</v>
      </c>
      <c r="K11349">
        <v>5355</v>
      </c>
      <c r="L11349" t="s">
        <v>23</v>
      </c>
      <c r="M11349" t="s">
        <v>25248</v>
      </c>
      <c r="N11349" t="s">
        <v>5940</v>
      </c>
      <c r="O11349" t="s">
        <v>52</v>
      </c>
      <c r="P11349">
        <v>32608</v>
      </c>
      <c r="Q11349">
        <v>5355</v>
      </c>
      <c r="R11349" t="s">
        <v>23</v>
      </c>
      <c r="S11349" s="1" t="s">
        <v>34218</v>
      </c>
    </row>
    <row r="11350" spans="1:19" x14ac:dyDescent="0.25">
      <c r="A11350">
        <v>100948000</v>
      </c>
      <c r="B11350" t="s">
        <v>25249</v>
      </c>
      <c r="C11350" t="s">
        <v>25250</v>
      </c>
      <c r="G11350" t="s">
        <v>25251</v>
      </c>
      <c r="H11350" t="s">
        <v>10562</v>
      </c>
      <c r="I11350" t="s">
        <v>255</v>
      </c>
      <c r="J11350">
        <v>20171</v>
      </c>
      <c r="K11350">
        <v>4735</v>
      </c>
      <c r="L11350" t="s">
        <v>23</v>
      </c>
      <c r="M11350" t="s">
        <v>25251</v>
      </c>
      <c r="N11350" t="s">
        <v>10562</v>
      </c>
      <c r="O11350" t="s">
        <v>255</v>
      </c>
      <c r="P11350">
        <v>20171</v>
      </c>
      <c r="Q11350">
        <v>4735</v>
      </c>
      <c r="R11350" t="s">
        <v>23</v>
      </c>
      <c r="S11350" s="1" t="s">
        <v>34218</v>
      </c>
    </row>
    <row r="11351" spans="1:19" x14ac:dyDescent="0.25">
      <c r="A11351">
        <v>101340447</v>
      </c>
      <c r="B11351" t="s">
        <v>10091</v>
      </c>
      <c r="C11351" t="s">
        <v>1027</v>
      </c>
      <c r="G11351" t="s">
        <v>25252</v>
      </c>
      <c r="H11351" t="s">
        <v>6668</v>
      </c>
      <c r="I11351" t="s">
        <v>140</v>
      </c>
      <c r="J11351">
        <v>48124</v>
      </c>
      <c r="K11351">
        <v>1831</v>
      </c>
      <c r="L11351" t="s">
        <v>23</v>
      </c>
      <c r="M11351" t="s">
        <v>25252</v>
      </c>
      <c r="N11351" t="s">
        <v>6668</v>
      </c>
      <c r="O11351" t="s">
        <v>140</v>
      </c>
      <c r="P11351">
        <v>48124</v>
      </c>
      <c r="Q11351">
        <v>1831</v>
      </c>
      <c r="R11351" t="s">
        <v>23</v>
      </c>
      <c r="S11351" s="1" t="s">
        <v>34218</v>
      </c>
    </row>
    <row r="11352" spans="1:19" x14ac:dyDescent="0.25">
      <c r="A11352">
        <v>100900891</v>
      </c>
      <c r="B11352" t="s">
        <v>4245</v>
      </c>
      <c r="C11352" t="s">
        <v>145</v>
      </c>
      <c r="G11352" t="s">
        <v>25253</v>
      </c>
      <c r="H11352" t="s">
        <v>25254</v>
      </c>
      <c r="I11352" t="s">
        <v>135</v>
      </c>
      <c r="J11352">
        <v>60148</v>
      </c>
      <c r="K11352">
        <v>2849</v>
      </c>
      <c r="L11352" t="s">
        <v>23</v>
      </c>
      <c r="M11352" t="s">
        <v>25253</v>
      </c>
      <c r="N11352" t="s">
        <v>25254</v>
      </c>
      <c r="O11352" t="s">
        <v>135</v>
      </c>
      <c r="P11352">
        <v>60148</v>
      </c>
      <c r="Q11352">
        <v>2849</v>
      </c>
      <c r="R11352" t="s">
        <v>23</v>
      </c>
      <c r="S11352" s="1" t="s">
        <v>34218</v>
      </c>
    </row>
    <row r="11353" spans="1:19" x14ac:dyDescent="0.25">
      <c r="A11353">
        <v>101476392</v>
      </c>
      <c r="B11353" t="s">
        <v>25255</v>
      </c>
      <c r="C11353" t="s">
        <v>25256</v>
      </c>
      <c r="G11353" t="s">
        <v>25257</v>
      </c>
      <c r="H11353" t="s">
        <v>8037</v>
      </c>
      <c r="I11353" t="s">
        <v>117</v>
      </c>
      <c r="J11353">
        <v>11368</v>
      </c>
      <c r="L11353" t="s">
        <v>23</v>
      </c>
      <c r="M11353" t="s">
        <v>25257</v>
      </c>
      <c r="N11353" t="s">
        <v>8037</v>
      </c>
      <c r="O11353" t="s">
        <v>117</v>
      </c>
      <c r="P11353">
        <v>11368</v>
      </c>
      <c r="R11353" t="s">
        <v>23</v>
      </c>
      <c r="S11353" s="1" t="s">
        <v>34218</v>
      </c>
    </row>
    <row r="11354" spans="1:19" x14ac:dyDescent="0.25">
      <c r="A11354">
        <v>101272727</v>
      </c>
      <c r="B11354" t="s">
        <v>25258</v>
      </c>
      <c r="C11354" t="s">
        <v>30</v>
      </c>
      <c r="G11354" t="s">
        <v>25259</v>
      </c>
      <c r="H11354" t="s">
        <v>25260</v>
      </c>
      <c r="I11354" t="s">
        <v>57</v>
      </c>
      <c r="J11354">
        <v>46163</v>
      </c>
      <c r="K11354">
        <v>55</v>
      </c>
      <c r="L11354" t="s">
        <v>23</v>
      </c>
      <c r="M11354" t="s">
        <v>25259</v>
      </c>
      <c r="N11354" t="s">
        <v>25260</v>
      </c>
      <c r="O11354" t="s">
        <v>57</v>
      </c>
      <c r="P11354">
        <v>46163</v>
      </c>
      <c r="Q11354">
        <v>55</v>
      </c>
      <c r="R11354" t="s">
        <v>23</v>
      </c>
      <c r="S11354" s="1" t="s">
        <v>34218</v>
      </c>
    </row>
    <row r="11355" spans="1:19" x14ac:dyDescent="0.25">
      <c r="A11355">
        <v>101448565</v>
      </c>
      <c r="B11355" t="s">
        <v>25261</v>
      </c>
      <c r="C11355" t="s">
        <v>1873</v>
      </c>
      <c r="G11355" t="s">
        <v>25262</v>
      </c>
      <c r="H11355" t="s">
        <v>4202</v>
      </c>
      <c r="I11355" t="s">
        <v>117</v>
      </c>
      <c r="J11355">
        <v>13152</v>
      </c>
      <c r="K11355">
        <v>9384</v>
      </c>
      <c r="L11355" t="s">
        <v>23</v>
      </c>
      <c r="M11355" t="s">
        <v>25262</v>
      </c>
      <c r="N11355" t="s">
        <v>4202</v>
      </c>
      <c r="O11355" t="s">
        <v>117</v>
      </c>
      <c r="P11355">
        <v>13152</v>
      </c>
      <c r="Q11355">
        <v>9384</v>
      </c>
      <c r="R11355" t="s">
        <v>23</v>
      </c>
      <c r="S11355" s="1" t="s">
        <v>34218</v>
      </c>
    </row>
    <row r="11356" spans="1:19" x14ac:dyDescent="0.25">
      <c r="A11356">
        <v>101437243</v>
      </c>
      <c r="B11356" t="s">
        <v>25263</v>
      </c>
      <c r="C11356" t="s">
        <v>172</v>
      </c>
      <c r="G11356" t="s">
        <v>25264</v>
      </c>
      <c r="H11356" t="s">
        <v>4460</v>
      </c>
      <c r="I11356" t="s">
        <v>307</v>
      </c>
      <c r="J11356">
        <v>5301</v>
      </c>
      <c r="K11356">
        <v>6164</v>
      </c>
      <c r="L11356" t="s">
        <v>23</v>
      </c>
      <c r="M11356" t="s">
        <v>25264</v>
      </c>
      <c r="N11356" t="s">
        <v>4460</v>
      </c>
      <c r="O11356" t="s">
        <v>307</v>
      </c>
      <c r="P11356">
        <v>5301</v>
      </c>
      <c r="Q11356">
        <v>6164</v>
      </c>
      <c r="R11356" t="s">
        <v>23</v>
      </c>
      <c r="S11356" s="1" t="s">
        <v>34218</v>
      </c>
    </row>
    <row r="11357" spans="1:19" x14ac:dyDescent="0.25">
      <c r="A11357">
        <v>101419943</v>
      </c>
      <c r="B11357" t="s">
        <v>25265</v>
      </c>
      <c r="C11357" t="s">
        <v>9860</v>
      </c>
      <c r="G11357" t="s">
        <v>25266</v>
      </c>
      <c r="H11357" t="s">
        <v>25267</v>
      </c>
      <c r="I11357" t="s">
        <v>236</v>
      </c>
      <c r="J11357">
        <v>2054</v>
      </c>
      <c r="K11357">
        <v>1294</v>
      </c>
      <c r="L11357" t="s">
        <v>23</v>
      </c>
      <c r="M11357" t="s">
        <v>25266</v>
      </c>
      <c r="N11357" t="s">
        <v>25267</v>
      </c>
      <c r="O11357" t="s">
        <v>236</v>
      </c>
      <c r="P11357">
        <v>2054</v>
      </c>
      <c r="Q11357">
        <v>1294</v>
      </c>
      <c r="R11357" t="s">
        <v>23</v>
      </c>
      <c r="S11357" s="1" t="s">
        <v>34218</v>
      </c>
    </row>
    <row r="11358" spans="1:19" x14ac:dyDescent="0.25">
      <c r="A11358">
        <v>101465371</v>
      </c>
      <c r="B11358" t="s">
        <v>25268</v>
      </c>
      <c r="C11358" t="s">
        <v>102</v>
      </c>
      <c r="G11358" t="s">
        <v>25269</v>
      </c>
      <c r="H11358" t="s">
        <v>3385</v>
      </c>
      <c r="I11358" t="s">
        <v>236</v>
      </c>
      <c r="J11358">
        <v>2141</v>
      </c>
      <c r="K11358">
        <v>1721</v>
      </c>
      <c r="L11358" t="s">
        <v>23</v>
      </c>
      <c r="M11358" t="s">
        <v>25269</v>
      </c>
      <c r="N11358" t="s">
        <v>3385</v>
      </c>
      <c r="O11358" t="s">
        <v>236</v>
      </c>
      <c r="P11358">
        <v>2141</v>
      </c>
      <c r="Q11358">
        <v>1721</v>
      </c>
      <c r="R11358" t="s">
        <v>23</v>
      </c>
      <c r="S11358" s="1" t="s">
        <v>34218</v>
      </c>
    </row>
    <row r="11359" spans="1:19" x14ac:dyDescent="0.25">
      <c r="A11359">
        <v>101472249</v>
      </c>
      <c r="B11359" t="s">
        <v>289</v>
      </c>
      <c r="C11359" t="s">
        <v>102</v>
      </c>
      <c r="G11359" t="s">
        <v>25270</v>
      </c>
      <c r="H11359" t="s">
        <v>8692</v>
      </c>
      <c r="I11359" t="s">
        <v>28</v>
      </c>
      <c r="J11359">
        <v>30030</v>
      </c>
      <c r="K11359">
        <v>5205</v>
      </c>
      <c r="L11359" t="s">
        <v>23</v>
      </c>
      <c r="M11359" t="s">
        <v>25270</v>
      </c>
      <c r="N11359" t="s">
        <v>8692</v>
      </c>
      <c r="O11359" t="s">
        <v>28</v>
      </c>
      <c r="P11359">
        <v>30030</v>
      </c>
      <c r="Q11359">
        <v>5205</v>
      </c>
      <c r="R11359" t="s">
        <v>23</v>
      </c>
      <c r="S11359" s="1" t="s">
        <v>34218</v>
      </c>
    </row>
    <row r="11360" spans="1:19" x14ac:dyDescent="0.25">
      <c r="A11360">
        <v>101362085</v>
      </c>
      <c r="B11360" t="s">
        <v>25271</v>
      </c>
      <c r="C11360" t="s">
        <v>25272</v>
      </c>
      <c r="F11360" t="str">
        <f>"5105484557"</f>
        <v>5105484557</v>
      </c>
      <c r="G11360" t="s">
        <v>25273</v>
      </c>
      <c r="H11360" t="s">
        <v>88</v>
      </c>
      <c r="I11360" t="s">
        <v>22</v>
      </c>
      <c r="J11360">
        <v>94619</v>
      </c>
      <c r="K11360">
        <v>1564</v>
      </c>
      <c r="L11360" t="s">
        <v>23</v>
      </c>
      <c r="M11360" t="s">
        <v>25273</v>
      </c>
      <c r="N11360" t="s">
        <v>88</v>
      </c>
      <c r="O11360" t="s">
        <v>22</v>
      </c>
      <c r="P11360">
        <v>94619</v>
      </c>
      <c r="Q11360">
        <v>1564</v>
      </c>
      <c r="R11360" t="s">
        <v>23</v>
      </c>
      <c r="S11360" s="1" t="s">
        <v>34218</v>
      </c>
    </row>
    <row r="11361" spans="1:19" x14ac:dyDescent="0.25">
      <c r="A11361">
        <v>101340511</v>
      </c>
      <c r="B11361" t="s">
        <v>25274</v>
      </c>
      <c r="C11361" t="s">
        <v>123</v>
      </c>
      <c r="G11361" t="s">
        <v>25275</v>
      </c>
      <c r="H11361" t="s">
        <v>12284</v>
      </c>
      <c r="I11361" t="s">
        <v>52</v>
      </c>
      <c r="J11361">
        <v>32757</v>
      </c>
      <c r="K11361">
        <v>9538</v>
      </c>
      <c r="L11361" t="s">
        <v>23</v>
      </c>
      <c r="M11361" t="s">
        <v>25275</v>
      </c>
      <c r="N11361" t="s">
        <v>12284</v>
      </c>
      <c r="O11361" t="s">
        <v>52</v>
      </c>
      <c r="P11361">
        <v>32757</v>
      </c>
      <c r="Q11361">
        <v>9538</v>
      </c>
      <c r="R11361" t="s">
        <v>23</v>
      </c>
      <c r="S11361" s="1" t="s">
        <v>34218</v>
      </c>
    </row>
    <row r="11362" spans="1:19" x14ac:dyDescent="0.25">
      <c r="A11362">
        <v>101448264</v>
      </c>
      <c r="B11362" t="s">
        <v>383</v>
      </c>
      <c r="C11362" t="s">
        <v>2365</v>
      </c>
      <c r="G11362" t="s">
        <v>25276</v>
      </c>
      <c r="H11362" t="s">
        <v>8220</v>
      </c>
      <c r="I11362" t="s">
        <v>22</v>
      </c>
      <c r="J11362">
        <v>92806</v>
      </c>
      <c r="K11362">
        <v>4825</v>
      </c>
      <c r="L11362" t="s">
        <v>23</v>
      </c>
      <c r="M11362" t="s">
        <v>25276</v>
      </c>
      <c r="N11362" t="s">
        <v>8220</v>
      </c>
      <c r="O11362" t="s">
        <v>22</v>
      </c>
      <c r="P11362">
        <v>92806</v>
      </c>
      <c r="Q11362">
        <v>4825</v>
      </c>
      <c r="R11362" t="s">
        <v>23</v>
      </c>
      <c r="S11362" s="1" t="s">
        <v>34218</v>
      </c>
    </row>
    <row r="11363" spans="1:19" x14ac:dyDescent="0.25">
      <c r="A11363">
        <v>101060731</v>
      </c>
      <c r="B11363" t="s">
        <v>25277</v>
      </c>
      <c r="C11363" t="s">
        <v>25278</v>
      </c>
      <c r="F11363" t="str">
        <f>"9163933864"</f>
        <v>9163933864</v>
      </c>
      <c r="G11363" t="s">
        <v>25279</v>
      </c>
      <c r="H11363" t="s">
        <v>650</v>
      </c>
      <c r="I11363" t="s">
        <v>22</v>
      </c>
      <c r="J11363">
        <v>95831</v>
      </c>
      <c r="L11363" t="s">
        <v>23</v>
      </c>
      <c r="M11363" t="s">
        <v>25279</v>
      </c>
      <c r="N11363" t="s">
        <v>650</v>
      </c>
      <c r="O11363" t="s">
        <v>22</v>
      </c>
      <c r="P11363">
        <v>95831</v>
      </c>
      <c r="R11363" t="s">
        <v>23</v>
      </c>
      <c r="S11363" s="1" t="s">
        <v>34218</v>
      </c>
    </row>
    <row r="11364" spans="1:19" x14ac:dyDescent="0.25">
      <c r="A11364">
        <v>101245905</v>
      </c>
      <c r="B11364" t="s">
        <v>25280</v>
      </c>
      <c r="C11364" t="s">
        <v>547</v>
      </c>
      <c r="G11364" t="s">
        <v>25281</v>
      </c>
      <c r="H11364" t="s">
        <v>2296</v>
      </c>
      <c r="I11364" t="s">
        <v>22</v>
      </c>
      <c r="J11364">
        <v>95003</v>
      </c>
      <c r="K11364">
        <v>5884</v>
      </c>
      <c r="L11364" t="s">
        <v>23</v>
      </c>
      <c r="M11364" t="s">
        <v>25281</v>
      </c>
      <c r="N11364" t="s">
        <v>2296</v>
      </c>
      <c r="O11364" t="s">
        <v>22</v>
      </c>
      <c r="P11364">
        <v>95003</v>
      </c>
      <c r="Q11364">
        <v>5884</v>
      </c>
      <c r="R11364" t="s">
        <v>23</v>
      </c>
      <c r="S11364" s="1" t="s">
        <v>34218</v>
      </c>
    </row>
    <row r="11365" spans="1:19" x14ac:dyDescent="0.25">
      <c r="A11365">
        <v>101312632</v>
      </c>
      <c r="B11365" t="s">
        <v>25282</v>
      </c>
      <c r="C11365" t="s">
        <v>2557</v>
      </c>
      <c r="G11365" t="s">
        <v>25283</v>
      </c>
      <c r="H11365" t="s">
        <v>653</v>
      </c>
      <c r="I11365" t="s">
        <v>117</v>
      </c>
      <c r="J11365">
        <v>10040</v>
      </c>
      <c r="K11365">
        <v>1567</v>
      </c>
      <c r="L11365" t="s">
        <v>23</v>
      </c>
      <c r="M11365" t="s">
        <v>25283</v>
      </c>
      <c r="N11365" t="s">
        <v>653</v>
      </c>
      <c r="O11365" t="s">
        <v>117</v>
      </c>
      <c r="P11365">
        <v>10040</v>
      </c>
      <c r="Q11365">
        <v>1567</v>
      </c>
      <c r="R11365" t="s">
        <v>23</v>
      </c>
      <c r="S11365" s="1" t="s">
        <v>34218</v>
      </c>
    </row>
    <row r="11366" spans="1:19" x14ac:dyDescent="0.25">
      <c r="A11366">
        <v>100670365</v>
      </c>
      <c r="B11366" t="s">
        <v>25284</v>
      </c>
      <c r="C11366" t="s">
        <v>846</v>
      </c>
      <c r="G11366" t="s">
        <v>25285</v>
      </c>
      <c r="H11366" t="s">
        <v>4632</v>
      </c>
      <c r="I11366" t="s">
        <v>446</v>
      </c>
      <c r="J11366">
        <v>28722</v>
      </c>
      <c r="K11366">
        <v>6719</v>
      </c>
      <c r="L11366" t="s">
        <v>23</v>
      </c>
      <c r="M11366" t="s">
        <v>25285</v>
      </c>
      <c r="N11366" t="s">
        <v>4632</v>
      </c>
      <c r="O11366" t="s">
        <v>446</v>
      </c>
      <c r="P11366">
        <v>28722</v>
      </c>
      <c r="Q11366">
        <v>6719</v>
      </c>
      <c r="R11366" t="s">
        <v>23</v>
      </c>
      <c r="S11366" s="1" t="s">
        <v>34218</v>
      </c>
    </row>
    <row r="11367" spans="1:19" x14ac:dyDescent="0.25">
      <c r="A11367">
        <v>101428239</v>
      </c>
      <c r="B11367" t="s">
        <v>25286</v>
      </c>
      <c r="C11367" t="s">
        <v>90</v>
      </c>
      <c r="G11367" t="s">
        <v>25287</v>
      </c>
      <c r="H11367" t="s">
        <v>2266</v>
      </c>
      <c r="I11367" t="s">
        <v>84</v>
      </c>
      <c r="J11367">
        <v>98042</v>
      </c>
      <c r="K11367">
        <v>9008</v>
      </c>
      <c r="L11367" t="s">
        <v>23</v>
      </c>
      <c r="M11367" t="s">
        <v>25287</v>
      </c>
      <c r="N11367" t="s">
        <v>2266</v>
      </c>
      <c r="O11367" t="s">
        <v>84</v>
      </c>
      <c r="P11367">
        <v>98042</v>
      </c>
      <c r="Q11367">
        <v>9008</v>
      </c>
      <c r="R11367" t="s">
        <v>23</v>
      </c>
      <c r="S11367" s="1" t="s">
        <v>34218</v>
      </c>
    </row>
    <row r="11368" spans="1:19" x14ac:dyDescent="0.25">
      <c r="A11368">
        <v>101457154</v>
      </c>
      <c r="B11368" t="s">
        <v>25288</v>
      </c>
      <c r="C11368" t="s">
        <v>2603</v>
      </c>
      <c r="G11368" t="s">
        <v>25289</v>
      </c>
      <c r="H11368" t="s">
        <v>12045</v>
      </c>
      <c r="I11368" t="s">
        <v>84</v>
      </c>
      <c r="J11368">
        <v>98632</v>
      </c>
      <c r="K11368">
        <v>9529</v>
      </c>
      <c r="L11368" t="s">
        <v>23</v>
      </c>
      <c r="M11368" t="s">
        <v>25289</v>
      </c>
      <c r="N11368" t="s">
        <v>12045</v>
      </c>
      <c r="O11368" t="s">
        <v>84</v>
      </c>
      <c r="P11368">
        <v>98632</v>
      </c>
      <c r="Q11368">
        <v>9529</v>
      </c>
      <c r="R11368" t="s">
        <v>23</v>
      </c>
      <c r="S11368" s="1" t="s">
        <v>34218</v>
      </c>
    </row>
    <row r="11369" spans="1:19" x14ac:dyDescent="0.25">
      <c r="A11369">
        <v>101293385</v>
      </c>
      <c r="B11369" t="s">
        <v>25290</v>
      </c>
      <c r="C11369" t="s">
        <v>81</v>
      </c>
      <c r="G11369" t="s">
        <v>25291</v>
      </c>
      <c r="H11369" t="s">
        <v>653</v>
      </c>
      <c r="I11369" t="s">
        <v>117</v>
      </c>
      <c r="J11369">
        <v>10025</v>
      </c>
      <c r="K11369">
        <v>9313</v>
      </c>
      <c r="L11369" t="s">
        <v>23</v>
      </c>
      <c r="M11369" t="s">
        <v>25291</v>
      </c>
      <c r="N11369" t="s">
        <v>653</v>
      </c>
      <c r="O11369" t="s">
        <v>117</v>
      </c>
      <c r="P11369">
        <v>10025</v>
      </c>
      <c r="Q11369">
        <v>9313</v>
      </c>
      <c r="R11369" t="s">
        <v>23</v>
      </c>
      <c r="S11369" s="1" t="s">
        <v>34218</v>
      </c>
    </row>
    <row r="11370" spans="1:19" x14ac:dyDescent="0.25">
      <c r="A11370">
        <v>101107254</v>
      </c>
      <c r="B11370" t="s">
        <v>25292</v>
      </c>
      <c r="C11370" t="s">
        <v>2044</v>
      </c>
      <c r="G11370" t="s">
        <v>25293</v>
      </c>
      <c r="H11370" t="s">
        <v>2399</v>
      </c>
      <c r="I11370" t="s">
        <v>71</v>
      </c>
      <c r="J11370">
        <v>80524</v>
      </c>
      <c r="K11370">
        <v>3313</v>
      </c>
      <c r="L11370" t="s">
        <v>23</v>
      </c>
      <c r="M11370" t="s">
        <v>25293</v>
      </c>
      <c r="N11370" t="s">
        <v>2399</v>
      </c>
      <c r="O11370" t="s">
        <v>71</v>
      </c>
      <c r="P11370">
        <v>80524</v>
      </c>
      <c r="Q11370">
        <v>3313</v>
      </c>
      <c r="R11370" t="s">
        <v>23</v>
      </c>
      <c r="S11370" s="1" t="s">
        <v>34218</v>
      </c>
    </row>
    <row r="11371" spans="1:19" x14ac:dyDescent="0.25">
      <c r="A11371">
        <v>101339611</v>
      </c>
      <c r="B11371" t="s">
        <v>25294</v>
      </c>
      <c r="C11371" t="s">
        <v>2557</v>
      </c>
      <c r="G11371" t="s">
        <v>25295</v>
      </c>
      <c r="H11371" t="s">
        <v>1531</v>
      </c>
      <c r="I11371" t="s">
        <v>84</v>
      </c>
      <c r="J11371">
        <v>98122</v>
      </c>
      <c r="K11371">
        <v>2519</v>
      </c>
      <c r="L11371" t="s">
        <v>23</v>
      </c>
      <c r="M11371" t="s">
        <v>25295</v>
      </c>
      <c r="N11371" t="s">
        <v>1531</v>
      </c>
      <c r="O11371" t="s">
        <v>84</v>
      </c>
      <c r="P11371">
        <v>98122</v>
      </c>
      <c r="Q11371">
        <v>2519</v>
      </c>
      <c r="R11371" t="s">
        <v>23</v>
      </c>
      <c r="S11371" s="1" t="s">
        <v>34218</v>
      </c>
    </row>
    <row r="11372" spans="1:19" x14ac:dyDescent="0.25">
      <c r="A11372">
        <v>101427459</v>
      </c>
      <c r="B11372" t="s">
        <v>25296</v>
      </c>
      <c r="C11372" t="s">
        <v>1467</v>
      </c>
      <c r="G11372" t="s">
        <v>25297</v>
      </c>
      <c r="H11372" t="s">
        <v>761</v>
      </c>
      <c r="I11372" t="s">
        <v>22</v>
      </c>
      <c r="J11372">
        <v>94520</v>
      </c>
      <c r="K11372">
        <v>5421</v>
      </c>
      <c r="L11372" t="s">
        <v>23</v>
      </c>
      <c r="M11372" t="s">
        <v>25297</v>
      </c>
      <c r="N11372" t="s">
        <v>761</v>
      </c>
      <c r="O11372" t="s">
        <v>22</v>
      </c>
      <c r="P11372">
        <v>94520</v>
      </c>
      <c r="Q11372">
        <v>5421</v>
      </c>
      <c r="R11372" t="s">
        <v>23</v>
      </c>
      <c r="S11372" s="1" t="s">
        <v>34218</v>
      </c>
    </row>
    <row r="11373" spans="1:19" x14ac:dyDescent="0.25">
      <c r="A11373">
        <v>101232680</v>
      </c>
      <c r="B11373" t="s">
        <v>141</v>
      </c>
      <c r="C11373" t="s">
        <v>3954</v>
      </c>
      <c r="G11373" t="s">
        <v>25298</v>
      </c>
      <c r="H11373" t="s">
        <v>25299</v>
      </c>
      <c r="I11373" t="s">
        <v>446</v>
      </c>
      <c r="J11373">
        <v>27948</v>
      </c>
      <c r="K11373">
        <v>9217</v>
      </c>
      <c r="L11373" t="s">
        <v>23</v>
      </c>
      <c r="M11373" t="s">
        <v>25298</v>
      </c>
      <c r="N11373" t="s">
        <v>25299</v>
      </c>
      <c r="O11373" t="s">
        <v>446</v>
      </c>
      <c r="P11373">
        <v>27948</v>
      </c>
      <c r="Q11373">
        <v>9217</v>
      </c>
      <c r="R11373" t="s">
        <v>23</v>
      </c>
      <c r="S11373" s="1" t="s">
        <v>34218</v>
      </c>
    </row>
    <row r="11374" spans="1:19" x14ac:dyDescent="0.25">
      <c r="A11374">
        <v>101457283</v>
      </c>
      <c r="B11374" t="s">
        <v>744</v>
      </c>
      <c r="C11374" t="s">
        <v>25300</v>
      </c>
      <c r="G11374" t="s">
        <v>25301</v>
      </c>
      <c r="H11374" t="s">
        <v>2668</v>
      </c>
      <c r="I11374" t="s">
        <v>22</v>
      </c>
      <c r="J11374">
        <v>95050</v>
      </c>
      <c r="K11374">
        <v>3357</v>
      </c>
      <c r="L11374" t="s">
        <v>23</v>
      </c>
      <c r="M11374" t="s">
        <v>25301</v>
      </c>
      <c r="N11374" t="s">
        <v>2668</v>
      </c>
      <c r="O11374" t="s">
        <v>22</v>
      </c>
      <c r="P11374">
        <v>95050</v>
      </c>
      <c r="Q11374">
        <v>3357</v>
      </c>
      <c r="R11374" t="s">
        <v>23</v>
      </c>
      <c r="S11374" s="1" t="s">
        <v>34218</v>
      </c>
    </row>
    <row r="11375" spans="1:19" x14ac:dyDescent="0.25">
      <c r="A11375">
        <v>101427541</v>
      </c>
      <c r="B11375" t="s">
        <v>9108</v>
      </c>
      <c r="C11375" t="s">
        <v>2329</v>
      </c>
      <c r="G11375" t="s">
        <v>25302</v>
      </c>
      <c r="H11375" t="s">
        <v>11343</v>
      </c>
      <c r="I11375" t="s">
        <v>662</v>
      </c>
      <c r="J11375">
        <v>2889</v>
      </c>
      <c r="K11375">
        <v>6551</v>
      </c>
      <c r="L11375" t="s">
        <v>23</v>
      </c>
      <c r="M11375" t="s">
        <v>25302</v>
      </c>
      <c r="N11375" t="s">
        <v>11343</v>
      </c>
      <c r="O11375" t="s">
        <v>662</v>
      </c>
      <c r="P11375">
        <v>2889</v>
      </c>
      <c r="Q11375">
        <v>6551</v>
      </c>
      <c r="R11375" t="s">
        <v>23</v>
      </c>
      <c r="S11375" s="1" t="s">
        <v>34218</v>
      </c>
    </row>
    <row r="11376" spans="1:19" x14ac:dyDescent="0.25">
      <c r="A11376">
        <v>101306011</v>
      </c>
      <c r="B11376" t="s">
        <v>8946</v>
      </c>
      <c r="C11376" t="s">
        <v>787</v>
      </c>
      <c r="G11376" t="s">
        <v>25303</v>
      </c>
      <c r="H11376" t="s">
        <v>1531</v>
      </c>
      <c r="I11376" t="s">
        <v>84</v>
      </c>
      <c r="J11376">
        <v>98116</v>
      </c>
      <c r="K11376">
        <v>3532</v>
      </c>
      <c r="L11376" t="s">
        <v>23</v>
      </c>
      <c r="M11376" t="s">
        <v>25303</v>
      </c>
      <c r="N11376" t="s">
        <v>1531</v>
      </c>
      <c r="O11376" t="s">
        <v>84</v>
      </c>
      <c r="P11376">
        <v>98116</v>
      </c>
      <c r="Q11376">
        <v>3532</v>
      </c>
      <c r="R11376" t="s">
        <v>23</v>
      </c>
      <c r="S11376" s="1" t="s">
        <v>34218</v>
      </c>
    </row>
    <row r="11377" spans="1:19" x14ac:dyDescent="0.25">
      <c r="A11377">
        <v>100515369</v>
      </c>
      <c r="B11377" t="s">
        <v>11621</v>
      </c>
      <c r="C11377" t="s">
        <v>25304</v>
      </c>
      <c r="G11377" t="s">
        <v>11622</v>
      </c>
      <c r="H11377" t="s">
        <v>1765</v>
      </c>
      <c r="I11377" t="s">
        <v>84</v>
      </c>
      <c r="J11377">
        <v>98516</v>
      </c>
      <c r="K11377">
        <v>9514</v>
      </c>
      <c r="L11377" t="s">
        <v>23</v>
      </c>
      <c r="M11377" t="s">
        <v>11622</v>
      </c>
      <c r="N11377" t="s">
        <v>1765</v>
      </c>
      <c r="O11377" t="s">
        <v>84</v>
      </c>
      <c r="P11377">
        <v>98516</v>
      </c>
      <c r="Q11377">
        <v>9514</v>
      </c>
      <c r="R11377" t="s">
        <v>23</v>
      </c>
      <c r="S11377" s="1" t="s">
        <v>34218</v>
      </c>
    </row>
    <row r="11378" spans="1:19" x14ac:dyDescent="0.25">
      <c r="A11378">
        <v>100544960</v>
      </c>
      <c r="B11378" t="s">
        <v>25305</v>
      </c>
      <c r="C11378" t="s">
        <v>4982</v>
      </c>
      <c r="G11378" t="s">
        <v>25306</v>
      </c>
      <c r="H11378" t="s">
        <v>5406</v>
      </c>
      <c r="I11378" t="s">
        <v>52</v>
      </c>
      <c r="J11378">
        <v>34698</v>
      </c>
      <c r="K11378">
        <v>2600</v>
      </c>
      <c r="L11378" t="s">
        <v>23</v>
      </c>
      <c r="M11378" t="s">
        <v>25306</v>
      </c>
      <c r="N11378" t="s">
        <v>5406</v>
      </c>
      <c r="O11378" t="s">
        <v>52</v>
      </c>
      <c r="P11378">
        <v>34698</v>
      </c>
      <c r="Q11378">
        <v>2600</v>
      </c>
      <c r="R11378" t="s">
        <v>23</v>
      </c>
      <c r="S11378" s="1" t="s">
        <v>34218</v>
      </c>
    </row>
    <row r="11379" spans="1:19" x14ac:dyDescent="0.25">
      <c r="A11379">
        <v>101444916</v>
      </c>
      <c r="B11379" t="s">
        <v>166</v>
      </c>
      <c r="C11379" t="s">
        <v>810</v>
      </c>
      <c r="G11379" t="s">
        <v>25307</v>
      </c>
      <c r="H11379" t="s">
        <v>25308</v>
      </c>
      <c r="I11379" t="s">
        <v>255</v>
      </c>
      <c r="J11379">
        <v>24503</v>
      </c>
      <c r="K11379">
        <v>3309</v>
      </c>
      <c r="L11379" t="s">
        <v>23</v>
      </c>
      <c r="M11379" t="s">
        <v>25307</v>
      </c>
      <c r="N11379" t="s">
        <v>25308</v>
      </c>
      <c r="O11379" t="s">
        <v>255</v>
      </c>
      <c r="P11379">
        <v>24503</v>
      </c>
      <c r="Q11379">
        <v>3309</v>
      </c>
      <c r="R11379" t="s">
        <v>23</v>
      </c>
      <c r="S11379" s="1" t="s">
        <v>34218</v>
      </c>
    </row>
    <row r="11380" spans="1:19" x14ac:dyDescent="0.25">
      <c r="A11380">
        <v>100919188</v>
      </c>
      <c r="B11380" t="s">
        <v>25309</v>
      </c>
      <c r="C11380" t="s">
        <v>1223</v>
      </c>
      <c r="G11380" t="s">
        <v>25310</v>
      </c>
      <c r="H11380" t="s">
        <v>6538</v>
      </c>
      <c r="I11380" t="s">
        <v>250</v>
      </c>
      <c r="J11380">
        <v>8904</v>
      </c>
      <c r="K11380">
        <v>2609</v>
      </c>
      <c r="L11380" t="s">
        <v>23</v>
      </c>
      <c r="M11380" t="s">
        <v>25310</v>
      </c>
      <c r="N11380" t="s">
        <v>6538</v>
      </c>
      <c r="O11380" t="s">
        <v>250</v>
      </c>
      <c r="P11380">
        <v>8904</v>
      </c>
      <c r="Q11380">
        <v>2609</v>
      </c>
      <c r="R11380" t="s">
        <v>23</v>
      </c>
      <c r="S11380" s="1" t="s">
        <v>34218</v>
      </c>
    </row>
    <row r="11381" spans="1:19" x14ac:dyDescent="0.25">
      <c r="A11381">
        <v>101447056</v>
      </c>
      <c r="B11381" t="s">
        <v>11830</v>
      </c>
      <c r="C11381" t="s">
        <v>2084</v>
      </c>
      <c r="G11381" t="s">
        <v>25311</v>
      </c>
      <c r="H11381" t="s">
        <v>8976</v>
      </c>
      <c r="I11381" t="s">
        <v>28</v>
      </c>
      <c r="J11381">
        <v>31049</v>
      </c>
      <c r="K11381">
        <v>280</v>
      </c>
      <c r="L11381" t="s">
        <v>23</v>
      </c>
      <c r="M11381" t="s">
        <v>25311</v>
      </c>
      <c r="N11381" t="s">
        <v>8976</v>
      </c>
      <c r="O11381" t="s">
        <v>28</v>
      </c>
      <c r="P11381">
        <v>31049</v>
      </c>
      <c r="Q11381">
        <v>280</v>
      </c>
      <c r="R11381" t="s">
        <v>23</v>
      </c>
      <c r="S11381" s="1" t="s">
        <v>34218</v>
      </c>
    </row>
    <row r="11382" spans="1:19" x14ac:dyDescent="0.25">
      <c r="A11382">
        <v>101037425</v>
      </c>
      <c r="B11382" t="s">
        <v>25312</v>
      </c>
      <c r="C11382" t="s">
        <v>2790</v>
      </c>
      <c r="G11382" t="s">
        <v>25313</v>
      </c>
      <c r="H11382" t="s">
        <v>4512</v>
      </c>
      <c r="I11382" t="s">
        <v>148</v>
      </c>
      <c r="J11382">
        <v>21703</v>
      </c>
      <c r="K11382">
        <v>7407</v>
      </c>
      <c r="L11382" t="s">
        <v>23</v>
      </c>
      <c r="M11382" t="s">
        <v>25313</v>
      </c>
      <c r="N11382" t="s">
        <v>4512</v>
      </c>
      <c r="O11382" t="s">
        <v>148</v>
      </c>
      <c r="P11382">
        <v>21703</v>
      </c>
      <c r="Q11382">
        <v>7407</v>
      </c>
      <c r="R11382" t="s">
        <v>23</v>
      </c>
      <c r="S11382" s="1" t="s">
        <v>34218</v>
      </c>
    </row>
    <row r="11383" spans="1:19" x14ac:dyDescent="0.25">
      <c r="A11383">
        <v>101421899</v>
      </c>
      <c r="B11383" t="s">
        <v>25314</v>
      </c>
      <c r="C11383" t="s">
        <v>535</v>
      </c>
      <c r="G11383">
        <v>1022</v>
      </c>
      <c r="H11383" t="s">
        <v>9243</v>
      </c>
      <c r="I11383" t="s">
        <v>446</v>
      </c>
      <c r="J11383">
        <v>28645</v>
      </c>
      <c r="L11383" t="s">
        <v>23</v>
      </c>
      <c r="M11383">
        <v>1022</v>
      </c>
      <c r="N11383" t="s">
        <v>9243</v>
      </c>
      <c r="O11383" t="s">
        <v>446</v>
      </c>
      <c r="P11383">
        <v>28645</v>
      </c>
      <c r="R11383" t="s">
        <v>23</v>
      </c>
      <c r="S11383" s="1" t="s">
        <v>34218</v>
      </c>
    </row>
    <row r="11384" spans="1:19" x14ac:dyDescent="0.25">
      <c r="A11384">
        <v>101457516</v>
      </c>
      <c r="B11384" t="s">
        <v>9401</v>
      </c>
      <c r="C11384" t="s">
        <v>25</v>
      </c>
      <c r="G11384" t="s">
        <v>25315</v>
      </c>
      <c r="H11384" t="s">
        <v>25316</v>
      </c>
      <c r="I11384" t="s">
        <v>33</v>
      </c>
      <c r="J11384">
        <v>15370</v>
      </c>
      <c r="K11384">
        <v>1820</v>
      </c>
      <c r="L11384" t="s">
        <v>23</v>
      </c>
      <c r="M11384" t="s">
        <v>25315</v>
      </c>
      <c r="N11384" t="s">
        <v>25316</v>
      </c>
      <c r="O11384" t="s">
        <v>33</v>
      </c>
      <c r="P11384">
        <v>15370</v>
      </c>
      <c r="Q11384">
        <v>1820</v>
      </c>
      <c r="R11384" t="s">
        <v>23</v>
      </c>
      <c r="S11384" s="1" t="s">
        <v>34218</v>
      </c>
    </row>
    <row r="11385" spans="1:19" x14ac:dyDescent="0.25">
      <c r="A11385">
        <v>101301739</v>
      </c>
      <c r="B11385" t="s">
        <v>10326</v>
      </c>
      <c r="C11385" t="s">
        <v>1027</v>
      </c>
      <c r="G11385" t="s">
        <v>25317</v>
      </c>
      <c r="H11385" t="s">
        <v>25318</v>
      </c>
      <c r="I11385" t="s">
        <v>33</v>
      </c>
      <c r="J11385">
        <v>18372</v>
      </c>
      <c r="K11385">
        <v>110</v>
      </c>
      <c r="L11385" t="s">
        <v>23</v>
      </c>
      <c r="M11385" t="s">
        <v>25317</v>
      </c>
      <c r="N11385" t="s">
        <v>25318</v>
      </c>
      <c r="O11385" t="s">
        <v>33</v>
      </c>
      <c r="P11385">
        <v>18372</v>
      </c>
      <c r="Q11385">
        <v>110</v>
      </c>
      <c r="R11385" t="s">
        <v>23</v>
      </c>
      <c r="S11385" s="1" t="s">
        <v>34218</v>
      </c>
    </row>
    <row r="11386" spans="1:19" x14ac:dyDescent="0.25">
      <c r="A11386">
        <v>101094915</v>
      </c>
      <c r="B11386" t="s">
        <v>25319</v>
      </c>
      <c r="C11386" t="s">
        <v>25320</v>
      </c>
      <c r="F11386" t="str">
        <f>"4242629191"</f>
        <v>4242629191</v>
      </c>
      <c r="G11386">
        <v>90035</v>
      </c>
      <c r="H11386" t="s">
        <v>299</v>
      </c>
      <c r="I11386" t="s">
        <v>22</v>
      </c>
      <c r="J11386">
        <v>90035</v>
      </c>
      <c r="L11386" t="s">
        <v>23</v>
      </c>
      <c r="M11386">
        <v>90035</v>
      </c>
      <c r="N11386" t="s">
        <v>299</v>
      </c>
      <c r="O11386" t="s">
        <v>22</v>
      </c>
      <c r="P11386">
        <v>90035</v>
      </c>
      <c r="R11386" t="s">
        <v>23</v>
      </c>
      <c r="S11386" s="1" t="s">
        <v>34218</v>
      </c>
    </row>
    <row r="11387" spans="1:19" x14ac:dyDescent="0.25">
      <c r="A11387">
        <v>100897649</v>
      </c>
      <c r="B11387" t="s">
        <v>25321</v>
      </c>
      <c r="C11387" t="s">
        <v>2892</v>
      </c>
      <c r="G11387" t="s">
        <v>25322</v>
      </c>
      <c r="H11387" t="s">
        <v>22017</v>
      </c>
      <c r="I11387" t="s">
        <v>565</v>
      </c>
      <c r="J11387">
        <v>52349</v>
      </c>
      <c r="K11387">
        <v>9228</v>
      </c>
      <c r="L11387" t="s">
        <v>23</v>
      </c>
      <c r="M11387" t="s">
        <v>25322</v>
      </c>
      <c r="N11387" t="s">
        <v>22017</v>
      </c>
      <c r="O11387" t="s">
        <v>565</v>
      </c>
      <c r="P11387">
        <v>52349</v>
      </c>
      <c r="Q11387">
        <v>9228</v>
      </c>
      <c r="R11387" t="s">
        <v>23</v>
      </c>
      <c r="S11387" s="1" t="s">
        <v>34218</v>
      </c>
    </row>
    <row r="11388" spans="1:19" x14ac:dyDescent="0.25">
      <c r="A11388">
        <v>100930154</v>
      </c>
      <c r="B11388" t="s">
        <v>9091</v>
      </c>
      <c r="C11388" t="s">
        <v>1157</v>
      </c>
      <c r="G11388" t="s">
        <v>25323</v>
      </c>
      <c r="H11388" t="s">
        <v>18218</v>
      </c>
      <c r="I11388" t="s">
        <v>332</v>
      </c>
      <c r="J11388">
        <v>84741</v>
      </c>
      <c r="K11388">
        <v>3664</v>
      </c>
      <c r="L11388" t="s">
        <v>23</v>
      </c>
      <c r="M11388" t="s">
        <v>25323</v>
      </c>
      <c r="N11388" t="s">
        <v>18218</v>
      </c>
      <c r="O11388" t="s">
        <v>332</v>
      </c>
      <c r="P11388">
        <v>84741</v>
      </c>
      <c r="Q11388">
        <v>3664</v>
      </c>
      <c r="R11388" t="s">
        <v>23</v>
      </c>
      <c r="S11388" s="1" t="s">
        <v>34218</v>
      </c>
    </row>
    <row r="11389" spans="1:19" x14ac:dyDescent="0.25">
      <c r="A11389">
        <v>101452104</v>
      </c>
      <c r="B11389" t="s">
        <v>25324</v>
      </c>
      <c r="C11389" t="s">
        <v>1205</v>
      </c>
      <c r="G11389">
        <v>7009</v>
      </c>
      <c r="H11389" t="s">
        <v>25325</v>
      </c>
      <c r="I11389" t="s">
        <v>250</v>
      </c>
      <c r="J11389">
        <v>7009</v>
      </c>
      <c r="L11389" t="s">
        <v>23</v>
      </c>
      <c r="M11389">
        <v>7009</v>
      </c>
      <c r="N11389" t="s">
        <v>25325</v>
      </c>
      <c r="O11389" t="s">
        <v>250</v>
      </c>
      <c r="P11389">
        <v>7009</v>
      </c>
      <c r="R11389" t="s">
        <v>23</v>
      </c>
      <c r="S11389" s="1" t="s">
        <v>34218</v>
      </c>
    </row>
    <row r="11390" spans="1:19" x14ac:dyDescent="0.25">
      <c r="A11390">
        <v>100520237</v>
      </c>
      <c r="B11390" t="s">
        <v>24348</v>
      </c>
      <c r="C11390" t="s">
        <v>959</v>
      </c>
      <c r="G11390">
        <v>53092</v>
      </c>
      <c r="H11390" t="s">
        <v>25326</v>
      </c>
      <c r="I11390" t="s">
        <v>100</v>
      </c>
      <c r="J11390">
        <v>53092</v>
      </c>
      <c r="L11390" t="s">
        <v>23</v>
      </c>
      <c r="M11390">
        <v>53092</v>
      </c>
      <c r="N11390" t="s">
        <v>25326</v>
      </c>
      <c r="O11390" t="s">
        <v>100</v>
      </c>
      <c r="P11390">
        <v>53092</v>
      </c>
      <c r="R11390" t="s">
        <v>23</v>
      </c>
      <c r="S11390" s="1" t="s">
        <v>34218</v>
      </c>
    </row>
    <row r="11391" spans="1:19" x14ac:dyDescent="0.25">
      <c r="A11391">
        <v>101065127</v>
      </c>
      <c r="B11391" t="s">
        <v>8461</v>
      </c>
      <c r="C11391" t="s">
        <v>14254</v>
      </c>
      <c r="G11391" t="s">
        <v>25327</v>
      </c>
      <c r="H11391" t="s">
        <v>2279</v>
      </c>
      <c r="I11391" t="s">
        <v>52</v>
      </c>
      <c r="J11391">
        <v>33625</v>
      </c>
      <c r="K11391">
        <v>1513</v>
      </c>
      <c r="L11391" t="s">
        <v>23</v>
      </c>
      <c r="M11391" t="s">
        <v>25327</v>
      </c>
      <c r="N11391" t="s">
        <v>2279</v>
      </c>
      <c r="O11391" t="s">
        <v>52</v>
      </c>
      <c r="P11391">
        <v>33625</v>
      </c>
      <c r="Q11391">
        <v>1513</v>
      </c>
      <c r="R11391" t="s">
        <v>23</v>
      </c>
      <c r="S11391" s="1" t="s">
        <v>34218</v>
      </c>
    </row>
    <row r="11392" spans="1:19" x14ac:dyDescent="0.25">
      <c r="A11392">
        <v>101417275</v>
      </c>
      <c r="B11392" t="s">
        <v>19035</v>
      </c>
      <c r="C11392" t="s">
        <v>6153</v>
      </c>
      <c r="G11392" t="s">
        <v>25328</v>
      </c>
      <c r="H11392" t="s">
        <v>4235</v>
      </c>
      <c r="I11392" t="s">
        <v>984</v>
      </c>
      <c r="J11392">
        <v>96816</v>
      </c>
      <c r="L11392" t="s">
        <v>23</v>
      </c>
      <c r="M11392" t="s">
        <v>25328</v>
      </c>
      <c r="N11392" t="s">
        <v>4235</v>
      </c>
      <c r="O11392" t="s">
        <v>984</v>
      </c>
      <c r="P11392">
        <v>96816</v>
      </c>
      <c r="R11392" t="s">
        <v>23</v>
      </c>
      <c r="S11392" s="1" t="s">
        <v>34218</v>
      </c>
    </row>
    <row r="11393" spans="1:19" x14ac:dyDescent="0.25">
      <c r="A11393">
        <v>101456889</v>
      </c>
      <c r="B11393" t="s">
        <v>4136</v>
      </c>
      <c r="C11393" t="s">
        <v>2411</v>
      </c>
      <c r="G11393" t="s">
        <v>25329</v>
      </c>
      <c r="H11393" t="s">
        <v>412</v>
      </c>
      <c r="I11393" t="s">
        <v>117</v>
      </c>
      <c r="J11393">
        <v>11230</v>
      </c>
      <c r="L11393" t="s">
        <v>23</v>
      </c>
      <c r="M11393" t="s">
        <v>25329</v>
      </c>
      <c r="N11393" t="s">
        <v>412</v>
      </c>
      <c r="O11393" t="s">
        <v>117</v>
      </c>
      <c r="P11393">
        <v>11230</v>
      </c>
      <c r="R11393" t="s">
        <v>23</v>
      </c>
      <c r="S11393" s="1" t="s">
        <v>34218</v>
      </c>
    </row>
    <row r="11394" spans="1:19" x14ac:dyDescent="0.25">
      <c r="A11394">
        <v>101232601</v>
      </c>
      <c r="B11394" t="s">
        <v>8436</v>
      </c>
      <c r="C11394" t="s">
        <v>1218</v>
      </c>
      <c r="G11394" t="s">
        <v>25330</v>
      </c>
      <c r="H11394" t="s">
        <v>134</v>
      </c>
      <c r="I11394" t="s">
        <v>135</v>
      </c>
      <c r="J11394">
        <v>60613</v>
      </c>
      <c r="K11394">
        <v>3666</v>
      </c>
      <c r="L11394" t="s">
        <v>23</v>
      </c>
      <c r="M11394" t="s">
        <v>25330</v>
      </c>
      <c r="N11394" t="s">
        <v>134</v>
      </c>
      <c r="O11394" t="s">
        <v>135</v>
      </c>
      <c r="P11394">
        <v>60613</v>
      </c>
      <c r="Q11394">
        <v>3666</v>
      </c>
      <c r="R11394" t="s">
        <v>23</v>
      </c>
      <c r="S11394" s="1" t="s">
        <v>34218</v>
      </c>
    </row>
    <row r="11395" spans="1:19" x14ac:dyDescent="0.25">
      <c r="A11395">
        <v>101365503</v>
      </c>
      <c r="B11395" t="s">
        <v>632</v>
      </c>
      <c r="C11395" t="s">
        <v>30</v>
      </c>
      <c r="G11395" t="s">
        <v>25331</v>
      </c>
      <c r="H11395" t="s">
        <v>2376</v>
      </c>
      <c r="I11395" t="s">
        <v>236</v>
      </c>
      <c r="J11395">
        <v>1440</v>
      </c>
      <c r="K11395">
        <v>3832</v>
      </c>
      <c r="L11395" t="s">
        <v>23</v>
      </c>
      <c r="M11395" t="s">
        <v>25331</v>
      </c>
      <c r="N11395" t="s">
        <v>2376</v>
      </c>
      <c r="O11395" t="s">
        <v>236</v>
      </c>
      <c r="P11395">
        <v>1440</v>
      </c>
      <c r="Q11395">
        <v>3832</v>
      </c>
      <c r="R11395" t="s">
        <v>23</v>
      </c>
      <c r="S11395" s="1" t="s">
        <v>34218</v>
      </c>
    </row>
    <row r="11396" spans="1:19" x14ac:dyDescent="0.25">
      <c r="A11396">
        <v>101286295</v>
      </c>
      <c r="B11396" t="s">
        <v>25332</v>
      </c>
      <c r="C11396" t="s">
        <v>25</v>
      </c>
      <c r="G11396" t="s">
        <v>25333</v>
      </c>
      <c r="H11396" t="s">
        <v>8225</v>
      </c>
      <c r="I11396" t="s">
        <v>140</v>
      </c>
      <c r="J11396">
        <v>49635</v>
      </c>
      <c r="K11396">
        <v>9224</v>
      </c>
      <c r="L11396" t="s">
        <v>23</v>
      </c>
      <c r="M11396" t="s">
        <v>25333</v>
      </c>
      <c r="N11396" t="s">
        <v>8225</v>
      </c>
      <c r="O11396" t="s">
        <v>140</v>
      </c>
      <c r="P11396">
        <v>49635</v>
      </c>
      <c r="Q11396">
        <v>9224</v>
      </c>
      <c r="R11396" t="s">
        <v>23</v>
      </c>
      <c r="S11396" s="1" t="s">
        <v>34218</v>
      </c>
    </row>
    <row r="11397" spans="1:19" x14ac:dyDescent="0.25">
      <c r="A11397">
        <v>101424122</v>
      </c>
      <c r="B11397" t="s">
        <v>1598</v>
      </c>
      <c r="C11397" t="s">
        <v>4956</v>
      </c>
      <c r="G11397" t="s">
        <v>25334</v>
      </c>
      <c r="H11397" t="s">
        <v>9672</v>
      </c>
      <c r="I11397" t="s">
        <v>22</v>
      </c>
      <c r="J11397">
        <v>94951</v>
      </c>
      <c r="K11397">
        <v>502</v>
      </c>
      <c r="L11397" t="s">
        <v>23</v>
      </c>
      <c r="M11397" t="s">
        <v>25334</v>
      </c>
      <c r="N11397" t="s">
        <v>9672</v>
      </c>
      <c r="O11397" t="s">
        <v>22</v>
      </c>
      <c r="P11397">
        <v>94951</v>
      </c>
      <c r="Q11397">
        <v>502</v>
      </c>
      <c r="R11397" t="s">
        <v>23</v>
      </c>
      <c r="S11397" s="1" t="s">
        <v>34218</v>
      </c>
    </row>
    <row r="11398" spans="1:19" x14ac:dyDescent="0.25">
      <c r="A11398">
        <v>100864801</v>
      </c>
      <c r="B11398" t="s">
        <v>10269</v>
      </c>
      <c r="C11398" t="s">
        <v>432</v>
      </c>
      <c r="G11398" t="s">
        <v>25335</v>
      </c>
      <c r="H11398" t="s">
        <v>1748</v>
      </c>
      <c r="I11398" t="s">
        <v>255</v>
      </c>
      <c r="J11398">
        <v>22207</v>
      </c>
      <c r="L11398" t="s">
        <v>23</v>
      </c>
      <c r="M11398" t="s">
        <v>25335</v>
      </c>
      <c r="N11398" t="s">
        <v>1748</v>
      </c>
      <c r="O11398" t="s">
        <v>255</v>
      </c>
      <c r="P11398">
        <v>22207</v>
      </c>
      <c r="R11398" t="s">
        <v>23</v>
      </c>
      <c r="S11398" s="1" t="s">
        <v>34218</v>
      </c>
    </row>
    <row r="11399" spans="1:19" x14ac:dyDescent="0.25">
      <c r="A11399">
        <v>101457781</v>
      </c>
      <c r="B11399" t="s">
        <v>25336</v>
      </c>
      <c r="C11399" t="s">
        <v>274</v>
      </c>
      <c r="G11399" t="s">
        <v>25337</v>
      </c>
      <c r="H11399" t="s">
        <v>25338</v>
      </c>
      <c r="I11399" t="s">
        <v>1482</v>
      </c>
      <c r="J11399">
        <v>29644</v>
      </c>
      <c r="K11399">
        <v>1409</v>
      </c>
      <c r="L11399" t="s">
        <v>23</v>
      </c>
      <c r="M11399" t="s">
        <v>25337</v>
      </c>
      <c r="N11399" t="s">
        <v>25338</v>
      </c>
      <c r="O11399" t="s">
        <v>1482</v>
      </c>
      <c r="P11399">
        <v>29644</v>
      </c>
      <c r="Q11399">
        <v>1409</v>
      </c>
      <c r="R11399" t="s">
        <v>23</v>
      </c>
      <c r="S11399" s="1" t="s">
        <v>34218</v>
      </c>
    </row>
    <row r="11400" spans="1:19" x14ac:dyDescent="0.25">
      <c r="A11400">
        <v>101142666</v>
      </c>
      <c r="B11400" t="s">
        <v>25339</v>
      </c>
      <c r="C11400" t="s">
        <v>49</v>
      </c>
      <c r="G11400" t="s">
        <v>25340</v>
      </c>
      <c r="H11400" t="s">
        <v>14919</v>
      </c>
      <c r="I11400" t="s">
        <v>22</v>
      </c>
      <c r="J11400">
        <v>91344</v>
      </c>
      <c r="L11400" t="s">
        <v>23</v>
      </c>
      <c r="M11400" t="s">
        <v>25340</v>
      </c>
      <c r="N11400" t="s">
        <v>14919</v>
      </c>
      <c r="O11400" t="s">
        <v>22</v>
      </c>
      <c r="P11400">
        <v>91344</v>
      </c>
      <c r="R11400" t="s">
        <v>23</v>
      </c>
      <c r="S11400" s="1" t="s">
        <v>34218</v>
      </c>
    </row>
    <row r="11401" spans="1:19" x14ac:dyDescent="0.25">
      <c r="A11401">
        <v>101241915</v>
      </c>
      <c r="B11401" t="s">
        <v>25341</v>
      </c>
      <c r="C11401" t="s">
        <v>2892</v>
      </c>
      <c r="G11401" t="s">
        <v>25342</v>
      </c>
      <c r="H11401" t="s">
        <v>412</v>
      </c>
      <c r="I11401" t="s">
        <v>117</v>
      </c>
      <c r="J11401">
        <v>11214</v>
      </c>
      <c r="K11401">
        <v>5513</v>
      </c>
      <c r="L11401" t="s">
        <v>23</v>
      </c>
      <c r="M11401" t="s">
        <v>25342</v>
      </c>
      <c r="N11401" t="s">
        <v>412</v>
      </c>
      <c r="O11401" t="s">
        <v>117</v>
      </c>
      <c r="P11401">
        <v>11214</v>
      </c>
      <c r="Q11401">
        <v>5513</v>
      </c>
      <c r="R11401" t="s">
        <v>23</v>
      </c>
      <c r="S11401" s="1" t="s">
        <v>34218</v>
      </c>
    </row>
    <row r="11402" spans="1:19" x14ac:dyDescent="0.25">
      <c r="A11402">
        <v>101346235</v>
      </c>
      <c r="B11402" t="s">
        <v>5497</v>
      </c>
      <c r="C11402" t="s">
        <v>547</v>
      </c>
      <c r="G11402" t="s">
        <v>25343</v>
      </c>
      <c r="H11402" t="s">
        <v>14588</v>
      </c>
      <c r="I11402" t="s">
        <v>135</v>
      </c>
      <c r="J11402">
        <v>60171</v>
      </c>
      <c r="K11402">
        <v>1229</v>
      </c>
      <c r="L11402" t="s">
        <v>23</v>
      </c>
      <c r="M11402" t="s">
        <v>25343</v>
      </c>
      <c r="N11402" t="s">
        <v>14588</v>
      </c>
      <c r="O11402" t="s">
        <v>135</v>
      </c>
      <c r="P11402">
        <v>60171</v>
      </c>
      <c r="Q11402">
        <v>1229</v>
      </c>
      <c r="R11402" t="s">
        <v>23</v>
      </c>
      <c r="S11402" s="1" t="s">
        <v>34218</v>
      </c>
    </row>
    <row r="11403" spans="1:19" x14ac:dyDescent="0.25">
      <c r="A11403">
        <v>101457980</v>
      </c>
      <c r="B11403" t="s">
        <v>985</v>
      </c>
      <c r="C11403" t="s">
        <v>907</v>
      </c>
      <c r="G11403" t="s">
        <v>25344</v>
      </c>
      <c r="H11403" t="s">
        <v>25345</v>
      </c>
      <c r="I11403" t="s">
        <v>22</v>
      </c>
      <c r="J11403">
        <v>96032</v>
      </c>
      <c r="K11403">
        <v>9706</v>
      </c>
      <c r="L11403" t="s">
        <v>23</v>
      </c>
      <c r="M11403" t="s">
        <v>25344</v>
      </c>
      <c r="N11403" t="s">
        <v>25345</v>
      </c>
      <c r="O11403" t="s">
        <v>22</v>
      </c>
      <c r="P11403">
        <v>96032</v>
      </c>
      <c r="Q11403">
        <v>9706</v>
      </c>
      <c r="R11403" t="s">
        <v>23</v>
      </c>
      <c r="S11403" s="1" t="s">
        <v>34218</v>
      </c>
    </row>
    <row r="11404" spans="1:19" x14ac:dyDescent="0.25">
      <c r="A11404">
        <v>101457997</v>
      </c>
      <c r="B11404" t="s">
        <v>6391</v>
      </c>
      <c r="C11404" t="s">
        <v>119</v>
      </c>
      <c r="G11404" t="s">
        <v>6392</v>
      </c>
      <c r="H11404" t="s">
        <v>2309</v>
      </c>
      <c r="I11404" t="s">
        <v>446</v>
      </c>
      <c r="J11404">
        <v>28403</v>
      </c>
      <c r="K11404">
        <v>5355</v>
      </c>
      <c r="L11404" t="s">
        <v>23</v>
      </c>
      <c r="M11404" t="s">
        <v>6392</v>
      </c>
      <c r="N11404" t="s">
        <v>2309</v>
      </c>
      <c r="O11404" t="s">
        <v>446</v>
      </c>
      <c r="P11404">
        <v>28403</v>
      </c>
      <c r="Q11404">
        <v>5355</v>
      </c>
      <c r="R11404" t="s">
        <v>23</v>
      </c>
      <c r="S11404" s="1" t="s">
        <v>34218</v>
      </c>
    </row>
    <row r="11405" spans="1:19" x14ac:dyDescent="0.25">
      <c r="A11405">
        <v>101287987</v>
      </c>
      <c r="B11405" t="s">
        <v>37</v>
      </c>
      <c r="C11405" t="s">
        <v>2547</v>
      </c>
      <c r="G11405" t="s">
        <v>25346</v>
      </c>
      <c r="H11405" t="s">
        <v>303</v>
      </c>
      <c r="I11405" t="s">
        <v>1226</v>
      </c>
      <c r="J11405">
        <v>39206</v>
      </c>
      <c r="K11405">
        <v>3409</v>
      </c>
      <c r="L11405" t="s">
        <v>23</v>
      </c>
      <c r="M11405" t="s">
        <v>25346</v>
      </c>
      <c r="N11405" t="s">
        <v>303</v>
      </c>
      <c r="O11405" t="s">
        <v>1226</v>
      </c>
      <c r="P11405">
        <v>39206</v>
      </c>
      <c r="Q11405">
        <v>3409</v>
      </c>
      <c r="R11405" t="s">
        <v>23</v>
      </c>
      <c r="S11405" s="1" t="s">
        <v>34218</v>
      </c>
    </row>
    <row r="11406" spans="1:19" x14ac:dyDescent="0.25">
      <c r="A11406">
        <v>101339713</v>
      </c>
      <c r="B11406" t="s">
        <v>25347</v>
      </c>
      <c r="C11406" t="s">
        <v>1623</v>
      </c>
      <c r="G11406" t="s">
        <v>25348</v>
      </c>
      <c r="H11406" t="s">
        <v>15971</v>
      </c>
      <c r="I11406" t="s">
        <v>33</v>
      </c>
      <c r="J11406">
        <v>17953</v>
      </c>
      <c r="L11406" t="s">
        <v>23</v>
      </c>
      <c r="M11406" t="s">
        <v>25348</v>
      </c>
      <c r="N11406" t="s">
        <v>15971</v>
      </c>
      <c r="O11406" t="s">
        <v>33</v>
      </c>
      <c r="P11406">
        <v>17953</v>
      </c>
      <c r="R11406" t="s">
        <v>23</v>
      </c>
      <c r="S11406" s="1" t="s">
        <v>34218</v>
      </c>
    </row>
    <row r="11407" spans="1:19" x14ac:dyDescent="0.25">
      <c r="A11407">
        <v>101431622</v>
      </c>
      <c r="B11407" t="s">
        <v>3462</v>
      </c>
      <c r="C11407" t="s">
        <v>535</v>
      </c>
      <c r="G11407" t="s">
        <v>25349</v>
      </c>
      <c r="H11407" t="s">
        <v>125</v>
      </c>
      <c r="I11407" t="s">
        <v>126</v>
      </c>
      <c r="J11407">
        <v>63121</v>
      </c>
      <c r="K11407">
        <v>2431</v>
      </c>
      <c r="L11407" t="s">
        <v>23</v>
      </c>
      <c r="M11407" t="s">
        <v>25349</v>
      </c>
      <c r="N11407" t="s">
        <v>125</v>
      </c>
      <c r="O11407" t="s">
        <v>126</v>
      </c>
      <c r="P11407">
        <v>63121</v>
      </c>
      <c r="Q11407">
        <v>2431</v>
      </c>
      <c r="R11407" t="s">
        <v>23</v>
      </c>
      <c r="S11407" s="1" t="s">
        <v>34218</v>
      </c>
    </row>
    <row r="11408" spans="1:19" x14ac:dyDescent="0.25">
      <c r="A11408">
        <v>100875452</v>
      </c>
      <c r="B11408" t="s">
        <v>25350</v>
      </c>
      <c r="C11408" t="s">
        <v>842</v>
      </c>
      <c r="G11408" t="s">
        <v>25351</v>
      </c>
      <c r="H11408" t="s">
        <v>12395</v>
      </c>
      <c r="I11408" t="s">
        <v>38</v>
      </c>
      <c r="J11408">
        <v>77345</v>
      </c>
      <c r="K11408">
        <v>2550</v>
      </c>
      <c r="L11408" t="s">
        <v>23</v>
      </c>
      <c r="M11408" t="s">
        <v>25351</v>
      </c>
      <c r="N11408" t="s">
        <v>12395</v>
      </c>
      <c r="O11408" t="s">
        <v>38</v>
      </c>
      <c r="P11408">
        <v>77345</v>
      </c>
      <c r="Q11408">
        <v>2550</v>
      </c>
      <c r="R11408" t="s">
        <v>23</v>
      </c>
      <c r="S11408" s="1" t="s">
        <v>34218</v>
      </c>
    </row>
    <row r="11409" spans="1:19" x14ac:dyDescent="0.25">
      <c r="A11409">
        <v>101431540</v>
      </c>
      <c r="B11409" t="s">
        <v>25352</v>
      </c>
      <c r="C11409" t="s">
        <v>15692</v>
      </c>
      <c r="G11409" t="s">
        <v>25353</v>
      </c>
      <c r="H11409" t="s">
        <v>369</v>
      </c>
      <c r="I11409" t="s">
        <v>370</v>
      </c>
      <c r="J11409">
        <v>68506</v>
      </c>
      <c r="K11409">
        <v>1774</v>
      </c>
      <c r="L11409" t="s">
        <v>23</v>
      </c>
      <c r="M11409" t="s">
        <v>25353</v>
      </c>
      <c r="N11409" t="s">
        <v>369</v>
      </c>
      <c r="O11409" t="s">
        <v>370</v>
      </c>
      <c r="P11409">
        <v>68506</v>
      </c>
      <c r="Q11409">
        <v>1774</v>
      </c>
      <c r="R11409" t="s">
        <v>23</v>
      </c>
      <c r="S11409" s="1" t="s">
        <v>34218</v>
      </c>
    </row>
    <row r="11410" spans="1:19" x14ac:dyDescent="0.25">
      <c r="A11410">
        <v>101332409</v>
      </c>
      <c r="B11410" t="s">
        <v>11399</v>
      </c>
      <c r="C11410" t="s">
        <v>1208</v>
      </c>
      <c r="G11410" t="s">
        <v>25354</v>
      </c>
      <c r="H11410" t="s">
        <v>25355</v>
      </c>
      <c r="I11410" t="s">
        <v>52</v>
      </c>
      <c r="J11410">
        <v>34229</v>
      </c>
      <c r="K11410">
        <v>9726</v>
      </c>
      <c r="L11410" t="s">
        <v>23</v>
      </c>
      <c r="M11410" t="s">
        <v>25354</v>
      </c>
      <c r="N11410" t="s">
        <v>25355</v>
      </c>
      <c r="O11410" t="s">
        <v>52</v>
      </c>
      <c r="P11410">
        <v>34229</v>
      </c>
      <c r="Q11410">
        <v>9726</v>
      </c>
      <c r="R11410" t="s">
        <v>23</v>
      </c>
      <c r="S11410" s="1" t="s">
        <v>34218</v>
      </c>
    </row>
    <row r="11411" spans="1:19" x14ac:dyDescent="0.25">
      <c r="A11411">
        <v>101445713</v>
      </c>
      <c r="B11411" t="s">
        <v>12933</v>
      </c>
      <c r="C11411" t="s">
        <v>25356</v>
      </c>
      <c r="G11411" t="s">
        <v>25357</v>
      </c>
      <c r="H11411" t="s">
        <v>299</v>
      </c>
      <c r="I11411" t="s">
        <v>22</v>
      </c>
      <c r="J11411">
        <v>90065</v>
      </c>
      <c r="K11411">
        <v>2638</v>
      </c>
      <c r="L11411" t="s">
        <v>23</v>
      </c>
      <c r="M11411" t="s">
        <v>25357</v>
      </c>
      <c r="N11411" t="s">
        <v>299</v>
      </c>
      <c r="O11411" t="s">
        <v>22</v>
      </c>
      <c r="P11411">
        <v>90065</v>
      </c>
      <c r="Q11411">
        <v>2638</v>
      </c>
      <c r="R11411" t="s">
        <v>23</v>
      </c>
      <c r="S11411" s="1" t="s">
        <v>34218</v>
      </c>
    </row>
    <row r="11412" spans="1:19" x14ac:dyDescent="0.25">
      <c r="A11412">
        <v>101445704</v>
      </c>
      <c r="B11412" t="s">
        <v>25358</v>
      </c>
      <c r="C11412" t="s">
        <v>1824</v>
      </c>
      <c r="G11412" t="s">
        <v>25359</v>
      </c>
      <c r="H11412" t="s">
        <v>227</v>
      </c>
      <c r="I11412" t="s">
        <v>43</v>
      </c>
      <c r="J11412">
        <v>97230</v>
      </c>
      <c r="K11412">
        <v>1491</v>
      </c>
      <c r="L11412" t="s">
        <v>23</v>
      </c>
      <c r="M11412" t="s">
        <v>25359</v>
      </c>
      <c r="N11412" t="s">
        <v>227</v>
      </c>
      <c r="O11412" t="s">
        <v>43</v>
      </c>
      <c r="P11412">
        <v>97230</v>
      </c>
      <c r="Q11412">
        <v>1491</v>
      </c>
      <c r="R11412" t="s">
        <v>23</v>
      </c>
      <c r="S11412" s="1" t="s">
        <v>34218</v>
      </c>
    </row>
    <row r="11413" spans="1:19" x14ac:dyDescent="0.25">
      <c r="A11413">
        <v>101467111</v>
      </c>
      <c r="B11413" t="s">
        <v>3828</v>
      </c>
      <c r="C11413" t="s">
        <v>209</v>
      </c>
      <c r="G11413" t="s">
        <v>25360</v>
      </c>
      <c r="H11413" t="s">
        <v>869</v>
      </c>
      <c r="I11413" t="s">
        <v>52</v>
      </c>
      <c r="J11413">
        <v>33126</v>
      </c>
      <c r="K11413">
        <v>6070</v>
      </c>
      <c r="L11413" t="s">
        <v>23</v>
      </c>
      <c r="M11413" t="s">
        <v>25360</v>
      </c>
      <c r="N11413" t="s">
        <v>869</v>
      </c>
      <c r="O11413" t="s">
        <v>52</v>
      </c>
      <c r="P11413">
        <v>33126</v>
      </c>
      <c r="Q11413">
        <v>6070</v>
      </c>
      <c r="R11413" t="s">
        <v>23</v>
      </c>
      <c r="S11413" s="1" t="s">
        <v>34218</v>
      </c>
    </row>
    <row r="11414" spans="1:19" x14ac:dyDescent="0.25">
      <c r="A11414">
        <v>100842663</v>
      </c>
      <c r="B11414" t="s">
        <v>4699</v>
      </c>
      <c r="C11414" t="s">
        <v>403</v>
      </c>
      <c r="G11414" t="s">
        <v>25361</v>
      </c>
      <c r="H11414" t="s">
        <v>25362</v>
      </c>
      <c r="I11414" t="s">
        <v>43</v>
      </c>
      <c r="J11414">
        <v>97430</v>
      </c>
      <c r="L11414" t="s">
        <v>23</v>
      </c>
      <c r="M11414" t="s">
        <v>25361</v>
      </c>
      <c r="N11414" t="s">
        <v>25362</v>
      </c>
      <c r="O11414" t="s">
        <v>43</v>
      </c>
      <c r="P11414">
        <v>97430</v>
      </c>
      <c r="R11414" t="s">
        <v>23</v>
      </c>
      <c r="S11414" s="1" t="s">
        <v>34218</v>
      </c>
    </row>
    <row r="11415" spans="1:19" x14ac:dyDescent="0.25">
      <c r="A11415">
        <v>101471924</v>
      </c>
      <c r="B11415" t="s">
        <v>25363</v>
      </c>
      <c r="C11415" t="s">
        <v>4012</v>
      </c>
      <c r="G11415" t="s">
        <v>25364</v>
      </c>
      <c r="H11415" t="s">
        <v>6104</v>
      </c>
      <c r="I11415" t="s">
        <v>565</v>
      </c>
      <c r="J11415">
        <v>50208</v>
      </c>
      <c r="K11415">
        <v>5076</v>
      </c>
      <c r="L11415" t="s">
        <v>23</v>
      </c>
      <c r="M11415" t="s">
        <v>25364</v>
      </c>
      <c r="N11415" t="s">
        <v>6104</v>
      </c>
      <c r="O11415" t="s">
        <v>565</v>
      </c>
      <c r="P11415">
        <v>50208</v>
      </c>
      <c r="Q11415">
        <v>5076</v>
      </c>
      <c r="R11415" t="s">
        <v>23</v>
      </c>
      <c r="S11415" s="1" t="s">
        <v>34218</v>
      </c>
    </row>
    <row r="11416" spans="1:19" x14ac:dyDescent="0.25">
      <c r="A11416">
        <v>101314093</v>
      </c>
      <c r="B11416" t="s">
        <v>25365</v>
      </c>
      <c r="C11416" t="s">
        <v>123</v>
      </c>
      <c r="G11416" t="s">
        <v>25366</v>
      </c>
      <c r="H11416" t="s">
        <v>11512</v>
      </c>
      <c r="I11416" t="s">
        <v>255</v>
      </c>
      <c r="J11416">
        <v>23320</v>
      </c>
      <c r="K11416">
        <v>8262</v>
      </c>
      <c r="L11416" t="s">
        <v>23</v>
      </c>
      <c r="M11416" t="s">
        <v>25366</v>
      </c>
      <c r="N11416" t="s">
        <v>11512</v>
      </c>
      <c r="O11416" t="s">
        <v>255</v>
      </c>
      <c r="P11416">
        <v>23320</v>
      </c>
      <c r="Q11416">
        <v>8262</v>
      </c>
      <c r="R11416" t="s">
        <v>23</v>
      </c>
      <c r="S11416" s="1" t="s">
        <v>34218</v>
      </c>
    </row>
    <row r="11417" spans="1:19" x14ac:dyDescent="0.25">
      <c r="A11417">
        <v>101480838</v>
      </c>
      <c r="B11417" t="s">
        <v>25367</v>
      </c>
      <c r="C11417" t="s">
        <v>158</v>
      </c>
      <c r="G11417" t="s">
        <v>25368</v>
      </c>
      <c r="H11417" t="s">
        <v>1579</v>
      </c>
      <c r="I11417" t="s">
        <v>135</v>
      </c>
      <c r="J11417">
        <v>60503</v>
      </c>
      <c r="K11417">
        <v>6753</v>
      </c>
      <c r="L11417" t="s">
        <v>23</v>
      </c>
      <c r="M11417" t="s">
        <v>25368</v>
      </c>
      <c r="N11417" t="s">
        <v>1579</v>
      </c>
      <c r="O11417" t="s">
        <v>135</v>
      </c>
      <c r="P11417">
        <v>60503</v>
      </c>
      <c r="Q11417">
        <v>6753</v>
      </c>
      <c r="R11417" t="s">
        <v>23</v>
      </c>
      <c r="S11417" s="1" t="s">
        <v>34218</v>
      </c>
    </row>
    <row r="11418" spans="1:19" x14ac:dyDescent="0.25">
      <c r="A11418">
        <v>100591335</v>
      </c>
      <c r="B11418" t="s">
        <v>25369</v>
      </c>
      <c r="C11418" t="s">
        <v>4046</v>
      </c>
      <c r="F11418" t="str">
        <f>"8477747221"</f>
        <v>8477747221</v>
      </c>
      <c r="G11418" t="s">
        <v>25370</v>
      </c>
      <c r="H11418" t="s">
        <v>1803</v>
      </c>
      <c r="I11418" t="s">
        <v>135</v>
      </c>
      <c r="J11418">
        <v>60124</v>
      </c>
      <c r="L11418" t="s">
        <v>23</v>
      </c>
      <c r="M11418" t="s">
        <v>25370</v>
      </c>
      <c r="N11418" t="s">
        <v>1803</v>
      </c>
      <c r="O11418" t="s">
        <v>135</v>
      </c>
      <c r="P11418">
        <v>60124</v>
      </c>
      <c r="R11418" t="s">
        <v>23</v>
      </c>
      <c r="S11418" s="1" t="s">
        <v>34218</v>
      </c>
    </row>
    <row r="11419" spans="1:19" x14ac:dyDescent="0.25">
      <c r="A11419">
        <v>101481513</v>
      </c>
      <c r="B11419" t="s">
        <v>16293</v>
      </c>
      <c r="C11419" t="s">
        <v>2248</v>
      </c>
      <c r="G11419" t="s">
        <v>16294</v>
      </c>
      <c r="H11419" t="s">
        <v>16295</v>
      </c>
      <c r="I11419" t="s">
        <v>33</v>
      </c>
      <c r="J11419">
        <v>15330</v>
      </c>
      <c r="K11419">
        <v>2601</v>
      </c>
      <c r="L11419" t="s">
        <v>23</v>
      </c>
      <c r="M11419" t="s">
        <v>16294</v>
      </c>
      <c r="N11419" t="s">
        <v>16295</v>
      </c>
      <c r="O11419" t="s">
        <v>33</v>
      </c>
      <c r="P11419">
        <v>15330</v>
      </c>
      <c r="Q11419">
        <v>2601</v>
      </c>
      <c r="R11419" t="s">
        <v>23</v>
      </c>
      <c r="S11419" s="1" t="s">
        <v>34218</v>
      </c>
    </row>
    <row r="11420" spans="1:19" x14ac:dyDescent="0.25">
      <c r="A11420">
        <v>101467851</v>
      </c>
      <c r="B11420" t="s">
        <v>25371</v>
      </c>
      <c r="C11420" t="s">
        <v>846</v>
      </c>
      <c r="G11420" t="s">
        <v>25372</v>
      </c>
      <c r="H11420" t="s">
        <v>5070</v>
      </c>
      <c r="I11420" t="s">
        <v>84</v>
      </c>
      <c r="J11420">
        <v>98660</v>
      </c>
      <c r="K11420">
        <v>2546</v>
      </c>
      <c r="L11420" t="s">
        <v>23</v>
      </c>
      <c r="M11420" t="s">
        <v>25372</v>
      </c>
      <c r="N11420" t="s">
        <v>5070</v>
      </c>
      <c r="O11420" t="s">
        <v>84</v>
      </c>
      <c r="P11420">
        <v>98660</v>
      </c>
      <c r="Q11420">
        <v>2546</v>
      </c>
      <c r="R11420" t="s">
        <v>23</v>
      </c>
      <c r="S11420" s="1" t="s">
        <v>34218</v>
      </c>
    </row>
    <row r="11421" spans="1:19" x14ac:dyDescent="0.25">
      <c r="A11421">
        <v>101427837</v>
      </c>
      <c r="B11421" t="s">
        <v>1330</v>
      </c>
      <c r="C11421" t="s">
        <v>2033</v>
      </c>
      <c r="G11421" t="s">
        <v>25373</v>
      </c>
      <c r="H11421" t="s">
        <v>25374</v>
      </c>
      <c r="I11421" t="s">
        <v>348</v>
      </c>
      <c r="J11421">
        <v>83467</v>
      </c>
      <c r="K11421">
        <v>3503</v>
      </c>
      <c r="L11421" t="s">
        <v>23</v>
      </c>
      <c r="M11421" t="s">
        <v>25373</v>
      </c>
      <c r="N11421" t="s">
        <v>25374</v>
      </c>
      <c r="O11421" t="s">
        <v>348</v>
      </c>
      <c r="P11421">
        <v>83467</v>
      </c>
      <c r="Q11421">
        <v>3503</v>
      </c>
      <c r="R11421" t="s">
        <v>23</v>
      </c>
      <c r="S11421" s="1" t="s">
        <v>34218</v>
      </c>
    </row>
    <row r="11422" spans="1:19" x14ac:dyDescent="0.25">
      <c r="A11422">
        <v>100876634</v>
      </c>
      <c r="B11422" t="s">
        <v>3459</v>
      </c>
      <c r="C11422" t="s">
        <v>282</v>
      </c>
      <c r="G11422" t="s">
        <v>25375</v>
      </c>
      <c r="H11422" t="s">
        <v>8743</v>
      </c>
      <c r="I11422" t="s">
        <v>22</v>
      </c>
      <c r="J11422">
        <v>91765</v>
      </c>
      <c r="K11422">
        <v>1256</v>
      </c>
      <c r="L11422" t="s">
        <v>23</v>
      </c>
      <c r="M11422" t="s">
        <v>25375</v>
      </c>
      <c r="N11422" t="s">
        <v>8743</v>
      </c>
      <c r="O11422" t="s">
        <v>22</v>
      </c>
      <c r="P11422">
        <v>91765</v>
      </c>
      <c r="Q11422">
        <v>1256</v>
      </c>
      <c r="R11422" t="s">
        <v>23</v>
      </c>
      <c r="S11422" s="1" t="s">
        <v>34218</v>
      </c>
    </row>
    <row r="11423" spans="1:19" x14ac:dyDescent="0.25">
      <c r="A11423">
        <v>100898902</v>
      </c>
      <c r="B11423" t="s">
        <v>826</v>
      </c>
      <c r="C11423" t="s">
        <v>509</v>
      </c>
      <c r="F11423" t="str">
        <f>"3103389178"</f>
        <v>3103389178</v>
      </c>
      <c r="G11423" t="s">
        <v>25376</v>
      </c>
      <c r="H11423" t="s">
        <v>299</v>
      </c>
      <c r="I11423" t="s">
        <v>22</v>
      </c>
      <c r="J11423">
        <v>90056</v>
      </c>
      <c r="K11423">
        <v>2010</v>
      </c>
      <c r="L11423" t="s">
        <v>23</v>
      </c>
      <c r="M11423" t="s">
        <v>25376</v>
      </c>
      <c r="N11423" t="s">
        <v>299</v>
      </c>
      <c r="O11423" t="s">
        <v>22</v>
      </c>
      <c r="P11423">
        <v>90056</v>
      </c>
      <c r="Q11423">
        <v>2010</v>
      </c>
      <c r="R11423" t="s">
        <v>23</v>
      </c>
      <c r="S11423" s="1" t="s">
        <v>34218</v>
      </c>
    </row>
    <row r="11424" spans="1:19" x14ac:dyDescent="0.25">
      <c r="A11424">
        <v>100855671</v>
      </c>
      <c r="B11424" t="s">
        <v>4716</v>
      </c>
      <c r="C11424" t="s">
        <v>233</v>
      </c>
      <c r="G11424" t="s">
        <v>25377</v>
      </c>
      <c r="H11424" t="s">
        <v>11842</v>
      </c>
      <c r="I11424" t="s">
        <v>57</v>
      </c>
      <c r="J11424">
        <v>46142</v>
      </c>
      <c r="K11424">
        <v>8309</v>
      </c>
      <c r="L11424" t="s">
        <v>23</v>
      </c>
      <c r="M11424" t="s">
        <v>25377</v>
      </c>
      <c r="N11424" t="s">
        <v>11842</v>
      </c>
      <c r="O11424" t="s">
        <v>57</v>
      </c>
      <c r="P11424">
        <v>46142</v>
      </c>
      <c r="Q11424">
        <v>8309</v>
      </c>
      <c r="R11424" t="s">
        <v>23</v>
      </c>
      <c r="S11424" s="1" t="s">
        <v>34218</v>
      </c>
    </row>
    <row r="11425" spans="1:19" x14ac:dyDescent="0.25">
      <c r="A11425">
        <v>100516072</v>
      </c>
      <c r="B11425" t="s">
        <v>25378</v>
      </c>
      <c r="C11425" t="s">
        <v>7407</v>
      </c>
      <c r="G11425" t="s">
        <v>25379</v>
      </c>
      <c r="H11425" t="s">
        <v>3236</v>
      </c>
      <c r="I11425" t="s">
        <v>236</v>
      </c>
      <c r="J11425">
        <v>2135</v>
      </c>
      <c r="L11425" t="s">
        <v>23</v>
      </c>
      <c r="M11425" t="s">
        <v>25379</v>
      </c>
      <c r="N11425" t="s">
        <v>3236</v>
      </c>
      <c r="O11425" t="s">
        <v>236</v>
      </c>
      <c r="P11425">
        <v>2135</v>
      </c>
      <c r="R11425" t="s">
        <v>23</v>
      </c>
      <c r="S11425" s="1" t="s">
        <v>34218</v>
      </c>
    </row>
    <row r="11426" spans="1:19" x14ac:dyDescent="0.25">
      <c r="A11426">
        <v>101424322</v>
      </c>
      <c r="B11426" t="s">
        <v>25380</v>
      </c>
      <c r="C11426" t="s">
        <v>9958</v>
      </c>
      <c r="G11426" t="s">
        <v>25381</v>
      </c>
      <c r="H11426" t="s">
        <v>653</v>
      </c>
      <c r="I11426" t="s">
        <v>117</v>
      </c>
      <c r="J11426">
        <v>10128</v>
      </c>
      <c r="K11426">
        <v>5565</v>
      </c>
      <c r="L11426" t="s">
        <v>23</v>
      </c>
      <c r="M11426" t="s">
        <v>25381</v>
      </c>
      <c r="N11426" t="s">
        <v>653</v>
      </c>
      <c r="O11426" t="s">
        <v>117</v>
      </c>
      <c r="P11426">
        <v>10128</v>
      </c>
      <c r="Q11426">
        <v>5565</v>
      </c>
      <c r="R11426" t="s">
        <v>23</v>
      </c>
      <c r="S11426" s="1" t="s">
        <v>34218</v>
      </c>
    </row>
    <row r="11427" spans="1:19" x14ac:dyDescent="0.25">
      <c r="A11427">
        <v>100990133</v>
      </c>
      <c r="B11427" t="s">
        <v>25382</v>
      </c>
      <c r="C11427" t="s">
        <v>225</v>
      </c>
      <c r="G11427" t="s">
        <v>25383</v>
      </c>
      <c r="H11427" t="s">
        <v>2894</v>
      </c>
      <c r="I11427" t="s">
        <v>178</v>
      </c>
      <c r="J11427">
        <v>43620</v>
      </c>
      <c r="K11427">
        <v>1108</v>
      </c>
      <c r="L11427" t="s">
        <v>23</v>
      </c>
      <c r="M11427" t="s">
        <v>25383</v>
      </c>
      <c r="N11427" t="s">
        <v>2894</v>
      </c>
      <c r="O11427" t="s">
        <v>178</v>
      </c>
      <c r="P11427">
        <v>43620</v>
      </c>
      <c r="Q11427">
        <v>1108</v>
      </c>
      <c r="R11427" t="s">
        <v>23</v>
      </c>
      <c r="S11427" s="1" t="s">
        <v>34218</v>
      </c>
    </row>
    <row r="11428" spans="1:19" x14ac:dyDescent="0.25">
      <c r="A11428">
        <v>101430695</v>
      </c>
      <c r="B11428" t="s">
        <v>1034</v>
      </c>
      <c r="C11428" t="s">
        <v>329</v>
      </c>
      <c r="G11428" t="s">
        <v>25384</v>
      </c>
      <c r="H11428" t="s">
        <v>3686</v>
      </c>
      <c r="I11428" t="s">
        <v>57</v>
      </c>
      <c r="J11428">
        <v>47712</v>
      </c>
      <c r="K11428">
        <v>5657</v>
      </c>
      <c r="L11428" t="s">
        <v>23</v>
      </c>
      <c r="M11428" t="s">
        <v>25384</v>
      </c>
      <c r="N11428" t="s">
        <v>3686</v>
      </c>
      <c r="O11428" t="s">
        <v>57</v>
      </c>
      <c r="P11428">
        <v>47712</v>
      </c>
      <c r="Q11428">
        <v>5657</v>
      </c>
      <c r="R11428" t="s">
        <v>23</v>
      </c>
      <c r="S11428" s="1" t="s">
        <v>34218</v>
      </c>
    </row>
    <row r="11429" spans="1:19" x14ac:dyDescent="0.25">
      <c r="A11429">
        <v>101243378</v>
      </c>
      <c r="B11429" t="s">
        <v>25385</v>
      </c>
      <c r="C11429" t="s">
        <v>432</v>
      </c>
      <c r="G11429" t="s">
        <v>25386</v>
      </c>
      <c r="H11429" t="s">
        <v>25387</v>
      </c>
      <c r="I11429" t="s">
        <v>236</v>
      </c>
      <c r="J11429">
        <v>2494</v>
      </c>
      <c r="K11429">
        <v>1804</v>
      </c>
      <c r="L11429" t="s">
        <v>23</v>
      </c>
      <c r="M11429" t="s">
        <v>25386</v>
      </c>
      <c r="N11429" t="s">
        <v>25387</v>
      </c>
      <c r="O11429" t="s">
        <v>236</v>
      </c>
      <c r="P11429">
        <v>2494</v>
      </c>
      <c r="Q11429">
        <v>1804</v>
      </c>
      <c r="R11429" t="s">
        <v>23</v>
      </c>
      <c r="S11429" s="1" t="s">
        <v>34218</v>
      </c>
    </row>
    <row r="11430" spans="1:19" x14ac:dyDescent="0.25">
      <c r="A11430">
        <v>100888700</v>
      </c>
      <c r="B11430" t="s">
        <v>25388</v>
      </c>
      <c r="C11430" t="s">
        <v>1036</v>
      </c>
      <c r="G11430" t="s">
        <v>25389</v>
      </c>
      <c r="H11430" t="s">
        <v>4429</v>
      </c>
      <c r="I11430" t="s">
        <v>38</v>
      </c>
      <c r="J11430">
        <v>75023</v>
      </c>
      <c r="K11430">
        <v>6524</v>
      </c>
      <c r="L11430" t="s">
        <v>23</v>
      </c>
      <c r="M11430" t="s">
        <v>25389</v>
      </c>
      <c r="N11430" t="s">
        <v>4429</v>
      </c>
      <c r="O11430" t="s">
        <v>38</v>
      </c>
      <c r="P11430">
        <v>75023</v>
      </c>
      <c r="Q11430">
        <v>6524</v>
      </c>
      <c r="R11430" t="s">
        <v>23</v>
      </c>
      <c r="S11430" s="1" t="s">
        <v>34218</v>
      </c>
    </row>
    <row r="11431" spans="1:19" x14ac:dyDescent="0.25">
      <c r="A11431">
        <v>101125012</v>
      </c>
      <c r="B11431" t="s">
        <v>25390</v>
      </c>
      <c r="C11431" t="s">
        <v>2365</v>
      </c>
      <c r="G11431" t="s">
        <v>25391</v>
      </c>
      <c r="H11431" t="s">
        <v>25392</v>
      </c>
      <c r="I11431" t="s">
        <v>117</v>
      </c>
      <c r="J11431">
        <v>11784</v>
      </c>
      <c r="K11431">
        <v>2031</v>
      </c>
      <c r="L11431" t="s">
        <v>23</v>
      </c>
      <c r="M11431" t="s">
        <v>25391</v>
      </c>
      <c r="N11431" t="s">
        <v>25392</v>
      </c>
      <c r="O11431" t="s">
        <v>117</v>
      </c>
      <c r="P11431">
        <v>11784</v>
      </c>
      <c r="Q11431">
        <v>2031</v>
      </c>
      <c r="R11431" t="s">
        <v>23</v>
      </c>
      <c r="S11431" s="1" t="s">
        <v>34218</v>
      </c>
    </row>
    <row r="11432" spans="1:19" x14ac:dyDescent="0.25">
      <c r="A11432">
        <v>100511029</v>
      </c>
      <c r="B11432" t="s">
        <v>7502</v>
      </c>
      <c r="C11432" t="s">
        <v>13533</v>
      </c>
      <c r="G11432" t="s">
        <v>7504</v>
      </c>
      <c r="H11432" t="s">
        <v>7505</v>
      </c>
      <c r="I11432" t="s">
        <v>84</v>
      </c>
      <c r="J11432">
        <v>98110</v>
      </c>
      <c r="K11432">
        <v>2010</v>
      </c>
      <c r="L11432" t="s">
        <v>23</v>
      </c>
      <c r="M11432" t="s">
        <v>7504</v>
      </c>
      <c r="N11432" t="s">
        <v>7505</v>
      </c>
      <c r="O11432" t="s">
        <v>84</v>
      </c>
      <c r="P11432">
        <v>98110</v>
      </c>
      <c r="Q11432">
        <v>2010</v>
      </c>
      <c r="R11432" t="s">
        <v>23</v>
      </c>
      <c r="S11432" s="1" t="s">
        <v>34218</v>
      </c>
    </row>
    <row r="11433" spans="1:19" x14ac:dyDescent="0.25">
      <c r="A11433">
        <v>100624309</v>
      </c>
      <c r="B11433" t="s">
        <v>3893</v>
      </c>
      <c r="C11433" t="s">
        <v>251</v>
      </c>
      <c r="G11433" t="s">
        <v>25393</v>
      </c>
      <c r="H11433" t="s">
        <v>16681</v>
      </c>
      <c r="I11433" t="s">
        <v>28</v>
      </c>
      <c r="J11433">
        <v>30088</v>
      </c>
      <c r="L11433" t="s">
        <v>23</v>
      </c>
      <c r="M11433" t="s">
        <v>25393</v>
      </c>
      <c r="N11433" t="s">
        <v>16681</v>
      </c>
      <c r="O11433" t="s">
        <v>28</v>
      </c>
      <c r="P11433">
        <v>30088</v>
      </c>
      <c r="R11433" t="s">
        <v>23</v>
      </c>
      <c r="S11433" s="1" t="s">
        <v>34218</v>
      </c>
    </row>
    <row r="11434" spans="1:19" x14ac:dyDescent="0.25">
      <c r="A11434">
        <v>100864668</v>
      </c>
      <c r="B11434" t="s">
        <v>247</v>
      </c>
      <c r="C11434" t="s">
        <v>880</v>
      </c>
      <c r="G11434" t="s">
        <v>25394</v>
      </c>
      <c r="H11434" t="s">
        <v>976</v>
      </c>
      <c r="I11434" t="s">
        <v>140</v>
      </c>
      <c r="J11434">
        <v>48108</v>
      </c>
      <c r="K11434">
        <v>2447</v>
      </c>
      <c r="L11434" t="s">
        <v>23</v>
      </c>
      <c r="M11434" t="s">
        <v>25394</v>
      </c>
      <c r="N11434" t="s">
        <v>976</v>
      </c>
      <c r="O11434" t="s">
        <v>140</v>
      </c>
      <c r="P11434">
        <v>48108</v>
      </c>
      <c r="Q11434">
        <v>2447</v>
      </c>
      <c r="R11434" t="s">
        <v>23</v>
      </c>
      <c r="S11434" s="1" t="s">
        <v>34218</v>
      </c>
    </row>
    <row r="11435" spans="1:19" x14ac:dyDescent="0.25">
      <c r="A11435">
        <v>101327228</v>
      </c>
      <c r="B11435" t="s">
        <v>14165</v>
      </c>
      <c r="C11435" t="s">
        <v>1120</v>
      </c>
      <c r="G11435" t="s">
        <v>25395</v>
      </c>
      <c r="H11435" t="s">
        <v>5413</v>
      </c>
      <c r="I11435" t="s">
        <v>187</v>
      </c>
      <c r="J11435">
        <v>55024</v>
      </c>
      <c r="K11435">
        <v>8460</v>
      </c>
      <c r="L11435" t="s">
        <v>23</v>
      </c>
      <c r="M11435" t="s">
        <v>25395</v>
      </c>
      <c r="N11435" t="s">
        <v>5413</v>
      </c>
      <c r="O11435" t="s">
        <v>187</v>
      </c>
      <c r="P11435">
        <v>55024</v>
      </c>
      <c r="Q11435">
        <v>8460</v>
      </c>
      <c r="R11435" t="s">
        <v>23</v>
      </c>
      <c r="S11435" s="1" t="s">
        <v>34218</v>
      </c>
    </row>
    <row r="11436" spans="1:19" x14ac:dyDescent="0.25">
      <c r="A11436">
        <v>101480649</v>
      </c>
      <c r="B11436" t="s">
        <v>320</v>
      </c>
      <c r="C11436" t="s">
        <v>25396</v>
      </c>
      <c r="G11436" t="s">
        <v>25397</v>
      </c>
      <c r="H11436" t="s">
        <v>299</v>
      </c>
      <c r="I11436" t="s">
        <v>22</v>
      </c>
      <c r="J11436">
        <v>90036</v>
      </c>
      <c r="K11436">
        <v>4094</v>
      </c>
      <c r="L11436" t="s">
        <v>23</v>
      </c>
      <c r="M11436" t="s">
        <v>25397</v>
      </c>
      <c r="N11436" t="s">
        <v>299</v>
      </c>
      <c r="O11436" t="s">
        <v>22</v>
      </c>
      <c r="P11436">
        <v>90036</v>
      </c>
      <c r="Q11436">
        <v>4094</v>
      </c>
      <c r="R11436" t="s">
        <v>23</v>
      </c>
      <c r="S11436" s="1" t="s">
        <v>34218</v>
      </c>
    </row>
    <row r="11437" spans="1:19" x14ac:dyDescent="0.25">
      <c r="A11437">
        <v>101478986</v>
      </c>
      <c r="B11437" t="s">
        <v>5528</v>
      </c>
      <c r="C11437" t="s">
        <v>1327</v>
      </c>
      <c r="G11437" t="s">
        <v>25398</v>
      </c>
      <c r="H11437" t="s">
        <v>6831</v>
      </c>
      <c r="I11437" t="s">
        <v>22</v>
      </c>
      <c r="J11437">
        <v>95448</v>
      </c>
      <c r="K11437">
        <v>3748</v>
      </c>
      <c r="L11437" t="s">
        <v>23</v>
      </c>
      <c r="M11437" t="s">
        <v>25398</v>
      </c>
      <c r="N11437" t="s">
        <v>6831</v>
      </c>
      <c r="O11437" t="s">
        <v>22</v>
      </c>
      <c r="P11437">
        <v>95448</v>
      </c>
      <c r="Q11437">
        <v>3748</v>
      </c>
      <c r="R11437" t="s">
        <v>23</v>
      </c>
      <c r="S11437" s="1" t="s">
        <v>34218</v>
      </c>
    </row>
    <row r="11438" spans="1:19" x14ac:dyDescent="0.25">
      <c r="A11438">
        <v>100515559</v>
      </c>
      <c r="B11438" t="s">
        <v>25399</v>
      </c>
      <c r="C11438" t="s">
        <v>1120</v>
      </c>
      <c r="G11438" t="s">
        <v>25400</v>
      </c>
      <c r="H11438" t="s">
        <v>1126</v>
      </c>
      <c r="I11438" t="s">
        <v>117</v>
      </c>
      <c r="J11438">
        <v>12188</v>
      </c>
      <c r="K11438">
        <v>2308</v>
      </c>
      <c r="L11438" t="s">
        <v>23</v>
      </c>
      <c r="M11438" t="s">
        <v>25400</v>
      </c>
      <c r="N11438" t="s">
        <v>1126</v>
      </c>
      <c r="O11438" t="s">
        <v>117</v>
      </c>
      <c r="P11438">
        <v>12188</v>
      </c>
      <c r="Q11438">
        <v>2308</v>
      </c>
      <c r="R11438" t="s">
        <v>23</v>
      </c>
      <c r="S11438" s="1" t="s">
        <v>34218</v>
      </c>
    </row>
    <row r="11439" spans="1:19" x14ac:dyDescent="0.25">
      <c r="A11439">
        <v>100907462</v>
      </c>
      <c r="B11439" t="s">
        <v>620</v>
      </c>
      <c r="C11439" t="s">
        <v>575</v>
      </c>
      <c r="G11439" t="s">
        <v>25401</v>
      </c>
      <c r="H11439" t="s">
        <v>1787</v>
      </c>
      <c r="I11439" t="s">
        <v>702</v>
      </c>
      <c r="J11439">
        <v>89138</v>
      </c>
      <c r="K11439">
        <v>6050</v>
      </c>
      <c r="L11439" t="s">
        <v>23</v>
      </c>
      <c r="M11439" t="s">
        <v>25401</v>
      </c>
      <c r="N11439" t="s">
        <v>1787</v>
      </c>
      <c r="O11439" t="s">
        <v>702</v>
      </c>
      <c r="P11439">
        <v>89138</v>
      </c>
      <c r="Q11439">
        <v>6050</v>
      </c>
      <c r="R11439" t="s">
        <v>23</v>
      </c>
      <c r="S11439" s="1" t="s">
        <v>34218</v>
      </c>
    </row>
    <row r="11440" spans="1:19" x14ac:dyDescent="0.25">
      <c r="A11440">
        <v>101006522</v>
      </c>
      <c r="B11440" t="s">
        <v>25402</v>
      </c>
      <c r="C11440" t="s">
        <v>1698</v>
      </c>
      <c r="G11440" t="s">
        <v>25403</v>
      </c>
      <c r="H11440" t="s">
        <v>1105</v>
      </c>
      <c r="I11440" t="s">
        <v>117</v>
      </c>
      <c r="J11440">
        <v>10463</v>
      </c>
      <c r="K11440">
        <v>1292</v>
      </c>
      <c r="L11440" t="s">
        <v>23</v>
      </c>
      <c r="M11440" t="s">
        <v>25403</v>
      </c>
      <c r="N11440" t="s">
        <v>1105</v>
      </c>
      <c r="O11440" t="s">
        <v>117</v>
      </c>
      <c r="P11440">
        <v>10463</v>
      </c>
      <c r="Q11440">
        <v>1292</v>
      </c>
      <c r="R11440" t="s">
        <v>23</v>
      </c>
      <c r="S11440" s="1" t="s">
        <v>34218</v>
      </c>
    </row>
    <row r="11441" spans="1:19" x14ac:dyDescent="0.25">
      <c r="A11441">
        <v>101003513</v>
      </c>
      <c r="B11441" t="s">
        <v>25404</v>
      </c>
      <c r="C11441" t="s">
        <v>4318</v>
      </c>
      <c r="G11441" t="s">
        <v>25405</v>
      </c>
      <c r="H11441" t="s">
        <v>412</v>
      </c>
      <c r="I11441" t="s">
        <v>117</v>
      </c>
      <c r="J11441">
        <v>11215</v>
      </c>
      <c r="K11441">
        <v>1568</v>
      </c>
      <c r="L11441" t="s">
        <v>23</v>
      </c>
      <c r="M11441" t="s">
        <v>25405</v>
      </c>
      <c r="N11441" t="s">
        <v>412</v>
      </c>
      <c r="O11441" t="s">
        <v>117</v>
      </c>
      <c r="P11441">
        <v>11215</v>
      </c>
      <c r="Q11441">
        <v>1568</v>
      </c>
      <c r="R11441" t="s">
        <v>23</v>
      </c>
      <c r="S11441" s="1" t="s">
        <v>34218</v>
      </c>
    </row>
    <row r="11442" spans="1:19" x14ac:dyDescent="0.25">
      <c r="A11442">
        <v>101247149</v>
      </c>
      <c r="B11442" t="s">
        <v>3828</v>
      </c>
      <c r="C11442" t="s">
        <v>180</v>
      </c>
      <c r="G11442" t="s">
        <v>25406</v>
      </c>
      <c r="H11442" t="s">
        <v>869</v>
      </c>
      <c r="I11442" t="s">
        <v>52</v>
      </c>
      <c r="J11442">
        <v>33161</v>
      </c>
      <c r="K11442">
        <v>6132</v>
      </c>
      <c r="L11442" t="s">
        <v>23</v>
      </c>
      <c r="M11442" t="s">
        <v>25406</v>
      </c>
      <c r="N11442" t="s">
        <v>869</v>
      </c>
      <c r="O11442" t="s">
        <v>52</v>
      </c>
      <c r="P11442">
        <v>33161</v>
      </c>
      <c r="Q11442">
        <v>6132</v>
      </c>
      <c r="R11442" t="s">
        <v>23</v>
      </c>
      <c r="S11442" s="1" t="s">
        <v>34218</v>
      </c>
    </row>
    <row r="11443" spans="1:19" x14ac:dyDescent="0.25">
      <c r="A11443">
        <v>101420885</v>
      </c>
      <c r="B11443" t="s">
        <v>25407</v>
      </c>
      <c r="C11443" t="s">
        <v>247</v>
      </c>
      <c r="G11443" t="s">
        <v>25408</v>
      </c>
      <c r="H11443" t="s">
        <v>1056</v>
      </c>
      <c r="I11443" t="s">
        <v>52</v>
      </c>
      <c r="J11443">
        <v>32931</v>
      </c>
      <c r="K11443">
        <v>3312</v>
      </c>
      <c r="L11443" t="s">
        <v>23</v>
      </c>
      <c r="M11443" t="s">
        <v>25408</v>
      </c>
      <c r="N11443" t="s">
        <v>1056</v>
      </c>
      <c r="O11443" t="s">
        <v>52</v>
      </c>
      <c r="P11443">
        <v>32931</v>
      </c>
      <c r="Q11443">
        <v>3312</v>
      </c>
      <c r="R11443" t="s">
        <v>23</v>
      </c>
      <c r="S11443" s="1" t="s">
        <v>34218</v>
      </c>
    </row>
    <row r="11444" spans="1:19" x14ac:dyDescent="0.25">
      <c r="A11444">
        <v>101469516</v>
      </c>
      <c r="B11444" t="s">
        <v>25409</v>
      </c>
      <c r="C11444" t="s">
        <v>25410</v>
      </c>
      <c r="G11444" t="s">
        <v>25411</v>
      </c>
      <c r="H11444" t="s">
        <v>7369</v>
      </c>
      <c r="I11444" t="s">
        <v>984</v>
      </c>
      <c r="J11444">
        <v>96744</v>
      </c>
      <c r="K11444">
        <v>2365</v>
      </c>
      <c r="L11444" t="s">
        <v>23</v>
      </c>
      <c r="M11444" t="s">
        <v>25411</v>
      </c>
      <c r="N11444" t="s">
        <v>7369</v>
      </c>
      <c r="O11444" t="s">
        <v>984</v>
      </c>
      <c r="P11444">
        <v>96744</v>
      </c>
      <c r="Q11444">
        <v>2365</v>
      </c>
      <c r="R11444" t="s">
        <v>23</v>
      </c>
      <c r="S11444" s="1" t="s">
        <v>34218</v>
      </c>
    </row>
    <row r="11445" spans="1:19" x14ac:dyDescent="0.25">
      <c r="A11445">
        <v>101288867</v>
      </c>
      <c r="B11445" t="s">
        <v>25412</v>
      </c>
      <c r="C11445" t="s">
        <v>81</v>
      </c>
      <c r="G11445" t="s">
        <v>25413</v>
      </c>
      <c r="H11445" t="s">
        <v>25414</v>
      </c>
      <c r="I11445" t="s">
        <v>117</v>
      </c>
      <c r="J11445">
        <v>11710</v>
      </c>
      <c r="K11445">
        <v>2025</v>
      </c>
      <c r="L11445" t="s">
        <v>23</v>
      </c>
      <c r="M11445" t="s">
        <v>25413</v>
      </c>
      <c r="N11445" t="s">
        <v>25414</v>
      </c>
      <c r="O11445" t="s">
        <v>117</v>
      </c>
      <c r="P11445">
        <v>11710</v>
      </c>
      <c r="Q11445">
        <v>2025</v>
      </c>
      <c r="R11445" t="s">
        <v>23</v>
      </c>
      <c r="S11445" s="1" t="s">
        <v>34218</v>
      </c>
    </row>
    <row r="11446" spans="1:19" x14ac:dyDescent="0.25">
      <c r="A11446">
        <v>101480662</v>
      </c>
      <c r="B11446" t="s">
        <v>13861</v>
      </c>
      <c r="C11446" t="s">
        <v>3714</v>
      </c>
      <c r="G11446" t="s">
        <v>13862</v>
      </c>
      <c r="H11446" t="s">
        <v>10776</v>
      </c>
      <c r="I11446" t="s">
        <v>52</v>
      </c>
      <c r="J11446">
        <v>33313</v>
      </c>
      <c r="K11446">
        <v>5916</v>
      </c>
      <c r="L11446" t="s">
        <v>23</v>
      </c>
      <c r="M11446" t="s">
        <v>13862</v>
      </c>
      <c r="N11446" t="s">
        <v>10776</v>
      </c>
      <c r="O11446" t="s">
        <v>52</v>
      </c>
      <c r="P11446">
        <v>33313</v>
      </c>
      <c r="Q11446">
        <v>5916</v>
      </c>
      <c r="R11446" t="s">
        <v>23</v>
      </c>
      <c r="S11446" s="1" t="s">
        <v>34218</v>
      </c>
    </row>
    <row r="11447" spans="1:19" x14ac:dyDescent="0.25">
      <c r="A11447">
        <v>101480664</v>
      </c>
      <c r="B11447" t="s">
        <v>25415</v>
      </c>
      <c r="C11447" t="s">
        <v>3609</v>
      </c>
      <c r="G11447" t="s">
        <v>25416</v>
      </c>
      <c r="H11447" t="s">
        <v>25417</v>
      </c>
      <c r="I11447" t="s">
        <v>117</v>
      </c>
      <c r="J11447">
        <v>12804</v>
      </c>
      <c r="K11447">
        <v>2552</v>
      </c>
      <c r="L11447" t="s">
        <v>23</v>
      </c>
      <c r="M11447" t="s">
        <v>25416</v>
      </c>
      <c r="N11447" t="s">
        <v>25417</v>
      </c>
      <c r="O11447" t="s">
        <v>117</v>
      </c>
      <c r="P11447">
        <v>12804</v>
      </c>
      <c r="Q11447">
        <v>2552</v>
      </c>
      <c r="R11447" t="s">
        <v>23</v>
      </c>
      <c r="S11447" s="1" t="s">
        <v>34218</v>
      </c>
    </row>
    <row r="11448" spans="1:19" x14ac:dyDescent="0.25">
      <c r="A11448">
        <v>101312257</v>
      </c>
      <c r="B11448" t="s">
        <v>3545</v>
      </c>
      <c r="C11448" t="s">
        <v>728</v>
      </c>
      <c r="G11448" t="s">
        <v>25418</v>
      </c>
      <c r="H11448" t="s">
        <v>134</v>
      </c>
      <c r="I11448" t="s">
        <v>135</v>
      </c>
      <c r="J11448">
        <v>60608</v>
      </c>
      <c r="K11448">
        <v>3006</v>
      </c>
      <c r="L11448" t="s">
        <v>23</v>
      </c>
      <c r="M11448" t="s">
        <v>25418</v>
      </c>
      <c r="N11448" t="s">
        <v>134</v>
      </c>
      <c r="O11448" t="s">
        <v>135</v>
      </c>
      <c r="P11448">
        <v>60608</v>
      </c>
      <c r="Q11448">
        <v>3006</v>
      </c>
      <c r="R11448" t="s">
        <v>23</v>
      </c>
      <c r="S11448" s="1" t="s">
        <v>34218</v>
      </c>
    </row>
    <row r="11449" spans="1:19" x14ac:dyDescent="0.25">
      <c r="A11449">
        <v>101474676</v>
      </c>
      <c r="B11449" t="s">
        <v>25419</v>
      </c>
      <c r="C11449" t="s">
        <v>25420</v>
      </c>
      <c r="G11449" t="s">
        <v>25421</v>
      </c>
      <c r="H11449" t="s">
        <v>653</v>
      </c>
      <c r="I11449" t="s">
        <v>117</v>
      </c>
      <c r="J11449">
        <v>10016</v>
      </c>
      <c r="K11449">
        <v>8943</v>
      </c>
      <c r="L11449" t="s">
        <v>23</v>
      </c>
      <c r="M11449" t="s">
        <v>25421</v>
      </c>
      <c r="N11449" t="s">
        <v>653</v>
      </c>
      <c r="O11449" t="s">
        <v>117</v>
      </c>
      <c r="P11449">
        <v>10016</v>
      </c>
      <c r="Q11449">
        <v>8943</v>
      </c>
      <c r="R11449" t="s">
        <v>23</v>
      </c>
      <c r="S11449" s="1" t="s">
        <v>34218</v>
      </c>
    </row>
    <row r="11450" spans="1:19" x14ac:dyDescent="0.25">
      <c r="A11450">
        <v>101423019</v>
      </c>
      <c r="B11450" t="s">
        <v>8109</v>
      </c>
      <c r="C11450" t="s">
        <v>2603</v>
      </c>
      <c r="G11450">
        <v>80127</v>
      </c>
      <c r="H11450" t="s">
        <v>4069</v>
      </c>
      <c r="I11450" t="s">
        <v>71</v>
      </c>
      <c r="J11450">
        <v>80127</v>
      </c>
      <c r="L11450" t="s">
        <v>23</v>
      </c>
      <c r="M11450">
        <v>80127</v>
      </c>
      <c r="N11450" t="s">
        <v>4069</v>
      </c>
      <c r="O11450" t="s">
        <v>71</v>
      </c>
      <c r="P11450">
        <v>80127</v>
      </c>
      <c r="R11450" t="s">
        <v>23</v>
      </c>
      <c r="S11450" s="1" t="s">
        <v>34218</v>
      </c>
    </row>
    <row r="11451" spans="1:19" x14ac:dyDescent="0.25">
      <c r="A11451">
        <v>101477063</v>
      </c>
      <c r="B11451" t="s">
        <v>3629</v>
      </c>
      <c r="C11451" t="s">
        <v>1218</v>
      </c>
      <c r="G11451" t="s">
        <v>25422</v>
      </c>
      <c r="H11451" t="s">
        <v>134</v>
      </c>
      <c r="I11451" t="s">
        <v>135</v>
      </c>
      <c r="J11451">
        <v>60605</v>
      </c>
      <c r="L11451" t="s">
        <v>23</v>
      </c>
      <c r="M11451" t="s">
        <v>25422</v>
      </c>
      <c r="N11451" t="s">
        <v>134</v>
      </c>
      <c r="O11451" t="s">
        <v>135</v>
      </c>
      <c r="P11451">
        <v>60605</v>
      </c>
      <c r="R11451" t="s">
        <v>23</v>
      </c>
      <c r="S11451" s="1" t="s">
        <v>34218</v>
      </c>
    </row>
    <row r="11452" spans="1:19" x14ac:dyDescent="0.25">
      <c r="A11452">
        <v>101239054</v>
      </c>
      <c r="B11452" t="s">
        <v>25423</v>
      </c>
      <c r="C11452" t="s">
        <v>123</v>
      </c>
      <c r="G11452" t="s">
        <v>25424</v>
      </c>
      <c r="H11452" t="s">
        <v>12182</v>
      </c>
      <c r="I11452" t="s">
        <v>250</v>
      </c>
      <c r="J11452">
        <v>7950</v>
      </c>
      <c r="K11452">
        <v>1314</v>
      </c>
      <c r="L11452" t="s">
        <v>23</v>
      </c>
      <c r="M11452" t="s">
        <v>25424</v>
      </c>
      <c r="N11452" t="s">
        <v>12182</v>
      </c>
      <c r="O11452" t="s">
        <v>250</v>
      </c>
      <c r="P11452">
        <v>7950</v>
      </c>
      <c r="Q11452">
        <v>1314</v>
      </c>
      <c r="R11452" t="s">
        <v>23</v>
      </c>
      <c r="S11452" s="1" t="s">
        <v>34218</v>
      </c>
    </row>
    <row r="11453" spans="1:19" x14ac:dyDescent="0.25">
      <c r="A11453">
        <v>101450966</v>
      </c>
      <c r="B11453" t="s">
        <v>20229</v>
      </c>
      <c r="C11453" t="s">
        <v>3566</v>
      </c>
      <c r="G11453" t="s">
        <v>25425</v>
      </c>
      <c r="H11453" t="s">
        <v>3169</v>
      </c>
      <c r="I11453" t="s">
        <v>84</v>
      </c>
      <c r="J11453">
        <v>98409</v>
      </c>
      <c r="K11453">
        <v>4007</v>
      </c>
      <c r="L11453" t="s">
        <v>23</v>
      </c>
      <c r="M11453" t="s">
        <v>25425</v>
      </c>
      <c r="N11453" t="s">
        <v>3169</v>
      </c>
      <c r="O11453" t="s">
        <v>84</v>
      </c>
      <c r="P11453">
        <v>98409</v>
      </c>
      <c r="Q11453">
        <v>4007</v>
      </c>
      <c r="R11453" t="s">
        <v>23</v>
      </c>
      <c r="S11453" s="1" t="s">
        <v>34218</v>
      </c>
    </row>
    <row r="11454" spans="1:19" x14ac:dyDescent="0.25">
      <c r="A11454">
        <v>100845997</v>
      </c>
      <c r="B11454" t="s">
        <v>19458</v>
      </c>
      <c r="C11454" t="s">
        <v>699</v>
      </c>
      <c r="G11454" t="s">
        <v>25426</v>
      </c>
      <c r="H11454" t="s">
        <v>2520</v>
      </c>
      <c r="I11454" t="s">
        <v>255</v>
      </c>
      <c r="J11454">
        <v>20147</v>
      </c>
      <c r="K11454">
        <v>7793</v>
      </c>
      <c r="L11454" t="s">
        <v>23</v>
      </c>
      <c r="M11454" t="s">
        <v>25426</v>
      </c>
      <c r="N11454" t="s">
        <v>2520</v>
      </c>
      <c r="O11454" t="s">
        <v>255</v>
      </c>
      <c r="P11454">
        <v>20147</v>
      </c>
      <c r="Q11454">
        <v>7793</v>
      </c>
      <c r="R11454" t="s">
        <v>23</v>
      </c>
      <c r="S11454" s="1" t="s">
        <v>34218</v>
      </c>
    </row>
    <row r="11455" spans="1:19" x14ac:dyDescent="0.25">
      <c r="A11455">
        <v>101317712</v>
      </c>
      <c r="B11455" t="s">
        <v>21443</v>
      </c>
      <c r="C11455" t="s">
        <v>9687</v>
      </c>
      <c r="G11455" t="s">
        <v>25427</v>
      </c>
      <c r="H11455" t="s">
        <v>25428</v>
      </c>
      <c r="I11455" t="s">
        <v>52</v>
      </c>
      <c r="J11455" t="s">
        <v>25429</v>
      </c>
      <c r="K11455">
        <v>815</v>
      </c>
      <c r="L11455" t="s">
        <v>23</v>
      </c>
      <c r="M11455" t="s">
        <v>25427</v>
      </c>
      <c r="N11455" t="s">
        <v>25428</v>
      </c>
      <c r="O11455" t="s">
        <v>52</v>
      </c>
      <c r="P11455" t="s">
        <v>25429</v>
      </c>
      <c r="Q11455">
        <v>815</v>
      </c>
      <c r="R11455" t="s">
        <v>23</v>
      </c>
      <c r="S11455" s="1" t="s">
        <v>34218</v>
      </c>
    </row>
    <row r="11456" spans="1:19" x14ac:dyDescent="0.25">
      <c r="A11456">
        <v>101284031</v>
      </c>
      <c r="B11456" t="s">
        <v>25430</v>
      </c>
      <c r="C11456" t="s">
        <v>180</v>
      </c>
      <c r="G11456" t="s">
        <v>25431</v>
      </c>
      <c r="H11456" t="s">
        <v>25432</v>
      </c>
      <c r="I11456" t="s">
        <v>117</v>
      </c>
      <c r="J11456">
        <v>12110</v>
      </c>
      <c r="K11456">
        <v>4617</v>
      </c>
      <c r="L11456" t="s">
        <v>23</v>
      </c>
      <c r="M11456" t="s">
        <v>25431</v>
      </c>
      <c r="N11456" t="s">
        <v>25432</v>
      </c>
      <c r="O11456" t="s">
        <v>117</v>
      </c>
      <c r="P11456">
        <v>12110</v>
      </c>
      <c r="Q11456">
        <v>4617</v>
      </c>
      <c r="R11456" t="s">
        <v>23</v>
      </c>
      <c r="S11456" s="1" t="s">
        <v>34218</v>
      </c>
    </row>
    <row r="11457" spans="1:19" x14ac:dyDescent="0.25">
      <c r="A11457">
        <v>101480481</v>
      </c>
      <c r="B11457" t="s">
        <v>25433</v>
      </c>
      <c r="C11457" t="s">
        <v>2232</v>
      </c>
      <c r="G11457" t="s">
        <v>25434</v>
      </c>
      <c r="H11457" t="s">
        <v>1766</v>
      </c>
      <c r="I11457" t="s">
        <v>22</v>
      </c>
      <c r="J11457">
        <v>94590</v>
      </c>
      <c r="L11457" t="s">
        <v>23</v>
      </c>
      <c r="M11457" t="s">
        <v>25434</v>
      </c>
      <c r="N11457" t="s">
        <v>1766</v>
      </c>
      <c r="O11457" t="s">
        <v>22</v>
      </c>
      <c r="P11457">
        <v>94590</v>
      </c>
      <c r="R11457" t="s">
        <v>23</v>
      </c>
      <c r="S11457" s="1" t="s">
        <v>34218</v>
      </c>
    </row>
    <row r="11458" spans="1:19" x14ac:dyDescent="0.25">
      <c r="A11458">
        <v>101266597</v>
      </c>
      <c r="B11458" t="s">
        <v>1204</v>
      </c>
      <c r="C11458" t="s">
        <v>252</v>
      </c>
      <c r="G11458" t="s">
        <v>25435</v>
      </c>
      <c r="H11458" t="s">
        <v>8692</v>
      </c>
      <c r="I11458" t="s">
        <v>38</v>
      </c>
      <c r="J11458">
        <v>76234</v>
      </c>
      <c r="K11458">
        <v>980</v>
      </c>
      <c r="L11458" t="s">
        <v>23</v>
      </c>
      <c r="M11458" t="s">
        <v>25435</v>
      </c>
      <c r="N11458" t="s">
        <v>8692</v>
      </c>
      <c r="O11458" t="s">
        <v>38</v>
      </c>
      <c r="P11458">
        <v>76234</v>
      </c>
      <c r="Q11458">
        <v>980</v>
      </c>
      <c r="R11458" t="s">
        <v>23</v>
      </c>
      <c r="S11458" s="1" t="s">
        <v>34218</v>
      </c>
    </row>
    <row r="11459" spans="1:19" x14ac:dyDescent="0.25">
      <c r="A11459">
        <v>101480485</v>
      </c>
      <c r="B11459" t="s">
        <v>11399</v>
      </c>
      <c r="C11459" t="s">
        <v>25436</v>
      </c>
      <c r="G11459" t="s">
        <v>25437</v>
      </c>
      <c r="H11459" t="s">
        <v>2841</v>
      </c>
      <c r="I11459" t="s">
        <v>71</v>
      </c>
      <c r="J11459">
        <v>80401</v>
      </c>
      <c r="K11459">
        <v>5053</v>
      </c>
      <c r="L11459" t="s">
        <v>23</v>
      </c>
      <c r="M11459" t="s">
        <v>25437</v>
      </c>
      <c r="N11459" t="s">
        <v>2841</v>
      </c>
      <c r="O11459" t="s">
        <v>71</v>
      </c>
      <c r="P11459">
        <v>80401</v>
      </c>
      <c r="Q11459">
        <v>5053</v>
      </c>
      <c r="R11459" t="s">
        <v>23</v>
      </c>
      <c r="S11459" s="1" t="s">
        <v>34218</v>
      </c>
    </row>
    <row r="11460" spans="1:19" x14ac:dyDescent="0.25">
      <c r="A11460">
        <v>101357313</v>
      </c>
      <c r="B11460" t="s">
        <v>25438</v>
      </c>
      <c r="C11460" t="s">
        <v>1959</v>
      </c>
      <c r="G11460" t="s">
        <v>25439</v>
      </c>
      <c r="H11460" t="s">
        <v>25440</v>
      </c>
      <c r="I11460" t="s">
        <v>52</v>
      </c>
      <c r="J11460">
        <v>32328</v>
      </c>
      <c r="K11460">
        <v>2915</v>
      </c>
      <c r="L11460" t="s">
        <v>23</v>
      </c>
      <c r="M11460" t="s">
        <v>25439</v>
      </c>
      <c r="N11460" t="s">
        <v>25440</v>
      </c>
      <c r="O11460" t="s">
        <v>52</v>
      </c>
      <c r="P11460">
        <v>32328</v>
      </c>
      <c r="Q11460">
        <v>2915</v>
      </c>
      <c r="R11460" t="s">
        <v>23</v>
      </c>
      <c r="S11460" s="1" t="s">
        <v>34218</v>
      </c>
    </row>
    <row r="11461" spans="1:19" x14ac:dyDescent="0.25">
      <c r="A11461">
        <v>101480492</v>
      </c>
      <c r="B11461" t="s">
        <v>25441</v>
      </c>
      <c r="C11461" t="s">
        <v>25442</v>
      </c>
      <c r="G11461" t="s">
        <v>25443</v>
      </c>
      <c r="H11461" t="s">
        <v>24698</v>
      </c>
      <c r="I11461" t="s">
        <v>255</v>
      </c>
      <c r="J11461">
        <v>22963</v>
      </c>
      <c r="K11461">
        <v>3327</v>
      </c>
      <c r="L11461" t="s">
        <v>23</v>
      </c>
      <c r="M11461" t="s">
        <v>25443</v>
      </c>
      <c r="N11461" t="s">
        <v>24698</v>
      </c>
      <c r="O11461" t="s">
        <v>255</v>
      </c>
      <c r="P11461">
        <v>22963</v>
      </c>
      <c r="Q11461">
        <v>3327</v>
      </c>
      <c r="R11461" t="s">
        <v>23</v>
      </c>
      <c r="S11461" s="1" t="s">
        <v>34218</v>
      </c>
    </row>
    <row r="11462" spans="1:19" x14ac:dyDescent="0.25">
      <c r="A11462">
        <v>100732161</v>
      </c>
      <c r="B11462" t="s">
        <v>12419</v>
      </c>
      <c r="C11462" t="s">
        <v>1205</v>
      </c>
      <c r="G11462" t="s">
        <v>25444</v>
      </c>
      <c r="H11462" t="s">
        <v>25445</v>
      </c>
      <c r="I11462" t="s">
        <v>255</v>
      </c>
      <c r="J11462">
        <v>22039</v>
      </c>
      <c r="K11462">
        <v>2660</v>
      </c>
      <c r="L11462" t="s">
        <v>23</v>
      </c>
      <c r="M11462" t="s">
        <v>25444</v>
      </c>
      <c r="N11462" t="s">
        <v>25445</v>
      </c>
      <c r="O11462" t="s">
        <v>255</v>
      </c>
      <c r="P11462">
        <v>22039</v>
      </c>
      <c r="Q11462">
        <v>2660</v>
      </c>
      <c r="R11462" t="s">
        <v>23</v>
      </c>
      <c r="S11462" s="1" t="s">
        <v>34218</v>
      </c>
    </row>
    <row r="11463" spans="1:19" x14ac:dyDescent="0.25">
      <c r="A11463">
        <v>101451521</v>
      </c>
      <c r="B11463" t="s">
        <v>141</v>
      </c>
      <c r="C11463" t="s">
        <v>1161</v>
      </c>
      <c r="G11463" t="s">
        <v>25446</v>
      </c>
      <c r="H11463" t="s">
        <v>689</v>
      </c>
      <c r="I11463" t="s">
        <v>62</v>
      </c>
      <c r="J11463">
        <v>73071</v>
      </c>
      <c r="K11463">
        <v>7159</v>
      </c>
      <c r="L11463" t="s">
        <v>23</v>
      </c>
      <c r="M11463" t="s">
        <v>25446</v>
      </c>
      <c r="N11463" t="s">
        <v>689</v>
      </c>
      <c r="O11463" t="s">
        <v>62</v>
      </c>
      <c r="P11463">
        <v>73071</v>
      </c>
      <c r="Q11463">
        <v>7159</v>
      </c>
      <c r="R11463" t="s">
        <v>23</v>
      </c>
      <c r="S11463" s="1" t="s">
        <v>34218</v>
      </c>
    </row>
    <row r="11464" spans="1:19" x14ac:dyDescent="0.25">
      <c r="A11464">
        <v>101480499</v>
      </c>
      <c r="B11464" t="s">
        <v>25447</v>
      </c>
      <c r="C11464" t="s">
        <v>25448</v>
      </c>
      <c r="G11464" t="s">
        <v>25449</v>
      </c>
      <c r="H11464" t="s">
        <v>3668</v>
      </c>
      <c r="I11464" t="s">
        <v>148</v>
      </c>
      <c r="J11464">
        <v>21211</v>
      </c>
      <c r="K11464">
        <v>2224</v>
      </c>
      <c r="L11464" t="s">
        <v>23</v>
      </c>
      <c r="M11464" t="s">
        <v>25449</v>
      </c>
      <c r="N11464" t="s">
        <v>3668</v>
      </c>
      <c r="O11464" t="s">
        <v>148</v>
      </c>
      <c r="P11464">
        <v>21211</v>
      </c>
      <c r="Q11464">
        <v>2224</v>
      </c>
      <c r="R11464" t="s">
        <v>23</v>
      </c>
      <c r="S11464" s="1" t="s">
        <v>34218</v>
      </c>
    </row>
    <row r="11465" spans="1:19" x14ac:dyDescent="0.25">
      <c r="A11465">
        <v>101480501</v>
      </c>
      <c r="B11465" t="s">
        <v>11916</v>
      </c>
      <c r="C11465" t="s">
        <v>4856</v>
      </c>
      <c r="G11465" t="s">
        <v>25450</v>
      </c>
      <c r="H11465" t="s">
        <v>25451</v>
      </c>
      <c r="I11465" t="s">
        <v>100</v>
      </c>
      <c r="J11465">
        <v>54840</v>
      </c>
      <c r="K11465">
        <v>8846</v>
      </c>
      <c r="L11465" t="s">
        <v>23</v>
      </c>
      <c r="M11465" t="s">
        <v>25450</v>
      </c>
      <c r="N11465" t="s">
        <v>25451</v>
      </c>
      <c r="O11465" t="s">
        <v>100</v>
      </c>
      <c r="P11465">
        <v>54840</v>
      </c>
      <c r="Q11465">
        <v>8846</v>
      </c>
      <c r="R11465" t="s">
        <v>23</v>
      </c>
      <c r="S11465" s="1" t="s">
        <v>34218</v>
      </c>
    </row>
    <row r="11466" spans="1:19" x14ac:dyDescent="0.25">
      <c r="A11466">
        <v>100815737</v>
      </c>
      <c r="B11466" t="s">
        <v>10315</v>
      </c>
      <c r="C11466" t="s">
        <v>25452</v>
      </c>
      <c r="G11466" t="s">
        <v>25453</v>
      </c>
      <c r="H11466" t="s">
        <v>3847</v>
      </c>
      <c r="I11466" t="s">
        <v>22</v>
      </c>
      <c r="J11466">
        <v>92648</v>
      </c>
      <c r="K11466">
        <v>4322</v>
      </c>
      <c r="L11466" t="s">
        <v>23</v>
      </c>
      <c r="M11466" t="s">
        <v>25453</v>
      </c>
      <c r="N11466" t="s">
        <v>3847</v>
      </c>
      <c r="O11466" t="s">
        <v>22</v>
      </c>
      <c r="P11466">
        <v>92648</v>
      </c>
      <c r="Q11466">
        <v>4322</v>
      </c>
      <c r="R11466" t="s">
        <v>23</v>
      </c>
      <c r="S11466" s="1" t="s">
        <v>34218</v>
      </c>
    </row>
    <row r="11467" spans="1:19" x14ac:dyDescent="0.25">
      <c r="A11467">
        <v>101301851</v>
      </c>
      <c r="B11467" t="s">
        <v>13936</v>
      </c>
      <c r="C11467" t="s">
        <v>554</v>
      </c>
      <c r="G11467" t="s">
        <v>25454</v>
      </c>
      <c r="H11467" t="s">
        <v>134</v>
      </c>
      <c r="I11467" t="s">
        <v>135</v>
      </c>
      <c r="J11467">
        <v>60642</v>
      </c>
      <c r="K11467">
        <v>4099</v>
      </c>
      <c r="L11467" t="s">
        <v>23</v>
      </c>
      <c r="M11467" t="s">
        <v>25454</v>
      </c>
      <c r="N11467" t="s">
        <v>134</v>
      </c>
      <c r="O11467" t="s">
        <v>135</v>
      </c>
      <c r="P11467">
        <v>60642</v>
      </c>
      <c r="Q11467">
        <v>4099</v>
      </c>
      <c r="R11467" t="s">
        <v>23</v>
      </c>
      <c r="S11467" s="1" t="s">
        <v>34218</v>
      </c>
    </row>
    <row r="11468" spans="1:19" x14ac:dyDescent="0.25">
      <c r="A11468">
        <v>101085625</v>
      </c>
      <c r="B11468" t="s">
        <v>25455</v>
      </c>
      <c r="C11468" t="s">
        <v>1463</v>
      </c>
      <c r="G11468" t="s">
        <v>25456</v>
      </c>
      <c r="H11468" t="s">
        <v>6151</v>
      </c>
      <c r="I11468" t="s">
        <v>33</v>
      </c>
      <c r="J11468">
        <v>17601</v>
      </c>
      <c r="K11468">
        <v>4028</v>
      </c>
      <c r="L11468" t="s">
        <v>23</v>
      </c>
      <c r="M11468" t="s">
        <v>25456</v>
      </c>
      <c r="N11468" t="s">
        <v>6151</v>
      </c>
      <c r="O11468" t="s">
        <v>33</v>
      </c>
      <c r="P11468">
        <v>17601</v>
      </c>
      <c r="Q11468">
        <v>4028</v>
      </c>
      <c r="R11468" t="s">
        <v>23</v>
      </c>
      <c r="S11468" s="1" t="s">
        <v>34218</v>
      </c>
    </row>
    <row r="11469" spans="1:19" x14ac:dyDescent="0.25">
      <c r="A11469">
        <v>100566214</v>
      </c>
      <c r="B11469" t="s">
        <v>25457</v>
      </c>
      <c r="C11469" t="s">
        <v>1327</v>
      </c>
      <c r="G11469" t="s">
        <v>13515</v>
      </c>
      <c r="H11469" t="s">
        <v>1318</v>
      </c>
      <c r="I11469" t="s">
        <v>22</v>
      </c>
      <c r="J11469">
        <v>94597</v>
      </c>
      <c r="K11469">
        <v>3157</v>
      </c>
      <c r="L11469" t="s">
        <v>23</v>
      </c>
      <c r="M11469" t="s">
        <v>13515</v>
      </c>
      <c r="N11469" t="s">
        <v>1318</v>
      </c>
      <c r="O11469" t="s">
        <v>22</v>
      </c>
      <c r="P11469">
        <v>94597</v>
      </c>
      <c r="Q11469">
        <v>3157</v>
      </c>
      <c r="R11469" t="s">
        <v>23</v>
      </c>
      <c r="S11469" s="1" t="s">
        <v>34218</v>
      </c>
    </row>
    <row r="11470" spans="1:19" x14ac:dyDescent="0.25">
      <c r="A11470">
        <v>101337698</v>
      </c>
      <c r="B11470" t="s">
        <v>9171</v>
      </c>
      <c r="C11470" t="s">
        <v>158</v>
      </c>
      <c r="G11470" t="s">
        <v>25458</v>
      </c>
      <c r="H11470" t="s">
        <v>198</v>
      </c>
      <c r="I11470" t="s">
        <v>22</v>
      </c>
      <c r="J11470">
        <v>92127</v>
      </c>
      <c r="K11470">
        <v>7831</v>
      </c>
      <c r="L11470" t="s">
        <v>23</v>
      </c>
      <c r="M11470" t="s">
        <v>25458</v>
      </c>
      <c r="N11470" t="s">
        <v>198</v>
      </c>
      <c r="O11470" t="s">
        <v>22</v>
      </c>
      <c r="P11470">
        <v>92127</v>
      </c>
      <c r="Q11470">
        <v>7831</v>
      </c>
      <c r="R11470" t="s">
        <v>23</v>
      </c>
      <c r="S11470" s="1" t="s">
        <v>34218</v>
      </c>
    </row>
    <row r="11471" spans="1:19" x14ac:dyDescent="0.25">
      <c r="A11471">
        <v>101480507</v>
      </c>
      <c r="B11471" t="s">
        <v>25459</v>
      </c>
      <c r="C11471" t="s">
        <v>17243</v>
      </c>
      <c r="G11471" t="s">
        <v>25460</v>
      </c>
      <c r="H11471" t="s">
        <v>1052</v>
      </c>
      <c r="I11471" t="s">
        <v>117</v>
      </c>
      <c r="J11471">
        <v>12205</v>
      </c>
      <c r="K11471">
        <v>2533</v>
      </c>
      <c r="L11471" t="s">
        <v>23</v>
      </c>
      <c r="M11471" t="s">
        <v>25460</v>
      </c>
      <c r="N11471" t="s">
        <v>1052</v>
      </c>
      <c r="O11471" t="s">
        <v>117</v>
      </c>
      <c r="P11471">
        <v>12205</v>
      </c>
      <c r="Q11471">
        <v>2533</v>
      </c>
      <c r="R11471" t="s">
        <v>23</v>
      </c>
      <c r="S11471" s="1" t="s">
        <v>34218</v>
      </c>
    </row>
    <row r="11472" spans="1:19" x14ac:dyDescent="0.25">
      <c r="A11472">
        <v>100913188</v>
      </c>
      <c r="B11472" t="s">
        <v>3349</v>
      </c>
      <c r="C11472" t="s">
        <v>6755</v>
      </c>
      <c r="G11472" t="s">
        <v>25461</v>
      </c>
      <c r="H11472" t="s">
        <v>14506</v>
      </c>
      <c r="I11472" t="s">
        <v>52</v>
      </c>
      <c r="J11472">
        <v>33138</v>
      </c>
      <c r="K11472">
        <v>2106</v>
      </c>
      <c r="L11472" t="s">
        <v>23</v>
      </c>
      <c r="M11472" t="s">
        <v>25461</v>
      </c>
      <c r="N11472" t="s">
        <v>14506</v>
      </c>
      <c r="O11472" t="s">
        <v>52</v>
      </c>
      <c r="P11472">
        <v>33138</v>
      </c>
      <c r="Q11472">
        <v>2106</v>
      </c>
      <c r="R11472" t="s">
        <v>23</v>
      </c>
      <c r="S11472" s="1" t="s">
        <v>34218</v>
      </c>
    </row>
    <row r="11473" spans="1:19" x14ac:dyDescent="0.25">
      <c r="A11473">
        <v>101427083</v>
      </c>
      <c r="B11473" t="s">
        <v>7290</v>
      </c>
      <c r="C11473" t="s">
        <v>1873</v>
      </c>
      <c r="G11473" t="s">
        <v>25462</v>
      </c>
      <c r="H11473" t="s">
        <v>3686</v>
      </c>
      <c r="I11473" t="s">
        <v>57</v>
      </c>
      <c r="J11473">
        <v>47713</v>
      </c>
      <c r="K11473">
        <v>2836</v>
      </c>
      <c r="L11473" t="s">
        <v>23</v>
      </c>
      <c r="M11473" t="s">
        <v>25462</v>
      </c>
      <c r="N11473" t="s">
        <v>3686</v>
      </c>
      <c r="O11473" t="s">
        <v>57</v>
      </c>
      <c r="P11473">
        <v>47713</v>
      </c>
      <c r="Q11473">
        <v>2836</v>
      </c>
      <c r="R11473" t="s">
        <v>23</v>
      </c>
      <c r="S11473" s="1" t="s">
        <v>34218</v>
      </c>
    </row>
    <row r="11474" spans="1:19" x14ac:dyDescent="0.25">
      <c r="A11474">
        <v>101475176</v>
      </c>
      <c r="B11474" t="s">
        <v>3482</v>
      </c>
      <c r="C11474" t="s">
        <v>600</v>
      </c>
      <c r="G11474" t="s">
        <v>25463</v>
      </c>
      <c r="H11474" t="s">
        <v>25464</v>
      </c>
      <c r="I11474" t="s">
        <v>446</v>
      </c>
      <c r="J11474">
        <v>28134</v>
      </c>
      <c r="K11474">
        <v>7508</v>
      </c>
      <c r="L11474" t="s">
        <v>23</v>
      </c>
      <c r="M11474" t="s">
        <v>25463</v>
      </c>
      <c r="N11474" t="s">
        <v>25464</v>
      </c>
      <c r="O11474" t="s">
        <v>446</v>
      </c>
      <c r="P11474">
        <v>28134</v>
      </c>
      <c r="Q11474">
        <v>7508</v>
      </c>
      <c r="R11474" t="s">
        <v>23</v>
      </c>
      <c r="S11474" s="1" t="s">
        <v>34218</v>
      </c>
    </row>
    <row r="11475" spans="1:19" x14ac:dyDescent="0.25">
      <c r="A11475">
        <v>101480515</v>
      </c>
      <c r="B11475" t="s">
        <v>25465</v>
      </c>
      <c r="C11475" t="s">
        <v>59</v>
      </c>
      <c r="G11475" t="s">
        <v>25466</v>
      </c>
      <c r="H11475" t="s">
        <v>25467</v>
      </c>
      <c r="I11475" t="s">
        <v>332</v>
      </c>
      <c r="J11475">
        <v>84770</v>
      </c>
      <c r="K11475">
        <v>5123</v>
      </c>
      <c r="L11475" t="s">
        <v>23</v>
      </c>
      <c r="M11475" t="s">
        <v>25466</v>
      </c>
      <c r="N11475" t="s">
        <v>25467</v>
      </c>
      <c r="O11475" t="s">
        <v>332</v>
      </c>
      <c r="P11475">
        <v>84770</v>
      </c>
      <c r="Q11475">
        <v>5123</v>
      </c>
      <c r="R11475" t="s">
        <v>23</v>
      </c>
      <c r="S11475" s="1" t="s">
        <v>34218</v>
      </c>
    </row>
    <row r="11476" spans="1:19" x14ac:dyDescent="0.25">
      <c r="A11476">
        <v>101468081</v>
      </c>
      <c r="B11476" t="s">
        <v>25468</v>
      </c>
      <c r="C11476" t="s">
        <v>1208</v>
      </c>
      <c r="G11476" t="s">
        <v>25469</v>
      </c>
      <c r="H11476" t="s">
        <v>11180</v>
      </c>
      <c r="I11476" t="s">
        <v>117</v>
      </c>
      <c r="J11476">
        <v>14127</v>
      </c>
      <c r="K11476">
        <v>144</v>
      </c>
      <c r="L11476" t="s">
        <v>23</v>
      </c>
      <c r="M11476" t="s">
        <v>25469</v>
      </c>
      <c r="N11476" t="s">
        <v>11180</v>
      </c>
      <c r="O11476" t="s">
        <v>117</v>
      </c>
      <c r="P11476">
        <v>14127</v>
      </c>
      <c r="Q11476">
        <v>144</v>
      </c>
      <c r="R11476" t="s">
        <v>23</v>
      </c>
      <c r="S11476" s="1" t="s">
        <v>34218</v>
      </c>
    </row>
    <row r="11477" spans="1:19" x14ac:dyDescent="0.25">
      <c r="A11477">
        <v>101245836</v>
      </c>
      <c r="B11477" t="s">
        <v>25470</v>
      </c>
      <c r="C11477" t="s">
        <v>54</v>
      </c>
      <c r="G11477" t="s">
        <v>25471</v>
      </c>
      <c r="H11477" t="s">
        <v>7622</v>
      </c>
      <c r="I11477" t="s">
        <v>22</v>
      </c>
      <c r="J11477">
        <v>95519</v>
      </c>
      <c r="K11477">
        <v>8922</v>
      </c>
      <c r="L11477" t="s">
        <v>23</v>
      </c>
      <c r="M11477" t="s">
        <v>25471</v>
      </c>
      <c r="N11477" t="s">
        <v>7622</v>
      </c>
      <c r="O11477" t="s">
        <v>22</v>
      </c>
      <c r="P11477">
        <v>95519</v>
      </c>
      <c r="Q11477">
        <v>8922</v>
      </c>
      <c r="R11477" t="s">
        <v>23</v>
      </c>
      <c r="S11477" s="1" t="s">
        <v>34218</v>
      </c>
    </row>
    <row r="11478" spans="1:19" x14ac:dyDescent="0.25">
      <c r="A11478">
        <v>101480523</v>
      </c>
      <c r="B11478" t="s">
        <v>431</v>
      </c>
      <c r="C11478" t="s">
        <v>123</v>
      </c>
      <c r="G11478" t="s">
        <v>25472</v>
      </c>
      <c r="H11478" t="s">
        <v>10093</v>
      </c>
      <c r="I11478" t="s">
        <v>84</v>
      </c>
      <c r="J11478">
        <v>98382</v>
      </c>
      <c r="K11478">
        <v>7342</v>
      </c>
      <c r="L11478" t="s">
        <v>23</v>
      </c>
      <c r="M11478" t="s">
        <v>25472</v>
      </c>
      <c r="N11478" t="s">
        <v>10093</v>
      </c>
      <c r="O11478" t="s">
        <v>84</v>
      </c>
      <c r="P11478">
        <v>98382</v>
      </c>
      <c r="Q11478">
        <v>7342</v>
      </c>
      <c r="R11478" t="s">
        <v>23</v>
      </c>
      <c r="S11478" s="1" t="s">
        <v>34218</v>
      </c>
    </row>
    <row r="11479" spans="1:19" x14ac:dyDescent="0.25">
      <c r="A11479">
        <v>101466414</v>
      </c>
      <c r="B11479" t="s">
        <v>20123</v>
      </c>
      <c r="C11479" t="s">
        <v>313</v>
      </c>
      <c r="G11479" t="s">
        <v>25473</v>
      </c>
      <c r="H11479" t="s">
        <v>650</v>
      </c>
      <c r="I11479" t="s">
        <v>22</v>
      </c>
      <c r="J11479">
        <v>95819</v>
      </c>
      <c r="K11479">
        <v>3134</v>
      </c>
      <c r="L11479" t="s">
        <v>23</v>
      </c>
      <c r="M11479" t="s">
        <v>25473</v>
      </c>
      <c r="N11479" t="s">
        <v>650</v>
      </c>
      <c r="O11479" t="s">
        <v>22</v>
      </c>
      <c r="P11479">
        <v>95819</v>
      </c>
      <c r="Q11479">
        <v>3134</v>
      </c>
      <c r="R11479" t="s">
        <v>23</v>
      </c>
      <c r="S11479" s="1" t="s">
        <v>34218</v>
      </c>
    </row>
    <row r="11480" spans="1:19" x14ac:dyDescent="0.25">
      <c r="A11480">
        <v>101331280</v>
      </c>
      <c r="B11480" t="s">
        <v>25474</v>
      </c>
      <c r="C11480" t="s">
        <v>3622</v>
      </c>
      <c r="G11480" t="s">
        <v>25475</v>
      </c>
      <c r="H11480" t="s">
        <v>198</v>
      </c>
      <c r="I11480" t="s">
        <v>22</v>
      </c>
      <c r="J11480">
        <v>92102</v>
      </c>
      <c r="K11480">
        <v>1609</v>
      </c>
      <c r="L11480" t="s">
        <v>23</v>
      </c>
      <c r="M11480" t="s">
        <v>25475</v>
      </c>
      <c r="N11480" t="s">
        <v>198</v>
      </c>
      <c r="O11480" t="s">
        <v>22</v>
      </c>
      <c r="P11480">
        <v>92102</v>
      </c>
      <c r="Q11480">
        <v>1609</v>
      </c>
      <c r="R11480" t="s">
        <v>23</v>
      </c>
      <c r="S11480" s="1" t="s">
        <v>34218</v>
      </c>
    </row>
    <row r="11481" spans="1:19" x14ac:dyDescent="0.25">
      <c r="A11481">
        <v>101317409</v>
      </c>
      <c r="B11481" t="s">
        <v>19159</v>
      </c>
      <c r="C11481" t="s">
        <v>894</v>
      </c>
      <c r="G11481" t="s">
        <v>25476</v>
      </c>
      <c r="H11481" t="s">
        <v>1396</v>
      </c>
      <c r="I11481" t="s">
        <v>117</v>
      </c>
      <c r="J11481">
        <v>13021</v>
      </c>
      <c r="K11481">
        <v>4049</v>
      </c>
      <c r="L11481" t="s">
        <v>23</v>
      </c>
      <c r="M11481" t="s">
        <v>25476</v>
      </c>
      <c r="N11481" t="s">
        <v>1396</v>
      </c>
      <c r="O11481" t="s">
        <v>117</v>
      </c>
      <c r="P11481">
        <v>13021</v>
      </c>
      <c r="Q11481">
        <v>4049</v>
      </c>
      <c r="R11481" t="s">
        <v>23</v>
      </c>
      <c r="S11481" s="1" t="s">
        <v>34218</v>
      </c>
    </row>
    <row r="11482" spans="1:19" x14ac:dyDescent="0.25">
      <c r="A11482">
        <v>100784868</v>
      </c>
      <c r="B11482" t="s">
        <v>25477</v>
      </c>
      <c r="C11482" t="s">
        <v>2610</v>
      </c>
      <c r="G11482" t="s">
        <v>25478</v>
      </c>
      <c r="H11482" t="s">
        <v>412</v>
      </c>
      <c r="I11482" t="s">
        <v>117</v>
      </c>
      <c r="J11482">
        <v>11230</v>
      </c>
      <c r="K11482">
        <v>2426</v>
      </c>
      <c r="L11482" t="s">
        <v>23</v>
      </c>
      <c r="M11482" t="s">
        <v>25478</v>
      </c>
      <c r="N11482" t="s">
        <v>412</v>
      </c>
      <c r="O11482" t="s">
        <v>117</v>
      </c>
      <c r="P11482">
        <v>11230</v>
      </c>
      <c r="Q11482">
        <v>2426</v>
      </c>
      <c r="R11482" t="s">
        <v>23</v>
      </c>
      <c r="S11482" s="1" t="s">
        <v>34218</v>
      </c>
    </row>
    <row r="11483" spans="1:19" x14ac:dyDescent="0.25">
      <c r="A11483">
        <v>101467544</v>
      </c>
      <c r="B11483" t="s">
        <v>2080</v>
      </c>
      <c r="C11483" t="s">
        <v>180</v>
      </c>
      <c r="G11483" t="s">
        <v>25479</v>
      </c>
      <c r="H11483" t="s">
        <v>125</v>
      </c>
      <c r="I11483" t="s">
        <v>126</v>
      </c>
      <c r="J11483">
        <v>63126</v>
      </c>
      <c r="K11483">
        <v>1109</v>
      </c>
      <c r="L11483" t="s">
        <v>23</v>
      </c>
      <c r="M11483" t="s">
        <v>25479</v>
      </c>
      <c r="N11483" t="s">
        <v>125</v>
      </c>
      <c r="O11483" t="s">
        <v>126</v>
      </c>
      <c r="P11483">
        <v>63126</v>
      </c>
      <c r="Q11483">
        <v>1109</v>
      </c>
      <c r="R11483" t="s">
        <v>23</v>
      </c>
      <c r="S11483" s="1" t="s">
        <v>34218</v>
      </c>
    </row>
    <row r="11484" spans="1:19" x14ac:dyDescent="0.25">
      <c r="A11484">
        <v>101435483</v>
      </c>
      <c r="B11484" t="s">
        <v>2656</v>
      </c>
      <c r="C11484" t="s">
        <v>3714</v>
      </c>
      <c r="G11484" t="s">
        <v>25480</v>
      </c>
      <c r="H11484" t="s">
        <v>15851</v>
      </c>
      <c r="I11484" t="s">
        <v>1097</v>
      </c>
      <c r="J11484">
        <v>42265</v>
      </c>
      <c r="K11484">
        <v>9637</v>
      </c>
      <c r="L11484" t="s">
        <v>23</v>
      </c>
      <c r="M11484" t="s">
        <v>25480</v>
      </c>
      <c r="N11484" t="s">
        <v>15851</v>
      </c>
      <c r="O11484" t="s">
        <v>1097</v>
      </c>
      <c r="P11484">
        <v>42265</v>
      </c>
      <c r="Q11484">
        <v>9637</v>
      </c>
      <c r="R11484" t="s">
        <v>23</v>
      </c>
      <c r="S11484" s="1" t="s">
        <v>34218</v>
      </c>
    </row>
    <row r="11485" spans="1:19" x14ac:dyDescent="0.25">
      <c r="A11485">
        <v>101466095</v>
      </c>
      <c r="B11485" t="s">
        <v>25481</v>
      </c>
      <c r="C11485" t="s">
        <v>1208</v>
      </c>
      <c r="G11485" t="s">
        <v>25482</v>
      </c>
      <c r="H11485" t="s">
        <v>2601</v>
      </c>
      <c r="I11485" t="s">
        <v>22</v>
      </c>
      <c r="J11485">
        <v>93940</v>
      </c>
      <c r="K11485">
        <v>6126</v>
      </c>
      <c r="L11485" t="s">
        <v>23</v>
      </c>
      <c r="M11485" t="s">
        <v>25482</v>
      </c>
      <c r="N11485" t="s">
        <v>2601</v>
      </c>
      <c r="O11485" t="s">
        <v>22</v>
      </c>
      <c r="P11485">
        <v>93940</v>
      </c>
      <c r="Q11485">
        <v>6126</v>
      </c>
      <c r="R11485" t="s">
        <v>23</v>
      </c>
      <c r="S11485" s="1" t="s">
        <v>34218</v>
      </c>
    </row>
    <row r="11486" spans="1:19" x14ac:dyDescent="0.25">
      <c r="A11486">
        <v>101471250</v>
      </c>
      <c r="B11486" t="s">
        <v>6325</v>
      </c>
      <c r="C11486" t="s">
        <v>2232</v>
      </c>
      <c r="G11486" t="s">
        <v>25483</v>
      </c>
      <c r="H11486" t="s">
        <v>13254</v>
      </c>
      <c r="I11486" t="s">
        <v>100</v>
      </c>
      <c r="J11486">
        <v>54880</v>
      </c>
      <c r="K11486">
        <v>6206</v>
      </c>
      <c r="L11486" t="s">
        <v>23</v>
      </c>
      <c r="M11486" t="s">
        <v>25483</v>
      </c>
      <c r="N11486" t="s">
        <v>13254</v>
      </c>
      <c r="O11486" t="s">
        <v>100</v>
      </c>
      <c r="P11486">
        <v>54880</v>
      </c>
      <c r="Q11486">
        <v>6206</v>
      </c>
      <c r="R11486" t="s">
        <v>23</v>
      </c>
      <c r="S11486" s="1" t="s">
        <v>34218</v>
      </c>
    </row>
    <row r="11487" spans="1:19" x14ac:dyDescent="0.25">
      <c r="A11487">
        <v>101453220</v>
      </c>
      <c r="B11487" t="s">
        <v>25484</v>
      </c>
      <c r="C11487" t="s">
        <v>8920</v>
      </c>
      <c r="G11487" t="s">
        <v>25485</v>
      </c>
      <c r="H11487" t="s">
        <v>25486</v>
      </c>
      <c r="I11487" t="s">
        <v>140</v>
      </c>
      <c r="J11487">
        <v>48164</v>
      </c>
      <c r="K11487">
        <v>7804</v>
      </c>
      <c r="L11487" t="s">
        <v>23</v>
      </c>
      <c r="M11487" t="s">
        <v>25485</v>
      </c>
      <c r="N11487" t="s">
        <v>25486</v>
      </c>
      <c r="O11487" t="s">
        <v>140</v>
      </c>
      <c r="P11487">
        <v>48164</v>
      </c>
      <c r="Q11487">
        <v>7804</v>
      </c>
      <c r="R11487" t="s">
        <v>23</v>
      </c>
      <c r="S11487" s="1" t="s">
        <v>34218</v>
      </c>
    </row>
    <row r="11488" spans="1:19" x14ac:dyDescent="0.25">
      <c r="A11488">
        <v>101466029</v>
      </c>
      <c r="B11488" t="s">
        <v>4512</v>
      </c>
      <c r="C11488" t="s">
        <v>19953</v>
      </c>
      <c r="G11488" t="s">
        <v>25487</v>
      </c>
      <c r="H11488" t="s">
        <v>8438</v>
      </c>
      <c r="I11488" t="s">
        <v>187</v>
      </c>
      <c r="J11488">
        <v>55110</v>
      </c>
      <c r="K11488">
        <v>4438</v>
      </c>
      <c r="L11488" t="s">
        <v>23</v>
      </c>
      <c r="M11488" t="s">
        <v>25487</v>
      </c>
      <c r="N11488" t="s">
        <v>8438</v>
      </c>
      <c r="O11488" t="s">
        <v>187</v>
      </c>
      <c r="P11488">
        <v>55110</v>
      </c>
      <c r="Q11488">
        <v>4438</v>
      </c>
      <c r="R11488" t="s">
        <v>23</v>
      </c>
      <c r="S11488" s="1" t="s">
        <v>34218</v>
      </c>
    </row>
    <row r="11489" spans="1:19" x14ac:dyDescent="0.25">
      <c r="A11489">
        <v>100627963</v>
      </c>
      <c r="B11489" t="s">
        <v>4586</v>
      </c>
      <c r="C11489" t="s">
        <v>1470</v>
      </c>
      <c r="G11489" t="s">
        <v>25488</v>
      </c>
      <c r="H11489" t="s">
        <v>9229</v>
      </c>
      <c r="I11489" t="s">
        <v>52</v>
      </c>
      <c r="J11489">
        <v>33905</v>
      </c>
      <c r="L11489" t="s">
        <v>23</v>
      </c>
      <c r="M11489" t="s">
        <v>25488</v>
      </c>
      <c r="N11489" t="s">
        <v>9229</v>
      </c>
      <c r="O11489" t="s">
        <v>52</v>
      </c>
      <c r="P11489">
        <v>33905</v>
      </c>
      <c r="R11489" t="s">
        <v>23</v>
      </c>
      <c r="S11489" s="1" t="s">
        <v>34218</v>
      </c>
    </row>
    <row r="11490" spans="1:19" x14ac:dyDescent="0.25">
      <c r="A11490">
        <v>101471742</v>
      </c>
      <c r="B11490" t="s">
        <v>25489</v>
      </c>
      <c r="C11490" t="s">
        <v>406</v>
      </c>
      <c r="G11490" t="s">
        <v>25490</v>
      </c>
      <c r="H11490" t="s">
        <v>15651</v>
      </c>
      <c r="I11490" t="s">
        <v>565</v>
      </c>
      <c r="J11490">
        <v>50126</v>
      </c>
      <c r="K11490">
        <v>1427</v>
      </c>
      <c r="L11490" t="s">
        <v>23</v>
      </c>
      <c r="M11490" t="s">
        <v>25490</v>
      </c>
      <c r="N11490" t="s">
        <v>15651</v>
      </c>
      <c r="O11490" t="s">
        <v>565</v>
      </c>
      <c r="P11490">
        <v>50126</v>
      </c>
      <c r="Q11490">
        <v>1427</v>
      </c>
      <c r="R11490" t="s">
        <v>23</v>
      </c>
      <c r="S11490" s="1" t="s">
        <v>34218</v>
      </c>
    </row>
    <row r="11491" spans="1:19" x14ac:dyDescent="0.25">
      <c r="A11491">
        <v>101467202</v>
      </c>
      <c r="B11491" t="s">
        <v>25491</v>
      </c>
      <c r="C11491" t="s">
        <v>90</v>
      </c>
      <c r="G11491" t="s">
        <v>25492</v>
      </c>
      <c r="H11491" t="s">
        <v>130</v>
      </c>
      <c r="I11491" t="s">
        <v>22</v>
      </c>
      <c r="J11491">
        <v>94103</v>
      </c>
      <c r="K11491">
        <v>3895</v>
      </c>
      <c r="L11491" t="s">
        <v>23</v>
      </c>
      <c r="M11491" t="s">
        <v>25492</v>
      </c>
      <c r="N11491" t="s">
        <v>130</v>
      </c>
      <c r="O11491" t="s">
        <v>22</v>
      </c>
      <c r="P11491">
        <v>94103</v>
      </c>
      <c r="Q11491">
        <v>3895</v>
      </c>
      <c r="R11491" t="s">
        <v>23</v>
      </c>
      <c r="S11491" s="1" t="s">
        <v>34218</v>
      </c>
    </row>
    <row r="11492" spans="1:19" x14ac:dyDescent="0.25">
      <c r="A11492">
        <v>100812581</v>
      </c>
      <c r="B11492" t="s">
        <v>25493</v>
      </c>
      <c r="C11492" t="s">
        <v>2557</v>
      </c>
      <c r="G11492" t="s">
        <v>25494</v>
      </c>
      <c r="H11492" t="s">
        <v>10366</v>
      </c>
      <c r="I11492" t="s">
        <v>255</v>
      </c>
      <c r="J11492">
        <v>24551</v>
      </c>
      <c r="K11492">
        <v>4777</v>
      </c>
      <c r="L11492" t="s">
        <v>23</v>
      </c>
      <c r="M11492" t="s">
        <v>25494</v>
      </c>
      <c r="N11492" t="s">
        <v>10366</v>
      </c>
      <c r="O11492" t="s">
        <v>255</v>
      </c>
      <c r="P11492">
        <v>24551</v>
      </c>
      <c r="Q11492">
        <v>4777</v>
      </c>
      <c r="R11492" t="s">
        <v>23</v>
      </c>
      <c r="S11492" s="1" t="s">
        <v>34218</v>
      </c>
    </row>
    <row r="11493" spans="1:19" x14ac:dyDescent="0.25">
      <c r="A11493">
        <v>100678347</v>
      </c>
      <c r="B11493" t="s">
        <v>3562</v>
      </c>
      <c r="C11493" t="s">
        <v>803</v>
      </c>
      <c r="G11493" t="s">
        <v>25495</v>
      </c>
      <c r="H11493" t="s">
        <v>5745</v>
      </c>
      <c r="I11493" t="s">
        <v>236</v>
      </c>
      <c r="J11493">
        <v>2452</v>
      </c>
      <c r="K11493">
        <v>5630</v>
      </c>
      <c r="L11493" t="s">
        <v>23</v>
      </c>
      <c r="M11493" t="s">
        <v>25495</v>
      </c>
      <c r="N11493" t="s">
        <v>5745</v>
      </c>
      <c r="O11493" t="s">
        <v>236</v>
      </c>
      <c r="P11493">
        <v>2452</v>
      </c>
      <c r="Q11493">
        <v>5630</v>
      </c>
      <c r="R11493" t="s">
        <v>23</v>
      </c>
      <c r="S11493" s="1" t="s">
        <v>34218</v>
      </c>
    </row>
    <row r="11494" spans="1:19" x14ac:dyDescent="0.25">
      <c r="A11494">
        <v>100624802</v>
      </c>
      <c r="B11494" t="s">
        <v>25496</v>
      </c>
      <c r="C11494" t="s">
        <v>4587</v>
      </c>
      <c r="G11494" t="s">
        <v>25497</v>
      </c>
      <c r="H11494" t="s">
        <v>11625</v>
      </c>
      <c r="I11494" t="s">
        <v>2310</v>
      </c>
      <c r="J11494">
        <v>19901</v>
      </c>
      <c r="K11494">
        <v>1966</v>
      </c>
      <c r="L11494" t="s">
        <v>23</v>
      </c>
      <c r="M11494" t="s">
        <v>25497</v>
      </c>
      <c r="N11494" t="s">
        <v>11625</v>
      </c>
      <c r="O11494" t="s">
        <v>2310</v>
      </c>
      <c r="P11494">
        <v>19901</v>
      </c>
      <c r="Q11494">
        <v>1966</v>
      </c>
      <c r="R11494" t="s">
        <v>23</v>
      </c>
      <c r="S11494" s="1" t="s">
        <v>34218</v>
      </c>
    </row>
    <row r="11495" spans="1:19" x14ac:dyDescent="0.25">
      <c r="A11495">
        <v>100661975</v>
      </c>
      <c r="B11495" t="s">
        <v>29</v>
      </c>
      <c r="C11495" t="s">
        <v>3234</v>
      </c>
      <c r="G11495" t="s">
        <v>25498</v>
      </c>
      <c r="H11495" t="s">
        <v>1283</v>
      </c>
      <c r="I11495" t="s">
        <v>117</v>
      </c>
      <c r="J11495">
        <v>10512</v>
      </c>
      <c r="K11495">
        <v>3532</v>
      </c>
      <c r="L11495" t="s">
        <v>23</v>
      </c>
      <c r="M11495" t="s">
        <v>25498</v>
      </c>
      <c r="N11495" t="s">
        <v>1283</v>
      </c>
      <c r="O11495" t="s">
        <v>117</v>
      </c>
      <c r="P11495">
        <v>10512</v>
      </c>
      <c r="Q11495">
        <v>3532</v>
      </c>
      <c r="R11495" t="s">
        <v>23</v>
      </c>
      <c r="S11495" s="1" t="s">
        <v>34218</v>
      </c>
    </row>
    <row r="11496" spans="1:19" x14ac:dyDescent="0.25">
      <c r="A11496">
        <v>101466420</v>
      </c>
      <c r="B11496" t="s">
        <v>25499</v>
      </c>
      <c r="C11496" t="s">
        <v>4115</v>
      </c>
      <c r="G11496" t="s">
        <v>25500</v>
      </c>
      <c r="H11496" t="s">
        <v>1754</v>
      </c>
      <c r="I11496" t="s">
        <v>135</v>
      </c>
      <c r="J11496">
        <v>60202</v>
      </c>
      <c r="K11496">
        <v>1634</v>
      </c>
      <c r="L11496" t="s">
        <v>23</v>
      </c>
      <c r="M11496" t="s">
        <v>25500</v>
      </c>
      <c r="N11496" t="s">
        <v>1754</v>
      </c>
      <c r="O11496" t="s">
        <v>135</v>
      </c>
      <c r="P11496">
        <v>60202</v>
      </c>
      <c r="Q11496">
        <v>1634</v>
      </c>
      <c r="R11496" t="s">
        <v>23</v>
      </c>
      <c r="S11496" s="1" t="s">
        <v>34218</v>
      </c>
    </row>
    <row r="11497" spans="1:19" x14ac:dyDescent="0.25">
      <c r="A11497">
        <v>101470892</v>
      </c>
      <c r="B11497" t="s">
        <v>25501</v>
      </c>
      <c r="C11497" t="s">
        <v>25502</v>
      </c>
      <c r="G11497" t="s">
        <v>25503</v>
      </c>
      <c r="H11497" t="s">
        <v>25504</v>
      </c>
      <c r="I11497" t="s">
        <v>71</v>
      </c>
      <c r="J11497">
        <v>80487</v>
      </c>
      <c r="L11497" t="s">
        <v>23</v>
      </c>
      <c r="M11497" t="s">
        <v>25503</v>
      </c>
      <c r="N11497" t="s">
        <v>25504</v>
      </c>
      <c r="O11497" t="s">
        <v>71</v>
      </c>
      <c r="P11497">
        <v>80487</v>
      </c>
      <c r="R11497" t="s">
        <v>23</v>
      </c>
      <c r="S11497" s="1" t="s">
        <v>34218</v>
      </c>
    </row>
    <row r="11498" spans="1:19" x14ac:dyDescent="0.25">
      <c r="A11498">
        <v>101474404</v>
      </c>
      <c r="B11498" t="s">
        <v>3774</v>
      </c>
      <c r="C11498" t="s">
        <v>2642</v>
      </c>
      <c r="G11498" t="s">
        <v>25505</v>
      </c>
      <c r="H11498" t="s">
        <v>1452</v>
      </c>
      <c r="I11498" t="s">
        <v>43</v>
      </c>
      <c r="J11498">
        <v>97405</v>
      </c>
      <c r="K11498">
        <v>3114</v>
      </c>
      <c r="L11498" t="s">
        <v>23</v>
      </c>
      <c r="M11498" t="s">
        <v>25505</v>
      </c>
      <c r="N11498" t="s">
        <v>1452</v>
      </c>
      <c r="O11498" t="s">
        <v>43</v>
      </c>
      <c r="P11498">
        <v>97405</v>
      </c>
      <c r="Q11498">
        <v>3114</v>
      </c>
      <c r="R11498" t="s">
        <v>23</v>
      </c>
      <c r="S11498" s="1" t="s">
        <v>34218</v>
      </c>
    </row>
    <row r="11499" spans="1:19" x14ac:dyDescent="0.25">
      <c r="A11499">
        <v>101255044</v>
      </c>
      <c r="B11499" t="s">
        <v>20079</v>
      </c>
      <c r="C11499" t="s">
        <v>1463</v>
      </c>
      <c r="G11499" t="s">
        <v>25506</v>
      </c>
      <c r="H11499" t="s">
        <v>10374</v>
      </c>
      <c r="I11499" t="s">
        <v>187</v>
      </c>
      <c r="J11499">
        <v>55442</v>
      </c>
      <c r="K11499">
        <v>2760</v>
      </c>
      <c r="L11499" t="s">
        <v>23</v>
      </c>
      <c r="M11499" t="s">
        <v>25506</v>
      </c>
      <c r="N11499" t="s">
        <v>10374</v>
      </c>
      <c r="O11499" t="s">
        <v>187</v>
      </c>
      <c r="P11499">
        <v>55442</v>
      </c>
      <c r="Q11499">
        <v>2760</v>
      </c>
      <c r="R11499" t="s">
        <v>23</v>
      </c>
      <c r="S11499" s="1" t="s">
        <v>34218</v>
      </c>
    </row>
    <row r="11500" spans="1:19" x14ac:dyDescent="0.25">
      <c r="A11500">
        <v>101441683</v>
      </c>
      <c r="B11500" t="s">
        <v>25507</v>
      </c>
      <c r="C11500" t="s">
        <v>1647</v>
      </c>
      <c r="G11500" t="s">
        <v>25508</v>
      </c>
      <c r="H11500" t="s">
        <v>3768</v>
      </c>
      <c r="I11500" t="s">
        <v>22</v>
      </c>
      <c r="J11500">
        <v>94043</v>
      </c>
      <c r="L11500" t="s">
        <v>23</v>
      </c>
      <c r="M11500" t="s">
        <v>25508</v>
      </c>
      <c r="N11500" t="s">
        <v>3768</v>
      </c>
      <c r="O11500" t="s">
        <v>22</v>
      </c>
      <c r="P11500">
        <v>94043</v>
      </c>
      <c r="R11500" t="s">
        <v>23</v>
      </c>
      <c r="S11500" s="1" t="s">
        <v>34218</v>
      </c>
    </row>
    <row r="11501" spans="1:19" x14ac:dyDescent="0.25">
      <c r="A11501">
        <v>101472965</v>
      </c>
      <c r="B11501" t="s">
        <v>966</v>
      </c>
      <c r="C11501" t="s">
        <v>110</v>
      </c>
      <c r="G11501" t="s">
        <v>25509</v>
      </c>
      <c r="H11501" t="s">
        <v>25510</v>
      </c>
      <c r="I11501" t="s">
        <v>52</v>
      </c>
      <c r="J11501">
        <v>34145</v>
      </c>
      <c r="K11501">
        <v>5031</v>
      </c>
      <c r="L11501" t="s">
        <v>23</v>
      </c>
      <c r="M11501" t="s">
        <v>25509</v>
      </c>
      <c r="N11501" t="s">
        <v>25510</v>
      </c>
      <c r="O11501" t="s">
        <v>52</v>
      </c>
      <c r="P11501">
        <v>34145</v>
      </c>
      <c r="Q11501">
        <v>5031</v>
      </c>
      <c r="R11501" t="s">
        <v>23</v>
      </c>
      <c r="S11501" s="1" t="s">
        <v>34218</v>
      </c>
    </row>
    <row r="11502" spans="1:19" x14ac:dyDescent="0.25">
      <c r="A11502">
        <v>101472966</v>
      </c>
      <c r="B11502" t="s">
        <v>25511</v>
      </c>
      <c r="C11502" t="s">
        <v>585</v>
      </c>
      <c r="G11502" t="s">
        <v>25512</v>
      </c>
      <c r="H11502" t="s">
        <v>2501</v>
      </c>
      <c r="I11502" t="s">
        <v>236</v>
      </c>
      <c r="J11502">
        <v>2746</v>
      </c>
      <c r="K11502">
        <v>5403</v>
      </c>
      <c r="L11502" t="s">
        <v>23</v>
      </c>
      <c r="M11502" t="s">
        <v>25512</v>
      </c>
      <c r="N11502" t="s">
        <v>2501</v>
      </c>
      <c r="O11502" t="s">
        <v>236</v>
      </c>
      <c r="P11502">
        <v>2746</v>
      </c>
      <c r="Q11502">
        <v>5403</v>
      </c>
      <c r="R11502" t="s">
        <v>23</v>
      </c>
      <c r="S11502" s="1" t="s">
        <v>34218</v>
      </c>
    </row>
    <row r="11503" spans="1:19" x14ac:dyDescent="0.25">
      <c r="A11503">
        <v>101364045</v>
      </c>
      <c r="B11503" t="s">
        <v>25513</v>
      </c>
      <c r="C11503" t="s">
        <v>1492</v>
      </c>
      <c r="G11503" t="s">
        <v>25514</v>
      </c>
      <c r="H11503" t="s">
        <v>25515</v>
      </c>
      <c r="I11503" t="s">
        <v>117</v>
      </c>
      <c r="J11503">
        <v>12972</v>
      </c>
      <c r="L11503" t="s">
        <v>23</v>
      </c>
      <c r="M11503" t="s">
        <v>25514</v>
      </c>
      <c r="N11503" t="s">
        <v>25515</v>
      </c>
      <c r="O11503" t="s">
        <v>117</v>
      </c>
      <c r="P11503">
        <v>12972</v>
      </c>
      <c r="R11503" t="s">
        <v>23</v>
      </c>
      <c r="S11503" s="1" t="s">
        <v>34218</v>
      </c>
    </row>
    <row r="11504" spans="1:19" x14ac:dyDescent="0.25">
      <c r="A11504">
        <v>100809565</v>
      </c>
      <c r="B11504" t="s">
        <v>25516</v>
      </c>
      <c r="C11504" t="s">
        <v>575</v>
      </c>
      <c r="G11504" t="s">
        <v>25517</v>
      </c>
      <c r="H11504" t="s">
        <v>4202</v>
      </c>
      <c r="I11504" t="s">
        <v>117</v>
      </c>
      <c r="J11504">
        <v>13152</v>
      </c>
      <c r="K11504">
        <v>8617</v>
      </c>
      <c r="L11504" t="s">
        <v>23</v>
      </c>
      <c r="M11504" t="s">
        <v>25517</v>
      </c>
      <c r="N11504" t="s">
        <v>4202</v>
      </c>
      <c r="O11504" t="s">
        <v>117</v>
      </c>
      <c r="P11504">
        <v>13152</v>
      </c>
      <c r="Q11504">
        <v>8617</v>
      </c>
      <c r="R11504" t="s">
        <v>23</v>
      </c>
      <c r="S11504" s="1" t="s">
        <v>34218</v>
      </c>
    </row>
    <row r="11505" spans="1:19" x14ac:dyDescent="0.25">
      <c r="A11505">
        <v>101480658</v>
      </c>
      <c r="B11505" t="s">
        <v>19871</v>
      </c>
      <c r="C11505" t="s">
        <v>2638</v>
      </c>
      <c r="G11505" t="s">
        <v>25518</v>
      </c>
      <c r="H11505" t="s">
        <v>13967</v>
      </c>
      <c r="I11505" t="s">
        <v>178</v>
      </c>
      <c r="J11505">
        <v>45056</v>
      </c>
      <c r="K11505">
        <v>1519</v>
      </c>
      <c r="L11505" t="s">
        <v>23</v>
      </c>
      <c r="M11505" t="s">
        <v>25518</v>
      </c>
      <c r="N11505" t="s">
        <v>13967</v>
      </c>
      <c r="O11505" t="s">
        <v>178</v>
      </c>
      <c r="P11505">
        <v>45056</v>
      </c>
      <c r="Q11505">
        <v>1519</v>
      </c>
      <c r="R11505" t="s">
        <v>23</v>
      </c>
      <c r="S11505" s="1" t="s">
        <v>34218</v>
      </c>
    </row>
    <row r="11506" spans="1:19" x14ac:dyDescent="0.25">
      <c r="A11506">
        <v>101187468</v>
      </c>
      <c r="B11506" t="s">
        <v>1800</v>
      </c>
      <c r="C11506" t="s">
        <v>25519</v>
      </c>
      <c r="G11506" t="s">
        <v>25520</v>
      </c>
      <c r="H11506" t="s">
        <v>393</v>
      </c>
      <c r="I11506" t="s">
        <v>71</v>
      </c>
      <c r="J11506">
        <v>80220</v>
      </c>
      <c r="K11506">
        <v>4971</v>
      </c>
      <c r="L11506" t="s">
        <v>23</v>
      </c>
      <c r="M11506" t="s">
        <v>25520</v>
      </c>
      <c r="N11506" t="s">
        <v>393</v>
      </c>
      <c r="O11506" t="s">
        <v>71</v>
      </c>
      <c r="P11506">
        <v>80220</v>
      </c>
      <c r="Q11506">
        <v>4971</v>
      </c>
      <c r="R11506" t="s">
        <v>23</v>
      </c>
      <c r="S11506" s="1" t="s">
        <v>34218</v>
      </c>
    </row>
    <row r="11507" spans="1:19" x14ac:dyDescent="0.25">
      <c r="A11507">
        <v>101480666</v>
      </c>
      <c r="B11507" t="s">
        <v>13537</v>
      </c>
      <c r="C11507" t="s">
        <v>1598</v>
      </c>
      <c r="G11507" t="s">
        <v>25521</v>
      </c>
      <c r="H11507" t="s">
        <v>16547</v>
      </c>
      <c r="I11507" t="s">
        <v>84</v>
      </c>
      <c r="J11507">
        <v>98261</v>
      </c>
      <c r="K11507">
        <v>305</v>
      </c>
      <c r="L11507" t="s">
        <v>23</v>
      </c>
      <c r="M11507" t="s">
        <v>25521</v>
      </c>
      <c r="N11507" t="s">
        <v>16547</v>
      </c>
      <c r="O11507" t="s">
        <v>84</v>
      </c>
      <c r="P11507">
        <v>98261</v>
      </c>
      <c r="Q11507">
        <v>305</v>
      </c>
      <c r="R11507" t="s">
        <v>23</v>
      </c>
      <c r="S11507" s="1" t="s">
        <v>34218</v>
      </c>
    </row>
    <row r="11508" spans="1:19" x14ac:dyDescent="0.25">
      <c r="A11508">
        <v>101003451</v>
      </c>
      <c r="B11508" t="s">
        <v>12952</v>
      </c>
      <c r="C11508" t="s">
        <v>4587</v>
      </c>
      <c r="G11508" t="s">
        <v>25522</v>
      </c>
      <c r="H11508" t="s">
        <v>139</v>
      </c>
      <c r="I11508" t="s">
        <v>1226</v>
      </c>
      <c r="J11508">
        <v>39046</v>
      </c>
      <c r="K11508">
        <v>8938</v>
      </c>
      <c r="L11508" t="s">
        <v>23</v>
      </c>
      <c r="M11508" t="s">
        <v>25522</v>
      </c>
      <c r="N11508" t="s">
        <v>139</v>
      </c>
      <c r="O11508" t="s">
        <v>1226</v>
      </c>
      <c r="P11508">
        <v>39046</v>
      </c>
      <c r="Q11508">
        <v>8938</v>
      </c>
      <c r="R11508" t="s">
        <v>23</v>
      </c>
      <c r="S11508" s="1" t="s">
        <v>34218</v>
      </c>
    </row>
    <row r="11509" spans="1:19" x14ac:dyDescent="0.25">
      <c r="A11509">
        <v>100666934</v>
      </c>
      <c r="B11509" t="s">
        <v>23634</v>
      </c>
      <c r="C11509" t="s">
        <v>1157</v>
      </c>
      <c r="G11509" t="s">
        <v>25523</v>
      </c>
      <c r="H11509" t="s">
        <v>1405</v>
      </c>
      <c r="I11509" t="s">
        <v>187</v>
      </c>
      <c r="J11509">
        <v>55101</v>
      </c>
      <c r="K11509">
        <v>2364</v>
      </c>
      <c r="L11509" t="s">
        <v>23</v>
      </c>
      <c r="M11509" t="s">
        <v>25523</v>
      </c>
      <c r="N11509" t="s">
        <v>1405</v>
      </c>
      <c r="O11509" t="s">
        <v>187</v>
      </c>
      <c r="P11509">
        <v>55101</v>
      </c>
      <c r="Q11509">
        <v>2364</v>
      </c>
      <c r="R11509" t="s">
        <v>23</v>
      </c>
      <c r="S11509" s="1" t="s">
        <v>34218</v>
      </c>
    </row>
    <row r="11510" spans="1:19" x14ac:dyDescent="0.25">
      <c r="A11510">
        <v>101436762</v>
      </c>
      <c r="B11510" t="s">
        <v>1156</v>
      </c>
      <c r="C11510" t="s">
        <v>3009</v>
      </c>
      <c r="G11510" t="s">
        <v>25524</v>
      </c>
      <c r="H11510" t="s">
        <v>968</v>
      </c>
      <c r="I11510" t="s">
        <v>22</v>
      </c>
      <c r="J11510">
        <v>95356</v>
      </c>
      <c r="K11510">
        <v>1707</v>
      </c>
      <c r="L11510" t="s">
        <v>23</v>
      </c>
      <c r="M11510" t="s">
        <v>25524</v>
      </c>
      <c r="N11510" t="s">
        <v>968</v>
      </c>
      <c r="O11510" t="s">
        <v>22</v>
      </c>
      <c r="P11510">
        <v>95356</v>
      </c>
      <c r="Q11510">
        <v>1707</v>
      </c>
      <c r="R11510" t="s">
        <v>23</v>
      </c>
      <c r="S11510" s="1" t="s">
        <v>34218</v>
      </c>
    </row>
    <row r="11511" spans="1:19" x14ac:dyDescent="0.25">
      <c r="A11511">
        <v>101388081</v>
      </c>
      <c r="B11511" t="s">
        <v>3625</v>
      </c>
      <c r="C11511" t="s">
        <v>8920</v>
      </c>
      <c r="G11511" t="s">
        <v>25514</v>
      </c>
      <c r="H11511" t="s">
        <v>2608</v>
      </c>
      <c r="I11511" t="s">
        <v>236</v>
      </c>
      <c r="J11511">
        <v>1890</v>
      </c>
      <c r="L11511" t="s">
        <v>23</v>
      </c>
      <c r="M11511" t="s">
        <v>25514</v>
      </c>
      <c r="N11511" t="s">
        <v>2608</v>
      </c>
      <c r="O11511" t="s">
        <v>236</v>
      </c>
      <c r="P11511">
        <v>1890</v>
      </c>
      <c r="R11511" t="s">
        <v>23</v>
      </c>
      <c r="S11511" s="1" t="s">
        <v>34218</v>
      </c>
    </row>
    <row r="11512" spans="1:19" x14ac:dyDescent="0.25">
      <c r="A11512">
        <v>101282630</v>
      </c>
      <c r="B11512" t="s">
        <v>11120</v>
      </c>
      <c r="C11512" t="s">
        <v>35</v>
      </c>
      <c r="G11512" t="s">
        <v>25525</v>
      </c>
      <c r="H11512" t="s">
        <v>25526</v>
      </c>
      <c r="I11512" t="s">
        <v>153</v>
      </c>
      <c r="J11512">
        <v>70445</v>
      </c>
      <c r="K11512">
        <v>3634</v>
      </c>
      <c r="L11512" t="s">
        <v>23</v>
      </c>
      <c r="M11512" t="s">
        <v>25525</v>
      </c>
      <c r="N11512" t="s">
        <v>25526</v>
      </c>
      <c r="O11512" t="s">
        <v>153</v>
      </c>
      <c r="P11512">
        <v>70445</v>
      </c>
      <c r="Q11512">
        <v>3634</v>
      </c>
      <c r="R11512" t="s">
        <v>23</v>
      </c>
      <c r="S11512" s="1" t="s">
        <v>34218</v>
      </c>
    </row>
    <row r="11513" spans="1:19" x14ac:dyDescent="0.25">
      <c r="A11513">
        <v>101432353</v>
      </c>
      <c r="B11513" t="s">
        <v>25527</v>
      </c>
      <c r="C11513" t="s">
        <v>2127</v>
      </c>
      <c r="G11513" t="s">
        <v>25528</v>
      </c>
      <c r="H11513" t="s">
        <v>4691</v>
      </c>
      <c r="I11513" t="s">
        <v>153</v>
      </c>
      <c r="J11513">
        <v>70058</v>
      </c>
      <c r="K11513">
        <v>5598</v>
      </c>
      <c r="L11513" t="s">
        <v>23</v>
      </c>
      <c r="M11513" t="s">
        <v>25528</v>
      </c>
      <c r="N11513" t="s">
        <v>4691</v>
      </c>
      <c r="O11513" t="s">
        <v>153</v>
      </c>
      <c r="P11513">
        <v>70058</v>
      </c>
      <c r="Q11513">
        <v>5598</v>
      </c>
      <c r="R11513" t="s">
        <v>23</v>
      </c>
      <c r="S11513" s="1" t="s">
        <v>34218</v>
      </c>
    </row>
    <row r="11514" spans="1:19" x14ac:dyDescent="0.25">
      <c r="A11514">
        <v>101480633</v>
      </c>
      <c r="B11514" t="s">
        <v>21207</v>
      </c>
      <c r="C11514" t="s">
        <v>865</v>
      </c>
      <c r="G11514" t="s">
        <v>25529</v>
      </c>
      <c r="H11514" t="s">
        <v>1412</v>
      </c>
      <c r="I11514" t="s">
        <v>52</v>
      </c>
      <c r="J11514">
        <v>32837</v>
      </c>
      <c r="K11514">
        <v>4796</v>
      </c>
      <c r="L11514" t="s">
        <v>23</v>
      </c>
      <c r="M11514" t="s">
        <v>25529</v>
      </c>
      <c r="N11514" t="s">
        <v>1412</v>
      </c>
      <c r="O11514" t="s">
        <v>52</v>
      </c>
      <c r="P11514">
        <v>32837</v>
      </c>
      <c r="Q11514">
        <v>4796</v>
      </c>
      <c r="R11514" t="s">
        <v>23</v>
      </c>
      <c r="S11514" s="1" t="s">
        <v>34218</v>
      </c>
    </row>
    <row r="11515" spans="1:19" x14ac:dyDescent="0.25">
      <c r="A11515">
        <v>101466913</v>
      </c>
      <c r="B11515" t="s">
        <v>25530</v>
      </c>
      <c r="C11515" t="s">
        <v>17664</v>
      </c>
      <c r="G11515" t="s">
        <v>25531</v>
      </c>
      <c r="H11515" t="s">
        <v>10938</v>
      </c>
      <c r="I11515" t="s">
        <v>117</v>
      </c>
      <c r="J11515">
        <v>14580</v>
      </c>
      <c r="K11515">
        <v>9360</v>
      </c>
      <c r="L11515" t="s">
        <v>23</v>
      </c>
      <c r="M11515" t="s">
        <v>25531</v>
      </c>
      <c r="N11515" t="s">
        <v>10938</v>
      </c>
      <c r="O11515" t="s">
        <v>117</v>
      </c>
      <c r="P11515">
        <v>14580</v>
      </c>
      <c r="Q11515">
        <v>9360</v>
      </c>
      <c r="R11515" t="s">
        <v>23</v>
      </c>
      <c r="S11515" s="1" t="s">
        <v>34218</v>
      </c>
    </row>
    <row r="11516" spans="1:19" x14ac:dyDescent="0.25">
      <c r="A11516">
        <v>101467580</v>
      </c>
      <c r="B11516" t="s">
        <v>247</v>
      </c>
      <c r="C11516" t="s">
        <v>7569</v>
      </c>
      <c r="G11516" t="s">
        <v>25532</v>
      </c>
      <c r="H11516" t="s">
        <v>198</v>
      </c>
      <c r="I11516" t="s">
        <v>22</v>
      </c>
      <c r="J11516">
        <v>92119</v>
      </c>
      <c r="K11516">
        <v>1465</v>
      </c>
      <c r="L11516" t="s">
        <v>23</v>
      </c>
      <c r="M11516" t="s">
        <v>25532</v>
      </c>
      <c r="N11516" t="s">
        <v>198</v>
      </c>
      <c r="O11516" t="s">
        <v>22</v>
      </c>
      <c r="P11516">
        <v>92119</v>
      </c>
      <c r="Q11516">
        <v>1465</v>
      </c>
      <c r="R11516" t="s">
        <v>23</v>
      </c>
      <c r="S11516" s="1" t="s">
        <v>34218</v>
      </c>
    </row>
    <row r="11517" spans="1:19" x14ac:dyDescent="0.25">
      <c r="A11517">
        <v>101443770</v>
      </c>
      <c r="B11517" t="s">
        <v>25533</v>
      </c>
      <c r="C11517" t="s">
        <v>2235</v>
      </c>
      <c r="G11517" t="s">
        <v>25534</v>
      </c>
      <c r="H11517" t="s">
        <v>15050</v>
      </c>
      <c r="I11517" t="s">
        <v>22</v>
      </c>
      <c r="J11517">
        <v>92886</v>
      </c>
      <c r="K11517">
        <v>6540</v>
      </c>
      <c r="L11517" t="s">
        <v>23</v>
      </c>
      <c r="M11517" t="s">
        <v>25534</v>
      </c>
      <c r="N11517" t="s">
        <v>15050</v>
      </c>
      <c r="O11517" t="s">
        <v>22</v>
      </c>
      <c r="P11517">
        <v>92886</v>
      </c>
      <c r="Q11517">
        <v>6540</v>
      </c>
      <c r="R11517" t="s">
        <v>23</v>
      </c>
      <c r="S11517" s="1" t="s">
        <v>34218</v>
      </c>
    </row>
    <row r="11518" spans="1:19" x14ac:dyDescent="0.25">
      <c r="A11518">
        <v>101349354</v>
      </c>
      <c r="B11518" t="s">
        <v>25535</v>
      </c>
      <c r="C11518" t="s">
        <v>7325</v>
      </c>
      <c r="F11518" t="str">
        <f>"5033256384"</f>
        <v>5033256384</v>
      </c>
      <c r="G11518" t="s">
        <v>25536</v>
      </c>
      <c r="H11518" t="s">
        <v>9840</v>
      </c>
      <c r="I11518" t="s">
        <v>43</v>
      </c>
      <c r="J11518">
        <v>97103</v>
      </c>
      <c r="K11518">
        <v>8329</v>
      </c>
      <c r="L11518" t="s">
        <v>23</v>
      </c>
      <c r="M11518" t="s">
        <v>25536</v>
      </c>
      <c r="N11518" t="s">
        <v>9840</v>
      </c>
      <c r="O11518" t="s">
        <v>43</v>
      </c>
      <c r="P11518">
        <v>97103</v>
      </c>
      <c r="Q11518">
        <v>8329</v>
      </c>
      <c r="R11518" t="s">
        <v>23</v>
      </c>
      <c r="S11518" s="1" t="s">
        <v>34218</v>
      </c>
    </row>
    <row r="11519" spans="1:19" x14ac:dyDescent="0.25">
      <c r="A11519">
        <v>100713550</v>
      </c>
      <c r="B11519" t="s">
        <v>25537</v>
      </c>
      <c r="C11519" t="s">
        <v>286</v>
      </c>
      <c r="G11519" t="s">
        <v>25538</v>
      </c>
      <c r="H11519" t="s">
        <v>25539</v>
      </c>
      <c r="I11519" t="s">
        <v>187</v>
      </c>
      <c r="J11519">
        <v>55387</v>
      </c>
      <c r="K11519">
        <v>1438</v>
      </c>
      <c r="L11519" t="s">
        <v>23</v>
      </c>
      <c r="M11519" t="s">
        <v>25538</v>
      </c>
      <c r="N11519" t="s">
        <v>25539</v>
      </c>
      <c r="O11519" t="s">
        <v>187</v>
      </c>
      <c r="P11519">
        <v>55387</v>
      </c>
      <c r="Q11519">
        <v>1438</v>
      </c>
      <c r="R11519" t="s">
        <v>23</v>
      </c>
      <c r="S11519" s="1" t="s">
        <v>34218</v>
      </c>
    </row>
    <row r="11520" spans="1:19" x14ac:dyDescent="0.25">
      <c r="A11520">
        <v>100814017</v>
      </c>
      <c r="B11520" t="s">
        <v>5631</v>
      </c>
      <c r="C11520" t="s">
        <v>4046</v>
      </c>
      <c r="G11520" t="s">
        <v>25540</v>
      </c>
      <c r="H11520" t="s">
        <v>4122</v>
      </c>
      <c r="I11520" t="s">
        <v>22</v>
      </c>
      <c r="J11520">
        <v>91941</v>
      </c>
      <c r="K11520">
        <v>7984</v>
      </c>
      <c r="L11520" t="s">
        <v>23</v>
      </c>
      <c r="M11520" t="s">
        <v>25540</v>
      </c>
      <c r="N11520" t="s">
        <v>4122</v>
      </c>
      <c r="O11520" t="s">
        <v>22</v>
      </c>
      <c r="P11520">
        <v>91941</v>
      </c>
      <c r="Q11520">
        <v>7984</v>
      </c>
      <c r="R11520" t="s">
        <v>23</v>
      </c>
      <c r="S11520" s="1" t="s">
        <v>34218</v>
      </c>
    </row>
    <row r="11521" spans="1:19" x14ac:dyDescent="0.25">
      <c r="A11521">
        <v>101453449</v>
      </c>
      <c r="B11521" t="s">
        <v>7797</v>
      </c>
      <c r="C11521" t="s">
        <v>114</v>
      </c>
      <c r="G11521" t="s">
        <v>25541</v>
      </c>
      <c r="H11521" t="s">
        <v>3021</v>
      </c>
      <c r="I11521" t="s">
        <v>1482</v>
      </c>
      <c r="J11521">
        <v>29579</v>
      </c>
      <c r="K11521">
        <v>4154</v>
      </c>
      <c r="L11521" t="s">
        <v>23</v>
      </c>
      <c r="M11521" t="s">
        <v>25541</v>
      </c>
      <c r="N11521" t="s">
        <v>3021</v>
      </c>
      <c r="O11521" t="s">
        <v>1482</v>
      </c>
      <c r="P11521">
        <v>29579</v>
      </c>
      <c r="Q11521">
        <v>4154</v>
      </c>
      <c r="R11521" t="s">
        <v>23</v>
      </c>
      <c r="S11521" s="1" t="s">
        <v>34218</v>
      </c>
    </row>
    <row r="11522" spans="1:19" x14ac:dyDescent="0.25">
      <c r="A11522">
        <v>101027962</v>
      </c>
      <c r="B11522" t="s">
        <v>25542</v>
      </c>
      <c r="C11522" t="s">
        <v>2127</v>
      </c>
      <c r="G11522" t="s">
        <v>25543</v>
      </c>
      <c r="H11522" t="s">
        <v>14996</v>
      </c>
      <c r="I11522" t="s">
        <v>52</v>
      </c>
      <c r="J11522">
        <v>33803</v>
      </c>
      <c r="K11522">
        <v>3715</v>
      </c>
      <c r="L11522" t="s">
        <v>23</v>
      </c>
      <c r="M11522" t="s">
        <v>25543</v>
      </c>
      <c r="N11522" t="s">
        <v>14996</v>
      </c>
      <c r="O11522" t="s">
        <v>52</v>
      </c>
      <c r="P11522">
        <v>33803</v>
      </c>
      <c r="Q11522">
        <v>3715</v>
      </c>
      <c r="R11522" t="s">
        <v>23</v>
      </c>
      <c r="S11522" s="1" t="s">
        <v>34218</v>
      </c>
    </row>
    <row r="11523" spans="1:19" x14ac:dyDescent="0.25">
      <c r="A11523">
        <v>100712149</v>
      </c>
      <c r="B11523" t="s">
        <v>208</v>
      </c>
      <c r="C11523" t="s">
        <v>25544</v>
      </c>
      <c r="G11523" t="s">
        <v>25545</v>
      </c>
      <c r="H11523" t="s">
        <v>7433</v>
      </c>
      <c r="I11523" t="s">
        <v>43</v>
      </c>
      <c r="J11523">
        <v>97424</v>
      </c>
      <c r="K11523">
        <v>2214</v>
      </c>
      <c r="L11523" t="s">
        <v>23</v>
      </c>
      <c r="M11523" t="s">
        <v>25545</v>
      </c>
      <c r="N11523" t="s">
        <v>7433</v>
      </c>
      <c r="O11523" t="s">
        <v>43</v>
      </c>
      <c r="P11523">
        <v>97424</v>
      </c>
      <c r="Q11523">
        <v>2214</v>
      </c>
      <c r="R11523" t="s">
        <v>23</v>
      </c>
      <c r="S11523" s="1" t="s">
        <v>34218</v>
      </c>
    </row>
    <row r="11524" spans="1:19" x14ac:dyDescent="0.25">
      <c r="A11524">
        <v>100995068</v>
      </c>
      <c r="B11524" t="s">
        <v>3303</v>
      </c>
      <c r="C11524" t="s">
        <v>25546</v>
      </c>
      <c r="G11524" t="s">
        <v>25547</v>
      </c>
      <c r="H11524" t="s">
        <v>20467</v>
      </c>
      <c r="I11524" t="s">
        <v>9752</v>
      </c>
      <c r="J11524">
        <v>738</v>
      </c>
      <c r="L11524" t="s">
        <v>23</v>
      </c>
      <c r="M11524" t="s">
        <v>25547</v>
      </c>
      <c r="N11524" t="s">
        <v>20467</v>
      </c>
      <c r="O11524" t="s">
        <v>9752</v>
      </c>
      <c r="P11524">
        <v>738</v>
      </c>
      <c r="R11524" t="s">
        <v>23</v>
      </c>
      <c r="S11524" s="1" t="s">
        <v>34218</v>
      </c>
    </row>
    <row r="11525" spans="1:19" x14ac:dyDescent="0.25">
      <c r="A11525">
        <v>101204778</v>
      </c>
      <c r="B11525" t="s">
        <v>1164</v>
      </c>
      <c r="C11525" t="s">
        <v>2010</v>
      </c>
      <c r="G11525" t="s">
        <v>25548</v>
      </c>
      <c r="H11525" t="s">
        <v>21</v>
      </c>
      <c r="I11525" t="s">
        <v>22</v>
      </c>
      <c r="J11525">
        <v>95404</v>
      </c>
      <c r="K11525">
        <v>4553</v>
      </c>
      <c r="L11525" t="s">
        <v>23</v>
      </c>
      <c r="M11525" t="s">
        <v>25548</v>
      </c>
      <c r="N11525" t="s">
        <v>21</v>
      </c>
      <c r="O11525" t="s">
        <v>22</v>
      </c>
      <c r="P11525">
        <v>95404</v>
      </c>
      <c r="Q11525">
        <v>4553</v>
      </c>
      <c r="R11525" t="s">
        <v>23</v>
      </c>
      <c r="S11525" s="1" t="s">
        <v>34218</v>
      </c>
    </row>
    <row r="11526" spans="1:19" x14ac:dyDescent="0.25">
      <c r="A11526">
        <v>101424001</v>
      </c>
      <c r="B11526" t="s">
        <v>24447</v>
      </c>
      <c r="C11526" t="s">
        <v>403</v>
      </c>
      <c r="G11526" t="s">
        <v>25549</v>
      </c>
      <c r="H11526" t="s">
        <v>25550</v>
      </c>
      <c r="I11526" t="s">
        <v>117</v>
      </c>
      <c r="J11526">
        <v>12524</v>
      </c>
      <c r="K11526">
        <v>1357</v>
      </c>
      <c r="L11526" t="s">
        <v>23</v>
      </c>
      <c r="M11526" t="s">
        <v>25549</v>
      </c>
      <c r="N11526" t="s">
        <v>25550</v>
      </c>
      <c r="O11526" t="s">
        <v>117</v>
      </c>
      <c r="P11526">
        <v>12524</v>
      </c>
      <c r="Q11526">
        <v>1357</v>
      </c>
      <c r="R11526" t="s">
        <v>23</v>
      </c>
      <c r="S11526" s="1" t="s">
        <v>34218</v>
      </c>
    </row>
    <row r="11527" spans="1:19" x14ac:dyDescent="0.25">
      <c r="A11527">
        <v>101339610</v>
      </c>
      <c r="B11527" t="s">
        <v>1800</v>
      </c>
      <c r="C11527" t="s">
        <v>1069</v>
      </c>
      <c r="G11527" t="s">
        <v>25551</v>
      </c>
      <c r="H11527" t="s">
        <v>573</v>
      </c>
      <c r="I11527" t="s">
        <v>33</v>
      </c>
      <c r="J11527">
        <v>19122</v>
      </c>
      <c r="K11527">
        <v>4617</v>
      </c>
      <c r="L11527" t="s">
        <v>23</v>
      </c>
      <c r="M11527" t="s">
        <v>25551</v>
      </c>
      <c r="N11527" t="s">
        <v>573</v>
      </c>
      <c r="O11527" t="s">
        <v>33</v>
      </c>
      <c r="P11527">
        <v>19122</v>
      </c>
      <c r="Q11527">
        <v>4617</v>
      </c>
      <c r="R11527" t="s">
        <v>23</v>
      </c>
      <c r="S11527" s="1" t="s">
        <v>34218</v>
      </c>
    </row>
    <row r="11528" spans="1:19" x14ac:dyDescent="0.25">
      <c r="A11528">
        <v>100930561</v>
      </c>
      <c r="B11528" t="s">
        <v>25552</v>
      </c>
      <c r="C11528" t="s">
        <v>209</v>
      </c>
      <c r="G11528" t="s">
        <v>25553</v>
      </c>
      <c r="H11528" t="s">
        <v>836</v>
      </c>
      <c r="I11528" t="s">
        <v>914</v>
      </c>
      <c r="J11528">
        <v>37042</v>
      </c>
      <c r="L11528" t="s">
        <v>23</v>
      </c>
      <c r="M11528" t="s">
        <v>25553</v>
      </c>
      <c r="N11528" t="s">
        <v>836</v>
      </c>
      <c r="O11528" t="s">
        <v>914</v>
      </c>
      <c r="P11528">
        <v>37042</v>
      </c>
      <c r="R11528" t="s">
        <v>23</v>
      </c>
      <c r="S11528" s="1" t="s">
        <v>34218</v>
      </c>
    </row>
    <row r="11529" spans="1:19" x14ac:dyDescent="0.25">
      <c r="A11529">
        <v>101426865</v>
      </c>
      <c r="B11529" t="s">
        <v>24853</v>
      </c>
      <c r="C11529" t="s">
        <v>403</v>
      </c>
      <c r="G11529" t="s">
        <v>25554</v>
      </c>
      <c r="H11529" t="s">
        <v>569</v>
      </c>
      <c r="I11529" t="s">
        <v>187</v>
      </c>
      <c r="J11529">
        <v>55416</v>
      </c>
      <c r="K11529">
        <v>3612</v>
      </c>
      <c r="L11529" t="s">
        <v>23</v>
      </c>
      <c r="M11529" t="s">
        <v>25554</v>
      </c>
      <c r="N11529" t="s">
        <v>569</v>
      </c>
      <c r="O11529" t="s">
        <v>187</v>
      </c>
      <c r="P11529">
        <v>55416</v>
      </c>
      <c r="Q11529">
        <v>3612</v>
      </c>
      <c r="R11529" t="s">
        <v>23</v>
      </c>
      <c r="S11529" s="1" t="s">
        <v>34218</v>
      </c>
    </row>
    <row r="11530" spans="1:19" x14ac:dyDescent="0.25">
      <c r="A11530">
        <v>101256773</v>
      </c>
      <c r="B11530" t="s">
        <v>11551</v>
      </c>
      <c r="C11530" t="s">
        <v>11597</v>
      </c>
      <c r="G11530" t="s">
        <v>25555</v>
      </c>
      <c r="H11530" t="s">
        <v>4005</v>
      </c>
      <c r="I11530" t="s">
        <v>2566</v>
      </c>
      <c r="J11530">
        <v>99603</v>
      </c>
      <c r="L11530" t="s">
        <v>23</v>
      </c>
      <c r="M11530" t="s">
        <v>25555</v>
      </c>
      <c r="N11530" t="s">
        <v>4005</v>
      </c>
      <c r="O11530" t="s">
        <v>2566</v>
      </c>
      <c r="P11530">
        <v>99603</v>
      </c>
      <c r="R11530" t="s">
        <v>23</v>
      </c>
      <c r="S11530" s="1" t="s">
        <v>34218</v>
      </c>
    </row>
    <row r="11531" spans="1:19" x14ac:dyDescent="0.25">
      <c r="A11531">
        <v>101480635</v>
      </c>
      <c r="B11531" t="s">
        <v>15424</v>
      </c>
      <c r="C11531" t="s">
        <v>1239</v>
      </c>
      <c r="G11531" t="s">
        <v>25556</v>
      </c>
      <c r="H11531" t="s">
        <v>25557</v>
      </c>
      <c r="I11531" t="s">
        <v>353</v>
      </c>
      <c r="J11531">
        <v>3885</v>
      </c>
      <c r="K11531">
        <v>6515</v>
      </c>
      <c r="L11531" t="s">
        <v>23</v>
      </c>
      <c r="M11531" t="s">
        <v>25556</v>
      </c>
      <c r="N11531" t="s">
        <v>25557</v>
      </c>
      <c r="O11531" t="s">
        <v>353</v>
      </c>
      <c r="P11531">
        <v>3885</v>
      </c>
      <c r="Q11531">
        <v>6515</v>
      </c>
      <c r="R11531" t="s">
        <v>23</v>
      </c>
      <c r="S11531" s="1" t="s">
        <v>34218</v>
      </c>
    </row>
    <row r="11532" spans="1:19" x14ac:dyDescent="0.25">
      <c r="A11532">
        <v>101240352</v>
      </c>
      <c r="B11532" t="s">
        <v>1800</v>
      </c>
      <c r="C11532" t="s">
        <v>1460</v>
      </c>
      <c r="G11532" t="s">
        <v>25558</v>
      </c>
      <c r="H11532" t="s">
        <v>8467</v>
      </c>
      <c r="I11532" t="s">
        <v>38</v>
      </c>
      <c r="J11532">
        <v>78623</v>
      </c>
      <c r="K11532">
        <v>2501</v>
      </c>
      <c r="L11532" t="s">
        <v>23</v>
      </c>
      <c r="M11532" t="s">
        <v>25558</v>
      </c>
      <c r="N11532" t="s">
        <v>8467</v>
      </c>
      <c r="O11532" t="s">
        <v>38</v>
      </c>
      <c r="P11532">
        <v>78623</v>
      </c>
      <c r="Q11532">
        <v>2501</v>
      </c>
      <c r="R11532" t="s">
        <v>23</v>
      </c>
      <c r="S11532" s="1" t="s">
        <v>34218</v>
      </c>
    </row>
    <row r="11533" spans="1:19" x14ac:dyDescent="0.25">
      <c r="A11533">
        <v>101353197</v>
      </c>
      <c r="B11533" t="s">
        <v>25559</v>
      </c>
      <c r="C11533" t="s">
        <v>2420</v>
      </c>
      <c r="G11533" t="s">
        <v>25560</v>
      </c>
      <c r="H11533" t="s">
        <v>1019</v>
      </c>
      <c r="I11533" t="s">
        <v>84</v>
      </c>
      <c r="J11533">
        <v>98033</v>
      </c>
      <c r="K11533">
        <v>7405</v>
      </c>
      <c r="L11533" t="s">
        <v>23</v>
      </c>
      <c r="M11533" t="s">
        <v>25560</v>
      </c>
      <c r="N11533" t="s">
        <v>1019</v>
      </c>
      <c r="O11533" t="s">
        <v>84</v>
      </c>
      <c r="P11533">
        <v>98033</v>
      </c>
      <c r="Q11533">
        <v>7405</v>
      </c>
      <c r="R11533" t="s">
        <v>23</v>
      </c>
      <c r="S11533" s="1" t="s">
        <v>34218</v>
      </c>
    </row>
    <row r="11534" spans="1:19" x14ac:dyDescent="0.25">
      <c r="A11534">
        <v>101480644</v>
      </c>
      <c r="B11534" t="s">
        <v>10951</v>
      </c>
      <c r="C11534" t="s">
        <v>25561</v>
      </c>
      <c r="G11534" t="s">
        <v>25562</v>
      </c>
      <c r="H11534" t="s">
        <v>11359</v>
      </c>
      <c r="I11534" t="s">
        <v>178</v>
      </c>
      <c r="J11534">
        <v>43616</v>
      </c>
      <c r="K11534">
        <v>1909</v>
      </c>
      <c r="L11534" t="s">
        <v>23</v>
      </c>
      <c r="M11534" t="s">
        <v>25562</v>
      </c>
      <c r="N11534" t="s">
        <v>11359</v>
      </c>
      <c r="O11534" t="s">
        <v>178</v>
      </c>
      <c r="P11534">
        <v>43616</v>
      </c>
      <c r="Q11534">
        <v>1909</v>
      </c>
      <c r="R11534" t="s">
        <v>23</v>
      </c>
      <c r="S11534" s="1" t="s">
        <v>34218</v>
      </c>
    </row>
    <row r="11535" spans="1:19" x14ac:dyDescent="0.25">
      <c r="A11535">
        <v>101068632</v>
      </c>
      <c r="B11535" t="s">
        <v>15532</v>
      </c>
      <c r="C11535" t="s">
        <v>25563</v>
      </c>
      <c r="G11535" t="s">
        <v>25564</v>
      </c>
      <c r="H11535" t="s">
        <v>682</v>
      </c>
      <c r="I11535" t="s">
        <v>148</v>
      </c>
      <c r="J11535">
        <v>21131</v>
      </c>
      <c r="K11535">
        <v>1509</v>
      </c>
      <c r="L11535" t="s">
        <v>23</v>
      </c>
      <c r="M11535" t="s">
        <v>25564</v>
      </c>
      <c r="N11535" t="s">
        <v>682</v>
      </c>
      <c r="O11535" t="s">
        <v>148</v>
      </c>
      <c r="P11535">
        <v>21131</v>
      </c>
      <c r="Q11535">
        <v>1509</v>
      </c>
      <c r="R11535" t="s">
        <v>23</v>
      </c>
      <c r="S11535" s="1" t="s">
        <v>34218</v>
      </c>
    </row>
    <row r="11536" spans="1:19" x14ac:dyDescent="0.25">
      <c r="A11536">
        <v>100992434</v>
      </c>
      <c r="B11536" t="s">
        <v>119</v>
      </c>
      <c r="C11536" t="s">
        <v>1239</v>
      </c>
      <c r="G11536" t="s">
        <v>25565</v>
      </c>
      <c r="H11536" t="s">
        <v>10043</v>
      </c>
      <c r="I11536" t="s">
        <v>2537</v>
      </c>
      <c r="J11536">
        <v>72202</v>
      </c>
      <c r="K11536">
        <v>3966</v>
      </c>
      <c r="L11536" t="s">
        <v>23</v>
      </c>
      <c r="M11536" t="s">
        <v>25565</v>
      </c>
      <c r="N11536" t="s">
        <v>10043</v>
      </c>
      <c r="O11536" t="s">
        <v>2537</v>
      </c>
      <c r="P11536">
        <v>72202</v>
      </c>
      <c r="Q11536">
        <v>3966</v>
      </c>
      <c r="R11536" t="s">
        <v>23</v>
      </c>
      <c r="S11536" s="1" t="s">
        <v>34218</v>
      </c>
    </row>
    <row r="11537" spans="1:19" x14ac:dyDescent="0.25">
      <c r="A11537">
        <v>101480650</v>
      </c>
      <c r="B11537" t="s">
        <v>3629</v>
      </c>
      <c r="C11537" t="s">
        <v>648</v>
      </c>
      <c r="G11537" t="s">
        <v>25566</v>
      </c>
      <c r="H11537" t="s">
        <v>1402</v>
      </c>
      <c r="I11537" t="s">
        <v>38</v>
      </c>
      <c r="J11537">
        <v>77062</v>
      </c>
      <c r="K11537">
        <v>5364</v>
      </c>
      <c r="L11537" t="s">
        <v>23</v>
      </c>
      <c r="M11537" t="s">
        <v>25566</v>
      </c>
      <c r="N11537" t="s">
        <v>1402</v>
      </c>
      <c r="O11537" t="s">
        <v>38</v>
      </c>
      <c r="P11537">
        <v>77062</v>
      </c>
      <c r="Q11537">
        <v>5364</v>
      </c>
      <c r="R11537" t="s">
        <v>23</v>
      </c>
      <c r="S11537" s="1" t="s">
        <v>34218</v>
      </c>
    </row>
    <row r="11538" spans="1:19" x14ac:dyDescent="0.25">
      <c r="A11538">
        <v>101451552</v>
      </c>
      <c r="B11538" t="s">
        <v>3565</v>
      </c>
      <c r="C11538" t="s">
        <v>2653</v>
      </c>
      <c r="G11538" t="s">
        <v>25567</v>
      </c>
      <c r="H11538" t="s">
        <v>393</v>
      </c>
      <c r="I11538" t="s">
        <v>71</v>
      </c>
      <c r="J11538">
        <v>80209</v>
      </c>
      <c r="K11538">
        <v>4412</v>
      </c>
      <c r="L11538" t="s">
        <v>23</v>
      </c>
      <c r="M11538" t="s">
        <v>25567</v>
      </c>
      <c r="N11538" t="s">
        <v>393</v>
      </c>
      <c r="O11538" t="s">
        <v>71</v>
      </c>
      <c r="P11538">
        <v>80209</v>
      </c>
      <c r="Q11538">
        <v>4412</v>
      </c>
      <c r="R11538" t="s">
        <v>23</v>
      </c>
      <c r="S11538" s="1" t="s">
        <v>34218</v>
      </c>
    </row>
    <row r="11539" spans="1:19" x14ac:dyDescent="0.25">
      <c r="A11539">
        <v>101452979</v>
      </c>
      <c r="B11539" t="s">
        <v>25568</v>
      </c>
      <c r="C11539" t="s">
        <v>2436</v>
      </c>
      <c r="G11539" t="s">
        <v>25569</v>
      </c>
      <c r="H11539" t="s">
        <v>25570</v>
      </c>
      <c r="I11539" t="s">
        <v>565</v>
      </c>
      <c r="J11539">
        <v>50581</v>
      </c>
      <c r="K11539">
        <v>1079</v>
      </c>
      <c r="L11539" t="s">
        <v>23</v>
      </c>
      <c r="M11539" t="s">
        <v>25569</v>
      </c>
      <c r="N11539" t="s">
        <v>25570</v>
      </c>
      <c r="O11539" t="s">
        <v>565</v>
      </c>
      <c r="P11539">
        <v>50581</v>
      </c>
      <c r="Q11539">
        <v>1079</v>
      </c>
      <c r="R11539" t="s">
        <v>23</v>
      </c>
      <c r="S11539" s="1" t="s">
        <v>34218</v>
      </c>
    </row>
    <row r="11540" spans="1:19" x14ac:dyDescent="0.25">
      <c r="A11540">
        <v>101465768</v>
      </c>
      <c r="B11540" t="s">
        <v>10951</v>
      </c>
      <c r="C11540" t="s">
        <v>123</v>
      </c>
      <c r="G11540">
        <v>12828</v>
      </c>
      <c r="H11540" t="s">
        <v>25571</v>
      </c>
      <c r="I11540" t="s">
        <v>117</v>
      </c>
      <c r="J11540">
        <v>12828</v>
      </c>
      <c r="L11540" t="s">
        <v>23</v>
      </c>
      <c r="M11540">
        <v>12828</v>
      </c>
      <c r="N11540" t="s">
        <v>25571</v>
      </c>
      <c r="O11540" t="s">
        <v>117</v>
      </c>
      <c r="P11540">
        <v>12828</v>
      </c>
      <c r="R11540" t="s">
        <v>23</v>
      </c>
      <c r="S11540" s="1" t="s">
        <v>34218</v>
      </c>
    </row>
    <row r="11541" spans="1:19" x14ac:dyDescent="0.25">
      <c r="A11541">
        <v>100584596</v>
      </c>
      <c r="B11541" t="s">
        <v>7962</v>
      </c>
      <c r="C11541" t="s">
        <v>25</v>
      </c>
      <c r="G11541" t="s">
        <v>25572</v>
      </c>
      <c r="H11541" t="s">
        <v>25573</v>
      </c>
      <c r="I11541" t="s">
        <v>117</v>
      </c>
      <c r="J11541">
        <v>12473</v>
      </c>
      <c r="K11541">
        <v>5618</v>
      </c>
      <c r="L11541" t="s">
        <v>23</v>
      </c>
      <c r="M11541" t="s">
        <v>25572</v>
      </c>
      <c r="N11541" t="s">
        <v>25573</v>
      </c>
      <c r="O11541" t="s">
        <v>117</v>
      </c>
      <c r="P11541">
        <v>12473</v>
      </c>
      <c r="Q11541">
        <v>5618</v>
      </c>
      <c r="R11541" t="s">
        <v>23</v>
      </c>
      <c r="S11541" s="1" t="s">
        <v>34218</v>
      </c>
    </row>
    <row r="11542" spans="1:19" x14ac:dyDescent="0.25">
      <c r="A11542">
        <v>101474407</v>
      </c>
      <c r="B11542" t="s">
        <v>25574</v>
      </c>
      <c r="C11542" t="s">
        <v>2127</v>
      </c>
      <c r="G11542" t="s">
        <v>25575</v>
      </c>
      <c r="H11542" t="s">
        <v>1439</v>
      </c>
      <c r="I11542" t="s">
        <v>365</v>
      </c>
      <c r="J11542">
        <v>85747</v>
      </c>
      <c r="K11542">
        <v>5744</v>
      </c>
      <c r="L11542" t="s">
        <v>23</v>
      </c>
      <c r="M11542" t="s">
        <v>25575</v>
      </c>
      <c r="N11542" t="s">
        <v>1439</v>
      </c>
      <c r="O11542" t="s">
        <v>365</v>
      </c>
      <c r="P11542">
        <v>85747</v>
      </c>
      <c r="Q11542">
        <v>5744</v>
      </c>
      <c r="R11542" t="s">
        <v>23</v>
      </c>
      <c r="S11542" s="1" t="s">
        <v>34218</v>
      </c>
    </row>
    <row r="11543" spans="1:19" x14ac:dyDescent="0.25">
      <c r="A11543">
        <v>101426925</v>
      </c>
      <c r="B11543" t="s">
        <v>25576</v>
      </c>
      <c r="C11543" t="s">
        <v>4926</v>
      </c>
      <c r="G11543" t="s">
        <v>25577</v>
      </c>
      <c r="H11543" t="s">
        <v>25578</v>
      </c>
      <c r="I11543" t="s">
        <v>22</v>
      </c>
      <c r="J11543" t="s">
        <v>25579</v>
      </c>
      <c r="K11543">
        <v>4518</v>
      </c>
      <c r="L11543" t="s">
        <v>23</v>
      </c>
      <c r="M11543" t="s">
        <v>25577</v>
      </c>
      <c r="N11543" t="s">
        <v>25578</v>
      </c>
      <c r="O11543" t="s">
        <v>22</v>
      </c>
      <c r="P11543" t="s">
        <v>25579</v>
      </c>
      <c r="Q11543">
        <v>4518</v>
      </c>
      <c r="R11543" t="s">
        <v>23</v>
      </c>
      <c r="S11543" s="1" t="s">
        <v>34218</v>
      </c>
    </row>
    <row r="11544" spans="1:19" x14ac:dyDescent="0.25">
      <c r="A11544">
        <v>101164951</v>
      </c>
      <c r="B11544" t="s">
        <v>25580</v>
      </c>
      <c r="C11544" t="s">
        <v>205</v>
      </c>
      <c r="G11544" t="s">
        <v>25581</v>
      </c>
      <c r="H11544" t="s">
        <v>1080</v>
      </c>
      <c r="I11544" t="s">
        <v>236</v>
      </c>
      <c r="J11544">
        <v>1702</v>
      </c>
      <c r="L11544" t="s">
        <v>23</v>
      </c>
      <c r="M11544" t="s">
        <v>25581</v>
      </c>
      <c r="N11544" t="s">
        <v>1080</v>
      </c>
      <c r="O11544" t="s">
        <v>236</v>
      </c>
      <c r="P11544">
        <v>1702</v>
      </c>
      <c r="R11544" t="s">
        <v>23</v>
      </c>
      <c r="S11544" s="1" t="s">
        <v>34218</v>
      </c>
    </row>
    <row r="11545" spans="1:19" x14ac:dyDescent="0.25">
      <c r="A11545">
        <v>100524377</v>
      </c>
      <c r="B11545" t="s">
        <v>25582</v>
      </c>
      <c r="C11545" t="s">
        <v>25583</v>
      </c>
      <c r="G11545" t="s">
        <v>25584</v>
      </c>
      <c r="H11545" t="s">
        <v>15158</v>
      </c>
      <c r="I11545" t="s">
        <v>2566</v>
      </c>
      <c r="J11545">
        <v>10433</v>
      </c>
      <c r="L11545" t="s">
        <v>23</v>
      </c>
      <c r="M11545" t="s">
        <v>25584</v>
      </c>
      <c r="N11545" t="s">
        <v>15158</v>
      </c>
      <c r="O11545" t="s">
        <v>2566</v>
      </c>
      <c r="P11545">
        <v>10433</v>
      </c>
      <c r="R11545" t="s">
        <v>23</v>
      </c>
      <c r="S11545" s="1" t="s">
        <v>34218</v>
      </c>
    </row>
    <row r="11546" spans="1:19" x14ac:dyDescent="0.25">
      <c r="A11546">
        <v>100638790</v>
      </c>
      <c r="B11546" t="s">
        <v>11117</v>
      </c>
      <c r="C11546" t="s">
        <v>25585</v>
      </c>
      <c r="G11546" t="s">
        <v>25586</v>
      </c>
      <c r="H11546" t="s">
        <v>3372</v>
      </c>
      <c r="I11546" t="s">
        <v>38</v>
      </c>
      <c r="J11546">
        <v>79117</v>
      </c>
      <c r="L11546" t="s">
        <v>23</v>
      </c>
      <c r="M11546" t="s">
        <v>25586</v>
      </c>
      <c r="N11546" t="s">
        <v>3372</v>
      </c>
      <c r="O11546" t="s">
        <v>38</v>
      </c>
      <c r="P11546">
        <v>79117</v>
      </c>
      <c r="R11546" t="s">
        <v>23</v>
      </c>
      <c r="S11546" s="1" t="s">
        <v>34218</v>
      </c>
    </row>
    <row r="11547" spans="1:19" x14ac:dyDescent="0.25">
      <c r="A11547">
        <v>101465271</v>
      </c>
      <c r="B11547" t="s">
        <v>21551</v>
      </c>
      <c r="C11547" t="s">
        <v>119</v>
      </c>
      <c r="G11547" t="s">
        <v>25587</v>
      </c>
      <c r="H11547" t="s">
        <v>9013</v>
      </c>
      <c r="I11547" t="s">
        <v>1482</v>
      </c>
      <c r="J11547">
        <v>29605</v>
      </c>
      <c r="K11547">
        <v>1223</v>
      </c>
      <c r="L11547" t="s">
        <v>23</v>
      </c>
      <c r="M11547" t="s">
        <v>25587</v>
      </c>
      <c r="N11547" t="s">
        <v>9013</v>
      </c>
      <c r="O11547" t="s">
        <v>1482</v>
      </c>
      <c r="P11547">
        <v>29605</v>
      </c>
      <c r="Q11547">
        <v>1223</v>
      </c>
      <c r="R11547" t="s">
        <v>23</v>
      </c>
      <c r="S11547" s="1" t="s">
        <v>34218</v>
      </c>
    </row>
    <row r="11548" spans="1:19" x14ac:dyDescent="0.25">
      <c r="A11548">
        <v>101299988</v>
      </c>
      <c r="B11548" t="s">
        <v>25588</v>
      </c>
      <c r="C11548" t="s">
        <v>403</v>
      </c>
      <c r="G11548" t="s">
        <v>25589</v>
      </c>
      <c r="H11548" t="s">
        <v>3880</v>
      </c>
      <c r="I11548" t="s">
        <v>22</v>
      </c>
      <c r="J11548">
        <v>95688</v>
      </c>
      <c r="K11548">
        <v>2827</v>
      </c>
      <c r="L11548" t="s">
        <v>23</v>
      </c>
      <c r="M11548" t="s">
        <v>25589</v>
      </c>
      <c r="N11548" t="s">
        <v>3880</v>
      </c>
      <c r="O11548" t="s">
        <v>22</v>
      </c>
      <c r="P11548">
        <v>95688</v>
      </c>
      <c r="Q11548">
        <v>2827</v>
      </c>
      <c r="R11548" t="s">
        <v>23</v>
      </c>
      <c r="S11548" s="1" t="s">
        <v>34218</v>
      </c>
    </row>
    <row r="11549" spans="1:19" x14ac:dyDescent="0.25">
      <c r="A11549">
        <v>101425237</v>
      </c>
      <c r="B11549" t="s">
        <v>2974</v>
      </c>
      <c r="C11549" t="s">
        <v>30</v>
      </c>
      <c r="G11549" t="s">
        <v>25590</v>
      </c>
      <c r="H11549" t="s">
        <v>10959</v>
      </c>
      <c r="I11549" t="s">
        <v>255</v>
      </c>
      <c r="J11549">
        <v>22801</v>
      </c>
      <c r="K11549">
        <v>4923</v>
      </c>
      <c r="L11549" t="s">
        <v>23</v>
      </c>
      <c r="M11549" t="s">
        <v>25590</v>
      </c>
      <c r="N11549" t="s">
        <v>10959</v>
      </c>
      <c r="O11549" t="s">
        <v>255</v>
      </c>
      <c r="P11549">
        <v>22801</v>
      </c>
      <c r="Q11549">
        <v>4923</v>
      </c>
      <c r="R11549" t="s">
        <v>23</v>
      </c>
      <c r="S11549" s="1" t="s">
        <v>34218</v>
      </c>
    </row>
    <row r="11550" spans="1:19" x14ac:dyDescent="0.25">
      <c r="A11550">
        <v>101464889</v>
      </c>
      <c r="B11550" t="s">
        <v>11752</v>
      </c>
      <c r="C11550" t="s">
        <v>25591</v>
      </c>
      <c r="G11550" t="s">
        <v>25592</v>
      </c>
      <c r="H11550" t="s">
        <v>254</v>
      </c>
      <c r="I11550" t="s">
        <v>255</v>
      </c>
      <c r="J11550">
        <v>22903</v>
      </c>
      <c r="K11550">
        <v>7372</v>
      </c>
      <c r="L11550" t="s">
        <v>23</v>
      </c>
      <c r="M11550" t="s">
        <v>25592</v>
      </c>
      <c r="N11550" t="s">
        <v>254</v>
      </c>
      <c r="O11550" t="s">
        <v>255</v>
      </c>
      <c r="P11550">
        <v>22903</v>
      </c>
      <c r="Q11550">
        <v>7372</v>
      </c>
      <c r="R11550" t="s">
        <v>23</v>
      </c>
      <c r="S11550" s="1" t="s">
        <v>34218</v>
      </c>
    </row>
    <row r="11551" spans="1:19" x14ac:dyDescent="0.25">
      <c r="A11551">
        <v>100629769</v>
      </c>
      <c r="B11551" t="s">
        <v>734</v>
      </c>
      <c r="C11551" t="s">
        <v>4719</v>
      </c>
      <c r="G11551" t="s">
        <v>25593</v>
      </c>
      <c r="H11551" t="s">
        <v>4245</v>
      </c>
      <c r="I11551" t="s">
        <v>250</v>
      </c>
      <c r="J11551">
        <v>8317</v>
      </c>
      <c r="L11551" t="s">
        <v>23</v>
      </c>
      <c r="M11551" t="s">
        <v>25593</v>
      </c>
      <c r="N11551" t="s">
        <v>4245</v>
      </c>
      <c r="O11551" t="s">
        <v>250</v>
      </c>
      <c r="P11551">
        <v>8317</v>
      </c>
      <c r="R11551" t="s">
        <v>23</v>
      </c>
      <c r="S11551" s="1" t="s">
        <v>34218</v>
      </c>
    </row>
    <row r="11552" spans="1:19" x14ac:dyDescent="0.25">
      <c r="A11552">
        <v>101351490</v>
      </c>
      <c r="B11552" t="s">
        <v>25594</v>
      </c>
      <c r="C11552" t="s">
        <v>5822</v>
      </c>
      <c r="G11552" t="s">
        <v>25595</v>
      </c>
      <c r="H11552" t="s">
        <v>3129</v>
      </c>
      <c r="I11552" t="s">
        <v>84</v>
      </c>
      <c r="J11552">
        <v>99208</v>
      </c>
      <c r="K11552">
        <v>8791</v>
      </c>
      <c r="L11552" t="s">
        <v>23</v>
      </c>
      <c r="M11552" t="s">
        <v>25595</v>
      </c>
      <c r="N11552" t="s">
        <v>3129</v>
      </c>
      <c r="O11552" t="s">
        <v>84</v>
      </c>
      <c r="P11552">
        <v>99208</v>
      </c>
      <c r="Q11552">
        <v>8791</v>
      </c>
      <c r="R11552" t="s">
        <v>23</v>
      </c>
      <c r="S11552" s="1" t="s">
        <v>34218</v>
      </c>
    </row>
    <row r="11553" spans="1:19" x14ac:dyDescent="0.25">
      <c r="A11553">
        <v>101453623</v>
      </c>
      <c r="B11553" t="s">
        <v>744</v>
      </c>
      <c r="C11553" t="s">
        <v>221</v>
      </c>
      <c r="G11553" t="s">
        <v>25596</v>
      </c>
      <c r="H11553" t="s">
        <v>16591</v>
      </c>
      <c r="I11553" t="s">
        <v>140</v>
      </c>
      <c r="J11553">
        <v>49079</v>
      </c>
      <c r="K11553">
        <v>9667</v>
      </c>
      <c r="L11553" t="s">
        <v>23</v>
      </c>
      <c r="M11553" t="s">
        <v>25596</v>
      </c>
      <c r="N11553" t="s">
        <v>16591</v>
      </c>
      <c r="O11553" t="s">
        <v>140</v>
      </c>
      <c r="P11553">
        <v>49079</v>
      </c>
      <c r="Q11553">
        <v>9667</v>
      </c>
      <c r="R11553" t="s">
        <v>23</v>
      </c>
      <c r="S11553" s="1" t="s">
        <v>34218</v>
      </c>
    </row>
    <row r="11554" spans="1:19" x14ac:dyDescent="0.25">
      <c r="A11554">
        <v>100582635</v>
      </c>
      <c r="B11554" t="s">
        <v>916</v>
      </c>
      <c r="C11554" t="s">
        <v>5711</v>
      </c>
      <c r="G11554" t="s">
        <v>25597</v>
      </c>
      <c r="H11554" t="s">
        <v>1985</v>
      </c>
      <c r="I11554" t="s">
        <v>71</v>
      </c>
      <c r="J11554">
        <v>80918</v>
      </c>
      <c r="K11554">
        <v>3823</v>
      </c>
      <c r="L11554" t="s">
        <v>23</v>
      </c>
      <c r="M11554" t="s">
        <v>25597</v>
      </c>
      <c r="N11554" t="s">
        <v>1985</v>
      </c>
      <c r="O11554" t="s">
        <v>71</v>
      </c>
      <c r="P11554">
        <v>80918</v>
      </c>
      <c r="Q11554">
        <v>3823</v>
      </c>
      <c r="R11554" t="s">
        <v>23</v>
      </c>
      <c r="S11554" s="1" t="s">
        <v>34218</v>
      </c>
    </row>
    <row r="11555" spans="1:19" x14ac:dyDescent="0.25">
      <c r="A11555">
        <v>101406400</v>
      </c>
      <c r="B11555" t="s">
        <v>25598</v>
      </c>
      <c r="C11555" t="s">
        <v>25599</v>
      </c>
      <c r="G11555" t="s">
        <v>25600</v>
      </c>
      <c r="H11555" t="s">
        <v>521</v>
      </c>
      <c r="I11555" t="s">
        <v>22</v>
      </c>
      <c r="J11555">
        <v>94545</v>
      </c>
      <c r="K11555">
        <v>1508</v>
      </c>
      <c r="L11555" t="s">
        <v>23</v>
      </c>
      <c r="M11555" t="s">
        <v>25600</v>
      </c>
      <c r="N11555" t="s">
        <v>521</v>
      </c>
      <c r="O11555" t="s">
        <v>22</v>
      </c>
      <c r="P11555">
        <v>94545</v>
      </c>
      <c r="Q11555">
        <v>1508</v>
      </c>
      <c r="R11555" t="s">
        <v>23</v>
      </c>
      <c r="S11555" s="1" t="s">
        <v>34218</v>
      </c>
    </row>
    <row r="11556" spans="1:19" x14ac:dyDescent="0.25">
      <c r="A11556">
        <v>101258406</v>
      </c>
      <c r="B11556" t="s">
        <v>25601</v>
      </c>
      <c r="C11556" t="s">
        <v>1616</v>
      </c>
      <c r="G11556" t="s">
        <v>25602</v>
      </c>
      <c r="H11556" t="s">
        <v>3186</v>
      </c>
      <c r="I11556" t="s">
        <v>22</v>
      </c>
      <c r="J11556">
        <v>90603</v>
      </c>
      <c r="K11556">
        <v>1649</v>
      </c>
      <c r="L11556" t="s">
        <v>23</v>
      </c>
      <c r="M11556" t="s">
        <v>25602</v>
      </c>
      <c r="N11556" t="s">
        <v>3186</v>
      </c>
      <c r="O11556" t="s">
        <v>22</v>
      </c>
      <c r="P11556">
        <v>90603</v>
      </c>
      <c r="Q11556">
        <v>1649</v>
      </c>
      <c r="R11556" t="s">
        <v>23</v>
      </c>
      <c r="S11556" s="1" t="s">
        <v>34218</v>
      </c>
    </row>
    <row r="11557" spans="1:19" x14ac:dyDescent="0.25">
      <c r="A11557">
        <v>101451281</v>
      </c>
      <c r="B11557" t="s">
        <v>3266</v>
      </c>
      <c r="C11557" t="s">
        <v>25603</v>
      </c>
      <c r="G11557" t="s">
        <v>25604</v>
      </c>
      <c r="H11557" t="s">
        <v>3884</v>
      </c>
      <c r="I11557" t="s">
        <v>84</v>
      </c>
      <c r="J11557">
        <v>98260</v>
      </c>
      <c r="L11557" t="s">
        <v>23</v>
      </c>
      <c r="M11557" t="s">
        <v>25604</v>
      </c>
      <c r="N11557" t="s">
        <v>3884</v>
      </c>
      <c r="O11557" t="s">
        <v>84</v>
      </c>
      <c r="P11557">
        <v>98260</v>
      </c>
      <c r="R11557" t="s">
        <v>23</v>
      </c>
      <c r="S11557" s="1" t="s">
        <v>34218</v>
      </c>
    </row>
    <row r="11558" spans="1:19" x14ac:dyDescent="0.25">
      <c r="A11558">
        <v>101430828</v>
      </c>
      <c r="B11558" t="s">
        <v>25605</v>
      </c>
      <c r="C11558" t="s">
        <v>25606</v>
      </c>
      <c r="G11558" t="s">
        <v>25607</v>
      </c>
      <c r="H11558" t="s">
        <v>25608</v>
      </c>
      <c r="I11558" t="s">
        <v>22</v>
      </c>
      <c r="J11558">
        <v>92397</v>
      </c>
      <c r="K11558">
        <v>132</v>
      </c>
      <c r="L11558" t="s">
        <v>23</v>
      </c>
      <c r="M11558" t="s">
        <v>25607</v>
      </c>
      <c r="N11558" t="s">
        <v>25608</v>
      </c>
      <c r="O11558" t="s">
        <v>22</v>
      </c>
      <c r="P11558">
        <v>92397</v>
      </c>
      <c r="Q11558">
        <v>132</v>
      </c>
      <c r="R11558" t="s">
        <v>23</v>
      </c>
      <c r="S11558" s="1" t="s">
        <v>34218</v>
      </c>
    </row>
    <row r="11559" spans="1:19" x14ac:dyDescent="0.25">
      <c r="A11559">
        <v>101249190</v>
      </c>
      <c r="B11559" t="s">
        <v>8475</v>
      </c>
      <c r="C11559" t="s">
        <v>233</v>
      </c>
      <c r="G11559" t="s">
        <v>25609</v>
      </c>
      <c r="H11559" t="s">
        <v>11379</v>
      </c>
      <c r="I11559" t="s">
        <v>2566</v>
      </c>
      <c r="J11559">
        <v>99504</v>
      </c>
      <c r="K11559">
        <v>4538</v>
      </c>
      <c r="L11559" t="s">
        <v>23</v>
      </c>
      <c r="M11559" t="s">
        <v>25609</v>
      </c>
      <c r="N11559" t="s">
        <v>11379</v>
      </c>
      <c r="O11559" t="s">
        <v>2566</v>
      </c>
      <c r="P11559">
        <v>99504</v>
      </c>
      <c r="Q11559">
        <v>4538</v>
      </c>
      <c r="R11559" t="s">
        <v>23</v>
      </c>
      <c r="S11559" s="1" t="s">
        <v>34218</v>
      </c>
    </row>
    <row r="11560" spans="1:19" x14ac:dyDescent="0.25">
      <c r="A11560">
        <v>101343262</v>
      </c>
      <c r="B11560" t="s">
        <v>282</v>
      </c>
      <c r="C11560" t="s">
        <v>1327</v>
      </c>
      <c r="G11560" t="s">
        <v>25610</v>
      </c>
      <c r="H11560" t="s">
        <v>9229</v>
      </c>
      <c r="I11560" t="s">
        <v>52</v>
      </c>
      <c r="J11560">
        <v>33908</v>
      </c>
      <c r="K11560">
        <v>2898</v>
      </c>
      <c r="L11560" t="s">
        <v>23</v>
      </c>
      <c r="M11560" t="s">
        <v>25610</v>
      </c>
      <c r="N11560" t="s">
        <v>9229</v>
      </c>
      <c r="O11560" t="s">
        <v>52</v>
      </c>
      <c r="P11560">
        <v>33908</v>
      </c>
      <c r="Q11560">
        <v>2898</v>
      </c>
      <c r="R11560" t="s">
        <v>23</v>
      </c>
      <c r="S11560" s="1" t="s">
        <v>34218</v>
      </c>
    </row>
    <row r="11561" spans="1:19" x14ac:dyDescent="0.25">
      <c r="A11561">
        <v>101013687</v>
      </c>
      <c r="B11561" t="s">
        <v>25611</v>
      </c>
      <c r="C11561" t="s">
        <v>25612</v>
      </c>
      <c r="G11561" t="s">
        <v>25613</v>
      </c>
      <c r="H11561" t="s">
        <v>2434</v>
      </c>
      <c r="I11561" t="s">
        <v>161</v>
      </c>
      <c r="J11561">
        <v>6511</v>
      </c>
      <c r="K11561">
        <v>5311</v>
      </c>
      <c r="L11561" t="s">
        <v>23</v>
      </c>
      <c r="M11561" t="s">
        <v>25613</v>
      </c>
      <c r="N11561" t="s">
        <v>2434</v>
      </c>
      <c r="O11561" t="s">
        <v>161</v>
      </c>
      <c r="P11561">
        <v>6511</v>
      </c>
      <c r="Q11561">
        <v>5311</v>
      </c>
      <c r="R11561" t="s">
        <v>23</v>
      </c>
      <c r="S11561" s="1" t="s">
        <v>34218</v>
      </c>
    </row>
    <row r="11562" spans="1:19" x14ac:dyDescent="0.25">
      <c r="A11562">
        <v>101188133</v>
      </c>
      <c r="B11562" t="s">
        <v>3457</v>
      </c>
      <c r="C11562" t="s">
        <v>1278</v>
      </c>
      <c r="G11562" t="s">
        <v>25614</v>
      </c>
      <c r="H11562" t="s">
        <v>25615</v>
      </c>
      <c r="I11562" t="s">
        <v>1000</v>
      </c>
      <c r="J11562">
        <v>59864</v>
      </c>
      <c r="K11562">
        <v>2835</v>
      </c>
      <c r="L11562" t="s">
        <v>23</v>
      </c>
      <c r="M11562" t="s">
        <v>25614</v>
      </c>
      <c r="N11562" t="s">
        <v>25615</v>
      </c>
      <c r="O11562" t="s">
        <v>1000</v>
      </c>
      <c r="P11562">
        <v>59864</v>
      </c>
      <c r="Q11562">
        <v>2835</v>
      </c>
      <c r="R11562" t="s">
        <v>23</v>
      </c>
      <c r="S11562" s="1" t="s">
        <v>34218</v>
      </c>
    </row>
    <row r="11563" spans="1:19" x14ac:dyDescent="0.25">
      <c r="A11563">
        <v>101377362</v>
      </c>
      <c r="B11563" t="s">
        <v>1502</v>
      </c>
      <c r="C11563" t="s">
        <v>4943</v>
      </c>
      <c r="G11563" t="s">
        <v>25616</v>
      </c>
      <c r="H11563" t="s">
        <v>12820</v>
      </c>
      <c r="I11563" t="s">
        <v>161</v>
      </c>
      <c r="J11563">
        <v>6830</v>
      </c>
      <c r="K11563">
        <v>5424</v>
      </c>
      <c r="L11563" t="s">
        <v>23</v>
      </c>
      <c r="M11563" t="s">
        <v>25616</v>
      </c>
      <c r="N11563" t="s">
        <v>12820</v>
      </c>
      <c r="O11563" t="s">
        <v>161</v>
      </c>
      <c r="P11563">
        <v>6830</v>
      </c>
      <c r="Q11563">
        <v>5424</v>
      </c>
      <c r="R11563" t="s">
        <v>23</v>
      </c>
      <c r="S11563" s="1" t="s">
        <v>34218</v>
      </c>
    </row>
    <row r="11564" spans="1:19" x14ac:dyDescent="0.25">
      <c r="A11564">
        <v>101425822</v>
      </c>
      <c r="B11564" t="s">
        <v>25617</v>
      </c>
      <c r="C11564" t="s">
        <v>1906</v>
      </c>
      <c r="G11564" t="s">
        <v>25618</v>
      </c>
      <c r="H11564" t="s">
        <v>1214</v>
      </c>
      <c r="I11564" t="s">
        <v>140</v>
      </c>
      <c r="J11564">
        <v>48313</v>
      </c>
      <c r="K11564">
        <v>1352</v>
      </c>
      <c r="L11564" t="s">
        <v>23</v>
      </c>
      <c r="M11564" t="s">
        <v>25618</v>
      </c>
      <c r="N11564" t="s">
        <v>1214</v>
      </c>
      <c r="O11564" t="s">
        <v>140</v>
      </c>
      <c r="P11564">
        <v>48313</v>
      </c>
      <c r="Q11564">
        <v>1352</v>
      </c>
      <c r="R11564" t="s">
        <v>23</v>
      </c>
      <c r="S11564" s="1" t="s">
        <v>34218</v>
      </c>
    </row>
    <row r="11565" spans="1:19" x14ac:dyDescent="0.25">
      <c r="A11565">
        <v>101342735</v>
      </c>
      <c r="B11565" t="s">
        <v>25619</v>
      </c>
      <c r="C11565" t="s">
        <v>274</v>
      </c>
      <c r="G11565" t="s">
        <v>15126</v>
      </c>
      <c r="H11565" t="s">
        <v>423</v>
      </c>
      <c r="I11565" t="s">
        <v>71</v>
      </c>
      <c r="J11565">
        <v>80304</v>
      </c>
      <c r="K11565">
        <v>3006</v>
      </c>
      <c r="L11565" t="s">
        <v>23</v>
      </c>
      <c r="M11565" t="s">
        <v>15126</v>
      </c>
      <c r="N11565" t="s">
        <v>423</v>
      </c>
      <c r="O11565" t="s">
        <v>71</v>
      </c>
      <c r="P11565">
        <v>80304</v>
      </c>
      <c r="Q11565">
        <v>3006</v>
      </c>
      <c r="R11565" t="s">
        <v>23</v>
      </c>
      <c r="S11565" s="1" t="s">
        <v>34218</v>
      </c>
    </row>
    <row r="11566" spans="1:19" x14ac:dyDescent="0.25">
      <c r="A11566">
        <v>101470951</v>
      </c>
      <c r="B11566" t="s">
        <v>14772</v>
      </c>
      <c r="C11566" t="s">
        <v>11995</v>
      </c>
      <c r="G11566" t="s">
        <v>25620</v>
      </c>
      <c r="H11566" t="s">
        <v>2375</v>
      </c>
      <c r="I11566" t="s">
        <v>100</v>
      </c>
      <c r="J11566">
        <v>53705</v>
      </c>
      <c r="K11566">
        <v>2421</v>
      </c>
      <c r="L11566" t="s">
        <v>23</v>
      </c>
      <c r="M11566" t="s">
        <v>25620</v>
      </c>
      <c r="N11566" t="s">
        <v>2375</v>
      </c>
      <c r="O11566" t="s">
        <v>100</v>
      </c>
      <c r="P11566">
        <v>53705</v>
      </c>
      <c r="Q11566">
        <v>2421</v>
      </c>
      <c r="R11566" t="s">
        <v>23</v>
      </c>
      <c r="S11566" s="1" t="s">
        <v>34218</v>
      </c>
    </row>
    <row r="11567" spans="1:19" x14ac:dyDescent="0.25">
      <c r="A11567">
        <v>101480680</v>
      </c>
      <c r="B11567" t="s">
        <v>11120</v>
      </c>
      <c r="C11567" t="s">
        <v>25621</v>
      </c>
      <c r="G11567" t="s">
        <v>25622</v>
      </c>
      <c r="H11567" t="s">
        <v>10487</v>
      </c>
      <c r="I11567" t="s">
        <v>565</v>
      </c>
      <c r="J11567">
        <v>52405</v>
      </c>
      <c r="K11567">
        <v>2953</v>
      </c>
      <c r="L11567" t="s">
        <v>23</v>
      </c>
      <c r="M11567" t="s">
        <v>25622</v>
      </c>
      <c r="N11567" t="s">
        <v>10487</v>
      </c>
      <c r="O11567" t="s">
        <v>565</v>
      </c>
      <c r="P11567">
        <v>52405</v>
      </c>
      <c r="Q11567">
        <v>2953</v>
      </c>
      <c r="R11567" t="s">
        <v>23</v>
      </c>
      <c r="S11567" s="1" t="s">
        <v>34218</v>
      </c>
    </row>
    <row r="11568" spans="1:19" x14ac:dyDescent="0.25">
      <c r="A11568">
        <v>101480681</v>
      </c>
      <c r="B11568" t="s">
        <v>2888</v>
      </c>
      <c r="C11568" t="s">
        <v>707</v>
      </c>
      <c r="G11568" t="s">
        <v>2889</v>
      </c>
      <c r="H11568" t="s">
        <v>1439</v>
      </c>
      <c r="I11568" t="s">
        <v>365</v>
      </c>
      <c r="J11568">
        <v>85719</v>
      </c>
      <c r="K11568">
        <v>2780</v>
      </c>
      <c r="L11568" t="s">
        <v>23</v>
      </c>
      <c r="M11568" t="s">
        <v>2889</v>
      </c>
      <c r="N11568" t="s">
        <v>1439</v>
      </c>
      <c r="O11568" t="s">
        <v>365</v>
      </c>
      <c r="P11568">
        <v>85719</v>
      </c>
      <c r="Q11568">
        <v>2780</v>
      </c>
      <c r="R11568" t="s">
        <v>23</v>
      </c>
      <c r="S11568" s="1" t="s">
        <v>34218</v>
      </c>
    </row>
    <row r="11569" spans="1:19" x14ac:dyDescent="0.25">
      <c r="A11569">
        <v>101402075</v>
      </c>
      <c r="B11569" t="s">
        <v>5200</v>
      </c>
      <c r="C11569" t="s">
        <v>68</v>
      </c>
      <c r="G11569" t="s">
        <v>21515</v>
      </c>
      <c r="H11569" t="s">
        <v>21516</v>
      </c>
      <c r="I11569" t="s">
        <v>57</v>
      </c>
      <c r="J11569">
        <v>47954</v>
      </c>
      <c r="K11569">
        <v>9347</v>
      </c>
      <c r="L11569" t="s">
        <v>23</v>
      </c>
      <c r="M11569" t="s">
        <v>21515</v>
      </c>
      <c r="N11569" t="s">
        <v>21516</v>
      </c>
      <c r="O11569" t="s">
        <v>57</v>
      </c>
      <c r="P11569">
        <v>47954</v>
      </c>
      <c r="Q11569">
        <v>9347</v>
      </c>
      <c r="R11569" t="s">
        <v>23</v>
      </c>
      <c r="S11569" s="1" t="s">
        <v>34218</v>
      </c>
    </row>
    <row r="11570" spans="1:19" x14ac:dyDescent="0.25">
      <c r="A11570">
        <v>101202402</v>
      </c>
      <c r="B11570" t="s">
        <v>4449</v>
      </c>
      <c r="C11570" t="s">
        <v>25623</v>
      </c>
      <c r="G11570" t="s">
        <v>25624</v>
      </c>
      <c r="H11570" t="s">
        <v>4044</v>
      </c>
      <c r="I11570" t="s">
        <v>38</v>
      </c>
      <c r="J11570">
        <v>75407</v>
      </c>
      <c r="K11570">
        <v>2810</v>
      </c>
      <c r="L11570" t="s">
        <v>23</v>
      </c>
      <c r="M11570" t="s">
        <v>25624</v>
      </c>
      <c r="N11570" t="s">
        <v>4044</v>
      </c>
      <c r="O11570" t="s">
        <v>38</v>
      </c>
      <c r="P11570">
        <v>75407</v>
      </c>
      <c r="Q11570">
        <v>2810</v>
      </c>
      <c r="R11570" t="s">
        <v>23</v>
      </c>
      <c r="S11570" s="1" t="s">
        <v>34218</v>
      </c>
    </row>
    <row r="11571" spans="1:19" x14ac:dyDescent="0.25">
      <c r="A11571">
        <v>101410412</v>
      </c>
      <c r="B11571" t="s">
        <v>25625</v>
      </c>
      <c r="C11571" t="s">
        <v>1327</v>
      </c>
      <c r="G11571" t="s">
        <v>25626</v>
      </c>
      <c r="H11571" t="s">
        <v>1867</v>
      </c>
      <c r="I11571" t="s">
        <v>161</v>
      </c>
      <c r="J11571">
        <v>6249</v>
      </c>
      <c r="L11571" t="s">
        <v>23</v>
      </c>
      <c r="M11571" t="s">
        <v>25626</v>
      </c>
      <c r="N11571" t="s">
        <v>1867</v>
      </c>
      <c r="O11571" t="s">
        <v>161</v>
      </c>
      <c r="P11571">
        <v>6249</v>
      </c>
      <c r="R11571" t="s">
        <v>23</v>
      </c>
      <c r="S11571" s="1" t="s">
        <v>34218</v>
      </c>
    </row>
    <row r="11572" spans="1:19" x14ac:dyDescent="0.25">
      <c r="A11572">
        <v>100943907</v>
      </c>
      <c r="B11572" t="s">
        <v>25627</v>
      </c>
      <c r="C11572" t="s">
        <v>102</v>
      </c>
      <c r="G11572" t="s">
        <v>25628</v>
      </c>
      <c r="H11572" t="s">
        <v>5626</v>
      </c>
      <c r="I11572" t="s">
        <v>100</v>
      </c>
      <c r="J11572">
        <v>54302</v>
      </c>
      <c r="K11572">
        <v>3689</v>
      </c>
      <c r="L11572" t="s">
        <v>23</v>
      </c>
      <c r="M11572" t="s">
        <v>25628</v>
      </c>
      <c r="N11572" t="s">
        <v>5626</v>
      </c>
      <c r="O11572" t="s">
        <v>100</v>
      </c>
      <c r="P11572">
        <v>54302</v>
      </c>
      <c r="Q11572">
        <v>3689</v>
      </c>
      <c r="R11572" t="s">
        <v>23</v>
      </c>
      <c r="S11572" s="1" t="s">
        <v>34218</v>
      </c>
    </row>
    <row r="11573" spans="1:19" x14ac:dyDescent="0.25">
      <c r="A11573">
        <v>101292772</v>
      </c>
      <c r="B11573" t="s">
        <v>25629</v>
      </c>
      <c r="C11573" t="s">
        <v>2512</v>
      </c>
      <c r="G11573" t="s">
        <v>25630</v>
      </c>
      <c r="H11573" t="s">
        <v>4958</v>
      </c>
      <c r="I11573" t="s">
        <v>332</v>
      </c>
      <c r="J11573">
        <v>84020</v>
      </c>
      <c r="K11573">
        <v>9422</v>
      </c>
      <c r="L11573" t="s">
        <v>23</v>
      </c>
      <c r="M11573" t="s">
        <v>25630</v>
      </c>
      <c r="N11573" t="s">
        <v>4958</v>
      </c>
      <c r="O11573" t="s">
        <v>332</v>
      </c>
      <c r="P11573">
        <v>84020</v>
      </c>
      <c r="Q11573">
        <v>9422</v>
      </c>
      <c r="R11573" t="s">
        <v>23</v>
      </c>
      <c r="S11573" s="1" t="s">
        <v>34218</v>
      </c>
    </row>
    <row r="11574" spans="1:19" x14ac:dyDescent="0.25">
      <c r="A11574">
        <v>101474439</v>
      </c>
      <c r="B11574" t="s">
        <v>13205</v>
      </c>
      <c r="C11574" t="s">
        <v>911</v>
      </c>
      <c r="G11574" t="s">
        <v>25631</v>
      </c>
      <c r="H11574" t="s">
        <v>147</v>
      </c>
      <c r="I11574" t="s">
        <v>22</v>
      </c>
      <c r="J11574">
        <v>91104</v>
      </c>
      <c r="K11574">
        <v>3640</v>
      </c>
      <c r="L11574" t="s">
        <v>23</v>
      </c>
      <c r="M11574" t="s">
        <v>25631</v>
      </c>
      <c r="N11574" t="s">
        <v>147</v>
      </c>
      <c r="O11574" t="s">
        <v>22</v>
      </c>
      <c r="P11574">
        <v>91104</v>
      </c>
      <c r="Q11574">
        <v>3640</v>
      </c>
      <c r="R11574" t="s">
        <v>23</v>
      </c>
      <c r="S11574" s="1" t="s">
        <v>34218</v>
      </c>
    </row>
    <row r="11575" spans="1:19" x14ac:dyDescent="0.25">
      <c r="A11575">
        <v>101474448</v>
      </c>
      <c r="B11575" t="s">
        <v>10503</v>
      </c>
      <c r="C11575" t="s">
        <v>25632</v>
      </c>
      <c r="G11575" t="s">
        <v>25633</v>
      </c>
      <c r="H11575" t="s">
        <v>25634</v>
      </c>
      <c r="I11575" t="s">
        <v>914</v>
      </c>
      <c r="J11575">
        <v>37650</v>
      </c>
      <c r="K11575">
        <v>1620</v>
      </c>
      <c r="L11575" t="s">
        <v>23</v>
      </c>
      <c r="M11575" t="s">
        <v>25633</v>
      </c>
      <c r="N11575" t="s">
        <v>25634</v>
      </c>
      <c r="O11575" t="s">
        <v>914</v>
      </c>
      <c r="P11575">
        <v>37650</v>
      </c>
      <c r="Q11575">
        <v>1620</v>
      </c>
      <c r="R11575" t="s">
        <v>23</v>
      </c>
      <c r="S11575" s="1" t="s">
        <v>34218</v>
      </c>
    </row>
    <row r="11576" spans="1:19" x14ac:dyDescent="0.25">
      <c r="A11576">
        <v>101467978</v>
      </c>
      <c r="B11576" t="s">
        <v>4471</v>
      </c>
      <c r="C11576" t="s">
        <v>350</v>
      </c>
      <c r="G11576" t="s">
        <v>25635</v>
      </c>
      <c r="H11576" t="s">
        <v>7002</v>
      </c>
      <c r="I11576" t="s">
        <v>117</v>
      </c>
      <c r="J11576">
        <v>11743</v>
      </c>
      <c r="K11576">
        <v>3627</v>
      </c>
      <c r="L11576" t="s">
        <v>23</v>
      </c>
      <c r="M11576" t="s">
        <v>25635</v>
      </c>
      <c r="N11576" t="s">
        <v>7002</v>
      </c>
      <c r="O11576" t="s">
        <v>117</v>
      </c>
      <c r="P11576">
        <v>11743</v>
      </c>
      <c r="Q11576">
        <v>3627</v>
      </c>
      <c r="R11576" t="s">
        <v>23</v>
      </c>
      <c r="S11576" s="1" t="s">
        <v>34218</v>
      </c>
    </row>
    <row r="11577" spans="1:19" x14ac:dyDescent="0.25">
      <c r="A11577">
        <v>101474462</v>
      </c>
      <c r="B11577" t="s">
        <v>25636</v>
      </c>
      <c r="C11577" t="s">
        <v>4416</v>
      </c>
      <c r="G11577" t="s">
        <v>25637</v>
      </c>
      <c r="H11577" t="s">
        <v>1170</v>
      </c>
      <c r="I11577" t="s">
        <v>135</v>
      </c>
      <c r="J11577">
        <v>60515</v>
      </c>
      <c r="K11577">
        <v>4640</v>
      </c>
      <c r="L11577" t="s">
        <v>23</v>
      </c>
      <c r="M11577" t="s">
        <v>25637</v>
      </c>
      <c r="N11577" t="s">
        <v>1170</v>
      </c>
      <c r="O11577" t="s">
        <v>135</v>
      </c>
      <c r="P11577">
        <v>60515</v>
      </c>
      <c r="Q11577">
        <v>4640</v>
      </c>
      <c r="R11577" t="s">
        <v>23</v>
      </c>
      <c r="S11577" s="1" t="s">
        <v>34218</v>
      </c>
    </row>
    <row r="11578" spans="1:19" x14ac:dyDescent="0.25">
      <c r="A11578">
        <v>100815867</v>
      </c>
      <c r="B11578" t="s">
        <v>1622</v>
      </c>
      <c r="C11578" t="s">
        <v>644</v>
      </c>
      <c r="G11578" t="s">
        <v>25638</v>
      </c>
      <c r="H11578" t="s">
        <v>92</v>
      </c>
      <c r="I11578" t="s">
        <v>84</v>
      </c>
      <c r="J11578">
        <v>98007</v>
      </c>
      <c r="L11578" t="s">
        <v>23</v>
      </c>
      <c r="M11578" t="s">
        <v>25638</v>
      </c>
      <c r="N11578" t="s">
        <v>92</v>
      </c>
      <c r="O11578" t="s">
        <v>84</v>
      </c>
      <c r="P11578">
        <v>98007</v>
      </c>
      <c r="R11578" t="s">
        <v>23</v>
      </c>
      <c r="S11578" s="1" t="s">
        <v>34218</v>
      </c>
    </row>
    <row r="11579" spans="1:19" x14ac:dyDescent="0.25">
      <c r="A11579">
        <v>101087221</v>
      </c>
      <c r="B11579" t="s">
        <v>5569</v>
      </c>
      <c r="C11579" t="s">
        <v>25639</v>
      </c>
      <c r="G11579" t="s">
        <v>25640</v>
      </c>
      <c r="H11579" t="s">
        <v>401</v>
      </c>
      <c r="I11579" t="s">
        <v>117</v>
      </c>
      <c r="J11579">
        <v>12534</v>
      </c>
      <c r="K11579">
        <v>1853</v>
      </c>
      <c r="L11579" t="s">
        <v>23</v>
      </c>
      <c r="M11579" t="s">
        <v>25640</v>
      </c>
      <c r="N11579" t="s">
        <v>401</v>
      </c>
      <c r="O11579" t="s">
        <v>117</v>
      </c>
      <c r="P11579">
        <v>12534</v>
      </c>
      <c r="Q11579">
        <v>1853</v>
      </c>
      <c r="R11579" t="s">
        <v>23</v>
      </c>
      <c r="S11579" s="1" t="s">
        <v>34218</v>
      </c>
    </row>
    <row r="11580" spans="1:19" x14ac:dyDescent="0.25">
      <c r="A11580">
        <v>100990927</v>
      </c>
      <c r="B11580" t="s">
        <v>25641</v>
      </c>
      <c r="C11580" t="s">
        <v>1036</v>
      </c>
      <c r="G11580" t="s">
        <v>25642</v>
      </c>
      <c r="H11580" t="s">
        <v>198</v>
      </c>
      <c r="I11580" t="s">
        <v>22</v>
      </c>
      <c r="J11580">
        <v>92130</v>
      </c>
      <c r="K11580">
        <v>2729</v>
      </c>
      <c r="L11580" t="s">
        <v>23</v>
      </c>
      <c r="M11580" t="s">
        <v>25642</v>
      </c>
      <c r="N11580" t="s">
        <v>198</v>
      </c>
      <c r="O11580" t="s">
        <v>22</v>
      </c>
      <c r="P11580">
        <v>92130</v>
      </c>
      <c r="Q11580">
        <v>2729</v>
      </c>
      <c r="R11580" t="s">
        <v>23</v>
      </c>
      <c r="S11580" s="1" t="s">
        <v>34218</v>
      </c>
    </row>
    <row r="11581" spans="1:19" x14ac:dyDescent="0.25">
      <c r="A11581">
        <v>101451409</v>
      </c>
      <c r="B11581" t="s">
        <v>4449</v>
      </c>
      <c r="C11581" t="s">
        <v>1350</v>
      </c>
      <c r="G11581" t="s">
        <v>25643</v>
      </c>
      <c r="H11581" t="s">
        <v>7846</v>
      </c>
      <c r="I11581" t="s">
        <v>22</v>
      </c>
      <c r="J11581">
        <v>95482</v>
      </c>
      <c r="K11581">
        <v>4678</v>
      </c>
      <c r="L11581" t="s">
        <v>23</v>
      </c>
      <c r="M11581" t="s">
        <v>25643</v>
      </c>
      <c r="N11581" t="s">
        <v>7846</v>
      </c>
      <c r="O11581" t="s">
        <v>22</v>
      </c>
      <c r="P11581">
        <v>95482</v>
      </c>
      <c r="Q11581">
        <v>4678</v>
      </c>
      <c r="R11581" t="s">
        <v>23</v>
      </c>
      <c r="S11581" s="1" t="s">
        <v>34218</v>
      </c>
    </row>
    <row r="11582" spans="1:19" x14ac:dyDescent="0.25">
      <c r="A11582">
        <v>101429115</v>
      </c>
      <c r="B11582" t="s">
        <v>25644</v>
      </c>
      <c r="C11582" t="s">
        <v>12530</v>
      </c>
      <c r="G11582" t="s">
        <v>25645</v>
      </c>
      <c r="H11582" t="s">
        <v>14474</v>
      </c>
      <c r="I11582" t="s">
        <v>52</v>
      </c>
      <c r="J11582">
        <v>33028</v>
      </c>
      <c r="K11582">
        <v>3040</v>
      </c>
      <c r="L11582" t="s">
        <v>23</v>
      </c>
      <c r="M11582" t="s">
        <v>25645</v>
      </c>
      <c r="N11582" t="s">
        <v>14474</v>
      </c>
      <c r="O11582" t="s">
        <v>52</v>
      </c>
      <c r="P11582">
        <v>33028</v>
      </c>
      <c r="Q11582">
        <v>3040</v>
      </c>
      <c r="R11582" t="s">
        <v>23</v>
      </c>
      <c r="S11582" s="1" t="s">
        <v>34218</v>
      </c>
    </row>
    <row r="11583" spans="1:19" x14ac:dyDescent="0.25">
      <c r="A11583">
        <v>101428591</v>
      </c>
      <c r="B11583" t="s">
        <v>25646</v>
      </c>
      <c r="C11583" t="s">
        <v>7979</v>
      </c>
      <c r="G11583" t="s">
        <v>25647</v>
      </c>
      <c r="H11583" t="s">
        <v>7480</v>
      </c>
      <c r="I11583" t="s">
        <v>178</v>
      </c>
      <c r="J11583">
        <v>44907</v>
      </c>
      <c r="K11583">
        <v>2107</v>
      </c>
      <c r="L11583" t="s">
        <v>23</v>
      </c>
      <c r="M11583" t="s">
        <v>25647</v>
      </c>
      <c r="N11583" t="s">
        <v>7480</v>
      </c>
      <c r="O11583" t="s">
        <v>178</v>
      </c>
      <c r="P11583">
        <v>44907</v>
      </c>
      <c r="Q11583">
        <v>2107</v>
      </c>
      <c r="R11583" t="s">
        <v>23</v>
      </c>
      <c r="S11583" s="1" t="s">
        <v>34218</v>
      </c>
    </row>
    <row r="11584" spans="1:19" x14ac:dyDescent="0.25">
      <c r="A11584">
        <v>101300012</v>
      </c>
      <c r="B11584" t="s">
        <v>25648</v>
      </c>
      <c r="C11584" t="s">
        <v>535</v>
      </c>
      <c r="G11584" t="s">
        <v>25649</v>
      </c>
      <c r="H11584" t="s">
        <v>3466</v>
      </c>
      <c r="I11584" t="s">
        <v>255</v>
      </c>
      <c r="J11584">
        <v>23225</v>
      </c>
      <c r="K11584">
        <v>2300</v>
      </c>
      <c r="L11584" t="s">
        <v>23</v>
      </c>
      <c r="M11584" t="s">
        <v>25649</v>
      </c>
      <c r="N11584" t="s">
        <v>3466</v>
      </c>
      <c r="O11584" t="s">
        <v>255</v>
      </c>
      <c r="P11584">
        <v>23225</v>
      </c>
      <c r="Q11584">
        <v>2300</v>
      </c>
      <c r="R11584" t="s">
        <v>23</v>
      </c>
      <c r="S11584" s="1" t="s">
        <v>34218</v>
      </c>
    </row>
    <row r="11585" spans="1:19" x14ac:dyDescent="0.25">
      <c r="A11585">
        <v>101311646</v>
      </c>
      <c r="B11585" t="s">
        <v>4038</v>
      </c>
      <c r="C11585" t="s">
        <v>6226</v>
      </c>
      <c r="G11585" t="s">
        <v>25650</v>
      </c>
      <c r="H11585" t="s">
        <v>2031</v>
      </c>
      <c r="I11585" t="s">
        <v>22</v>
      </c>
      <c r="J11585">
        <v>94061</v>
      </c>
      <c r="K11585">
        <v>4228</v>
      </c>
      <c r="L11585" t="s">
        <v>23</v>
      </c>
      <c r="M11585" t="s">
        <v>25650</v>
      </c>
      <c r="N11585" t="s">
        <v>2031</v>
      </c>
      <c r="O11585" t="s">
        <v>22</v>
      </c>
      <c r="P11585">
        <v>94061</v>
      </c>
      <c r="Q11585">
        <v>4228</v>
      </c>
      <c r="R11585" t="s">
        <v>23</v>
      </c>
      <c r="S11585" s="1" t="s">
        <v>34218</v>
      </c>
    </row>
    <row r="11586" spans="1:19" x14ac:dyDescent="0.25">
      <c r="A11586">
        <v>101266989</v>
      </c>
      <c r="B11586" t="s">
        <v>25651</v>
      </c>
      <c r="C11586" t="s">
        <v>1043</v>
      </c>
      <c r="G11586" t="s">
        <v>25652</v>
      </c>
      <c r="H11586" t="s">
        <v>15829</v>
      </c>
      <c r="I11586" t="s">
        <v>250</v>
      </c>
      <c r="J11586">
        <v>7825</v>
      </c>
      <c r="K11586">
        <v>3822</v>
      </c>
      <c r="L11586" t="s">
        <v>23</v>
      </c>
      <c r="M11586" t="s">
        <v>25652</v>
      </c>
      <c r="N11586" t="s">
        <v>15829</v>
      </c>
      <c r="O11586" t="s">
        <v>250</v>
      </c>
      <c r="P11586">
        <v>7825</v>
      </c>
      <c r="Q11586">
        <v>3822</v>
      </c>
      <c r="R11586" t="s">
        <v>23</v>
      </c>
      <c r="S11586" s="1" t="s">
        <v>34218</v>
      </c>
    </row>
    <row r="11587" spans="1:19" x14ac:dyDescent="0.25">
      <c r="A11587">
        <v>101250444</v>
      </c>
      <c r="B11587" t="s">
        <v>25653</v>
      </c>
      <c r="C11587" t="s">
        <v>25654</v>
      </c>
      <c r="G11587" t="s">
        <v>25655</v>
      </c>
      <c r="H11587" t="s">
        <v>130</v>
      </c>
      <c r="I11587" t="s">
        <v>22</v>
      </c>
      <c r="J11587">
        <v>94131</v>
      </c>
      <c r="K11587">
        <v>1621</v>
      </c>
      <c r="L11587" t="s">
        <v>23</v>
      </c>
      <c r="M11587" t="s">
        <v>25655</v>
      </c>
      <c r="N11587" t="s">
        <v>130</v>
      </c>
      <c r="O11587" t="s">
        <v>22</v>
      </c>
      <c r="P11587">
        <v>94131</v>
      </c>
      <c r="Q11587">
        <v>1621</v>
      </c>
      <c r="R11587" t="s">
        <v>23</v>
      </c>
      <c r="S11587" s="1" t="s">
        <v>34218</v>
      </c>
    </row>
    <row r="11588" spans="1:19" x14ac:dyDescent="0.25">
      <c r="A11588">
        <v>101437196</v>
      </c>
      <c r="B11588" t="s">
        <v>11442</v>
      </c>
      <c r="C11588" t="s">
        <v>2127</v>
      </c>
      <c r="G11588" t="s">
        <v>25656</v>
      </c>
      <c r="H11588" t="s">
        <v>198</v>
      </c>
      <c r="I11588" t="s">
        <v>22</v>
      </c>
      <c r="J11588">
        <v>92117</v>
      </c>
      <c r="K11588">
        <v>3916</v>
      </c>
      <c r="L11588" t="s">
        <v>23</v>
      </c>
      <c r="M11588" t="s">
        <v>25656</v>
      </c>
      <c r="N11588" t="s">
        <v>198</v>
      </c>
      <c r="O11588" t="s">
        <v>22</v>
      </c>
      <c r="P11588">
        <v>92117</v>
      </c>
      <c r="Q11588">
        <v>3916</v>
      </c>
      <c r="R11588" t="s">
        <v>23</v>
      </c>
      <c r="S11588" s="1" t="s">
        <v>34218</v>
      </c>
    </row>
    <row r="11589" spans="1:19" x14ac:dyDescent="0.25">
      <c r="A11589">
        <v>101451956</v>
      </c>
      <c r="B11589" t="s">
        <v>25657</v>
      </c>
      <c r="C11589" t="s">
        <v>14230</v>
      </c>
      <c r="G11589" t="s">
        <v>25658</v>
      </c>
      <c r="H11589" t="s">
        <v>438</v>
      </c>
      <c r="I11589" t="s">
        <v>71</v>
      </c>
      <c r="J11589">
        <v>80501</v>
      </c>
      <c r="K11589">
        <v>5928</v>
      </c>
      <c r="L11589" t="s">
        <v>23</v>
      </c>
      <c r="M11589" t="s">
        <v>25658</v>
      </c>
      <c r="N11589" t="s">
        <v>438</v>
      </c>
      <c r="O11589" t="s">
        <v>71</v>
      </c>
      <c r="P11589">
        <v>80501</v>
      </c>
      <c r="Q11589">
        <v>5928</v>
      </c>
      <c r="R11589" t="s">
        <v>23</v>
      </c>
      <c r="S11589" s="1" t="s">
        <v>34218</v>
      </c>
    </row>
    <row r="11590" spans="1:19" x14ac:dyDescent="0.25">
      <c r="A11590">
        <v>101131692</v>
      </c>
      <c r="B11590" t="s">
        <v>25659</v>
      </c>
      <c r="C11590" t="s">
        <v>3027</v>
      </c>
      <c r="G11590" t="s">
        <v>25660</v>
      </c>
      <c r="H11590" t="s">
        <v>1803</v>
      </c>
      <c r="I11590" t="s">
        <v>135</v>
      </c>
      <c r="J11590">
        <v>60123</v>
      </c>
      <c r="K11590">
        <v>1106</v>
      </c>
      <c r="L11590" t="s">
        <v>23</v>
      </c>
      <c r="M11590" t="s">
        <v>25660</v>
      </c>
      <c r="N11590" t="s">
        <v>1803</v>
      </c>
      <c r="O11590" t="s">
        <v>135</v>
      </c>
      <c r="P11590">
        <v>60123</v>
      </c>
      <c r="Q11590">
        <v>1106</v>
      </c>
      <c r="R11590" t="s">
        <v>23</v>
      </c>
      <c r="S11590" s="1" t="s">
        <v>34218</v>
      </c>
    </row>
    <row r="11591" spans="1:19" x14ac:dyDescent="0.25">
      <c r="A11591">
        <v>101451999</v>
      </c>
      <c r="B11591" t="s">
        <v>25661</v>
      </c>
      <c r="C11591" t="s">
        <v>2411</v>
      </c>
      <c r="G11591" t="s">
        <v>25662</v>
      </c>
      <c r="H11591" t="s">
        <v>3620</v>
      </c>
      <c r="I11591" t="s">
        <v>33</v>
      </c>
      <c r="J11591">
        <v>16301</v>
      </c>
      <c r="K11591">
        <v>2569</v>
      </c>
      <c r="L11591" t="s">
        <v>23</v>
      </c>
      <c r="M11591" t="s">
        <v>25662</v>
      </c>
      <c r="N11591" t="s">
        <v>3620</v>
      </c>
      <c r="O11591" t="s">
        <v>33</v>
      </c>
      <c r="P11591">
        <v>16301</v>
      </c>
      <c r="Q11591">
        <v>2569</v>
      </c>
      <c r="R11591" t="s">
        <v>23</v>
      </c>
      <c r="S11591" s="1" t="s">
        <v>34218</v>
      </c>
    </row>
    <row r="11592" spans="1:19" x14ac:dyDescent="0.25">
      <c r="A11592">
        <v>101117290</v>
      </c>
      <c r="B11592" t="s">
        <v>25663</v>
      </c>
      <c r="C11592" t="s">
        <v>1179</v>
      </c>
      <c r="G11592" t="s">
        <v>25664</v>
      </c>
      <c r="H11592" t="s">
        <v>6039</v>
      </c>
      <c r="I11592" t="s">
        <v>148</v>
      </c>
      <c r="J11592">
        <v>20770</v>
      </c>
      <c r="K11592">
        <v>3243</v>
      </c>
      <c r="L11592" t="s">
        <v>23</v>
      </c>
      <c r="M11592" t="s">
        <v>25664</v>
      </c>
      <c r="N11592" t="s">
        <v>6039</v>
      </c>
      <c r="O11592" t="s">
        <v>148</v>
      </c>
      <c r="P11592">
        <v>20770</v>
      </c>
      <c r="Q11592">
        <v>3243</v>
      </c>
      <c r="R11592" t="s">
        <v>23</v>
      </c>
      <c r="S11592" s="1" t="s">
        <v>34218</v>
      </c>
    </row>
    <row r="11593" spans="1:19" x14ac:dyDescent="0.25">
      <c r="A11593">
        <v>101434872</v>
      </c>
      <c r="B11593" t="s">
        <v>25665</v>
      </c>
      <c r="C11593" t="s">
        <v>25666</v>
      </c>
      <c r="G11593" t="s">
        <v>25667</v>
      </c>
      <c r="H11593" t="s">
        <v>419</v>
      </c>
      <c r="I11593" t="s">
        <v>38</v>
      </c>
      <c r="J11593">
        <v>76110</v>
      </c>
      <c r="K11593">
        <v>3448</v>
      </c>
      <c r="L11593" t="s">
        <v>23</v>
      </c>
      <c r="M11593" t="s">
        <v>25667</v>
      </c>
      <c r="N11593" t="s">
        <v>419</v>
      </c>
      <c r="O11593" t="s">
        <v>38</v>
      </c>
      <c r="P11593">
        <v>76110</v>
      </c>
      <c r="Q11593">
        <v>3448</v>
      </c>
      <c r="R11593" t="s">
        <v>23</v>
      </c>
      <c r="S11593" s="1" t="s">
        <v>34218</v>
      </c>
    </row>
    <row r="11594" spans="1:19" x14ac:dyDescent="0.25">
      <c r="A11594">
        <v>101451053</v>
      </c>
      <c r="B11594" t="s">
        <v>2132</v>
      </c>
      <c r="C11594" t="s">
        <v>25668</v>
      </c>
      <c r="G11594" t="s">
        <v>25669</v>
      </c>
      <c r="H11594" t="s">
        <v>445</v>
      </c>
      <c r="I11594" t="s">
        <v>446</v>
      </c>
      <c r="J11594">
        <v>28806</v>
      </c>
      <c r="K11594">
        <v>1554</v>
      </c>
      <c r="L11594" t="s">
        <v>23</v>
      </c>
      <c r="M11594" t="s">
        <v>25669</v>
      </c>
      <c r="N11594" t="s">
        <v>445</v>
      </c>
      <c r="O11594" t="s">
        <v>446</v>
      </c>
      <c r="P11594">
        <v>28806</v>
      </c>
      <c r="Q11594">
        <v>1554</v>
      </c>
      <c r="R11594" t="s">
        <v>23</v>
      </c>
      <c r="S11594" s="1" t="s">
        <v>34218</v>
      </c>
    </row>
    <row r="11595" spans="1:19" x14ac:dyDescent="0.25">
      <c r="A11595">
        <v>101329499</v>
      </c>
      <c r="B11595" t="s">
        <v>11344</v>
      </c>
      <c r="C11595" t="s">
        <v>9460</v>
      </c>
      <c r="G11595" t="s">
        <v>25670</v>
      </c>
      <c r="H11595" t="s">
        <v>481</v>
      </c>
      <c r="I11595" t="s">
        <v>22</v>
      </c>
      <c r="J11595">
        <v>95124</v>
      </c>
      <c r="K11595">
        <v>5715</v>
      </c>
      <c r="L11595" t="s">
        <v>23</v>
      </c>
      <c r="M11595" t="s">
        <v>25670</v>
      </c>
      <c r="N11595" t="s">
        <v>481</v>
      </c>
      <c r="O11595" t="s">
        <v>22</v>
      </c>
      <c r="P11595">
        <v>95124</v>
      </c>
      <c r="Q11595">
        <v>5715</v>
      </c>
      <c r="R11595" t="s">
        <v>23</v>
      </c>
      <c r="S11595" s="1" t="s">
        <v>34218</v>
      </c>
    </row>
    <row r="11596" spans="1:19" x14ac:dyDescent="0.25">
      <c r="A11596">
        <v>101347566</v>
      </c>
      <c r="B11596" t="s">
        <v>1740</v>
      </c>
      <c r="C11596" t="s">
        <v>838</v>
      </c>
      <c r="G11596" t="s">
        <v>25671</v>
      </c>
      <c r="H11596" t="s">
        <v>1538</v>
      </c>
      <c r="I11596" t="s">
        <v>22</v>
      </c>
      <c r="J11596">
        <v>91403</v>
      </c>
      <c r="K11596">
        <v>4205</v>
      </c>
      <c r="L11596" t="s">
        <v>23</v>
      </c>
      <c r="M11596" t="s">
        <v>25671</v>
      </c>
      <c r="N11596" t="s">
        <v>1538</v>
      </c>
      <c r="O11596" t="s">
        <v>22</v>
      </c>
      <c r="P11596">
        <v>91403</v>
      </c>
      <c r="Q11596">
        <v>4205</v>
      </c>
      <c r="R11596" t="s">
        <v>23</v>
      </c>
      <c r="S11596" s="1" t="s">
        <v>34218</v>
      </c>
    </row>
    <row r="11597" spans="1:19" x14ac:dyDescent="0.25">
      <c r="A11597">
        <v>101480670</v>
      </c>
      <c r="B11597" t="s">
        <v>25672</v>
      </c>
      <c r="C11597" t="s">
        <v>535</v>
      </c>
      <c r="G11597" t="s">
        <v>25673</v>
      </c>
      <c r="H11597" t="s">
        <v>25674</v>
      </c>
      <c r="I11597" t="s">
        <v>135</v>
      </c>
      <c r="J11597">
        <v>62452</v>
      </c>
      <c r="K11597">
        <v>2203</v>
      </c>
      <c r="L11597" t="s">
        <v>23</v>
      </c>
      <c r="M11597" t="s">
        <v>25673</v>
      </c>
      <c r="N11597" t="s">
        <v>25674</v>
      </c>
      <c r="O11597" t="s">
        <v>135</v>
      </c>
      <c r="P11597">
        <v>62452</v>
      </c>
      <c r="Q11597">
        <v>2203</v>
      </c>
      <c r="R11597" t="s">
        <v>23</v>
      </c>
      <c r="S11597" s="1" t="s">
        <v>34218</v>
      </c>
    </row>
    <row r="11598" spans="1:19" x14ac:dyDescent="0.25">
      <c r="A11598">
        <v>100625830</v>
      </c>
      <c r="B11598" t="s">
        <v>25675</v>
      </c>
      <c r="C11598" t="s">
        <v>2159</v>
      </c>
      <c r="G11598" t="s">
        <v>25676</v>
      </c>
      <c r="H11598" t="s">
        <v>485</v>
      </c>
      <c r="I11598" t="s">
        <v>446</v>
      </c>
      <c r="J11598">
        <v>28173</v>
      </c>
      <c r="K11598">
        <v>301</v>
      </c>
      <c r="L11598" t="s">
        <v>23</v>
      </c>
      <c r="M11598" t="s">
        <v>25676</v>
      </c>
      <c r="N11598" t="s">
        <v>485</v>
      </c>
      <c r="O11598" t="s">
        <v>446</v>
      </c>
      <c r="P11598">
        <v>28173</v>
      </c>
      <c r="Q11598">
        <v>301</v>
      </c>
      <c r="R11598" t="s">
        <v>23</v>
      </c>
      <c r="S11598" s="1" t="s">
        <v>34218</v>
      </c>
    </row>
    <row r="11599" spans="1:19" x14ac:dyDescent="0.25">
      <c r="A11599">
        <v>101480677</v>
      </c>
      <c r="B11599" t="s">
        <v>18965</v>
      </c>
      <c r="C11599" t="s">
        <v>1992</v>
      </c>
      <c r="G11599" t="s">
        <v>18966</v>
      </c>
      <c r="H11599" t="s">
        <v>1325</v>
      </c>
      <c r="I11599" t="s">
        <v>22</v>
      </c>
      <c r="J11599">
        <v>94306</v>
      </c>
      <c r="K11599">
        <v>3814</v>
      </c>
      <c r="L11599" t="s">
        <v>23</v>
      </c>
      <c r="M11599" t="s">
        <v>18966</v>
      </c>
      <c r="N11599" t="s">
        <v>1325</v>
      </c>
      <c r="O11599" t="s">
        <v>22</v>
      </c>
      <c r="P11599">
        <v>94306</v>
      </c>
      <c r="Q11599">
        <v>3814</v>
      </c>
      <c r="R11599" t="s">
        <v>23</v>
      </c>
      <c r="S11599" s="1" t="s">
        <v>34218</v>
      </c>
    </row>
    <row r="11600" spans="1:19" x14ac:dyDescent="0.25">
      <c r="A11600">
        <v>100540562</v>
      </c>
      <c r="B11600" t="s">
        <v>25677</v>
      </c>
      <c r="C11600" t="s">
        <v>1647</v>
      </c>
      <c r="G11600" t="s">
        <v>25678</v>
      </c>
      <c r="H11600" t="s">
        <v>3884</v>
      </c>
      <c r="I11600" t="s">
        <v>84</v>
      </c>
      <c r="J11600">
        <v>98260</v>
      </c>
      <c r="K11600">
        <v>9217</v>
      </c>
      <c r="L11600" t="s">
        <v>23</v>
      </c>
      <c r="M11600" t="s">
        <v>25678</v>
      </c>
      <c r="N11600" t="s">
        <v>3884</v>
      </c>
      <c r="O11600" t="s">
        <v>84</v>
      </c>
      <c r="P11600">
        <v>98260</v>
      </c>
      <c r="Q11600">
        <v>9217</v>
      </c>
      <c r="R11600" t="s">
        <v>23</v>
      </c>
      <c r="S11600" s="1" t="s">
        <v>34218</v>
      </c>
    </row>
    <row r="11601" spans="1:19" x14ac:dyDescent="0.25">
      <c r="A11601">
        <v>101450635</v>
      </c>
      <c r="B11601" t="s">
        <v>11528</v>
      </c>
      <c r="C11601" t="s">
        <v>158</v>
      </c>
      <c r="G11601" t="s">
        <v>25679</v>
      </c>
      <c r="H11601" t="s">
        <v>1166</v>
      </c>
      <c r="I11601" t="s">
        <v>178</v>
      </c>
      <c r="J11601">
        <v>43551</v>
      </c>
      <c r="K11601">
        <v>2338</v>
      </c>
      <c r="L11601" t="s">
        <v>23</v>
      </c>
      <c r="M11601" t="s">
        <v>25679</v>
      </c>
      <c r="N11601" t="s">
        <v>1166</v>
      </c>
      <c r="O11601" t="s">
        <v>178</v>
      </c>
      <c r="P11601">
        <v>43551</v>
      </c>
      <c r="Q11601">
        <v>2338</v>
      </c>
      <c r="R11601" t="s">
        <v>23</v>
      </c>
      <c r="S11601" s="1" t="s">
        <v>34218</v>
      </c>
    </row>
    <row r="11602" spans="1:19" x14ac:dyDescent="0.25">
      <c r="A11602">
        <v>101238179</v>
      </c>
      <c r="B11602" t="s">
        <v>6265</v>
      </c>
      <c r="C11602" t="s">
        <v>1955</v>
      </c>
      <c r="G11602" t="s">
        <v>25680</v>
      </c>
      <c r="H11602" t="s">
        <v>9843</v>
      </c>
      <c r="I11602" t="s">
        <v>236</v>
      </c>
      <c r="J11602">
        <v>1960</v>
      </c>
      <c r="K11602">
        <v>8583</v>
      </c>
      <c r="L11602" t="s">
        <v>23</v>
      </c>
      <c r="M11602" t="s">
        <v>25680</v>
      </c>
      <c r="N11602" t="s">
        <v>9843</v>
      </c>
      <c r="O11602" t="s">
        <v>236</v>
      </c>
      <c r="P11602">
        <v>1960</v>
      </c>
      <c r="Q11602">
        <v>8583</v>
      </c>
      <c r="R11602" t="s">
        <v>23</v>
      </c>
      <c r="S11602" s="1" t="s">
        <v>34218</v>
      </c>
    </row>
    <row r="11603" spans="1:19" x14ac:dyDescent="0.25">
      <c r="A11603">
        <v>101398647</v>
      </c>
      <c r="B11603" t="s">
        <v>19654</v>
      </c>
      <c r="C11603" t="s">
        <v>621</v>
      </c>
      <c r="G11603" t="s">
        <v>25681</v>
      </c>
      <c r="H11603" t="s">
        <v>1412</v>
      </c>
      <c r="I11603" t="s">
        <v>52</v>
      </c>
      <c r="J11603">
        <v>32818</v>
      </c>
      <c r="K11603">
        <v>6942</v>
      </c>
      <c r="L11603" t="s">
        <v>23</v>
      </c>
      <c r="M11603" t="s">
        <v>25681</v>
      </c>
      <c r="N11603" t="s">
        <v>1412</v>
      </c>
      <c r="O11603" t="s">
        <v>52</v>
      </c>
      <c r="P11603">
        <v>32818</v>
      </c>
      <c r="Q11603">
        <v>6942</v>
      </c>
      <c r="R11603" t="s">
        <v>23</v>
      </c>
      <c r="S11603" s="1" t="s">
        <v>34218</v>
      </c>
    </row>
    <row r="11604" spans="1:19" x14ac:dyDescent="0.25">
      <c r="A11604">
        <v>101446527</v>
      </c>
      <c r="B11604" t="s">
        <v>3138</v>
      </c>
      <c r="C11604" t="s">
        <v>9305</v>
      </c>
      <c r="G11604" t="s">
        <v>25682</v>
      </c>
      <c r="H11604" t="s">
        <v>9544</v>
      </c>
      <c r="I11604" t="s">
        <v>148</v>
      </c>
      <c r="J11604">
        <v>20815</v>
      </c>
      <c r="K11604">
        <v>4164</v>
      </c>
      <c r="L11604" t="s">
        <v>23</v>
      </c>
      <c r="M11604" t="s">
        <v>25682</v>
      </c>
      <c r="N11604" t="s">
        <v>9544</v>
      </c>
      <c r="O11604" t="s">
        <v>148</v>
      </c>
      <c r="P11604">
        <v>20815</v>
      </c>
      <c r="Q11604">
        <v>4164</v>
      </c>
      <c r="R11604" t="s">
        <v>23</v>
      </c>
      <c r="S11604" s="1" t="s">
        <v>34218</v>
      </c>
    </row>
    <row r="11605" spans="1:19" x14ac:dyDescent="0.25">
      <c r="A11605">
        <v>100875615</v>
      </c>
      <c r="B11605" t="s">
        <v>25683</v>
      </c>
      <c r="C11605" t="s">
        <v>2084</v>
      </c>
      <c r="G11605" t="s">
        <v>25684</v>
      </c>
      <c r="H11605" t="s">
        <v>25685</v>
      </c>
      <c r="I11605" t="s">
        <v>22</v>
      </c>
      <c r="J11605">
        <v>93453</v>
      </c>
      <c r="L11605" t="s">
        <v>23</v>
      </c>
      <c r="M11605" t="s">
        <v>25684</v>
      </c>
      <c r="N11605" t="s">
        <v>25685</v>
      </c>
      <c r="O11605" t="s">
        <v>22</v>
      </c>
      <c r="P11605">
        <v>93453</v>
      </c>
      <c r="R11605" t="s">
        <v>23</v>
      </c>
      <c r="S11605" s="1" t="s">
        <v>34218</v>
      </c>
    </row>
    <row r="11606" spans="1:19" x14ac:dyDescent="0.25">
      <c r="A11606">
        <v>101480693</v>
      </c>
      <c r="B11606" t="s">
        <v>25686</v>
      </c>
      <c r="C11606" t="s">
        <v>110</v>
      </c>
      <c r="G11606" t="s">
        <v>25687</v>
      </c>
      <c r="H11606" t="s">
        <v>25688</v>
      </c>
      <c r="I11606" t="s">
        <v>117</v>
      </c>
      <c r="J11606">
        <v>12065</v>
      </c>
      <c r="K11606">
        <v>6230</v>
      </c>
      <c r="L11606" t="s">
        <v>23</v>
      </c>
      <c r="M11606" t="s">
        <v>25687</v>
      </c>
      <c r="N11606" t="s">
        <v>25688</v>
      </c>
      <c r="O11606" t="s">
        <v>117</v>
      </c>
      <c r="P11606">
        <v>12065</v>
      </c>
      <c r="Q11606">
        <v>6230</v>
      </c>
      <c r="R11606" t="s">
        <v>23</v>
      </c>
      <c r="S11606" s="1" t="s">
        <v>34218</v>
      </c>
    </row>
    <row r="11607" spans="1:19" x14ac:dyDescent="0.25">
      <c r="A11607">
        <v>101457975</v>
      </c>
      <c r="B11607" t="s">
        <v>25689</v>
      </c>
      <c r="C11607" t="s">
        <v>25690</v>
      </c>
      <c r="G11607" t="s">
        <v>25691</v>
      </c>
      <c r="H11607" t="s">
        <v>646</v>
      </c>
      <c r="I11607" t="s">
        <v>84</v>
      </c>
      <c r="J11607">
        <v>98274</v>
      </c>
      <c r="K11607">
        <v>4680</v>
      </c>
      <c r="L11607" t="s">
        <v>23</v>
      </c>
      <c r="M11607" t="s">
        <v>25691</v>
      </c>
      <c r="N11607" t="s">
        <v>646</v>
      </c>
      <c r="O11607" t="s">
        <v>84</v>
      </c>
      <c r="P11607">
        <v>98274</v>
      </c>
      <c r="Q11607">
        <v>4680</v>
      </c>
      <c r="R11607" t="s">
        <v>23</v>
      </c>
      <c r="S11607" s="1" t="s">
        <v>34218</v>
      </c>
    </row>
    <row r="11608" spans="1:19" x14ac:dyDescent="0.25">
      <c r="A11608">
        <v>101234547</v>
      </c>
      <c r="B11608" t="s">
        <v>25692</v>
      </c>
      <c r="C11608" t="s">
        <v>1027</v>
      </c>
      <c r="G11608" t="s">
        <v>25693</v>
      </c>
      <c r="H11608" t="s">
        <v>1625</v>
      </c>
      <c r="I11608" t="s">
        <v>702</v>
      </c>
      <c r="J11608">
        <v>89011</v>
      </c>
      <c r="K11608">
        <v>892</v>
      </c>
      <c r="L11608" t="s">
        <v>23</v>
      </c>
      <c r="M11608" t="s">
        <v>25693</v>
      </c>
      <c r="N11608" t="s">
        <v>1625</v>
      </c>
      <c r="O11608" t="s">
        <v>702</v>
      </c>
      <c r="P11608">
        <v>89011</v>
      </c>
      <c r="Q11608">
        <v>892</v>
      </c>
      <c r="R11608" t="s">
        <v>23</v>
      </c>
      <c r="S11608" s="1" t="s">
        <v>34218</v>
      </c>
    </row>
    <row r="11609" spans="1:19" x14ac:dyDescent="0.25">
      <c r="A11609">
        <v>100603787</v>
      </c>
      <c r="B11609" t="s">
        <v>16543</v>
      </c>
      <c r="C11609" t="s">
        <v>45</v>
      </c>
      <c r="G11609" t="s">
        <v>25694</v>
      </c>
      <c r="H11609" t="s">
        <v>12077</v>
      </c>
      <c r="I11609" t="s">
        <v>22</v>
      </c>
      <c r="J11609">
        <v>91384</v>
      </c>
      <c r="L11609" t="s">
        <v>23</v>
      </c>
      <c r="M11609" t="s">
        <v>25694</v>
      </c>
      <c r="N11609" t="s">
        <v>12077</v>
      </c>
      <c r="O11609" t="s">
        <v>22</v>
      </c>
      <c r="P11609">
        <v>91384</v>
      </c>
      <c r="R11609" t="s">
        <v>23</v>
      </c>
      <c r="S11609" s="1" t="s">
        <v>34218</v>
      </c>
    </row>
    <row r="11610" spans="1:19" x14ac:dyDescent="0.25">
      <c r="A11610">
        <v>101480701</v>
      </c>
      <c r="B11610" t="s">
        <v>25695</v>
      </c>
      <c r="C11610" t="s">
        <v>803</v>
      </c>
      <c r="G11610" t="s">
        <v>25696</v>
      </c>
      <c r="H11610" t="s">
        <v>13437</v>
      </c>
      <c r="I11610" t="s">
        <v>639</v>
      </c>
      <c r="J11610">
        <v>87059</v>
      </c>
      <c r="K11610">
        <v>7317</v>
      </c>
      <c r="L11610" t="s">
        <v>23</v>
      </c>
      <c r="M11610" t="s">
        <v>25696</v>
      </c>
      <c r="N11610" t="s">
        <v>13437</v>
      </c>
      <c r="O11610" t="s">
        <v>639</v>
      </c>
      <c r="P11610">
        <v>87059</v>
      </c>
      <c r="Q11610">
        <v>7317</v>
      </c>
      <c r="R11610" t="s">
        <v>23</v>
      </c>
      <c r="S11610" s="1" t="s">
        <v>34218</v>
      </c>
    </row>
    <row r="11611" spans="1:19" x14ac:dyDescent="0.25">
      <c r="A11611">
        <v>100651997</v>
      </c>
      <c r="B11611" t="s">
        <v>25697</v>
      </c>
      <c r="C11611" t="s">
        <v>158</v>
      </c>
      <c r="G11611" t="s">
        <v>25698</v>
      </c>
      <c r="H11611" t="s">
        <v>2640</v>
      </c>
      <c r="I11611" t="s">
        <v>52</v>
      </c>
      <c r="J11611">
        <v>33428</v>
      </c>
      <c r="L11611" t="s">
        <v>23</v>
      </c>
      <c r="M11611" t="s">
        <v>25698</v>
      </c>
      <c r="N11611" t="s">
        <v>2640</v>
      </c>
      <c r="O11611" t="s">
        <v>52</v>
      </c>
      <c r="P11611">
        <v>33428</v>
      </c>
      <c r="R11611" t="s">
        <v>23</v>
      </c>
      <c r="S11611" s="1" t="s">
        <v>34218</v>
      </c>
    </row>
    <row r="11612" spans="1:19" x14ac:dyDescent="0.25">
      <c r="A11612">
        <v>101480704</v>
      </c>
      <c r="B11612" t="s">
        <v>1291</v>
      </c>
      <c r="C11612" t="s">
        <v>329</v>
      </c>
      <c r="G11612" t="s">
        <v>16954</v>
      </c>
      <c r="H11612" t="s">
        <v>1531</v>
      </c>
      <c r="I11612" t="s">
        <v>84</v>
      </c>
      <c r="J11612">
        <v>98126</v>
      </c>
      <c r="K11612">
        <v>3295</v>
      </c>
      <c r="L11612" t="s">
        <v>23</v>
      </c>
      <c r="M11612" t="s">
        <v>16954</v>
      </c>
      <c r="N11612" t="s">
        <v>1531</v>
      </c>
      <c r="O11612" t="s">
        <v>84</v>
      </c>
      <c r="P11612">
        <v>98126</v>
      </c>
      <c r="Q11612">
        <v>3295</v>
      </c>
      <c r="R11612" t="s">
        <v>23</v>
      </c>
      <c r="S11612" s="1" t="s">
        <v>34218</v>
      </c>
    </row>
    <row r="11613" spans="1:19" x14ac:dyDescent="0.25">
      <c r="A11613">
        <v>101346754</v>
      </c>
      <c r="B11613" t="s">
        <v>25699</v>
      </c>
      <c r="C11613" t="s">
        <v>1208</v>
      </c>
      <c r="G11613" t="s">
        <v>25700</v>
      </c>
      <c r="H11613" t="s">
        <v>25701</v>
      </c>
      <c r="I11613" t="s">
        <v>250</v>
      </c>
      <c r="J11613">
        <v>7001</v>
      </c>
      <c r="K11613">
        <v>1366</v>
      </c>
      <c r="L11613" t="s">
        <v>23</v>
      </c>
      <c r="M11613" t="s">
        <v>25700</v>
      </c>
      <c r="N11613" t="s">
        <v>25701</v>
      </c>
      <c r="O11613" t="s">
        <v>250</v>
      </c>
      <c r="P11613">
        <v>7001</v>
      </c>
      <c r="Q11613">
        <v>1366</v>
      </c>
      <c r="R11613" t="s">
        <v>23</v>
      </c>
      <c r="S11613" s="1" t="s">
        <v>34218</v>
      </c>
    </row>
    <row r="11614" spans="1:19" x14ac:dyDescent="0.25">
      <c r="A11614">
        <v>101419317</v>
      </c>
      <c r="B11614" t="s">
        <v>1204</v>
      </c>
      <c r="C11614" t="s">
        <v>25702</v>
      </c>
      <c r="G11614" t="s">
        <v>25703</v>
      </c>
      <c r="H11614" t="s">
        <v>227</v>
      </c>
      <c r="I11614" t="s">
        <v>43</v>
      </c>
      <c r="J11614">
        <v>97204</v>
      </c>
      <c r="L11614" t="s">
        <v>23</v>
      </c>
      <c r="M11614" t="s">
        <v>25703</v>
      </c>
      <c r="N11614" t="s">
        <v>227</v>
      </c>
      <c r="O11614" t="s">
        <v>43</v>
      </c>
      <c r="P11614">
        <v>97204</v>
      </c>
      <c r="R11614" t="s">
        <v>23</v>
      </c>
      <c r="S11614" s="1" t="s">
        <v>34218</v>
      </c>
    </row>
    <row r="11615" spans="1:19" x14ac:dyDescent="0.25">
      <c r="A11615">
        <v>100873940</v>
      </c>
      <c r="B11615" t="s">
        <v>9212</v>
      </c>
      <c r="C11615" t="s">
        <v>1327</v>
      </c>
      <c r="G11615" t="s">
        <v>25704</v>
      </c>
      <c r="H11615" t="s">
        <v>1439</v>
      </c>
      <c r="I11615" t="s">
        <v>365</v>
      </c>
      <c r="J11615">
        <v>85756</v>
      </c>
      <c r="K11615">
        <v>5120</v>
      </c>
      <c r="L11615" t="s">
        <v>23</v>
      </c>
      <c r="M11615" t="s">
        <v>25704</v>
      </c>
      <c r="N11615" t="s">
        <v>1439</v>
      </c>
      <c r="O11615" t="s">
        <v>365</v>
      </c>
      <c r="P11615">
        <v>85756</v>
      </c>
      <c r="Q11615">
        <v>5120</v>
      </c>
      <c r="R11615" t="s">
        <v>23</v>
      </c>
      <c r="S11615" s="1" t="s">
        <v>34218</v>
      </c>
    </row>
    <row r="11616" spans="1:19" x14ac:dyDescent="0.25">
      <c r="A11616">
        <v>101480715</v>
      </c>
      <c r="B11616" t="s">
        <v>13315</v>
      </c>
      <c r="C11616" t="s">
        <v>1526</v>
      </c>
      <c r="G11616" t="s">
        <v>22962</v>
      </c>
      <c r="H11616" t="s">
        <v>4127</v>
      </c>
      <c r="I11616" t="s">
        <v>71</v>
      </c>
      <c r="J11616">
        <v>80540</v>
      </c>
      <c r="K11616">
        <v>4203</v>
      </c>
      <c r="L11616" t="s">
        <v>23</v>
      </c>
      <c r="M11616" t="s">
        <v>22962</v>
      </c>
      <c r="N11616" t="s">
        <v>4127</v>
      </c>
      <c r="O11616" t="s">
        <v>71</v>
      </c>
      <c r="P11616">
        <v>80540</v>
      </c>
      <c r="Q11616">
        <v>4203</v>
      </c>
      <c r="R11616" t="s">
        <v>23</v>
      </c>
      <c r="S11616" s="1" t="s">
        <v>34218</v>
      </c>
    </row>
    <row r="11617" spans="1:19" x14ac:dyDescent="0.25">
      <c r="A11617">
        <v>101304039</v>
      </c>
      <c r="B11617" t="s">
        <v>8135</v>
      </c>
      <c r="C11617" t="s">
        <v>1773</v>
      </c>
      <c r="G11617" t="s">
        <v>25705</v>
      </c>
      <c r="H11617" t="s">
        <v>7357</v>
      </c>
      <c r="I11617" t="s">
        <v>161</v>
      </c>
      <c r="J11617">
        <v>6062</v>
      </c>
      <c r="K11617">
        <v>2979</v>
      </c>
      <c r="L11617" t="s">
        <v>23</v>
      </c>
      <c r="M11617" t="s">
        <v>25705</v>
      </c>
      <c r="N11617" t="s">
        <v>7357</v>
      </c>
      <c r="O11617" t="s">
        <v>161</v>
      </c>
      <c r="P11617">
        <v>6062</v>
      </c>
      <c r="Q11617">
        <v>2979</v>
      </c>
      <c r="R11617" t="s">
        <v>23</v>
      </c>
      <c r="S11617" s="1" t="s">
        <v>34218</v>
      </c>
    </row>
    <row r="11618" spans="1:19" x14ac:dyDescent="0.25">
      <c r="A11618">
        <v>101480721</v>
      </c>
      <c r="B11618" t="s">
        <v>25706</v>
      </c>
      <c r="C11618" t="s">
        <v>68</v>
      </c>
      <c r="G11618" t="s">
        <v>25707</v>
      </c>
      <c r="H11618" t="s">
        <v>25708</v>
      </c>
      <c r="I11618" t="s">
        <v>236</v>
      </c>
      <c r="J11618">
        <v>1951</v>
      </c>
      <c r="K11618">
        <v>1002</v>
      </c>
      <c r="L11618" t="s">
        <v>23</v>
      </c>
      <c r="M11618" t="s">
        <v>25707</v>
      </c>
      <c r="N11618" t="s">
        <v>25708</v>
      </c>
      <c r="O11618" t="s">
        <v>236</v>
      </c>
      <c r="P11618">
        <v>1951</v>
      </c>
      <c r="Q11618">
        <v>1002</v>
      </c>
      <c r="R11618" t="s">
        <v>23</v>
      </c>
      <c r="S11618" s="1" t="s">
        <v>34218</v>
      </c>
    </row>
    <row r="11619" spans="1:19" x14ac:dyDescent="0.25">
      <c r="A11619">
        <v>101051607</v>
      </c>
      <c r="B11619" t="s">
        <v>24935</v>
      </c>
      <c r="C11619" t="s">
        <v>582</v>
      </c>
      <c r="G11619" t="s">
        <v>25709</v>
      </c>
      <c r="H11619" t="s">
        <v>4400</v>
      </c>
      <c r="I11619" t="s">
        <v>117</v>
      </c>
      <c r="J11619">
        <v>10701</v>
      </c>
      <c r="L11619" t="s">
        <v>23</v>
      </c>
      <c r="M11619" t="s">
        <v>25709</v>
      </c>
      <c r="N11619" t="s">
        <v>4400</v>
      </c>
      <c r="O11619" t="s">
        <v>117</v>
      </c>
      <c r="P11619">
        <v>10701</v>
      </c>
      <c r="R11619" t="s">
        <v>23</v>
      </c>
      <c r="S11619" s="1" t="s">
        <v>34218</v>
      </c>
    </row>
    <row r="11620" spans="1:19" x14ac:dyDescent="0.25">
      <c r="A11620">
        <v>101480731</v>
      </c>
      <c r="B11620" t="s">
        <v>25710</v>
      </c>
      <c r="C11620" t="s">
        <v>4299</v>
      </c>
      <c r="G11620" t="s">
        <v>25711</v>
      </c>
      <c r="H11620" t="s">
        <v>1479</v>
      </c>
      <c r="I11620" t="s">
        <v>52</v>
      </c>
      <c r="J11620">
        <v>34997</v>
      </c>
      <c r="K11620">
        <v>1538</v>
      </c>
      <c r="L11620" t="s">
        <v>23</v>
      </c>
      <c r="M11620" t="s">
        <v>25711</v>
      </c>
      <c r="N11620" t="s">
        <v>1479</v>
      </c>
      <c r="O11620" t="s">
        <v>52</v>
      </c>
      <c r="P11620">
        <v>34997</v>
      </c>
      <c r="Q11620">
        <v>1538</v>
      </c>
      <c r="R11620" t="s">
        <v>23</v>
      </c>
      <c r="S11620" s="1" t="s">
        <v>34218</v>
      </c>
    </row>
    <row r="11621" spans="1:19" x14ac:dyDescent="0.25">
      <c r="A11621">
        <v>100758021</v>
      </c>
      <c r="B11621" t="s">
        <v>25712</v>
      </c>
      <c r="C11621" t="s">
        <v>1285</v>
      </c>
      <c r="G11621" t="s">
        <v>25713</v>
      </c>
      <c r="H11621" t="s">
        <v>25714</v>
      </c>
      <c r="I11621" t="s">
        <v>22</v>
      </c>
      <c r="J11621">
        <v>48147</v>
      </c>
      <c r="L11621" t="s">
        <v>23</v>
      </c>
      <c r="M11621" t="s">
        <v>25713</v>
      </c>
      <c r="N11621" t="s">
        <v>25714</v>
      </c>
      <c r="O11621" t="s">
        <v>22</v>
      </c>
      <c r="P11621">
        <v>48147</v>
      </c>
      <c r="R11621" t="s">
        <v>23</v>
      </c>
      <c r="S11621" s="1" t="s">
        <v>34218</v>
      </c>
    </row>
    <row r="11622" spans="1:19" x14ac:dyDescent="0.25">
      <c r="A11622">
        <v>100726812</v>
      </c>
      <c r="B11622" t="s">
        <v>1007</v>
      </c>
      <c r="C11622" t="s">
        <v>8403</v>
      </c>
      <c r="G11622" t="s">
        <v>25715</v>
      </c>
      <c r="H11622" t="s">
        <v>12197</v>
      </c>
      <c r="I11622" t="s">
        <v>33</v>
      </c>
      <c r="J11622">
        <v>17111</v>
      </c>
      <c r="K11622">
        <v>2607</v>
      </c>
      <c r="L11622" t="s">
        <v>23</v>
      </c>
      <c r="M11622" t="s">
        <v>25715</v>
      </c>
      <c r="N11622" t="s">
        <v>12197</v>
      </c>
      <c r="O11622" t="s">
        <v>33</v>
      </c>
      <c r="P11622">
        <v>17111</v>
      </c>
      <c r="Q11622">
        <v>2607</v>
      </c>
      <c r="R11622" t="s">
        <v>23</v>
      </c>
      <c r="S11622" s="1" t="s">
        <v>34218</v>
      </c>
    </row>
    <row r="11623" spans="1:19" x14ac:dyDescent="0.25">
      <c r="A11623">
        <v>101480733</v>
      </c>
      <c r="B11623" t="s">
        <v>1807</v>
      </c>
      <c r="C11623" t="s">
        <v>1208</v>
      </c>
      <c r="G11623" t="s">
        <v>25716</v>
      </c>
      <c r="H11623" t="s">
        <v>4540</v>
      </c>
      <c r="I11623" t="s">
        <v>28</v>
      </c>
      <c r="J11623">
        <v>30028</v>
      </c>
      <c r="K11623">
        <v>95</v>
      </c>
      <c r="L11623" t="s">
        <v>23</v>
      </c>
      <c r="M11623" t="s">
        <v>25716</v>
      </c>
      <c r="N11623" t="s">
        <v>4540</v>
      </c>
      <c r="O11623" t="s">
        <v>28</v>
      </c>
      <c r="P11623">
        <v>30028</v>
      </c>
      <c r="Q11623">
        <v>95</v>
      </c>
      <c r="R11623" t="s">
        <v>23</v>
      </c>
      <c r="S11623" s="1" t="s">
        <v>34218</v>
      </c>
    </row>
    <row r="11624" spans="1:19" x14ac:dyDescent="0.25">
      <c r="A11624">
        <v>101248265</v>
      </c>
      <c r="B11624" t="s">
        <v>25717</v>
      </c>
      <c r="C11624" t="s">
        <v>582</v>
      </c>
      <c r="G11624" t="s">
        <v>25718</v>
      </c>
      <c r="H11624" t="s">
        <v>134</v>
      </c>
      <c r="I11624" t="s">
        <v>135</v>
      </c>
      <c r="J11624">
        <v>60645</v>
      </c>
      <c r="K11624">
        <v>2012</v>
      </c>
      <c r="L11624" t="s">
        <v>23</v>
      </c>
      <c r="M11624" t="s">
        <v>25718</v>
      </c>
      <c r="N11624" t="s">
        <v>134</v>
      </c>
      <c r="O11624" t="s">
        <v>135</v>
      </c>
      <c r="P11624">
        <v>60645</v>
      </c>
      <c r="Q11624">
        <v>2012</v>
      </c>
      <c r="R11624" t="s">
        <v>23</v>
      </c>
      <c r="S11624" s="1" t="s">
        <v>34218</v>
      </c>
    </row>
    <row r="11625" spans="1:19" x14ac:dyDescent="0.25">
      <c r="A11625">
        <v>101471764</v>
      </c>
      <c r="B11625" t="s">
        <v>13429</v>
      </c>
      <c r="C11625" t="s">
        <v>3609</v>
      </c>
      <c r="G11625" t="s">
        <v>15995</v>
      </c>
      <c r="H11625" t="s">
        <v>6136</v>
      </c>
      <c r="I11625" t="s">
        <v>22</v>
      </c>
      <c r="J11625">
        <v>92627</v>
      </c>
      <c r="K11625">
        <v>7600</v>
      </c>
      <c r="L11625" t="s">
        <v>23</v>
      </c>
      <c r="M11625" t="s">
        <v>15995</v>
      </c>
      <c r="N11625" t="s">
        <v>6136</v>
      </c>
      <c r="O11625" t="s">
        <v>22</v>
      </c>
      <c r="P11625">
        <v>92627</v>
      </c>
      <c r="Q11625">
        <v>7600</v>
      </c>
      <c r="R11625" t="s">
        <v>23</v>
      </c>
      <c r="S11625" s="1" t="s">
        <v>34218</v>
      </c>
    </row>
    <row r="11626" spans="1:19" x14ac:dyDescent="0.25">
      <c r="A11626">
        <v>101431840</v>
      </c>
      <c r="B11626" t="s">
        <v>25719</v>
      </c>
      <c r="C11626" t="s">
        <v>621</v>
      </c>
      <c r="G11626" t="s">
        <v>25720</v>
      </c>
      <c r="H11626" t="s">
        <v>25721</v>
      </c>
      <c r="I11626" t="s">
        <v>140</v>
      </c>
      <c r="J11626">
        <v>49013</v>
      </c>
      <c r="K11626">
        <v>1041</v>
      </c>
      <c r="L11626" t="s">
        <v>23</v>
      </c>
      <c r="M11626" t="s">
        <v>25720</v>
      </c>
      <c r="N11626" t="s">
        <v>25721</v>
      </c>
      <c r="O11626" t="s">
        <v>140</v>
      </c>
      <c r="P11626">
        <v>49013</v>
      </c>
      <c r="Q11626">
        <v>1041</v>
      </c>
      <c r="R11626" t="s">
        <v>23</v>
      </c>
      <c r="S11626" s="1" t="s">
        <v>34218</v>
      </c>
    </row>
    <row r="11627" spans="1:19" x14ac:dyDescent="0.25">
      <c r="A11627">
        <v>101435232</v>
      </c>
      <c r="B11627" t="s">
        <v>25722</v>
      </c>
      <c r="C11627" t="s">
        <v>25723</v>
      </c>
      <c r="G11627" t="s">
        <v>25724</v>
      </c>
      <c r="H11627" t="s">
        <v>3098</v>
      </c>
      <c r="I11627" t="s">
        <v>148</v>
      </c>
      <c r="J11627" t="s">
        <v>25725</v>
      </c>
      <c r="K11627">
        <v>5017</v>
      </c>
      <c r="L11627" t="s">
        <v>23</v>
      </c>
      <c r="M11627" t="s">
        <v>25724</v>
      </c>
      <c r="N11627" t="s">
        <v>3098</v>
      </c>
      <c r="O11627" t="s">
        <v>148</v>
      </c>
      <c r="P11627" t="s">
        <v>25725</v>
      </c>
      <c r="Q11627">
        <v>5017</v>
      </c>
      <c r="R11627" t="s">
        <v>23</v>
      </c>
      <c r="S11627" s="1" t="s">
        <v>34218</v>
      </c>
    </row>
    <row r="11628" spans="1:19" x14ac:dyDescent="0.25">
      <c r="A11628">
        <v>100778016</v>
      </c>
      <c r="B11628" t="s">
        <v>25726</v>
      </c>
      <c r="C11628" t="s">
        <v>286</v>
      </c>
      <c r="G11628" t="s">
        <v>25727</v>
      </c>
      <c r="H11628" t="s">
        <v>25728</v>
      </c>
      <c r="I11628" t="s">
        <v>22</v>
      </c>
      <c r="J11628">
        <v>94020</v>
      </c>
      <c r="K11628">
        <v>9742</v>
      </c>
      <c r="L11628" t="s">
        <v>23</v>
      </c>
      <c r="M11628" t="s">
        <v>25727</v>
      </c>
      <c r="N11628" t="s">
        <v>25728</v>
      </c>
      <c r="O11628" t="s">
        <v>22</v>
      </c>
      <c r="P11628">
        <v>94020</v>
      </c>
      <c r="Q11628">
        <v>9742</v>
      </c>
      <c r="R11628" t="s">
        <v>23</v>
      </c>
      <c r="S11628" s="1" t="s">
        <v>34218</v>
      </c>
    </row>
    <row r="11629" spans="1:19" x14ac:dyDescent="0.25">
      <c r="A11629">
        <v>101358162</v>
      </c>
      <c r="B11629" t="s">
        <v>3109</v>
      </c>
      <c r="C11629" t="s">
        <v>1161</v>
      </c>
      <c r="G11629" t="s">
        <v>25729</v>
      </c>
      <c r="H11629" t="s">
        <v>3592</v>
      </c>
      <c r="I11629" t="s">
        <v>22</v>
      </c>
      <c r="J11629">
        <v>95608</v>
      </c>
      <c r="K11629">
        <v>2861</v>
      </c>
      <c r="L11629" t="s">
        <v>23</v>
      </c>
      <c r="M11629" t="s">
        <v>25729</v>
      </c>
      <c r="N11629" t="s">
        <v>3592</v>
      </c>
      <c r="O11629" t="s">
        <v>22</v>
      </c>
      <c r="P11629">
        <v>95608</v>
      </c>
      <c r="Q11629">
        <v>2861</v>
      </c>
      <c r="R11629" t="s">
        <v>23</v>
      </c>
      <c r="S11629" s="1" t="s">
        <v>34218</v>
      </c>
    </row>
    <row r="11630" spans="1:19" x14ac:dyDescent="0.25">
      <c r="A11630">
        <v>101162194</v>
      </c>
      <c r="B11630" t="s">
        <v>25730</v>
      </c>
      <c r="C11630" t="s">
        <v>498</v>
      </c>
      <c r="G11630" t="s">
        <v>25731</v>
      </c>
      <c r="H11630" t="s">
        <v>4929</v>
      </c>
      <c r="I11630" t="s">
        <v>57</v>
      </c>
      <c r="J11630">
        <v>46123</v>
      </c>
      <c r="L11630" t="s">
        <v>23</v>
      </c>
      <c r="M11630" t="s">
        <v>25731</v>
      </c>
      <c r="N11630" t="s">
        <v>4929</v>
      </c>
      <c r="O11630" t="s">
        <v>57</v>
      </c>
      <c r="P11630">
        <v>46123</v>
      </c>
      <c r="R11630" t="s">
        <v>23</v>
      </c>
      <c r="S11630" s="1" t="s">
        <v>34218</v>
      </c>
    </row>
    <row r="11631" spans="1:19" x14ac:dyDescent="0.25">
      <c r="A11631">
        <v>101424824</v>
      </c>
      <c r="B11631" t="s">
        <v>2509</v>
      </c>
      <c r="C11631" t="s">
        <v>613</v>
      </c>
      <c r="G11631" t="s">
        <v>25732</v>
      </c>
      <c r="H11631" t="s">
        <v>13675</v>
      </c>
      <c r="I11631" t="s">
        <v>446</v>
      </c>
      <c r="J11631">
        <v>28327</v>
      </c>
      <c r="K11631">
        <v>9762</v>
      </c>
      <c r="L11631" t="s">
        <v>23</v>
      </c>
      <c r="M11631" t="s">
        <v>25732</v>
      </c>
      <c r="N11631" t="s">
        <v>13675</v>
      </c>
      <c r="O11631" t="s">
        <v>446</v>
      </c>
      <c r="P11631">
        <v>28327</v>
      </c>
      <c r="Q11631">
        <v>9762</v>
      </c>
      <c r="R11631" t="s">
        <v>23</v>
      </c>
      <c r="S11631" s="1" t="s">
        <v>34218</v>
      </c>
    </row>
    <row r="11632" spans="1:19" x14ac:dyDescent="0.25">
      <c r="A11632">
        <v>101411681</v>
      </c>
      <c r="B11632" t="s">
        <v>1668</v>
      </c>
      <c r="C11632" t="s">
        <v>114</v>
      </c>
      <c r="G11632" t="s">
        <v>25733</v>
      </c>
      <c r="H11632" t="s">
        <v>2031</v>
      </c>
      <c r="I11632" t="s">
        <v>22</v>
      </c>
      <c r="J11632">
        <v>94061</v>
      </c>
      <c r="K11632">
        <v>2402</v>
      </c>
      <c r="L11632" t="s">
        <v>23</v>
      </c>
      <c r="M11632" t="s">
        <v>25733</v>
      </c>
      <c r="N11632" t="s">
        <v>2031</v>
      </c>
      <c r="O11632" t="s">
        <v>22</v>
      </c>
      <c r="P11632">
        <v>94061</v>
      </c>
      <c r="Q11632">
        <v>2402</v>
      </c>
      <c r="R11632" t="s">
        <v>23</v>
      </c>
      <c r="S11632" s="1" t="s">
        <v>34218</v>
      </c>
    </row>
    <row r="11633" spans="1:19" x14ac:dyDescent="0.25">
      <c r="A11633">
        <v>101251109</v>
      </c>
      <c r="B11633" t="s">
        <v>21825</v>
      </c>
      <c r="C11633" t="s">
        <v>846</v>
      </c>
      <c r="F11633" t="str">
        <f>"3154584835"</f>
        <v>3154584835</v>
      </c>
      <c r="G11633" t="s">
        <v>25734</v>
      </c>
      <c r="H11633" t="s">
        <v>25735</v>
      </c>
      <c r="I11633" t="s">
        <v>117</v>
      </c>
      <c r="J11633">
        <v>13212</v>
      </c>
      <c r="K11633">
        <v>1317</v>
      </c>
      <c r="L11633" t="s">
        <v>23</v>
      </c>
      <c r="M11633" t="s">
        <v>25734</v>
      </c>
      <c r="N11633" t="s">
        <v>25735</v>
      </c>
      <c r="O11633" t="s">
        <v>117</v>
      </c>
      <c r="P11633">
        <v>13212</v>
      </c>
      <c r="Q11633">
        <v>1317</v>
      </c>
      <c r="R11633" t="s">
        <v>23</v>
      </c>
      <c r="S11633" s="1" t="s">
        <v>34218</v>
      </c>
    </row>
    <row r="11634" spans="1:19" x14ac:dyDescent="0.25">
      <c r="A11634">
        <v>100905886</v>
      </c>
      <c r="B11634" t="s">
        <v>25736</v>
      </c>
      <c r="C11634" t="s">
        <v>475</v>
      </c>
      <c r="G11634" t="s">
        <v>25737</v>
      </c>
      <c r="H11634" t="s">
        <v>4893</v>
      </c>
      <c r="I11634" t="s">
        <v>22</v>
      </c>
      <c r="J11634">
        <v>94025</v>
      </c>
      <c r="K11634">
        <v>2041</v>
      </c>
      <c r="L11634" t="s">
        <v>23</v>
      </c>
      <c r="M11634" t="s">
        <v>25737</v>
      </c>
      <c r="N11634" t="s">
        <v>4893</v>
      </c>
      <c r="O11634" t="s">
        <v>22</v>
      </c>
      <c r="P11634">
        <v>94025</v>
      </c>
      <c r="Q11634">
        <v>2041</v>
      </c>
      <c r="R11634" t="s">
        <v>23</v>
      </c>
      <c r="S11634" s="1" t="s">
        <v>34218</v>
      </c>
    </row>
    <row r="11635" spans="1:19" x14ac:dyDescent="0.25">
      <c r="A11635">
        <v>101450611</v>
      </c>
      <c r="B11635" t="s">
        <v>25738</v>
      </c>
      <c r="C11635" t="s">
        <v>238</v>
      </c>
      <c r="G11635" t="s">
        <v>25739</v>
      </c>
      <c r="H11635" t="s">
        <v>104</v>
      </c>
      <c r="I11635" t="s">
        <v>22</v>
      </c>
      <c r="J11635">
        <v>92064</v>
      </c>
      <c r="K11635">
        <v>6419</v>
      </c>
      <c r="L11635" t="s">
        <v>23</v>
      </c>
      <c r="M11635" t="s">
        <v>25739</v>
      </c>
      <c r="N11635" t="s">
        <v>104</v>
      </c>
      <c r="O11635" t="s">
        <v>22</v>
      </c>
      <c r="P11635">
        <v>92064</v>
      </c>
      <c r="Q11635">
        <v>6419</v>
      </c>
      <c r="R11635" t="s">
        <v>23</v>
      </c>
      <c r="S11635" s="1" t="s">
        <v>34218</v>
      </c>
    </row>
    <row r="11636" spans="1:19" x14ac:dyDescent="0.25">
      <c r="A11636">
        <v>101472269</v>
      </c>
      <c r="B11636" t="s">
        <v>497</v>
      </c>
      <c r="C11636" t="s">
        <v>2763</v>
      </c>
      <c r="G11636" t="s">
        <v>25740</v>
      </c>
      <c r="H11636" t="s">
        <v>25741</v>
      </c>
      <c r="I11636" t="s">
        <v>370</v>
      </c>
      <c r="J11636">
        <v>68831</v>
      </c>
      <c r="K11636">
        <v>3152</v>
      </c>
      <c r="L11636" t="s">
        <v>23</v>
      </c>
      <c r="M11636" t="s">
        <v>25740</v>
      </c>
      <c r="N11636" t="s">
        <v>25741</v>
      </c>
      <c r="O11636" t="s">
        <v>370</v>
      </c>
      <c r="P11636">
        <v>68831</v>
      </c>
      <c r="Q11636">
        <v>3152</v>
      </c>
      <c r="R11636" t="s">
        <v>23</v>
      </c>
      <c r="S11636" s="1" t="s">
        <v>34218</v>
      </c>
    </row>
    <row r="11637" spans="1:19" x14ac:dyDescent="0.25">
      <c r="A11637">
        <v>101306087</v>
      </c>
      <c r="B11637" t="s">
        <v>11120</v>
      </c>
      <c r="C11637" t="s">
        <v>102</v>
      </c>
      <c r="G11637" t="s">
        <v>25742</v>
      </c>
      <c r="H11637" t="s">
        <v>638</v>
      </c>
      <c r="I11637" t="s">
        <v>639</v>
      </c>
      <c r="J11637" t="s">
        <v>25743</v>
      </c>
      <c r="K11637">
        <v>3013</v>
      </c>
      <c r="L11637" t="s">
        <v>23</v>
      </c>
      <c r="M11637" t="s">
        <v>25742</v>
      </c>
      <c r="N11637" t="s">
        <v>638</v>
      </c>
      <c r="O11637" t="s">
        <v>639</v>
      </c>
      <c r="P11637" t="s">
        <v>25743</v>
      </c>
      <c r="Q11637">
        <v>3013</v>
      </c>
      <c r="R11637" t="s">
        <v>23</v>
      </c>
      <c r="S11637" s="1" t="s">
        <v>34218</v>
      </c>
    </row>
    <row r="11638" spans="1:19" x14ac:dyDescent="0.25">
      <c r="A11638">
        <v>100599465</v>
      </c>
      <c r="B11638" t="s">
        <v>4038</v>
      </c>
      <c r="C11638" t="s">
        <v>155</v>
      </c>
      <c r="G11638" t="s">
        <v>25744</v>
      </c>
      <c r="H11638" t="s">
        <v>18915</v>
      </c>
      <c r="I11638" t="s">
        <v>250</v>
      </c>
      <c r="J11638">
        <v>7830</v>
      </c>
      <c r="K11638">
        <v>3510</v>
      </c>
      <c r="L11638" t="s">
        <v>23</v>
      </c>
      <c r="M11638" t="s">
        <v>25744</v>
      </c>
      <c r="N11638" t="s">
        <v>18915</v>
      </c>
      <c r="O11638" t="s">
        <v>250</v>
      </c>
      <c r="P11638">
        <v>7830</v>
      </c>
      <c r="Q11638">
        <v>3510</v>
      </c>
      <c r="R11638" t="s">
        <v>23</v>
      </c>
      <c r="S11638" s="1" t="s">
        <v>34218</v>
      </c>
    </row>
    <row r="11639" spans="1:19" x14ac:dyDescent="0.25">
      <c r="A11639">
        <v>101244948</v>
      </c>
      <c r="B11639" t="s">
        <v>25745</v>
      </c>
      <c r="C11639" t="s">
        <v>25746</v>
      </c>
      <c r="G11639" t="s">
        <v>25747</v>
      </c>
      <c r="H11639" t="s">
        <v>1452</v>
      </c>
      <c r="I11639" t="s">
        <v>43</v>
      </c>
      <c r="J11639">
        <v>97402</v>
      </c>
      <c r="L11639" t="s">
        <v>23</v>
      </c>
      <c r="M11639" t="s">
        <v>25747</v>
      </c>
      <c r="N11639" t="s">
        <v>1452</v>
      </c>
      <c r="O11639" t="s">
        <v>43</v>
      </c>
      <c r="P11639">
        <v>97402</v>
      </c>
      <c r="R11639" t="s">
        <v>23</v>
      </c>
      <c r="S11639" s="1" t="s">
        <v>34218</v>
      </c>
    </row>
    <row r="11640" spans="1:19" x14ac:dyDescent="0.25">
      <c r="A11640">
        <v>101470333</v>
      </c>
      <c r="B11640" t="s">
        <v>25748</v>
      </c>
      <c r="C11640" t="s">
        <v>274</v>
      </c>
      <c r="G11640" t="s">
        <v>25749</v>
      </c>
      <c r="H11640" t="s">
        <v>2769</v>
      </c>
      <c r="I11640" t="s">
        <v>52</v>
      </c>
      <c r="J11640">
        <v>34116</v>
      </c>
      <c r="K11640">
        <v>3606</v>
      </c>
      <c r="L11640" t="s">
        <v>23</v>
      </c>
      <c r="M11640" t="s">
        <v>25749</v>
      </c>
      <c r="N11640" t="s">
        <v>2769</v>
      </c>
      <c r="O11640" t="s">
        <v>52</v>
      </c>
      <c r="P11640">
        <v>34116</v>
      </c>
      <c r="Q11640">
        <v>3606</v>
      </c>
      <c r="R11640" t="s">
        <v>23</v>
      </c>
      <c r="S11640" s="1" t="s">
        <v>34218</v>
      </c>
    </row>
    <row r="11641" spans="1:19" x14ac:dyDescent="0.25">
      <c r="A11641">
        <v>101442764</v>
      </c>
      <c r="B11641" t="s">
        <v>25750</v>
      </c>
      <c r="C11641" t="s">
        <v>25751</v>
      </c>
      <c r="G11641" t="s">
        <v>25752</v>
      </c>
      <c r="H11641" t="s">
        <v>4953</v>
      </c>
      <c r="I11641" t="s">
        <v>2566</v>
      </c>
      <c r="J11641">
        <v>99801</v>
      </c>
      <c r="K11641">
        <v>9443</v>
      </c>
      <c r="L11641" t="s">
        <v>23</v>
      </c>
      <c r="M11641" t="s">
        <v>25752</v>
      </c>
      <c r="N11641" t="s">
        <v>4953</v>
      </c>
      <c r="O11641" t="s">
        <v>2566</v>
      </c>
      <c r="P11641">
        <v>99801</v>
      </c>
      <c r="Q11641">
        <v>9443</v>
      </c>
      <c r="R11641" t="s">
        <v>23</v>
      </c>
      <c r="S11641" s="1" t="s">
        <v>34218</v>
      </c>
    </row>
    <row r="11642" spans="1:19" x14ac:dyDescent="0.25">
      <c r="A11642">
        <v>101238215</v>
      </c>
      <c r="B11642" t="s">
        <v>25753</v>
      </c>
      <c r="C11642" t="s">
        <v>14600</v>
      </c>
      <c r="G11642" t="s">
        <v>25754</v>
      </c>
      <c r="H11642" t="s">
        <v>393</v>
      </c>
      <c r="I11642" t="s">
        <v>71</v>
      </c>
      <c r="J11642">
        <v>80206</v>
      </c>
      <c r="K11642">
        <v>2457</v>
      </c>
      <c r="L11642" t="s">
        <v>23</v>
      </c>
      <c r="M11642" t="s">
        <v>25754</v>
      </c>
      <c r="N11642" t="s">
        <v>393</v>
      </c>
      <c r="O11642" t="s">
        <v>71</v>
      </c>
      <c r="P11642">
        <v>80206</v>
      </c>
      <c r="Q11642">
        <v>2457</v>
      </c>
      <c r="R11642" t="s">
        <v>23</v>
      </c>
      <c r="S11642" s="1" t="s">
        <v>34218</v>
      </c>
    </row>
    <row r="11643" spans="1:19" x14ac:dyDescent="0.25">
      <c r="A11643">
        <v>101464850</v>
      </c>
      <c r="B11643" t="s">
        <v>25755</v>
      </c>
      <c r="C11643" t="s">
        <v>11308</v>
      </c>
      <c r="G11643" t="s">
        <v>25756</v>
      </c>
      <c r="H11643" t="s">
        <v>8692</v>
      </c>
      <c r="I11643" t="s">
        <v>135</v>
      </c>
      <c r="J11643">
        <v>62522</v>
      </c>
      <c r="L11643" t="s">
        <v>23</v>
      </c>
      <c r="M11643" t="s">
        <v>25756</v>
      </c>
      <c r="N11643" t="s">
        <v>8692</v>
      </c>
      <c r="O11643" t="s">
        <v>135</v>
      </c>
      <c r="P11643">
        <v>62522</v>
      </c>
      <c r="R11643" t="s">
        <v>23</v>
      </c>
      <c r="S11643" s="1" t="s">
        <v>34218</v>
      </c>
    </row>
    <row r="11644" spans="1:19" x14ac:dyDescent="0.25">
      <c r="A11644">
        <v>101453877</v>
      </c>
      <c r="B11644" t="s">
        <v>25757</v>
      </c>
      <c r="C11644" t="s">
        <v>18206</v>
      </c>
      <c r="G11644" t="s">
        <v>25758</v>
      </c>
      <c r="H11644" t="s">
        <v>25759</v>
      </c>
      <c r="I11644" t="s">
        <v>914</v>
      </c>
      <c r="J11644">
        <v>37073</v>
      </c>
      <c r="K11644">
        <v>5193</v>
      </c>
      <c r="L11644" t="s">
        <v>23</v>
      </c>
      <c r="M11644" t="s">
        <v>25758</v>
      </c>
      <c r="N11644" t="s">
        <v>25759</v>
      </c>
      <c r="O11644" t="s">
        <v>914</v>
      </c>
      <c r="P11644">
        <v>37073</v>
      </c>
      <c r="Q11644">
        <v>5193</v>
      </c>
      <c r="R11644" t="s">
        <v>23</v>
      </c>
      <c r="S11644" s="1" t="s">
        <v>34218</v>
      </c>
    </row>
    <row r="11645" spans="1:19" x14ac:dyDescent="0.25">
      <c r="A11645">
        <v>101144868</v>
      </c>
      <c r="B11645" t="s">
        <v>25760</v>
      </c>
      <c r="C11645" t="s">
        <v>17769</v>
      </c>
      <c r="G11645" t="s">
        <v>25761</v>
      </c>
      <c r="H11645" t="s">
        <v>488</v>
      </c>
      <c r="I11645" t="s">
        <v>100</v>
      </c>
      <c r="J11645">
        <v>53005</v>
      </c>
      <c r="K11645">
        <v>4105</v>
      </c>
      <c r="L11645" t="s">
        <v>23</v>
      </c>
      <c r="M11645" t="s">
        <v>25761</v>
      </c>
      <c r="N11645" t="s">
        <v>488</v>
      </c>
      <c r="O11645" t="s">
        <v>100</v>
      </c>
      <c r="P11645">
        <v>53005</v>
      </c>
      <c r="Q11645">
        <v>4105</v>
      </c>
      <c r="R11645" t="s">
        <v>23</v>
      </c>
      <c r="S11645" s="1" t="s">
        <v>34218</v>
      </c>
    </row>
    <row r="11646" spans="1:19" x14ac:dyDescent="0.25">
      <c r="A11646">
        <v>101464556</v>
      </c>
      <c r="B11646" t="s">
        <v>333</v>
      </c>
      <c r="C11646" t="s">
        <v>440</v>
      </c>
      <c r="G11646" t="s">
        <v>25762</v>
      </c>
      <c r="H11646" t="s">
        <v>10101</v>
      </c>
      <c r="I11646" t="s">
        <v>52</v>
      </c>
      <c r="J11646">
        <v>33909</v>
      </c>
      <c r="K11646">
        <v>2908</v>
      </c>
      <c r="L11646" t="s">
        <v>23</v>
      </c>
      <c r="M11646" t="s">
        <v>25762</v>
      </c>
      <c r="N11646" t="s">
        <v>10101</v>
      </c>
      <c r="O11646" t="s">
        <v>52</v>
      </c>
      <c r="P11646">
        <v>33909</v>
      </c>
      <c r="Q11646">
        <v>2908</v>
      </c>
      <c r="R11646" t="s">
        <v>23</v>
      </c>
      <c r="S11646" s="1" t="s">
        <v>34218</v>
      </c>
    </row>
    <row r="11647" spans="1:19" x14ac:dyDescent="0.25">
      <c r="A11647">
        <v>101037226</v>
      </c>
      <c r="B11647" t="s">
        <v>24138</v>
      </c>
      <c r="C11647" t="s">
        <v>6917</v>
      </c>
      <c r="G11647" t="s">
        <v>25763</v>
      </c>
      <c r="H11647" t="s">
        <v>4611</v>
      </c>
      <c r="I11647" t="s">
        <v>135</v>
      </c>
      <c r="J11647">
        <v>60137</v>
      </c>
      <c r="L11647" t="s">
        <v>23</v>
      </c>
      <c r="M11647" t="s">
        <v>25763</v>
      </c>
      <c r="N11647" t="s">
        <v>4611</v>
      </c>
      <c r="O11647" t="s">
        <v>135</v>
      </c>
      <c r="P11647">
        <v>60137</v>
      </c>
      <c r="R11647" t="s">
        <v>23</v>
      </c>
      <c r="S11647" s="1" t="s">
        <v>34218</v>
      </c>
    </row>
    <row r="11648" spans="1:19" x14ac:dyDescent="0.25">
      <c r="A11648">
        <v>101439419</v>
      </c>
      <c r="B11648" t="s">
        <v>1330</v>
      </c>
      <c r="C11648" t="s">
        <v>1050</v>
      </c>
      <c r="G11648" t="s">
        <v>25764</v>
      </c>
      <c r="H11648" t="s">
        <v>25765</v>
      </c>
      <c r="I11648" t="s">
        <v>33</v>
      </c>
      <c r="J11648">
        <v>18942</v>
      </c>
      <c r="K11648">
        <v>1614</v>
      </c>
      <c r="L11648" t="s">
        <v>23</v>
      </c>
      <c r="M11648" t="s">
        <v>25764</v>
      </c>
      <c r="N11648" t="s">
        <v>25765</v>
      </c>
      <c r="O11648" t="s">
        <v>33</v>
      </c>
      <c r="P11648">
        <v>18942</v>
      </c>
      <c r="Q11648">
        <v>1614</v>
      </c>
      <c r="R11648" t="s">
        <v>23</v>
      </c>
      <c r="S11648" s="1" t="s">
        <v>34218</v>
      </c>
    </row>
    <row r="11649" spans="1:19" x14ac:dyDescent="0.25">
      <c r="A11649">
        <v>101480640</v>
      </c>
      <c r="B11649" t="s">
        <v>2482</v>
      </c>
      <c r="C11649" t="s">
        <v>123</v>
      </c>
      <c r="G11649" t="s">
        <v>25766</v>
      </c>
      <c r="H11649" t="s">
        <v>2996</v>
      </c>
      <c r="I11649" t="s">
        <v>22</v>
      </c>
      <c r="J11649">
        <v>91304</v>
      </c>
      <c r="K11649">
        <v>2830</v>
      </c>
      <c r="L11649" t="s">
        <v>23</v>
      </c>
      <c r="M11649" t="s">
        <v>25766</v>
      </c>
      <c r="N11649" t="s">
        <v>2996</v>
      </c>
      <c r="O11649" t="s">
        <v>22</v>
      </c>
      <c r="P11649">
        <v>91304</v>
      </c>
      <c r="Q11649">
        <v>2830</v>
      </c>
      <c r="R11649" t="s">
        <v>23</v>
      </c>
      <c r="S11649" s="1" t="s">
        <v>34218</v>
      </c>
    </row>
    <row r="11650" spans="1:19" x14ac:dyDescent="0.25">
      <c r="A11650">
        <v>100894189</v>
      </c>
      <c r="B11650" t="s">
        <v>25767</v>
      </c>
      <c r="C11650" t="s">
        <v>3171</v>
      </c>
      <c r="G11650">
        <v>4099</v>
      </c>
      <c r="H11650" t="s">
        <v>25768</v>
      </c>
      <c r="I11650" t="s">
        <v>33</v>
      </c>
      <c r="J11650">
        <v>15646</v>
      </c>
      <c r="L11650" t="s">
        <v>23</v>
      </c>
      <c r="M11650">
        <v>4099</v>
      </c>
      <c r="N11650" t="s">
        <v>25768</v>
      </c>
      <c r="O11650" t="s">
        <v>33</v>
      </c>
      <c r="P11650">
        <v>15646</v>
      </c>
      <c r="R11650" t="s">
        <v>23</v>
      </c>
      <c r="S11650" s="1" t="s">
        <v>34218</v>
      </c>
    </row>
    <row r="11651" spans="1:19" x14ac:dyDescent="0.25">
      <c r="A11651">
        <v>101278675</v>
      </c>
      <c r="B11651" t="s">
        <v>14165</v>
      </c>
      <c r="C11651" t="s">
        <v>1120</v>
      </c>
      <c r="G11651" t="s">
        <v>25395</v>
      </c>
      <c r="H11651" t="s">
        <v>5413</v>
      </c>
      <c r="I11651" t="s">
        <v>187</v>
      </c>
      <c r="J11651">
        <v>55024</v>
      </c>
      <c r="K11651">
        <v>8460</v>
      </c>
      <c r="L11651" t="s">
        <v>23</v>
      </c>
      <c r="M11651" t="s">
        <v>25395</v>
      </c>
      <c r="N11651" t="s">
        <v>5413</v>
      </c>
      <c r="O11651" t="s">
        <v>187</v>
      </c>
      <c r="P11651">
        <v>55024</v>
      </c>
      <c r="Q11651">
        <v>8460</v>
      </c>
      <c r="R11651" t="s">
        <v>23</v>
      </c>
      <c r="S11651" s="1" t="s">
        <v>34218</v>
      </c>
    </row>
    <row r="11652" spans="1:19" x14ac:dyDescent="0.25">
      <c r="A11652">
        <v>101480646</v>
      </c>
      <c r="B11652" t="s">
        <v>4180</v>
      </c>
      <c r="C11652" t="s">
        <v>17914</v>
      </c>
      <c r="G11652" t="s">
        <v>23130</v>
      </c>
      <c r="H11652" t="s">
        <v>13053</v>
      </c>
      <c r="I11652" t="s">
        <v>43</v>
      </c>
      <c r="J11652">
        <v>97031</v>
      </c>
      <c r="K11652">
        <v>8608</v>
      </c>
      <c r="L11652" t="s">
        <v>23</v>
      </c>
      <c r="M11652" t="s">
        <v>23130</v>
      </c>
      <c r="N11652" t="s">
        <v>13053</v>
      </c>
      <c r="O11652" t="s">
        <v>43</v>
      </c>
      <c r="P11652">
        <v>97031</v>
      </c>
      <c r="Q11652">
        <v>8608</v>
      </c>
      <c r="R11652" t="s">
        <v>23</v>
      </c>
      <c r="S11652" s="1" t="s">
        <v>34218</v>
      </c>
    </row>
    <row r="11653" spans="1:19" x14ac:dyDescent="0.25">
      <c r="A11653">
        <v>101480648</v>
      </c>
      <c r="B11653" t="s">
        <v>9807</v>
      </c>
      <c r="C11653" t="s">
        <v>23440</v>
      </c>
      <c r="G11653" t="s">
        <v>25769</v>
      </c>
      <c r="H11653" t="s">
        <v>23442</v>
      </c>
      <c r="I11653" t="s">
        <v>153</v>
      </c>
      <c r="J11653">
        <v>70053</v>
      </c>
      <c r="K11653">
        <v>7003</v>
      </c>
      <c r="L11653" t="s">
        <v>23</v>
      </c>
      <c r="M11653" t="s">
        <v>25769</v>
      </c>
      <c r="N11653" t="s">
        <v>23442</v>
      </c>
      <c r="O11653" t="s">
        <v>153</v>
      </c>
      <c r="P11653">
        <v>70053</v>
      </c>
      <c r="Q11653">
        <v>7003</v>
      </c>
      <c r="R11653" t="s">
        <v>23</v>
      </c>
      <c r="S11653" s="1" t="s">
        <v>34218</v>
      </c>
    </row>
    <row r="11654" spans="1:19" x14ac:dyDescent="0.25">
      <c r="A11654">
        <v>101386506</v>
      </c>
      <c r="B11654" t="s">
        <v>826</v>
      </c>
      <c r="C11654" t="s">
        <v>4956</v>
      </c>
      <c r="G11654" t="s">
        <v>25770</v>
      </c>
      <c r="H11654" t="s">
        <v>1748</v>
      </c>
      <c r="I11654" t="s">
        <v>255</v>
      </c>
      <c r="J11654">
        <v>22202</v>
      </c>
      <c r="K11654">
        <v>4426</v>
      </c>
      <c r="L11654" t="s">
        <v>23</v>
      </c>
      <c r="M11654" t="s">
        <v>25770</v>
      </c>
      <c r="N11654" t="s">
        <v>1748</v>
      </c>
      <c r="O11654" t="s">
        <v>255</v>
      </c>
      <c r="P11654">
        <v>22202</v>
      </c>
      <c r="Q11654">
        <v>4426</v>
      </c>
      <c r="R11654" t="s">
        <v>23</v>
      </c>
      <c r="S11654" s="1" t="s">
        <v>34218</v>
      </c>
    </row>
    <row r="11655" spans="1:19" x14ac:dyDescent="0.25">
      <c r="A11655">
        <v>101472021</v>
      </c>
      <c r="B11655" t="s">
        <v>2357</v>
      </c>
      <c r="C11655" t="s">
        <v>763</v>
      </c>
      <c r="G11655" t="s">
        <v>25771</v>
      </c>
      <c r="H11655" t="s">
        <v>1754</v>
      </c>
      <c r="I11655" t="s">
        <v>135</v>
      </c>
      <c r="J11655">
        <v>60202</v>
      </c>
      <c r="K11655">
        <v>6107</v>
      </c>
      <c r="L11655" t="s">
        <v>23</v>
      </c>
      <c r="M11655" t="s">
        <v>25771</v>
      </c>
      <c r="N11655" t="s">
        <v>1754</v>
      </c>
      <c r="O11655" t="s">
        <v>135</v>
      </c>
      <c r="P11655">
        <v>60202</v>
      </c>
      <c r="Q11655">
        <v>6107</v>
      </c>
      <c r="R11655" t="s">
        <v>23</v>
      </c>
      <c r="S11655" s="1" t="s">
        <v>34218</v>
      </c>
    </row>
    <row r="11656" spans="1:19" x14ac:dyDescent="0.25">
      <c r="A11656">
        <v>101198755</v>
      </c>
      <c r="B11656" t="s">
        <v>25772</v>
      </c>
      <c r="C11656" t="s">
        <v>10186</v>
      </c>
      <c r="G11656" t="s">
        <v>25773</v>
      </c>
      <c r="H11656" t="s">
        <v>22529</v>
      </c>
      <c r="I11656" t="s">
        <v>353</v>
      </c>
      <c r="J11656">
        <v>3266</v>
      </c>
      <c r="K11656">
        <v>3534</v>
      </c>
      <c r="L11656" t="s">
        <v>23</v>
      </c>
      <c r="M11656" t="s">
        <v>25773</v>
      </c>
      <c r="N11656" t="s">
        <v>22529</v>
      </c>
      <c r="O11656" t="s">
        <v>353</v>
      </c>
      <c r="P11656">
        <v>3266</v>
      </c>
      <c r="Q11656">
        <v>3534</v>
      </c>
      <c r="R11656" t="s">
        <v>23</v>
      </c>
      <c r="S11656" s="1" t="s">
        <v>34218</v>
      </c>
    </row>
    <row r="11657" spans="1:19" x14ac:dyDescent="0.25">
      <c r="A11657">
        <v>101287881</v>
      </c>
      <c r="B11657" t="s">
        <v>25774</v>
      </c>
      <c r="C11657" t="s">
        <v>535</v>
      </c>
      <c r="G11657" t="s">
        <v>25775</v>
      </c>
      <c r="H11657" t="s">
        <v>25776</v>
      </c>
      <c r="I11657" t="s">
        <v>250</v>
      </c>
      <c r="J11657">
        <v>8053</v>
      </c>
      <c r="K11657">
        <v>1398</v>
      </c>
      <c r="L11657" t="s">
        <v>23</v>
      </c>
      <c r="M11657" t="s">
        <v>25775</v>
      </c>
      <c r="N11657" t="s">
        <v>25776</v>
      </c>
      <c r="O11657" t="s">
        <v>250</v>
      </c>
      <c r="P11657">
        <v>8053</v>
      </c>
      <c r="Q11657">
        <v>1398</v>
      </c>
      <c r="R11657" t="s">
        <v>23</v>
      </c>
      <c r="S11657" s="1" t="s">
        <v>34218</v>
      </c>
    </row>
    <row r="11658" spans="1:19" x14ac:dyDescent="0.25">
      <c r="A11658">
        <v>100649886</v>
      </c>
      <c r="B11658" t="s">
        <v>25777</v>
      </c>
      <c r="C11658" t="s">
        <v>644</v>
      </c>
      <c r="F11658" t="str">
        <f>"8025037530"</f>
        <v>8025037530</v>
      </c>
      <c r="G11658" t="s">
        <v>25778</v>
      </c>
      <c r="H11658" t="s">
        <v>5190</v>
      </c>
      <c r="I11658" t="s">
        <v>307</v>
      </c>
      <c r="J11658">
        <v>5454</v>
      </c>
      <c r="K11658">
        <v>9500</v>
      </c>
      <c r="L11658" t="s">
        <v>23</v>
      </c>
      <c r="M11658" t="s">
        <v>25778</v>
      </c>
      <c r="N11658" t="s">
        <v>5190</v>
      </c>
      <c r="O11658" t="s">
        <v>307</v>
      </c>
      <c r="P11658">
        <v>5454</v>
      </c>
      <c r="Q11658">
        <v>9500</v>
      </c>
      <c r="R11658" t="s">
        <v>23</v>
      </c>
      <c r="S11658" s="1" t="s">
        <v>34218</v>
      </c>
    </row>
    <row r="11659" spans="1:19" x14ac:dyDescent="0.25">
      <c r="A11659">
        <v>101480762</v>
      </c>
      <c r="B11659" t="s">
        <v>19374</v>
      </c>
      <c r="C11659" t="s">
        <v>2329</v>
      </c>
      <c r="G11659" t="s">
        <v>25779</v>
      </c>
      <c r="H11659" t="s">
        <v>299</v>
      </c>
      <c r="I11659" t="s">
        <v>22</v>
      </c>
      <c r="J11659">
        <v>90065</v>
      </c>
      <c r="K11659">
        <v>4206</v>
      </c>
      <c r="L11659" t="s">
        <v>23</v>
      </c>
      <c r="M11659" t="s">
        <v>25779</v>
      </c>
      <c r="N11659" t="s">
        <v>299</v>
      </c>
      <c r="O11659" t="s">
        <v>22</v>
      </c>
      <c r="P11659">
        <v>90065</v>
      </c>
      <c r="Q11659">
        <v>4206</v>
      </c>
      <c r="R11659" t="s">
        <v>23</v>
      </c>
      <c r="S11659" s="1" t="s">
        <v>34218</v>
      </c>
    </row>
    <row r="11660" spans="1:19" x14ac:dyDescent="0.25">
      <c r="A11660">
        <v>101470707</v>
      </c>
      <c r="B11660" t="s">
        <v>25780</v>
      </c>
      <c r="C11660" t="s">
        <v>535</v>
      </c>
      <c r="G11660" t="s">
        <v>25781</v>
      </c>
      <c r="H11660" t="s">
        <v>1196</v>
      </c>
      <c r="I11660" t="s">
        <v>52</v>
      </c>
      <c r="J11660">
        <v>32303</v>
      </c>
      <c r="K11660">
        <v>5634</v>
      </c>
      <c r="L11660" t="s">
        <v>23</v>
      </c>
      <c r="M11660" t="s">
        <v>25781</v>
      </c>
      <c r="N11660" t="s">
        <v>1196</v>
      </c>
      <c r="O11660" t="s">
        <v>52</v>
      </c>
      <c r="P11660">
        <v>32303</v>
      </c>
      <c r="Q11660">
        <v>5634</v>
      </c>
      <c r="R11660" t="s">
        <v>23</v>
      </c>
      <c r="S11660" s="1" t="s">
        <v>34218</v>
      </c>
    </row>
    <row r="11661" spans="1:19" x14ac:dyDescent="0.25">
      <c r="A11661">
        <v>101246537</v>
      </c>
      <c r="B11661" t="s">
        <v>19426</v>
      </c>
      <c r="C11661" t="s">
        <v>1107</v>
      </c>
      <c r="G11661" t="s">
        <v>25782</v>
      </c>
      <c r="H11661" t="s">
        <v>6710</v>
      </c>
      <c r="I11661" t="s">
        <v>135</v>
      </c>
      <c r="J11661">
        <v>60103</v>
      </c>
      <c r="K11661">
        <v>7966</v>
      </c>
      <c r="L11661" t="s">
        <v>23</v>
      </c>
      <c r="M11661" t="s">
        <v>25782</v>
      </c>
      <c r="N11661" t="s">
        <v>6710</v>
      </c>
      <c r="O11661" t="s">
        <v>135</v>
      </c>
      <c r="P11661">
        <v>60103</v>
      </c>
      <c r="Q11661">
        <v>7966</v>
      </c>
      <c r="R11661" t="s">
        <v>23</v>
      </c>
      <c r="S11661" s="1" t="s">
        <v>34218</v>
      </c>
    </row>
    <row r="11662" spans="1:19" x14ac:dyDescent="0.25">
      <c r="A11662">
        <v>101262897</v>
      </c>
      <c r="B11662" t="s">
        <v>2074</v>
      </c>
      <c r="C11662" t="s">
        <v>929</v>
      </c>
      <c r="G11662" t="s">
        <v>25783</v>
      </c>
      <c r="H11662" t="s">
        <v>867</v>
      </c>
      <c r="I11662" t="s">
        <v>353</v>
      </c>
      <c r="J11662">
        <v>3077</v>
      </c>
      <c r="K11662">
        <v>1268</v>
      </c>
      <c r="L11662" t="s">
        <v>23</v>
      </c>
      <c r="M11662" t="s">
        <v>25783</v>
      </c>
      <c r="N11662" t="s">
        <v>867</v>
      </c>
      <c r="O11662" t="s">
        <v>353</v>
      </c>
      <c r="P11662">
        <v>3077</v>
      </c>
      <c r="Q11662">
        <v>1268</v>
      </c>
      <c r="R11662" t="s">
        <v>23</v>
      </c>
      <c r="S11662" s="1" t="s">
        <v>34218</v>
      </c>
    </row>
    <row r="11663" spans="1:19" x14ac:dyDescent="0.25">
      <c r="A11663">
        <v>101292796</v>
      </c>
      <c r="B11663" t="s">
        <v>763</v>
      </c>
      <c r="C11663" t="s">
        <v>382</v>
      </c>
      <c r="F11663" t="str">
        <f>"4232723428"</f>
        <v>4232723428</v>
      </c>
      <c r="G11663" t="s">
        <v>10382</v>
      </c>
      <c r="H11663" t="s">
        <v>10383</v>
      </c>
      <c r="I11663" t="s">
        <v>914</v>
      </c>
      <c r="J11663">
        <v>37857</v>
      </c>
      <c r="L11663" t="s">
        <v>23</v>
      </c>
      <c r="M11663" t="s">
        <v>10382</v>
      </c>
      <c r="N11663" t="s">
        <v>10383</v>
      </c>
      <c r="O11663" t="s">
        <v>914</v>
      </c>
      <c r="P11663">
        <v>37857</v>
      </c>
      <c r="R11663" t="s">
        <v>23</v>
      </c>
      <c r="S11663" s="1" t="s">
        <v>34218</v>
      </c>
    </row>
    <row r="11664" spans="1:19" x14ac:dyDescent="0.25">
      <c r="A11664">
        <v>101470736</v>
      </c>
      <c r="B11664" t="s">
        <v>18935</v>
      </c>
      <c r="C11664" t="s">
        <v>8984</v>
      </c>
      <c r="G11664" t="s">
        <v>25784</v>
      </c>
      <c r="H11664" t="s">
        <v>134</v>
      </c>
      <c r="I11664" t="s">
        <v>135</v>
      </c>
      <c r="J11664">
        <v>60640</v>
      </c>
      <c r="K11664">
        <v>2320</v>
      </c>
      <c r="L11664" t="s">
        <v>23</v>
      </c>
      <c r="M11664" t="s">
        <v>25784</v>
      </c>
      <c r="N11664" t="s">
        <v>134</v>
      </c>
      <c r="O11664" t="s">
        <v>135</v>
      </c>
      <c r="P11664">
        <v>60640</v>
      </c>
      <c r="Q11664">
        <v>2320</v>
      </c>
      <c r="R11664" t="s">
        <v>23</v>
      </c>
      <c r="S11664" s="1" t="s">
        <v>34218</v>
      </c>
    </row>
    <row r="11665" spans="1:19" x14ac:dyDescent="0.25">
      <c r="A11665">
        <v>101454477</v>
      </c>
      <c r="B11665" t="s">
        <v>13444</v>
      </c>
      <c r="C11665" t="s">
        <v>1363</v>
      </c>
      <c r="G11665" t="s">
        <v>25785</v>
      </c>
      <c r="H11665" t="s">
        <v>25786</v>
      </c>
      <c r="I11665" t="s">
        <v>178</v>
      </c>
      <c r="J11665">
        <v>44663</v>
      </c>
      <c r="K11665">
        <v>8080</v>
      </c>
      <c r="L11665" t="s">
        <v>23</v>
      </c>
      <c r="M11665" t="s">
        <v>25785</v>
      </c>
      <c r="N11665" t="s">
        <v>25786</v>
      </c>
      <c r="O11665" t="s">
        <v>178</v>
      </c>
      <c r="P11665">
        <v>44663</v>
      </c>
      <c r="Q11665">
        <v>8080</v>
      </c>
      <c r="R11665" t="s">
        <v>23</v>
      </c>
      <c r="S11665" s="1" t="s">
        <v>34218</v>
      </c>
    </row>
    <row r="11666" spans="1:19" x14ac:dyDescent="0.25">
      <c r="A11666">
        <v>101474444</v>
      </c>
      <c r="B11666" t="s">
        <v>22219</v>
      </c>
      <c r="C11666" t="s">
        <v>25787</v>
      </c>
      <c r="G11666" t="s">
        <v>25788</v>
      </c>
      <c r="H11666" t="s">
        <v>130</v>
      </c>
      <c r="I11666" t="s">
        <v>22</v>
      </c>
      <c r="J11666">
        <v>94110</v>
      </c>
      <c r="K11666">
        <v>3086</v>
      </c>
      <c r="L11666" t="s">
        <v>23</v>
      </c>
      <c r="M11666" t="s">
        <v>25788</v>
      </c>
      <c r="N11666" t="s">
        <v>130</v>
      </c>
      <c r="O11666" t="s">
        <v>22</v>
      </c>
      <c r="P11666">
        <v>94110</v>
      </c>
      <c r="Q11666">
        <v>3086</v>
      </c>
      <c r="R11666" t="s">
        <v>23</v>
      </c>
      <c r="S11666" s="1" t="s">
        <v>34218</v>
      </c>
    </row>
    <row r="11667" spans="1:19" x14ac:dyDescent="0.25">
      <c r="A11667">
        <v>101474454</v>
      </c>
      <c r="B11667" t="s">
        <v>25789</v>
      </c>
      <c r="C11667" t="s">
        <v>25790</v>
      </c>
      <c r="G11667" t="s">
        <v>25791</v>
      </c>
      <c r="H11667" t="s">
        <v>7649</v>
      </c>
      <c r="I11667" t="s">
        <v>57</v>
      </c>
      <c r="J11667">
        <v>46256</v>
      </c>
      <c r="K11667">
        <v>4349</v>
      </c>
      <c r="L11667" t="s">
        <v>23</v>
      </c>
      <c r="M11667" t="s">
        <v>25791</v>
      </c>
      <c r="N11667" t="s">
        <v>7649</v>
      </c>
      <c r="O11667" t="s">
        <v>57</v>
      </c>
      <c r="P11667">
        <v>46256</v>
      </c>
      <c r="Q11667">
        <v>4349</v>
      </c>
      <c r="R11667" t="s">
        <v>23</v>
      </c>
      <c r="S11667" s="1" t="s">
        <v>34218</v>
      </c>
    </row>
    <row r="11668" spans="1:19" x14ac:dyDescent="0.25">
      <c r="A11668">
        <v>101222185</v>
      </c>
      <c r="B11668" t="s">
        <v>25792</v>
      </c>
      <c r="C11668" t="s">
        <v>6572</v>
      </c>
      <c r="G11668" t="s">
        <v>25793</v>
      </c>
      <c r="H11668" t="s">
        <v>999</v>
      </c>
      <c r="I11668" t="s">
        <v>1000</v>
      </c>
      <c r="J11668">
        <v>59802</v>
      </c>
      <c r="K11668">
        <v>9510</v>
      </c>
      <c r="L11668" t="s">
        <v>23</v>
      </c>
      <c r="M11668" t="s">
        <v>25793</v>
      </c>
      <c r="N11668" t="s">
        <v>999</v>
      </c>
      <c r="O11668" t="s">
        <v>1000</v>
      </c>
      <c r="P11668">
        <v>59802</v>
      </c>
      <c r="Q11668">
        <v>9510</v>
      </c>
      <c r="R11668" t="s">
        <v>23</v>
      </c>
      <c r="S11668" s="1" t="s">
        <v>34218</v>
      </c>
    </row>
    <row r="11669" spans="1:19" x14ac:dyDescent="0.25">
      <c r="A11669">
        <v>101430915</v>
      </c>
      <c r="B11669" t="s">
        <v>25794</v>
      </c>
      <c r="C11669" t="s">
        <v>16085</v>
      </c>
      <c r="G11669" t="s">
        <v>25795</v>
      </c>
      <c r="H11669" t="s">
        <v>25796</v>
      </c>
      <c r="I11669" t="s">
        <v>255</v>
      </c>
      <c r="J11669">
        <v>22932</v>
      </c>
      <c r="K11669">
        <v>9725</v>
      </c>
      <c r="L11669" t="s">
        <v>23</v>
      </c>
      <c r="M11669" t="s">
        <v>25795</v>
      </c>
      <c r="N11669" t="s">
        <v>25796</v>
      </c>
      <c r="O11669" t="s">
        <v>255</v>
      </c>
      <c r="P11669">
        <v>22932</v>
      </c>
      <c r="Q11669">
        <v>9725</v>
      </c>
      <c r="R11669" t="s">
        <v>23</v>
      </c>
      <c r="S11669" s="1" t="s">
        <v>34218</v>
      </c>
    </row>
    <row r="11670" spans="1:19" x14ac:dyDescent="0.25">
      <c r="A11670">
        <v>100631566</v>
      </c>
      <c r="B11670" t="s">
        <v>2486</v>
      </c>
      <c r="C11670" t="s">
        <v>579</v>
      </c>
      <c r="G11670" t="s">
        <v>25797</v>
      </c>
      <c r="H11670" t="s">
        <v>573</v>
      </c>
      <c r="I11670" t="s">
        <v>33</v>
      </c>
      <c r="J11670">
        <v>19111</v>
      </c>
      <c r="K11670">
        <v>1379</v>
      </c>
      <c r="L11670" t="s">
        <v>23</v>
      </c>
      <c r="M11670" t="s">
        <v>25797</v>
      </c>
      <c r="N11670" t="s">
        <v>573</v>
      </c>
      <c r="O11670" t="s">
        <v>33</v>
      </c>
      <c r="P11670">
        <v>19111</v>
      </c>
      <c r="Q11670">
        <v>1379</v>
      </c>
      <c r="R11670" t="s">
        <v>23</v>
      </c>
      <c r="S11670" s="1" t="s">
        <v>34218</v>
      </c>
    </row>
    <row r="11671" spans="1:19" x14ac:dyDescent="0.25">
      <c r="A11671">
        <v>101331362</v>
      </c>
      <c r="B11671" t="s">
        <v>3650</v>
      </c>
      <c r="C11671" t="s">
        <v>2653</v>
      </c>
      <c r="G11671" t="s">
        <v>25798</v>
      </c>
      <c r="H11671" t="s">
        <v>1434</v>
      </c>
      <c r="I11671" t="s">
        <v>22</v>
      </c>
      <c r="J11671">
        <v>95425</v>
      </c>
      <c r="K11671">
        <v>3551</v>
      </c>
      <c r="L11671" t="s">
        <v>23</v>
      </c>
      <c r="M11671" t="s">
        <v>25798</v>
      </c>
      <c r="N11671" t="s">
        <v>1434</v>
      </c>
      <c r="O11671" t="s">
        <v>22</v>
      </c>
      <c r="P11671">
        <v>95425</v>
      </c>
      <c r="Q11671">
        <v>3551</v>
      </c>
      <c r="R11671" t="s">
        <v>23</v>
      </c>
      <c r="S11671" s="1" t="s">
        <v>34218</v>
      </c>
    </row>
    <row r="11672" spans="1:19" x14ac:dyDescent="0.25">
      <c r="A11672">
        <v>101399901</v>
      </c>
      <c r="B11672" t="s">
        <v>25799</v>
      </c>
      <c r="C11672" t="s">
        <v>123</v>
      </c>
      <c r="G11672" t="s">
        <v>25800</v>
      </c>
      <c r="H11672" t="s">
        <v>9834</v>
      </c>
      <c r="I11672" t="s">
        <v>353</v>
      </c>
      <c r="J11672">
        <v>3811</v>
      </c>
      <c r="K11672">
        <v>2246</v>
      </c>
      <c r="L11672" t="s">
        <v>23</v>
      </c>
      <c r="M11672" t="s">
        <v>25800</v>
      </c>
      <c r="N11672" t="s">
        <v>9834</v>
      </c>
      <c r="O11672" t="s">
        <v>353</v>
      </c>
      <c r="P11672">
        <v>3811</v>
      </c>
      <c r="Q11672">
        <v>2246</v>
      </c>
      <c r="R11672" t="s">
        <v>23</v>
      </c>
      <c r="S11672" s="1" t="s">
        <v>34218</v>
      </c>
    </row>
    <row r="11673" spans="1:19" x14ac:dyDescent="0.25">
      <c r="A11673">
        <v>101295924</v>
      </c>
      <c r="B11673" t="s">
        <v>25801</v>
      </c>
      <c r="C11673" t="s">
        <v>119</v>
      </c>
      <c r="G11673" t="s">
        <v>25802</v>
      </c>
      <c r="H11673" t="s">
        <v>1579</v>
      </c>
      <c r="I11673" t="s">
        <v>71</v>
      </c>
      <c r="J11673">
        <v>80010</v>
      </c>
      <c r="K11673">
        <v>1225</v>
      </c>
      <c r="L11673" t="s">
        <v>23</v>
      </c>
      <c r="M11673" t="s">
        <v>25802</v>
      </c>
      <c r="N11673" t="s">
        <v>1579</v>
      </c>
      <c r="O11673" t="s">
        <v>71</v>
      </c>
      <c r="P11673">
        <v>80010</v>
      </c>
      <c r="Q11673">
        <v>1225</v>
      </c>
      <c r="R11673" t="s">
        <v>23</v>
      </c>
      <c r="S11673" s="1" t="s">
        <v>34218</v>
      </c>
    </row>
    <row r="11674" spans="1:19" x14ac:dyDescent="0.25">
      <c r="A11674">
        <v>101209828</v>
      </c>
      <c r="B11674" t="s">
        <v>10993</v>
      </c>
      <c r="C11674" t="s">
        <v>2599</v>
      </c>
      <c r="G11674" t="s">
        <v>25803</v>
      </c>
      <c r="H11674" t="s">
        <v>2784</v>
      </c>
      <c r="I11674" t="s">
        <v>57</v>
      </c>
      <c r="J11674">
        <v>47588</v>
      </c>
      <c r="K11674">
        <v>9231</v>
      </c>
      <c r="L11674" t="s">
        <v>23</v>
      </c>
      <c r="M11674" t="s">
        <v>25803</v>
      </c>
      <c r="N11674" t="s">
        <v>2784</v>
      </c>
      <c r="O11674" t="s">
        <v>57</v>
      </c>
      <c r="P11674">
        <v>47588</v>
      </c>
      <c r="Q11674">
        <v>9231</v>
      </c>
      <c r="R11674" t="s">
        <v>23</v>
      </c>
      <c r="S11674" s="1" t="s">
        <v>34218</v>
      </c>
    </row>
    <row r="11675" spans="1:19" x14ac:dyDescent="0.25">
      <c r="A11675">
        <v>101431551</v>
      </c>
      <c r="B11675" t="s">
        <v>25804</v>
      </c>
      <c r="C11675" t="s">
        <v>90</v>
      </c>
      <c r="G11675" t="s">
        <v>25805</v>
      </c>
      <c r="H11675" t="s">
        <v>25721</v>
      </c>
      <c r="I11675" t="s">
        <v>100</v>
      </c>
      <c r="J11675">
        <v>54614</v>
      </c>
      <c r="K11675">
        <v>9217</v>
      </c>
      <c r="L11675" t="s">
        <v>23</v>
      </c>
      <c r="M11675" t="s">
        <v>25805</v>
      </c>
      <c r="N11675" t="s">
        <v>25721</v>
      </c>
      <c r="O11675" t="s">
        <v>100</v>
      </c>
      <c r="P11675">
        <v>54614</v>
      </c>
      <c r="Q11675">
        <v>9217</v>
      </c>
      <c r="R11675" t="s">
        <v>23</v>
      </c>
      <c r="S11675" s="1" t="s">
        <v>34218</v>
      </c>
    </row>
    <row r="11676" spans="1:19" x14ac:dyDescent="0.25">
      <c r="A11676">
        <v>100515696</v>
      </c>
      <c r="B11676" t="s">
        <v>25806</v>
      </c>
      <c r="C11676" t="s">
        <v>25807</v>
      </c>
      <c r="G11676" t="s">
        <v>25808</v>
      </c>
      <c r="H11676" t="s">
        <v>11271</v>
      </c>
      <c r="I11676" t="s">
        <v>33</v>
      </c>
      <c r="J11676">
        <v>18301</v>
      </c>
      <c r="K11676">
        <v>2903</v>
      </c>
      <c r="L11676" t="s">
        <v>23</v>
      </c>
      <c r="M11676" t="s">
        <v>25808</v>
      </c>
      <c r="N11676" t="s">
        <v>11271</v>
      </c>
      <c r="O11676" t="s">
        <v>33</v>
      </c>
      <c r="P11676">
        <v>18301</v>
      </c>
      <c r="Q11676">
        <v>2903</v>
      </c>
      <c r="R11676" t="s">
        <v>23</v>
      </c>
      <c r="S11676" s="1" t="s">
        <v>34218</v>
      </c>
    </row>
    <row r="11677" spans="1:19" x14ac:dyDescent="0.25">
      <c r="A11677">
        <v>100556919</v>
      </c>
      <c r="B11677" t="s">
        <v>25809</v>
      </c>
      <c r="C11677" t="s">
        <v>641</v>
      </c>
      <c r="G11677" t="s">
        <v>25810</v>
      </c>
      <c r="H11677" t="s">
        <v>364</v>
      </c>
      <c r="I11677" t="s">
        <v>365</v>
      </c>
      <c r="J11677">
        <v>86314</v>
      </c>
      <c r="K11677">
        <v>8526</v>
      </c>
      <c r="L11677" t="s">
        <v>23</v>
      </c>
      <c r="M11677" t="s">
        <v>25810</v>
      </c>
      <c r="N11677" t="s">
        <v>364</v>
      </c>
      <c r="O11677" t="s">
        <v>365</v>
      </c>
      <c r="P11677">
        <v>86314</v>
      </c>
      <c r="Q11677">
        <v>8526</v>
      </c>
      <c r="R11677" t="s">
        <v>23</v>
      </c>
      <c r="S11677" s="1" t="s">
        <v>34218</v>
      </c>
    </row>
    <row r="11678" spans="1:19" x14ac:dyDescent="0.25">
      <c r="A11678">
        <v>101431977</v>
      </c>
      <c r="B11678" t="s">
        <v>8864</v>
      </c>
      <c r="C11678" t="s">
        <v>1120</v>
      </c>
      <c r="G11678" t="s">
        <v>25811</v>
      </c>
      <c r="H11678" t="s">
        <v>9482</v>
      </c>
      <c r="I11678" t="s">
        <v>241</v>
      </c>
      <c r="J11678">
        <v>66502</v>
      </c>
      <c r="K11678">
        <v>4538</v>
      </c>
      <c r="L11678" t="s">
        <v>23</v>
      </c>
      <c r="M11678" t="s">
        <v>25811</v>
      </c>
      <c r="N11678" t="s">
        <v>9482</v>
      </c>
      <c r="O11678" t="s">
        <v>241</v>
      </c>
      <c r="P11678">
        <v>66502</v>
      </c>
      <c r="Q11678">
        <v>4538</v>
      </c>
      <c r="R11678" t="s">
        <v>23</v>
      </c>
      <c r="S11678" s="1" t="s">
        <v>34218</v>
      </c>
    </row>
    <row r="11679" spans="1:19" x14ac:dyDescent="0.25">
      <c r="A11679">
        <v>101276612</v>
      </c>
      <c r="B11679" t="s">
        <v>561</v>
      </c>
      <c r="C11679" t="s">
        <v>1208</v>
      </c>
      <c r="G11679" t="s">
        <v>25812</v>
      </c>
      <c r="H11679" t="s">
        <v>3142</v>
      </c>
      <c r="I11679" t="s">
        <v>236</v>
      </c>
      <c r="J11679">
        <v>2472</v>
      </c>
      <c r="K11679">
        <v>3485</v>
      </c>
      <c r="L11679" t="s">
        <v>23</v>
      </c>
      <c r="M11679" t="s">
        <v>25812</v>
      </c>
      <c r="N11679" t="s">
        <v>3142</v>
      </c>
      <c r="O11679" t="s">
        <v>236</v>
      </c>
      <c r="P11679">
        <v>2472</v>
      </c>
      <c r="Q11679">
        <v>3485</v>
      </c>
      <c r="R11679" t="s">
        <v>23</v>
      </c>
      <c r="S11679" s="1" t="s">
        <v>34218</v>
      </c>
    </row>
    <row r="11680" spans="1:19" x14ac:dyDescent="0.25">
      <c r="A11680">
        <v>101430779</v>
      </c>
      <c r="B11680" t="s">
        <v>6648</v>
      </c>
      <c r="C11680" t="s">
        <v>9644</v>
      </c>
      <c r="G11680" t="s">
        <v>25813</v>
      </c>
      <c r="H11680" t="s">
        <v>8192</v>
      </c>
      <c r="I11680" t="s">
        <v>43</v>
      </c>
      <c r="J11680">
        <v>97386</v>
      </c>
      <c r="K11680">
        <v>1071</v>
      </c>
      <c r="L11680" t="s">
        <v>23</v>
      </c>
      <c r="M11680" t="s">
        <v>25813</v>
      </c>
      <c r="N11680" t="s">
        <v>8192</v>
      </c>
      <c r="O11680" t="s">
        <v>43</v>
      </c>
      <c r="P11680">
        <v>97386</v>
      </c>
      <c r="Q11680">
        <v>1071</v>
      </c>
      <c r="R11680" t="s">
        <v>23</v>
      </c>
      <c r="S11680" s="1" t="s">
        <v>34218</v>
      </c>
    </row>
    <row r="11681" spans="1:19" x14ac:dyDescent="0.25">
      <c r="A11681">
        <v>101266187</v>
      </c>
      <c r="B11681" t="s">
        <v>11308</v>
      </c>
      <c r="C11681" t="s">
        <v>763</v>
      </c>
      <c r="G11681" t="s">
        <v>5965</v>
      </c>
      <c r="H11681" t="s">
        <v>2701</v>
      </c>
      <c r="I11681" t="s">
        <v>914</v>
      </c>
      <c r="J11681">
        <v>37065</v>
      </c>
      <c r="K11681">
        <v>53</v>
      </c>
      <c r="L11681" t="s">
        <v>23</v>
      </c>
      <c r="M11681" t="s">
        <v>5965</v>
      </c>
      <c r="N11681" t="s">
        <v>2701</v>
      </c>
      <c r="O11681" t="s">
        <v>914</v>
      </c>
      <c r="P11681">
        <v>37065</v>
      </c>
      <c r="Q11681">
        <v>53</v>
      </c>
      <c r="R11681" t="s">
        <v>23</v>
      </c>
      <c r="S11681" s="1" t="s">
        <v>34218</v>
      </c>
    </row>
    <row r="11682" spans="1:19" x14ac:dyDescent="0.25">
      <c r="A11682">
        <v>101253285</v>
      </c>
      <c r="B11682" t="s">
        <v>25814</v>
      </c>
      <c r="C11682" t="s">
        <v>613</v>
      </c>
      <c r="G11682" t="s">
        <v>25815</v>
      </c>
      <c r="H11682" t="s">
        <v>198</v>
      </c>
      <c r="I11682" t="s">
        <v>22</v>
      </c>
      <c r="J11682">
        <v>92123</v>
      </c>
      <c r="K11682">
        <v>3058</v>
      </c>
      <c r="L11682" t="s">
        <v>23</v>
      </c>
      <c r="M11682" t="s">
        <v>25815</v>
      </c>
      <c r="N11682" t="s">
        <v>198</v>
      </c>
      <c r="O11682" t="s">
        <v>22</v>
      </c>
      <c r="P11682">
        <v>92123</v>
      </c>
      <c r="Q11682">
        <v>3058</v>
      </c>
      <c r="R11682" t="s">
        <v>23</v>
      </c>
      <c r="S11682" s="1" t="s">
        <v>34218</v>
      </c>
    </row>
    <row r="11683" spans="1:19" x14ac:dyDescent="0.25">
      <c r="A11683">
        <v>101452238</v>
      </c>
      <c r="B11683" t="s">
        <v>25816</v>
      </c>
      <c r="C11683" t="s">
        <v>711</v>
      </c>
      <c r="G11683" t="s">
        <v>25817</v>
      </c>
      <c r="H11683" t="s">
        <v>25818</v>
      </c>
      <c r="I11683" t="s">
        <v>250</v>
      </c>
      <c r="J11683">
        <v>7035</v>
      </c>
      <c r="K11683">
        <v>2243</v>
      </c>
      <c r="L11683" t="s">
        <v>23</v>
      </c>
      <c r="M11683" t="s">
        <v>25817</v>
      </c>
      <c r="N11683" t="s">
        <v>25818</v>
      </c>
      <c r="O11683" t="s">
        <v>250</v>
      </c>
      <c r="P11683">
        <v>7035</v>
      </c>
      <c r="Q11683">
        <v>2243</v>
      </c>
      <c r="R11683" t="s">
        <v>23</v>
      </c>
      <c r="S11683" s="1" t="s">
        <v>34218</v>
      </c>
    </row>
    <row r="11684" spans="1:19" x14ac:dyDescent="0.25">
      <c r="A11684">
        <v>101300331</v>
      </c>
      <c r="B11684" t="s">
        <v>25819</v>
      </c>
      <c r="C11684" t="s">
        <v>9860</v>
      </c>
      <c r="G11684" t="s">
        <v>25820</v>
      </c>
      <c r="H11684" t="s">
        <v>2335</v>
      </c>
      <c r="I11684" t="s">
        <v>22</v>
      </c>
      <c r="J11684">
        <v>92614</v>
      </c>
      <c r="K11684">
        <v>7537</v>
      </c>
      <c r="L11684" t="s">
        <v>23</v>
      </c>
      <c r="M11684" t="s">
        <v>25820</v>
      </c>
      <c r="N11684" t="s">
        <v>2335</v>
      </c>
      <c r="O11684" t="s">
        <v>22</v>
      </c>
      <c r="P11684">
        <v>92614</v>
      </c>
      <c r="Q11684">
        <v>7537</v>
      </c>
      <c r="R11684" t="s">
        <v>23</v>
      </c>
      <c r="S11684" s="1" t="s">
        <v>34218</v>
      </c>
    </row>
    <row r="11685" spans="1:19" x14ac:dyDescent="0.25">
      <c r="A11685">
        <v>101447276</v>
      </c>
      <c r="B11685" t="s">
        <v>25821</v>
      </c>
      <c r="C11685" t="s">
        <v>1298</v>
      </c>
      <c r="G11685" t="s">
        <v>25822</v>
      </c>
      <c r="H11685" t="s">
        <v>14087</v>
      </c>
      <c r="I11685" t="s">
        <v>178</v>
      </c>
      <c r="J11685">
        <v>44253</v>
      </c>
      <c r="K11685">
        <v>9718</v>
      </c>
      <c r="L11685" t="s">
        <v>23</v>
      </c>
      <c r="M11685" t="s">
        <v>25822</v>
      </c>
      <c r="N11685" t="s">
        <v>14087</v>
      </c>
      <c r="O11685" t="s">
        <v>178</v>
      </c>
      <c r="P11685">
        <v>44253</v>
      </c>
      <c r="Q11685">
        <v>9718</v>
      </c>
      <c r="R11685" t="s">
        <v>23</v>
      </c>
      <c r="S11685" s="1" t="s">
        <v>34218</v>
      </c>
    </row>
    <row r="11686" spans="1:19" x14ac:dyDescent="0.25">
      <c r="A11686">
        <v>101452722</v>
      </c>
      <c r="B11686" t="s">
        <v>25823</v>
      </c>
      <c r="C11686" t="s">
        <v>25824</v>
      </c>
      <c r="G11686" t="s">
        <v>25825</v>
      </c>
      <c r="H11686" t="s">
        <v>25826</v>
      </c>
      <c r="I11686" t="s">
        <v>22</v>
      </c>
      <c r="J11686">
        <v>90280</v>
      </c>
      <c r="K11686">
        <v>2431</v>
      </c>
      <c r="L11686" t="s">
        <v>23</v>
      </c>
      <c r="M11686" t="s">
        <v>25825</v>
      </c>
      <c r="N11686" t="s">
        <v>25826</v>
      </c>
      <c r="O11686" t="s">
        <v>22</v>
      </c>
      <c r="P11686">
        <v>90280</v>
      </c>
      <c r="Q11686">
        <v>2431</v>
      </c>
      <c r="R11686" t="s">
        <v>23</v>
      </c>
      <c r="S11686" s="1" t="s">
        <v>34218</v>
      </c>
    </row>
    <row r="11687" spans="1:19" x14ac:dyDescent="0.25">
      <c r="A11687">
        <v>101453306</v>
      </c>
      <c r="B11687" t="s">
        <v>25827</v>
      </c>
      <c r="C11687" t="s">
        <v>25828</v>
      </c>
      <c r="G11687" t="s">
        <v>25829</v>
      </c>
      <c r="H11687" t="s">
        <v>3346</v>
      </c>
      <c r="I11687" t="s">
        <v>161</v>
      </c>
      <c r="J11687">
        <v>6066</v>
      </c>
      <c r="K11687">
        <v>2866</v>
      </c>
      <c r="L11687" t="s">
        <v>23</v>
      </c>
      <c r="M11687" t="s">
        <v>25829</v>
      </c>
      <c r="N11687" t="s">
        <v>3346</v>
      </c>
      <c r="O11687" t="s">
        <v>161</v>
      </c>
      <c r="P11687">
        <v>6066</v>
      </c>
      <c r="Q11687">
        <v>2866</v>
      </c>
      <c r="R11687" t="s">
        <v>23</v>
      </c>
      <c r="S11687" s="1" t="s">
        <v>34218</v>
      </c>
    </row>
    <row r="11688" spans="1:19" x14ac:dyDescent="0.25">
      <c r="A11688">
        <v>101448424</v>
      </c>
      <c r="B11688" t="s">
        <v>16353</v>
      </c>
      <c r="C11688" t="s">
        <v>25830</v>
      </c>
      <c r="G11688" t="s">
        <v>25831</v>
      </c>
      <c r="H11688" t="s">
        <v>2798</v>
      </c>
      <c r="I11688" t="s">
        <v>84</v>
      </c>
      <c r="J11688">
        <v>98233</v>
      </c>
      <c r="K11688">
        <v>4635</v>
      </c>
      <c r="L11688" t="s">
        <v>23</v>
      </c>
      <c r="M11688" t="s">
        <v>25831</v>
      </c>
      <c r="N11688" t="s">
        <v>2798</v>
      </c>
      <c r="O11688" t="s">
        <v>84</v>
      </c>
      <c r="P11688">
        <v>98233</v>
      </c>
      <c r="Q11688">
        <v>4635</v>
      </c>
      <c r="R11688" t="s">
        <v>23</v>
      </c>
      <c r="S11688" s="1" t="s">
        <v>34218</v>
      </c>
    </row>
    <row r="11689" spans="1:19" x14ac:dyDescent="0.25">
      <c r="A11689">
        <v>101451391</v>
      </c>
      <c r="B11689" t="s">
        <v>25832</v>
      </c>
      <c r="C11689" t="s">
        <v>25833</v>
      </c>
      <c r="G11689" t="s">
        <v>25834</v>
      </c>
      <c r="H11689" t="s">
        <v>276</v>
      </c>
      <c r="I11689" t="s">
        <v>22</v>
      </c>
      <c r="J11689">
        <v>95616</v>
      </c>
      <c r="L11689" t="s">
        <v>23</v>
      </c>
      <c r="M11689" t="s">
        <v>25834</v>
      </c>
      <c r="N11689" t="s">
        <v>276</v>
      </c>
      <c r="O11689" t="s">
        <v>22</v>
      </c>
      <c r="P11689">
        <v>95616</v>
      </c>
      <c r="R11689" t="s">
        <v>23</v>
      </c>
      <c r="S11689" s="1" t="s">
        <v>34218</v>
      </c>
    </row>
    <row r="11690" spans="1:19" x14ac:dyDescent="0.25">
      <c r="A11690">
        <v>101316636</v>
      </c>
      <c r="B11690" t="s">
        <v>3562</v>
      </c>
      <c r="C11690" t="s">
        <v>6300</v>
      </c>
      <c r="G11690" t="s">
        <v>25835</v>
      </c>
      <c r="H11690" t="s">
        <v>2674</v>
      </c>
      <c r="I11690" t="s">
        <v>22</v>
      </c>
      <c r="J11690">
        <v>95945</v>
      </c>
      <c r="K11690">
        <v>6402</v>
      </c>
      <c r="L11690" t="s">
        <v>23</v>
      </c>
      <c r="M11690" t="s">
        <v>25835</v>
      </c>
      <c r="N11690" t="s">
        <v>2674</v>
      </c>
      <c r="O11690" t="s">
        <v>22</v>
      </c>
      <c r="P11690">
        <v>95945</v>
      </c>
      <c r="Q11690">
        <v>6402</v>
      </c>
      <c r="R11690" t="s">
        <v>23</v>
      </c>
      <c r="S11690" s="1" t="s">
        <v>34218</v>
      </c>
    </row>
    <row r="11691" spans="1:19" x14ac:dyDescent="0.25">
      <c r="A11691">
        <v>101320943</v>
      </c>
      <c r="B11691" t="s">
        <v>9534</v>
      </c>
      <c r="C11691" t="s">
        <v>5196</v>
      </c>
      <c r="G11691" t="s">
        <v>25836</v>
      </c>
      <c r="H11691" t="s">
        <v>1725</v>
      </c>
      <c r="I11691" t="s">
        <v>22</v>
      </c>
      <c r="J11691">
        <v>90732</v>
      </c>
      <c r="K11691">
        <v>4019</v>
      </c>
      <c r="L11691" t="s">
        <v>23</v>
      </c>
      <c r="M11691" t="s">
        <v>25836</v>
      </c>
      <c r="N11691" t="s">
        <v>1725</v>
      </c>
      <c r="O11691" t="s">
        <v>22</v>
      </c>
      <c r="P11691">
        <v>90732</v>
      </c>
      <c r="Q11691">
        <v>4019</v>
      </c>
      <c r="R11691" t="s">
        <v>23</v>
      </c>
      <c r="S11691" s="1" t="s">
        <v>34218</v>
      </c>
    </row>
    <row r="11692" spans="1:19" x14ac:dyDescent="0.25">
      <c r="A11692">
        <v>101472348</v>
      </c>
      <c r="B11692" t="s">
        <v>1698</v>
      </c>
      <c r="C11692" t="s">
        <v>2127</v>
      </c>
      <c r="G11692" t="s">
        <v>25837</v>
      </c>
      <c r="H11692" t="s">
        <v>458</v>
      </c>
      <c r="I11692" t="s">
        <v>43</v>
      </c>
      <c r="J11692">
        <v>97526</v>
      </c>
      <c r="K11692">
        <v>8222</v>
      </c>
      <c r="L11692" t="s">
        <v>23</v>
      </c>
      <c r="M11692" t="s">
        <v>25837</v>
      </c>
      <c r="N11692" t="s">
        <v>458</v>
      </c>
      <c r="O11692" t="s">
        <v>43</v>
      </c>
      <c r="P11692">
        <v>97526</v>
      </c>
      <c r="Q11692">
        <v>8222</v>
      </c>
      <c r="R11692" t="s">
        <v>23</v>
      </c>
      <c r="S11692" s="1" t="s">
        <v>34218</v>
      </c>
    </row>
    <row r="11693" spans="1:19" x14ac:dyDescent="0.25">
      <c r="A11693">
        <v>101451162</v>
      </c>
      <c r="B11693" t="s">
        <v>25838</v>
      </c>
      <c r="C11693" t="s">
        <v>158</v>
      </c>
      <c r="G11693" t="s">
        <v>25839</v>
      </c>
      <c r="H11693" t="s">
        <v>931</v>
      </c>
      <c r="I11693" t="s">
        <v>22</v>
      </c>
      <c r="J11693">
        <v>95032</v>
      </c>
      <c r="K11693">
        <v>3839</v>
      </c>
      <c r="L11693" t="s">
        <v>23</v>
      </c>
      <c r="M11693" t="s">
        <v>25839</v>
      </c>
      <c r="N11693" t="s">
        <v>931</v>
      </c>
      <c r="O11693" t="s">
        <v>22</v>
      </c>
      <c r="P11693">
        <v>95032</v>
      </c>
      <c r="Q11693">
        <v>3839</v>
      </c>
      <c r="R11693" t="s">
        <v>23</v>
      </c>
      <c r="S11693" s="1" t="s">
        <v>34218</v>
      </c>
    </row>
    <row r="11694" spans="1:19" x14ac:dyDescent="0.25">
      <c r="A11694">
        <v>101470680</v>
      </c>
      <c r="B11694" t="s">
        <v>9923</v>
      </c>
      <c r="C11694" t="s">
        <v>102</v>
      </c>
      <c r="G11694" t="s">
        <v>25840</v>
      </c>
      <c r="H11694" t="s">
        <v>688</v>
      </c>
      <c r="I11694" t="s">
        <v>117</v>
      </c>
      <c r="J11694">
        <v>14617</v>
      </c>
      <c r="K11694">
        <v>1530</v>
      </c>
      <c r="L11694" t="s">
        <v>23</v>
      </c>
      <c r="M11694" t="s">
        <v>25840</v>
      </c>
      <c r="N11694" t="s">
        <v>688</v>
      </c>
      <c r="O11694" t="s">
        <v>117</v>
      </c>
      <c r="P11694">
        <v>14617</v>
      </c>
      <c r="Q11694">
        <v>1530</v>
      </c>
      <c r="R11694" t="s">
        <v>23</v>
      </c>
      <c r="S11694" s="1" t="s">
        <v>34218</v>
      </c>
    </row>
    <row r="11695" spans="1:19" x14ac:dyDescent="0.25">
      <c r="A11695">
        <v>101429139</v>
      </c>
      <c r="B11695" t="s">
        <v>25841</v>
      </c>
      <c r="C11695" t="s">
        <v>2357</v>
      </c>
      <c r="G11695" t="s">
        <v>25842</v>
      </c>
      <c r="H11695" t="s">
        <v>25843</v>
      </c>
      <c r="I11695" t="s">
        <v>52</v>
      </c>
      <c r="J11695">
        <v>33928</v>
      </c>
      <c r="K11695">
        <v>2263</v>
      </c>
      <c r="L11695" t="s">
        <v>23</v>
      </c>
      <c r="M11695" t="s">
        <v>25842</v>
      </c>
      <c r="N11695" t="s">
        <v>25843</v>
      </c>
      <c r="O11695" t="s">
        <v>52</v>
      </c>
      <c r="P11695">
        <v>33928</v>
      </c>
      <c r="Q11695">
        <v>2263</v>
      </c>
      <c r="R11695" t="s">
        <v>23</v>
      </c>
      <c r="S11695" s="1" t="s">
        <v>34218</v>
      </c>
    </row>
    <row r="11696" spans="1:19" x14ac:dyDescent="0.25">
      <c r="A11696">
        <v>101241195</v>
      </c>
      <c r="B11696" t="s">
        <v>25844</v>
      </c>
      <c r="C11696" t="s">
        <v>1470</v>
      </c>
      <c r="G11696" t="s">
        <v>25845</v>
      </c>
      <c r="H11696" t="s">
        <v>25846</v>
      </c>
      <c r="I11696" t="s">
        <v>33</v>
      </c>
      <c r="J11696">
        <v>15108</v>
      </c>
      <c r="K11696">
        <v>9788</v>
      </c>
      <c r="L11696" t="s">
        <v>23</v>
      </c>
      <c r="M11696" t="s">
        <v>25845</v>
      </c>
      <c r="N11696" t="s">
        <v>25846</v>
      </c>
      <c r="O11696" t="s">
        <v>33</v>
      </c>
      <c r="P11696">
        <v>15108</v>
      </c>
      <c r="Q11696">
        <v>9788</v>
      </c>
      <c r="R11696" t="s">
        <v>23</v>
      </c>
      <c r="S11696" s="1" t="s">
        <v>34218</v>
      </c>
    </row>
    <row r="11697" spans="1:19" x14ac:dyDescent="0.25">
      <c r="A11697">
        <v>101378934</v>
      </c>
      <c r="B11697" t="s">
        <v>105</v>
      </c>
      <c r="C11697" t="s">
        <v>7445</v>
      </c>
      <c r="G11697" t="s">
        <v>25847</v>
      </c>
      <c r="H11697" t="s">
        <v>7803</v>
      </c>
      <c r="I11697" t="s">
        <v>4652</v>
      </c>
      <c r="J11697">
        <v>57702</v>
      </c>
      <c r="K11697">
        <v>5078</v>
      </c>
      <c r="L11697" t="s">
        <v>23</v>
      </c>
      <c r="M11697" t="s">
        <v>25847</v>
      </c>
      <c r="N11697" t="s">
        <v>7803</v>
      </c>
      <c r="O11697" t="s">
        <v>4652</v>
      </c>
      <c r="P11697">
        <v>57702</v>
      </c>
      <c r="Q11697">
        <v>5078</v>
      </c>
      <c r="R11697" t="s">
        <v>23</v>
      </c>
      <c r="S11697" s="1" t="s">
        <v>34218</v>
      </c>
    </row>
    <row r="11698" spans="1:19" x14ac:dyDescent="0.25">
      <c r="A11698">
        <v>101319789</v>
      </c>
      <c r="B11698" t="s">
        <v>4835</v>
      </c>
      <c r="C11698" t="s">
        <v>274</v>
      </c>
      <c r="G11698" t="s">
        <v>25848</v>
      </c>
      <c r="H11698" t="s">
        <v>25849</v>
      </c>
      <c r="I11698" t="s">
        <v>117</v>
      </c>
      <c r="J11698">
        <v>12060</v>
      </c>
      <c r="L11698" t="s">
        <v>23</v>
      </c>
      <c r="M11698" t="s">
        <v>25848</v>
      </c>
      <c r="N11698" t="s">
        <v>25849</v>
      </c>
      <c r="O11698" t="s">
        <v>117</v>
      </c>
      <c r="P11698">
        <v>12060</v>
      </c>
      <c r="R11698" t="s">
        <v>23</v>
      </c>
      <c r="S11698" s="1" t="s">
        <v>34218</v>
      </c>
    </row>
    <row r="11699" spans="1:19" x14ac:dyDescent="0.25">
      <c r="A11699">
        <v>101310108</v>
      </c>
      <c r="B11699" t="s">
        <v>25850</v>
      </c>
      <c r="C11699" t="s">
        <v>9862</v>
      </c>
      <c r="G11699" t="s">
        <v>25851</v>
      </c>
      <c r="H11699" t="s">
        <v>25852</v>
      </c>
      <c r="I11699" t="s">
        <v>135</v>
      </c>
      <c r="J11699">
        <v>62278</v>
      </c>
      <c r="K11699">
        <v>1415</v>
      </c>
      <c r="L11699" t="s">
        <v>23</v>
      </c>
      <c r="M11699" t="s">
        <v>25851</v>
      </c>
      <c r="N11699" t="s">
        <v>25852</v>
      </c>
      <c r="O11699" t="s">
        <v>135</v>
      </c>
      <c r="P11699">
        <v>62278</v>
      </c>
      <c r="Q11699">
        <v>1415</v>
      </c>
      <c r="R11699" t="s">
        <v>23</v>
      </c>
      <c r="S11699" s="1" t="s">
        <v>34218</v>
      </c>
    </row>
    <row r="11700" spans="1:19" x14ac:dyDescent="0.25">
      <c r="A11700">
        <v>101480773</v>
      </c>
      <c r="B11700" t="s">
        <v>8886</v>
      </c>
      <c r="C11700" t="s">
        <v>2892</v>
      </c>
      <c r="G11700" t="s">
        <v>25853</v>
      </c>
      <c r="H11700" t="s">
        <v>25854</v>
      </c>
      <c r="I11700" t="s">
        <v>255</v>
      </c>
      <c r="J11700">
        <v>22973</v>
      </c>
      <c r="K11700">
        <v>3073</v>
      </c>
      <c r="L11700" t="s">
        <v>23</v>
      </c>
      <c r="M11700" t="s">
        <v>25853</v>
      </c>
      <c r="N11700" t="s">
        <v>25854</v>
      </c>
      <c r="O11700" t="s">
        <v>255</v>
      </c>
      <c r="P11700">
        <v>22973</v>
      </c>
      <c r="Q11700">
        <v>3073</v>
      </c>
      <c r="R11700" t="s">
        <v>23</v>
      </c>
      <c r="S11700" s="1" t="s">
        <v>34218</v>
      </c>
    </row>
    <row r="11701" spans="1:19" x14ac:dyDescent="0.25">
      <c r="A11701">
        <v>101480774</v>
      </c>
      <c r="B11701" t="s">
        <v>247</v>
      </c>
      <c r="C11701" t="s">
        <v>890</v>
      </c>
      <c r="G11701" t="s">
        <v>25855</v>
      </c>
      <c r="H11701" t="s">
        <v>4920</v>
      </c>
      <c r="I11701" t="s">
        <v>2310</v>
      </c>
      <c r="J11701">
        <v>19720</v>
      </c>
      <c r="K11701">
        <v>1530</v>
      </c>
      <c r="L11701" t="s">
        <v>23</v>
      </c>
      <c r="M11701" t="s">
        <v>25855</v>
      </c>
      <c r="N11701" t="s">
        <v>4920</v>
      </c>
      <c r="O11701" t="s">
        <v>2310</v>
      </c>
      <c r="P11701">
        <v>19720</v>
      </c>
      <c r="Q11701">
        <v>1530</v>
      </c>
      <c r="R11701" t="s">
        <v>23</v>
      </c>
      <c r="S11701" s="1" t="s">
        <v>34218</v>
      </c>
    </row>
    <row r="11702" spans="1:19" x14ac:dyDescent="0.25">
      <c r="A11702">
        <v>101291332</v>
      </c>
      <c r="B11702" t="s">
        <v>25856</v>
      </c>
      <c r="C11702" t="s">
        <v>2892</v>
      </c>
      <c r="G11702" t="s">
        <v>25857</v>
      </c>
      <c r="H11702" t="s">
        <v>16283</v>
      </c>
      <c r="I11702" t="s">
        <v>52</v>
      </c>
      <c r="J11702">
        <v>33437</v>
      </c>
      <c r="K11702">
        <v>3767</v>
      </c>
      <c r="L11702" t="s">
        <v>23</v>
      </c>
      <c r="M11702" t="s">
        <v>25857</v>
      </c>
      <c r="N11702" t="s">
        <v>16283</v>
      </c>
      <c r="O11702" t="s">
        <v>52</v>
      </c>
      <c r="P11702">
        <v>33437</v>
      </c>
      <c r="Q11702">
        <v>3767</v>
      </c>
      <c r="R11702" t="s">
        <v>23</v>
      </c>
      <c r="S11702" s="1" t="s">
        <v>34218</v>
      </c>
    </row>
    <row r="11703" spans="1:19" x14ac:dyDescent="0.25">
      <c r="A11703">
        <v>100761180</v>
      </c>
      <c r="B11703" t="s">
        <v>25858</v>
      </c>
      <c r="C11703" t="s">
        <v>25859</v>
      </c>
      <c r="G11703" t="s">
        <v>25860</v>
      </c>
      <c r="H11703" t="s">
        <v>25861</v>
      </c>
      <c r="I11703" t="s">
        <v>187</v>
      </c>
      <c r="J11703">
        <v>56121</v>
      </c>
      <c r="L11703" t="s">
        <v>23</v>
      </c>
      <c r="M11703" t="s">
        <v>25860</v>
      </c>
      <c r="N11703" t="s">
        <v>25861</v>
      </c>
      <c r="O11703" t="s">
        <v>187</v>
      </c>
      <c r="P11703">
        <v>56121</v>
      </c>
      <c r="R11703" t="s">
        <v>23</v>
      </c>
      <c r="S11703" s="1" t="s">
        <v>34218</v>
      </c>
    </row>
    <row r="11704" spans="1:19" x14ac:dyDescent="0.25">
      <c r="A11704">
        <v>101480784</v>
      </c>
      <c r="B11704" t="s">
        <v>25862</v>
      </c>
      <c r="C11704" t="s">
        <v>40</v>
      </c>
      <c r="G11704" t="s">
        <v>25863</v>
      </c>
      <c r="H11704" t="s">
        <v>9412</v>
      </c>
      <c r="I11704" t="s">
        <v>135</v>
      </c>
      <c r="J11704">
        <v>60441</v>
      </c>
      <c r="K11704">
        <v>5826</v>
      </c>
      <c r="L11704" t="s">
        <v>23</v>
      </c>
      <c r="M11704" t="s">
        <v>25863</v>
      </c>
      <c r="N11704" t="s">
        <v>9412</v>
      </c>
      <c r="O11704" t="s">
        <v>135</v>
      </c>
      <c r="P11704">
        <v>60441</v>
      </c>
      <c r="Q11704">
        <v>5826</v>
      </c>
      <c r="R11704" t="s">
        <v>23</v>
      </c>
      <c r="S11704" s="1" t="s">
        <v>34218</v>
      </c>
    </row>
    <row r="11705" spans="1:19" x14ac:dyDescent="0.25">
      <c r="A11705">
        <v>101480785</v>
      </c>
      <c r="B11705" t="s">
        <v>25864</v>
      </c>
      <c r="C11705" t="s">
        <v>25865</v>
      </c>
      <c r="G11705" t="s">
        <v>25866</v>
      </c>
      <c r="H11705" t="s">
        <v>4235</v>
      </c>
      <c r="I11705" t="s">
        <v>984</v>
      </c>
      <c r="J11705">
        <v>96815</v>
      </c>
      <c r="K11705">
        <v>1095</v>
      </c>
      <c r="L11705" t="s">
        <v>23</v>
      </c>
      <c r="M11705" t="s">
        <v>25866</v>
      </c>
      <c r="N11705" t="s">
        <v>4235</v>
      </c>
      <c r="O11705" t="s">
        <v>984</v>
      </c>
      <c r="P11705">
        <v>96815</v>
      </c>
      <c r="Q11705">
        <v>1095</v>
      </c>
      <c r="R11705" t="s">
        <v>23</v>
      </c>
      <c r="S11705" s="1" t="s">
        <v>34218</v>
      </c>
    </row>
    <row r="11706" spans="1:19" x14ac:dyDescent="0.25">
      <c r="A11706">
        <v>101450950</v>
      </c>
      <c r="B11706" t="s">
        <v>25867</v>
      </c>
      <c r="C11706" t="s">
        <v>25868</v>
      </c>
      <c r="G11706" t="s">
        <v>25869</v>
      </c>
      <c r="H11706" t="s">
        <v>130</v>
      </c>
      <c r="I11706" t="s">
        <v>22</v>
      </c>
      <c r="J11706">
        <v>94121</v>
      </c>
      <c r="K11706">
        <v>1410</v>
      </c>
      <c r="L11706" t="s">
        <v>23</v>
      </c>
      <c r="M11706" t="s">
        <v>25869</v>
      </c>
      <c r="N11706" t="s">
        <v>130</v>
      </c>
      <c r="O11706" t="s">
        <v>22</v>
      </c>
      <c r="P11706">
        <v>94121</v>
      </c>
      <c r="Q11706">
        <v>1410</v>
      </c>
      <c r="R11706" t="s">
        <v>23</v>
      </c>
      <c r="S11706" s="1" t="s">
        <v>34218</v>
      </c>
    </row>
    <row r="11707" spans="1:19" x14ac:dyDescent="0.25">
      <c r="A11707">
        <v>101480788</v>
      </c>
      <c r="B11707" t="s">
        <v>25870</v>
      </c>
      <c r="C11707" t="s">
        <v>1859</v>
      </c>
      <c r="G11707" t="s">
        <v>25871</v>
      </c>
      <c r="H11707" t="s">
        <v>1962</v>
      </c>
      <c r="I11707" t="s">
        <v>22</v>
      </c>
      <c r="J11707">
        <v>94933</v>
      </c>
      <c r="L11707" t="s">
        <v>23</v>
      </c>
      <c r="M11707" t="s">
        <v>25871</v>
      </c>
      <c r="N11707" t="s">
        <v>1962</v>
      </c>
      <c r="O11707" t="s">
        <v>22</v>
      </c>
      <c r="P11707">
        <v>94933</v>
      </c>
      <c r="R11707" t="s">
        <v>23</v>
      </c>
      <c r="S11707" s="1" t="s">
        <v>34218</v>
      </c>
    </row>
    <row r="11708" spans="1:19" x14ac:dyDescent="0.25">
      <c r="A11708">
        <v>101175057</v>
      </c>
      <c r="B11708" t="s">
        <v>3383</v>
      </c>
      <c r="C11708" t="s">
        <v>7620</v>
      </c>
      <c r="G11708" t="s">
        <v>25872</v>
      </c>
      <c r="H11708" t="s">
        <v>3286</v>
      </c>
      <c r="I11708" t="s">
        <v>22</v>
      </c>
      <c r="J11708">
        <v>92831</v>
      </c>
      <c r="K11708">
        <v>1552</v>
      </c>
      <c r="L11708" t="s">
        <v>23</v>
      </c>
      <c r="M11708" t="s">
        <v>25872</v>
      </c>
      <c r="N11708" t="s">
        <v>3286</v>
      </c>
      <c r="O11708" t="s">
        <v>22</v>
      </c>
      <c r="P11708">
        <v>92831</v>
      </c>
      <c r="Q11708">
        <v>1552</v>
      </c>
      <c r="R11708" t="s">
        <v>23</v>
      </c>
      <c r="S11708" s="1" t="s">
        <v>34218</v>
      </c>
    </row>
    <row r="11709" spans="1:19" x14ac:dyDescent="0.25">
      <c r="A11709">
        <v>101440816</v>
      </c>
      <c r="B11709" t="s">
        <v>25873</v>
      </c>
      <c r="C11709" t="s">
        <v>1588</v>
      </c>
      <c r="G11709" t="s">
        <v>25874</v>
      </c>
      <c r="H11709" t="s">
        <v>2413</v>
      </c>
      <c r="I11709" t="s">
        <v>38</v>
      </c>
      <c r="J11709">
        <v>78746</v>
      </c>
      <c r="K11709">
        <v>4407</v>
      </c>
      <c r="L11709" t="s">
        <v>23</v>
      </c>
      <c r="M11709" t="s">
        <v>25874</v>
      </c>
      <c r="N11709" t="s">
        <v>2413</v>
      </c>
      <c r="O11709" t="s">
        <v>38</v>
      </c>
      <c r="P11709">
        <v>78746</v>
      </c>
      <c r="Q11709">
        <v>4407</v>
      </c>
      <c r="R11709" t="s">
        <v>23</v>
      </c>
      <c r="S11709" s="1" t="s">
        <v>34218</v>
      </c>
    </row>
    <row r="11710" spans="1:19" x14ac:dyDescent="0.25">
      <c r="A11710">
        <v>100871800</v>
      </c>
      <c r="B11710" t="s">
        <v>25875</v>
      </c>
      <c r="C11710" t="s">
        <v>25876</v>
      </c>
      <c r="G11710" t="s">
        <v>25877</v>
      </c>
      <c r="H11710" t="s">
        <v>25878</v>
      </c>
      <c r="I11710" t="s">
        <v>250</v>
      </c>
      <c r="J11710">
        <v>8829</v>
      </c>
      <c r="K11710">
        <v>2213</v>
      </c>
      <c r="L11710" t="s">
        <v>23</v>
      </c>
      <c r="M11710" t="s">
        <v>25877</v>
      </c>
      <c r="N11710" t="s">
        <v>25878</v>
      </c>
      <c r="O11710" t="s">
        <v>250</v>
      </c>
      <c r="P11710">
        <v>8829</v>
      </c>
      <c r="Q11710">
        <v>2213</v>
      </c>
      <c r="R11710" t="s">
        <v>23</v>
      </c>
      <c r="S11710" s="1" t="s">
        <v>34218</v>
      </c>
    </row>
    <row r="11711" spans="1:19" x14ac:dyDescent="0.25">
      <c r="A11711">
        <v>101338853</v>
      </c>
      <c r="B11711" t="s">
        <v>25879</v>
      </c>
      <c r="C11711" t="s">
        <v>1331</v>
      </c>
      <c r="G11711" t="s">
        <v>25880</v>
      </c>
      <c r="H11711" t="s">
        <v>79</v>
      </c>
      <c r="I11711" t="s">
        <v>22</v>
      </c>
      <c r="J11711">
        <v>90210</v>
      </c>
      <c r="L11711" t="s">
        <v>23</v>
      </c>
      <c r="M11711" t="s">
        <v>25880</v>
      </c>
      <c r="N11711" t="s">
        <v>79</v>
      </c>
      <c r="O11711" t="s">
        <v>22</v>
      </c>
      <c r="P11711">
        <v>90210</v>
      </c>
      <c r="R11711" t="s">
        <v>23</v>
      </c>
      <c r="S11711" s="1" t="s">
        <v>34218</v>
      </c>
    </row>
    <row r="11712" spans="1:19" x14ac:dyDescent="0.25">
      <c r="A11712">
        <v>101416675</v>
      </c>
      <c r="B11712" t="s">
        <v>25881</v>
      </c>
      <c r="C11712" t="s">
        <v>25882</v>
      </c>
      <c r="G11712" t="s">
        <v>25883</v>
      </c>
      <c r="H11712" t="s">
        <v>299</v>
      </c>
      <c r="I11712" t="s">
        <v>22</v>
      </c>
      <c r="J11712">
        <v>90035</v>
      </c>
      <c r="L11712" t="s">
        <v>23</v>
      </c>
      <c r="M11712" t="s">
        <v>25883</v>
      </c>
      <c r="N11712" t="s">
        <v>299</v>
      </c>
      <c r="O11712" t="s">
        <v>22</v>
      </c>
      <c r="P11712">
        <v>90035</v>
      </c>
      <c r="R11712" t="s">
        <v>23</v>
      </c>
      <c r="S11712" s="1" t="s">
        <v>34218</v>
      </c>
    </row>
    <row r="11713" spans="1:19" x14ac:dyDescent="0.25">
      <c r="A11713">
        <v>101471303</v>
      </c>
      <c r="B11713" t="s">
        <v>11352</v>
      </c>
      <c r="C11713" t="s">
        <v>1036</v>
      </c>
      <c r="G11713" t="s">
        <v>25884</v>
      </c>
      <c r="H11713" t="s">
        <v>6735</v>
      </c>
      <c r="I11713" t="s">
        <v>84</v>
      </c>
      <c r="J11713">
        <v>98283</v>
      </c>
      <c r="K11713">
        <v>9766</v>
      </c>
      <c r="L11713" t="s">
        <v>23</v>
      </c>
      <c r="M11713" t="s">
        <v>25884</v>
      </c>
      <c r="N11713" t="s">
        <v>6735</v>
      </c>
      <c r="O11713" t="s">
        <v>84</v>
      </c>
      <c r="P11713">
        <v>98283</v>
      </c>
      <c r="Q11713">
        <v>9766</v>
      </c>
      <c r="R11713" t="s">
        <v>23</v>
      </c>
      <c r="S11713" s="1" t="s">
        <v>34218</v>
      </c>
    </row>
    <row r="11714" spans="1:19" x14ac:dyDescent="0.25">
      <c r="A11714">
        <v>101346343</v>
      </c>
      <c r="B11714" t="s">
        <v>25885</v>
      </c>
      <c r="C11714" t="s">
        <v>1865</v>
      </c>
      <c r="G11714" t="s">
        <v>25886</v>
      </c>
      <c r="H11714" t="s">
        <v>25887</v>
      </c>
      <c r="I11714" t="s">
        <v>126</v>
      </c>
      <c r="J11714">
        <v>63051</v>
      </c>
      <c r="K11714">
        <v>1298</v>
      </c>
      <c r="L11714" t="s">
        <v>23</v>
      </c>
      <c r="M11714" t="s">
        <v>25886</v>
      </c>
      <c r="N11714" t="s">
        <v>25887</v>
      </c>
      <c r="O11714" t="s">
        <v>126</v>
      </c>
      <c r="P11714">
        <v>63051</v>
      </c>
      <c r="Q11714">
        <v>1298</v>
      </c>
      <c r="R11714" t="s">
        <v>23</v>
      </c>
      <c r="S11714" s="1" t="s">
        <v>34218</v>
      </c>
    </row>
    <row r="11715" spans="1:19" x14ac:dyDescent="0.25">
      <c r="A11715">
        <v>101374450</v>
      </c>
      <c r="B11715" t="s">
        <v>25888</v>
      </c>
      <c r="C11715" t="s">
        <v>1141</v>
      </c>
      <c r="G11715" t="s">
        <v>25889</v>
      </c>
      <c r="H11715" t="s">
        <v>1439</v>
      </c>
      <c r="I11715" t="s">
        <v>365</v>
      </c>
      <c r="J11715">
        <v>85730</v>
      </c>
      <c r="L11715" t="s">
        <v>23</v>
      </c>
      <c r="M11715" t="s">
        <v>25889</v>
      </c>
      <c r="N11715" t="s">
        <v>1439</v>
      </c>
      <c r="O11715" t="s">
        <v>365</v>
      </c>
      <c r="P11715">
        <v>85730</v>
      </c>
      <c r="R11715" t="s">
        <v>23</v>
      </c>
      <c r="S11715" s="1" t="s">
        <v>34218</v>
      </c>
    </row>
    <row r="11716" spans="1:19" x14ac:dyDescent="0.25">
      <c r="A11716">
        <v>101345216</v>
      </c>
      <c r="B11716" t="s">
        <v>25890</v>
      </c>
      <c r="C11716" t="s">
        <v>810</v>
      </c>
      <c r="G11716" t="s">
        <v>25891</v>
      </c>
      <c r="H11716" t="s">
        <v>5162</v>
      </c>
      <c r="I11716" t="s">
        <v>22</v>
      </c>
      <c r="J11716">
        <v>93448</v>
      </c>
      <c r="K11716">
        <v>3202</v>
      </c>
      <c r="L11716" t="s">
        <v>23</v>
      </c>
      <c r="M11716" t="s">
        <v>25891</v>
      </c>
      <c r="N11716" t="s">
        <v>5162</v>
      </c>
      <c r="O11716" t="s">
        <v>22</v>
      </c>
      <c r="P11716">
        <v>93448</v>
      </c>
      <c r="Q11716">
        <v>3202</v>
      </c>
      <c r="R11716" t="s">
        <v>23</v>
      </c>
      <c r="S11716" s="1" t="s">
        <v>34218</v>
      </c>
    </row>
    <row r="11717" spans="1:19" x14ac:dyDescent="0.25">
      <c r="A11717">
        <v>101470586</v>
      </c>
      <c r="B11717" t="s">
        <v>6289</v>
      </c>
      <c r="C11717" t="s">
        <v>1638</v>
      </c>
      <c r="G11717" t="s">
        <v>25892</v>
      </c>
      <c r="H11717" t="s">
        <v>4810</v>
      </c>
      <c r="I11717" t="s">
        <v>236</v>
      </c>
      <c r="J11717">
        <v>1603</v>
      </c>
      <c r="K11717">
        <v>2405</v>
      </c>
      <c r="L11717" t="s">
        <v>23</v>
      </c>
      <c r="M11717" t="s">
        <v>25892</v>
      </c>
      <c r="N11717" t="s">
        <v>4810</v>
      </c>
      <c r="O11717" t="s">
        <v>236</v>
      </c>
      <c r="P11717">
        <v>1603</v>
      </c>
      <c r="Q11717">
        <v>2405</v>
      </c>
      <c r="R11717" t="s">
        <v>23</v>
      </c>
      <c r="S11717" s="1" t="s">
        <v>34218</v>
      </c>
    </row>
    <row r="11718" spans="1:19" x14ac:dyDescent="0.25">
      <c r="A11718">
        <v>101314384</v>
      </c>
      <c r="B11718" t="s">
        <v>25893</v>
      </c>
      <c r="C11718" t="s">
        <v>1117</v>
      </c>
      <c r="G11718" t="s">
        <v>25894</v>
      </c>
      <c r="H11718" t="s">
        <v>88</v>
      </c>
      <c r="I11718" t="s">
        <v>22</v>
      </c>
      <c r="J11718">
        <v>94610</v>
      </c>
      <c r="K11718">
        <v>4380</v>
      </c>
      <c r="L11718" t="s">
        <v>23</v>
      </c>
      <c r="M11718" t="s">
        <v>25894</v>
      </c>
      <c r="N11718" t="s">
        <v>88</v>
      </c>
      <c r="O11718" t="s">
        <v>22</v>
      </c>
      <c r="P11718">
        <v>94610</v>
      </c>
      <c r="Q11718">
        <v>4380</v>
      </c>
      <c r="R11718" t="s">
        <v>23</v>
      </c>
      <c r="S11718" s="1" t="s">
        <v>34218</v>
      </c>
    </row>
    <row r="11719" spans="1:19" x14ac:dyDescent="0.25">
      <c r="A11719">
        <v>101305078</v>
      </c>
      <c r="B11719" t="s">
        <v>25895</v>
      </c>
      <c r="C11719" t="s">
        <v>2642</v>
      </c>
      <c r="G11719" t="s">
        <v>25896</v>
      </c>
      <c r="H11719" t="s">
        <v>8662</v>
      </c>
      <c r="I11719" t="s">
        <v>565</v>
      </c>
      <c r="J11719">
        <v>50129</v>
      </c>
      <c r="K11719">
        <v>2517</v>
      </c>
      <c r="L11719" t="s">
        <v>23</v>
      </c>
      <c r="M11719" t="s">
        <v>25896</v>
      </c>
      <c r="N11719" t="s">
        <v>8662</v>
      </c>
      <c r="O11719" t="s">
        <v>565</v>
      </c>
      <c r="P11719">
        <v>50129</v>
      </c>
      <c r="Q11719">
        <v>2517</v>
      </c>
      <c r="R11719" t="s">
        <v>23</v>
      </c>
      <c r="S11719" s="1" t="s">
        <v>34218</v>
      </c>
    </row>
    <row r="11720" spans="1:19" x14ac:dyDescent="0.25">
      <c r="A11720">
        <v>101447009</v>
      </c>
      <c r="B11720" t="s">
        <v>25897</v>
      </c>
      <c r="C11720" t="s">
        <v>247</v>
      </c>
      <c r="G11720" t="s">
        <v>25898</v>
      </c>
      <c r="H11720" t="s">
        <v>25899</v>
      </c>
      <c r="I11720" t="s">
        <v>236</v>
      </c>
      <c r="J11720">
        <v>1368</v>
      </c>
      <c r="K11720">
        <v>9300</v>
      </c>
      <c r="L11720" t="s">
        <v>23</v>
      </c>
      <c r="M11720" t="s">
        <v>25898</v>
      </c>
      <c r="N11720" t="s">
        <v>25899</v>
      </c>
      <c r="O11720" t="s">
        <v>236</v>
      </c>
      <c r="P11720">
        <v>1368</v>
      </c>
      <c r="Q11720">
        <v>9300</v>
      </c>
      <c r="R11720" t="s">
        <v>23</v>
      </c>
      <c r="S11720" s="1" t="s">
        <v>34218</v>
      </c>
    </row>
    <row r="11721" spans="1:19" x14ac:dyDescent="0.25">
      <c r="A11721">
        <v>101448359</v>
      </c>
      <c r="B11721" t="s">
        <v>2712</v>
      </c>
      <c r="C11721" t="s">
        <v>7884</v>
      </c>
      <c r="G11721" t="s">
        <v>25900</v>
      </c>
      <c r="H11721" t="s">
        <v>12935</v>
      </c>
      <c r="I11721" t="s">
        <v>140</v>
      </c>
      <c r="J11721">
        <v>48169</v>
      </c>
      <c r="K11721">
        <v>9257</v>
      </c>
      <c r="L11721" t="s">
        <v>23</v>
      </c>
      <c r="M11721" t="s">
        <v>25900</v>
      </c>
      <c r="N11721" t="s">
        <v>12935</v>
      </c>
      <c r="O11721" t="s">
        <v>140</v>
      </c>
      <c r="P11721">
        <v>48169</v>
      </c>
      <c r="Q11721">
        <v>9257</v>
      </c>
      <c r="R11721" t="s">
        <v>23</v>
      </c>
      <c r="S11721" s="1" t="s">
        <v>34218</v>
      </c>
    </row>
    <row r="11722" spans="1:19" x14ac:dyDescent="0.25">
      <c r="A11722">
        <v>101427170</v>
      </c>
      <c r="B11722" t="s">
        <v>6417</v>
      </c>
      <c r="C11722" t="s">
        <v>803</v>
      </c>
      <c r="G11722" t="s">
        <v>25901</v>
      </c>
      <c r="H11722" t="s">
        <v>25902</v>
      </c>
      <c r="I11722" t="s">
        <v>117</v>
      </c>
      <c r="J11722">
        <v>14120</v>
      </c>
      <c r="K11722">
        <v>4004</v>
      </c>
      <c r="L11722" t="s">
        <v>23</v>
      </c>
      <c r="M11722" t="s">
        <v>25901</v>
      </c>
      <c r="N11722" t="s">
        <v>25902</v>
      </c>
      <c r="O11722" t="s">
        <v>117</v>
      </c>
      <c r="P11722">
        <v>14120</v>
      </c>
      <c r="Q11722">
        <v>4004</v>
      </c>
      <c r="R11722" t="s">
        <v>23</v>
      </c>
      <c r="S11722" s="1" t="s">
        <v>34218</v>
      </c>
    </row>
    <row r="11723" spans="1:19" x14ac:dyDescent="0.25">
      <c r="A11723">
        <v>101199877</v>
      </c>
      <c r="B11723" t="s">
        <v>9212</v>
      </c>
      <c r="C11723" t="s">
        <v>1429</v>
      </c>
      <c r="F11723" t="str">
        <f>"6787620003"</f>
        <v>6787620003</v>
      </c>
      <c r="G11723" t="s">
        <v>25903</v>
      </c>
      <c r="H11723" t="s">
        <v>12692</v>
      </c>
      <c r="I11723" t="s">
        <v>28</v>
      </c>
      <c r="J11723">
        <v>30004</v>
      </c>
      <c r="K11723">
        <v>7828</v>
      </c>
      <c r="L11723" t="s">
        <v>23</v>
      </c>
      <c r="M11723" t="s">
        <v>25903</v>
      </c>
      <c r="N11723" t="s">
        <v>12692</v>
      </c>
      <c r="O11723" t="s">
        <v>28</v>
      </c>
      <c r="P11723">
        <v>30004</v>
      </c>
      <c r="Q11723">
        <v>7828</v>
      </c>
      <c r="R11723" t="s">
        <v>23</v>
      </c>
      <c r="S11723" s="1" t="s">
        <v>34218</v>
      </c>
    </row>
    <row r="11724" spans="1:19" x14ac:dyDescent="0.25">
      <c r="A11724">
        <v>100966256</v>
      </c>
      <c r="B11724" t="s">
        <v>25904</v>
      </c>
      <c r="C11724" t="s">
        <v>13091</v>
      </c>
      <c r="G11724" t="s">
        <v>25905</v>
      </c>
      <c r="H11724" t="s">
        <v>6538</v>
      </c>
      <c r="I11724" t="s">
        <v>135</v>
      </c>
      <c r="J11724">
        <v>60035</v>
      </c>
      <c r="K11724">
        <v>2313</v>
      </c>
      <c r="L11724" t="s">
        <v>23</v>
      </c>
      <c r="M11724" t="s">
        <v>25905</v>
      </c>
      <c r="N11724" t="s">
        <v>6538</v>
      </c>
      <c r="O11724" t="s">
        <v>135</v>
      </c>
      <c r="P11724">
        <v>60035</v>
      </c>
      <c r="Q11724">
        <v>2313</v>
      </c>
      <c r="R11724" t="s">
        <v>23</v>
      </c>
      <c r="S11724" s="1" t="s">
        <v>34218</v>
      </c>
    </row>
    <row r="11725" spans="1:19" x14ac:dyDescent="0.25">
      <c r="A11725">
        <v>101093275</v>
      </c>
      <c r="B11725" t="s">
        <v>25906</v>
      </c>
      <c r="C11725" t="s">
        <v>119</v>
      </c>
      <c r="G11725" t="s">
        <v>25907</v>
      </c>
      <c r="H11725" t="s">
        <v>569</v>
      </c>
      <c r="I11725" t="s">
        <v>187</v>
      </c>
      <c r="J11725">
        <v>55419</v>
      </c>
      <c r="K11725">
        <v>1652</v>
      </c>
      <c r="L11725" t="s">
        <v>23</v>
      </c>
      <c r="M11725" t="s">
        <v>25907</v>
      </c>
      <c r="N11725" t="s">
        <v>569</v>
      </c>
      <c r="O11725" t="s">
        <v>187</v>
      </c>
      <c r="P11725">
        <v>55419</v>
      </c>
      <c r="Q11725">
        <v>1652</v>
      </c>
      <c r="R11725" t="s">
        <v>23</v>
      </c>
      <c r="S11725" s="1" t="s">
        <v>34218</v>
      </c>
    </row>
    <row r="11726" spans="1:19" x14ac:dyDescent="0.25">
      <c r="A11726">
        <v>101139070</v>
      </c>
      <c r="B11726" t="s">
        <v>1831</v>
      </c>
      <c r="C11726" t="s">
        <v>217</v>
      </c>
      <c r="G11726" t="s">
        <v>25908</v>
      </c>
      <c r="H11726" t="s">
        <v>25909</v>
      </c>
      <c r="I11726" t="s">
        <v>702</v>
      </c>
      <c r="J11726">
        <v>89410</v>
      </c>
      <c r="K11726">
        <v>5133</v>
      </c>
      <c r="L11726" t="s">
        <v>23</v>
      </c>
      <c r="M11726" t="s">
        <v>25908</v>
      </c>
      <c r="N11726" t="s">
        <v>25909</v>
      </c>
      <c r="O11726" t="s">
        <v>702</v>
      </c>
      <c r="P11726">
        <v>89410</v>
      </c>
      <c r="Q11726">
        <v>5133</v>
      </c>
      <c r="R11726" t="s">
        <v>23</v>
      </c>
      <c r="S11726" s="1" t="s">
        <v>34218</v>
      </c>
    </row>
    <row r="11727" spans="1:19" x14ac:dyDescent="0.25">
      <c r="A11727">
        <v>100750432</v>
      </c>
      <c r="B11727" t="s">
        <v>25910</v>
      </c>
      <c r="C11727" t="s">
        <v>25911</v>
      </c>
      <c r="G11727" t="s">
        <v>25912</v>
      </c>
      <c r="H11727" t="s">
        <v>4795</v>
      </c>
      <c r="I11727" t="s">
        <v>9752</v>
      </c>
      <c r="J11727">
        <v>26628</v>
      </c>
      <c r="L11727" t="s">
        <v>23</v>
      </c>
      <c r="M11727" t="s">
        <v>25912</v>
      </c>
      <c r="N11727" t="s">
        <v>4795</v>
      </c>
      <c r="O11727" t="s">
        <v>9752</v>
      </c>
      <c r="P11727">
        <v>26628</v>
      </c>
      <c r="R11727" t="s">
        <v>23</v>
      </c>
      <c r="S11727" s="1" t="s">
        <v>34218</v>
      </c>
    </row>
    <row r="11728" spans="1:19" x14ac:dyDescent="0.25">
      <c r="A11728">
        <v>100864660</v>
      </c>
      <c r="B11728" t="s">
        <v>3705</v>
      </c>
      <c r="C11728" t="s">
        <v>25378</v>
      </c>
      <c r="G11728" t="s">
        <v>25913</v>
      </c>
      <c r="H11728" t="s">
        <v>25914</v>
      </c>
      <c r="I11728" t="s">
        <v>307</v>
      </c>
      <c r="J11728">
        <v>5041</v>
      </c>
      <c r="L11728" t="s">
        <v>23</v>
      </c>
      <c r="M11728" t="s">
        <v>25913</v>
      </c>
      <c r="N11728" t="s">
        <v>25914</v>
      </c>
      <c r="O11728" t="s">
        <v>307</v>
      </c>
      <c r="P11728">
        <v>5041</v>
      </c>
      <c r="R11728" t="s">
        <v>23</v>
      </c>
      <c r="S11728" s="1" t="s">
        <v>34218</v>
      </c>
    </row>
    <row r="11729" spans="1:19" x14ac:dyDescent="0.25">
      <c r="A11729">
        <v>101405381</v>
      </c>
      <c r="B11729" t="s">
        <v>980</v>
      </c>
      <c r="C11729" t="s">
        <v>1588</v>
      </c>
      <c r="G11729" t="s">
        <v>25915</v>
      </c>
      <c r="H11729" t="s">
        <v>25916</v>
      </c>
      <c r="I11729" t="s">
        <v>100</v>
      </c>
      <c r="J11729">
        <v>53018</v>
      </c>
      <c r="K11729">
        <v>1426</v>
      </c>
      <c r="L11729" t="s">
        <v>23</v>
      </c>
      <c r="M11729" t="s">
        <v>25915</v>
      </c>
      <c r="N11729" t="s">
        <v>25916</v>
      </c>
      <c r="O11729" t="s">
        <v>100</v>
      </c>
      <c r="P11729">
        <v>53018</v>
      </c>
      <c r="Q11729">
        <v>1426</v>
      </c>
      <c r="R11729" t="s">
        <v>23</v>
      </c>
      <c r="S11729" s="1" t="s">
        <v>34218</v>
      </c>
    </row>
    <row r="11730" spans="1:19" x14ac:dyDescent="0.25">
      <c r="A11730">
        <v>100851276</v>
      </c>
      <c r="B11730" t="s">
        <v>4716</v>
      </c>
      <c r="C11730" t="s">
        <v>699</v>
      </c>
      <c r="G11730" t="s">
        <v>25917</v>
      </c>
      <c r="H11730" t="s">
        <v>653</v>
      </c>
      <c r="I11730" t="s">
        <v>117</v>
      </c>
      <c r="J11730">
        <v>10024</v>
      </c>
      <c r="K11730">
        <v>4960</v>
      </c>
      <c r="L11730" t="s">
        <v>23</v>
      </c>
      <c r="M11730" t="s">
        <v>25917</v>
      </c>
      <c r="N11730" t="s">
        <v>653</v>
      </c>
      <c r="O11730" t="s">
        <v>117</v>
      </c>
      <c r="P11730">
        <v>10024</v>
      </c>
      <c r="Q11730">
        <v>4960</v>
      </c>
      <c r="R11730" t="s">
        <v>23</v>
      </c>
      <c r="S11730" s="1" t="s">
        <v>34218</v>
      </c>
    </row>
    <row r="11731" spans="1:19" x14ac:dyDescent="0.25">
      <c r="A11731">
        <v>100851848</v>
      </c>
      <c r="B11731" t="s">
        <v>25918</v>
      </c>
      <c r="C11731" t="s">
        <v>25919</v>
      </c>
      <c r="G11731" t="s">
        <v>25920</v>
      </c>
      <c r="H11731" t="s">
        <v>4514</v>
      </c>
      <c r="I11731" t="s">
        <v>446</v>
      </c>
      <c r="J11731">
        <v>28306</v>
      </c>
      <c r="K11731">
        <v>651</v>
      </c>
      <c r="L11731" t="s">
        <v>23</v>
      </c>
      <c r="M11731" t="s">
        <v>25920</v>
      </c>
      <c r="N11731" t="s">
        <v>4514</v>
      </c>
      <c r="O11731" t="s">
        <v>446</v>
      </c>
      <c r="P11731">
        <v>28306</v>
      </c>
      <c r="Q11731">
        <v>651</v>
      </c>
      <c r="R11731" t="s">
        <v>23</v>
      </c>
      <c r="S11731" s="1" t="s">
        <v>34218</v>
      </c>
    </row>
    <row r="11732" spans="1:19" x14ac:dyDescent="0.25">
      <c r="A11732">
        <v>101480698</v>
      </c>
      <c r="B11732" t="s">
        <v>25921</v>
      </c>
      <c r="C11732" t="s">
        <v>6143</v>
      </c>
      <c r="G11732" t="s">
        <v>25922</v>
      </c>
      <c r="H11732" t="s">
        <v>4122</v>
      </c>
      <c r="I11732" t="s">
        <v>22</v>
      </c>
      <c r="J11732">
        <v>91942</v>
      </c>
      <c r="K11732">
        <v>2061</v>
      </c>
      <c r="L11732" t="s">
        <v>23</v>
      </c>
      <c r="M11732" t="s">
        <v>25922</v>
      </c>
      <c r="N11732" t="s">
        <v>4122</v>
      </c>
      <c r="O11732" t="s">
        <v>22</v>
      </c>
      <c r="P11732">
        <v>91942</v>
      </c>
      <c r="Q11732">
        <v>2061</v>
      </c>
      <c r="R11732" t="s">
        <v>23</v>
      </c>
      <c r="S11732" s="1" t="s">
        <v>34218</v>
      </c>
    </row>
    <row r="11733" spans="1:19" x14ac:dyDescent="0.25">
      <c r="A11733">
        <v>101480706</v>
      </c>
      <c r="B11733" t="s">
        <v>25923</v>
      </c>
      <c r="C11733" t="s">
        <v>15004</v>
      </c>
      <c r="G11733" t="s">
        <v>25924</v>
      </c>
      <c r="H11733" t="s">
        <v>25925</v>
      </c>
      <c r="I11733" t="s">
        <v>84</v>
      </c>
      <c r="J11733">
        <v>99001</v>
      </c>
      <c r="L11733" t="s">
        <v>23</v>
      </c>
      <c r="M11733" t="s">
        <v>25924</v>
      </c>
      <c r="N11733" t="s">
        <v>25925</v>
      </c>
      <c r="O11733" t="s">
        <v>84</v>
      </c>
      <c r="P11733">
        <v>99001</v>
      </c>
      <c r="R11733" t="s">
        <v>23</v>
      </c>
      <c r="S11733" s="1" t="s">
        <v>34218</v>
      </c>
    </row>
    <row r="11734" spans="1:19" x14ac:dyDescent="0.25">
      <c r="A11734">
        <v>100686136</v>
      </c>
      <c r="B11734" t="s">
        <v>25926</v>
      </c>
      <c r="C11734" t="s">
        <v>403</v>
      </c>
      <c r="G11734" t="s">
        <v>25927</v>
      </c>
      <c r="H11734" t="s">
        <v>3130</v>
      </c>
      <c r="I11734" t="s">
        <v>38</v>
      </c>
      <c r="J11734">
        <v>75707</v>
      </c>
      <c r="K11734">
        <v>2088</v>
      </c>
      <c r="L11734" t="s">
        <v>23</v>
      </c>
      <c r="M11734" t="s">
        <v>25927</v>
      </c>
      <c r="N11734" t="s">
        <v>3130</v>
      </c>
      <c r="O11734" t="s">
        <v>38</v>
      </c>
      <c r="P11734">
        <v>75707</v>
      </c>
      <c r="Q11734">
        <v>2088</v>
      </c>
      <c r="R11734" t="s">
        <v>23</v>
      </c>
      <c r="S11734" s="1" t="s">
        <v>34218</v>
      </c>
    </row>
    <row r="11735" spans="1:19" x14ac:dyDescent="0.25">
      <c r="A11735">
        <v>101471425</v>
      </c>
      <c r="B11735" t="s">
        <v>25928</v>
      </c>
      <c r="C11735" t="s">
        <v>6653</v>
      </c>
      <c r="G11735" t="s">
        <v>25929</v>
      </c>
      <c r="H11735" t="s">
        <v>1748</v>
      </c>
      <c r="I11735" t="s">
        <v>255</v>
      </c>
      <c r="J11735">
        <v>22213</v>
      </c>
      <c r="K11735">
        <v>1051</v>
      </c>
      <c r="L11735" t="s">
        <v>23</v>
      </c>
      <c r="M11735" t="s">
        <v>25929</v>
      </c>
      <c r="N11735" t="s">
        <v>1748</v>
      </c>
      <c r="O11735" t="s">
        <v>255</v>
      </c>
      <c r="P11735">
        <v>22213</v>
      </c>
      <c r="Q11735">
        <v>1051</v>
      </c>
      <c r="R11735" t="s">
        <v>23</v>
      </c>
      <c r="S11735" s="1" t="s">
        <v>34218</v>
      </c>
    </row>
    <row r="11736" spans="1:19" x14ac:dyDescent="0.25">
      <c r="A11736">
        <v>101475300</v>
      </c>
      <c r="B11736" t="s">
        <v>44</v>
      </c>
      <c r="C11736" t="s">
        <v>627</v>
      </c>
      <c r="G11736" t="s">
        <v>25930</v>
      </c>
      <c r="H11736" t="s">
        <v>5190</v>
      </c>
      <c r="I11736" t="s">
        <v>255</v>
      </c>
      <c r="J11736">
        <v>22031</v>
      </c>
      <c r="K11736">
        <v>2003</v>
      </c>
      <c r="L11736" t="s">
        <v>23</v>
      </c>
      <c r="M11736" t="s">
        <v>25930</v>
      </c>
      <c r="N11736" t="s">
        <v>5190</v>
      </c>
      <c r="O11736" t="s">
        <v>255</v>
      </c>
      <c r="P11736">
        <v>22031</v>
      </c>
      <c r="Q11736">
        <v>2003</v>
      </c>
      <c r="R11736" t="s">
        <v>23</v>
      </c>
      <c r="S11736" s="1" t="s">
        <v>34218</v>
      </c>
    </row>
    <row r="11737" spans="1:19" x14ac:dyDescent="0.25">
      <c r="A11737">
        <v>101258711</v>
      </c>
      <c r="B11737" t="s">
        <v>25931</v>
      </c>
      <c r="C11737" t="s">
        <v>11843</v>
      </c>
      <c r="G11737" t="s">
        <v>25932</v>
      </c>
      <c r="H11737" t="s">
        <v>4559</v>
      </c>
      <c r="I11737" t="s">
        <v>135</v>
      </c>
      <c r="J11737">
        <v>62629</v>
      </c>
      <c r="K11737">
        <v>1496</v>
      </c>
      <c r="L11737" t="s">
        <v>23</v>
      </c>
      <c r="M11737" t="s">
        <v>25932</v>
      </c>
      <c r="N11737" t="s">
        <v>4559</v>
      </c>
      <c r="O11737" t="s">
        <v>135</v>
      </c>
      <c r="P11737">
        <v>62629</v>
      </c>
      <c r="Q11737">
        <v>1496</v>
      </c>
      <c r="R11737" t="s">
        <v>23</v>
      </c>
      <c r="S11737" s="1" t="s">
        <v>34218</v>
      </c>
    </row>
    <row r="11738" spans="1:19" x14ac:dyDescent="0.25">
      <c r="A11738">
        <v>101479517</v>
      </c>
      <c r="B11738" t="s">
        <v>25933</v>
      </c>
      <c r="C11738" t="s">
        <v>4284</v>
      </c>
      <c r="G11738" t="s">
        <v>25934</v>
      </c>
      <c r="H11738" t="s">
        <v>130</v>
      </c>
      <c r="I11738" t="s">
        <v>22</v>
      </c>
      <c r="J11738">
        <v>94114</v>
      </c>
      <c r="K11738">
        <v>2012</v>
      </c>
      <c r="L11738" t="s">
        <v>23</v>
      </c>
      <c r="M11738" t="s">
        <v>25934</v>
      </c>
      <c r="N11738" t="s">
        <v>130</v>
      </c>
      <c r="O11738" t="s">
        <v>22</v>
      </c>
      <c r="P11738">
        <v>94114</v>
      </c>
      <c r="Q11738">
        <v>2012</v>
      </c>
      <c r="R11738" t="s">
        <v>23</v>
      </c>
      <c r="S11738" s="1" t="s">
        <v>34218</v>
      </c>
    </row>
    <row r="11739" spans="1:19" x14ac:dyDescent="0.25">
      <c r="A11739">
        <v>101474648</v>
      </c>
      <c r="B11739" t="s">
        <v>25935</v>
      </c>
      <c r="C11739" t="s">
        <v>30</v>
      </c>
      <c r="G11739" t="s">
        <v>25936</v>
      </c>
      <c r="H11739" t="s">
        <v>1246</v>
      </c>
      <c r="I11739" t="s">
        <v>140</v>
      </c>
      <c r="J11739">
        <v>49534</v>
      </c>
      <c r="K11739">
        <v>7216</v>
      </c>
      <c r="L11739" t="s">
        <v>23</v>
      </c>
      <c r="M11739" t="s">
        <v>25936</v>
      </c>
      <c r="N11739" t="s">
        <v>1246</v>
      </c>
      <c r="O11739" t="s">
        <v>140</v>
      </c>
      <c r="P11739">
        <v>49534</v>
      </c>
      <c r="Q11739">
        <v>7216</v>
      </c>
      <c r="R11739" t="s">
        <v>23</v>
      </c>
      <c r="S11739" s="1" t="s">
        <v>34218</v>
      </c>
    </row>
    <row r="11740" spans="1:19" x14ac:dyDescent="0.25">
      <c r="A11740">
        <v>100832413</v>
      </c>
      <c r="B11740" t="s">
        <v>25937</v>
      </c>
      <c r="C11740" t="s">
        <v>7569</v>
      </c>
      <c r="G11740" t="s">
        <v>25938</v>
      </c>
      <c r="H11740" t="s">
        <v>1867</v>
      </c>
      <c r="I11740" t="s">
        <v>178</v>
      </c>
      <c r="J11740">
        <v>45036</v>
      </c>
      <c r="L11740" t="s">
        <v>23</v>
      </c>
      <c r="M11740" t="s">
        <v>25938</v>
      </c>
      <c r="N11740" t="s">
        <v>1867</v>
      </c>
      <c r="O11740" t="s">
        <v>178</v>
      </c>
      <c r="P11740">
        <v>45036</v>
      </c>
      <c r="R11740" t="s">
        <v>23</v>
      </c>
      <c r="S11740" s="1" t="s">
        <v>34218</v>
      </c>
    </row>
    <row r="11741" spans="1:19" x14ac:dyDescent="0.25">
      <c r="A11741">
        <v>101296165</v>
      </c>
      <c r="B11741" t="s">
        <v>93</v>
      </c>
      <c r="C11741" t="s">
        <v>403</v>
      </c>
      <c r="G11741" t="s">
        <v>25939</v>
      </c>
      <c r="H11741" t="s">
        <v>18113</v>
      </c>
      <c r="I11741" t="s">
        <v>148</v>
      </c>
      <c r="J11741">
        <v>21801</v>
      </c>
      <c r="K11741">
        <v>7034</v>
      </c>
      <c r="L11741" t="s">
        <v>23</v>
      </c>
      <c r="M11741" t="s">
        <v>25939</v>
      </c>
      <c r="N11741" t="s">
        <v>18113</v>
      </c>
      <c r="O11741" t="s">
        <v>148</v>
      </c>
      <c r="P11741">
        <v>21801</v>
      </c>
      <c r="Q11741">
        <v>7034</v>
      </c>
      <c r="R11741" t="s">
        <v>23</v>
      </c>
      <c r="S11741" s="1" t="s">
        <v>34218</v>
      </c>
    </row>
    <row r="11742" spans="1:19" x14ac:dyDescent="0.25">
      <c r="A11742">
        <v>100642816</v>
      </c>
      <c r="B11742" t="s">
        <v>25940</v>
      </c>
      <c r="C11742" t="s">
        <v>11643</v>
      </c>
      <c r="G11742" t="s">
        <v>25941</v>
      </c>
      <c r="H11742" t="s">
        <v>1766</v>
      </c>
      <c r="I11742" t="s">
        <v>22</v>
      </c>
      <c r="J11742">
        <v>94590</v>
      </c>
      <c r="K11742">
        <v>3457</v>
      </c>
      <c r="L11742" t="s">
        <v>23</v>
      </c>
      <c r="M11742" t="s">
        <v>25941</v>
      </c>
      <c r="N11742" t="s">
        <v>1766</v>
      </c>
      <c r="O11742" t="s">
        <v>22</v>
      </c>
      <c r="P11742">
        <v>94590</v>
      </c>
      <c r="Q11742">
        <v>3457</v>
      </c>
      <c r="R11742" t="s">
        <v>23</v>
      </c>
      <c r="S11742" s="1" t="s">
        <v>34218</v>
      </c>
    </row>
    <row r="11743" spans="1:19" x14ac:dyDescent="0.25">
      <c r="A11743">
        <v>101464754</v>
      </c>
      <c r="B11743" t="s">
        <v>276</v>
      </c>
      <c r="C11743" t="s">
        <v>1036</v>
      </c>
      <c r="G11743" t="s">
        <v>25942</v>
      </c>
      <c r="H11743" t="s">
        <v>1086</v>
      </c>
      <c r="I11743" t="s">
        <v>446</v>
      </c>
      <c r="J11743">
        <v>28205</v>
      </c>
      <c r="K11743">
        <v>4429</v>
      </c>
      <c r="L11743" t="s">
        <v>23</v>
      </c>
      <c r="M11743" t="s">
        <v>25942</v>
      </c>
      <c r="N11743" t="s">
        <v>1086</v>
      </c>
      <c r="O11743" t="s">
        <v>446</v>
      </c>
      <c r="P11743">
        <v>28205</v>
      </c>
      <c r="Q11743">
        <v>4429</v>
      </c>
      <c r="R11743" t="s">
        <v>23</v>
      </c>
      <c r="S11743" s="1" t="s">
        <v>34218</v>
      </c>
    </row>
    <row r="11744" spans="1:19" x14ac:dyDescent="0.25">
      <c r="A11744">
        <v>101095286</v>
      </c>
      <c r="B11744" t="s">
        <v>25943</v>
      </c>
      <c r="C11744" t="s">
        <v>466</v>
      </c>
      <c r="G11744" t="s">
        <v>25944</v>
      </c>
      <c r="H11744" t="s">
        <v>7369</v>
      </c>
      <c r="I11744" t="s">
        <v>984</v>
      </c>
      <c r="J11744">
        <v>96744</v>
      </c>
      <c r="K11744">
        <v>2641</v>
      </c>
      <c r="L11744" t="s">
        <v>23</v>
      </c>
      <c r="M11744" t="s">
        <v>25944</v>
      </c>
      <c r="N11744" t="s">
        <v>7369</v>
      </c>
      <c r="O11744" t="s">
        <v>984</v>
      </c>
      <c r="P11744">
        <v>96744</v>
      </c>
      <c r="Q11744">
        <v>2641</v>
      </c>
      <c r="R11744" t="s">
        <v>23</v>
      </c>
      <c r="S11744" s="1" t="s">
        <v>34218</v>
      </c>
    </row>
    <row r="11745" spans="1:19" x14ac:dyDescent="0.25">
      <c r="A11745">
        <v>101478406</v>
      </c>
      <c r="B11745" t="s">
        <v>12977</v>
      </c>
      <c r="C11745" t="s">
        <v>1327</v>
      </c>
      <c r="G11745" t="s">
        <v>25945</v>
      </c>
      <c r="H11745" t="s">
        <v>393</v>
      </c>
      <c r="I11745" t="s">
        <v>71</v>
      </c>
      <c r="J11745">
        <v>80210</v>
      </c>
      <c r="K11745">
        <v>4704</v>
      </c>
      <c r="L11745" t="s">
        <v>23</v>
      </c>
      <c r="M11745" t="s">
        <v>25945</v>
      </c>
      <c r="N11745" t="s">
        <v>393</v>
      </c>
      <c r="O11745" t="s">
        <v>71</v>
      </c>
      <c r="P11745">
        <v>80210</v>
      </c>
      <c r="Q11745">
        <v>4704</v>
      </c>
      <c r="R11745" t="s">
        <v>23</v>
      </c>
      <c r="S11745" s="1" t="s">
        <v>34218</v>
      </c>
    </row>
    <row r="11746" spans="1:19" x14ac:dyDescent="0.25">
      <c r="A11746">
        <v>101478868</v>
      </c>
      <c r="B11746" t="s">
        <v>25946</v>
      </c>
      <c r="C11746" t="s">
        <v>5009</v>
      </c>
      <c r="G11746" t="s">
        <v>25947</v>
      </c>
      <c r="H11746" t="s">
        <v>24203</v>
      </c>
      <c r="I11746" t="s">
        <v>43</v>
      </c>
      <c r="J11746">
        <v>97058</v>
      </c>
      <c r="K11746">
        <v>1080</v>
      </c>
      <c r="L11746" t="s">
        <v>23</v>
      </c>
      <c r="M11746" t="s">
        <v>25947</v>
      </c>
      <c r="N11746" t="s">
        <v>24203</v>
      </c>
      <c r="O11746" t="s">
        <v>43</v>
      </c>
      <c r="P11746">
        <v>97058</v>
      </c>
      <c r="Q11746">
        <v>1080</v>
      </c>
      <c r="R11746" t="s">
        <v>23</v>
      </c>
      <c r="S11746" s="1" t="s">
        <v>34218</v>
      </c>
    </row>
    <row r="11747" spans="1:19" x14ac:dyDescent="0.25">
      <c r="A11747">
        <v>100515978</v>
      </c>
      <c r="B11747" t="s">
        <v>25948</v>
      </c>
      <c r="C11747" t="s">
        <v>313</v>
      </c>
      <c r="G11747" t="s">
        <v>25949</v>
      </c>
      <c r="H11747" t="s">
        <v>15073</v>
      </c>
      <c r="I11747" t="s">
        <v>71</v>
      </c>
      <c r="J11747">
        <v>80466</v>
      </c>
      <c r="K11747">
        <v>9674</v>
      </c>
      <c r="L11747" t="s">
        <v>23</v>
      </c>
      <c r="M11747" t="s">
        <v>25949</v>
      </c>
      <c r="N11747" t="s">
        <v>15073</v>
      </c>
      <c r="O11747" t="s">
        <v>71</v>
      </c>
      <c r="P11747">
        <v>80466</v>
      </c>
      <c r="Q11747">
        <v>9674</v>
      </c>
      <c r="R11747" t="s">
        <v>23</v>
      </c>
      <c r="S11747" s="1" t="s">
        <v>34218</v>
      </c>
    </row>
    <row r="11748" spans="1:19" x14ac:dyDescent="0.25">
      <c r="A11748">
        <v>100911907</v>
      </c>
      <c r="B11748" t="s">
        <v>3893</v>
      </c>
      <c r="C11748" t="s">
        <v>410</v>
      </c>
      <c r="G11748" t="s">
        <v>25950</v>
      </c>
      <c r="H11748" t="s">
        <v>1283</v>
      </c>
      <c r="I11748" t="s">
        <v>22</v>
      </c>
      <c r="J11748">
        <v>93923</v>
      </c>
      <c r="L11748" t="s">
        <v>23</v>
      </c>
      <c r="M11748" t="s">
        <v>25950</v>
      </c>
      <c r="N11748" t="s">
        <v>1283</v>
      </c>
      <c r="O11748" t="s">
        <v>22</v>
      </c>
      <c r="P11748">
        <v>93923</v>
      </c>
      <c r="R11748" t="s">
        <v>23</v>
      </c>
      <c r="S11748" s="1" t="s">
        <v>34218</v>
      </c>
    </row>
    <row r="11749" spans="1:19" x14ac:dyDescent="0.25">
      <c r="A11749">
        <v>101480821</v>
      </c>
      <c r="B11749" t="s">
        <v>25951</v>
      </c>
      <c r="C11749" t="s">
        <v>25952</v>
      </c>
      <c r="G11749" t="s">
        <v>25953</v>
      </c>
      <c r="H11749" t="s">
        <v>1052</v>
      </c>
      <c r="I11749" t="s">
        <v>43</v>
      </c>
      <c r="J11749">
        <v>97321</v>
      </c>
      <c r="L11749" t="s">
        <v>23</v>
      </c>
      <c r="M11749" t="s">
        <v>25953</v>
      </c>
      <c r="N11749" t="s">
        <v>1052</v>
      </c>
      <c r="O11749" t="s">
        <v>43</v>
      </c>
      <c r="P11749">
        <v>97321</v>
      </c>
      <c r="R11749" t="s">
        <v>23</v>
      </c>
      <c r="S11749" s="1" t="s">
        <v>34218</v>
      </c>
    </row>
    <row r="11750" spans="1:19" x14ac:dyDescent="0.25">
      <c r="A11750">
        <v>101480823</v>
      </c>
      <c r="B11750" t="s">
        <v>654</v>
      </c>
      <c r="C11750" t="s">
        <v>45</v>
      </c>
      <c r="G11750" t="s">
        <v>20403</v>
      </c>
      <c r="H11750" t="s">
        <v>12888</v>
      </c>
      <c r="I11750" t="s">
        <v>57</v>
      </c>
      <c r="J11750">
        <v>46151</v>
      </c>
      <c r="L11750" t="s">
        <v>23</v>
      </c>
      <c r="M11750" t="s">
        <v>20403</v>
      </c>
      <c r="N11750" t="s">
        <v>12888</v>
      </c>
      <c r="O11750" t="s">
        <v>57</v>
      </c>
      <c r="P11750">
        <v>46151</v>
      </c>
      <c r="R11750" t="s">
        <v>23</v>
      </c>
      <c r="S11750" s="1" t="s">
        <v>34218</v>
      </c>
    </row>
    <row r="11751" spans="1:19" x14ac:dyDescent="0.25">
      <c r="A11751">
        <v>101474501</v>
      </c>
      <c r="B11751" t="s">
        <v>1187</v>
      </c>
      <c r="C11751" t="s">
        <v>7445</v>
      </c>
      <c r="G11751" t="s">
        <v>25954</v>
      </c>
      <c r="H11751" t="s">
        <v>393</v>
      </c>
      <c r="I11751" t="s">
        <v>71</v>
      </c>
      <c r="J11751">
        <v>80246</v>
      </c>
      <c r="K11751">
        <v>2107</v>
      </c>
      <c r="L11751" t="s">
        <v>23</v>
      </c>
      <c r="M11751" t="s">
        <v>25954</v>
      </c>
      <c r="N11751" t="s">
        <v>393</v>
      </c>
      <c r="O11751" t="s">
        <v>71</v>
      </c>
      <c r="P11751">
        <v>80246</v>
      </c>
      <c r="Q11751">
        <v>2107</v>
      </c>
      <c r="R11751" t="s">
        <v>23</v>
      </c>
      <c r="S11751" s="1" t="s">
        <v>34218</v>
      </c>
    </row>
    <row r="11752" spans="1:19" x14ac:dyDescent="0.25">
      <c r="A11752">
        <v>101465927</v>
      </c>
      <c r="B11752" t="s">
        <v>34</v>
      </c>
      <c r="C11752" t="s">
        <v>3058</v>
      </c>
      <c r="G11752" t="s">
        <v>25955</v>
      </c>
      <c r="H11752" t="s">
        <v>10313</v>
      </c>
      <c r="I11752" t="s">
        <v>365</v>
      </c>
      <c r="J11752">
        <v>85268</v>
      </c>
      <c r="K11752">
        <v>6737</v>
      </c>
      <c r="L11752" t="s">
        <v>23</v>
      </c>
      <c r="M11752" t="s">
        <v>25955</v>
      </c>
      <c r="N11752" t="s">
        <v>10313</v>
      </c>
      <c r="O11752" t="s">
        <v>365</v>
      </c>
      <c r="P11752">
        <v>85268</v>
      </c>
      <c r="Q11752">
        <v>6737</v>
      </c>
      <c r="R11752" t="s">
        <v>23</v>
      </c>
      <c r="S11752" s="1" t="s">
        <v>34218</v>
      </c>
    </row>
    <row r="11753" spans="1:19" x14ac:dyDescent="0.25">
      <c r="A11753">
        <v>101480834</v>
      </c>
      <c r="B11753" t="s">
        <v>25956</v>
      </c>
      <c r="C11753" t="s">
        <v>1773</v>
      </c>
      <c r="G11753" t="s">
        <v>25957</v>
      </c>
      <c r="H11753" t="s">
        <v>25958</v>
      </c>
      <c r="I11753" t="s">
        <v>7839</v>
      </c>
      <c r="J11753">
        <v>58078</v>
      </c>
      <c r="K11753">
        <v>7962</v>
      </c>
      <c r="L11753" t="s">
        <v>23</v>
      </c>
      <c r="M11753" t="s">
        <v>25957</v>
      </c>
      <c r="N11753" t="s">
        <v>25958</v>
      </c>
      <c r="O11753" t="s">
        <v>7839</v>
      </c>
      <c r="P11753">
        <v>58078</v>
      </c>
      <c r="Q11753">
        <v>7962</v>
      </c>
      <c r="R11753" t="s">
        <v>23</v>
      </c>
      <c r="S11753" s="1" t="s">
        <v>34218</v>
      </c>
    </row>
    <row r="11754" spans="1:19" x14ac:dyDescent="0.25">
      <c r="A11754">
        <v>100559625</v>
      </c>
      <c r="B11754" t="s">
        <v>497</v>
      </c>
      <c r="C11754" t="s">
        <v>155</v>
      </c>
      <c r="G11754" t="s">
        <v>25959</v>
      </c>
      <c r="H11754" t="s">
        <v>2189</v>
      </c>
      <c r="I11754" t="s">
        <v>187</v>
      </c>
      <c r="J11754">
        <v>55305</v>
      </c>
      <c r="K11754">
        <v>3245</v>
      </c>
      <c r="L11754" t="s">
        <v>23</v>
      </c>
      <c r="M11754" t="s">
        <v>25959</v>
      </c>
      <c r="N11754" t="s">
        <v>2189</v>
      </c>
      <c r="O11754" t="s">
        <v>187</v>
      </c>
      <c r="P11754">
        <v>55305</v>
      </c>
      <c r="Q11754">
        <v>3245</v>
      </c>
      <c r="R11754" t="s">
        <v>23</v>
      </c>
      <c r="S11754" s="1" t="s">
        <v>34218</v>
      </c>
    </row>
    <row r="11755" spans="1:19" x14ac:dyDescent="0.25">
      <c r="A11755">
        <v>100972966</v>
      </c>
      <c r="B11755" t="s">
        <v>3590</v>
      </c>
      <c r="C11755" t="s">
        <v>10596</v>
      </c>
      <c r="G11755" t="s">
        <v>25960</v>
      </c>
      <c r="H11755" t="s">
        <v>11446</v>
      </c>
      <c r="I11755" t="s">
        <v>22</v>
      </c>
      <c r="J11755">
        <v>91722</v>
      </c>
      <c r="L11755" t="s">
        <v>23</v>
      </c>
      <c r="M11755" t="s">
        <v>25960</v>
      </c>
      <c r="N11755" t="s">
        <v>11446</v>
      </c>
      <c r="O11755" t="s">
        <v>22</v>
      </c>
      <c r="P11755">
        <v>91722</v>
      </c>
      <c r="R11755" t="s">
        <v>23</v>
      </c>
      <c r="S11755" s="1" t="s">
        <v>34218</v>
      </c>
    </row>
    <row r="11756" spans="1:19" x14ac:dyDescent="0.25">
      <c r="A11756">
        <v>101431004</v>
      </c>
      <c r="B11756" t="s">
        <v>25961</v>
      </c>
      <c r="C11756" t="s">
        <v>49</v>
      </c>
      <c r="G11756" t="s">
        <v>25962</v>
      </c>
      <c r="H11756" t="s">
        <v>357</v>
      </c>
      <c r="I11756" t="s">
        <v>255</v>
      </c>
      <c r="J11756">
        <v>22301</v>
      </c>
      <c r="K11756">
        <v>2028</v>
      </c>
      <c r="L11756" t="s">
        <v>23</v>
      </c>
      <c r="M11756" t="s">
        <v>25962</v>
      </c>
      <c r="N11756" t="s">
        <v>357</v>
      </c>
      <c r="O11756" t="s">
        <v>255</v>
      </c>
      <c r="P11756">
        <v>22301</v>
      </c>
      <c r="Q11756">
        <v>2028</v>
      </c>
      <c r="R11756" t="s">
        <v>23</v>
      </c>
      <c r="S11756" s="1" t="s">
        <v>34218</v>
      </c>
    </row>
    <row r="11757" spans="1:19" x14ac:dyDescent="0.25">
      <c r="A11757">
        <v>100771599</v>
      </c>
      <c r="B11757" t="s">
        <v>3956</v>
      </c>
      <c r="C11757" t="s">
        <v>2420</v>
      </c>
      <c r="G11757" t="s">
        <v>25963</v>
      </c>
      <c r="H11757" t="s">
        <v>5426</v>
      </c>
      <c r="I11757" t="s">
        <v>135</v>
      </c>
      <c r="J11757">
        <v>62903</v>
      </c>
      <c r="K11757">
        <v>7848</v>
      </c>
      <c r="L11757" t="s">
        <v>23</v>
      </c>
      <c r="M11757" t="s">
        <v>25963</v>
      </c>
      <c r="N11757" t="s">
        <v>5426</v>
      </c>
      <c r="O11757" t="s">
        <v>135</v>
      </c>
      <c r="P11757">
        <v>62903</v>
      </c>
      <c r="Q11757">
        <v>7848</v>
      </c>
      <c r="R11757" t="s">
        <v>23</v>
      </c>
      <c r="S11757" s="1" t="s">
        <v>34218</v>
      </c>
    </row>
    <row r="11758" spans="1:19" x14ac:dyDescent="0.25">
      <c r="A11758">
        <v>101241291</v>
      </c>
      <c r="B11758" t="s">
        <v>25964</v>
      </c>
      <c r="C11758" t="s">
        <v>30</v>
      </c>
      <c r="F11758" t="str">
        <f>"3147120349"</f>
        <v>3147120349</v>
      </c>
      <c r="G11758" t="s">
        <v>25965</v>
      </c>
      <c r="H11758" t="s">
        <v>125</v>
      </c>
      <c r="I11758" t="s">
        <v>126</v>
      </c>
      <c r="J11758">
        <v>63124</v>
      </c>
      <c r="K11758">
        <v>1688</v>
      </c>
      <c r="L11758" t="s">
        <v>23</v>
      </c>
      <c r="M11758" t="s">
        <v>25965</v>
      </c>
      <c r="N11758" t="s">
        <v>125</v>
      </c>
      <c r="O11758" t="s">
        <v>126</v>
      </c>
      <c r="P11758">
        <v>63124</v>
      </c>
      <c r="Q11758">
        <v>1688</v>
      </c>
      <c r="R11758" t="s">
        <v>23</v>
      </c>
      <c r="S11758" s="1" t="s">
        <v>34218</v>
      </c>
    </row>
    <row r="11759" spans="1:19" x14ac:dyDescent="0.25">
      <c r="A11759">
        <v>101476767</v>
      </c>
      <c r="B11759" t="s">
        <v>1554</v>
      </c>
      <c r="C11759" t="s">
        <v>2411</v>
      </c>
      <c r="G11759" t="s">
        <v>25966</v>
      </c>
      <c r="H11759" t="s">
        <v>1748</v>
      </c>
      <c r="I11759" t="s">
        <v>38</v>
      </c>
      <c r="J11759">
        <v>76017</v>
      </c>
      <c r="L11759" t="s">
        <v>23</v>
      </c>
      <c r="M11759" t="s">
        <v>25966</v>
      </c>
      <c r="N11759" t="s">
        <v>1748</v>
      </c>
      <c r="O11759" t="s">
        <v>38</v>
      </c>
      <c r="P11759">
        <v>76017</v>
      </c>
      <c r="R11759" t="s">
        <v>23</v>
      </c>
      <c r="S11759" s="1" t="s">
        <v>34218</v>
      </c>
    </row>
    <row r="11760" spans="1:19" x14ac:dyDescent="0.25">
      <c r="A11760">
        <v>101472129</v>
      </c>
      <c r="B11760" t="s">
        <v>5346</v>
      </c>
      <c r="C11760" t="s">
        <v>1030</v>
      </c>
      <c r="G11760" t="s">
        <v>25967</v>
      </c>
      <c r="H11760" t="s">
        <v>25968</v>
      </c>
      <c r="I11760" t="s">
        <v>22</v>
      </c>
      <c r="J11760">
        <v>90275</v>
      </c>
      <c r="L11760" t="s">
        <v>23</v>
      </c>
      <c r="M11760" t="s">
        <v>25967</v>
      </c>
      <c r="N11760" t="s">
        <v>25968</v>
      </c>
      <c r="O11760" t="s">
        <v>22</v>
      </c>
      <c r="P11760">
        <v>90275</v>
      </c>
      <c r="R11760" t="s">
        <v>23</v>
      </c>
      <c r="S11760" s="1" t="s">
        <v>34218</v>
      </c>
    </row>
    <row r="11761" spans="1:19" x14ac:dyDescent="0.25">
      <c r="A11761">
        <v>101480667</v>
      </c>
      <c r="B11761" t="s">
        <v>9807</v>
      </c>
      <c r="C11761" t="s">
        <v>11801</v>
      </c>
      <c r="G11761" t="s">
        <v>25969</v>
      </c>
      <c r="H11761" t="s">
        <v>380</v>
      </c>
      <c r="I11761" t="s">
        <v>38</v>
      </c>
      <c r="J11761">
        <v>75032</v>
      </c>
      <c r="L11761" t="s">
        <v>23</v>
      </c>
      <c r="M11761" t="s">
        <v>25969</v>
      </c>
      <c r="N11761" t="s">
        <v>380</v>
      </c>
      <c r="O11761" t="s">
        <v>38</v>
      </c>
      <c r="P11761">
        <v>75032</v>
      </c>
      <c r="R11761" t="s">
        <v>23</v>
      </c>
      <c r="S11761" s="1" t="s">
        <v>34218</v>
      </c>
    </row>
    <row r="11762" spans="1:19" x14ac:dyDescent="0.25">
      <c r="A11762">
        <v>101418845</v>
      </c>
      <c r="B11762" t="s">
        <v>25970</v>
      </c>
      <c r="C11762" t="s">
        <v>5783</v>
      </c>
      <c r="G11762" t="s">
        <v>25971</v>
      </c>
      <c r="H11762" t="s">
        <v>15158</v>
      </c>
      <c r="I11762" t="s">
        <v>28</v>
      </c>
      <c r="J11762">
        <v>30605</v>
      </c>
      <c r="L11762" t="s">
        <v>23</v>
      </c>
      <c r="M11762" t="s">
        <v>25971</v>
      </c>
      <c r="N11762" t="s">
        <v>15158</v>
      </c>
      <c r="O11762" t="s">
        <v>28</v>
      </c>
      <c r="P11762">
        <v>30605</v>
      </c>
      <c r="R11762" t="s">
        <v>23</v>
      </c>
      <c r="S11762" s="1" t="s">
        <v>34218</v>
      </c>
    </row>
    <row r="11763" spans="1:19" x14ac:dyDescent="0.25">
      <c r="A11763">
        <v>101418918</v>
      </c>
      <c r="B11763" t="s">
        <v>5870</v>
      </c>
      <c r="C11763" t="s">
        <v>25972</v>
      </c>
      <c r="G11763" t="s">
        <v>25973</v>
      </c>
      <c r="H11763" t="s">
        <v>223</v>
      </c>
      <c r="I11763" t="s">
        <v>22</v>
      </c>
      <c r="J11763">
        <v>94577</v>
      </c>
      <c r="K11763">
        <v>4522</v>
      </c>
      <c r="L11763" t="s">
        <v>23</v>
      </c>
      <c r="M11763" t="s">
        <v>25973</v>
      </c>
      <c r="N11763" t="s">
        <v>223</v>
      </c>
      <c r="O11763" t="s">
        <v>22</v>
      </c>
      <c r="P11763">
        <v>94577</v>
      </c>
      <c r="Q11763">
        <v>4522</v>
      </c>
      <c r="R11763" t="s">
        <v>23</v>
      </c>
      <c r="S11763" s="1" t="s">
        <v>34218</v>
      </c>
    </row>
    <row r="11764" spans="1:19" x14ac:dyDescent="0.25">
      <c r="A11764">
        <v>101424485</v>
      </c>
      <c r="B11764" t="s">
        <v>744</v>
      </c>
      <c r="C11764" t="s">
        <v>452</v>
      </c>
      <c r="G11764" t="s">
        <v>25974</v>
      </c>
      <c r="H11764" t="s">
        <v>1370</v>
      </c>
      <c r="I11764" t="s">
        <v>28</v>
      </c>
      <c r="J11764">
        <v>30820</v>
      </c>
      <c r="K11764">
        <v>3941</v>
      </c>
      <c r="L11764" t="s">
        <v>23</v>
      </c>
      <c r="M11764" t="s">
        <v>25974</v>
      </c>
      <c r="N11764" t="s">
        <v>1370</v>
      </c>
      <c r="O11764" t="s">
        <v>28</v>
      </c>
      <c r="P11764">
        <v>30820</v>
      </c>
      <c r="Q11764">
        <v>3941</v>
      </c>
      <c r="R11764" t="s">
        <v>23</v>
      </c>
      <c r="S11764" s="1" t="s">
        <v>34218</v>
      </c>
    </row>
    <row r="11765" spans="1:19" x14ac:dyDescent="0.25">
      <c r="A11765">
        <v>101266191</v>
      </c>
      <c r="B11765" t="s">
        <v>1536</v>
      </c>
      <c r="C11765" t="s">
        <v>1714</v>
      </c>
      <c r="G11765" t="s">
        <v>25975</v>
      </c>
      <c r="H11765" t="s">
        <v>2769</v>
      </c>
      <c r="I11765" t="s">
        <v>52</v>
      </c>
      <c r="J11765">
        <v>34119</v>
      </c>
      <c r="K11765">
        <v>1314</v>
      </c>
      <c r="L11765" t="s">
        <v>23</v>
      </c>
      <c r="M11765" t="s">
        <v>25975</v>
      </c>
      <c r="N11765" t="s">
        <v>2769</v>
      </c>
      <c r="O11765" t="s">
        <v>52</v>
      </c>
      <c r="P11765">
        <v>34119</v>
      </c>
      <c r="Q11765">
        <v>1314</v>
      </c>
      <c r="R11765" t="s">
        <v>23</v>
      </c>
      <c r="S11765" s="1" t="s">
        <v>34218</v>
      </c>
    </row>
    <row r="11766" spans="1:19" x14ac:dyDescent="0.25">
      <c r="A11766">
        <v>101198824</v>
      </c>
      <c r="B11766" t="s">
        <v>25976</v>
      </c>
      <c r="C11766" t="s">
        <v>1558</v>
      </c>
      <c r="G11766" t="s">
        <v>25977</v>
      </c>
      <c r="H11766" t="s">
        <v>25978</v>
      </c>
      <c r="I11766" t="s">
        <v>117</v>
      </c>
      <c r="J11766">
        <v>13142</v>
      </c>
      <c r="L11766" t="s">
        <v>23</v>
      </c>
      <c r="M11766" t="s">
        <v>25977</v>
      </c>
      <c r="N11766" t="s">
        <v>25978</v>
      </c>
      <c r="O11766" t="s">
        <v>117</v>
      </c>
      <c r="P11766">
        <v>13142</v>
      </c>
      <c r="R11766" t="s">
        <v>23</v>
      </c>
      <c r="S11766" s="1" t="s">
        <v>34218</v>
      </c>
    </row>
    <row r="11767" spans="1:19" x14ac:dyDescent="0.25">
      <c r="A11767">
        <v>100542692</v>
      </c>
      <c r="B11767" t="s">
        <v>25979</v>
      </c>
      <c r="C11767" t="s">
        <v>3633</v>
      </c>
      <c r="G11767" t="s">
        <v>25980</v>
      </c>
      <c r="H11767" t="s">
        <v>3270</v>
      </c>
      <c r="I11767" t="s">
        <v>348</v>
      </c>
      <c r="J11767">
        <v>83714</v>
      </c>
      <c r="K11767">
        <v>4918</v>
      </c>
      <c r="L11767" t="s">
        <v>23</v>
      </c>
      <c r="M11767" t="s">
        <v>25980</v>
      </c>
      <c r="N11767" t="s">
        <v>3270</v>
      </c>
      <c r="O11767" t="s">
        <v>348</v>
      </c>
      <c r="P11767">
        <v>83714</v>
      </c>
      <c r="Q11767">
        <v>4918</v>
      </c>
      <c r="R11767" t="s">
        <v>23</v>
      </c>
      <c r="S11767" s="1" t="s">
        <v>34218</v>
      </c>
    </row>
    <row r="11768" spans="1:19" x14ac:dyDescent="0.25">
      <c r="A11768">
        <v>101456337</v>
      </c>
      <c r="B11768" t="s">
        <v>25981</v>
      </c>
      <c r="C11768" t="s">
        <v>9199</v>
      </c>
      <c r="G11768" t="s">
        <v>25982</v>
      </c>
      <c r="H11768" t="s">
        <v>14298</v>
      </c>
      <c r="I11768" t="s">
        <v>178</v>
      </c>
      <c r="J11768">
        <v>43068</v>
      </c>
      <c r="K11768">
        <v>9410</v>
      </c>
      <c r="L11768" t="s">
        <v>23</v>
      </c>
      <c r="M11768" t="s">
        <v>25982</v>
      </c>
      <c r="N11768" t="s">
        <v>14298</v>
      </c>
      <c r="O11768" t="s">
        <v>178</v>
      </c>
      <c r="P11768">
        <v>43068</v>
      </c>
      <c r="Q11768">
        <v>9410</v>
      </c>
      <c r="R11768" t="s">
        <v>23</v>
      </c>
      <c r="S11768" s="1" t="s">
        <v>34218</v>
      </c>
    </row>
    <row r="11769" spans="1:19" x14ac:dyDescent="0.25">
      <c r="A11769">
        <v>101455598</v>
      </c>
      <c r="B11769" t="s">
        <v>13440</v>
      </c>
      <c r="C11769" t="s">
        <v>382</v>
      </c>
      <c r="G11769" t="s">
        <v>25983</v>
      </c>
      <c r="H11769" t="s">
        <v>2481</v>
      </c>
      <c r="I11769" t="s">
        <v>353</v>
      </c>
      <c r="J11769">
        <v>3054</v>
      </c>
      <c r="K11769">
        <v>4758</v>
      </c>
      <c r="L11769" t="s">
        <v>23</v>
      </c>
      <c r="M11769" t="s">
        <v>25983</v>
      </c>
      <c r="N11769" t="s">
        <v>2481</v>
      </c>
      <c r="O11769" t="s">
        <v>353</v>
      </c>
      <c r="P11769">
        <v>3054</v>
      </c>
      <c r="Q11769">
        <v>4758</v>
      </c>
      <c r="R11769" t="s">
        <v>23</v>
      </c>
      <c r="S11769" s="1" t="s">
        <v>34218</v>
      </c>
    </row>
    <row r="11770" spans="1:19" x14ac:dyDescent="0.25">
      <c r="A11770">
        <v>101474042</v>
      </c>
      <c r="B11770" t="s">
        <v>25984</v>
      </c>
      <c r="C11770" t="s">
        <v>403</v>
      </c>
      <c r="G11770" t="s">
        <v>25985</v>
      </c>
      <c r="H11770" t="s">
        <v>25986</v>
      </c>
      <c r="I11770" t="s">
        <v>307</v>
      </c>
      <c r="J11770">
        <v>5602</v>
      </c>
      <c r="K11770">
        <v>9475</v>
      </c>
      <c r="L11770" t="s">
        <v>23</v>
      </c>
      <c r="M11770" t="s">
        <v>25985</v>
      </c>
      <c r="N11770" t="s">
        <v>25986</v>
      </c>
      <c r="O11770" t="s">
        <v>307</v>
      </c>
      <c r="P11770">
        <v>5602</v>
      </c>
      <c r="Q11770">
        <v>9475</v>
      </c>
      <c r="R11770" t="s">
        <v>23</v>
      </c>
      <c r="S11770" s="1" t="s">
        <v>34218</v>
      </c>
    </row>
    <row r="11771" spans="1:19" x14ac:dyDescent="0.25">
      <c r="A11771">
        <v>101475244</v>
      </c>
      <c r="B11771" t="s">
        <v>3828</v>
      </c>
      <c r="C11771" t="s">
        <v>11995</v>
      </c>
      <c r="G11771" t="s">
        <v>25987</v>
      </c>
      <c r="H11771" t="s">
        <v>445</v>
      </c>
      <c r="I11771" t="s">
        <v>446</v>
      </c>
      <c r="J11771">
        <v>28805</v>
      </c>
      <c r="K11771">
        <v>8708</v>
      </c>
      <c r="L11771" t="s">
        <v>23</v>
      </c>
      <c r="M11771" t="s">
        <v>25987</v>
      </c>
      <c r="N11771" t="s">
        <v>445</v>
      </c>
      <c r="O11771" t="s">
        <v>446</v>
      </c>
      <c r="P11771">
        <v>28805</v>
      </c>
      <c r="Q11771">
        <v>8708</v>
      </c>
      <c r="R11771" t="s">
        <v>23</v>
      </c>
      <c r="S11771" s="1" t="s">
        <v>34218</v>
      </c>
    </row>
    <row r="11772" spans="1:19" x14ac:dyDescent="0.25">
      <c r="A11772">
        <v>101480735</v>
      </c>
      <c r="B11772" t="s">
        <v>25988</v>
      </c>
      <c r="C11772" t="s">
        <v>11580</v>
      </c>
      <c r="G11772" t="s">
        <v>25989</v>
      </c>
      <c r="H11772" t="s">
        <v>15412</v>
      </c>
      <c r="I11772" t="s">
        <v>140</v>
      </c>
      <c r="J11772">
        <v>48176</v>
      </c>
      <c r="K11772">
        <v>8605</v>
      </c>
      <c r="L11772" t="s">
        <v>23</v>
      </c>
      <c r="M11772" t="s">
        <v>25989</v>
      </c>
      <c r="N11772" t="s">
        <v>15412</v>
      </c>
      <c r="O11772" t="s">
        <v>140</v>
      </c>
      <c r="P11772">
        <v>48176</v>
      </c>
      <c r="Q11772">
        <v>8605</v>
      </c>
      <c r="R11772" t="s">
        <v>23</v>
      </c>
      <c r="S11772" s="1" t="s">
        <v>34218</v>
      </c>
    </row>
    <row r="11773" spans="1:19" x14ac:dyDescent="0.25">
      <c r="A11773">
        <v>101429837</v>
      </c>
      <c r="B11773" t="s">
        <v>25990</v>
      </c>
      <c r="C11773" t="s">
        <v>1933</v>
      </c>
      <c r="G11773" t="s">
        <v>25991</v>
      </c>
      <c r="H11773" t="s">
        <v>5700</v>
      </c>
      <c r="I11773" t="s">
        <v>117</v>
      </c>
      <c r="J11773">
        <v>12498</v>
      </c>
      <c r="K11773">
        <v>1934</v>
      </c>
      <c r="L11773" t="s">
        <v>23</v>
      </c>
      <c r="M11773" t="s">
        <v>25991</v>
      </c>
      <c r="N11773" t="s">
        <v>5700</v>
      </c>
      <c r="O11773" t="s">
        <v>117</v>
      </c>
      <c r="P11773">
        <v>12498</v>
      </c>
      <c r="Q11773">
        <v>1934</v>
      </c>
      <c r="R11773" t="s">
        <v>23</v>
      </c>
      <c r="S11773" s="1" t="s">
        <v>34218</v>
      </c>
    </row>
    <row r="11774" spans="1:19" x14ac:dyDescent="0.25">
      <c r="A11774">
        <v>101285988</v>
      </c>
      <c r="B11774" t="s">
        <v>2709</v>
      </c>
      <c r="C11774" t="s">
        <v>25</v>
      </c>
      <c r="G11774" t="s">
        <v>25992</v>
      </c>
      <c r="H11774" t="s">
        <v>25993</v>
      </c>
      <c r="I11774" t="s">
        <v>52</v>
      </c>
      <c r="J11774">
        <v>32118</v>
      </c>
      <c r="K11774">
        <v>4045</v>
      </c>
      <c r="L11774" t="s">
        <v>23</v>
      </c>
      <c r="M11774" t="s">
        <v>25992</v>
      </c>
      <c r="N11774" t="s">
        <v>25993</v>
      </c>
      <c r="O11774" t="s">
        <v>52</v>
      </c>
      <c r="P11774">
        <v>32118</v>
      </c>
      <c r="Q11774">
        <v>4045</v>
      </c>
      <c r="R11774" t="s">
        <v>23</v>
      </c>
      <c r="S11774" s="1" t="s">
        <v>34218</v>
      </c>
    </row>
    <row r="11775" spans="1:19" x14ac:dyDescent="0.25">
      <c r="A11775">
        <v>101480750</v>
      </c>
      <c r="B11775" t="s">
        <v>18607</v>
      </c>
      <c r="C11775" t="s">
        <v>7667</v>
      </c>
      <c r="G11775" t="s">
        <v>25994</v>
      </c>
      <c r="H11775" t="s">
        <v>909</v>
      </c>
      <c r="I11775" t="s">
        <v>250</v>
      </c>
      <c r="J11775">
        <v>8002</v>
      </c>
      <c r="K11775">
        <v>1646</v>
      </c>
      <c r="L11775" t="s">
        <v>23</v>
      </c>
      <c r="M11775" t="s">
        <v>25994</v>
      </c>
      <c r="N11775" t="s">
        <v>909</v>
      </c>
      <c r="O11775" t="s">
        <v>250</v>
      </c>
      <c r="P11775">
        <v>8002</v>
      </c>
      <c r="Q11775">
        <v>1646</v>
      </c>
      <c r="R11775" t="s">
        <v>23</v>
      </c>
      <c r="S11775" s="1" t="s">
        <v>34218</v>
      </c>
    </row>
    <row r="11776" spans="1:19" x14ac:dyDescent="0.25">
      <c r="A11776">
        <v>101480751</v>
      </c>
      <c r="B11776" t="s">
        <v>16550</v>
      </c>
      <c r="C11776" t="s">
        <v>1778</v>
      </c>
      <c r="G11776" t="s">
        <v>25995</v>
      </c>
      <c r="H11776" t="s">
        <v>25996</v>
      </c>
      <c r="I11776" t="s">
        <v>117</v>
      </c>
      <c r="J11776">
        <v>12871</v>
      </c>
      <c r="K11776">
        <v>1157</v>
      </c>
      <c r="L11776" t="s">
        <v>23</v>
      </c>
      <c r="M11776" t="s">
        <v>25995</v>
      </c>
      <c r="N11776" t="s">
        <v>25996</v>
      </c>
      <c r="O11776" t="s">
        <v>117</v>
      </c>
      <c r="P11776">
        <v>12871</v>
      </c>
      <c r="Q11776">
        <v>1157</v>
      </c>
      <c r="R11776" t="s">
        <v>23</v>
      </c>
      <c r="S11776" s="1" t="s">
        <v>34218</v>
      </c>
    </row>
    <row r="11777" spans="1:19" x14ac:dyDescent="0.25">
      <c r="A11777">
        <v>101426322</v>
      </c>
      <c r="B11777" t="s">
        <v>402</v>
      </c>
      <c r="C11777" t="s">
        <v>286</v>
      </c>
      <c r="G11777" t="s">
        <v>25997</v>
      </c>
      <c r="H11777" t="s">
        <v>521</v>
      </c>
      <c r="I11777" t="s">
        <v>22</v>
      </c>
      <c r="J11777">
        <v>94541</v>
      </c>
      <c r="K11777">
        <v>5026</v>
      </c>
      <c r="L11777" t="s">
        <v>23</v>
      </c>
      <c r="M11777" t="s">
        <v>25997</v>
      </c>
      <c r="N11777" t="s">
        <v>521</v>
      </c>
      <c r="O11777" t="s">
        <v>22</v>
      </c>
      <c r="P11777">
        <v>94541</v>
      </c>
      <c r="Q11777">
        <v>5026</v>
      </c>
      <c r="R11777" t="s">
        <v>23</v>
      </c>
      <c r="S11777" s="1" t="s">
        <v>34218</v>
      </c>
    </row>
    <row r="11778" spans="1:19" x14ac:dyDescent="0.25">
      <c r="A11778">
        <v>101301304</v>
      </c>
      <c r="B11778" t="s">
        <v>6658</v>
      </c>
      <c r="C11778" t="s">
        <v>1623</v>
      </c>
      <c r="G11778" t="s">
        <v>25998</v>
      </c>
      <c r="H11778" t="s">
        <v>3142</v>
      </c>
      <c r="I11778" t="s">
        <v>117</v>
      </c>
      <c r="J11778">
        <v>13601</v>
      </c>
      <c r="K11778">
        <v>1001</v>
      </c>
      <c r="L11778" t="s">
        <v>23</v>
      </c>
      <c r="M11778" t="s">
        <v>25998</v>
      </c>
      <c r="N11778" t="s">
        <v>3142</v>
      </c>
      <c r="O11778" t="s">
        <v>117</v>
      </c>
      <c r="P11778">
        <v>13601</v>
      </c>
      <c r="Q11778">
        <v>1001</v>
      </c>
      <c r="R11778" t="s">
        <v>23</v>
      </c>
      <c r="S11778" s="1" t="s">
        <v>34218</v>
      </c>
    </row>
    <row r="11779" spans="1:19" x14ac:dyDescent="0.25">
      <c r="A11779">
        <v>101271923</v>
      </c>
      <c r="B11779" t="s">
        <v>25999</v>
      </c>
      <c r="C11779" t="s">
        <v>233</v>
      </c>
      <c r="G11779" t="s">
        <v>26000</v>
      </c>
      <c r="H11779" t="s">
        <v>26001</v>
      </c>
      <c r="I11779" t="s">
        <v>117</v>
      </c>
      <c r="J11779">
        <v>11565</v>
      </c>
      <c r="L11779" t="s">
        <v>23</v>
      </c>
      <c r="M11779" t="s">
        <v>26000</v>
      </c>
      <c r="N11779" t="s">
        <v>26001</v>
      </c>
      <c r="O11779" t="s">
        <v>117</v>
      </c>
      <c r="P11779">
        <v>11565</v>
      </c>
      <c r="R11779" t="s">
        <v>23</v>
      </c>
      <c r="S11779" s="1" t="s">
        <v>34218</v>
      </c>
    </row>
    <row r="11780" spans="1:19" x14ac:dyDescent="0.25">
      <c r="A11780">
        <v>101472620</v>
      </c>
      <c r="B11780" t="s">
        <v>26002</v>
      </c>
      <c r="C11780" t="s">
        <v>1043</v>
      </c>
      <c r="G11780" t="s">
        <v>26003</v>
      </c>
      <c r="H11780" t="s">
        <v>17382</v>
      </c>
      <c r="I11780" t="s">
        <v>117</v>
      </c>
      <c r="J11780">
        <v>14468</v>
      </c>
      <c r="K11780">
        <v>9731</v>
      </c>
      <c r="L11780" t="s">
        <v>23</v>
      </c>
      <c r="M11780" t="s">
        <v>26003</v>
      </c>
      <c r="N11780" t="s">
        <v>17382</v>
      </c>
      <c r="O11780" t="s">
        <v>117</v>
      </c>
      <c r="P11780">
        <v>14468</v>
      </c>
      <c r="Q11780">
        <v>9731</v>
      </c>
      <c r="R11780" t="s">
        <v>23</v>
      </c>
      <c r="S11780" s="1" t="s">
        <v>34218</v>
      </c>
    </row>
    <row r="11781" spans="1:19" x14ac:dyDescent="0.25">
      <c r="A11781">
        <v>101217912</v>
      </c>
      <c r="B11781" t="s">
        <v>2450</v>
      </c>
      <c r="C11781" t="s">
        <v>26004</v>
      </c>
      <c r="F11781" t="str">
        <f>"5098591469"</f>
        <v>5098591469</v>
      </c>
      <c r="G11781" t="s">
        <v>26005</v>
      </c>
      <c r="H11781" t="s">
        <v>26006</v>
      </c>
      <c r="I11781" t="s">
        <v>84</v>
      </c>
      <c r="J11781">
        <v>99026</v>
      </c>
      <c r="K11781">
        <v>9338</v>
      </c>
      <c r="L11781" t="s">
        <v>23</v>
      </c>
      <c r="M11781" t="s">
        <v>26005</v>
      </c>
      <c r="N11781" t="s">
        <v>26006</v>
      </c>
      <c r="O11781" t="s">
        <v>84</v>
      </c>
      <c r="P11781">
        <v>99026</v>
      </c>
      <c r="Q11781">
        <v>9338</v>
      </c>
      <c r="R11781" t="s">
        <v>23</v>
      </c>
      <c r="S11781" s="1" t="s">
        <v>34218</v>
      </c>
    </row>
    <row r="11782" spans="1:19" x14ac:dyDescent="0.25">
      <c r="A11782">
        <v>101474543</v>
      </c>
      <c r="B11782" t="s">
        <v>19680</v>
      </c>
      <c r="C11782" t="s">
        <v>26007</v>
      </c>
      <c r="G11782" t="s">
        <v>26008</v>
      </c>
      <c r="H11782" t="s">
        <v>2530</v>
      </c>
      <c r="I11782" t="s">
        <v>52</v>
      </c>
      <c r="J11782">
        <v>32666</v>
      </c>
      <c r="K11782">
        <v>3508</v>
      </c>
      <c r="L11782" t="s">
        <v>23</v>
      </c>
      <c r="M11782" t="s">
        <v>26008</v>
      </c>
      <c r="N11782" t="s">
        <v>2530</v>
      </c>
      <c r="O11782" t="s">
        <v>52</v>
      </c>
      <c r="P11782">
        <v>32666</v>
      </c>
      <c r="Q11782">
        <v>3508</v>
      </c>
      <c r="R11782" t="s">
        <v>23</v>
      </c>
      <c r="S11782" s="1" t="s">
        <v>34218</v>
      </c>
    </row>
    <row r="11783" spans="1:19" x14ac:dyDescent="0.25">
      <c r="A11783">
        <v>101329643</v>
      </c>
      <c r="B11783" t="s">
        <v>26009</v>
      </c>
      <c r="C11783" t="s">
        <v>403</v>
      </c>
      <c r="G11783" t="s">
        <v>26010</v>
      </c>
      <c r="H11783" t="s">
        <v>26011</v>
      </c>
      <c r="I11783" t="s">
        <v>33</v>
      </c>
      <c r="J11783">
        <v>18949</v>
      </c>
      <c r="K11783">
        <v>76</v>
      </c>
      <c r="L11783" t="s">
        <v>23</v>
      </c>
      <c r="M11783" t="s">
        <v>26010</v>
      </c>
      <c r="N11783" t="s">
        <v>26011</v>
      </c>
      <c r="O11783" t="s">
        <v>33</v>
      </c>
      <c r="P11783">
        <v>18949</v>
      </c>
      <c r="Q11783">
        <v>76</v>
      </c>
      <c r="R11783" t="s">
        <v>23</v>
      </c>
      <c r="S11783" s="1" t="s">
        <v>34218</v>
      </c>
    </row>
    <row r="11784" spans="1:19" x14ac:dyDescent="0.25">
      <c r="A11784">
        <v>101474575</v>
      </c>
      <c r="B11784" t="s">
        <v>26012</v>
      </c>
      <c r="C11784" t="s">
        <v>26013</v>
      </c>
      <c r="G11784" t="s">
        <v>26014</v>
      </c>
      <c r="H11784" t="s">
        <v>8932</v>
      </c>
      <c r="I11784" t="s">
        <v>33</v>
      </c>
      <c r="J11784">
        <v>19422</v>
      </c>
      <c r="K11784">
        <v>1438</v>
      </c>
      <c r="L11784" t="s">
        <v>23</v>
      </c>
      <c r="M11784" t="s">
        <v>26014</v>
      </c>
      <c r="N11784" t="s">
        <v>8932</v>
      </c>
      <c r="O11784" t="s">
        <v>33</v>
      </c>
      <c r="P11784">
        <v>19422</v>
      </c>
      <c r="Q11784">
        <v>1438</v>
      </c>
      <c r="R11784" t="s">
        <v>23</v>
      </c>
      <c r="S11784" s="1" t="s">
        <v>34218</v>
      </c>
    </row>
    <row r="11785" spans="1:19" x14ac:dyDescent="0.25">
      <c r="A11785">
        <v>101474652</v>
      </c>
      <c r="B11785" t="s">
        <v>26015</v>
      </c>
      <c r="C11785" t="s">
        <v>3993</v>
      </c>
      <c r="G11785" t="s">
        <v>26016</v>
      </c>
      <c r="H11785" t="s">
        <v>653</v>
      </c>
      <c r="I11785" t="s">
        <v>117</v>
      </c>
      <c r="J11785">
        <v>10001</v>
      </c>
      <c r="K11785">
        <v>4828</v>
      </c>
      <c r="L11785" t="s">
        <v>23</v>
      </c>
      <c r="M11785" t="s">
        <v>26016</v>
      </c>
      <c r="N11785" t="s">
        <v>653</v>
      </c>
      <c r="O11785" t="s">
        <v>117</v>
      </c>
      <c r="P11785">
        <v>10001</v>
      </c>
      <c r="Q11785">
        <v>4828</v>
      </c>
      <c r="R11785" t="s">
        <v>23</v>
      </c>
      <c r="S11785" s="1" t="s">
        <v>34218</v>
      </c>
    </row>
    <row r="11786" spans="1:19" x14ac:dyDescent="0.25">
      <c r="A11786">
        <v>101350547</v>
      </c>
      <c r="B11786" t="s">
        <v>26017</v>
      </c>
      <c r="C11786" t="s">
        <v>26018</v>
      </c>
      <c r="G11786" t="s">
        <v>26019</v>
      </c>
      <c r="H11786" t="s">
        <v>26020</v>
      </c>
      <c r="I11786" t="s">
        <v>117</v>
      </c>
      <c r="J11786">
        <v>11742</v>
      </c>
      <c r="K11786">
        <v>2414</v>
      </c>
      <c r="L11786" t="s">
        <v>23</v>
      </c>
      <c r="M11786" t="s">
        <v>26019</v>
      </c>
      <c r="N11786" t="s">
        <v>26020</v>
      </c>
      <c r="O11786" t="s">
        <v>117</v>
      </c>
      <c r="P11786">
        <v>11742</v>
      </c>
      <c r="Q11786">
        <v>2414</v>
      </c>
      <c r="R11786" t="s">
        <v>23</v>
      </c>
      <c r="S11786" s="1" t="s">
        <v>34218</v>
      </c>
    </row>
    <row r="11787" spans="1:19" x14ac:dyDescent="0.25">
      <c r="A11787">
        <v>101420221</v>
      </c>
      <c r="B11787" t="s">
        <v>26021</v>
      </c>
      <c r="C11787" t="s">
        <v>498</v>
      </c>
      <c r="G11787" t="s">
        <v>26022</v>
      </c>
      <c r="H11787" t="s">
        <v>299</v>
      </c>
      <c r="I11787" t="s">
        <v>22</v>
      </c>
      <c r="J11787">
        <v>90042</v>
      </c>
      <c r="K11787">
        <v>1281</v>
      </c>
      <c r="L11787" t="s">
        <v>23</v>
      </c>
      <c r="M11787" t="s">
        <v>26022</v>
      </c>
      <c r="N11787" t="s">
        <v>299</v>
      </c>
      <c r="O11787" t="s">
        <v>22</v>
      </c>
      <c r="P11787">
        <v>90042</v>
      </c>
      <c r="Q11787">
        <v>1281</v>
      </c>
      <c r="R11787" t="s">
        <v>23</v>
      </c>
      <c r="S11787" s="1" t="s">
        <v>34218</v>
      </c>
    </row>
    <row r="11788" spans="1:19" x14ac:dyDescent="0.25">
      <c r="A11788">
        <v>101265799</v>
      </c>
      <c r="B11788" t="s">
        <v>16306</v>
      </c>
      <c r="C11788" t="s">
        <v>1450</v>
      </c>
      <c r="G11788" t="s">
        <v>26023</v>
      </c>
      <c r="H11788" t="s">
        <v>26024</v>
      </c>
      <c r="I11788" t="s">
        <v>984</v>
      </c>
      <c r="J11788">
        <v>96771</v>
      </c>
      <c r="L11788" t="s">
        <v>23</v>
      </c>
      <c r="M11788" t="s">
        <v>26023</v>
      </c>
      <c r="N11788" t="s">
        <v>26024</v>
      </c>
      <c r="O11788" t="s">
        <v>984</v>
      </c>
      <c r="P11788">
        <v>96771</v>
      </c>
      <c r="R11788" t="s">
        <v>23</v>
      </c>
      <c r="S11788" s="1" t="s">
        <v>34218</v>
      </c>
    </row>
    <row r="11789" spans="1:19" x14ac:dyDescent="0.25">
      <c r="A11789">
        <v>101428920</v>
      </c>
      <c r="B11789" t="s">
        <v>6740</v>
      </c>
      <c r="C11789" t="s">
        <v>1374</v>
      </c>
      <c r="G11789" t="s">
        <v>26025</v>
      </c>
      <c r="H11789" t="s">
        <v>2086</v>
      </c>
      <c r="I11789" t="s">
        <v>178</v>
      </c>
      <c r="J11789">
        <v>45212</v>
      </c>
      <c r="L11789" t="s">
        <v>23</v>
      </c>
      <c r="M11789" t="s">
        <v>26025</v>
      </c>
      <c r="N11789" t="s">
        <v>2086</v>
      </c>
      <c r="O11789" t="s">
        <v>178</v>
      </c>
      <c r="P11789">
        <v>45212</v>
      </c>
      <c r="R11789" t="s">
        <v>23</v>
      </c>
      <c r="S11789" s="1" t="s">
        <v>34218</v>
      </c>
    </row>
    <row r="11790" spans="1:19" x14ac:dyDescent="0.25">
      <c r="A11790">
        <v>100534202</v>
      </c>
      <c r="B11790" t="s">
        <v>26026</v>
      </c>
      <c r="C11790" t="s">
        <v>6689</v>
      </c>
      <c r="G11790" t="s">
        <v>26027</v>
      </c>
      <c r="H11790" t="s">
        <v>19234</v>
      </c>
      <c r="I11790" t="s">
        <v>22</v>
      </c>
      <c r="J11790">
        <v>95451</v>
      </c>
      <c r="L11790" t="s">
        <v>23</v>
      </c>
      <c r="M11790" t="s">
        <v>26027</v>
      </c>
      <c r="N11790" t="s">
        <v>19234</v>
      </c>
      <c r="O11790" t="s">
        <v>22</v>
      </c>
      <c r="P11790">
        <v>95451</v>
      </c>
      <c r="R11790" t="s">
        <v>23</v>
      </c>
      <c r="S11790" s="1" t="s">
        <v>34218</v>
      </c>
    </row>
    <row r="11791" spans="1:19" x14ac:dyDescent="0.25">
      <c r="A11791">
        <v>101466484</v>
      </c>
      <c r="B11791" t="s">
        <v>26028</v>
      </c>
      <c r="C11791" t="s">
        <v>1120</v>
      </c>
      <c r="G11791" t="s">
        <v>26029</v>
      </c>
      <c r="H11791" t="s">
        <v>18927</v>
      </c>
      <c r="I11791" t="s">
        <v>33</v>
      </c>
      <c r="J11791">
        <v>16148</v>
      </c>
      <c r="K11791">
        <v>9413</v>
      </c>
      <c r="L11791" t="s">
        <v>23</v>
      </c>
      <c r="M11791" t="s">
        <v>26029</v>
      </c>
      <c r="N11791" t="s">
        <v>18927</v>
      </c>
      <c r="O11791" t="s">
        <v>33</v>
      </c>
      <c r="P11791">
        <v>16148</v>
      </c>
      <c r="Q11791">
        <v>9413</v>
      </c>
      <c r="R11791" t="s">
        <v>23</v>
      </c>
      <c r="S11791" s="1" t="s">
        <v>34218</v>
      </c>
    </row>
    <row r="11792" spans="1:19" x14ac:dyDescent="0.25">
      <c r="A11792">
        <v>100975147</v>
      </c>
      <c r="B11792" t="s">
        <v>1970</v>
      </c>
      <c r="C11792" t="s">
        <v>3670</v>
      </c>
      <c r="G11792" t="s">
        <v>26030</v>
      </c>
      <c r="H11792" t="s">
        <v>26031</v>
      </c>
      <c r="I11792" t="s">
        <v>161</v>
      </c>
      <c r="J11792">
        <v>6380</v>
      </c>
      <c r="L11792" t="s">
        <v>23</v>
      </c>
      <c r="M11792" t="s">
        <v>26030</v>
      </c>
      <c r="N11792" t="s">
        <v>26031</v>
      </c>
      <c r="O11792" t="s">
        <v>161</v>
      </c>
      <c r="P11792">
        <v>6380</v>
      </c>
      <c r="R11792" t="s">
        <v>23</v>
      </c>
      <c r="S11792" s="1" t="s">
        <v>34218</v>
      </c>
    </row>
    <row r="11793" spans="1:19" x14ac:dyDescent="0.25">
      <c r="A11793">
        <v>101103697</v>
      </c>
      <c r="B11793" t="s">
        <v>26032</v>
      </c>
      <c r="C11793" t="s">
        <v>17775</v>
      </c>
      <c r="G11793" t="s">
        <v>26033</v>
      </c>
      <c r="H11793" t="s">
        <v>1586</v>
      </c>
      <c r="I11793" t="s">
        <v>117</v>
      </c>
      <c r="J11793">
        <v>11372</v>
      </c>
      <c r="K11793">
        <v>3902</v>
      </c>
      <c r="L11793" t="s">
        <v>23</v>
      </c>
      <c r="M11793" t="s">
        <v>26033</v>
      </c>
      <c r="N11793" t="s">
        <v>1586</v>
      </c>
      <c r="O11793" t="s">
        <v>117</v>
      </c>
      <c r="P11793">
        <v>11372</v>
      </c>
      <c r="Q11793">
        <v>3902</v>
      </c>
      <c r="R11793" t="s">
        <v>23</v>
      </c>
      <c r="S11793" s="1" t="s">
        <v>34218</v>
      </c>
    </row>
    <row r="11794" spans="1:19" x14ac:dyDescent="0.25">
      <c r="A11794">
        <v>101428094</v>
      </c>
      <c r="B11794" t="s">
        <v>26034</v>
      </c>
      <c r="C11794" t="s">
        <v>77</v>
      </c>
      <c r="G11794" t="s">
        <v>26035</v>
      </c>
      <c r="H11794" t="s">
        <v>1402</v>
      </c>
      <c r="I11794" t="s">
        <v>38</v>
      </c>
      <c r="J11794">
        <v>77024</v>
      </c>
      <c r="K11794">
        <v>3823</v>
      </c>
      <c r="L11794" t="s">
        <v>23</v>
      </c>
      <c r="M11794" t="s">
        <v>26035</v>
      </c>
      <c r="N11794" t="s">
        <v>1402</v>
      </c>
      <c r="O11794" t="s">
        <v>38</v>
      </c>
      <c r="P11794">
        <v>77024</v>
      </c>
      <c r="Q11794">
        <v>3823</v>
      </c>
      <c r="R11794" t="s">
        <v>23</v>
      </c>
      <c r="S11794" s="1" t="s">
        <v>34218</v>
      </c>
    </row>
    <row r="11795" spans="1:19" x14ac:dyDescent="0.25">
      <c r="A11795">
        <v>101442878</v>
      </c>
      <c r="B11795" t="s">
        <v>26036</v>
      </c>
      <c r="C11795" t="s">
        <v>440</v>
      </c>
      <c r="G11795" t="s">
        <v>26037</v>
      </c>
      <c r="H11795" t="s">
        <v>2086</v>
      </c>
      <c r="I11795" t="s">
        <v>178</v>
      </c>
      <c r="J11795">
        <v>45220</v>
      </c>
      <c r="K11795">
        <v>2546</v>
      </c>
      <c r="L11795" t="s">
        <v>23</v>
      </c>
      <c r="M11795" t="s">
        <v>26037</v>
      </c>
      <c r="N11795" t="s">
        <v>2086</v>
      </c>
      <c r="O11795" t="s">
        <v>178</v>
      </c>
      <c r="P11795">
        <v>45220</v>
      </c>
      <c r="Q11795">
        <v>2546</v>
      </c>
      <c r="R11795" t="s">
        <v>23</v>
      </c>
      <c r="S11795" s="1" t="s">
        <v>34218</v>
      </c>
    </row>
    <row r="11796" spans="1:19" x14ac:dyDescent="0.25">
      <c r="A11796">
        <v>101437333</v>
      </c>
      <c r="B11796" t="s">
        <v>928</v>
      </c>
      <c r="C11796" t="s">
        <v>1086</v>
      </c>
      <c r="G11796" t="s">
        <v>26038</v>
      </c>
      <c r="H11796" t="s">
        <v>2809</v>
      </c>
      <c r="I11796" t="s">
        <v>140</v>
      </c>
      <c r="J11796">
        <v>48237</v>
      </c>
      <c r="K11796">
        <v>2270</v>
      </c>
      <c r="L11796" t="s">
        <v>23</v>
      </c>
      <c r="M11796" t="s">
        <v>26038</v>
      </c>
      <c r="N11796" t="s">
        <v>2809</v>
      </c>
      <c r="O11796" t="s">
        <v>140</v>
      </c>
      <c r="P11796">
        <v>48237</v>
      </c>
      <c r="Q11796">
        <v>2270</v>
      </c>
      <c r="R11796" t="s">
        <v>23</v>
      </c>
      <c r="S11796" s="1" t="s">
        <v>34218</v>
      </c>
    </row>
    <row r="11797" spans="1:19" x14ac:dyDescent="0.25">
      <c r="A11797">
        <v>101420465</v>
      </c>
      <c r="B11797" t="s">
        <v>26039</v>
      </c>
      <c r="C11797" t="s">
        <v>699</v>
      </c>
      <c r="G11797" t="s">
        <v>26040</v>
      </c>
      <c r="H11797" t="s">
        <v>1863</v>
      </c>
      <c r="I11797" t="s">
        <v>126</v>
      </c>
      <c r="J11797">
        <v>64133</v>
      </c>
      <c r="K11797">
        <v>2624</v>
      </c>
      <c r="L11797" t="s">
        <v>23</v>
      </c>
      <c r="M11797" t="s">
        <v>26040</v>
      </c>
      <c r="N11797" t="s">
        <v>1863</v>
      </c>
      <c r="O11797" t="s">
        <v>126</v>
      </c>
      <c r="P11797">
        <v>64133</v>
      </c>
      <c r="Q11797">
        <v>2624</v>
      </c>
      <c r="R11797" t="s">
        <v>23</v>
      </c>
      <c r="S11797" s="1" t="s">
        <v>34218</v>
      </c>
    </row>
    <row r="11798" spans="1:19" x14ac:dyDescent="0.25">
      <c r="A11798">
        <v>100865888</v>
      </c>
      <c r="B11798" t="s">
        <v>5705</v>
      </c>
      <c r="C11798" t="s">
        <v>2343</v>
      </c>
      <c r="G11798">
        <v>11705</v>
      </c>
      <c r="H11798" t="s">
        <v>26041</v>
      </c>
      <c r="I11798" t="s">
        <v>117</v>
      </c>
      <c r="J11798">
        <v>11705</v>
      </c>
      <c r="L11798" t="s">
        <v>23</v>
      </c>
      <c r="M11798">
        <v>11705</v>
      </c>
      <c r="N11798" t="s">
        <v>26041</v>
      </c>
      <c r="O11798" t="s">
        <v>117</v>
      </c>
      <c r="P11798">
        <v>11705</v>
      </c>
      <c r="R11798" t="s">
        <v>23</v>
      </c>
      <c r="S11798" s="1" t="s">
        <v>34218</v>
      </c>
    </row>
    <row r="11799" spans="1:19" x14ac:dyDescent="0.25">
      <c r="A11799">
        <v>101308634</v>
      </c>
      <c r="B11799" t="s">
        <v>21978</v>
      </c>
      <c r="C11799" t="s">
        <v>699</v>
      </c>
      <c r="G11799" t="s">
        <v>26042</v>
      </c>
      <c r="H11799" t="s">
        <v>11711</v>
      </c>
      <c r="I11799" t="s">
        <v>446</v>
      </c>
      <c r="J11799">
        <v>27526</v>
      </c>
      <c r="K11799">
        <v>5709</v>
      </c>
      <c r="L11799" t="s">
        <v>23</v>
      </c>
      <c r="M11799" t="s">
        <v>26042</v>
      </c>
      <c r="N11799" t="s">
        <v>11711</v>
      </c>
      <c r="O11799" t="s">
        <v>446</v>
      </c>
      <c r="P11799">
        <v>27526</v>
      </c>
      <c r="Q11799">
        <v>5709</v>
      </c>
      <c r="R11799" t="s">
        <v>23</v>
      </c>
      <c r="S11799" s="1" t="s">
        <v>34218</v>
      </c>
    </row>
    <row r="11800" spans="1:19" x14ac:dyDescent="0.25">
      <c r="A11800">
        <v>101240431</v>
      </c>
      <c r="B11800" t="s">
        <v>26043</v>
      </c>
      <c r="C11800" t="s">
        <v>313</v>
      </c>
      <c r="G11800" t="s">
        <v>26044</v>
      </c>
      <c r="H11800" t="s">
        <v>481</v>
      </c>
      <c r="I11800" t="s">
        <v>22</v>
      </c>
      <c r="J11800">
        <v>95123</v>
      </c>
      <c r="K11800">
        <v>2105</v>
      </c>
      <c r="L11800" t="s">
        <v>23</v>
      </c>
      <c r="M11800" t="s">
        <v>26044</v>
      </c>
      <c r="N11800" t="s">
        <v>481</v>
      </c>
      <c r="O11800" t="s">
        <v>22</v>
      </c>
      <c r="P11800">
        <v>95123</v>
      </c>
      <c r="Q11800">
        <v>2105</v>
      </c>
      <c r="R11800" t="s">
        <v>23</v>
      </c>
      <c r="S11800" s="1" t="s">
        <v>34218</v>
      </c>
    </row>
    <row r="11801" spans="1:19" x14ac:dyDescent="0.25">
      <c r="A11801">
        <v>101248371</v>
      </c>
      <c r="B11801" t="s">
        <v>13505</v>
      </c>
      <c r="C11801" t="s">
        <v>26045</v>
      </c>
      <c r="G11801" t="s">
        <v>26046</v>
      </c>
      <c r="H11801" t="s">
        <v>4142</v>
      </c>
      <c r="I11801" t="s">
        <v>43</v>
      </c>
      <c r="J11801">
        <v>97027</v>
      </c>
      <c r="K11801">
        <v>1952</v>
      </c>
      <c r="L11801" t="s">
        <v>23</v>
      </c>
      <c r="M11801" t="s">
        <v>26046</v>
      </c>
      <c r="N11801" t="s">
        <v>4142</v>
      </c>
      <c r="O11801" t="s">
        <v>43</v>
      </c>
      <c r="P11801">
        <v>97027</v>
      </c>
      <c r="Q11801">
        <v>1952</v>
      </c>
      <c r="R11801" t="s">
        <v>23</v>
      </c>
      <c r="S11801" s="1" t="s">
        <v>34218</v>
      </c>
    </row>
    <row r="11802" spans="1:19" x14ac:dyDescent="0.25">
      <c r="A11802">
        <v>101443639</v>
      </c>
      <c r="B11802" t="s">
        <v>1859</v>
      </c>
      <c r="C11802" t="s">
        <v>9807</v>
      </c>
      <c r="G11802" t="s">
        <v>26047</v>
      </c>
      <c r="H11802" t="s">
        <v>6189</v>
      </c>
      <c r="I11802" t="s">
        <v>236</v>
      </c>
      <c r="J11802">
        <v>1223</v>
      </c>
      <c r="K11802">
        <v>3320</v>
      </c>
      <c r="L11802" t="s">
        <v>23</v>
      </c>
      <c r="M11802" t="s">
        <v>26047</v>
      </c>
      <c r="N11802" t="s">
        <v>6189</v>
      </c>
      <c r="O11802" t="s">
        <v>236</v>
      </c>
      <c r="P11802">
        <v>1223</v>
      </c>
      <c r="Q11802">
        <v>3320</v>
      </c>
      <c r="R11802" t="s">
        <v>23</v>
      </c>
      <c r="S11802" s="1" t="s">
        <v>34218</v>
      </c>
    </row>
    <row r="11803" spans="1:19" x14ac:dyDescent="0.25">
      <c r="A11803">
        <v>100839495</v>
      </c>
      <c r="B11803" t="s">
        <v>26048</v>
      </c>
      <c r="C11803" t="s">
        <v>6143</v>
      </c>
      <c r="G11803" t="s">
        <v>26049</v>
      </c>
      <c r="H11803" t="s">
        <v>4208</v>
      </c>
      <c r="I11803" t="s">
        <v>22</v>
      </c>
      <c r="J11803">
        <v>92656</v>
      </c>
      <c r="K11803">
        <v>8052</v>
      </c>
      <c r="L11803" t="s">
        <v>23</v>
      </c>
      <c r="M11803" t="s">
        <v>26049</v>
      </c>
      <c r="N11803" t="s">
        <v>4208</v>
      </c>
      <c r="O11803" t="s">
        <v>22</v>
      </c>
      <c r="P11803">
        <v>92656</v>
      </c>
      <c r="Q11803">
        <v>8052</v>
      </c>
      <c r="R11803" t="s">
        <v>23</v>
      </c>
      <c r="S11803" s="1" t="s">
        <v>34218</v>
      </c>
    </row>
    <row r="11804" spans="1:19" x14ac:dyDescent="0.25">
      <c r="A11804">
        <v>101438357</v>
      </c>
      <c r="B11804" t="s">
        <v>18291</v>
      </c>
      <c r="C11804" t="s">
        <v>18953</v>
      </c>
      <c r="G11804" t="s">
        <v>26050</v>
      </c>
      <c r="H11804" t="s">
        <v>11312</v>
      </c>
      <c r="I11804" t="s">
        <v>353</v>
      </c>
      <c r="J11804">
        <v>3857</v>
      </c>
      <c r="K11804">
        <v>1124</v>
      </c>
      <c r="L11804" t="s">
        <v>23</v>
      </c>
      <c r="M11804" t="s">
        <v>26050</v>
      </c>
      <c r="N11804" t="s">
        <v>11312</v>
      </c>
      <c r="O11804" t="s">
        <v>353</v>
      </c>
      <c r="P11804">
        <v>3857</v>
      </c>
      <c r="Q11804">
        <v>1124</v>
      </c>
      <c r="R11804" t="s">
        <v>23</v>
      </c>
      <c r="S11804" s="1" t="s">
        <v>34218</v>
      </c>
    </row>
    <row r="11805" spans="1:19" x14ac:dyDescent="0.25">
      <c r="A11805">
        <v>101339559</v>
      </c>
      <c r="B11805" t="s">
        <v>276</v>
      </c>
      <c r="C11805" t="s">
        <v>15328</v>
      </c>
      <c r="G11805" t="s">
        <v>26051</v>
      </c>
      <c r="H11805" t="s">
        <v>6041</v>
      </c>
      <c r="I11805" t="s">
        <v>22</v>
      </c>
      <c r="J11805">
        <v>95476</v>
      </c>
      <c r="K11805">
        <v>4206</v>
      </c>
      <c r="L11805" t="s">
        <v>23</v>
      </c>
      <c r="M11805" t="s">
        <v>26051</v>
      </c>
      <c r="N11805" t="s">
        <v>6041</v>
      </c>
      <c r="O11805" t="s">
        <v>22</v>
      </c>
      <c r="P11805">
        <v>95476</v>
      </c>
      <c r="Q11805">
        <v>4206</v>
      </c>
      <c r="R11805" t="s">
        <v>23</v>
      </c>
      <c r="S11805" s="1" t="s">
        <v>34218</v>
      </c>
    </row>
    <row r="11806" spans="1:19" x14ac:dyDescent="0.25">
      <c r="A11806">
        <v>101170275</v>
      </c>
      <c r="B11806" t="s">
        <v>6084</v>
      </c>
      <c r="C11806" t="s">
        <v>1161</v>
      </c>
      <c r="G11806" t="s">
        <v>26052</v>
      </c>
      <c r="H11806" t="s">
        <v>26053</v>
      </c>
      <c r="I11806" t="s">
        <v>365</v>
      </c>
      <c r="J11806">
        <v>85326</v>
      </c>
      <c r="K11806">
        <v>3203</v>
      </c>
      <c r="L11806" t="s">
        <v>23</v>
      </c>
      <c r="M11806" t="s">
        <v>26052</v>
      </c>
      <c r="N11806" t="s">
        <v>26053</v>
      </c>
      <c r="O11806" t="s">
        <v>365</v>
      </c>
      <c r="P11806">
        <v>85326</v>
      </c>
      <c r="Q11806">
        <v>3203</v>
      </c>
      <c r="R11806" t="s">
        <v>23</v>
      </c>
      <c r="S11806" s="1" t="s">
        <v>34218</v>
      </c>
    </row>
    <row r="11807" spans="1:19" x14ac:dyDescent="0.25">
      <c r="A11807">
        <v>100518122</v>
      </c>
      <c r="B11807" t="s">
        <v>25641</v>
      </c>
      <c r="C11807" t="s">
        <v>1309</v>
      </c>
      <c r="G11807" t="s">
        <v>26054</v>
      </c>
      <c r="H11807" t="s">
        <v>14373</v>
      </c>
      <c r="I11807" t="s">
        <v>1482</v>
      </c>
      <c r="J11807">
        <v>29582</v>
      </c>
      <c r="K11807">
        <v>6170</v>
      </c>
      <c r="L11807" t="s">
        <v>23</v>
      </c>
      <c r="M11807" t="s">
        <v>26054</v>
      </c>
      <c r="N11807" t="s">
        <v>14373</v>
      </c>
      <c r="O11807" t="s">
        <v>1482</v>
      </c>
      <c r="P11807">
        <v>29582</v>
      </c>
      <c r="Q11807">
        <v>6170</v>
      </c>
      <c r="R11807" t="s">
        <v>23</v>
      </c>
      <c r="S11807" s="1" t="s">
        <v>34218</v>
      </c>
    </row>
    <row r="11808" spans="1:19" x14ac:dyDescent="0.25">
      <c r="A11808">
        <v>101147219</v>
      </c>
      <c r="B11808" t="s">
        <v>1800</v>
      </c>
      <c r="C11808" t="s">
        <v>803</v>
      </c>
      <c r="F11808" t="str">
        <f>"6364477204"</f>
        <v>6364477204</v>
      </c>
      <c r="G11808" t="s">
        <v>26055</v>
      </c>
      <c r="H11808" t="s">
        <v>10220</v>
      </c>
      <c r="I11808" t="s">
        <v>126</v>
      </c>
      <c r="J11808">
        <v>63376</v>
      </c>
      <c r="K11808">
        <v>2784</v>
      </c>
      <c r="L11808" t="s">
        <v>23</v>
      </c>
      <c r="M11808" t="s">
        <v>26055</v>
      </c>
      <c r="N11808" t="s">
        <v>10220</v>
      </c>
      <c r="O11808" t="s">
        <v>126</v>
      </c>
      <c r="P11808">
        <v>63376</v>
      </c>
      <c r="Q11808">
        <v>2784</v>
      </c>
      <c r="R11808" t="s">
        <v>23</v>
      </c>
      <c r="S11808" s="1" t="s">
        <v>34218</v>
      </c>
    </row>
    <row r="11809" spans="1:19" x14ac:dyDescent="0.25">
      <c r="A11809">
        <v>101442569</v>
      </c>
      <c r="B11809" t="s">
        <v>26056</v>
      </c>
      <c r="C11809" t="s">
        <v>1157</v>
      </c>
      <c r="G11809" t="s">
        <v>26057</v>
      </c>
      <c r="H11809" t="s">
        <v>2046</v>
      </c>
      <c r="I11809" t="s">
        <v>446</v>
      </c>
      <c r="J11809">
        <v>27705</v>
      </c>
      <c r="K11809">
        <v>6120</v>
      </c>
      <c r="L11809" t="s">
        <v>23</v>
      </c>
      <c r="M11809" t="s">
        <v>26057</v>
      </c>
      <c r="N11809" t="s">
        <v>2046</v>
      </c>
      <c r="O11809" t="s">
        <v>446</v>
      </c>
      <c r="P11809">
        <v>27705</v>
      </c>
      <c r="Q11809">
        <v>6120</v>
      </c>
      <c r="R11809" t="s">
        <v>23</v>
      </c>
      <c r="S11809" s="1" t="s">
        <v>34218</v>
      </c>
    </row>
    <row r="11810" spans="1:19" x14ac:dyDescent="0.25">
      <c r="A11810">
        <v>101344212</v>
      </c>
      <c r="B11810" t="s">
        <v>26058</v>
      </c>
      <c r="C11810" t="s">
        <v>1153</v>
      </c>
      <c r="G11810" t="s">
        <v>26059</v>
      </c>
      <c r="H11810" t="s">
        <v>3862</v>
      </c>
      <c r="I11810" t="s">
        <v>33</v>
      </c>
      <c r="J11810">
        <v>19380</v>
      </c>
      <c r="K11810">
        <v>1755</v>
      </c>
      <c r="L11810" t="s">
        <v>23</v>
      </c>
      <c r="M11810" t="s">
        <v>26059</v>
      </c>
      <c r="N11810" t="s">
        <v>3862</v>
      </c>
      <c r="O11810" t="s">
        <v>33</v>
      </c>
      <c r="P11810">
        <v>19380</v>
      </c>
      <c r="Q11810">
        <v>1755</v>
      </c>
      <c r="R11810" t="s">
        <v>23</v>
      </c>
      <c r="S11810" s="1" t="s">
        <v>34218</v>
      </c>
    </row>
    <row r="11811" spans="1:19" x14ac:dyDescent="0.25">
      <c r="A11811">
        <v>101268364</v>
      </c>
      <c r="B11811" t="s">
        <v>13167</v>
      </c>
      <c r="C11811" t="s">
        <v>378</v>
      </c>
      <c r="G11811" t="s">
        <v>26060</v>
      </c>
      <c r="H11811" t="s">
        <v>26061</v>
      </c>
      <c r="I11811" t="s">
        <v>100</v>
      </c>
      <c r="J11811">
        <v>53226</v>
      </c>
      <c r="K11811">
        <v>1106</v>
      </c>
      <c r="L11811" t="s">
        <v>23</v>
      </c>
      <c r="M11811" t="s">
        <v>26060</v>
      </c>
      <c r="N11811" t="s">
        <v>26061</v>
      </c>
      <c r="O11811" t="s">
        <v>100</v>
      </c>
      <c r="P11811">
        <v>53226</v>
      </c>
      <c r="Q11811">
        <v>1106</v>
      </c>
      <c r="R11811" t="s">
        <v>23</v>
      </c>
      <c r="S11811" s="1" t="s">
        <v>34218</v>
      </c>
    </row>
    <row r="11812" spans="1:19" x14ac:dyDescent="0.25">
      <c r="A11812">
        <v>101311110</v>
      </c>
      <c r="B11812" t="s">
        <v>26062</v>
      </c>
      <c r="C11812" t="s">
        <v>410</v>
      </c>
      <c r="G11812" t="s">
        <v>26063</v>
      </c>
      <c r="H11812" t="s">
        <v>6727</v>
      </c>
      <c r="I11812" t="s">
        <v>52</v>
      </c>
      <c r="J11812">
        <v>33411</v>
      </c>
      <c r="K11812">
        <v>5167</v>
      </c>
      <c r="L11812" t="s">
        <v>23</v>
      </c>
      <c r="M11812" t="s">
        <v>26063</v>
      </c>
      <c r="N11812" t="s">
        <v>6727</v>
      </c>
      <c r="O11812" t="s">
        <v>52</v>
      </c>
      <c r="P11812">
        <v>33411</v>
      </c>
      <c r="Q11812">
        <v>5167</v>
      </c>
      <c r="R11812" t="s">
        <v>23</v>
      </c>
      <c r="S11812" s="1" t="s">
        <v>34218</v>
      </c>
    </row>
    <row r="11813" spans="1:19" x14ac:dyDescent="0.25">
      <c r="A11813">
        <v>101447309</v>
      </c>
      <c r="B11813" t="s">
        <v>1671</v>
      </c>
      <c r="C11813" t="s">
        <v>1616</v>
      </c>
      <c r="G11813" t="s">
        <v>26064</v>
      </c>
      <c r="H11813" t="s">
        <v>10113</v>
      </c>
      <c r="I11813" t="s">
        <v>161</v>
      </c>
      <c r="J11813">
        <v>6897</v>
      </c>
      <c r="K11813">
        <v>1722</v>
      </c>
      <c r="L11813" t="s">
        <v>23</v>
      </c>
      <c r="M11813" t="s">
        <v>26064</v>
      </c>
      <c r="N11813" t="s">
        <v>10113</v>
      </c>
      <c r="O11813" t="s">
        <v>161</v>
      </c>
      <c r="P11813">
        <v>6897</v>
      </c>
      <c r="Q11813">
        <v>1722</v>
      </c>
      <c r="R11813" t="s">
        <v>23</v>
      </c>
      <c r="S11813" s="1" t="s">
        <v>34218</v>
      </c>
    </row>
    <row r="11814" spans="1:19" x14ac:dyDescent="0.25">
      <c r="A11814">
        <v>101247988</v>
      </c>
      <c r="B11814" t="s">
        <v>26065</v>
      </c>
      <c r="C11814" t="s">
        <v>132</v>
      </c>
      <c r="G11814" t="s">
        <v>26066</v>
      </c>
      <c r="H11814" t="s">
        <v>3680</v>
      </c>
      <c r="I11814" t="s">
        <v>22</v>
      </c>
      <c r="J11814">
        <v>94534</v>
      </c>
      <c r="K11814">
        <v>8603</v>
      </c>
      <c r="L11814" t="s">
        <v>23</v>
      </c>
      <c r="M11814" t="s">
        <v>26066</v>
      </c>
      <c r="N11814" t="s">
        <v>3680</v>
      </c>
      <c r="O11814" t="s">
        <v>22</v>
      </c>
      <c r="P11814">
        <v>94534</v>
      </c>
      <c r="Q11814">
        <v>8603</v>
      </c>
      <c r="R11814" t="s">
        <v>23</v>
      </c>
      <c r="S11814" s="1" t="s">
        <v>34218</v>
      </c>
    </row>
    <row r="11815" spans="1:19" x14ac:dyDescent="0.25">
      <c r="A11815">
        <v>101473657</v>
      </c>
      <c r="B11815" t="s">
        <v>11077</v>
      </c>
      <c r="C11815" t="s">
        <v>26067</v>
      </c>
      <c r="G11815" t="s">
        <v>26068</v>
      </c>
      <c r="H11815" t="s">
        <v>5998</v>
      </c>
      <c r="I11815" t="s">
        <v>914</v>
      </c>
      <c r="J11815">
        <v>38134</v>
      </c>
      <c r="K11815">
        <v>6252</v>
      </c>
      <c r="L11815" t="s">
        <v>23</v>
      </c>
      <c r="M11815" t="s">
        <v>26068</v>
      </c>
      <c r="N11815" t="s">
        <v>5998</v>
      </c>
      <c r="O11815" t="s">
        <v>914</v>
      </c>
      <c r="P11815">
        <v>38134</v>
      </c>
      <c r="Q11815">
        <v>6252</v>
      </c>
      <c r="R11815" t="s">
        <v>23</v>
      </c>
      <c r="S11815" s="1" t="s">
        <v>34218</v>
      </c>
    </row>
    <row r="11816" spans="1:19" x14ac:dyDescent="0.25">
      <c r="A11816">
        <v>101474156</v>
      </c>
      <c r="B11816" t="s">
        <v>26069</v>
      </c>
      <c r="C11816" t="s">
        <v>119</v>
      </c>
      <c r="G11816" t="s">
        <v>26070</v>
      </c>
      <c r="H11816" t="s">
        <v>3668</v>
      </c>
      <c r="I11816" t="s">
        <v>148</v>
      </c>
      <c r="J11816">
        <v>21230</v>
      </c>
      <c r="K11816">
        <v>4540</v>
      </c>
      <c r="L11816" t="s">
        <v>23</v>
      </c>
      <c r="M11816" t="s">
        <v>26070</v>
      </c>
      <c r="N11816" t="s">
        <v>3668</v>
      </c>
      <c r="O11816" t="s">
        <v>148</v>
      </c>
      <c r="P11816">
        <v>21230</v>
      </c>
      <c r="Q11816">
        <v>4540</v>
      </c>
      <c r="R11816" t="s">
        <v>23</v>
      </c>
      <c r="S11816" s="1" t="s">
        <v>34218</v>
      </c>
    </row>
    <row r="11817" spans="1:19" x14ac:dyDescent="0.25">
      <c r="A11817">
        <v>101433049</v>
      </c>
      <c r="B11817" t="s">
        <v>9316</v>
      </c>
      <c r="C11817" t="s">
        <v>735</v>
      </c>
      <c r="G11817" t="s">
        <v>26071</v>
      </c>
      <c r="H11817" t="s">
        <v>2370</v>
      </c>
      <c r="I11817" t="s">
        <v>22</v>
      </c>
      <c r="J11817">
        <v>90232</v>
      </c>
      <c r="K11817">
        <v>2869</v>
      </c>
      <c r="L11817" t="s">
        <v>23</v>
      </c>
      <c r="M11817" t="s">
        <v>26071</v>
      </c>
      <c r="N11817" t="s">
        <v>2370</v>
      </c>
      <c r="O11817" t="s">
        <v>22</v>
      </c>
      <c r="P11817">
        <v>90232</v>
      </c>
      <c r="Q11817">
        <v>2869</v>
      </c>
      <c r="R11817" t="s">
        <v>23</v>
      </c>
      <c r="S11817" s="1" t="s">
        <v>34218</v>
      </c>
    </row>
    <row r="11818" spans="1:19" x14ac:dyDescent="0.25">
      <c r="A11818">
        <v>101447787</v>
      </c>
      <c r="B11818" t="s">
        <v>26072</v>
      </c>
      <c r="C11818" t="s">
        <v>3110</v>
      </c>
      <c r="G11818" t="s">
        <v>26073</v>
      </c>
      <c r="H11818" t="s">
        <v>9318</v>
      </c>
      <c r="I11818" t="s">
        <v>117</v>
      </c>
      <c r="J11818">
        <v>11795</v>
      </c>
      <c r="K11818">
        <v>4408</v>
      </c>
      <c r="L11818" t="s">
        <v>23</v>
      </c>
      <c r="M11818" t="s">
        <v>26073</v>
      </c>
      <c r="N11818" t="s">
        <v>9318</v>
      </c>
      <c r="O11818" t="s">
        <v>117</v>
      </c>
      <c r="P11818">
        <v>11795</v>
      </c>
      <c r="Q11818">
        <v>4408</v>
      </c>
      <c r="R11818" t="s">
        <v>23</v>
      </c>
      <c r="S11818" s="1" t="s">
        <v>34218</v>
      </c>
    </row>
    <row r="11819" spans="1:19" x14ac:dyDescent="0.25">
      <c r="A11819">
        <v>101044268</v>
      </c>
      <c r="B11819" t="s">
        <v>9625</v>
      </c>
      <c r="C11819" t="s">
        <v>7058</v>
      </c>
      <c r="G11819" t="s">
        <v>26074</v>
      </c>
      <c r="H11819" t="s">
        <v>26075</v>
      </c>
      <c r="I11819" t="s">
        <v>307</v>
      </c>
      <c r="J11819">
        <v>5001</v>
      </c>
      <c r="K11819">
        <v>2830</v>
      </c>
      <c r="L11819" t="s">
        <v>23</v>
      </c>
      <c r="M11819" t="s">
        <v>26074</v>
      </c>
      <c r="N11819" t="s">
        <v>26075</v>
      </c>
      <c r="O11819" t="s">
        <v>307</v>
      </c>
      <c r="P11819">
        <v>5001</v>
      </c>
      <c r="Q11819">
        <v>2830</v>
      </c>
      <c r="R11819" t="s">
        <v>23</v>
      </c>
      <c r="S11819" s="1" t="s">
        <v>34218</v>
      </c>
    </row>
    <row r="11820" spans="1:19" x14ac:dyDescent="0.25">
      <c r="A11820">
        <v>101419320</v>
      </c>
      <c r="B11820" t="s">
        <v>26076</v>
      </c>
      <c r="C11820" t="s">
        <v>123</v>
      </c>
      <c r="G11820" t="s">
        <v>26077</v>
      </c>
      <c r="H11820" t="s">
        <v>6273</v>
      </c>
      <c r="I11820" t="s">
        <v>250</v>
      </c>
      <c r="J11820">
        <v>7050</v>
      </c>
      <c r="L11820" t="s">
        <v>23</v>
      </c>
      <c r="M11820" t="s">
        <v>26077</v>
      </c>
      <c r="N11820" t="s">
        <v>6273</v>
      </c>
      <c r="O11820" t="s">
        <v>250</v>
      </c>
      <c r="P11820">
        <v>7050</v>
      </c>
      <c r="R11820" t="s">
        <v>23</v>
      </c>
      <c r="S11820" s="1" t="s">
        <v>34218</v>
      </c>
    </row>
    <row r="11821" spans="1:19" x14ac:dyDescent="0.25">
      <c r="A11821">
        <v>101427139</v>
      </c>
      <c r="B11821" t="s">
        <v>744</v>
      </c>
      <c r="C11821" t="s">
        <v>803</v>
      </c>
      <c r="G11821" t="s">
        <v>26078</v>
      </c>
      <c r="H11821" t="s">
        <v>3262</v>
      </c>
      <c r="I11821" t="s">
        <v>52</v>
      </c>
      <c r="J11821">
        <v>32080</v>
      </c>
      <c r="K11821">
        <v>5507</v>
      </c>
      <c r="L11821" t="s">
        <v>23</v>
      </c>
      <c r="M11821" t="s">
        <v>26078</v>
      </c>
      <c r="N11821" t="s">
        <v>3262</v>
      </c>
      <c r="O11821" t="s">
        <v>52</v>
      </c>
      <c r="P11821">
        <v>32080</v>
      </c>
      <c r="Q11821">
        <v>5507</v>
      </c>
      <c r="R11821" t="s">
        <v>23</v>
      </c>
      <c r="S11821" s="1" t="s">
        <v>34218</v>
      </c>
    </row>
    <row r="11822" spans="1:19" x14ac:dyDescent="0.25">
      <c r="A11822">
        <v>100579643</v>
      </c>
      <c r="B11822" t="s">
        <v>26079</v>
      </c>
      <c r="C11822" t="s">
        <v>1714</v>
      </c>
      <c r="G11822" t="s">
        <v>26080</v>
      </c>
      <c r="H11822" t="s">
        <v>2403</v>
      </c>
      <c r="I11822" t="s">
        <v>117</v>
      </c>
      <c r="J11822">
        <v>10605</v>
      </c>
      <c r="K11822">
        <v>3315</v>
      </c>
      <c r="L11822" t="s">
        <v>23</v>
      </c>
      <c r="M11822" t="s">
        <v>26080</v>
      </c>
      <c r="N11822" t="s">
        <v>2403</v>
      </c>
      <c r="O11822" t="s">
        <v>117</v>
      </c>
      <c r="P11822">
        <v>10605</v>
      </c>
      <c r="Q11822">
        <v>3315</v>
      </c>
      <c r="R11822" t="s">
        <v>23</v>
      </c>
      <c r="S11822" s="1" t="s">
        <v>34218</v>
      </c>
    </row>
    <row r="11823" spans="1:19" x14ac:dyDescent="0.25">
      <c r="A11823">
        <v>101464642</v>
      </c>
      <c r="B11823" t="s">
        <v>26081</v>
      </c>
      <c r="C11823" t="s">
        <v>907</v>
      </c>
      <c r="G11823" t="s">
        <v>26082</v>
      </c>
      <c r="H11823" t="s">
        <v>726</v>
      </c>
      <c r="I11823" t="s">
        <v>22</v>
      </c>
      <c r="J11823">
        <v>90404</v>
      </c>
      <c r="K11823">
        <v>3723</v>
      </c>
      <c r="L11823" t="s">
        <v>23</v>
      </c>
      <c r="M11823" t="s">
        <v>26082</v>
      </c>
      <c r="N11823" t="s">
        <v>726</v>
      </c>
      <c r="O11823" t="s">
        <v>22</v>
      </c>
      <c r="P11823">
        <v>90404</v>
      </c>
      <c r="Q11823">
        <v>3723</v>
      </c>
      <c r="R11823" t="s">
        <v>23</v>
      </c>
      <c r="S11823" s="1" t="s">
        <v>34218</v>
      </c>
    </row>
    <row r="11824" spans="1:19" x14ac:dyDescent="0.25">
      <c r="A11824">
        <v>101464692</v>
      </c>
      <c r="B11824" t="s">
        <v>26083</v>
      </c>
      <c r="C11824" t="s">
        <v>20502</v>
      </c>
      <c r="G11824" t="s">
        <v>14067</v>
      </c>
      <c r="H11824" t="s">
        <v>23163</v>
      </c>
      <c r="I11824" t="s">
        <v>250</v>
      </c>
      <c r="J11824">
        <v>7764</v>
      </c>
      <c r="K11824">
        <v>1824</v>
      </c>
      <c r="L11824" t="s">
        <v>23</v>
      </c>
      <c r="M11824" t="s">
        <v>14067</v>
      </c>
      <c r="N11824" t="s">
        <v>23163</v>
      </c>
      <c r="O11824" t="s">
        <v>250</v>
      </c>
      <c r="P11824">
        <v>7764</v>
      </c>
      <c r="Q11824">
        <v>1824</v>
      </c>
      <c r="R11824" t="s">
        <v>23</v>
      </c>
      <c r="S11824" s="1" t="s">
        <v>34218</v>
      </c>
    </row>
    <row r="11825" spans="1:19" x14ac:dyDescent="0.25">
      <c r="A11825">
        <v>100684122</v>
      </c>
      <c r="B11825" t="s">
        <v>2331</v>
      </c>
      <c r="C11825" t="s">
        <v>2870</v>
      </c>
      <c r="G11825">
        <v>85083</v>
      </c>
      <c r="H11825" t="s">
        <v>682</v>
      </c>
      <c r="I11825" t="s">
        <v>365</v>
      </c>
      <c r="J11825">
        <v>85083</v>
      </c>
      <c r="L11825" t="s">
        <v>23</v>
      </c>
      <c r="M11825">
        <v>85083</v>
      </c>
      <c r="N11825" t="s">
        <v>682</v>
      </c>
      <c r="O11825" t="s">
        <v>365</v>
      </c>
      <c r="P11825">
        <v>85083</v>
      </c>
      <c r="R11825" t="s">
        <v>23</v>
      </c>
      <c r="S11825" s="1" t="s">
        <v>34218</v>
      </c>
    </row>
    <row r="11826" spans="1:19" x14ac:dyDescent="0.25">
      <c r="A11826">
        <v>101456133</v>
      </c>
      <c r="B11826" t="s">
        <v>26084</v>
      </c>
      <c r="C11826" t="s">
        <v>4245</v>
      </c>
      <c r="G11826" t="s">
        <v>26085</v>
      </c>
      <c r="H11826" t="s">
        <v>1531</v>
      </c>
      <c r="I11826" t="s">
        <v>84</v>
      </c>
      <c r="J11826">
        <v>98104</v>
      </c>
      <c r="K11826">
        <v>2060</v>
      </c>
      <c r="L11826" t="s">
        <v>23</v>
      </c>
      <c r="M11826" t="s">
        <v>26085</v>
      </c>
      <c r="N11826" t="s">
        <v>1531</v>
      </c>
      <c r="O11826" t="s">
        <v>84</v>
      </c>
      <c r="P11826">
        <v>98104</v>
      </c>
      <c r="Q11826">
        <v>2060</v>
      </c>
      <c r="R11826" t="s">
        <v>23</v>
      </c>
      <c r="S11826" s="1" t="s">
        <v>34218</v>
      </c>
    </row>
    <row r="11827" spans="1:19" x14ac:dyDescent="0.25">
      <c r="A11827">
        <v>100521837</v>
      </c>
      <c r="B11827" t="s">
        <v>1124</v>
      </c>
      <c r="C11827" t="s">
        <v>890</v>
      </c>
      <c r="G11827">
        <v>2969</v>
      </c>
      <c r="H11827" t="s">
        <v>7134</v>
      </c>
      <c r="I11827" t="s">
        <v>52</v>
      </c>
      <c r="J11827">
        <v>33332</v>
      </c>
      <c r="L11827" t="s">
        <v>23</v>
      </c>
      <c r="M11827">
        <v>2969</v>
      </c>
      <c r="N11827" t="s">
        <v>7134</v>
      </c>
      <c r="O11827" t="s">
        <v>52</v>
      </c>
      <c r="P11827">
        <v>33332</v>
      </c>
      <c r="R11827" t="s">
        <v>23</v>
      </c>
      <c r="S11827" s="1" t="s">
        <v>34218</v>
      </c>
    </row>
    <row r="11828" spans="1:19" x14ac:dyDescent="0.25">
      <c r="A11828">
        <v>101480765</v>
      </c>
      <c r="B11828" t="s">
        <v>26086</v>
      </c>
      <c r="C11828" t="s">
        <v>90</v>
      </c>
      <c r="G11828" t="s">
        <v>12903</v>
      </c>
      <c r="H11828" t="s">
        <v>12904</v>
      </c>
      <c r="I11828" t="s">
        <v>250</v>
      </c>
      <c r="J11828">
        <v>8037</v>
      </c>
      <c r="K11828">
        <v>1327</v>
      </c>
      <c r="L11828" t="s">
        <v>23</v>
      </c>
      <c r="M11828" t="s">
        <v>12903</v>
      </c>
      <c r="N11828" t="s">
        <v>12904</v>
      </c>
      <c r="O11828" t="s">
        <v>250</v>
      </c>
      <c r="P11828">
        <v>8037</v>
      </c>
      <c r="Q11828">
        <v>1327</v>
      </c>
      <c r="R11828" t="s">
        <v>23</v>
      </c>
      <c r="S11828" s="1" t="s">
        <v>34218</v>
      </c>
    </row>
    <row r="11829" spans="1:19" x14ac:dyDescent="0.25">
      <c r="A11829">
        <v>101480767</v>
      </c>
      <c r="B11829" t="s">
        <v>497</v>
      </c>
      <c r="C11829" t="s">
        <v>432</v>
      </c>
      <c r="G11829" t="s">
        <v>26087</v>
      </c>
      <c r="H11829" t="s">
        <v>177</v>
      </c>
      <c r="I11829" t="s">
        <v>43</v>
      </c>
      <c r="J11829">
        <v>97520</v>
      </c>
      <c r="K11829">
        <v>3236</v>
      </c>
      <c r="L11829" t="s">
        <v>23</v>
      </c>
      <c r="M11829" t="s">
        <v>26087</v>
      </c>
      <c r="N11829" t="s">
        <v>177</v>
      </c>
      <c r="O11829" t="s">
        <v>43</v>
      </c>
      <c r="P11829">
        <v>97520</v>
      </c>
      <c r="Q11829">
        <v>3236</v>
      </c>
      <c r="R11829" t="s">
        <v>23</v>
      </c>
      <c r="S11829" s="1" t="s">
        <v>34218</v>
      </c>
    </row>
    <row r="11830" spans="1:19" x14ac:dyDescent="0.25">
      <c r="A11830">
        <v>100966292</v>
      </c>
      <c r="B11830" t="s">
        <v>26088</v>
      </c>
      <c r="C11830" t="s">
        <v>26089</v>
      </c>
      <c r="G11830" t="s">
        <v>26090</v>
      </c>
      <c r="H11830" t="s">
        <v>9751</v>
      </c>
      <c r="I11830" t="s">
        <v>9752</v>
      </c>
      <c r="J11830">
        <v>927</v>
      </c>
      <c r="L11830" t="s">
        <v>23</v>
      </c>
      <c r="M11830" t="s">
        <v>26090</v>
      </c>
      <c r="N11830" t="s">
        <v>9751</v>
      </c>
      <c r="O11830" t="s">
        <v>9752</v>
      </c>
      <c r="P11830">
        <v>927</v>
      </c>
      <c r="R11830" t="s">
        <v>23</v>
      </c>
      <c r="S11830" s="1" t="s">
        <v>34218</v>
      </c>
    </row>
    <row r="11831" spans="1:19" x14ac:dyDescent="0.25">
      <c r="A11831">
        <v>101480770</v>
      </c>
      <c r="B11831" t="s">
        <v>26091</v>
      </c>
      <c r="C11831" t="s">
        <v>522</v>
      </c>
      <c r="G11831" t="s">
        <v>26092</v>
      </c>
      <c r="H11831" t="s">
        <v>26093</v>
      </c>
      <c r="I11831" t="s">
        <v>117</v>
      </c>
      <c r="J11831">
        <v>11596</v>
      </c>
      <c r="K11831">
        <v>1601</v>
      </c>
      <c r="L11831" t="s">
        <v>23</v>
      </c>
      <c r="M11831" t="s">
        <v>26092</v>
      </c>
      <c r="N11831" t="s">
        <v>26093</v>
      </c>
      <c r="O11831" t="s">
        <v>117</v>
      </c>
      <c r="P11831">
        <v>11596</v>
      </c>
      <c r="Q11831">
        <v>1601</v>
      </c>
      <c r="R11831" t="s">
        <v>23</v>
      </c>
      <c r="S11831" s="1" t="s">
        <v>34218</v>
      </c>
    </row>
    <row r="11832" spans="1:19" x14ac:dyDescent="0.25">
      <c r="A11832">
        <v>100843933</v>
      </c>
      <c r="B11832" t="s">
        <v>1842</v>
      </c>
      <c r="C11832" t="s">
        <v>1463</v>
      </c>
      <c r="G11832" t="s">
        <v>26094</v>
      </c>
      <c r="H11832" t="s">
        <v>15192</v>
      </c>
      <c r="I11832" t="s">
        <v>446</v>
      </c>
      <c r="J11832">
        <v>27358</v>
      </c>
      <c r="K11832">
        <v>952</v>
      </c>
      <c r="L11832" t="s">
        <v>23</v>
      </c>
      <c r="M11832" t="s">
        <v>26094</v>
      </c>
      <c r="N11832" t="s">
        <v>15192</v>
      </c>
      <c r="O11832" t="s">
        <v>446</v>
      </c>
      <c r="P11832">
        <v>27358</v>
      </c>
      <c r="Q11832">
        <v>952</v>
      </c>
      <c r="R11832" t="s">
        <v>23</v>
      </c>
      <c r="S11832" s="1" t="s">
        <v>34218</v>
      </c>
    </row>
    <row r="11833" spans="1:19" x14ac:dyDescent="0.25">
      <c r="A11833">
        <v>101323312</v>
      </c>
      <c r="B11833" t="s">
        <v>26095</v>
      </c>
      <c r="C11833" t="s">
        <v>1235</v>
      </c>
      <c r="G11833" t="s">
        <v>26096</v>
      </c>
      <c r="H11833" t="s">
        <v>26097</v>
      </c>
      <c r="I11833" t="s">
        <v>2310</v>
      </c>
      <c r="J11833">
        <v>65520</v>
      </c>
      <c r="L11833" t="s">
        <v>23</v>
      </c>
      <c r="M11833" t="s">
        <v>26096</v>
      </c>
      <c r="N11833" t="s">
        <v>26097</v>
      </c>
      <c r="O11833" t="s">
        <v>2310</v>
      </c>
      <c r="P11833">
        <v>65520</v>
      </c>
      <c r="R11833" t="s">
        <v>23</v>
      </c>
      <c r="S11833" s="1" t="s">
        <v>34218</v>
      </c>
    </row>
    <row r="11834" spans="1:19" x14ac:dyDescent="0.25">
      <c r="A11834">
        <v>101480778</v>
      </c>
      <c r="B11834" t="s">
        <v>1204</v>
      </c>
      <c r="C11834" t="s">
        <v>26098</v>
      </c>
      <c r="G11834" t="s">
        <v>26099</v>
      </c>
      <c r="H11834" t="s">
        <v>1604</v>
      </c>
      <c r="I11834" t="s">
        <v>914</v>
      </c>
      <c r="J11834">
        <v>38401</v>
      </c>
      <c r="K11834">
        <v>3276</v>
      </c>
      <c r="L11834" t="s">
        <v>23</v>
      </c>
      <c r="M11834" t="s">
        <v>26099</v>
      </c>
      <c r="N11834" t="s">
        <v>1604</v>
      </c>
      <c r="O11834" t="s">
        <v>914</v>
      </c>
      <c r="P11834">
        <v>38401</v>
      </c>
      <c r="Q11834">
        <v>3276</v>
      </c>
      <c r="R11834" t="s">
        <v>23</v>
      </c>
      <c r="S11834" s="1" t="s">
        <v>34218</v>
      </c>
    </row>
    <row r="11835" spans="1:19" x14ac:dyDescent="0.25">
      <c r="A11835">
        <v>101480779</v>
      </c>
      <c r="B11835" t="s">
        <v>1274</v>
      </c>
      <c r="C11835" t="s">
        <v>403</v>
      </c>
      <c r="G11835" t="s">
        <v>26100</v>
      </c>
      <c r="H11835" t="s">
        <v>2309</v>
      </c>
      <c r="I11835" t="s">
        <v>22</v>
      </c>
      <c r="J11835">
        <v>90744</v>
      </c>
      <c r="K11835">
        <v>2328</v>
      </c>
      <c r="L11835" t="s">
        <v>23</v>
      </c>
      <c r="M11835" t="s">
        <v>26100</v>
      </c>
      <c r="N11835" t="s">
        <v>2309</v>
      </c>
      <c r="O11835" t="s">
        <v>22</v>
      </c>
      <c r="P11835">
        <v>90744</v>
      </c>
      <c r="Q11835">
        <v>2328</v>
      </c>
      <c r="R11835" t="s">
        <v>23</v>
      </c>
      <c r="S11835" s="1" t="s">
        <v>34218</v>
      </c>
    </row>
    <row r="11836" spans="1:19" x14ac:dyDescent="0.25">
      <c r="A11836">
        <v>101480782</v>
      </c>
      <c r="B11836" t="s">
        <v>26101</v>
      </c>
      <c r="C11836" t="s">
        <v>274</v>
      </c>
      <c r="G11836" t="s">
        <v>26102</v>
      </c>
      <c r="H11836" t="s">
        <v>10481</v>
      </c>
      <c r="I11836" t="s">
        <v>33</v>
      </c>
      <c r="J11836">
        <v>18947</v>
      </c>
      <c r="K11836">
        <v>9364</v>
      </c>
      <c r="L11836" t="s">
        <v>23</v>
      </c>
      <c r="M11836" t="s">
        <v>26102</v>
      </c>
      <c r="N11836" t="s">
        <v>10481</v>
      </c>
      <c r="O11836" t="s">
        <v>33</v>
      </c>
      <c r="P11836">
        <v>18947</v>
      </c>
      <c r="Q11836">
        <v>9364</v>
      </c>
      <c r="R11836" t="s">
        <v>23</v>
      </c>
      <c r="S11836" s="1" t="s">
        <v>34218</v>
      </c>
    </row>
    <row r="11837" spans="1:19" x14ac:dyDescent="0.25">
      <c r="A11837">
        <v>101277880</v>
      </c>
      <c r="B11837" t="s">
        <v>9072</v>
      </c>
      <c r="C11837" t="s">
        <v>1452</v>
      </c>
      <c r="G11837" t="s">
        <v>26103</v>
      </c>
      <c r="H11837" t="s">
        <v>7232</v>
      </c>
      <c r="I11837" t="s">
        <v>71</v>
      </c>
      <c r="J11837">
        <v>80439</v>
      </c>
      <c r="K11837">
        <v>7935</v>
      </c>
      <c r="L11837" t="s">
        <v>23</v>
      </c>
      <c r="M11837" t="s">
        <v>26103</v>
      </c>
      <c r="N11837" t="s">
        <v>7232</v>
      </c>
      <c r="O11837" t="s">
        <v>71</v>
      </c>
      <c r="P11837">
        <v>80439</v>
      </c>
      <c r="Q11837">
        <v>7935</v>
      </c>
      <c r="R11837" t="s">
        <v>23</v>
      </c>
      <c r="S11837" s="1" t="s">
        <v>34218</v>
      </c>
    </row>
    <row r="11838" spans="1:19" x14ac:dyDescent="0.25">
      <c r="A11838">
        <v>101420634</v>
      </c>
      <c r="B11838" t="s">
        <v>1124</v>
      </c>
      <c r="C11838" t="s">
        <v>2343</v>
      </c>
      <c r="G11838" t="s">
        <v>26104</v>
      </c>
      <c r="H11838" t="s">
        <v>26105</v>
      </c>
      <c r="I11838" t="s">
        <v>71</v>
      </c>
      <c r="J11838">
        <v>80920</v>
      </c>
      <c r="K11838">
        <v>4829</v>
      </c>
      <c r="L11838" t="s">
        <v>23</v>
      </c>
      <c r="M11838" t="s">
        <v>26104</v>
      </c>
      <c r="N11838" t="s">
        <v>26105</v>
      </c>
      <c r="O11838" t="s">
        <v>71</v>
      </c>
      <c r="P11838">
        <v>80920</v>
      </c>
      <c r="Q11838">
        <v>4829</v>
      </c>
      <c r="R11838" t="s">
        <v>23</v>
      </c>
      <c r="S11838" s="1" t="s">
        <v>34218</v>
      </c>
    </row>
    <row r="11839" spans="1:19" x14ac:dyDescent="0.25">
      <c r="A11839">
        <v>101465350</v>
      </c>
      <c r="B11839" t="s">
        <v>26106</v>
      </c>
      <c r="C11839" t="s">
        <v>1962</v>
      </c>
      <c r="G11839" t="s">
        <v>26107</v>
      </c>
      <c r="H11839" t="s">
        <v>1412</v>
      </c>
      <c r="I11839" t="s">
        <v>52</v>
      </c>
      <c r="J11839">
        <v>32824</v>
      </c>
      <c r="K11839">
        <v>4857</v>
      </c>
      <c r="L11839" t="s">
        <v>23</v>
      </c>
      <c r="M11839" t="s">
        <v>26107</v>
      </c>
      <c r="N11839" t="s">
        <v>1412</v>
      </c>
      <c r="O11839" t="s">
        <v>52</v>
      </c>
      <c r="P11839">
        <v>32824</v>
      </c>
      <c r="Q11839">
        <v>4857</v>
      </c>
      <c r="R11839" t="s">
        <v>23</v>
      </c>
      <c r="S11839" s="1" t="s">
        <v>34218</v>
      </c>
    </row>
    <row r="11840" spans="1:19" x14ac:dyDescent="0.25">
      <c r="A11840">
        <v>100858575</v>
      </c>
      <c r="B11840" t="s">
        <v>26108</v>
      </c>
      <c r="C11840" t="s">
        <v>509</v>
      </c>
      <c r="G11840" t="s">
        <v>26109</v>
      </c>
      <c r="H11840" t="s">
        <v>26110</v>
      </c>
      <c r="I11840" t="s">
        <v>161</v>
      </c>
      <c r="J11840">
        <v>0</v>
      </c>
      <c r="L11840" t="s">
        <v>23</v>
      </c>
      <c r="M11840" t="s">
        <v>26109</v>
      </c>
      <c r="N11840" t="s">
        <v>26110</v>
      </c>
      <c r="O11840" t="s">
        <v>161</v>
      </c>
      <c r="P11840">
        <v>0</v>
      </c>
      <c r="R11840" t="s">
        <v>23</v>
      </c>
      <c r="S11840" s="1" t="s">
        <v>34218</v>
      </c>
    </row>
    <row r="11841" spans="1:19" x14ac:dyDescent="0.25">
      <c r="A11841">
        <v>101469952</v>
      </c>
      <c r="B11841" t="s">
        <v>14772</v>
      </c>
      <c r="C11841" t="s">
        <v>810</v>
      </c>
      <c r="G11841" t="s">
        <v>26111</v>
      </c>
      <c r="H11841" t="s">
        <v>227</v>
      </c>
      <c r="I11841" t="s">
        <v>43</v>
      </c>
      <c r="J11841">
        <v>97224</v>
      </c>
      <c r="K11841">
        <v>1816</v>
      </c>
      <c r="L11841" t="s">
        <v>23</v>
      </c>
      <c r="M11841" t="s">
        <v>26111</v>
      </c>
      <c r="N11841" t="s">
        <v>227</v>
      </c>
      <c r="O11841" t="s">
        <v>43</v>
      </c>
      <c r="P11841">
        <v>97224</v>
      </c>
      <c r="Q11841">
        <v>1816</v>
      </c>
      <c r="R11841" t="s">
        <v>23</v>
      </c>
      <c r="S11841" s="1" t="s">
        <v>34218</v>
      </c>
    </row>
    <row r="11842" spans="1:19" x14ac:dyDescent="0.25">
      <c r="A11842">
        <v>101361995</v>
      </c>
      <c r="B11842" t="s">
        <v>26112</v>
      </c>
      <c r="C11842" t="s">
        <v>535</v>
      </c>
      <c r="G11842" t="s">
        <v>26113</v>
      </c>
      <c r="H11842" t="s">
        <v>3373</v>
      </c>
      <c r="I11842" t="s">
        <v>178</v>
      </c>
      <c r="J11842">
        <v>44135</v>
      </c>
      <c r="L11842" t="s">
        <v>23</v>
      </c>
      <c r="M11842" t="s">
        <v>26113</v>
      </c>
      <c r="N11842" t="s">
        <v>3373</v>
      </c>
      <c r="O11842" t="s">
        <v>178</v>
      </c>
      <c r="P11842">
        <v>44135</v>
      </c>
      <c r="R11842" t="s">
        <v>23</v>
      </c>
      <c r="S11842" s="1" t="s">
        <v>34218</v>
      </c>
    </row>
    <row r="11843" spans="1:19" x14ac:dyDescent="0.25">
      <c r="A11843">
        <v>101139546</v>
      </c>
      <c r="B11843" t="s">
        <v>1800</v>
      </c>
      <c r="C11843" t="s">
        <v>274</v>
      </c>
      <c r="G11843" t="s">
        <v>26114</v>
      </c>
      <c r="H11843" t="s">
        <v>12820</v>
      </c>
      <c r="I11843" t="s">
        <v>117</v>
      </c>
      <c r="J11843">
        <v>12834</v>
      </c>
      <c r="K11843">
        <v>8000</v>
      </c>
      <c r="L11843" t="s">
        <v>23</v>
      </c>
      <c r="M11843" t="s">
        <v>26114</v>
      </c>
      <c r="N11843" t="s">
        <v>12820</v>
      </c>
      <c r="O11843" t="s">
        <v>117</v>
      </c>
      <c r="P11843">
        <v>12834</v>
      </c>
      <c r="Q11843">
        <v>8000</v>
      </c>
      <c r="R11843" t="s">
        <v>23</v>
      </c>
      <c r="S11843" s="1" t="s">
        <v>34218</v>
      </c>
    </row>
    <row r="11844" spans="1:19" x14ac:dyDescent="0.25">
      <c r="A11844">
        <v>101451476</v>
      </c>
      <c r="B11844" t="s">
        <v>4716</v>
      </c>
      <c r="C11844" t="s">
        <v>26115</v>
      </c>
      <c r="G11844" t="s">
        <v>26116</v>
      </c>
      <c r="H11844" t="s">
        <v>9309</v>
      </c>
      <c r="I11844" t="s">
        <v>22</v>
      </c>
      <c r="J11844">
        <v>94551</v>
      </c>
      <c r="K11844">
        <v>1351</v>
      </c>
      <c r="L11844" t="s">
        <v>23</v>
      </c>
      <c r="M11844" t="s">
        <v>26116</v>
      </c>
      <c r="N11844" t="s">
        <v>9309</v>
      </c>
      <c r="O11844" t="s">
        <v>22</v>
      </c>
      <c r="P11844">
        <v>94551</v>
      </c>
      <c r="Q11844">
        <v>1351</v>
      </c>
      <c r="R11844" t="s">
        <v>23</v>
      </c>
      <c r="S11844" s="1" t="s">
        <v>34218</v>
      </c>
    </row>
    <row r="11845" spans="1:19" x14ac:dyDescent="0.25">
      <c r="A11845">
        <v>101261564</v>
      </c>
      <c r="B11845" t="s">
        <v>557</v>
      </c>
      <c r="C11845" t="s">
        <v>59</v>
      </c>
      <c r="G11845" t="s">
        <v>26117</v>
      </c>
      <c r="H11845" t="s">
        <v>2684</v>
      </c>
      <c r="I11845" t="s">
        <v>22</v>
      </c>
      <c r="J11845">
        <v>94903</v>
      </c>
      <c r="K11845">
        <v>2956</v>
      </c>
      <c r="L11845" t="s">
        <v>23</v>
      </c>
      <c r="M11845" t="s">
        <v>26117</v>
      </c>
      <c r="N11845" t="s">
        <v>2684</v>
      </c>
      <c r="O11845" t="s">
        <v>22</v>
      </c>
      <c r="P11845">
        <v>94903</v>
      </c>
      <c r="Q11845">
        <v>2956</v>
      </c>
      <c r="R11845" t="s">
        <v>23</v>
      </c>
      <c r="S11845" s="1" t="s">
        <v>34218</v>
      </c>
    </row>
    <row r="11846" spans="1:19" x14ac:dyDescent="0.25">
      <c r="A11846">
        <v>100961725</v>
      </c>
      <c r="B11846" t="s">
        <v>26118</v>
      </c>
      <c r="C11846" t="s">
        <v>11143</v>
      </c>
      <c r="G11846" t="s">
        <v>26119</v>
      </c>
      <c r="H11846" t="s">
        <v>1283</v>
      </c>
      <c r="I11846" t="s">
        <v>117</v>
      </c>
      <c r="J11846">
        <v>10512</v>
      </c>
      <c r="K11846">
        <v>2456</v>
      </c>
      <c r="L11846" t="s">
        <v>23</v>
      </c>
      <c r="M11846" t="s">
        <v>26119</v>
      </c>
      <c r="N11846" t="s">
        <v>1283</v>
      </c>
      <c r="O11846" t="s">
        <v>117</v>
      </c>
      <c r="P11846">
        <v>10512</v>
      </c>
      <c r="Q11846">
        <v>2456</v>
      </c>
      <c r="R11846" t="s">
        <v>23</v>
      </c>
      <c r="S11846" s="1" t="s">
        <v>34218</v>
      </c>
    </row>
    <row r="11847" spans="1:19" x14ac:dyDescent="0.25">
      <c r="A11847">
        <v>101226394</v>
      </c>
      <c r="B11847" t="s">
        <v>26120</v>
      </c>
      <c r="C11847" t="s">
        <v>26121</v>
      </c>
      <c r="G11847" t="s">
        <v>26122</v>
      </c>
      <c r="H11847" t="s">
        <v>177</v>
      </c>
      <c r="I11847" t="s">
        <v>43</v>
      </c>
      <c r="J11847">
        <v>97520</v>
      </c>
      <c r="K11847">
        <v>2415</v>
      </c>
      <c r="L11847" t="s">
        <v>23</v>
      </c>
      <c r="M11847" t="s">
        <v>26122</v>
      </c>
      <c r="N11847" t="s">
        <v>177</v>
      </c>
      <c r="O11847" t="s">
        <v>43</v>
      </c>
      <c r="P11847">
        <v>97520</v>
      </c>
      <c r="Q11847">
        <v>2415</v>
      </c>
      <c r="R11847" t="s">
        <v>23</v>
      </c>
      <c r="S11847" s="1" t="s">
        <v>34218</v>
      </c>
    </row>
    <row r="11848" spans="1:19" x14ac:dyDescent="0.25">
      <c r="A11848">
        <v>101476062</v>
      </c>
      <c r="B11848" t="s">
        <v>26123</v>
      </c>
      <c r="C11848" t="s">
        <v>406</v>
      </c>
      <c r="G11848" t="s">
        <v>26124</v>
      </c>
      <c r="H11848" t="s">
        <v>19391</v>
      </c>
      <c r="I11848" t="s">
        <v>117</v>
      </c>
      <c r="J11848">
        <v>14052</v>
      </c>
      <c r="K11848">
        <v>1615</v>
      </c>
      <c r="L11848" t="s">
        <v>23</v>
      </c>
      <c r="M11848" t="s">
        <v>26124</v>
      </c>
      <c r="N11848" t="s">
        <v>19391</v>
      </c>
      <c r="O11848" t="s">
        <v>117</v>
      </c>
      <c r="P11848">
        <v>14052</v>
      </c>
      <c r="Q11848">
        <v>1615</v>
      </c>
      <c r="R11848" t="s">
        <v>23</v>
      </c>
      <c r="S11848" s="1" t="s">
        <v>34218</v>
      </c>
    </row>
    <row r="11849" spans="1:19" x14ac:dyDescent="0.25">
      <c r="A11849">
        <v>101427138</v>
      </c>
      <c r="B11849" t="s">
        <v>26125</v>
      </c>
      <c r="C11849" t="s">
        <v>846</v>
      </c>
      <c r="G11849" t="s">
        <v>26126</v>
      </c>
      <c r="H11849" t="s">
        <v>4460</v>
      </c>
      <c r="I11849" t="s">
        <v>307</v>
      </c>
      <c r="J11849">
        <v>5301</v>
      </c>
      <c r="K11849">
        <v>3200</v>
      </c>
      <c r="L11849" t="s">
        <v>23</v>
      </c>
      <c r="M11849" t="s">
        <v>26126</v>
      </c>
      <c r="N11849" t="s">
        <v>4460</v>
      </c>
      <c r="O11849" t="s">
        <v>307</v>
      </c>
      <c r="P11849">
        <v>5301</v>
      </c>
      <c r="Q11849">
        <v>3200</v>
      </c>
      <c r="R11849" t="s">
        <v>23</v>
      </c>
      <c r="S11849" s="1" t="s">
        <v>34218</v>
      </c>
    </row>
    <row r="11850" spans="1:19" x14ac:dyDescent="0.25">
      <c r="A11850">
        <v>100771554</v>
      </c>
      <c r="B11850" t="s">
        <v>26127</v>
      </c>
      <c r="C11850" t="s">
        <v>110</v>
      </c>
      <c r="G11850" t="s">
        <v>26128</v>
      </c>
      <c r="H11850" t="s">
        <v>77</v>
      </c>
      <c r="I11850" t="s">
        <v>236</v>
      </c>
      <c r="J11850">
        <v>1915</v>
      </c>
      <c r="K11850">
        <v>2005</v>
      </c>
      <c r="L11850" t="s">
        <v>23</v>
      </c>
      <c r="M11850" t="s">
        <v>26128</v>
      </c>
      <c r="N11850" t="s">
        <v>77</v>
      </c>
      <c r="O11850" t="s">
        <v>236</v>
      </c>
      <c r="P11850">
        <v>1915</v>
      </c>
      <c r="Q11850">
        <v>2005</v>
      </c>
      <c r="R11850" t="s">
        <v>23</v>
      </c>
      <c r="S11850" s="1" t="s">
        <v>34218</v>
      </c>
    </row>
    <row r="11851" spans="1:19" x14ac:dyDescent="0.25">
      <c r="A11851">
        <v>101480815</v>
      </c>
      <c r="B11851" t="s">
        <v>26129</v>
      </c>
      <c r="C11851" t="s">
        <v>10596</v>
      </c>
      <c r="G11851" t="s">
        <v>26130</v>
      </c>
      <c r="H11851" t="s">
        <v>134</v>
      </c>
      <c r="I11851" t="s">
        <v>135</v>
      </c>
      <c r="J11851">
        <v>60645</v>
      </c>
      <c r="K11851">
        <v>1928</v>
      </c>
      <c r="L11851" t="s">
        <v>23</v>
      </c>
      <c r="M11851" t="s">
        <v>26130</v>
      </c>
      <c r="N11851" t="s">
        <v>134</v>
      </c>
      <c r="O11851" t="s">
        <v>135</v>
      </c>
      <c r="P11851">
        <v>60645</v>
      </c>
      <c r="Q11851">
        <v>1928</v>
      </c>
      <c r="R11851" t="s">
        <v>23</v>
      </c>
      <c r="S11851" s="1" t="s">
        <v>34218</v>
      </c>
    </row>
    <row r="11852" spans="1:19" x14ac:dyDescent="0.25">
      <c r="A11852">
        <v>101303385</v>
      </c>
      <c r="B11852" t="s">
        <v>26131</v>
      </c>
      <c r="C11852" t="s">
        <v>6003</v>
      </c>
      <c r="G11852" t="s">
        <v>26132</v>
      </c>
      <c r="H11852" t="s">
        <v>17099</v>
      </c>
      <c r="I11852" t="s">
        <v>135</v>
      </c>
      <c r="J11852">
        <v>60543</v>
      </c>
      <c r="K11852">
        <v>7557</v>
      </c>
      <c r="L11852" t="s">
        <v>23</v>
      </c>
      <c r="M11852" t="s">
        <v>26132</v>
      </c>
      <c r="N11852" t="s">
        <v>17099</v>
      </c>
      <c r="O11852" t="s">
        <v>135</v>
      </c>
      <c r="P11852">
        <v>60543</v>
      </c>
      <c r="Q11852">
        <v>7557</v>
      </c>
      <c r="R11852" t="s">
        <v>23</v>
      </c>
      <c r="S11852" s="1" t="s">
        <v>34218</v>
      </c>
    </row>
    <row r="11853" spans="1:19" x14ac:dyDescent="0.25">
      <c r="A11853">
        <v>101455722</v>
      </c>
      <c r="B11853" t="s">
        <v>3970</v>
      </c>
      <c r="C11853" t="s">
        <v>406</v>
      </c>
      <c r="G11853" t="s">
        <v>26133</v>
      </c>
      <c r="H11853" t="s">
        <v>26134</v>
      </c>
      <c r="I11853" t="s">
        <v>161</v>
      </c>
      <c r="J11853">
        <v>6018</v>
      </c>
      <c r="K11853">
        <v>434</v>
      </c>
      <c r="L11853" t="s">
        <v>23</v>
      </c>
      <c r="M11853" t="s">
        <v>26133</v>
      </c>
      <c r="N11853" t="s">
        <v>26134</v>
      </c>
      <c r="O11853" t="s">
        <v>161</v>
      </c>
      <c r="P11853">
        <v>6018</v>
      </c>
      <c r="Q11853">
        <v>434</v>
      </c>
      <c r="R11853" t="s">
        <v>23</v>
      </c>
      <c r="S11853" s="1" t="s">
        <v>34218</v>
      </c>
    </row>
    <row r="11854" spans="1:19" x14ac:dyDescent="0.25">
      <c r="A11854">
        <v>100949683</v>
      </c>
      <c r="B11854" t="s">
        <v>1335</v>
      </c>
      <c r="C11854" t="s">
        <v>30</v>
      </c>
      <c r="G11854" t="s">
        <v>26135</v>
      </c>
      <c r="H11854" t="s">
        <v>23663</v>
      </c>
      <c r="I11854" t="s">
        <v>22</v>
      </c>
      <c r="J11854">
        <v>92352</v>
      </c>
      <c r="L11854" t="s">
        <v>23</v>
      </c>
      <c r="M11854" t="s">
        <v>26135</v>
      </c>
      <c r="N11854" t="s">
        <v>23663</v>
      </c>
      <c r="O11854" t="s">
        <v>22</v>
      </c>
      <c r="P11854">
        <v>92352</v>
      </c>
      <c r="R11854" t="s">
        <v>23</v>
      </c>
      <c r="S11854" s="1" t="s">
        <v>34218</v>
      </c>
    </row>
    <row r="11855" spans="1:19" x14ac:dyDescent="0.25">
      <c r="A11855">
        <v>101480837</v>
      </c>
      <c r="B11855" t="s">
        <v>26136</v>
      </c>
      <c r="C11855" t="s">
        <v>1811</v>
      </c>
      <c r="G11855" t="s">
        <v>26137</v>
      </c>
      <c r="H11855" t="s">
        <v>1604</v>
      </c>
      <c r="I11855" t="s">
        <v>1482</v>
      </c>
      <c r="J11855">
        <v>29229</v>
      </c>
      <c r="K11855">
        <v>6517</v>
      </c>
      <c r="L11855" t="s">
        <v>23</v>
      </c>
      <c r="M11855" t="s">
        <v>26137</v>
      </c>
      <c r="N11855" t="s">
        <v>1604</v>
      </c>
      <c r="O11855" t="s">
        <v>1482</v>
      </c>
      <c r="P11855">
        <v>29229</v>
      </c>
      <c r="Q11855">
        <v>6517</v>
      </c>
      <c r="R11855" t="s">
        <v>23</v>
      </c>
      <c r="S11855" s="1" t="s">
        <v>34218</v>
      </c>
    </row>
    <row r="11856" spans="1:19" x14ac:dyDescent="0.25">
      <c r="A11856">
        <v>101306035</v>
      </c>
      <c r="B11856" t="s">
        <v>4699</v>
      </c>
      <c r="C11856" t="s">
        <v>26138</v>
      </c>
      <c r="G11856" t="s">
        <v>26139</v>
      </c>
      <c r="H11856" t="s">
        <v>1091</v>
      </c>
      <c r="I11856" t="s">
        <v>365</v>
      </c>
      <c r="J11856">
        <v>86339</v>
      </c>
      <c r="K11856">
        <v>2714</v>
      </c>
      <c r="L11856" t="s">
        <v>23</v>
      </c>
      <c r="M11856" t="s">
        <v>26139</v>
      </c>
      <c r="N11856" t="s">
        <v>1091</v>
      </c>
      <c r="O11856" t="s">
        <v>365</v>
      </c>
      <c r="P11856">
        <v>86339</v>
      </c>
      <c r="Q11856">
        <v>2714</v>
      </c>
      <c r="R11856" t="s">
        <v>23</v>
      </c>
      <c r="S11856" s="1" t="s">
        <v>34218</v>
      </c>
    </row>
    <row r="11857" spans="1:19" x14ac:dyDescent="0.25">
      <c r="A11857">
        <v>100712437</v>
      </c>
      <c r="B11857" t="s">
        <v>4594</v>
      </c>
      <c r="C11857" t="s">
        <v>18777</v>
      </c>
      <c r="G11857" t="s">
        <v>26140</v>
      </c>
      <c r="H11857" t="s">
        <v>1531</v>
      </c>
      <c r="I11857" t="s">
        <v>84</v>
      </c>
      <c r="J11857">
        <v>98177</v>
      </c>
      <c r="K11857">
        <v>4007</v>
      </c>
      <c r="L11857" t="s">
        <v>23</v>
      </c>
      <c r="M11857" t="s">
        <v>26140</v>
      </c>
      <c r="N11857" t="s">
        <v>1531</v>
      </c>
      <c r="O11857" t="s">
        <v>84</v>
      </c>
      <c r="P11857">
        <v>98177</v>
      </c>
      <c r="Q11857">
        <v>4007</v>
      </c>
      <c r="R11857" t="s">
        <v>23</v>
      </c>
      <c r="S11857" s="1" t="s">
        <v>34218</v>
      </c>
    </row>
    <row r="11858" spans="1:19" x14ac:dyDescent="0.25">
      <c r="A11858">
        <v>101311151</v>
      </c>
      <c r="B11858" t="s">
        <v>26141</v>
      </c>
      <c r="C11858" t="s">
        <v>613</v>
      </c>
      <c r="G11858" t="s">
        <v>26142</v>
      </c>
      <c r="H11858" t="s">
        <v>26143</v>
      </c>
      <c r="I11858" t="s">
        <v>117</v>
      </c>
      <c r="J11858">
        <v>14006</v>
      </c>
      <c r="K11858">
        <v>9744</v>
      </c>
      <c r="L11858" t="s">
        <v>23</v>
      </c>
      <c r="M11858" t="s">
        <v>26142</v>
      </c>
      <c r="N11858" t="s">
        <v>26143</v>
      </c>
      <c r="O11858" t="s">
        <v>117</v>
      </c>
      <c r="P11858">
        <v>14006</v>
      </c>
      <c r="Q11858">
        <v>9744</v>
      </c>
      <c r="R11858" t="s">
        <v>23</v>
      </c>
      <c r="S11858" s="1" t="s">
        <v>34218</v>
      </c>
    </row>
    <row r="11859" spans="1:19" x14ac:dyDescent="0.25">
      <c r="A11859">
        <v>100727141</v>
      </c>
      <c r="B11859" t="s">
        <v>26144</v>
      </c>
      <c r="C11859" t="s">
        <v>535</v>
      </c>
      <c r="G11859" t="s">
        <v>26145</v>
      </c>
      <c r="H11859" t="s">
        <v>10819</v>
      </c>
      <c r="I11859" t="s">
        <v>1387</v>
      </c>
      <c r="J11859">
        <v>35801</v>
      </c>
      <c r="K11859">
        <v>6012</v>
      </c>
      <c r="L11859" t="s">
        <v>23</v>
      </c>
      <c r="M11859" t="s">
        <v>26145</v>
      </c>
      <c r="N11859" t="s">
        <v>10819</v>
      </c>
      <c r="O11859" t="s">
        <v>1387</v>
      </c>
      <c r="P11859">
        <v>35801</v>
      </c>
      <c r="Q11859">
        <v>6012</v>
      </c>
      <c r="R11859" t="s">
        <v>23</v>
      </c>
      <c r="S11859" s="1" t="s">
        <v>34218</v>
      </c>
    </row>
    <row r="11860" spans="1:19" x14ac:dyDescent="0.25">
      <c r="A11860">
        <v>101468543</v>
      </c>
      <c r="B11860" t="s">
        <v>26146</v>
      </c>
      <c r="C11860" t="s">
        <v>2010</v>
      </c>
      <c r="G11860" t="s">
        <v>26147</v>
      </c>
      <c r="H11860" t="s">
        <v>3179</v>
      </c>
      <c r="I11860" t="s">
        <v>565</v>
      </c>
      <c r="J11860">
        <v>51632</v>
      </c>
      <c r="K11860">
        <v>2033</v>
      </c>
      <c r="L11860" t="s">
        <v>23</v>
      </c>
      <c r="M11860" t="s">
        <v>26147</v>
      </c>
      <c r="N11860" t="s">
        <v>3179</v>
      </c>
      <c r="O11860" t="s">
        <v>565</v>
      </c>
      <c r="P11860">
        <v>51632</v>
      </c>
      <c r="Q11860">
        <v>2033</v>
      </c>
      <c r="R11860" t="s">
        <v>23</v>
      </c>
      <c r="S11860" s="1" t="s">
        <v>34218</v>
      </c>
    </row>
    <row r="11861" spans="1:19" x14ac:dyDescent="0.25">
      <c r="A11861">
        <v>100889211</v>
      </c>
      <c r="B11861" t="s">
        <v>3296</v>
      </c>
      <c r="C11861" t="s">
        <v>11308</v>
      </c>
      <c r="G11861" t="s">
        <v>26148</v>
      </c>
      <c r="H11861" t="s">
        <v>976</v>
      </c>
      <c r="I11861" t="s">
        <v>140</v>
      </c>
      <c r="J11861">
        <v>48106</v>
      </c>
      <c r="K11861">
        <v>1091</v>
      </c>
      <c r="L11861" t="s">
        <v>23</v>
      </c>
      <c r="M11861" t="s">
        <v>26148</v>
      </c>
      <c r="N11861" t="s">
        <v>976</v>
      </c>
      <c r="O11861" t="s">
        <v>140</v>
      </c>
      <c r="P11861">
        <v>48106</v>
      </c>
      <c r="Q11861">
        <v>1091</v>
      </c>
      <c r="R11861" t="s">
        <v>23</v>
      </c>
      <c r="S11861" s="1" t="s">
        <v>34218</v>
      </c>
    </row>
    <row r="11862" spans="1:19" x14ac:dyDescent="0.25">
      <c r="A11862">
        <v>101466684</v>
      </c>
      <c r="B11862" t="s">
        <v>26149</v>
      </c>
      <c r="C11862" t="s">
        <v>1306</v>
      </c>
      <c r="G11862" t="s">
        <v>26150</v>
      </c>
      <c r="H11862" t="s">
        <v>26151</v>
      </c>
      <c r="I11862" t="s">
        <v>2310</v>
      </c>
      <c r="J11862">
        <v>19933</v>
      </c>
      <c r="K11862">
        <v>1148</v>
      </c>
      <c r="L11862" t="s">
        <v>23</v>
      </c>
      <c r="M11862" t="s">
        <v>26150</v>
      </c>
      <c r="N11862" t="s">
        <v>26151</v>
      </c>
      <c r="O11862" t="s">
        <v>2310</v>
      </c>
      <c r="P11862">
        <v>19933</v>
      </c>
      <c r="Q11862">
        <v>1148</v>
      </c>
      <c r="R11862" t="s">
        <v>23</v>
      </c>
      <c r="S11862" s="1" t="s">
        <v>34218</v>
      </c>
    </row>
    <row r="11863" spans="1:19" x14ac:dyDescent="0.25">
      <c r="A11863">
        <v>101002188</v>
      </c>
      <c r="B11863" t="s">
        <v>2144</v>
      </c>
      <c r="C11863" t="s">
        <v>2547</v>
      </c>
      <c r="G11863" t="s">
        <v>26152</v>
      </c>
      <c r="H11863" t="s">
        <v>26153</v>
      </c>
      <c r="I11863" t="s">
        <v>140</v>
      </c>
      <c r="J11863">
        <v>49315</v>
      </c>
      <c r="K11863">
        <v>8253</v>
      </c>
      <c r="L11863" t="s">
        <v>23</v>
      </c>
      <c r="M11863" t="s">
        <v>26152</v>
      </c>
      <c r="N11863" t="s">
        <v>26153</v>
      </c>
      <c r="O11863" t="s">
        <v>140</v>
      </c>
      <c r="P11863">
        <v>49315</v>
      </c>
      <c r="Q11863">
        <v>8253</v>
      </c>
      <c r="R11863" t="s">
        <v>23</v>
      </c>
      <c r="S11863" s="1" t="s">
        <v>34218</v>
      </c>
    </row>
    <row r="11864" spans="1:19" x14ac:dyDescent="0.25">
      <c r="A11864">
        <v>101298962</v>
      </c>
      <c r="B11864" t="s">
        <v>26154</v>
      </c>
      <c r="C11864" t="s">
        <v>1161</v>
      </c>
      <c r="G11864" t="s">
        <v>26155</v>
      </c>
      <c r="H11864" t="s">
        <v>27</v>
      </c>
      <c r="I11864" t="s">
        <v>28</v>
      </c>
      <c r="J11864">
        <v>30328</v>
      </c>
      <c r="K11864">
        <v>4186</v>
      </c>
      <c r="L11864" t="s">
        <v>23</v>
      </c>
      <c r="M11864" t="s">
        <v>26155</v>
      </c>
      <c r="N11864" t="s">
        <v>27</v>
      </c>
      <c r="O11864" t="s">
        <v>28</v>
      </c>
      <c r="P11864">
        <v>30328</v>
      </c>
      <c r="Q11864">
        <v>4186</v>
      </c>
      <c r="R11864" t="s">
        <v>23</v>
      </c>
      <c r="S11864" s="1" t="s">
        <v>34218</v>
      </c>
    </row>
    <row r="11865" spans="1:19" x14ac:dyDescent="0.25">
      <c r="A11865">
        <v>101466726</v>
      </c>
      <c r="B11865" t="s">
        <v>11444</v>
      </c>
      <c r="C11865" t="s">
        <v>2232</v>
      </c>
      <c r="G11865" t="s">
        <v>26156</v>
      </c>
      <c r="H11865" t="s">
        <v>1358</v>
      </c>
      <c r="I11865" t="s">
        <v>100</v>
      </c>
      <c r="J11865">
        <v>54022</v>
      </c>
      <c r="K11865">
        <v>2515</v>
      </c>
      <c r="L11865" t="s">
        <v>23</v>
      </c>
      <c r="M11865" t="s">
        <v>26156</v>
      </c>
      <c r="N11865" t="s">
        <v>1358</v>
      </c>
      <c r="O11865" t="s">
        <v>100</v>
      </c>
      <c r="P11865">
        <v>54022</v>
      </c>
      <c r="Q11865">
        <v>2515</v>
      </c>
      <c r="R11865" t="s">
        <v>23</v>
      </c>
      <c r="S11865" s="1" t="s">
        <v>34218</v>
      </c>
    </row>
    <row r="11866" spans="1:19" x14ac:dyDescent="0.25">
      <c r="A11866">
        <v>101426472</v>
      </c>
      <c r="B11866" t="s">
        <v>26157</v>
      </c>
      <c r="C11866" t="s">
        <v>172</v>
      </c>
      <c r="G11866" t="s">
        <v>26158</v>
      </c>
      <c r="H11866" t="s">
        <v>130</v>
      </c>
      <c r="I11866" t="s">
        <v>22</v>
      </c>
      <c r="J11866">
        <v>94114</v>
      </c>
      <c r="K11866">
        <v>2722</v>
      </c>
      <c r="L11866" t="s">
        <v>23</v>
      </c>
      <c r="M11866" t="s">
        <v>26158</v>
      </c>
      <c r="N11866" t="s">
        <v>130</v>
      </c>
      <c r="O11866" t="s">
        <v>22</v>
      </c>
      <c r="P11866">
        <v>94114</v>
      </c>
      <c r="Q11866">
        <v>2722</v>
      </c>
      <c r="R11866" t="s">
        <v>23</v>
      </c>
      <c r="S11866" s="1" t="s">
        <v>34218</v>
      </c>
    </row>
    <row r="11867" spans="1:19" x14ac:dyDescent="0.25">
      <c r="A11867">
        <v>101339656</v>
      </c>
      <c r="B11867" t="s">
        <v>26159</v>
      </c>
      <c r="C11867" t="s">
        <v>1463</v>
      </c>
      <c r="G11867" t="s">
        <v>26160</v>
      </c>
      <c r="H11867" t="s">
        <v>26161</v>
      </c>
      <c r="I11867" t="s">
        <v>236</v>
      </c>
      <c r="J11867">
        <v>1907</v>
      </c>
      <c r="K11867">
        <v>1728</v>
      </c>
      <c r="L11867" t="s">
        <v>23</v>
      </c>
      <c r="M11867" t="s">
        <v>26160</v>
      </c>
      <c r="N11867" t="s">
        <v>26161</v>
      </c>
      <c r="O11867" t="s">
        <v>236</v>
      </c>
      <c r="P11867">
        <v>1907</v>
      </c>
      <c r="Q11867">
        <v>1728</v>
      </c>
      <c r="R11867" t="s">
        <v>23</v>
      </c>
      <c r="S11867" s="1" t="s">
        <v>34218</v>
      </c>
    </row>
    <row r="11868" spans="1:19" x14ac:dyDescent="0.25">
      <c r="A11868">
        <v>100866010</v>
      </c>
      <c r="B11868" t="s">
        <v>26162</v>
      </c>
      <c r="C11868" t="s">
        <v>5914</v>
      </c>
      <c r="G11868" t="s">
        <v>26163</v>
      </c>
      <c r="H11868" t="s">
        <v>8564</v>
      </c>
      <c r="I11868" t="s">
        <v>38</v>
      </c>
      <c r="J11868">
        <v>75016</v>
      </c>
      <c r="L11868" t="s">
        <v>23</v>
      </c>
      <c r="M11868" t="s">
        <v>26163</v>
      </c>
      <c r="N11868" t="s">
        <v>8564</v>
      </c>
      <c r="O11868" t="s">
        <v>38</v>
      </c>
      <c r="P11868">
        <v>75016</v>
      </c>
      <c r="R11868" t="s">
        <v>23</v>
      </c>
      <c r="S11868" s="1" t="s">
        <v>34218</v>
      </c>
    </row>
    <row r="11869" spans="1:19" x14ac:dyDescent="0.25">
      <c r="A11869">
        <v>101355881</v>
      </c>
      <c r="B11869" t="s">
        <v>26164</v>
      </c>
      <c r="C11869" t="s">
        <v>1533</v>
      </c>
      <c r="G11869" t="s">
        <v>26165</v>
      </c>
      <c r="H11869" t="s">
        <v>688</v>
      </c>
      <c r="I11869" t="s">
        <v>117</v>
      </c>
      <c r="J11869">
        <v>14618</v>
      </c>
      <c r="K11869">
        <v>1221</v>
      </c>
      <c r="L11869" t="s">
        <v>23</v>
      </c>
      <c r="M11869" t="s">
        <v>26165</v>
      </c>
      <c r="N11869" t="s">
        <v>688</v>
      </c>
      <c r="O11869" t="s">
        <v>117</v>
      </c>
      <c r="P11869">
        <v>14618</v>
      </c>
      <c r="Q11869">
        <v>1221</v>
      </c>
      <c r="R11869" t="s">
        <v>23</v>
      </c>
      <c r="S11869" s="1" t="s">
        <v>34218</v>
      </c>
    </row>
    <row r="11870" spans="1:19" x14ac:dyDescent="0.25">
      <c r="A11870">
        <v>101456482</v>
      </c>
      <c r="B11870" t="s">
        <v>1807</v>
      </c>
      <c r="C11870" t="s">
        <v>26166</v>
      </c>
      <c r="G11870" t="s">
        <v>26167</v>
      </c>
      <c r="H11870" t="s">
        <v>12564</v>
      </c>
      <c r="I11870" t="s">
        <v>446</v>
      </c>
      <c r="J11870">
        <v>27455</v>
      </c>
      <c r="K11870">
        <v>2001</v>
      </c>
      <c r="L11870" t="s">
        <v>23</v>
      </c>
      <c r="M11870" t="s">
        <v>26167</v>
      </c>
      <c r="N11870" t="s">
        <v>12564</v>
      </c>
      <c r="O11870" t="s">
        <v>446</v>
      </c>
      <c r="P11870">
        <v>27455</v>
      </c>
      <c r="Q11870">
        <v>2001</v>
      </c>
      <c r="R11870" t="s">
        <v>23</v>
      </c>
      <c r="S11870" s="1" t="s">
        <v>34218</v>
      </c>
    </row>
    <row r="11871" spans="1:19" x14ac:dyDescent="0.25">
      <c r="A11871">
        <v>101456034</v>
      </c>
      <c r="B11871" t="s">
        <v>26168</v>
      </c>
      <c r="C11871" t="s">
        <v>11643</v>
      </c>
      <c r="G11871" t="s">
        <v>26169</v>
      </c>
      <c r="H11871" t="s">
        <v>369</v>
      </c>
      <c r="I11871" t="s">
        <v>370</v>
      </c>
      <c r="J11871">
        <v>68510</v>
      </c>
      <c r="K11871">
        <v>1426</v>
      </c>
      <c r="L11871" t="s">
        <v>23</v>
      </c>
      <c r="M11871" t="s">
        <v>26169</v>
      </c>
      <c r="N11871" t="s">
        <v>369</v>
      </c>
      <c r="O11871" t="s">
        <v>370</v>
      </c>
      <c r="P11871">
        <v>68510</v>
      </c>
      <c r="Q11871">
        <v>1426</v>
      </c>
      <c r="R11871" t="s">
        <v>23</v>
      </c>
      <c r="S11871" s="1" t="s">
        <v>34218</v>
      </c>
    </row>
    <row r="11872" spans="1:19" x14ac:dyDescent="0.25">
      <c r="A11872">
        <v>100761383</v>
      </c>
      <c r="B11872" t="s">
        <v>26170</v>
      </c>
      <c r="C11872" t="s">
        <v>10389</v>
      </c>
      <c r="G11872" t="s">
        <v>26171</v>
      </c>
      <c r="H11872" t="s">
        <v>3765</v>
      </c>
      <c r="I11872" t="s">
        <v>43</v>
      </c>
      <c r="J11872">
        <v>97370</v>
      </c>
      <c r="K11872">
        <v>1269</v>
      </c>
      <c r="L11872" t="s">
        <v>23</v>
      </c>
      <c r="M11872" t="s">
        <v>26171</v>
      </c>
      <c r="N11872" t="s">
        <v>3765</v>
      </c>
      <c r="O11872" t="s">
        <v>43</v>
      </c>
      <c r="P11872">
        <v>97370</v>
      </c>
      <c r="Q11872">
        <v>1269</v>
      </c>
      <c r="R11872" t="s">
        <v>23</v>
      </c>
      <c r="S11872" s="1" t="s">
        <v>34218</v>
      </c>
    </row>
    <row r="11873" spans="1:19" x14ac:dyDescent="0.25">
      <c r="A11873">
        <v>101422980</v>
      </c>
      <c r="B11873" t="s">
        <v>26172</v>
      </c>
      <c r="C11873" t="s">
        <v>14110</v>
      </c>
      <c r="G11873" t="s">
        <v>26173</v>
      </c>
      <c r="H11873" t="s">
        <v>1246</v>
      </c>
      <c r="I11873" t="s">
        <v>187</v>
      </c>
      <c r="J11873">
        <v>55744</v>
      </c>
      <c r="K11873">
        <v>5727</v>
      </c>
      <c r="L11873" t="s">
        <v>23</v>
      </c>
      <c r="M11873" t="s">
        <v>26173</v>
      </c>
      <c r="N11873" t="s">
        <v>1246</v>
      </c>
      <c r="O11873" t="s">
        <v>187</v>
      </c>
      <c r="P11873">
        <v>55744</v>
      </c>
      <c r="Q11873">
        <v>5727</v>
      </c>
      <c r="R11873" t="s">
        <v>23</v>
      </c>
      <c r="S11873" s="1" t="s">
        <v>34218</v>
      </c>
    </row>
    <row r="11874" spans="1:19" x14ac:dyDescent="0.25">
      <c r="A11874">
        <v>101140293</v>
      </c>
      <c r="B11874" t="s">
        <v>26174</v>
      </c>
      <c r="C11874" t="s">
        <v>23249</v>
      </c>
      <c r="G11874">
        <v>202</v>
      </c>
      <c r="H11874" t="s">
        <v>1367</v>
      </c>
      <c r="I11874" t="s">
        <v>255</v>
      </c>
      <c r="J11874">
        <v>24523</v>
      </c>
      <c r="L11874" t="s">
        <v>23</v>
      </c>
      <c r="M11874">
        <v>202</v>
      </c>
      <c r="N11874" t="s">
        <v>1367</v>
      </c>
      <c r="O11874" t="s">
        <v>255</v>
      </c>
      <c r="P11874">
        <v>24523</v>
      </c>
      <c r="R11874" t="s">
        <v>23</v>
      </c>
      <c r="S11874" s="1" t="s">
        <v>34218</v>
      </c>
    </row>
    <row r="11875" spans="1:19" x14ac:dyDescent="0.25">
      <c r="A11875">
        <v>101467663</v>
      </c>
      <c r="B11875" t="s">
        <v>26175</v>
      </c>
      <c r="C11875" t="s">
        <v>1239</v>
      </c>
      <c r="G11875" t="s">
        <v>18977</v>
      </c>
      <c r="H11875" t="s">
        <v>174</v>
      </c>
      <c r="I11875" t="s">
        <v>22</v>
      </c>
      <c r="J11875">
        <v>93103</v>
      </c>
      <c r="K11875">
        <v>2214</v>
      </c>
      <c r="L11875" t="s">
        <v>23</v>
      </c>
      <c r="M11875" t="s">
        <v>18977</v>
      </c>
      <c r="N11875" t="s">
        <v>174</v>
      </c>
      <c r="O11875" t="s">
        <v>22</v>
      </c>
      <c r="P11875">
        <v>93103</v>
      </c>
      <c r="Q11875">
        <v>2214</v>
      </c>
      <c r="R11875" t="s">
        <v>23</v>
      </c>
      <c r="S11875" s="1" t="s">
        <v>34218</v>
      </c>
    </row>
    <row r="11876" spans="1:19" x14ac:dyDescent="0.25">
      <c r="A11876">
        <v>100634183</v>
      </c>
      <c r="B11876" t="s">
        <v>13950</v>
      </c>
      <c r="C11876" t="s">
        <v>8782</v>
      </c>
      <c r="G11876" t="s">
        <v>26176</v>
      </c>
      <c r="H11876" t="s">
        <v>26177</v>
      </c>
      <c r="I11876" t="s">
        <v>71</v>
      </c>
      <c r="J11876">
        <v>80105</v>
      </c>
      <c r="K11876">
        <v>7900</v>
      </c>
      <c r="L11876" t="s">
        <v>23</v>
      </c>
      <c r="M11876" t="s">
        <v>26176</v>
      </c>
      <c r="N11876" t="s">
        <v>26177</v>
      </c>
      <c r="O11876" t="s">
        <v>71</v>
      </c>
      <c r="P11876">
        <v>80105</v>
      </c>
      <c r="Q11876">
        <v>7900</v>
      </c>
      <c r="R11876" t="s">
        <v>23</v>
      </c>
      <c r="S11876" s="1" t="s">
        <v>34218</v>
      </c>
    </row>
    <row r="11877" spans="1:19" x14ac:dyDescent="0.25">
      <c r="A11877">
        <v>101467089</v>
      </c>
      <c r="B11877" t="s">
        <v>5505</v>
      </c>
      <c r="C11877" t="s">
        <v>1955</v>
      </c>
      <c r="G11877" t="s">
        <v>26178</v>
      </c>
      <c r="H11877" t="s">
        <v>1071</v>
      </c>
      <c r="I11877" t="s">
        <v>22</v>
      </c>
      <c r="J11877">
        <v>92067</v>
      </c>
      <c r="K11877">
        <v>7247</v>
      </c>
      <c r="L11877" t="s">
        <v>23</v>
      </c>
      <c r="M11877" t="s">
        <v>26178</v>
      </c>
      <c r="N11877" t="s">
        <v>1071</v>
      </c>
      <c r="O11877" t="s">
        <v>22</v>
      </c>
      <c r="P11877">
        <v>92067</v>
      </c>
      <c r="Q11877">
        <v>7247</v>
      </c>
      <c r="R11877" t="s">
        <v>23</v>
      </c>
      <c r="S11877" s="1" t="s">
        <v>34218</v>
      </c>
    </row>
    <row r="11878" spans="1:19" x14ac:dyDescent="0.25">
      <c r="A11878">
        <v>101293232</v>
      </c>
      <c r="B11878" t="s">
        <v>26179</v>
      </c>
      <c r="C11878" t="s">
        <v>26180</v>
      </c>
      <c r="G11878" t="s">
        <v>26181</v>
      </c>
      <c r="H11878" t="s">
        <v>3933</v>
      </c>
      <c r="I11878" t="s">
        <v>984</v>
      </c>
      <c r="J11878">
        <v>96749</v>
      </c>
      <c r="L11878" t="s">
        <v>23</v>
      </c>
      <c r="M11878" t="s">
        <v>26181</v>
      </c>
      <c r="N11878" t="s">
        <v>3933</v>
      </c>
      <c r="O11878" t="s">
        <v>984</v>
      </c>
      <c r="P11878">
        <v>96749</v>
      </c>
      <c r="R11878" t="s">
        <v>23</v>
      </c>
      <c r="S11878" s="1" t="s">
        <v>34218</v>
      </c>
    </row>
    <row r="11879" spans="1:19" x14ac:dyDescent="0.25">
      <c r="A11879">
        <v>101466066</v>
      </c>
      <c r="B11879" t="s">
        <v>26182</v>
      </c>
      <c r="C11879" t="s">
        <v>2127</v>
      </c>
      <c r="G11879" t="s">
        <v>26183</v>
      </c>
      <c r="H11879" t="s">
        <v>11532</v>
      </c>
      <c r="I11879" t="s">
        <v>250</v>
      </c>
      <c r="J11879">
        <v>8057</v>
      </c>
      <c r="K11879">
        <v>1643</v>
      </c>
      <c r="L11879" t="s">
        <v>23</v>
      </c>
      <c r="M11879" t="s">
        <v>26183</v>
      </c>
      <c r="N11879" t="s">
        <v>11532</v>
      </c>
      <c r="O11879" t="s">
        <v>250</v>
      </c>
      <c r="P11879">
        <v>8057</v>
      </c>
      <c r="Q11879">
        <v>1643</v>
      </c>
      <c r="R11879" t="s">
        <v>23</v>
      </c>
      <c r="S11879" s="1" t="s">
        <v>34218</v>
      </c>
    </row>
    <row r="11880" spans="1:19" x14ac:dyDescent="0.25">
      <c r="A11880">
        <v>100637793</v>
      </c>
      <c r="B11880" t="s">
        <v>395</v>
      </c>
      <c r="C11880" t="s">
        <v>3670</v>
      </c>
      <c r="G11880" t="s">
        <v>26184</v>
      </c>
      <c r="H11880" t="s">
        <v>8603</v>
      </c>
      <c r="I11880" t="s">
        <v>22</v>
      </c>
      <c r="J11880">
        <v>93023</v>
      </c>
      <c r="K11880">
        <v>4149</v>
      </c>
      <c r="L11880" t="s">
        <v>23</v>
      </c>
      <c r="M11880" t="s">
        <v>26184</v>
      </c>
      <c r="N11880" t="s">
        <v>8603</v>
      </c>
      <c r="O11880" t="s">
        <v>22</v>
      </c>
      <c r="P11880">
        <v>93023</v>
      </c>
      <c r="Q11880">
        <v>4149</v>
      </c>
      <c r="R11880" t="s">
        <v>23</v>
      </c>
      <c r="S11880" s="1" t="s">
        <v>34218</v>
      </c>
    </row>
    <row r="11881" spans="1:19" x14ac:dyDescent="0.25">
      <c r="A11881">
        <v>100833516</v>
      </c>
      <c r="B11881" t="s">
        <v>26185</v>
      </c>
      <c r="C11881" t="s">
        <v>247</v>
      </c>
      <c r="G11881" t="s">
        <v>26186</v>
      </c>
      <c r="H11881" t="s">
        <v>227</v>
      </c>
      <c r="I11881" t="s">
        <v>43</v>
      </c>
      <c r="J11881">
        <v>97229</v>
      </c>
      <c r="K11881">
        <v>1865</v>
      </c>
      <c r="L11881" t="s">
        <v>23</v>
      </c>
      <c r="M11881" t="s">
        <v>26186</v>
      </c>
      <c r="N11881" t="s">
        <v>227</v>
      </c>
      <c r="O11881" t="s">
        <v>43</v>
      </c>
      <c r="P11881">
        <v>97229</v>
      </c>
      <c r="Q11881">
        <v>1865</v>
      </c>
      <c r="R11881" t="s">
        <v>23</v>
      </c>
      <c r="S11881" s="1" t="s">
        <v>34218</v>
      </c>
    </row>
    <row r="11882" spans="1:19" x14ac:dyDescent="0.25">
      <c r="A11882">
        <v>101456190</v>
      </c>
      <c r="B11882" t="s">
        <v>2287</v>
      </c>
      <c r="C11882" t="s">
        <v>13429</v>
      </c>
      <c r="G11882" t="s">
        <v>26187</v>
      </c>
      <c r="H11882" t="s">
        <v>653</v>
      </c>
      <c r="I11882" t="s">
        <v>117</v>
      </c>
      <c r="J11882">
        <v>10075</v>
      </c>
      <c r="L11882" t="s">
        <v>23</v>
      </c>
      <c r="M11882" t="s">
        <v>26187</v>
      </c>
      <c r="N11882" t="s">
        <v>653</v>
      </c>
      <c r="O11882" t="s">
        <v>117</v>
      </c>
      <c r="P11882">
        <v>10075</v>
      </c>
      <c r="R11882" t="s">
        <v>23</v>
      </c>
      <c r="S11882" s="1" t="s">
        <v>34218</v>
      </c>
    </row>
    <row r="11883" spans="1:19" x14ac:dyDescent="0.25">
      <c r="A11883">
        <v>101466868</v>
      </c>
      <c r="B11883" t="s">
        <v>26188</v>
      </c>
      <c r="C11883" t="s">
        <v>7399</v>
      </c>
      <c r="G11883" t="s">
        <v>26189</v>
      </c>
      <c r="H11883" t="s">
        <v>22163</v>
      </c>
      <c r="I11883" t="s">
        <v>178</v>
      </c>
      <c r="J11883">
        <v>44024</v>
      </c>
      <c r="K11883">
        <v>8203</v>
      </c>
      <c r="L11883" t="s">
        <v>23</v>
      </c>
      <c r="M11883" t="s">
        <v>26189</v>
      </c>
      <c r="N11883" t="s">
        <v>22163</v>
      </c>
      <c r="O11883" t="s">
        <v>178</v>
      </c>
      <c r="P11883">
        <v>44024</v>
      </c>
      <c r="Q11883">
        <v>8203</v>
      </c>
      <c r="R11883" t="s">
        <v>23</v>
      </c>
      <c r="S11883" s="1" t="s">
        <v>34218</v>
      </c>
    </row>
    <row r="11884" spans="1:19" x14ac:dyDescent="0.25">
      <c r="A11884">
        <v>100797811</v>
      </c>
      <c r="B11884" t="s">
        <v>4449</v>
      </c>
      <c r="C11884" t="s">
        <v>890</v>
      </c>
      <c r="G11884" t="s">
        <v>26190</v>
      </c>
      <c r="H11884" t="s">
        <v>1405</v>
      </c>
      <c r="I11884" t="s">
        <v>187</v>
      </c>
      <c r="J11884">
        <v>55116</v>
      </c>
      <c r="K11884">
        <v>1448</v>
      </c>
      <c r="L11884" t="s">
        <v>23</v>
      </c>
      <c r="M11884" t="s">
        <v>26190</v>
      </c>
      <c r="N11884" t="s">
        <v>1405</v>
      </c>
      <c r="O11884" t="s">
        <v>187</v>
      </c>
      <c r="P11884">
        <v>55116</v>
      </c>
      <c r="Q11884">
        <v>1448</v>
      </c>
      <c r="R11884" t="s">
        <v>23</v>
      </c>
      <c r="S11884" s="1" t="s">
        <v>34218</v>
      </c>
    </row>
    <row r="11885" spans="1:19" x14ac:dyDescent="0.25">
      <c r="A11885">
        <v>100631637</v>
      </c>
      <c r="B11885" t="s">
        <v>14618</v>
      </c>
      <c r="C11885" t="s">
        <v>18320</v>
      </c>
      <c r="G11885" t="s">
        <v>26191</v>
      </c>
      <c r="H11885" t="s">
        <v>4128</v>
      </c>
      <c r="I11885" t="s">
        <v>236</v>
      </c>
      <c r="J11885">
        <v>5791</v>
      </c>
      <c r="L11885" t="s">
        <v>23</v>
      </c>
      <c r="M11885" t="s">
        <v>26191</v>
      </c>
      <c r="N11885" t="s">
        <v>4128</v>
      </c>
      <c r="O11885" t="s">
        <v>236</v>
      </c>
      <c r="P11885">
        <v>5791</v>
      </c>
      <c r="R11885" t="s">
        <v>23</v>
      </c>
      <c r="S11885" s="1" t="s">
        <v>34218</v>
      </c>
    </row>
    <row r="11886" spans="1:19" x14ac:dyDescent="0.25">
      <c r="A11886">
        <v>101428737</v>
      </c>
      <c r="B11886" t="s">
        <v>8669</v>
      </c>
      <c r="C11886" t="s">
        <v>26192</v>
      </c>
      <c r="G11886" t="s">
        <v>26193</v>
      </c>
      <c r="H11886" t="s">
        <v>26194</v>
      </c>
      <c r="I11886" t="s">
        <v>117</v>
      </c>
      <c r="J11886">
        <v>12189</v>
      </c>
      <c r="K11886">
        <v>2963</v>
      </c>
      <c r="L11886" t="s">
        <v>23</v>
      </c>
      <c r="M11886" t="s">
        <v>26193</v>
      </c>
      <c r="N11886" t="s">
        <v>26194</v>
      </c>
      <c r="O11886" t="s">
        <v>117</v>
      </c>
      <c r="P11886">
        <v>12189</v>
      </c>
      <c r="Q11886">
        <v>2963</v>
      </c>
      <c r="R11886" t="s">
        <v>23</v>
      </c>
      <c r="S11886" s="1" t="s">
        <v>34218</v>
      </c>
    </row>
    <row r="11887" spans="1:19" x14ac:dyDescent="0.25">
      <c r="A11887">
        <v>101442582</v>
      </c>
      <c r="B11887" t="s">
        <v>26195</v>
      </c>
      <c r="C11887" t="s">
        <v>1157</v>
      </c>
      <c r="G11887" t="s">
        <v>26196</v>
      </c>
      <c r="H11887" t="s">
        <v>26197</v>
      </c>
      <c r="I11887" t="s">
        <v>250</v>
      </c>
      <c r="J11887">
        <v>8077</v>
      </c>
      <c r="K11887">
        <v>2222</v>
      </c>
      <c r="L11887" t="s">
        <v>23</v>
      </c>
      <c r="M11887" t="s">
        <v>26196</v>
      </c>
      <c r="N11887" t="s">
        <v>26197</v>
      </c>
      <c r="O11887" t="s">
        <v>250</v>
      </c>
      <c r="P11887">
        <v>8077</v>
      </c>
      <c r="Q11887">
        <v>2222</v>
      </c>
      <c r="R11887" t="s">
        <v>23</v>
      </c>
      <c r="S11887" s="1" t="s">
        <v>34218</v>
      </c>
    </row>
    <row r="11888" spans="1:19" x14ac:dyDescent="0.25">
      <c r="A11888">
        <v>101420694</v>
      </c>
      <c r="B11888" t="s">
        <v>26198</v>
      </c>
      <c r="C11888" t="s">
        <v>1327</v>
      </c>
      <c r="G11888" t="s">
        <v>26199</v>
      </c>
      <c r="H11888" t="s">
        <v>948</v>
      </c>
      <c r="I11888" t="s">
        <v>33</v>
      </c>
      <c r="J11888">
        <v>19047</v>
      </c>
      <c r="K11888">
        <v>1215</v>
      </c>
      <c r="L11888" t="s">
        <v>23</v>
      </c>
      <c r="M11888" t="s">
        <v>26199</v>
      </c>
      <c r="N11888" t="s">
        <v>948</v>
      </c>
      <c r="O11888" t="s">
        <v>33</v>
      </c>
      <c r="P11888">
        <v>19047</v>
      </c>
      <c r="Q11888">
        <v>1215</v>
      </c>
      <c r="R11888" t="s">
        <v>23</v>
      </c>
      <c r="S11888" s="1" t="s">
        <v>34218</v>
      </c>
    </row>
    <row r="11889" spans="1:19" x14ac:dyDescent="0.25">
      <c r="A11889">
        <v>101431300</v>
      </c>
      <c r="B11889" t="s">
        <v>4139</v>
      </c>
      <c r="C11889" t="s">
        <v>2127</v>
      </c>
      <c r="G11889" t="s">
        <v>26200</v>
      </c>
      <c r="H11889" t="s">
        <v>723</v>
      </c>
      <c r="I11889" t="s">
        <v>365</v>
      </c>
      <c r="J11889">
        <v>86305</v>
      </c>
      <c r="K11889">
        <v>8843</v>
      </c>
      <c r="L11889" t="s">
        <v>23</v>
      </c>
      <c r="M11889" t="s">
        <v>26200</v>
      </c>
      <c r="N11889" t="s">
        <v>723</v>
      </c>
      <c r="O11889" t="s">
        <v>365</v>
      </c>
      <c r="P11889">
        <v>86305</v>
      </c>
      <c r="Q11889">
        <v>8843</v>
      </c>
      <c r="R11889" t="s">
        <v>23</v>
      </c>
      <c r="S11889" s="1" t="s">
        <v>34218</v>
      </c>
    </row>
    <row r="11890" spans="1:19" x14ac:dyDescent="0.25">
      <c r="A11890">
        <v>101392385</v>
      </c>
      <c r="B11890" t="s">
        <v>1234</v>
      </c>
      <c r="C11890" t="s">
        <v>1398</v>
      </c>
      <c r="G11890" t="s">
        <v>26201</v>
      </c>
      <c r="H11890" t="s">
        <v>4150</v>
      </c>
      <c r="I11890" t="s">
        <v>365</v>
      </c>
      <c r="J11890">
        <v>85383</v>
      </c>
      <c r="K11890">
        <v>8059</v>
      </c>
      <c r="L11890" t="s">
        <v>23</v>
      </c>
      <c r="M11890" t="s">
        <v>26201</v>
      </c>
      <c r="N11890" t="s">
        <v>4150</v>
      </c>
      <c r="O11890" t="s">
        <v>365</v>
      </c>
      <c r="P11890">
        <v>85383</v>
      </c>
      <c r="Q11890">
        <v>8059</v>
      </c>
      <c r="R11890" t="s">
        <v>23</v>
      </c>
      <c r="S11890" s="1" t="s">
        <v>34218</v>
      </c>
    </row>
    <row r="11891" spans="1:19" x14ac:dyDescent="0.25">
      <c r="A11891">
        <v>101418544</v>
      </c>
      <c r="B11891" t="s">
        <v>1622</v>
      </c>
      <c r="C11891" t="s">
        <v>26202</v>
      </c>
      <c r="G11891" t="s">
        <v>26203</v>
      </c>
      <c r="H11891" t="s">
        <v>7813</v>
      </c>
      <c r="I11891" t="s">
        <v>307</v>
      </c>
      <c r="J11891">
        <v>5403</v>
      </c>
      <c r="K11891">
        <v>7730</v>
      </c>
      <c r="L11891" t="s">
        <v>23</v>
      </c>
      <c r="M11891" t="s">
        <v>26203</v>
      </c>
      <c r="N11891" t="s">
        <v>7813</v>
      </c>
      <c r="O11891" t="s">
        <v>307</v>
      </c>
      <c r="P11891">
        <v>5403</v>
      </c>
      <c r="Q11891">
        <v>7730</v>
      </c>
      <c r="R11891" t="s">
        <v>23</v>
      </c>
      <c r="S11891" s="1" t="s">
        <v>34218</v>
      </c>
    </row>
    <row r="11892" spans="1:19" x14ac:dyDescent="0.25">
      <c r="A11892">
        <v>101427677</v>
      </c>
      <c r="B11892" t="s">
        <v>26204</v>
      </c>
      <c r="C11892" t="s">
        <v>26205</v>
      </c>
      <c r="G11892" t="s">
        <v>26206</v>
      </c>
      <c r="H11892" t="s">
        <v>134</v>
      </c>
      <c r="I11892" t="s">
        <v>135</v>
      </c>
      <c r="J11892">
        <v>60613</v>
      </c>
      <c r="K11892">
        <v>4220</v>
      </c>
      <c r="L11892" t="s">
        <v>23</v>
      </c>
      <c r="M11892" t="s">
        <v>26206</v>
      </c>
      <c r="N11892" t="s">
        <v>134</v>
      </c>
      <c r="O11892" t="s">
        <v>135</v>
      </c>
      <c r="P11892">
        <v>60613</v>
      </c>
      <c r="Q11892">
        <v>4220</v>
      </c>
      <c r="R11892" t="s">
        <v>23</v>
      </c>
      <c r="S11892" s="1" t="s">
        <v>34218</v>
      </c>
    </row>
    <row r="11893" spans="1:19" x14ac:dyDescent="0.25">
      <c r="A11893">
        <v>101456214</v>
      </c>
      <c r="B11893" t="s">
        <v>26207</v>
      </c>
      <c r="C11893" t="s">
        <v>1107</v>
      </c>
      <c r="G11893" t="s">
        <v>26208</v>
      </c>
      <c r="H11893" t="s">
        <v>6185</v>
      </c>
      <c r="I11893" t="s">
        <v>446</v>
      </c>
      <c r="J11893">
        <v>28704</v>
      </c>
      <c r="K11893">
        <v>9692</v>
      </c>
      <c r="L11893" t="s">
        <v>23</v>
      </c>
      <c r="M11893" t="s">
        <v>26208</v>
      </c>
      <c r="N11893" t="s">
        <v>6185</v>
      </c>
      <c r="O11893" t="s">
        <v>446</v>
      </c>
      <c r="P11893">
        <v>28704</v>
      </c>
      <c r="Q11893">
        <v>9692</v>
      </c>
      <c r="R11893" t="s">
        <v>23</v>
      </c>
      <c r="S11893" s="1" t="s">
        <v>34218</v>
      </c>
    </row>
    <row r="11894" spans="1:19" x14ac:dyDescent="0.25">
      <c r="A11894">
        <v>100640385</v>
      </c>
      <c r="B11894" t="s">
        <v>3096</v>
      </c>
      <c r="C11894" t="s">
        <v>1212</v>
      </c>
      <c r="G11894" t="s">
        <v>26209</v>
      </c>
      <c r="H11894" t="s">
        <v>26210</v>
      </c>
      <c r="I11894" t="s">
        <v>117</v>
      </c>
      <c r="J11894">
        <v>14432</v>
      </c>
      <c r="L11894" t="s">
        <v>23</v>
      </c>
      <c r="M11894" t="s">
        <v>26209</v>
      </c>
      <c r="N11894" t="s">
        <v>26210</v>
      </c>
      <c r="O11894" t="s">
        <v>117</v>
      </c>
      <c r="P11894">
        <v>14432</v>
      </c>
      <c r="R11894" t="s">
        <v>23</v>
      </c>
      <c r="S11894" s="1" t="s">
        <v>34218</v>
      </c>
    </row>
    <row r="11895" spans="1:19" x14ac:dyDescent="0.25">
      <c r="A11895">
        <v>101369142</v>
      </c>
      <c r="B11895" t="s">
        <v>1800</v>
      </c>
      <c r="C11895" t="s">
        <v>911</v>
      </c>
      <c r="G11895" t="s">
        <v>26211</v>
      </c>
      <c r="H11895" t="s">
        <v>1538</v>
      </c>
      <c r="I11895" t="s">
        <v>22</v>
      </c>
      <c r="J11895">
        <v>91403</v>
      </c>
      <c r="L11895" t="s">
        <v>23</v>
      </c>
      <c r="M11895" t="s">
        <v>26211</v>
      </c>
      <c r="N11895" t="s">
        <v>1538</v>
      </c>
      <c r="O11895" t="s">
        <v>22</v>
      </c>
      <c r="P11895">
        <v>91403</v>
      </c>
      <c r="R11895" t="s">
        <v>23</v>
      </c>
      <c r="S11895" s="1" t="s">
        <v>34218</v>
      </c>
    </row>
    <row r="11896" spans="1:19" x14ac:dyDescent="0.25">
      <c r="A11896">
        <v>100663180</v>
      </c>
      <c r="B11896" t="s">
        <v>4949</v>
      </c>
      <c r="C11896" t="s">
        <v>3705</v>
      </c>
      <c r="G11896" t="s">
        <v>26212</v>
      </c>
      <c r="H11896" t="s">
        <v>26213</v>
      </c>
      <c r="I11896" t="s">
        <v>117</v>
      </c>
      <c r="J11896">
        <v>11697</v>
      </c>
      <c r="K11896">
        <v>1808</v>
      </c>
      <c r="L11896" t="s">
        <v>23</v>
      </c>
      <c r="M11896" t="s">
        <v>26212</v>
      </c>
      <c r="N11896" t="s">
        <v>26213</v>
      </c>
      <c r="O11896" t="s">
        <v>117</v>
      </c>
      <c r="P11896">
        <v>11697</v>
      </c>
      <c r="Q11896">
        <v>1808</v>
      </c>
      <c r="R11896" t="s">
        <v>23</v>
      </c>
      <c r="S11896" s="1" t="s">
        <v>34218</v>
      </c>
    </row>
    <row r="11897" spans="1:19" x14ac:dyDescent="0.25">
      <c r="A11897">
        <v>101429490</v>
      </c>
      <c r="B11897" t="s">
        <v>26214</v>
      </c>
      <c r="C11897" t="s">
        <v>3954</v>
      </c>
      <c r="G11897" t="s">
        <v>26215</v>
      </c>
      <c r="H11897" t="s">
        <v>14811</v>
      </c>
      <c r="I11897" t="s">
        <v>250</v>
      </c>
      <c r="J11897">
        <v>8205</v>
      </c>
      <c r="K11897">
        <v>3121</v>
      </c>
      <c r="L11897" t="s">
        <v>23</v>
      </c>
      <c r="M11897" t="s">
        <v>26215</v>
      </c>
      <c r="N11897" t="s">
        <v>14811</v>
      </c>
      <c r="O11897" t="s">
        <v>250</v>
      </c>
      <c r="P11897">
        <v>8205</v>
      </c>
      <c r="Q11897">
        <v>3121</v>
      </c>
      <c r="R11897" t="s">
        <v>23</v>
      </c>
      <c r="S11897" s="1" t="s">
        <v>34218</v>
      </c>
    </row>
    <row r="11898" spans="1:19" x14ac:dyDescent="0.25">
      <c r="A11898">
        <v>101439317</v>
      </c>
      <c r="B11898" t="s">
        <v>9212</v>
      </c>
      <c r="C11898" t="s">
        <v>8231</v>
      </c>
      <c r="G11898" t="s">
        <v>26216</v>
      </c>
      <c r="H11898" t="s">
        <v>26217</v>
      </c>
      <c r="I11898" t="s">
        <v>241</v>
      </c>
      <c r="J11898">
        <v>66205</v>
      </c>
      <c r="K11898">
        <v>1620</v>
      </c>
      <c r="L11898" t="s">
        <v>23</v>
      </c>
      <c r="M11898" t="s">
        <v>26216</v>
      </c>
      <c r="N11898" t="s">
        <v>26217</v>
      </c>
      <c r="O11898" t="s">
        <v>241</v>
      </c>
      <c r="P11898">
        <v>66205</v>
      </c>
      <c r="Q11898">
        <v>1620</v>
      </c>
      <c r="R11898" t="s">
        <v>23</v>
      </c>
      <c r="S11898" s="1" t="s">
        <v>34218</v>
      </c>
    </row>
    <row r="11899" spans="1:19" x14ac:dyDescent="0.25">
      <c r="A11899">
        <v>100532512</v>
      </c>
      <c r="B11899" t="s">
        <v>26218</v>
      </c>
      <c r="C11899" t="s">
        <v>40</v>
      </c>
      <c r="G11899" t="s">
        <v>26219</v>
      </c>
      <c r="H11899" t="s">
        <v>1318</v>
      </c>
      <c r="I11899" t="s">
        <v>22</v>
      </c>
      <c r="J11899">
        <v>94598</v>
      </c>
      <c r="K11899">
        <v>3835</v>
      </c>
      <c r="L11899" t="s">
        <v>23</v>
      </c>
      <c r="M11899" t="s">
        <v>26219</v>
      </c>
      <c r="N11899" t="s">
        <v>1318</v>
      </c>
      <c r="O11899" t="s">
        <v>22</v>
      </c>
      <c r="P11899">
        <v>94598</v>
      </c>
      <c r="Q11899">
        <v>3835</v>
      </c>
      <c r="R11899" t="s">
        <v>23</v>
      </c>
      <c r="S11899" s="1" t="s">
        <v>34218</v>
      </c>
    </row>
    <row r="11900" spans="1:19" x14ac:dyDescent="0.25">
      <c r="A11900">
        <v>101456284</v>
      </c>
      <c r="B11900" t="s">
        <v>26220</v>
      </c>
      <c r="C11900" t="s">
        <v>350</v>
      </c>
      <c r="G11900" t="s">
        <v>26221</v>
      </c>
      <c r="H11900" t="s">
        <v>25417</v>
      </c>
      <c r="I11900" t="s">
        <v>117</v>
      </c>
      <c r="J11900">
        <v>12804</v>
      </c>
      <c r="K11900">
        <v>2159</v>
      </c>
      <c r="L11900" t="s">
        <v>23</v>
      </c>
      <c r="M11900" t="s">
        <v>26221</v>
      </c>
      <c r="N11900" t="s">
        <v>25417</v>
      </c>
      <c r="O11900" t="s">
        <v>117</v>
      </c>
      <c r="P11900">
        <v>12804</v>
      </c>
      <c r="Q11900">
        <v>2159</v>
      </c>
      <c r="R11900" t="s">
        <v>23</v>
      </c>
      <c r="S11900" s="1" t="s">
        <v>34218</v>
      </c>
    </row>
    <row r="11901" spans="1:19" x14ac:dyDescent="0.25">
      <c r="A11901">
        <v>101419315</v>
      </c>
      <c r="B11901" t="s">
        <v>26222</v>
      </c>
      <c r="C11901" t="s">
        <v>2741</v>
      </c>
      <c r="G11901" t="s">
        <v>26223</v>
      </c>
      <c r="H11901" t="s">
        <v>4632</v>
      </c>
      <c r="I11901" t="s">
        <v>1097</v>
      </c>
      <c r="J11901">
        <v>42032</v>
      </c>
      <c r="L11901" t="s">
        <v>23</v>
      </c>
      <c r="M11901" t="s">
        <v>26223</v>
      </c>
      <c r="N11901" t="s">
        <v>4632</v>
      </c>
      <c r="O11901" t="s">
        <v>1097</v>
      </c>
      <c r="P11901">
        <v>42032</v>
      </c>
      <c r="R11901" t="s">
        <v>23</v>
      </c>
      <c r="S11901" s="1" t="s">
        <v>34218</v>
      </c>
    </row>
    <row r="11902" spans="1:19" x14ac:dyDescent="0.25">
      <c r="A11902">
        <v>101289702</v>
      </c>
      <c r="B11902" t="s">
        <v>6773</v>
      </c>
      <c r="C11902" t="s">
        <v>25</v>
      </c>
      <c r="G11902" t="s">
        <v>26224</v>
      </c>
      <c r="H11902" t="s">
        <v>2468</v>
      </c>
      <c r="I11902" t="s">
        <v>22</v>
      </c>
      <c r="J11902">
        <v>92085</v>
      </c>
      <c r="K11902">
        <v>2345</v>
      </c>
      <c r="L11902" t="s">
        <v>23</v>
      </c>
      <c r="M11902" t="s">
        <v>26224</v>
      </c>
      <c r="N11902" t="s">
        <v>2468</v>
      </c>
      <c r="O11902" t="s">
        <v>22</v>
      </c>
      <c r="P11902">
        <v>92085</v>
      </c>
      <c r="Q11902">
        <v>2345</v>
      </c>
      <c r="R11902" t="s">
        <v>23</v>
      </c>
      <c r="S11902" s="1" t="s">
        <v>34218</v>
      </c>
    </row>
    <row r="11903" spans="1:19" x14ac:dyDescent="0.25">
      <c r="A11903">
        <v>101353168</v>
      </c>
      <c r="B11903" t="s">
        <v>26225</v>
      </c>
      <c r="C11903" t="s">
        <v>8017</v>
      </c>
      <c r="G11903" t="s">
        <v>26226</v>
      </c>
      <c r="H11903" t="s">
        <v>688</v>
      </c>
      <c r="I11903" t="s">
        <v>117</v>
      </c>
      <c r="J11903">
        <v>14623</v>
      </c>
      <c r="K11903">
        <v>4407</v>
      </c>
      <c r="L11903" t="s">
        <v>23</v>
      </c>
      <c r="M11903" t="s">
        <v>26226</v>
      </c>
      <c r="N11903" t="s">
        <v>688</v>
      </c>
      <c r="O11903" t="s">
        <v>117</v>
      </c>
      <c r="P11903">
        <v>14623</v>
      </c>
      <c r="Q11903">
        <v>4407</v>
      </c>
      <c r="R11903" t="s">
        <v>23</v>
      </c>
      <c r="S11903" s="1" t="s">
        <v>34218</v>
      </c>
    </row>
    <row r="11904" spans="1:19" x14ac:dyDescent="0.25">
      <c r="A11904">
        <v>100614983</v>
      </c>
      <c r="B11904" t="s">
        <v>2074</v>
      </c>
      <c r="C11904" t="s">
        <v>1679</v>
      </c>
      <c r="G11904" t="s">
        <v>26227</v>
      </c>
      <c r="H11904" t="s">
        <v>37</v>
      </c>
      <c r="I11904" t="s">
        <v>702</v>
      </c>
      <c r="J11904">
        <v>89310</v>
      </c>
      <c r="L11904" t="s">
        <v>23</v>
      </c>
      <c r="M11904" t="s">
        <v>26227</v>
      </c>
      <c r="N11904" t="s">
        <v>37</v>
      </c>
      <c r="O11904" t="s">
        <v>702</v>
      </c>
      <c r="P11904">
        <v>89310</v>
      </c>
      <c r="R11904" t="s">
        <v>23</v>
      </c>
      <c r="S11904" s="1" t="s">
        <v>34218</v>
      </c>
    </row>
    <row r="11905" spans="1:19" x14ac:dyDescent="0.25">
      <c r="A11905">
        <v>101456351</v>
      </c>
      <c r="B11905" t="s">
        <v>26228</v>
      </c>
      <c r="C11905" t="s">
        <v>9199</v>
      </c>
      <c r="G11905" t="s">
        <v>26229</v>
      </c>
      <c r="H11905" t="s">
        <v>650</v>
      </c>
      <c r="I11905" t="s">
        <v>22</v>
      </c>
      <c r="J11905">
        <v>95817</v>
      </c>
      <c r="K11905">
        <v>2125</v>
      </c>
      <c r="L11905" t="s">
        <v>23</v>
      </c>
      <c r="M11905" t="s">
        <v>26229</v>
      </c>
      <c r="N11905" t="s">
        <v>650</v>
      </c>
      <c r="O11905" t="s">
        <v>22</v>
      </c>
      <c r="P11905">
        <v>95817</v>
      </c>
      <c r="Q11905">
        <v>2125</v>
      </c>
      <c r="R11905" t="s">
        <v>23</v>
      </c>
      <c r="S11905" s="1" t="s">
        <v>34218</v>
      </c>
    </row>
    <row r="11906" spans="1:19" x14ac:dyDescent="0.25">
      <c r="A11906">
        <v>101354133</v>
      </c>
      <c r="B11906" t="s">
        <v>26230</v>
      </c>
      <c r="C11906" t="s">
        <v>1306</v>
      </c>
      <c r="G11906" t="s">
        <v>26231</v>
      </c>
      <c r="H11906" t="s">
        <v>1579</v>
      </c>
      <c r="I11906" t="s">
        <v>71</v>
      </c>
      <c r="J11906">
        <v>80010</v>
      </c>
      <c r="K11906">
        <v>2508</v>
      </c>
      <c r="L11906" t="s">
        <v>23</v>
      </c>
      <c r="M11906" t="s">
        <v>26231</v>
      </c>
      <c r="N11906" t="s">
        <v>1579</v>
      </c>
      <c r="O11906" t="s">
        <v>71</v>
      </c>
      <c r="P11906">
        <v>80010</v>
      </c>
      <c r="Q11906">
        <v>2508</v>
      </c>
      <c r="R11906" t="s">
        <v>23</v>
      </c>
      <c r="S11906" s="1" t="s">
        <v>34218</v>
      </c>
    </row>
    <row r="11907" spans="1:19" x14ac:dyDescent="0.25">
      <c r="A11907">
        <v>101404916</v>
      </c>
      <c r="B11907" t="s">
        <v>26232</v>
      </c>
      <c r="C11907" t="s">
        <v>26233</v>
      </c>
      <c r="G11907">
        <v>10023</v>
      </c>
      <c r="H11907" t="s">
        <v>653</v>
      </c>
      <c r="I11907" t="s">
        <v>117</v>
      </c>
      <c r="J11907">
        <v>10023</v>
      </c>
      <c r="L11907" t="s">
        <v>23</v>
      </c>
      <c r="M11907">
        <v>10023</v>
      </c>
      <c r="N11907" t="s">
        <v>653</v>
      </c>
      <c r="O11907" t="s">
        <v>117</v>
      </c>
      <c r="P11907">
        <v>10023</v>
      </c>
      <c r="R11907" t="s">
        <v>23</v>
      </c>
      <c r="S11907" s="1" t="s">
        <v>34218</v>
      </c>
    </row>
    <row r="11908" spans="1:19" x14ac:dyDescent="0.25">
      <c r="A11908">
        <v>101448594</v>
      </c>
      <c r="B11908" t="s">
        <v>7626</v>
      </c>
      <c r="C11908" t="s">
        <v>3609</v>
      </c>
      <c r="G11908" t="s">
        <v>12961</v>
      </c>
      <c r="H11908" t="s">
        <v>12962</v>
      </c>
      <c r="I11908" t="s">
        <v>38</v>
      </c>
      <c r="J11908">
        <v>75501</v>
      </c>
      <c r="K11908">
        <v>5865</v>
      </c>
      <c r="L11908" t="s">
        <v>23</v>
      </c>
      <c r="M11908" t="s">
        <v>12961</v>
      </c>
      <c r="N11908" t="s">
        <v>12962</v>
      </c>
      <c r="O11908" t="s">
        <v>38</v>
      </c>
      <c r="P11908">
        <v>75501</v>
      </c>
      <c r="Q11908">
        <v>5865</v>
      </c>
      <c r="R11908" t="s">
        <v>23</v>
      </c>
      <c r="S11908" s="1" t="s">
        <v>34218</v>
      </c>
    </row>
    <row r="11909" spans="1:19" x14ac:dyDescent="0.25">
      <c r="A11909">
        <v>101272554</v>
      </c>
      <c r="B11909" t="s">
        <v>26234</v>
      </c>
      <c r="C11909" t="s">
        <v>123</v>
      </c>
      <c r="G11909" t="s">
        <v>26235</v>
      </c>
      <c r="H11909" t="s">
        <v>14012</v>
      </c>
      <c r="I11909" t="s">
        <v>187</v>
      </c>
      <c r="J11909">
        <v>55987</v>
      </c>
      <c r="K11909">
        <v>5221</v>
      </c>
      <c r="L11909" t="s">
        <v>23</v>
      </c>
      <c r="M11909" t="s">
        <v>26235</v>
      </c>
      <c r="N11909" t="s">
        <v>14012</v>
      </c>
      <c r="O11909" t="s">
        <v>187</v>
      </c>
      <c r="P11909">
        <v>55987</v>
      </c>
      <c r="Q11909">
        <v>5221</v>
      </c>
      <c r="R11909" t="s">
        <v>23</v>
      </c>
      <c r="S11909" s="1" t="s">
        <v>34218</v>
      </c>
    </row>
    <row r="11910" spans="1:19" x14ac:dyDescent="0.25">
      <c r="A11910">
        <v>100527196</v>
      </c>
      <c r="B11910" t="s">
        <v>9164</v>
      </c>
      <c r="C11910" t="s">
        <v>7257</v>
      </c>
      <c r="G11910" t="s">
        <v>26236</v>
      </c>
      <c r="H11910" t="s">
        <v>3571</v>
      </c>
      <c r="I11910" t="s">
        <v>62</v>
      </c>
      <c r="J11910">
        <v>74075</v>
      </c>
      <c r="L11910" t="s">
        <v>23</v>
      </c>
      <c r="M11910" t="s">
        <v>26236</v>
      </c>
      <c r="N11910" t="s">
        <v>3571</v>
      </c>
      <c r="O11910" t="s">
        <v>62</v>
      </c>
      <c r="P11910">
        <v>74075</v>
      </c>
      <c r="R11910" t="s">
        <v>23</v>
      </c>
      <c r="S11910" s="1" t="s">
        <v>34218</v>
      </c>
    </row>
    <row r="11911" spans="1:19" x14ac:dyDescent="0.25">
      <c r="A11911">
        <v>101313427</v>
      </c>
      <c r="B11911" t="s">
        <v>2689</v>
      </c>
      <c r="C11911" t="s">
        <v>172</v>
      </c>
      <c r="G11911" t="s">
        <v>26237</v>
      </c>
      <c r="H11911" t="s">
        <v>638</v>
      </c>
      <c r="I11911" t="s">
        <v>639</v>
      </c>
      <c r="J11911">
        <v>87110</v>
      </c>
      <c r="K11911">
        <v>1806</v>
      </c>
      <c r="L11911" t="s">
        <v>23</v>
      </c>
      <c r="M11911" t="s">
        <v>26237</v>
      </c>
      <c r="N11911" t="s">
        <v>638</v>
      </c>
      <c r="O11911" t="s">
        <v>639</v>
      </c>
      <c r="P11911">
        <v>87110</v>
      </c>
      <c r="Q11911">
        <v>1806</v>
      </c>
      <c r="R11911" t="s">
        <v>23</v>
      </c>
      <c r="S11911" s="1" t="s">
        <v>34218</v>
      </c>
    </row>
    <row r="11912" spans="1:19" x14ac:dyDescent="0.25">
      <c r="A11912">
        <v>100587776</v>
      </c>
      <c r="B11912" t="s">
        <v>26238</v>
      </c>
      <c r="C11912" t="s">
        <v>329</v>
      </c>
      <c r="G11912" t="s">
        <v>26239</v>
      </c>
      <c r="H11912" t="s">
        <v>6616</v>
      </c>
      <c r="I11912" t="s">
        <v>33</v>
      </c>
      <c r="J11912">
        <v>19006</v>
      </c>
      <c r="K11912">
        <v>8106</v>
      </c>
      <c r="L11912" t="s">
        <v>23</v>
      </c>
      <c r="M11912" t="s">
        <v>26239</v>
      </c>
      <c r="N11912" t="s">
        <v>6616</v>
      </c>
      <c r="O11912" t="s">
        <v>33</v>
      </c>
      <c r="P11912">
        <v>19006</v>
      </c>
      <c r="Q11912">
        <v>8106</v>
      </c>
      <c r="R11912" t="s">
        <v>23</v>
      </c>
      <c r="S11912" s="1" t="s">
        <v>34218</v>
      </c>
    </row>
    <row r="11913" spans="1:19" x14ac:dyDescent="0.25">
      <c r="A11913">
        <v>101158843</v>
      </c>
      <c r="B11913" t="s">
        <v>26240</v>
      </c>
      <c r="C11913" t="s">
        <v>26241</v>
      </c>
      <c r="G11913" t="s">
        <v>26242</v>
      </c>
      <c r="H11913" t="s">
        <v>198</v>
      </c>
      <c r="I11913" t="s">
        <v>22</v>
      </c>
      <c r="J11913">
        <v>92104</v>
      </c>
      <c r="K11913">
        <v>2311</v>
      </c>
      <c r="L11913" t="s">
        <v>23</v>
      </c>
      <c r="M11913" t="s">
        <v>26242</v>
      </c>
      <c r="N11913" t="s">
        <v>198</v>
      </c>
      <c r="O11913" t="s">
        <v>22</v>
      </c>
      <c r="P11913">
        <v>92104</v>
      </c>
      <c r="Q11913">
        <v>2311</v>
      </c>
      <c r="R11913" t="s">
        <v>23</v>
      </c>
      <c r="S11913" s="1" t="s">
        <v>34218</v>
      </c>
    </row>
    <row r="11914" spans="1:19" x14ac:dyDescent="0.25">
      <c r="A11914">
        <v>101352013</v>
      </c>
      <c r="B11914" t="s">
        <v>26243</v>
      </c>
      <c r="C11914" t="s">
        <v>26244</v>
      </c>
      <c r="G11914" t="s">
        <v>26245</v>
      </c>
      <c r="H11914" t="s">
        <v>134</v>
      </c>
      <c r="I11914" t="s">
        <v>135</v>
      </c>
      <c r="J11914">
        <v>60637</v>
      </c>
      <c r="K11914">
        <v>2028</v>
      </c>
      <c r="L11914" t="s">
        <v>23</v>
      </c>
      <c r="M11914" t="s">
        <v>26245</v>
      </c>
      <c r="N11914" t="s">
        <v>134</v>
      </c>
      <c r="O11914" t="s">
        <v>135</v>
      </c>
      <c r="P11914">
        <v>60637</v>
      </c>
      <c r="Q11914">
        <v>2028</v>
      </c>
      <c r="R11914" t="s">
        <v>23</v>
      </c>
      <c r="S11914" s="1" t="s">
        <v>34218</v>
      </c>
    </row>
    <row r="11915" spans="1:19" x14ac:dyDescent="0.25">
      <c r="A11915">
        <v>100863406</v>
      </c>
      <c r="B11915" t="s">
        <v>26246</v>
      </c>
      <c r="C11915" t="s">
        <v>45</v>
      </c>
      <c r="G11915" t="s">
        <v>26247</v>
      </c>
      <c r="H11915" t="s">
        <v>26248</v>
      </c>
      <c r="I11915" t="s">
        <v>22</v>
      </c>
      <c r="J11915">
        <v>95223</v>
      </c>
      <c r="K11915">
        <v>4112</v>
      </c>
      <c r="L11915" t="s">
        <v>23</v>
      </c>
      <c r="M11915" t="s">
        <v>26247</v>
      </c>
      <c r="N11915" t="s">
        <v>26248</v>
      </c>
      <c r="O11915" t="s">
        <v>22</v>
      </c>
      <c r="P11915">
        <v>95223</v>
      </c>
      <c r="Q11915">
        <v>4112</v>
      </c>
      <c r="R11915" t="s">
        <v>23</v>
      </c>
      <c r="S11915" s="1" t="s">
        <v>34218</v>
      </c>
    </row>
    <row r="11916" spans="1:19" x14ac:dyDescent="0.25">
      <c r="A11916">
        <v>101430731</v>
      </c>
      <c r="B11916" t="s">
        <v>4696</v>
      </c>
      <c r="C11916" t="s">
        <v>180</v>
      </c>
      <c r="G11916" t="s">
        <v>26249</v>
      </c>
      <c r="H11916" t="s">
        <v>21</v>
      </c>
      <c r="I11916" t="s">
        <v>22</v>
      </c>
      <c r="J11916">
        <v>95404</v>
      </c>
      <c r="K11916">
        <v>5011</v>
      </c>
      <c r="L11916" t="s">
        <v>23</v>
      </c>
      <c r="M11916" t="s">
        <v>26249</v>
      </c>
      <c r="N11916" t="s">
        <v>21</v>
      </c>
      <c r="O11916" t="s">
        <v>22</v>
      </c>
      <c r="P11916">
        <v>95404</v>
      </c>
      <c r="Q11916">
        <v>5011</v>
      </c>
      <c r="R11916" t="s">
        <v>23</v>
      </c>
      <c r="S11916" s="1" t="s">
        <v>34218</v>
      </c>
    </row>
    <row r="11917" spans="1:19" x14ac:dyDescent="0.25">
      <c r="A11917">
        <v>101264848</v>
      </c>
      <c r="B11917" t="s">
        <v>26250</v>
      </c>
      <c r="C11917" t="s">
        <v>1350</v>
      </c>
      <c r="G11917" t="s">
        <v>26251</v>
      </c>
      <c r="H11917" t="s">
        <v>573</v>
      </c>
      <c r="I11917" t="s">
        <v>33</v>
      </c>
      <c r="J11917">
        <v>19119</v>
      </c>
      <c r="K11917">
        <v>1830</v>
      </c>
      <c r="L11917" t="s">
        <v>23</v>
      </c>
      <c r="M11917" t="s">
        <v>26251</v>
      </c>
      <c r="N11917" t="s">
        <v>573</v>
      </c>
      <c r="O11917" t="s">
        <v>33</v>
      </c>
      <c r="P11917">
        <v>19119</v>
      </c>
      <c r="Q11917">
        <v>1830</v>
      </c>
      <c r="R11917" t="s">
        <v>23</v>
      </c>
      <c r="S11917" s="1" t="s">
        <v>34218</v>
      </c>
    </row>
    <row r="11918" spans="1:19" x14ac:dyDescent="0.25">
      <c r="A11918">
        <v>101284228</v>
      </c>
      <c r="B11918" t="s">
        <v>26252</v>
      </c>
      <c r="C11918" t="s">
        <v>123</v>
      </c>
      <c r="G11918" t="s">
        <v>26253</v>
      </c>
      <c r="H11918" t="s">
        <v>638</v>
      </c>
      <c r="I11918" t="s">
        <v>639</v>
      </c>
      <c r="J11918">
        <v>87111</v>
      </c>
      <c r="K11918">
        <v>5050</v>
      </c>
      <c r="L11918" t="s">
        <v>23</v>
      </c>
      <c r="M11918" t="s">
        <v>26253</v>
      </c>
      <c r="N11918" t="s">
        <v>638</v>
      </c>
      <c r="O11918" t="s">
        <v>639</v>
      </c>
      <c r="P11918">
        <v>87111</v>
      </c>
      <c r="Q11918">
        <v>5050</v>
      </c>
      <c r="R11918" t="s">
        <v>23</v>
      </c>
      <c r="S11918" s="1" t="s">
        <v>34218</v>
      </c>
    </row>
    <row r="11919" spans="1:19" x14ac:dyDescent="0.25">
      <c r="A11919">
        <v>101296530</v>
      </c>
      <c r="B11919" t="s">
        <v>26254</v>
      </c>
      <c r="C11919" t="s">
        <v>4427</v>
      </c>
      <c r="G11919" t="s">
        <v>26255</v>
      </c>
      <c r="H11919" t="s">
        <v>26256</v>
      </c>
      <c r="I11919" t="s">
        <v>203</v>
      </c>
      <c r="J11919">
        <v>82072</v>
      </c>
      <c r="K11919">
        <v>9524</v>
      </c>
      <c r="L11919" t="s">
        <v>23</v>
      </c>
      <c r="M11919" t="s">
        <v>26255</v>
      </c>
      <c r="N11919" t="s">
        <v>26256</v>
      </c>
      <c r="O11919" t="s">
        <v>203</v>
      </c>
      <c r="P11919">
        <v>82072</v>
      </c>
      <c r="Q11919">
        <v>9524</v>
      </c>
      <c r="R11919" t="s">
        <v>23</v>
      </c>
      <c r="S11919" s="1" t="s">
        <v>34218</v>
      </c>
    </row>
    <row r="11920" spans="1:19" x14ac:dyDescent="0.25">
      <c r="A11920">
        <v>100524872</v>
      </c>
      <c r="B11920" t="s">
        <v>734</v>
      </c>
      <c r="C11920" t="s">
        <v>26257</v>
      </c>
      <c r="G11920" t="s">
        <v>26258</v>
      </c>
      <c r="H11920" t="s">
        <v>9651</v>
      </c>
      <c r="I11920" t="s">
        <v>52</v>
      </c>
      <c r="J11920">
        <v>33141</v>
      </c>
      <c r="K11920">
        <v>2820</v>
      </c>
      <c r="L11920" t="s">
        <v>23</v>
      </c>
      <c r="M11920" t="s">
        <v>26258</v>
      </c>
      <c r="N11920" t="s">
        <v>9651</v>
      </c>
      <c r="O11920" t="s">
        <v>52</v>
      </c>
      <c r="P11920">
        <v>33141</v>
      </c>
      <c r="Q11920">
        <v>2820</v>
      </c>
      <c r="R11920" t="s">
        <v>23</v>
      </c>
      <c r="S11920" s="1" t="s">
        <v>34218</v>
      </c>
    </row>
    <row r="11921" spans="1:19" x14ac:dyDescent="0.25">
      <c r="A11921">
        <v>101310115</v>
      </c>
      <c r="B11921" t="s">
        <v>26259</v>
      </c>
      <c r="C11921" t="s">
        <v>286</v>
      </c>
      <c r="G11921" t="s">
        <v>26260</v>
      </c>
      <c r="H11921" t="s">
        <v>2594</v>
      </c>
      <c r="I11921" t="s">
        <v>22</v>
      </c>
      <c r="J11921">
        <v>91390</v>
      </c>
      <c r="K11921">
        <v>4665</v>
      </c>
      <c r="L11921" t="s">
        <v>23</v>
      </c>
      <c r="M11921" t="s">
        <v>26260</v>
      </c>
      <c r="N11921" t="s">
        <v>2594</v>
      </c>
      <c r="O11921" t="s">
        <v>22</v>
      </c>
      <c r="P11921">
        <v>91390</v>
      </c>
      <c r="Q11921">
        <v>4665</v>
      </c>
      <c r="R11921" t="s">
        <v>23</v>
      </c>
      <c r="S11921" s="1" t="s">
        <v>34218</v>
      </c>
    </row>
    <row r="11922" spans="1:19" x14ac:dyDescent="0.25">
      <c r="A11922">
        <v>100545125</v>
      </c>
      <c r="B11922" t="s">
        <v>26261</v>
      </c>
      <c r="C11922" t="s">
        <v>4956</v>
      </c>
      <c r="G11922" t="s">
        <v>26262</v>
      </c>
      <c r="H11922" t="s">
        <v>2279</v>
      </c>
      <c r="I11922" t="s">
        <v>52</v>
      </c>
      <c r="J11922">
        <v>33615</v>
      </c>
      <c r="L11922" t="s">
        <v>23</v>
      </c>
      <c r="M11922" t="s">
        <v>26262</v>
      </c>
      <c r="N11922" t="s">
        <v>2279</v>
      </c>
      <c r="O11922" t="s">
        <v>52</v>
      </c>
      <c r="P11922">
        <v>33615</v>
      </c>
      <c r="R11922" t="s">
        <v>23</v>
      </c>
      <c r="S11922" s="1" t="s">
        <v>34218</v>
      </c>
    </row>
    <row r="11923" spans="1:19" x14ac:dyDescent="0.25">
      <c r="A11923">
        <v>101427146</v>
      </c>
      <c r="B11923" t="s">
        <v>208</v>
      </c>
      <c r="C11923" t="s">
        <v>8352</v>
      </c>
      <c r="G11923" t="s">
        <v>26263</v>
      </c>
      <c r="H11923" t="s">
        <v>2769</v>
      </c>
      <c r="I11923" t="s">
        <v>52</v>
      </c>
      <c r="J11923">
        <v>34113</v>
      </c>
      <c r="K11923">
        <v>3340</v>
      </c>
      <c r="L11923" t="s">
        <v>23</v>
      </c>
      <c r="M11923" t="s">
        <v>26263</v>
      </c>
      <c r="N11923" t="s">
        <v>2769</v>
      </c>
      <c r="O11923" t="s">
        <v>52</v>
      </c>
      <c r="P11923">
        <v>34113</v>
      </c>
      <c r="Q11923">
        <v>3340</v>
      </c>
      <c r="R11923" t="s">
        <v>23</v>
      </c>
      <c r="S11923" s="1" t="s">
        <v>34218</v>
      </c>
    </row>
    <row r="11924" spans="1:19" x14ac:dyDescent="0.25">
      <c r="A11924">
        <v>101426348</v>
      </c>
      <c r="B11924" t="s">
        <v>1164</v>
      </c>
      <c r="C11924" t="s">
        <v>274</v>
      </c>
      <c r="G11924" t="s">
        <v>26264</v>
      </c>
      <c r="H11924" t="s">
        <v>34</v>
      </c>
      <c r="I11924" t="s">
        <v>565</v>
      </c>
      <c r="J11924">
        <v>50055</v>
      </c>
      <c r="K11924">
        <v>8054</v>
      </c>
      <c r="L11924" t="s">
        <v>23</v>
      </c>
      <c r="M11924" t="s">
        <v>26264</v>
      </c>
      <c r="N11924" t="s">
        <v>34</v>
      </c>
      <c r="O11924" t="s">
        <v>565</v>
      </c>
      <c r="P11924">
        <v>50055</v>
      </c>
      <c r="Q11924">
        <v>8054</v>
      </c>
      <c r="R11924" t="s">
        <v>23</v>
      </c>
      <c r="S11924" s="1" t="s">
        <v>34218</v>
      </c>
    </row>
    <row r="11925" spans="1:19" x14ac:dyDescent="0.25">
      <c r="A11925">
        <v>101281991</v>
      </c>
      <c r="B11925" t="s">
        <v>26265</v>
      </c>
      <c r="C11925" t="s">
        <v>26266</v>
      </c>
      <c r="G11925" t="s">
        <v>26267</v>
      </c>
      <c r="H11925" t="s">
        <v>2948</v>
      </c>
      <c r="I11925" t="s">
        <v>22</v>
      </c>
      <c r="J11925">
        <v>91912</v>
      </c>
      <c r="K11925">
        <v>1754</v>
      </c>
      <c r="L11925" t="s">
        <v>23</v>
      </c>
      <c r="M11925" t="s">
        <v>26267</v>
      </c>
      <c r="N11925" t="s">
        <v>2948</v>
      </c>
      <c r="O11925" t="s">
        <v>22</v>
      </c>
      <c r="P11925">
        <v>91912</v>
      </c>
      <c r="Q11925">
        <v>1754</v>
      </c>
      <c r="R11925" t="s">
        <v>23</v>
      </c>
      <c r="S11925" s="1" t="s">
        <v>34218</v>
      </c>
    </row>
    <row r="11926" spans="1:19" x14ac:dyDescent="0.25">
      <c r="A11926">
        <v>101456616</v>
      </c>
      <c r="B11926" t="s">
        <v>205</v>
      </c>
      <c r="C11926" t="s">
        <v>26268</v>
      </c>
      <c r="G11926" t="s">
        <v>26269</v>
      </c>
      <c r="H11926" t="s">
        <v>8366</v>
      </c>
      <c r="I11926" t="s">
        <v>250</v>
      </c>
      <c r="J11926">
        <v>7054</v>
      </c>
      <c r="K11926">
        <v>1717</v>
      </c>
      <c r="L11926" t="s">
        <v>23</v>
      </c>
      <c r="M11926" t="s">
        <v>26269</v>
      </c>
      <c r="N11926" t="s">
        <v>8366</v>
      </c>
      <c r="O11926" t="s">
        <v>250</v>
      </c>
      <c r="P11926">
        <v>7054</v>
      </c>
      <c r="Q11926">
        <v>1717</v>
      </c>
      <c r="R11926" t="s">
        <v>23</v>
      </c>
      <c r="S11926" s="1" t="s">
        <v>34218</v>
      </c>
    </row>
    <row r="11927" spans="1:19" x14ac:dyDescent="0.25">
      <c r="A11927">
        <v>101229023</v>
      </c>
      <c r="B11927" t="s">
        <v>7215</v>
      </c>
      <c r="C11927" t="s">
        <v>644</v>
      </c>
      <c r="G11927" t="s">
        <v>26270</v>
      </c>
      <c r="H11927" t="s">
        <v>254</v>
      </c>
      <c r="I11927" t="s">
        <v>255</v>
      </c>
      <c r="J11927" t="s">
        <v>26271</v>
      </c>
      <c r="K11927">
        <v>8654</v>
      </c>
      <c r="L11927" t="s">
        <v>23</v>
      </c>
      <c r="M11927" t="s">
        <v>26270</v>
      </c>
      <c r="N11927" t="s">
        <v>254</v>
      </c>
      <c r="O11927" t="s">
        <v>255</v>
      </c>
      <c r="P11927" t="s">
        <v>26271</v>
      </c>
      <c r="Q11927">
        <v>8654</v>
      </c>
      <c r="R11927" t="s">
        <v>23</v>
      </c>
      <c r="S11927" s="1" t="s">
        <v>34218</v>
      </c>
    </row>
    <row r="11928" spans="1:19" x14ac:dyDescent="0.25">
      <c r="A11928">
        <v>101472653</v>
      </c>
      <c r="B11928" t="s">
        <v>21761</v>
      </c>
      <c r="C11928" t="s">
        <v>26272</v>
      </c>
      <c r="G11928" t="s">
        <v>26273</v>
      </c>
      <c r="H11928" t="s">
        <v>299</v>
      </c>
      <c r="I11928" t="s">
        <v>22</v>
      </c>
      <c r="J11928">
        <v>90031</v>
      </c>
      <c r="K11928">
        <v>1448</v>
      </c>
      <c r="L11928" t="s">
        <v>23</v>
      </c>
      <c r="M11928" t="s">
        <v>26273</v>
      </c>
      <c r="N11928" t="s">
        <v>299</v>
      </c>
      <c r="O11928" t="s">
        <v>22</v>
      </c>
      <c r="P11928">
        <v>90031</v>
      </c>
      <c r="Q11928">
        <v>1448</v>
      </c>
      <c r="R11928" t="s">
        <v>23</v>
      </c>
      <c r="S11928" s="1" t="s">
        <v>34218</v>
      </c>
    </row>
    <row r="11929" spans="1:19" x14ac:dyDescent="0.25">
      <c r="A11929">
        <v>101472667</v>
      </c>
      <c r="B11929" t="s">
        <v>22475</v>
      </c>
      <c r="C11929" t="s">
        <v>621</v>
      </c>
      <c r="G11929" t="s">
        <v>26274</v>
      </c>
      <c r="H11929" t="s">
        <v>3635</v>
      </c>
      <c r="I11929" t="s">
        <v>43</v>
      </c>
      <c r="J11929">
        <v>97131</v>
      </c>
      <c r="L11929" t="s">
        <v>23</v>
      </c>
      <c r="M11929" t="s">
        <v>26274</v>
      </c>
      <c r="N11929" t="s">
        <v>3635</v>
      </c>
      <c r="O11929" t="s">
        <v>43</v>
      </c>
      <c r="P11929">
        <v>97131</v>
      </c>
      <c r="R11929" t="s">
        <v>23</v>
      </c>
      <c r="S11929" s="1" t="s">
        <v>34218</v>
      </c>
    </row>
    <row r="11930" spans="1:19" x14ac:dyDescent="0.25">
      <c r="A11930">
        <v>101453667</v>
      </c>
      <c r="B11930" t="s">
        <v>1581</v>
      </c>
      <c r="C11930" t="s">
        <v>274</v>
      </c>
      <c r="G11930" t="s">
        <v>26275</v>
      </c>
      <c r="H11930" t="s">
        <v>2086</v>
      </c>
      <c r="I11930" t="s">
        <v>178</v>
      </c>
      <c r="J11930">
        <v>45244</v>
      </c>
      <c r="K11930">
        <v>3284</v>
      </c>
      <c r="L11930" t="s">
        <v>23</v>
      </c>
      <c r="M11930" t="s">
        <v>26275</v>
      </c>
      <c r="N11930" t="s">
        <v>2086</v>
      </c>
      <c r="O11930" t="s">
        <v>178</v>
      </c>
      <c r="P11930">
        <v>45244</v>
      </c>
      <c r="Q11930">
        <v>3284</v>
      </c>
      <c r="R11930" t="s">
        <v>23</v>
      </c>
      <c r="S11930" s="1" t="s">
        <v>34218</v>
      </c>
    </row>
    <row r="11931" spans="1:19" x14ac:dyDescent="0.25">
      <c r="A11931">
        <v>101420623</v>
      </c>
      <c r="B11931" t="s">
        <v>26276</v>
      </c>
      <c r="C11931" t="s">
        <v>1306</v>
      </c>
      <c r="G11931" t="s">
        <v>8818</v>
      </c>
      <c r="H11931" t="s">
        <v>481</v>
      </c>
      <c r="I11931" t="s">
        <v>22</v>
      </c>
      <c r="J11931">
        <v>95129</v>
      </c>
      <c r="K11931">
        <v>4132</v>
      </c>
      <c r="L11931" t="s">
        <v>23</v>
      </c>
      <c r="M11931" t="s">
        <v>8818</v>
      </c>
      <c r="N11931" t="s">
        <v>481</v>
      </c>
      <c r="O11931" t="s">
        <v>22</v>
      </c>
      <c r="P11931">
        <v>95129</v>
      </c>
      <c r="Q11931">
        <v>4132</v>
      </c>
      <c r="R11931" t="s">
        <v>23</v>
      </c>
      <c r="S11931" s="1" t="s">
        <v>34218</v>
      </c>
    </row>
    <row r="11932" spans="1:19" x14ac:dyDescent="0.25">
      <c r="A11932">
        <v>100793064</v>
      </c>
      <c r="B11932" t="s">
        <v>26277</v>
      </c>
      <c r="C11932" t="s">
        <v>3609</v>
      </c>
      <c r="G11932" t="s">
        <v>26278</v>
      </c>
      <c r="H11932" t="s">
        <v>88</v>
      </c>
      <c r="I11932" t="s">
        <v>22</v>
      </c>
      <c r="J11932">
        <v>94618</v>
      </c>
      <c r="L11932" t="s">
        <v>23</v>
      </c>
      <c r="M11932" t="s">
        <v>26278</v>
      </c>
      <c r="N11932" t="s">
        <v>88</v>
      </c>
      <c r="O11932" t="s">
        <v>22</v>
      </c>
      <c r="P11932">
        <v>94618</v>
      </c>
      <c r="R11932" t="s">
        <v>23</v>
      </c>
      <c r="S11932" s="1" t="s">
        <v>34218</v>
      </c>
    </row>
    <row r="11933" spans="1:19" x14ac:dyDescent="0.25">
      <c r="A11933">
        <v>100898866</v>
      </c>
      <c r="B11933" t="s">
        <v>1671</v>
      </c>
      <c r="C11933" t="s">
        <v>1859</v>
      </c>
      <c r="G11933" t="s">
        <v>26279</v>
      </c>
      <c r="H11933" t="s">
        <v>4732</v>
      </c>
      <c r="I11933" t="s">
        <v>148</v>
      </c>
      <c r="J11933">
        <v>20781</v>
      </c>
      <c r="K11933">
        <v>1716</v>
      </c>
      <c r="L11933" t="s">
        <v>23</v>
      </c>
      <c r="M11933" t="s">
        <v>26279</v>
      </c>
      <c r="N11933" t="s">
        <v>4732</v>
      </c>
      <c r="O11933" t="s">
        <v>148</v>
      </c>
      <c r="P11933">
        <v>20781</v>
      </c>
      <c r="Q11933">
        <v>1716</v>
      </c>
      <c r="R11933" t="s">
        <v>23</v>
      </c>
      <c r="S11933" s="1" t="s">
        <v>34218</v>
      </c>
    </row>
    <row r="11934" spans="1:19" x14ac:dyDescent="0.25">
      <c r="A11934">
        <v>101464637</v>
      </c>
      <c r="B11934" t="s">
        <v>13917</v>
      </c>
      <c r="C11934" t="s">
        <v>1588</v>
      </c>
      <c r="G11934" t="s">
        <v>26280</v>
      </c>
      <c r="H11934" t="s">
        <v>202</v>
      </c>
      <c r="I11934" t="s">
        <v>117</v>
      </c>
      <c r="J11934">
        <v>14217</v>
      </c>
      <c r="K11934">
        <v>2802</v>
      </c>
      <c r="L11934" t="s">
        <v>23</v>
      </c>
      <c r="M11934" t="s">
        <v>26280</v>
      </c>
      <c r="N11934" t="s">
        <v>202</v>
      </c>
      <c r="O11934" t="s">
        <v>117</v>
      </c>
      <c r="P11934">
        <v>14217</v>
      </c>
      <c r="Q11934">
        <v>2802</v>
      </c>
      <c r="R11934" t="s">
        <v>23</v>
      </c>
      <c r="S11934" s="1" t="s">
        <v>34218</v>
      </c>
    </row>
    <row r="11935" spans="1:19" x14ac:dyDescent="0.25">
      <c r="A11935">
        <v>101402755</v>
      </c>
      <c r="B11935" t="s">
        <v>26281</v>
      </c>
      <c r="C11935" t="s">
        <v>2447</v>
      </c>
      <c r="G11935" t="s">
        <v>26282</v>
      </c>
      <c r="H11935" t="s">
        <v>2031</v>
      </c>
      <c r="I11935" t="s">
        <v>22</v>
      </c>
      <c r="J11935">
        <v>94062</v>
      </c>
      <c r="K11935">
        <v>2830</v>
      </c>
      <c r="L11935" t="s">
        <v>23</v>
      </c>
      <c r="M11935" t="s">
        <v>26282</v>
      </c>
      <c r="N11935" t="s">
        <v>2031</v>
      </c>
      <c r="O11935" t="s">
        <v>22</v>
      </c>
      <c r="P11935">
        <v>94062</v>
      </c>
      <c r="Q11935">
        <v>2830</v>
      </c>
      <c r="R11935" t="s">
        <v>23</v>
      </c>
      <c r="S11935" s="1" t="s">
        <v>34218</v>
      </c>
    </row>
    <row r="11936" spans="1:19" x14ac:dyDescent="0.25">
      <c r="A11936">
        <v>101424513</v>
      </c>
      <c r="B11936" t="s">
        <v>26283</v>
      </c>
      <c r="C11936" t="s">
        <v>68</v>
      </c>
      <c r="G11936" t="s">
        <v>26284</v>
      </c>
      <c r="H11936" t="s">
        <v>1863</v>
      </c>
      <c r="I11936" t="s">
        <v>126</v>
      </c>
      <c r="J11936">
        <v>64124</v>
      </c>
      <c r="K11936">
        <v>1918</v>
      </c>
      <c r="L11936" t="s">
        <v>23</v>
      </c>
      <c r="M11936" t="s">
        <v>26284</v>
      </c>
      <c r="N11936" t="s">
        <v>1863</v>
      </c>
      <c r="O11936" t="s">
        <v>126</v>
      </c>
      <c r="P11936">
        <v>64124</v>
      </c>
      <c r="Q11936">
        <v>1918</v>
      </c>
      <c r="R11936" t="s">
        <v>23</v>
      </c>
      <c r="S11936" s="1" t="s">
        <v>34218</v>
      </c>
    </row>
    <row r="11937" spans="1:19" x14ac:dyDescent="0.25">
      <c r="A11937">
        <v>101410745</v>
      </c>
      <c r="B11937" t="s">
        <v>3187</v>
      </c>
      <c r="C11937" t="s">
        <v>1828</v>
      </c>
      <c r="G11937" t="s">
        <v>26285</v>
      </c>
      <c r="H11937" t="s">
        <v>1861</v>
      </c>
      <c r="I11937" t="s">
        <v>22</v>
      </c>
      <c r="J11937">
        <v>94530</v>
      </c>
      <c r="K11937">
        <v>2544</v>
      </c>
      <c r="L11937" t="s">
        <v>23</v>
      </c>
      <c r="M11937" t="s">
        <v>26285</v>
      </c>
      <c r="N11937" t="s">
        <v>1861</v>
      </c>
      <c r="O11937" t="s">
        <v>22</v>
      </c>
      <c r="P11937">
        <v>94530</v>
      </c>
      <c r="Q11937">
        <v>2544</v>
      </c>
      <c r="R11937" t="s">
        <v>23</v>
      </c>
      <c r="S11937" s="1" t="s">
        <v>34218</v>
      </c>
    </row>
    <row r="11938" spans="1:19" x14ac:dyDescent="0.25">
      <c r="A11938">
        <v>101421638</v>
      </c>
      <c r="B11938" t="s">
        <v>26286</v>
      </c>
      <c r="C11938" t="s">
        <v>26287</v>
      </c>
      <c r="G11938" t="s">
        <v>26288</v>
      </c>
      <c r="H11938" t="s">
        <v>299</v>
      </c>
      <c r="I11938" t="s">
        <v>22</v>
      </c>
      <c r="J11938">
        <v>90066</v>
      </c>
      <c r="K11938">
        <v>4853</v>
      </c>
      <c r="L11938" t="s">
        <v>23</v>
      </c>
      <c r="M11938" t="s">
        <v>26288</v>
      </c>
      <c r="N11938" t="s">
        <v>299</v>
      </c>
      <c r="O11938" t="s">
        <v>22</v>
      </c>
      <c r="P11938">
        <v>90066</v>
      </c>
      <c r="Q11938">
        <v>4853</v>
      </c>
      <c r="R11938" t="s">
        <v>23</v>
      </c>
      <c r="S11938" s="1" t="s">
        <v>34218</v>
      </c>
    </row>
    <row r="11939" spans="1:19" x14ac:dyDescent="0.25">
      <c r="A11939">
        <v>101350432</v>
      </c>
      <c r="B11939" t="s">
        <v>26289</v>
      </c>
      <c r="C11939" t="s">
        <v>10665</v>
      </c>
      <c r="G11939" t="s">
        <v>26290</v>
      </c>
      <c r="H11939" t="s">
        <v>3481</v>
      </c>
      <c r="I11939" t="s">
        <v>140</v>
      </c>
      <c r="J11939">
        <v>49686</v>
      </c>
      <c r="K11939">
        <v>3446</v>
      </c>
      <c r="L11939" t="s">
        <v>23</v>
      </c>
      <c r="M11939" t="s">
        <v>26290</v>
      </c>
      <c r="N11939" t="s">
        <v>3481</v>
      </c>
      <c r="O11939" t="s">
        <v>140</v>
      </c>
      <c r="P11939">
        <v>49686</v>
      </c>
      <c r="Q11939">
        <v>3446</v>
      </c>
      <c r="R11939" t="s">
        <v>23</v>
      </c>
      <c r="S11939" s="1" t="s">
        <v>34218</v>
      </c>
    </row>
    <row r="11940" spans="1:19" x14ac:dyDescent="0.25">
      <c r="A11940">
        <v>100986475</v>
      </c>
      <c r="B11940" t="s">
        <v>26291</v>
      </c>
      <c r="C11940" t="s">
        <v>5274</v>
      </c>
      <c r="G11940" t="s">
        <v>26292</v>
      </c>
      <c r="H11940" t="s">
        <v>227</v>
      </c>
      <c r="I11940" t="s">
        <v>43</v>
      </c>
      <c r="J11940">
        <v>97231</v>
      </c>
      <c r="K11940">
        <v>1921</v>
      </c>
      <c r="L11940" t="s">
        <v>23</v>
      </c>
      <c r="M11940" t="s">
        <v>26292</v>
      </c>
      <c r="N11940" t="s">
        <v>227</v>
      </c>
      <c r="O11940" t="s">
        <v>43</v>
      </c>
      <c r="P11940">
        <v>97231</v>
      </c>
      <c r="Q11940">
        <v>1921</v>
      </c>
      <c r="R11940" t="s">
        <v>23</v>
      </c>
      <c r="S11940" s="1" t="s">
        <v>34218</v>
      </c>
    </row>
    <row r="11941" spans="1:19" x14ac:dyDescent="0.25">
      <c r="A11941">
        <v>101424667</v>
      </c>
      <c r="B11941" t="s">
        <v>26293</v>
      </c>
      <c r="C11941" t="s">
        <v>225</v>
      </c>
      <c r="G11941" t="s">
        <v>26294</v>
      </c>
      <c r="H11941" t="s">
        <v>134</v>
      </c>
      <c r="I11941" t="s">
        <v>135</v>
      </c>
      <c r="J11941">
        <v>60630</v>
      </c>
      <c r="K11941">
        <v>1037</v>
      </c>
      <c r="L11941" t="s">
        <v>23</v>
      </c>
      <c r="M11941" t="s">
        <v>26294</v>
      </c>
      <c r="N11941" t="s">
        <v>134</v>
      </c>
      <c r="O11941" t="s">
        <v>135</v>
      </c>
      <c r="P11941">
        <v>60630</v>
      </c>
      <c r="Q11941">
        <v>1037</v>
      </c>
      <c r="R11941" t="s">
        <v>23</v>
      </c>
      <c r="S11941" s="1" t="s">
        <v>34218</v>
      </c>
    </row>
    <row r="11942" spans="1:19" x14ac:dyDescent="0.25">
      <c r="A11942">
        <v>100784913</v>
      </c>
      <c r="B11942" t="s">
        <v>26295</v>
      </c>
      <c r="C11942" t="s">
        <v>498</v>
      </c>
      <c r="F11942" t="str">
        <f>"6168461956"</f>
        <v>6168461956</v>
      </c>
      <c r="H11942" t="s">
        <v>26296</v>
      </c>
      <c r="I11942" t="s">
        <v>140</v>
      </c>
      <c r="J11942">
        <v>49470</v>
      </c>
      <c r="L11942" t="s">
        <v>23</v>
      </c>
      <c r="N11942" t="s">
        <v>26296</v>
      </c>
      <c r="O11942" t="s">
        <v>140</v>
      </c>
      <c r="P11942">
        <v>49470</v>
      </c>
      <c r="R11942" t="s">
        <v>23</v>
      </c>
      <c r="S11942" s="1" t="s">
        <v>34218</v>
      </c>
    </row>
    <row r="11943" spans="1:19" x14ac:dyDescent="0.25">
      <c r="A11943">
        <v>101318025</v>
      </c>
      <c r="B11943" t="s">
        <v>11184</v>
      </c>
      <c r="C11943" t="s">
        <v>613</v>
      </c>
      <c r="G11943" t="s">
        <v>26297</v>
      </c>
      <c r="H11943" t="s">
        <v>389</v>
      </c>
      <c r="I11943" t="s">
        <v>100</v>
      </c>
      <c r="J11943">
        <v>53202</v>
      </c>
      <c r="K11943">
        <v>3944</v>
      </c>
      <c r="L11943" t="s">
        <v>23</v>
      </c>
      <c r="M11943" t="s">
        <v>26297</v>
      </c>
      <c r="N11943" t="s">
        <v>389</v>
      </c>
      <c r="O11943" t="s">
        <v>100</v>
      </c>
      <c r="P11943">
        <v>53202</v>
      </c>
      <c r="Q11943">
        <v>3944</v>
      </c>
      <c r="R11943" t="s">
        <v>23</v>
      </c>
      <c r="S11943" s="1" t="s">
        <v>34218</v>
      </c>
    </row>
    <row r="11944" spans="1:19" x14ac:dyDescent="0.25">
      <c r="A11944">
        <v>101109209</v>
      </c>
      <c r="B11944" t="s">
        <v>26298</v>
      </c>
      <c r="C11944" t="s">
        <v>26299</v>
      </c>
      <c r="G11944" t="s">
        <v>26300</v>
      </c>
      <c r="H11944" t="s">
        <v>1626</v>
      </c>
      <c r="I11944" t="s">
        <v>702</v>
      </c>
      <c r="J11944">
        <v>89434</v>
      </c>
      <c r="K11944">
        <v>5808</v>
      </c>
      <c r="L11944" t="s">
        <v>23</v>
      </c>
      <c r="M11944" t="s">
        <v>26300</v>
      </c>
      <c r="N11944" t="s">
        <v>1626</v>
      </c>
      <c r="O11944" t="s">
        <v>702</v>
      </c>
      <c r="P11944">
        <v>89434</v>
      </c>
      <c r="Q11944">
        <v>5808</v>
      </c>
      <c r="R11944" t="s">
        <v>23</v>
      </c>
      <c r="S11944" s="1" t="s">
        <v>34218</v>
      </c>
    </row>
    <row r="11945" spans="1:19" x14ac:dyDescent="0.25">
      <c r="A11945">
        <v>100861531</v>
      </c>
      <c r="B11945" t="s">
        <v>6873</v>
      </c>
      <c r="C11945" t="s">
        <v>1218</v>
      </c>
      <c r="G11945" t="s">
        <v>26301</v>
      </c>
      <c r="H11945" t="s">
        <v>602</v>
      </c>
      <c r="I11945" t="s">
        <v>22</v>
      </c>
      <c r="J11945">
        <v>92683</v>
      </c>
      <c r="K11945">
        <v>8506</v>
      </c>
      <c r="L11945" t="s">
        <v>23</v>
      </c>
      <c r="M11945" t="s">
        <v>26301</v>
      </c>
      <c r="N11945" t="s">
        <v>602</v>
      </c>
      <c r="O11945" t="s">
        <v>22</v>
      </c>
      <c r="P11945">
        <v>92683</v>
      </c>
      <c r="Q11945">
        <v>8506</v>
      </c>
      <c r="R11945" t="s">
        <v>23</v>
      </c>
      <c r="S11945" s="1" t="s">
        <v>34218</v>
      </c>
    </row>
    <row r="11946" spans="1:19" x14ac:dyDescent="0.25">
      <c r="A11946">
        <v>100805075</v>
      </c>
      <c r="B11946" t="s">
        <v>3590</v>
      </c>
      <c r="C11946" t="s">
        <v>7626</v>
      </c>
      <c r="G11946">
        <v>3</v>
      </c>
      <c r="H11946" t="s">
        <v>4486</v>
      </c>
      <c r="I11946" t="s">
        <v>307</v>
      </c>
      <c r="J11946">
        <v>5089</v>
      </c>
      <c r="L11946" t="s">
        <v>23</v>
      </c>
      <c r="M11946">
        <v>3</v>
      </c>
      <c r="N11946" t="s">
        <v>4486</v>
      </c>
      <c r="O11946" t="s">
        <v>307</v>
      </c>
      <c r="P11946">
        <v>5089</v>
      </c>
      <c r="R11946" t="s">
        <v>23</v>
      </c>
      <c r="S11946" s="1" t="s">
        <v>34218</v>
      </c>
    </row>
    <row r="11947" spans="1:19" x14ac:dyDescent="0.25">
      <c r="A11947">
        <v>101415826</v>
      </c>
      <c r="B11947" t="s">
        <v>26302</v>
      </c>
      <c r="C11947" t="s">
        <v>9199</v>
      </c>
      <c r="G11947" t="s">
        <v>26303</v>
      </c>
      <c r="H11947" t="s">
        <v>7045</v>
      </c>
      <c r="I11947" t="s">
        <v>140</v>
      </c>
      <c r="J11947">
        <v>48197</v>
      </c>
      <c r="K11947">
        <v>8740</v>
      </c>
      <c r="L11947" t="s">
        <v>23</v>
      </c>
      <c r="M11947" t="s">
        <v>26303</v>
      </c>
      <c r="N11947" t="s">
        <v>7045</v>
      </c>
      <c r="O11947" t="s">
        <v>140</v>
      </c>
      <c r="P11947">
        <v>48197</v>
      </c>
      <c r="Q11947">
        <v>8740</v>
      </c>
      <c r="R11947" t="s">
        <v>23</v>
      </c>
      <c r="S11947" s="1" t="s">
        <v>34218</v>
      </c>
    </row>
    <row r="11948" spans="1:19" x14ac:dyDescent="0.25">
      <c r="A11948">
        <v>100872147</v>
      </c>
      <c r="B11948" t="s">
        <v>26304</v>
      </c>
      <c r="C11948" t="s">
        <v>4502</v>
      </c>
      <c r="G11948" t="s">
        <v>26305</v>
      </c>
      <c r="H11948" t="s">
        <v>26306</v>
      </c>
      <c r="I11948" t="s">
        <v>33</v>
      </c>
      <c r="J11948">
        <v>19473</v>
      </c>
      <c r="K11948">
        <v>2422</v>
      </c>
      <c r="L11948" t="s">
        <v>23</v>
      </c>
      <c r="M11948" t="s">
        <v>26305</v>
      </c>
      <c r="N11948" t="s">
        <v>26306</v>
      </c>
      <c r="O11948" t="s">
        <v>33</v>
      </c>
      <c r="P11948">
        <v>19473</v>
      </c>
      <c r="Q11948">
        <v>2422</v>
      </c>
      <c r="R11948" t="s">
        <v>23</v>
      </c>
      <c r="S11948" s="1" t="s">
        <v>34218</v>
      </c>
    </row>
    <row r="11949" spans="1:19" x14ac:dyDescent="0.25">
      <c r="A11949">
        <v>100515853</v>
      </c>
      <c r="B11949" t="s">
        <v>26307</v>
      </c>
      <c r="C11949" t="s">
        <v>498</v>
      </c>
      <c r="G11949" t="s">
        <v>26308</v>
      </c>
      <c r="H11949" t="s">
        <v>2169</v>
      </c>
      <c r="I11949" t="s">
        <v>365</v>
      </c>
      <c r="J11949">
        <v>85281</v>
      </c>
      <c r="L11949" t="s">
        <v>23</v>
      </c>
      <c r="M11949" t="s">
        <v>26308</v>
      </c>
      <c r="N11949" t="s">
        <v>2169</v>
      </c>
      <c r="O11949" t="s">
        <v>365</v>
      </c>
      <c r="P11949">
        <v>85281</v>
      </c>
      <c r="R11949" t="s">
        <v>23</v>
      </c>
      <c r="S11949" s="1" t="s">
        <v>34218</v>
      </c>
    </row>
    <row r="11950" spans="1:19" x14ac:dyDescent="0.25">
      <c r="A11950">
        <v>101472971</v>
      </c>
      <c r="B11950" t="s">
        <v>14239</v>
      </c>
      <c r="C11950" t="s">
        <v>81</v>
      </c>
      <c r="G11950" t="s">
        <v>26309</v>
      </c>
      <c r="H11950" t="s">
        <v>66</v>
      </c>
      <c r="I11950" t="s">
        <v>22</v>
      </c>
      <c r="J11950">
        <v>94709</v>
      </c>
      <c r="K11950">
        <v>175</v>
      </c>
      <c r="L11950" t="s">
        <v>23</v>
      </c>
      <c r="M11950" t="s">
        <v>26309</v>
      </c>
      <c r="N11950" t="s">
        <v>66</v>
      </c>
      <c r="O11950" t="s">
        <v>22</v>
      </c>
      <c r="P11950">
        <v>94709</v>
      </c>
      <c r="Q11950">
        <v>175</v>
      </c>
      <c r="R11950" t="s">
        <v>23</v>
      </c>
      <c r="S11950" s="1" t="s">
        <v>34218</v>
      </c>
    </row>
    <row r="11951" spans="1:19" x14ac:dyDescent="0.25">
      <c r="A11951">
        <v>101480657</v>
      </c>
      <c r="B11951" t="s">
        <v>18599</v>
      </c>
      <c r="C11951" t="s">
        <v>294</v>
      </c>
      <c r="G11951" t="s">
        <v>26310</v>
      </c>
      <c r="H11951" t="s">
        <v>2674</v>
      </c>
      <c r="I11951" t="s">
        <v>22</v>
      </c>
      <c r="J11951">
        <v>95945</v>
      </c>
      <c r="K11951">
        <v>5390</v>
      </c>
      <c r="L11951" t="s">
        <v>23</v>
      </c>
      <c r="M11951" t="s">
        <v>26310</v>
      </c>
      <c r="N11951" t="s">
        <v>2674</v>
      </c>
      <c r="O11951" t="s">
        <v>22</v>
      </c>
      <c r="P11951">
        <v>95945</v>
      </c>
      <c r="Q11951">
        <v>5390</v>
      </c>
      <c r="R11951" t="s">
        <v>23</v>
      </c>
      <c r="S11951" s="1" t="s">
        <v>34218</v>
      </c>
    </row>
    <row r="11952" spans="1:19" x14ac:dyDescent="0.25">
      <c r="A11952">
        <v>101151928</v>
      </c>
      <c r="B11952" t="s">
        <v>3590</v>
      </c>
      <c r="C11952" t="s">
        <v>1377</v>
      </c>
      <c r="G11952">
        <v>97233</v>
      </c>
      <c r="H11952" t="s">
        <v>227</v>
      </c>
      <c r="I11952" t="s">
        <v>43</v>
      </c>
      <c r="J11952">
        <v>97233</v>
      </c>
      <c r="L11952" t="s">
        <v>23</v>
      </c>
      <c r="M11952">
        <v>97233</v>
      </c>
      <c r="N11952" t="s">
        <v>227</v>
      </c>
      <c r="O11952" t="s">
        <v>43</v>
      </c>
      <c r="P11952">
        <v>97233</v>
      </c>
      <c r="R11952" t="s">
        <v>23</v>
      </c>
      <c r="S11952" s="1" t="s">
        <v>34218</v>
      </c>
    </row>
    <row r="11953" spans="1:19" x14ac:dyDescent="0.25">
      <c r="A11953">
        <v>101472570</v>
      </c>
      <c r="B11953" t="s">
        <v>26311</v>
      </c>
      <c r="C11953" t="s">
        <v>4299</v>
      </c>
      <c r="G11953" t="s">
        <v>26312</v>
      </c>
      <c r="H11953" t="s">
        <v>20659</v>
      </c>
      <c r="I11953" t="s">
        <v>4652</v>
      </c>
      <c r="J11953">
        <v>57105</v>
      </c>
      <c r="K11953">
        <v>3341</v>
      </c>
      <c r="L11953" t="s">
        <v>23</v>
      </c>
      <c r="M11953" t="s">
        <v>26312</v>
      </c>
      <c r="N11953" t="s">
        <v>20659</v>
      </c>
      <c r="O11953" t="s">
        <v>4652</v>
      </c>
      <c r="P11953">
        <v>57105</v>
      </c>
      <c r="Q11953">
        <v>3341</v>
      </c>
      <c r="R11953" t="s">
        <v>23</v>
      </c>
      <c r="S11953" s="1" t="s">
        <v>34218</v>
      </c>
    </row>
    <row r="11954" spans="1:19" x14ac:dyDescent="0.25">
      <c r="A11954">
        <v>101480669</v>
      </c>
      <c r="B11954" t="s">
        <v>1626</v>
      </c>
      <c r="C11954" t="s">
        <v>2557</v>
      </c>
      <c r="G11954" t="s">
        <v>26313</v>
      </c>
      <c r="H11954" t="s">
        <v>682</v>
      </c>
      <c r="I11954" t="s">
        <v>365</v>
      </c>
      <c r="J11954">
        <v>85023</v>
      </c>
      <c r="L11954" t="s">
        <v>23</v>
      </c>
      <c r="M11954" t="s">
        <v>26313</v>
      </c>
      <c r="N11954" t="s">
        <v>682</v>
      </c>
      <c r="O11954" t="s">
        <v>365</v>
      </c>
      <c r="P11954">
        <v>85023</v>
      </c>
      <c r="R11954" t="s">
        <v>23</v>
      </c>
      <c r="S11954" s="1" t="s">
        <v>34218</v>
      </c>
    </row>
    <row r="11955" spans="1:19" x14ac:dyDescent="0.25">
      <c r="A11955">
        <v>101081869</v>
      </c>
      <c r="B11955" t="s">
        <v>26314</v>
      </c>
      <c r="C11955" t="s">
        <v>466</v>
      </c>
      <c r="G11955" t="s">
        <v>26315</v>
      </c>
      <c r="H11955" t="s">
        <v>1985</v>
      </c>
      <c r="I11955" t="s">
        <v>71</v>
      </c>
      <c r="J11955">
        <v>80908</v>
      </c>
      <c r="K11955">
        <v>1473</v>
      </c>
      <c r="L11955" t="s">
        <v>23</v>
      </c>
      <c r="M11955" t="s">
        <v>26315</v>
      </c>
      <c r="N11955" t="s">
        <v>1985</v>
      </c>
      <c r="O11955" t="s">
        <v>71</v>
      </c>
      <c r="P11955">
        <v>80908</v>
      </c>
      <c r="Q11955">
        <v>1473</v>
      </c>
      <c r="R11955" t="s">
        <v>23</v>
      </c>
      <c r="S11955" s="1" t="s">
        <v>34218</v>
      </c>
    </row>
    <row r="11956" spans="1:19" x14ac:dyDescent="0.25">
      <c r="A11956">
        <v>101473993</v>
      </c>
      <c r="B11956" t="s">
        <v>26316</v>
      </c>
      <c r="C11956" t="s">
        <v>10186</v>
      </c>
      <c r="G11956" t="s">
        <v>26317</v>
      </c>
      <c r="H11956" t="s">
        <v>26318</v>
      </c>
      <c r="I11956" t="s">
        <v>178</v>
      </c>
      <c r="J11956">
        <v>44122</v>
      </c>
      <c r="K11956">
        <v>4851</v>
      </c>
      <c r="L11956" t="s">
        <v>23</v>
      </c>
      <c r="M11956" t="s">
        <v>26317</v>
      </c>
      <c r="N11956" t="s">
        <v>26318</v>
      </c>
      <c r="O11956" t="s">
        <v>178</v>
      </c>
      <c r="P11956">
        <v>44122</v>
      </c>
      <c r="Q11956">
        <v>4851</v>
      </c>
      <c r="R11956" t="s">
        <v>23</v>
      </c>
      <c r="S11956" s="1" t="s">
        <v>34218</v>
      </c>
    </row>
    <row r="11957" spans="1:19" x14ac:dyDescent="0.25">
      <c r="A11957">
        <v>100623740</v>
      </c>
      <c r="B11957" t="s">
        <v>26319</v>
      </c>
      <c r="C11957" t="s">
        <v>1757</v>
      </c>
      <c r="G11957" t="s">
        <v>26320</v>
      </c>
      <c r="H11957" t="s">
        <v>26321</v>
      </c>
      <c r="I11957" t="s">
        <v>161</v>
      </c>
      <c r="J11957">
        <v>6482</v>
      </c>
      <c r="L11957" t="s">
        <v>23</v>
      </c>
      <c r="M11957" t="s">
        <v>26320</v>
      </c>
      <c r="N11957" t="s">
        <v>26321</v>
      </c>
      <c r="O11957" t="s">
        <v>161</v>
      </c>
      <c r="P11957">
        <v>6482</v>
      </c>
      <c r="R11957" t="s">
        <v>23</v>
      </c>
      <c r="S11957" s="1" t="s">
        <v>34218</v>
      </c>
    </row>
    <row r="11958" spans="1:19" x14ac:dyDescent="0.25">
      <c r="A11958">
        <v>101480676</v>
      </c>
      <c r="B11958" t="s">
        <v>15529</v>
      </c>
      <c r="C11958" t="s">
        <v>1205</v>
      </c>
      <c r="G11958" t="s">
        <v>15530</v>
      </c>
      <c r="H11958" t="s">
        <v>5940</v>
      </c>
      <c r="I11958" t="s">
        <v>52</v>
      </c>
      <c r="J11958">
        <v>32608</v>
      </c>
      <c r="K11958">
        <v>8929</v>
      </c>
      <c r="L11958" t="s">
        <v>23</v>
      </c>
      <c r="M11958" t="s">
        <v>15530</v>
      </c>
      <c r="N11958" t="s">
        <v>5940</v>
      </c>
      <c r="O11958" t="s">
        <v>52</v>
      </c>
      <c r="P11958">
        <v>32608</v>
      </c>
      <c r="Q11958">
        <v>8929</v>
      </c>
      <c r="R11958" t="s">
        <v>23</v>
      </c>
      <c r="S11958" s="1" t="s">
        <v>34218</v>
      </c>
    </row>
    <row r="11959" spans="1:19" x14ac:dyDescent="0.25">
      <c r="A11959">
        <v>101466150</v>
      </c>
      <c r="B11959" t="s">
        <v>26322</v>
      </c>
      <c r="C11959" t="s">
        <v>7584</v>
      </c>
      <c r="G11959" t="s">
        <v>26323</v>
      </c>
      <c r="H11959" t="s">
        <v>21160</v>
      </c>
      <c r="I11959" t="s">
        <v>22</v>
      </c>
      <c r="J11959">
        <v>92337</v>
      </c>
      <c r="K11959">
        <v>9077</v>
      </c>
      <c r="L11959" t="s">
        <v>23</v>
      </c>
      <c r="M11959" t="s">
        <v>26323</v>
      </c>
      <c r="N11959" t="s">
        <v>21160</v>
      </c>
      <c r="O11959" t="s">
        <v>22</v>
      </c>
      <c r="P11959">
        <v>92337</v>
      </c>
      <c r="Q11959">
        <v>9077</v>
      </c>
      <c r="R11959" t="s">
        <v>23</v>
      </c>
      <c r="S11959" s="1" t="s">
        <v>34218</v>
      </c>
    </row>
    <row r="11960" spans="1:19" x14ac:dyDescent="0.25">
      <c r="A11960">
        <v>101424201</v>
      </c>
      <c r="B11960" t="s">
        <v>5505</v>
      </c>
      <c r="C11960" t="s">
        <v>4719</v>
      </c>
      <c r="G11960" t="s">
        <v>26324</v>
      </c>
      <c r="H11960" t="s">
        <v>11077</v>
      </c>
      <c r="I11960" t="s">
        <v>84</v>
      </c>
      <c r="J11960">
        <v>98584</v>
      </c>
      <c r="K11960">
        <v>3234</v>
      </c>
      <c r="L11960" t="s">
        <v>23</v>
      </c>
      <c r="M11960" t="s">
        <v>26324</v>
      </c>
      <c r="N11960" t="s">
        <v>11077</v>
      </c>
      <c r="O11960" t="s">
        <v>84</v>
      </c>
      <c r="P11960">
        <v>98584</v>
      </c>
      <c r="Q11960">
        <v>3234</v>
      </c>
      <c r="R11960" t="s">
        <v>23</v>
      </c>
      <c r="S11960" s="1" t="s">
        <v>34218</v>
      </c>
    </row>
    <row r="11961" spans="1:19" x14ac:dyDescent="0.25">
      <c r="A11961">
        <v>100863644</v>
      </c>
      <c r="B11961" t="s">
        <v>3650</v>
      </c>
      <c r="C11961" t="s">
        <v>26325</v>
      </c>
      <c r="G11961" t="s">
        <v>26326</v>
      </c>
      <c r="H11961" t="s">
        <v>4052</v>
      </c>
      <c r="I11961" t="s">
        <v>22</v>
      </c>
      <c r="J11961">
        <v>94574</v>
      </c>
      <c r="L11961" t="s">
        <v>23</v>
      </c>
      <c r="M11961" t="s">
        <v>26326</v>
      </c>
      <c r="N11961" t="s">
        <v>4052</v>
      </c>
      <c r="O11961" t="s">
        <v>22</v>
      </c>
      <c r="P11961">
        <v>94574</v>
      </c>
      <c r="R11961" t="s">
        <v>23</v>
      </c>
      <c r="S11961" s="1" t="s">
        <v>34218</v>
      </c>
    </row>
    <row r="11962" spans="1:19" x14ac:dyDescent="0.25">
      <c r="A11962">
        <v>101221534</v>
      </c>
      <c r="B11962" t="s">
        <v>26327</v>
      </c>
      <c r="C11962" t="s">
        <v>3110</v>
      </c>
      <c r="G11962" t="s">
        <v>26328</v>
      </c>
      <c r="H11962" t="s">
        <v>26329</v>
      </c>
      <c r="I11962" t="s">
        <v>327</v>
      </c>
      <c r="J11962">
        <v>26060</v>
      </c>
      <c r="K11962">
        <v>8020</v>
      </c>
      <c r="L11962" t="s">
        <v>23</v>
      </c>
      <c r="M11962" t="s">
        <v>26328</v>
      </c>
      <c r="N11962" t="s">
        <v>26329</v>
      </c>
      <c r="O11962" t="s">
        <v>327</v>
      </c>
      <c r="P11962">
        <v>26060</v>
      </c>
      <c r="Q11962">
        <v>8020</v>
      </c>
      <c r="R11962" t="s">
        <v>23</v>
      </c>
      <c r="S11962" s="1" t="s">
        <v>34218</v>
      </c>
    </row>
    <row r="11963" spans="1:19" x14ac:dyDescent="0.25">
      <c r="A11963">
        <v>101474480</v>
      </c>
      <c r="B11963" t="s">
        <v>6598</v>
      </c>
      <c r="C11963" t="s">
        <v>119</v>
      </c>
      <c r="G11963" t="s">
        <v>18443</v>
      </c>
      <c r="H11963" t="s">
        <v>18444</v>
      </c>
      <c r="I11963" t="s">
        <v>117</v>
      </c>
      <c r="J11963">
        <v>12571</v>
      </c>
      <c r="K11963">
        <v>2706</v>
      </c>
      <c r="L11963" t="s">
        <v>23</v>
      </c>
      <c r="M11963" t="s">
        <v>18443</v>
      </c>
      <c r="N11963" t="s">
        <v>18444</v>
      </c>
      <c r="O11963" t="s">
        <v>117</v>
      </c>
      <c r="P11963">
        <v>12571</v>
      </c>
      <c r="Q11963">
        <v>2706</v>
      </c>
      <c r="R11963" t="s">
        <v>23</v>
      </c>
      <c r="S11963" s="1" t="s">
        <v>34218</v>
      </c>
    </row>
    <row r="11964" spans="1:19" x14ac:dyDescent="0.25">
      <c r="A11964">
        <v>101236088</v>
      </c>
      <c r="B11964" t="s">
        <v>26330</v>
      </c>
      <c r="C11964" t="s">
        <v>1161</v>
      </c>
      <c r="G11964" t="s">
        <v>26331</v>
      </c>
      <c r="H11964" t="s">
        <v>2006</v>
      </c>
      <c r="I11964" t="s">
        <v>52</v>
      </c>
      <c r="J11964">
        <v>33480</v>
      </c>
      <c r="K11964">
        <v>3069</v>
      </c>
      <c r="L11964" t="s">
        <v>23</v>
      </c>
      <c r="M11964" t="s">
        <v>26331</v>
      </c>
      <c r="N11964" t="s">
        <v>2006</v>
      </c>
      <c r="O11964" t="s">
        <v>52</v>
      </c>
      <c r="P11964">
        <v>33480</v>
      </c>
      <c r="Q11964">
        <v>3069</v>
      </c>
      <c r="R11964" t="s">
        <v>23</v>
      </c>
      <c r="S11964" s="1" t="s">
        <v>34218</v>
      </c>
    </row>
    <row r="11965" spans="1:19" x14ac:dyDescent="0.25">
      <c r="A11965">
        <v>101253263</v>
      </c>
      <c r="B11965" t="s">
        <v>26332</v>
      </c>
      <c r="C11965" t="s">
        <v>1588</v>
      </c>
      <c r="G11965" t="s">
        <v>26333</v>
      </c>
      <c r="H11965" t="s">
        <v>315</v>
      </c>
      <c r="I11965" t="s">
        <v>22</v>
      </c>
      <c r="J11965">
        <v>93422</v>
      </c>
      <c r="K11965">
        <v>5003</v>
      </c>
      <c r="L11965" t="s">
        <v>23</v>
      </c>
      <c r="M11965" t="s">
        <v>26333</v>
      </c>
      <c r="N11965" t="s">
        <v>315</v>
      </c>
      <c r="O11965" t="s">
        <v>22</v>
      </c>
      <c r="P11965">
        <v>93422</v>
      </c>
      <c r="Q11965">
        <v>5003</v>
      </c>
      <c r="R11965" t="s">
        <v>23</v>
      </c>
      <c r="S11965" s="1" t="s">
        <v>34218</v>
      </c>
    </row>
    <row r="11966" spans="1:19" x14ac:dyDescent="0.25">
      <c r="A11966">
        <v>101348090</v>
      </c>
      <c r="B11966" t="s">
        <v>26334</v>
      </c>
      <c r="C11966" t="s">
        <v>123</v>
      </c>
      <c r="G11966" t="s">
        <v>26335</v>
      </c>
      <c r="H11966" t="s">
        <v>701</v>
      </c>
      <c r="I11966" t="s">
        <v>702</v>
      </c>
      <c r="J11966" t="s">
        <v>26336</v>
      </c>
      <c r="K11966">
        <v>1371</v>
      </c>
      <c r="L11966" t="s">
        <v>23</v>
      </c>
      <c r="M11966" t="s">
        <v>26335</v>
      </c>
      <c r="N11966" t="s">
        <v>701</v>
      </c>
      <c r="O11966" t="s">
        <v>702</v>
      </c>
      <c r="P11966" t="s">
        <v>26336</v>
      </c>
      <c r="Q11966">
        <v>1371</v>
      </c>
      <c r="R11966" t="s">
        <v>23</v>
      </c>
      <c r="S11966" s="1" t="s">
        <v>34218</v>
      </c>
    </row>
    <row r="11967" spans="1:19" x14ac:dyDescent="0.25">
      <c r="A11967">
        <v>101226101</v>
      </c>
      <c r="B11967" t="s">
        <v>4449</v>
      </c>
      <c r="C11967" t="s">
        <v>1828</v>
      </c>
      <c r="G11967" t="s">
        <v>26337</v>
      </c>
      <c r="H11967" t="s">
        <v>1827</v>
      </c>
      <c r="I11967" t="s">
        <v>1000</v>
      </c>
      <c r="J11967">
        <v>59840</v>
      </c>
      <c r="K11967">
        <v>3303</v>
      </c>
      <c r="L11967" t="s">
        <v>23</v>
      </c>
      <c r="M11967" t="s">
        <v>26337</v>
      </c>
      <c r="N11967" t="s">
        <v>1827</v>
      </c>
      <c r="O11967" t="s">
        <v>1000</v>
      </c>
      <c r="P11967">
        <v>59840</v>
      </c>
      <c r="Q11967">
        <v>3303</v>
      </c>
      <c r="R11967" t="s">
        <v>23</v>
      </c>
      <c r="S11967" s="1" t="s">
        <v>34218</v>
      </c>
    </row>
    <row r="11968" spans="1:19" x14ac:dyDescent="0.25">
      <c r="A11968">
        <v>101284254</v>
      </c>
      <c r="B11968" t="s">
        <v>26338</v>
      </c>
      <c r="C11968" t="s">
        <v>86</v>
      </c>
      <c r="G11968" t="s">
        <v>26339</v>
      </c>
      <c r="H11968" t="s">
        <v>24385</v>
      </c>
      <c r="I11968" t="s">
        <v>135</v>
      </c>
      <c r="J11968">
        <v>61242</v>
      </c>
      <c r="K11968">
        <v>9713</v>
      </c>
      <c r="L11968" t="s">
        <v>23</v>
      </c>
      <c r="M11968" t="s">
        <v>26339</v>
      </c>
      <c r="N11968" t="s">
        <v>24385</v>
      </c>
      <c r="O11968" t="s">
        <v>135</v>
      </c>
      <c r="P11968">
        <v>61242</v>
      </c>
      <c r="Q11968">
        <v>9713</v>
      </c>
      <c r="R11968" t="s">
        <v>23</v>
      </c>
      <c r="S11968" s="1" t="s">
        <v>34218</v>
      </c>
    </row>
    <row r="11969" spans="1:19" x14ac:dyDescent="0.25">
      <c r="A11969">
        <v>100699755</v>
      </c>
      <c r="B11969" t="s">
        <v>26340</v>
      </c>
      <c r="C11969" t="s">
        <v>1327</v>
      </c>
      <c r="G11969" t="s">
        <v>26341</v>
      </c>
      <c r="H11969" t="s">
        <v>7693</v>
      </c>
      <c r="I11969" t="s">
        <v>446</v>
      </c>
      <c r="J11969">
        <v>28753</v>
      </c>
      <c r="K11969">
        <v>6522</v>
      </c>
      <c r="L11969" t="s">
        <v>23</v>
      </c>
      <c r="M11969" t="s">
        <v>26341</v>
      </c>
      <c r="N11969" t="s">
        <v>7693</v>
      </c>
      <c r="O11969" t="s">
        <v>446</v>
      </c>
      <c r="P11969">
        <v>28753</v>
      </c>
      <c r="Q11969">
        <v>6522</v>
      </c>
      <c r="R11969" t="s">
        <v>23</v>
      </c>
      <c r="S11969" s="1" t="s">
        <v>34218</v>
      </c>
    </row>
    <row r="11970" spans="1:19" x14ac:dyDescent="0.25">
      <c r="A11970">
        <v>100964675</v>
      </c>
      <c r="B11970" t="s">
        <v>26342</v>
      </c>
      <c r="C11970" t="s">
        <v>2010</v>
      </c>
      <c r="G11970" t="s">
        <v>26343</v>
      </c>
      <c r="H11970" t="s">
        <v>4611</v>
      </c>
      <c r="I11970" t="s">
        <v>135</v>
      </c>
      <c r="J11970">
        <v>60137</v>
      </c>
      <c r="K11970">
        <v>5320</v>
      </c>
      <c r="L11970" t="s">
        <v>23</v>
      </c>
      <c r="M11970" t="s">
        <v>26343</v>
      </c>
      <c r="N11970" t="s">
        <v>4611</v>
      </c>
      <c r="O11970" t="s">
        <v>135</v>
      </c>
      <c r="P11970">
        <v>60137</v>
      </c>
      <c r="Q11970">
        <v>5320</v>
      </c>
      <c r="R11970" t="s">
        <v>23</v>
      </c>
      <c r="S11970" s="1" t="s">
        <v>34218</v>
      </c>
    </row>
    <row r="11971" spans="1:19" x14ac:dyDescent="0.25">
      <c r="A11971">
        <v>101432078</v>
      </c>
      <c r="B11971" t="s">
        <v>6598</v>
      </c>
      <c r="C11971" t="s">
        <v>10908</v>
      </c>
      <c r="G11971" t="s">
        <v>26344</v>
      </c>
      <c r="H11971" t="s">
        <v>26345</v>
      </c>
      <c r="I11971" t="s">
        <v>117</v>
      </c>
      <c r="J11971">
        <v>14818</v>
      </c>
      <c r="K11971">
        <v>9732</v>
      </c>
      <c r="L11971" t="s">
        <v>23</v>
      </c>
      <c r="M11971" t="s">
        <v>26344</v>
      </c>
      <c r="N11971" t="s">
        <v>26345</v>
      </c>
      <c r="O11971" t="s">
        <v>117</v>
      </c>
      <c r="P11971">
        <v>14818</v>
      </c>
      <c r="Q11971">
        <v>9732</v>
      </c>
      <c r="R11971" t="s">
        <v>23</v>
      </c>
      <c r="S11971" s="1" t="s">
        <v>34218</v>
      </c>
    </row>
    <row r="11972" spans="1:19" x14ac:dyDescent="0.25">
      <c r="A11972">
        <v>101234269</v>
      </c>
      <c r="B11972" t="s">
        <v>4781</v>
      </c>
      <c r="C11972" t="s">
        <v>49</v>
      </c>
      <c r="G11972" t="s">
        <v>26346</v>
      </c>
      <c r="H11972" t="s">
        <v>775</v>
      </c>
      <c r="I11972" t="s">
        <v>22</v>
      </c>
      <c r="J11972">
        <v>95076</v>
      </c>
      <c r="K11972">
        <v>4223</v>
      </c>
      <c r="L11972" t="s">
        <v>23</v>
      </c>
      <c r="M11972" t="s">
        <v>26346</v>
      </c>
      <c r="N11972" t="s">
        <v>775</v>
      </c>
      <c r="O11972" t="s">
        <v>22</v>
      </c>
      <c r="P11972">
        <v>95076</v>
      </c>
      <c r="Q11972">
        <v>4223</v>
      </c>
      <c r="R11972" t="s">
        <v>23</v>
      </c>
      <c r="S11972" s="1" t="s">
        <v>34218</v>
      </c>
    </row>
    <row r="11973" spans="1:19" x14ac:dyDescent="0.25">
      <c r="A11973">
        <v>101364589</v>
      </c>
      <c r="B11973" t="s">
        <v>26347</v>
      </c>
      <c r="C11973" t="s">
        <v>2127</v>
      </c>
      <c r="G11973" t="s">
        <v>26348</v>
      </c>
      <c r="H11973" t="s">
        <v>108</v>
      </c>
      <c r="I11973" t="s">
        <v>22</v>
      </c>
      <c r="J11973">
        <v>93001</v>
      </c>
      <c r="K11973">
        <v>2064</v>
      </c>
      <c r="L11973" t="s">
        <v>23</v>
      </c>
      <c r="M11973" t="s">
        <v>26348</v>
      </c>
      <c r="N11973" t="s">
        <v>108</v>
      </c>
      <c r="O11973" t="s">
        <v>22</v>
      </c>
      <c r="P11973">
        <v>93001</v>
      </c>
      <c r="Q11973">
        <v>2064</v>
      </c>
      <c r="R11973" t="s">
        <v>23</v>
      </c>
      <c r="S11973" s="1" t="s">
        <v>34218</v>
      </c>
    </row>
    <row r="11974" spans="1:19" x14ac:dyDescent="0.25">
      <c r="A11974">
        <v>101469522</v>
      </c>
      <c r="B11974" t="s">
        <v>26349</v>
      </c>
      <c r="C11974" t="s">
        <v>26350</v>
      </c>
      <c r="G11974" t="s">
        <v>26351</v>
      </c>
      <c r="H11974" t="s">
        <v>10351</v>
      </c>
      <c r="I11974" t="s">
        <v>307</v>
      </c>
      <c r="J11974">
        <v>5478</v>
      </c>
      <c r="K11974">
        <v>1519</v>
      </c>
      <c r="L11974" t="s">
        <v>23</v>
      </c>
      <c r="M11974" t="s">
        <v>26351</v>
      </c>
      <c r="N11974" t="s">
        <v>10351</v>
      </c>
      <c r="O11974" t="s">
        <v>307</v>
      </c>
      <c r="P11974">
        <v>5478</v>
      </c>
      <c r="Q11974">
        <v>1519</v>
      </c>
      <c r="R11974" t="s">
        <v>23</v>
      </c>
      <c r="S11974" s="1" t="s">
        <v>34218</v>
      </c>
    </row>
    <row r="11975" spans="1:19" x14ac:dyDescent="0.25">
      <c r="A11975">
        <v>101471700</v>
      </c>
      <c r="B11975" t="s">
        <v>12303</v>
      </c>
      <c r="C11975" t="s">
        <v>1859</v>
      </c>
      <c r="G11975" t="s">
        <v>25116</v>
      </c>
      <c r="H11975" t="s">
        <v>380</v>
      </c>
      <c r="I11975" t="s">
        <v>38</v>
      </c>
      <c r="J11975">
        <v>75228</v>
      </c>
      <c r="K11975">
        <v>5435</v>
      </c>
      <c r="L11975" t="s">
        <v>23</v>
      </c>
      <c r="M11975" t="s">
        <v>25116</v>
      </c>
      <c r="N11975" t="s">
        <v>380</v>
      </c>
      <c r="O11975" t="s">
        <v>38</v>
      </c>
      <c r="P11975">
        <v>75228</v>
      </c>
      <c r="Q11975">
        <v>5435</v>
      </c>
      <c r="R11975" t="s">
        <v>23</v>
      </c>
      <c r="S11975" s="1" t="s">
        <v>34218</v>
      </c>
    </row>
    <row r="11976" spans="1:19" x14ac:dyDescent="0.25">
      <c r="A11976">
        <v>100742536</v>
      </c>
      <c r="B11976" t="s">
        <v>13336</v>
      </c>
      <c r="C11976" t="s">
        <v>90</v>
      </c>
      <c r="F11976" t="str">
        <f>"8608977366"</f>
        <v>8608977366</v>
      </c>
      <c r="G11976" t="s">
        <v>26352</v>
      </c>
      <c r="H11976" t="s">
        <v>4486</v>
      </c>
      <c r="I11976" t="s">
        <v>161</v>
      </c>
      <c r="J11976">
        <v>6095</v>
      </c>
      <c r="K11976">
        <v>7211</v>
      </c>
      <c r="L11976" t="s">
        <v>23</v>
      </c>
      <c r="M11976" t="s">
        <v>26352</v>
      </c>
      <c r="N11976" t="s">
        <v>4486</v>
      </c>
      <c r="O11976" t="s">
        <v>161</v>
      </c>
      <c r="P11976">
        <v>6095</v>
      </c>
      <c r="Q11976">
        <v>7211</v>
      </c>
      <c r="R11976" t="s">
        <v>23</v>
      </c>
      <c r="S11976" s="1" t="s">
        <v>34218</v>
      </c>
    </row>
    <row r="11977" spans="1:19" x14ac:dyDescent="0.25">
      <c r="A11977">
        <v>101471773</v>
      </c>
      <c r="B11977" t="s">
        <v>2074</v>
      </c>
      <c r="C11977" t="s">
        <v>1306</v>
      </c>
      <c r="G11977" t="s">
        <v>26353</v>
      </c>
      <c r="H11977" t="s">
        <v>7134</v>
      </c>
      <c r="I11977" t="s">
        <v>236</v>
      </c>
      <c r="J11977">
        <v>2493</v>
      </c>
      <c r="K11977">
        <v>2028</v>
      </c>
      <c r="L11977" t="s">
        <v>23</v>
      </c>
      <c r="M11977" t="s">
        <v>26353</v>
      </c>
      <c r="N11977" t="s">
        <v>7134</v>
      </c>
      <c r="O11977" t="s">
        <v>236</v>
      </c>
      <c r="P11977">
        <v>2493</v>
      </c>
      <c r="Q11977">
        <v>2028</v>
      </c>
      <c r="R11977" t="s">
        <v>23</v>
      </c>
      <c r="S11977" s="1" t="s">
        <v>34218</v>
      </c>
    </row>
    <row r="11978" spans="1:19" x14ac:dyDescent="0.25">
      <c r="A11978">
        <v>101242578</v>
      </c>
      <c r="B11978" t="s">
        <v>26354</v>
      </c>
      <c r="C11978" t="s">
        <v>613</v>
      </c>
      <c r="G11978" t="s">
        <v>26355</v>
      </c>
      <c r="H11978" t="s">
        <v>13967</v>
      </c>
      <c r="I11978" t="s">
        <v>178</v>
      </c>
      <c r="J11978">
        <v>45056</v>
      </c>
      <c r="K11978">
        <v>1829</v>
      </c>
      <c r="L11978" t="s">
        <v>23</v>
      </c>
      <c r="M11978" t="s">
        <v>26355</v>
      </c>
      <c r="N11978" t="s">
        <v>13967</v>
      </c>
      <c r="O11978" t="s">
        <v>178</v>
      </c>
      <c r="P11978">
        <v>45056</v>
      </c>
      <c r="Q11978">
        <v>1829</v>
      </c>
      <c r="R11978" t="s">
        <v>23</v>
      </c>
      <c r="S11978" s="1" t="s">
        <v>34218</v>
      </c>
    </row>
    <row r="11979" spans="1:19" x14ac:dyDescent="0.25">
      <c r="A11979">
        <v>100757864</v>
      </c>
      <c r="B11979" t="s">
        <v>1370</v>
      </c>
      <c r="C11979" t="s">
        <v>5671</v>
      </c>
      <c r="G11979" t="s">
        <v>26356</v>
      </c>
      <c r="H11979" t="s">
        <v>7622</v>
      </c>
      <c r="I11979" t="s">
        <v>22</v>
      </c>
      <c r="J11979">
        <v>95519</v>
      </c>
      <c r="K11979">
        <v>3487</v>
      </c>
      <c r="L11979" t="s">
        <v>23</v>
      </c>
      <c r="M11979" t="s">
        <v>26356</v>
      </c>
      <c r="N11979" t="s">
        <v>7622</v>
      </c>
      <c r="O11979" t="s">
        <v>22</v>
      </c>
      <c r="P11979">
        <v>95519</v>
      </c>
      <c r="Q11979">
        <v>3487</v>
      </c>
      <c r="R11979" t="s">
        <v>23</v>
      </c>
      <c r="S11979" s="1" t="s">
        <v>34218</v>
      </c>
    </row>
    <row r="11980" spans="1:19" x14ac:dyDescent="0.25">
      <c r="A11980">
        <v>101474403</v>
      </c>
      <c r="B11980" t="s">
        <v>26357</v>
      </c>
      <c r="C11980" t="s">
        <v>1327</v>
      </c>
      <c r="G11980" t="s">
        <v>26358</v>
      </c>
      <c r="H11980" t="s">
        <v>22749</v>
      </c>
      <c r="I11980" t="s">
        <v>365</v>
      </c>
      <c r="J11980">
        <v>85615</v>
      </c>
      <c r="K11980">
        <v>9238</v>
      </c>
      <c r="L11980" t="s">
        <v>23</v>
      </c>
      <c r="M11980" t="s">
        <v>26358</v>
      </c>
      <c r="N11980" t="s">
        <v>22749</v>
      </c>
      <c r="O11980" t="s">
        <v>365</v>
      </c>
      <c r="P11980">
        <v>85615</v>
      </c>
      <c r="Q11980">
        <v>9238</v>
      </c>
      <c r="R11980" t="s">
        <v>23</v>
      </c>
      <c r="S11980" s="1" t="s">
        <v>34218</v>
      </c>
    </row>
    <row r="11981" spans="1:19" x14ac:dyDescent="0.25">
      <c r="A11981">
        <v>101467853</v>
      </c>
      <c r="B11981" t="s">
        <v>985</v>
      </c>
      <c r="C11981" t="s">
        <v>2776</v>
      </c>
      <c r="G11981" t="s">
        <v>26359</v>
      </c>
      <c r="H11981" t="s">
        <v>2913</v>
      </c>
      <c r="I11981" t="s">
        <v>327</v>
      </c>
      <c r="J11981">
        <v>26505</v>
      </c>
      <c r="K11981">
        <v>2447</v>
      </c>
      <c r="L11981" t="s">
        <v>23</v>
      </c>
      <c r="M11981" t="s">
        <v>26359</v>
      </c>
      <c r="N11981" t="s">
        <v>2913</v>
      </c>
      <c r="O11981" t="s">
        <v>327</v>
      </c>
      <c r="P11981">
        <v>26505</v>
      </c>
      <c r="Q11981">
        <v>2447</v>
      </c>
      <c r="R11981" t="s">
        <v>23</v>
      </c>
      <c r="S11981" s="1" t="s">
        <v>34218</v>
      </c>
    </row>
    <row r="11982" spans="1:19" x14ac:dyDescent="0.25">
      <c r="A11982">
        <v>101474416</v>
      </c>
      <c r="B11982" t="s">
        <v>26360</v>
      </c>
      <c r="C11982" t="s">
        <v>11492</v>
      </c>
      <c r="G11982" t="s">
        <v>26361</v>
      </c>
      <c r="H11982" t="s">
        <v>2375</v>
      </c>
      <c r="I11982" t="s">
        <v>914</v>
      </c>
      <c r="J11982">
        <v>37115</v>
      </c>
      <c r="K11982">
        <v>5919</v>
      </c>
      <c r="L11982" t="s">
        <v>23</v>
      </c>
      <c r="M11982" t="s">
        <v>26361</v>
      </c>
      <c r="N11982" t="s">
        <v>2375</v>
      </c>
      <c r="O11982" t="s">
        <v>914</v>
      </c>
      <c r="P11982">
        <v>37115</v>
      </c>
      <c r="Q11982">
        <v>5919</v>
      </c>
      <c r="R11982" t="s">
        <v>23</v>
      </c>
      <c r="S11982" s="1" t="s">
        <v>34218</v>
      </c>
    </row>
    <row r="11983" spans="1:19" x14ac:dyDescent="0.25">
      <c r="A11983">
        <v>101409144</v>
      </c>
      <c r="B11983" t="s">
        <v>26362</v>
      </c>
      <c r="C11983" t="s">
        <v>2084</v>
      </c>
      <c r="G11983" t="s">
        <v>26363</v>
      </c>
      <c r="H11983" t="s">
        <v>2169</v>
      </c>
      <c r="I11983" t="s">
        <v>365</v>
      </c>
      <c r="J11983">
        <v>85284</v>
      </c>
      <c r="K11983">
        <v>1421</v>
      </c>
      <c r="L11983" t="s">
        <v>23</v>
      </c>
      <c r="M11983" t="s">
        <v>26363</v>
      </c>
      <c r="N11983" t="s">
        <v>2169</v>
      </c>
      <c r="O11983" t="s">
        <v>365</v>
      </c>
      <c r="P11983">
        <v>85284</v>
      </c>
      <c r="Q11983">
        <v>1421</v>
      </c>
      <c r="R11983" t="s">
        <v>23</v>
      </c>
      <c r="S11983" s="1" t="s">
        <v>34218</v>
      </c>
    </row>
    <row r="11984" spans="1:19" x14ac:dyDescent="0.25">
      <c r="A11984">
        <v>101294107</v>
      </c>
      <c r="B11984" t="s">
        <v>11032</v>
      </c>
      <c r="C11984" t="s">
        <v>1542</v>
      </c>
      <c r="G11984" t="s">
        <v>26364</v>
      </c>
      <c r="H11984" t="s">
        <v>21829</v>
      </c>
      <c r="I11984" t="s">
        <v>140</v>
      </c>
      <c r="J11984">
        <v>48362</v>
      </c>
      <c r="K11984">
        <v>3289</v>
      </c>
      <c r="L11984" t="s">
        <v>23</v>
      </c>
      <c r="M11984" t="s">
        <v>26364</v>
      </c>
      <c r="N11984" t="s">
        <v>21829</v>
      </c>
      <c r="O11984" t="s">
        <v>140</v>
      </c>
      <c r="P11984">
        <v>48362</v>
      </c>
      <c r="Q11984">
        <v>3289</v>
      </c>
      <c r="R11984" t="s">
        <v>23</v>
      </c>
      <c r="S11984" s="1" t="s">
        <v>34218</v>
      </c>
    </row>
    <row r="11985" spans="1:19" x14ac:dyDescent="0.25">
      <c r="A11985">
        <v>101473063</v>
      </c>
      <c r="B11985" t="s">
        <v>654</v>
      </c>
      <c r="C11985" t="s">
        <v>613</v>
      </c>
      <c r="G11985" t="s">
        <v>26365</v>
      </c>
      <c r="H11985" t="s">
        <v>688</v>
      </c>
      <c r="I11985" t="s">
        <v>187</v>
      </c>
      <c r="J11985">
        <v>55901</v>
      </c>
      <c r="K11985">
        <v>3726</v>
      </c>
      <c r="L11985" t="s">
        <v>23</v>
      </c>
      <c r="M11985" t="s">
        <v>26365</v>
      </c>
      <c r="N11985" t="s">
        <v>688</v>
      </c>
      <c r="O11985" t="s">
        <v>187</v>
      </c>
      <c r="P11985">
        <v>55901</v>
      </c>
      <c r="Q11985">
        <v>3726</v>
      </c>
      <c r="R11985" t="s">
        <v>23</v>
      </c>
      <c r="S11985" s="1" t="s">
        <v>34218</v>
      </c>
    </row>
    <row r="11986" spans="1:19" x14ac:dyDescent="0.25">
      <c r="A11986">
        <v>100831085</v>
      </c>
      <c r="B11986" t="s">
        <v>26366</v>
      </c>
      <c r="C11986" t="s">
        <v>699</v>
      </c>
      <c r="G11986" t="s">
        <v>26367</v>
      </c>
      <c r="H11986" t="s">
        <v>999</v>
      </c>
      <c r="I11986" t="s">
        <v>1000</v>
      </c>
      <c r="J11986" t="s">
        <v>26368</v>
      </c>
      <c r="K11986">
        <v>3937</v>
      </c>
      <c r="L11986" t="s">
        <v>23</v>
      </c>
      <c r="M11986" t="s">
        <v>26367</v>
      </c>
      <c r="N11986" t="s">
        <v>999</v>
      </c>
      <c r="O11986" t="s">
        <v>1000</v>
      </c>
      <c r="P11986" t="s">
        <v>26368</v>
      </c>
      <c r="Q11986">
        <v>3937</v>
      </c>
      <c r="R11986" t="s">
        <v>23</v>
      </c>
      <c r="S11986" s="1" t="s">
        <v>34218</v>
      </c>
    </row>
    <row r="11987" spans="1:19" x14ac:dyDescent="0.25">
      <c r="A11987">
        <v>101474426</v>
      </c>
      <c r="B11987" t="s">
        <v>3466</v>
      </c>
      <c r="C11987" t="s">
        <v>180</v>
      </c>
      <c r="G11987" t="s">
        <v>26369</v>
      </c>
      <c r="H11987" t="s">
        <v>909</v>
      </c>
      <c r="I11987" t="s">
        <v>250</v>
      </c>
      <c r="J11987">
        <v>8034</v>
      </c>
      <c r="K11987">
        <v>3622</v>
      </c>
      <c r="L11987" t="s">
        <v>23</v>
      </c>
      <c r="M11987" t="s">
        <v>26369</v>
      </c>
      <c r="N11987" t="s">
        <v>909</v>
      </c>
      <c r="O11987" t="s">
        <v>250</v>
      </c>
      <c r="P11987">
        <v>8034</v>
      </c>
      <c r="Q11987">
        <v>3622</v>
      </c>
      <c r="R11987" t="s">
        <v>23</v>
      </c>
      <c r="S11987" s="1" t="s">
        <v>34218</v>
      </c>
    </row>
    <row r="11988" spans="1:19" x14ac:dyDescent="0.25">
      <c r="A11988">
        <v>101474450</v>
      </c>
      <c r="B11988" t="s">
        <v>7244</v>
      </c>
      <c r="C11988" t="s">
        <v>167</v>
      </c>
      <c r="G11988" t="s">
        <v>26370</v>
      </c>
      <c r="H11988" t="s">
        <v>357</v>
      </c>
      <c r="I11988" t="s">
        <v>255</v>
      </c>
      <c r="J11988">
        <v>22314</v>
      </c>
      <c r="K11988">
        <v>3813</v>
      </c>
      <c r="L11988" t="s">
        <v>23</v>
      </c>
      <c r="M11988" t="s">
        <v>26370</v>
      </c>
      <c r="N11988" t="s">
        <v>357</v>
      </c>
      <c r="O11988" t="s">
        <v>255</v>
      </c>
      <c r="P11988">
        <v>22314</v>
      </c>
      <c r="Q11988">
        <v>3813</v>
      </c>
      <c r="R11988" t="s">
        <v>23</v>
      </c>
      <c r="S11988" s="1" t="s">
        <v>34218</v>
      </c>
    </row>
    <row r="11989" spans="1:19" x14ac:dyDescent="0.25">
      <c r="A11989">
        <v>101454539</v>
      </c>
      <c r="B11989" t="s">
        <v>26371</v>
      </c>
      <c r="C11989" t="s">
        <v>4927</v>
      </c>
      <c r="G11989" t="s">
        <v>26372</v>
      </c>
      <c r="H11989" t="s">
        <v>3473</v>
      </c>
      <c r="I11989" t="s">
        <v>161</v>
      </c>
      <c r="J11989">
        <v>6042</v>
      </c>
      <c r="K11989">
        <v>3043</v>
      </c>
      <c r="L11989" t="s">
        <v>23</v>
      </c>
      <c r="M11989" t="s">
        <v>26372</v>
      </c>
      <c r="N11989" t="s">
        <v>3473</v>
      </c>
      <c r="O11989" t="s">
        <v>161</v>
      </c>
      <c r="P11989">
        <v>6042</v>
      </c>
      <c r="Q11989">
        <v>3043</v>
      </c>
      <c r="R11989" t="s">
        <v>23</v>
      </c>
      <c r="S11989" s="1" t="s">
        <v>34218</v>
      </c>
    </row>
    <row r="11990" spans="1:19" x14ac:dyDescent="0.25">
      <c r="A11990">
        <v>100882712</v>
      </c>
      <c r="B11990" t="s">
        <v>26373</v>
      </c>
      <c r="C11990" t="s">
        <v>1773</v>
      </c>
      <c r="G11990" t="s">
        <v>26374</v>
      </c>
      <c r="H11990" t="s">
        <v>26375</v>
      </c>
      <c r="I11990" t="s">
        <v>84</v>
      </c>
      <c r="J11990">
        <v>98220</v>
      </c>
      <c r="L11990" t="s">
        <v>23</v>
      </c>
      <c r="M11990" t="s">
        <v>26374</v>
      </c>
      <c r="N11990" t="s">
        <v>26375</v>
      </c>
      <c r="O11990" t="s">
        <v>84</v>
      </c>
      <c r="P11990">
        <v>98220</v>
      </c>
      <c r="R11990" t="s">
        <v>23</v>
      </c>
      <c r="S11990" s="1" t="s">
        <v>34218</v>
      </c>
    </row>
    <row r="11991" spans="1:19" x14ac:dyDescent="0.25">
      <c r="A11991">
        <v>101420838</v>
      </c>
      <c r="B11991" t="s">
        <v>26376</v>
      </c>
      <c r="C11991" t="s">
        <v>1470</v>
      </c>
      <c r="G11991" t="s">
        <v>26377</v>
      </c>
      <c r="H11991" t="s">
        <v>134</v>
      </c>
      <c r="I11991" t="s">
        <v>135</v>
      </c>
      <c r="J11991">
        <v>60631</v>
      </c>
      <c r="K11991">
        <v>3337</v>
      </c>
      <c r="L11991" t="s">
        <v>23</v>
      </c>
      <c r="M11991" t="s">
        <v>26377</v>
      </c>
      <c r="N11991" t="s">
        <v>134</v>
      </c>
      <c r="O11991" t="s">
        <v>135</v>
      </c>
      <c r="P11991">
        <v>60631</v>
      </c>
      <c r="Q11991">
        <v>3337</v>
      </c>
      <c r="R11991" t="s">
        <v>23</v>
      </c>
      <c r="S11991" s="1" t="s">
        <v>34218</v>
      </c>
    </row>
    <row r="11992" spans="1:19" x14ac:dyDescent="0.25">
      <c r="A11992">
        <v>101413418</v>
      </c>
      <c r="B11992" t="s">
        <v>2689</v>
      </c>
      <c r="C11992" t="s">
        <v>1933</v>
      </c>
      <c r="G11992" t="s">
        <v>26378</v>
      </c>
      <c r="H11992" t="s">
        <v>3363</v>
      </c>
      <c r="I11992" t="s">
        <v>33</v>
      </c>
      <c r="J11992">
        <v>15215</v>
      </c>
      <c r="K11992">
        <v>2524</v>
      </c>
      <c r="L11992" t="s">
        <v>23</v>
      </c>
      <c r="M11992" t="s">
        <v>26378</v>
      </c>
      <c r="N11992" t="s">
        <v>3363</v>
      </c>
      <c r="O11992" t="s">
        <v>33</v>
      </c>
      <c r="P11992">
        <v>15215</v>
      </c>
      <c r="Q11992">
        <v>2524</v>
      </c>
      <c r="R11992" t="s">
        <v>23</v>
      </c>
      <c r="S11992" s="1" t="s">
        <v>34218</v>
      </c>
    </row>
    <row r="11993" spans="1:19" x14ac:dyDescent="0.25">
      <c r="A11993">
        <v>101313240</v>
      </c>
      <c r="B11993" t="s">
        <v>23945</v>
      </c>
      <c r="C11993" t="s">
        <v>25</v>
      </c>
      <c r="G11993" t="s">
        <v>26379</v>
      </c>
      <c r="H11993" t="s">
        <v>13750</v>
      </c>
      <c r="I11993" t="s">
        <v>153</v>
      </c>
      <c r="J11993">
        <v>70433</v>
      </c>
      <c r="K11993">
        <v>8990</v>
      </c>
      <c r="L11993" t="s">
        <v>23</v>
      </c>
      <c r="M11993" t="s">
        <v>26379</v>
      </c>
      <c r="N11993" t="s">
        <v>13750</v>
      </c>
      <c r="O11993" t="s">
        <v>153</v>
      </c>
      <c r="P11993">
        <v>70433</v>
      </c>
      <c r="Q11993">
        <v>8990</v>
      </c>
      <c r="R11993" t="s">
        <v>23</v>
      </c>
      <c r="S11993" s="1" t="s">
        <v>34218</v>
      </c>
    </row>
    <row r="11994" spans="1:19" x14ac:dyDescent="0.25">
      <c r="A11994">
        <v>100926633</v>
      </c>
      <c r="B11994" t="s">
        <v>24944</v>
      </c>
      <c r="C11994" t="s">
        <v>26380</v>
      </c>
      <c r="G11994" t="s">
        <v>26381</v>
      </c>
      <c r="H11994" t="s">
        <v>1439</v>
      </c>
      <c r="I11994" t="s">
        <v>365</v>
      </c>
      <c r="J11994">
        <v>85750</v>
      </c>
      <c r="K11994">
        <v>1970</v>
      </c>
      <c r="L11994" t="s">
        <v>23</v>
      </c>
      <c r="M11994" t="s">
        <v>26381</v>
      </c>
      <c r="N11994" t="s">
        <v>1439</v>
      </c>
      <c r="O11994" t="s">
        <v>365</v>
      </c>
      <c r="P11994">
        <v>85750</v>
      </c>
      <c r="Q11994">
        <v>1970</v>
      </c>
      <c r="R11994" t="s">
        <v>23</v>
      </c>
      <c r="S11994" s="1" t="s">
        <v>34218</v>
      </c>
    </row>
    <row r="11995" spans="1:19" x14ac:dyDescent="0.25">
      <c r="A11995">
        <v>101474502</v>
      </c>
      <c r="B11995" t="s">
        <v>26382</v>
      </c>
      <c r="C11995" t="s">
        <v>102</v>
      </c>
      <c r="G11995" t="s">
        <v>26383</v>
      </c>
      <c r="H11995" t="s">
        <v>9008</v>
      </c>
      <c r="I11995" t="s">
        <v>52</v>
      </c>
      <c r="J11995">
        <v>34609</v>
      </c>
      <c r="K11995">
        <v>925</v>
      </c>
      <c r="L11995" t="s">
        <v>23</v>
      </c>
      <c r="M11995" t="s">
        <v>26383</v>
      </c>
      <c r="N11995" t="s">
        <v>9008</v>
      </c>
      <c r="O11995" t="s">
        <v>52</v>
      </c>
      <c r="P11995">
        <v>34609</v>
      </c>
      <c r="Q11995">
        <v>925</v>
      </c>
      <c r="R11995" t="s">
        <v>23</v>
      </c>
      <c r="S11995" s="1" t="s">
        <v>34218</v>
      </c>
    </row>
    <row r="11996" spans="1:19" x14ac:dyDescent="0.25">
      <c r="A11996">
        <v>101450345</v>
      </c>
      <c r="B11996" t="s">
        <v>26384</v>
      </c>
      <c r="C11996" t="s">
        <v>26385</v>
      </c>
      <c r="G11996" t="s">
        <v>26386</v>
      </c>
      <c r="H11996" t="s">
        <v>15689</v>
      </c>
      <c r="I11996" t="s">
        <v>38</v>
      </c>
      <c r="J11996">
        <v>77484</v>
      </c>
      <c r="K11996">
        <v>6232</v>
      </c>
      <c r="L11996" t="s">
        <v>23</v>
      </c>
      <c r="M11996" t="s">
        <v>26386</v>
      </c>
      <c r="N11996" t="s">
        <v>15689</v>
      </c>
      <c r="O11996" t="s">
        <v>38</v>
      </c>
      <c r="P11996">
        <v>77484</v>
      </c>
      <c r="Q11996">
        <v>6232</v>
      </c>
      <c r="R11996" t="s">
        <v>23</v>
      </c>
      <c r="S11996" s="1" t="s">
        <v>34218</v>
      </c>
    </row>
    <row r="11997" spans="1:19" x14ac:dyDescent="0.25">
      <c r="A11997">
        <v>101480962</v>
      </c>
      <c r="B11997" t="s">
        <v>26387</v>
      </c>
      <c r="C11997" t="s">
        <v>3590</v>
      </c>
      <c r="G11997" t="s">
        <v>26388</v>
      </c>
      <c r="H11997" t="s">
        <v>227</v>
      </c>
      <c r="I11997" t="s">
        <v>43</v>
      </c>
      <c r="J11997">
        <v>97201</v>
      </c>
      <c r="K11997">
        <v>5277</v>
      </c>
      <c r="L11997" t="s">
        <v>23</v>
      </c>
      <c r="M11997" t="s">
        <v>26388</v>
      </c>
      <c r="N11997" t="s">
        <v>227</v>
      </c>
      <c r="O11997" t="s">
        <v>43</v>
      </c>
      <c r="P11997">
        <v>97201</v>
      </c>
      <c r="Q11997">
        <v>5277</v>
      </c>
      <c r="R11997" t="s">
        <v>23</v>
      </c>
      <c r="S11997" s="1" t="s">
        <v>34218</v>
      </c>
    </row>
    <row r="11998" spans="1:19" x14ac:dyDescent="0.25">
      <c r="A11998">
        <v>101423648</v>
      </c>
      <c r="B11998" t="s">
        <v>1449</v>
      </c>
      <c r="C11998" t="s">
        <v>26389</v>
      </c>
      <c r="G11998" t="s">
        <v>26390</v>
      </c>
      <c r="H11998" t="s">
        <v>26391</v>
      </c>
      <c r="I11998" t="s">
        <v>38</v>
      </c>
      <c r="J11998">
        <v>78602</v>
      </c>
      <c r="K11998">
        <v>2530</v>
      </c>
      <c r="L11998" t="s">
        <v>23</v>
      </c>
      <c r="M11998" t="s">
        <v>26390</v>
      </c>
      <c r="N11998" t="s">
        <v>26391</v>
      </c>
      <c r="O11998" t="s">
        <v>38</v>
      </c>
      <c r="P11998">
        <v>78602</v>
      </c>
      <c r="Q11998">
        <v>2530</v>
      </c>
      <c r="R11998" t="s">
        <v>23</v>
      </c>
      <c r="S11998" s="1" t="s">
        <v>34218</v>
      </c>
    </row>
    <row r="11999" spans="1:19" x14ac:dyDescent="0.25">
      <c r="A11999">
        <v>101437725</v>
      </c>
      <c r="B11999" t="s">
        <v>26392</v>
      </c>
      <c r="C11999" t="s">
        <v>2084</v>
      </c>
      <c r="G11999" t="s">
        <v>26393</v>
      </c>
      <c r="H11999" t="s">
        <v>393</v>
      </c>
      <c r="I11999" t="s">
        <v>71</v>
      </c>
      <c r="J11999">
        <v>80211</v>
      </c>
      <c r="K11999">
        <v>2215</v>
      </c>
      <c r="L11999" t="s">
        <v>23</v>
      </c>
      <c r="M11999" t="s">
        <v>26393</v>
      </c>
      <c r="N11999" t="s">
        <v>393</v>
      </c>
      <c r="O11999" t="s">
        <v>71</v>
      </c>
      <c r="P11999">
        <v>80211</v>
      </c>
      <c r="Q11999">
        <v>2215</v>
      </c>
      <c r="R11999" t="s">
        <v>23</v>
      </c>
      <c r="S11999" s="1" t="s">
        <v>34218</v>
      </c>
    </row>
    <row r="12000" spans="1:19" x14ac:dyDescent="0.25">
      <c r="A12000">
        <v>101441747</v>
      </c>
      <c r="B12000" t="s">
        <v>7506</v>
      </c>
      <c r="C12000" t="s">
        <v>26394</v>
      </c>
      <c r="G12000" t="s">
        <v>26395</v>
      </c>
      <c r="H12000" t="s">
        <v>26396</v>
      </c>
      <c r="I12000" t="s">
        <v>236</v>
      </c>
      <c r="J12000">
        <v>1039</v>
      </c>
      <c r="K12000">
        <v>9717</v>
      </c>
      <c r="L12000" t="s">
        <v>23</v>
      </c>
      <c r="M12000" t="s">
        <v>26395</v>
      </c>
      <c r="N12000" t="s">
        <v>26396</v>
      </c>
      <c r="O12000" t="s">
        <v>236</v>
      </c>
      <c r="P12000">
        <v>1039</v>
      </c>
      <c r="Q12000">
        <v>9717</v>
      </c>
      <c r="R12000" t="s">
        <v>23</v>
      </c>
      <c r="S12000" s="1" t="s">
        <v>34218</v>
      </c>
    </row>
    <row r="12001" spans="1:19" x14ac:dyDescent="0.25">
      <c r="A12001">
        <v>101344349</v>
      </c>
      <c r="B12001" t="s">
        <v>1234</v>
      </c>
      <c r="C12001" t="s">
        <v>278</v>
      </c>
      <c r="G12001" t="s">
        <v>26397</v>
      </c>
      <c r="H12001" t="s">
        <v>11094</v>
      </c>
      <c r="I12001" t="s">
        <v>33</v>
      </c>
      <c r="J12001">
        <v>17050</v>
      </c>
      <c r="K12001">
        <v>2564</v>
      </c>
      <c r="L12001" t="s">
        <v>23</v>
      </c>
      <c r="M12001" t="s">
        <v>26397</v>
      </c>
      <c r="N12001" t="s">
        <v>11094</v>
      </c>
      <c r="O12001" t="s">
        <v>33</v>
      </c>
      <c r="P12001">
        <v>17050</v>
      </c>
      <c r="Q12001">
        <v>2564</v>
      </c>
      <c r="R12001" t="s">
        <v>23</v>
      </c>
      <c r="S12001" s="1" t="s">
        <v>34218</v>
      </c>
    </row>
    <row r="12002" spans="1:19" x14ac:dyDescent="0.25">
      <c r="A12002">
        <v>101424118</v>
      </c>
      <c r="B12002" t="s">
        <v>6084</v>
      </c>
      <c r="C12002" t="s">
        <v>77</v>
      </c>
      <c r="G12002" t="s">
        <v>26398</v>
      </c>
      <c r="H12002" t="s">
        <v>1412</v>
      </c>
      <c r="I12002" t="s">
        <v>52</v>
      </c>
      <c r="J12002">
        <v>32805</v>
      </c>
      <c r="K12002">
        <v>3816</v>
      </c>
      <c r="L12002" t="s">
        <v>23</v>
      </c>
      <c r="M12002" t="s">
        <v>26398</v>
      </c>
      <c r="N12002" t="s">
        <v>1412</v>
      </c>
      <c r="O12002" t="s">
        <v>52</v>
      </c>
      <c r="P12002">
        <v>32805</v>
      </c>
      <c r="Q12002">
        <v>3816</v>
      </c>
      <c r="R12002" t="s">
        <v>23</v>
      </c>
      <c r="S12002" s="1" t="s">
        <v>34218</v>
      </c>
    </row>
    <row r="12003" spans="1:19" x14ac:dyDescent="0.25">
      <c r="A12003">
        <v>101435941</v>
      </c>
      <c r="B12003" t="s">
        <v>10326</v>
      </c>
      <c r="C12003" t="s">
        <v>26399</v>
      </c>
      <c r="G12003" t="s">
        <v>26400</v>
      </c>
      <c r="H12003" t="s">
        <v>108</v>
      </c>
      <c r="I12003" t="s">
        <v>22</v>
      </c>
      <c r="J12003">
        <v>93003</v>
      </c>
      <c r="K12003">
        <v>3306</v>
      </c>
      <c r="L12003" t="s">
        <v>23</v>
      </c>
      <c r="M12003" t="s">
        <v>26400</v>
      </c>
      <c r="N12003" t="s">
        <v>108</v>
      </c>
      <c r="O12003" t="s">
        <v>22</v>
      </c>
      <c r="P12003">
        <v>93003</v>
      </c>
      <c r="Q12003">
        <v>3306</v>
      </c>
      <c r="R12003" t="s">
        <v>23</v>
      </c>
      <c r="S12003" s="1" t="s">
        <v>34218</v>
      </c>
    </row>
    <row r="12004" spans="1:19" x14ac:dyDescent="0.25">
      <c r="A12004">
        <v>101231563</v>
      </c>
      <c r="B12004" t="s">
        <v>15430</v>
      </c>
      <c r="C12004" t="s">
        <v>4140</v>
      </c>
      <c r="G12004" t="s">
        <v>26401</v>
      </c>
      <c r="H12004" t="s">
        <v>369</v>
      </c>
      <c r="I12004" t="s">
        <v>370</v>
      </c>
      <c r="J12004">
        <v>68516</v>
      </c>
      <c r="K12004">
        <v>2309</v>
      </c>
      <c r="L12004" t="s">
        <v>23</v>
      </c>
      <c r="M12004" t="s">
        <v>26401</v>
      </c>
      <c r="N12004" t="s">
        <v>369</v>
      </c>
      <c r="O12004" t="s">
        <v>370</v>
      </c>
      <c r="P12004">
        <v>68516</v>
      </c>
      <c r="Q12004">
        <v>2309</v>
      </c>
      <c r="R12004" t="s">
        <v>23</v>
      </c>
      <c r="S12004" s="1" t="s">
        <v>34218</v>
      </c>
    </row>
    <row r="12005" spans="1:19" x14ac:dyDescent="0.25">
      <c r="A12005">
        <v>101308638</v>
      </c>
      <c r="B12005" t="s">
        <v>5796</v>
      </c>
      <c r="C12005" t="s">
        <v>1212</v>
      </c>
      <c r="G12005" t="s">
        <v>26402</v>
      </c>
      <c r="H12005" t="s">
        <v>134</v>
      </c>
      <c r="I12005" t="s">
        <v>135</v>
      </c>
      <c r="J12005">
        <v>60657</v>
      </c>
      <c r="K12005">
        <v>1914</v>
      </c>
      <c r="L12005" t="s">
        <v>23</v>
      </c>
      <c r="M12005" t="s">
        <v>26402</v>
      </c>
      <c r="N12005" t="s">
        <v>134</v>
      </c>
      <c r="O12005" t="s">
        <v>135</v>
      </c>
      <c r="P12005">
        <v>60657</v>
      </c>
      <c r="Q12005">
        <v>1914</v>
      </c>
      <c r="R12005" t="s">
        <v>23</v>
      </c>
      <c r="S12005" s="1" t="s">
        <v>34218</v>
      </c>
    </row>
    <row r="12006" spans="1:19" x14ac:dyDescent="0.25">
      <c r="A12006">
        <v>101306667</v>
      </c>
      <c r="B12006" t="s">
        <v>3462</v>
      </c>
      <c r="C12006" t="s">
        <v>1737</v>
      </c>
      <c r="G12006" t="s">
        <v>26403</v>
      </c>
      <c r="H12006" t="s">
        <v>393</v>
      </c>
      <c r="I12006" t="s">
        <v>71</v>
      </c>
      <c r="J12006">
        <v>80237</v>
      </c>
      <c r="K12006">
        <v>1733</v>
      </c>
      <c r="L12006" t="s">
        <v>23</v>
      </c>
      <c r="M12006" t="s">
        <v>26403</v>
      </c>
      <c r="N12006" t="s">
        <v>393</v>
      </c>
      <c r="O12006" t="s">
        <v>71</v>
      </c>
      <c r="P12006">
        <v>80237</v>
      </c>
      <c r="Q12006">
        <v>1733</v>
      </c>
      <c r="R12006" t="s">
        <v>23</v>
      </c>
      <c r="S12006" s="1" t="s">
        <v>34218</v>
      </c>
    </row>
    <row r="12007" spans="1:19" x14ac:dyDescent="0.25">
      <c r="A12007">
        <v>101435465</v>
      </c>
      <c r="B12007" t="s">
        <v>26404</v>
      </c>
      <c r="C12007" t="s">
        <v>274</v>
      </c>
      <c r="G12007" t="s">
        <v>26405</v>
      </c>
      <c r="H12007" t="s">
        <v>254</v>
      </c>
      <c r="I12007" t="s">
        <v>255</v>
      </c>
      <c r="J12007">
        <v>22901</v>
      </c>
      <c r="K12007">
        <v>9537</v>
      </c>
      <c r="L12007" t="s">
        <v>23</v>
      </c>
      <c r="M12007" t="s">
        <v>26405</v>
      </c>
      <c r="N12007" t="s">
        <v>254</v>
      </c>
      <c r="O12007" t="s">
        <v>255</v>
      </c>
      <c r="P12007">
        <v>22901</v>
      </c>
      <c r="Q12007">
        <v>9537</v>
      </c>
      <c r="R12007" t="s">
        <v>23</v>
      </c>
      <c r="S12007" s="1" t="s">
        <v>34218</v>
      </c>
    </row>
    <row r="12008" spans="1:19" x14ac:dyDescent="0.25">
      <c r="A12008">
        <v>101427736</v>
      </c>
      <c r="B12008" t="s">
        <v>26406</v>
      </c>
      <c r="C12008" t="s">
        <v>21429</v>
      </c>
      <c r="G12008" t="s">
        <v>26407</v>
      </c>
      <c r="H12008" t="s">
        <v>26408</v>
      </c>
      <c r="I12008" t="s">
        <v>22</v>
      </c>
      <c r="J12008">
        <v>95619</v>
      </c>
      <c r="K12008">
        <v>1252</v>
      </c>
      <c r="L12008" t="s">
        <v>23</v>
      </c>
      <c r="M12008" t="s">
        <v>26407</v>
      </c>
      <c r="N12008" t="s">
        <v>26408</v>
      </c>
      <c r="O12008" t="s">
        <v>22</v>
      </c>
      <c r="P12008">
        <v>95619</v>
      </c>
      <c r="Q12008">
        <v>1252</v>
      </c>
      <c r="R12008" t="s">
        <v>23</v>
      </c>
      <c r="S12008" s="1" t="s">
        <v>34218</v>
      </c>
    </row>
    <row r="12009" spans="1:19" x14ac:dyDescent="0.25">
      <c r="A12009">
        <v>101307806</v>
      </c>
      <c r="B12009" t="s">
        <v>199</v>
      </c>
      <c r="C12009" t="s">
        <v>4587</v>
      </c>
      <c r="G12009" t="s">
        <v>26409</v>
      </c>
      <c r="H12009" t="s">
        <v>130</v>
      </c>
      <c r="I12009" t="s">
        <v>22</v>
      </c>
      <c r="J12009">
        <v>94114</v>
      </c>
      <c r="K12009">
        <v>3134</v>
      </c>
      <c r="L12009" t="s">
        <v>23</v>
      </c>
      <c r="M12009" t="s">
        <v>26409</v>
      </c>
      <c r="N12009" t="s">
        <v>130</v>
      </c>
      <c r="O12009" t="s">
        <v>22</v>
      </c>
      <c r="P12009">
        <v>94114</v>
      </c>
      <c r="Q12009">
        <v>3134</v>
      </c>
      <c r="R12009" t="s">
        <v>23</v>
      </c>
      <c r="S12009" s="1" t="s">
        <v>34218</v>
      </c>
    </row>
    <row r="12010" spans="1:19" x14ac:dyDescent="0.25">
      <c r="A12010">
        <v>101431669</v>
      </c>
      <c r="B12010" t="s">
        <v>16611</v>
      </c>
      <c r="C12010" t="s">
        <v>1331</v>
      </c>
      <c r="G12010" t="s">
        <v>26410</v>
      </c>
      <c r="H12010" t="s">
        <v>6494</v>
      </c>
      <c r="I12010" t="s">
        <v>236</v>
      </c>
      <c r="J12010">
        <v>2720</v>
      </c>
      <c r="K12010">
        <v>5220</v>
      </c>
      <c r="L12010" t="s">
        <v>23</v>
      </c>
      <c r="M12010" t="s">
        <v>26410</v>
      </c>
      <c r="N12010" t="s">
        <v>6494</v>
      </c>
      <c r="O12010" t="s">
        <v>236</v>
      </c>
      <c r="P12010">
        <v>2720</v>
      </c>
      <c r="Q12010">
        <v>5220</v>
      </c>
      <c r="R12010" t="s">
        <v>23</v>
      </c>
      <c r="S12010" s="1" t="s">
        <v>34218</v>
      </c>
    </row>
    <row r="12011" spans="1:19" x14ac:dyDescent="0.25">
      <c r="A12011">
        <v>101452240</v>
      </c>
      <c r="B12011" t="s">
        <v>626</v>
      </c>
      <c r="C12011" t="s">
        <v>9642</v>
      </c>
      <c r="G12011" t="s">
        <v>26411</v>
      </c>
      <c r="H12011" t="s">
        <v>14474</v>
      </c>
      <c r="I12011" t="s">
        <v>52</v>
      </c>
      <c r="J12011">
        <v>33025</v>
      </c>
      <c r="K12011">
        <v>5732</v>
      </c>
      <c r="L12011" t="s">
        <v>23</v>
      </c>
      <c r="M12011" t="s">
        <v>26411</v>
      </c>
      <c r="N12011" t="s">
        <v>14474</v>
      </c>
      <c r="O12011" t="s">
        <v>52</v>
      </c>
      <c r="P12011">
        <v>33025</v>
      </c>
      <c r="Q12011">
        <v>5732</v>
      </c>
      <c r="R12011" t="s">
        <v>23</v>
      </c>
      <c r="S12011" s="1" t="s">
        <v>34218</v>
      </c>
    </row>
    <row r="12012" spans="1:19" x14ac:dyDescent="0.25">
      <c r="A12012">
        <v>101335370</v>
      </c>
      <c r="B12012" t="s">
        <v>14684</v>
      </c>
      <c r="C12012" t="s">
        <v>30</v>
      </c>
      <c r="F12012" t="str">
        <f>"5203297707"</f>
        <v>5203297707</v>
      </c>
      <c r="G12012" t="s">
        <v>26412</v>
      </c>
      <c r="H12012" t="s">
        <v>1439</v>
      </c>
      <c r="I12012" t="s">
        <v>365</v>
      </c>
      <c r="J12012">
        <v>85719</v>
      </c>
      <c r="K12012">
        <v>6316</v>
      </c>
      <c r="L12012" t="s">
        <v>23</v>
      </c>
      <c r="M12012" t="s">
        <v>26412</v>
      </c>
      <c r="N12012" t="s">
        <v>1439</v>
      </c>
      <c r="O12012" t="s">
        <v>365</v>
      </c>
      <c r="P12012">
        <v>85719</v>
      </c>
      <c r="Q12012">
        <v>6316</v>
      </c>
      <c r="R12012" t="s">
        <v>23</v>
      </c>
      <c r="S12012" s="1" t="s">
        <v>34218</v>
      </c>
    </row>
    <row r="12013" spans="1:19" x14ac:dyDescent="0.25">
      <c r="A12013">
        <v>101414412</v>
      </c>
      <c r="B12013" t="s">
        <v>26413</v>
      </c>
      <c r="C12013" t="s">
        <v>132</v>
      </c>
      <c r="G12013" t="s">
        <v>26414</v>
      </c>
      <c r="H12013" t="s">
        <v>130</v>
      </c>
      <c r="I12013" t="s">
        <v>22</v>
      </c>
      <c r="J12013">
        <v>94115</v>
      </c>
      <c r="K12013">
        <v>4603</v>
      </c>
      <c r="L12013" t="s">
        <v>23</v>
      </c>
      <c r="M12013" t="s">
        <v>26414</v>
      </c>
      <c r="N12013" t="s">
        <v>130</v>
      </c>
      <c r="O12013" t="s">
        <v>22</v>
      </c>
      <c r="P12013">
        <v>94115</v>
      </c>
      <c r="Q12013">
        <v>4603</v>
      </c>
      <c r="R12013" t="s">
        <v>23</v>
      </c>
      <c r="S12013" s="1" t="s">
        <v>34218</v>
      </c>
    </row>
    <row r="12014" spans="1:19" x14ac:dyDescent="0.25">
      <c r="A12014">
        <v>101045246</v>
      </c>
      <c r="B12014" t="s">
        <v>26415</v>
      </c>
      <c r="C12014" t="s">
        <v>1327</v>
      </c>
      <c r="F12014" t="str">
        <f>"8318589344"</f>
        <v>8318589344</v>
      </c>
      <c r="G12014" t="s">
        <v>26416</v>
      </c>
      <c r="H12014" t="s">
        <v>2601</v>
      </c>
      <c r="I12014" t="s">
        <v>22</v>
      </c>
      <c r="J12014">
        <v>93940</v>
      </c>
      <c r="K12014">
        <v>4008</v>
      </c>
      <c r="L12014" t="s">
        <v>23</v>
      </c>
      <c r="M12014" t="s">
        <v>26416</v>
      </c>
      <c r="N12014" t="s">
        <v>2601</v>
      </c>
      <c r="O12014" t="s">
        <v>22</v>
      </c>
      <c r="P12014">
        <v>93940</v>
      </c>
      <c r="Q12014">
        <v>4008</v>
      </c>
      <c r="R12014" t="s">
        <v>23</v>
      </c>
      <c r="S12014" s="1" t="s">
        <v>34218</v>
      </c>
    </row>
    <row r="12015" spans="1:19" x14ac:dyDescent="0.25">
      <c r="A12015">
        <v>100660322</v>
      </c>
      <c r="B12015" t="s">
        <v>281</v>
      </c>
      <c r="C12015" t="s">
        <v>2599</v>
      </c>
      <c r="G12015" t="s">
        <v>26417</v>
      </c>
      <c r="H12015" t="s">
        <v>726</v>
      </c>
      <c r="I12015" t="s">
        <v>22</v>
      </c>
      <c r="J12015">
        <v>90403</v>
      </c>
      <c r="K12015">
        <v>5611</v>
      </c>
      <c r="L12015" t="s">
        <v>23</v>
      </c>
      <c r="M12015" t="s">
        <v>26417</v>
      </c>
      <c r="N12015" t="s">
        <v>726</v>
      </c>
      <c r="O12015" t="s">
        <v>22</v>
      </c>
      <c r="P12015">
        <v>90403</v>
      </c>
      <c r="Q12015">
        <v>5611</v>
      </c>
      <c r="R12015" t="s">
        <v>23</v>
      </c>
      <c r="S12015" s="1" t="s">
        <v>34218</v>
      </c>
    </row>
    <row r="12016" spans="1:19" x14ac:dyDescent="0.25">
      <c r="A12016">
        <v>101281968</v>
      </c>
      <c r="B12016" t="s">
        <v>6222</v>
      </c>
      <c r="C12016" t="s">
        <v>123</v>
      </c>
      <c r="G12016" t="s">
        <v>26418</v>
      </c>
      <c r="H12016" t="s">
        <v>8140</v>
      </c>
      <c r="I12016" t="s">
        <v>22</v>
      </c>
      <c r="J12016">
        <v>91711</v>
      </c>
      <c r="K12016">
        <v>4236</v>
      </c>
      <c r="L12016" t="s">
        <v>23</v>
      </c>
      <c r="M12016" t="s">
        <v>26418</v>
      </c>
      <c r="N12016" t="s">
        <v>8140</v>
      </c>
      <c r="O12016" t="s">
        <v>22</v>
      </c>
      <c r="P12016">
        <v>91711</v>
      </c>
      <c r="Q12016">
        <v>4236</v>
      </c>
      <c r="R12016" t="s">
        <v>23</v>
      </c>
      <c r="S12016" s="1" t="s">
        <v>34218</v>
      </c>
    </row>
    <row r="12017" spans="1:19" x14ac:dyDescent="0.25">
      <c r="A12017">
        <v>100591895</v>
      </c>
      <c r="B12017" t="s">
        <v>26419</v>
      </c>
      <c r="C12017" t="s">
        <v>2248</v>
      </c>
      <c r="G12017" t="s">
        <v>26420</v>
      </c>
      <c r="H12017" t="s">
        <v>26421</v>
      </c>
      <c r="I12017" t="s">
        <v>161</v>
      </c>
      <c r="J12017">
        <v>6355</v>
      </c>
      <c r="K12017">
        <v>1993</v>
      </c>
      <c r="L12017" t="s">
        <v>23</v>
      </c>
      <c r="M12017" t="s">
        <v>26420</v>
      </c>
      <c r="N12017" t="s">
        <v>26421</v>
      </c>
      <c r="O12017" t="s">
        <v>161</v>
      </c>
      <c r="P12017">
        <v>6355</v>
      </c>
      <c r="Q12017">
        <v>1993</v>
      </c>
      <c r="R12017" t="s">
        <v>23</v>
      </c>
      <c r="S12017" s="1" t="s">
        <v>34218</v>
      </c>
    </row>
    <row r="12018" spans="1:19" x14ac:dyDescent="0.25">
      <c r="A12018">
        <v>101451330</v>
      </c>
      <c r="B12018" t="s">
        <v>6060</v>
      </c>
      <c r="C12018" t="s">
        <v>102</v>
      </c>
      <c r="G12018" t="s">
        <v>26422</v>
      </c>
      <c r="H12018" t="s">
        <v>3130</v>
      </c>
      <c r="I12018" t="s">
        <v>38</v>
      </c>
      <c r="J12018">
        <v>75703</v>
      </c>
      <c r="K12018">
        <v>4810</v>
      </c>
      <c r="L12018" t="s">
        <v>23</v>
      </c>
      <c r="M12018" t="s">
        <v>26422</v>
      </c>
      <c r="N12018" t="s">
        <v>3130</v>
      </c>
      <c r="O12018" t="s">
        <v>38</v>
      </c>
      <c r="P12018">
        <v>75703</v>
      </c>
      <c r="Q12018">
        <v>4810</v>
      </c>
      <c r="R12018" t="s">
        <v>23</v>
      </c>
      <c r="S12018" s="1" t="s">
        <v>34218</v>
      </c>
    </row>
    <row r="12019" spans="1:19" x14ac:dyDescent="0.25">
      <c r="A12019">
        <v>101262820</v>
      </c>
      <c r="B12019" t="s">
        <v>26423</v>
      </c>
      <c r="C12019" t="s">
        <v>26424</v>
      </c>
      <c r="G12019" t="s">
        <v>26425</v>
      </c>
      <c r="H12019" t="s">
        <v>9651</v>
      </c>
      <c r="I12019" t="s">
        <v>52</v>
      </c>
      <c r="J12019">
        <v>33139</v>
      </c>
      <c r="K12019">
        <v>4424</v>
      </c>
      <c r="L12019" t="s">
        <v>23</v>
      </c>
      <c r="M12019" t="s">
        <v>26425</v>
      </c>
      <c r="N12019" t="s">
        <v>9651</v>
      </c>
      <c r="O12019" t="s">
        <v>52</v>
      </c>
      <c r="P12019">
        <v>33139</v>
      </c>
      <c r="Q12019">
        <v>4424</v>
      </c>
      <c r="R12019" t="s">
        <v>23</v>
      </c>
      <c r="S12019" s="1" t="s">
        <v>34218</v>
      </c>
    </row>
    <row r="12020" spans="1:19" x14ac:dyDescent="0.25">
      <c r="A12020">
        <v>101311653</v>
      </c>
      <c r="B12020" t="s">
        <v>13821</v>
      </c>
      <c r="C12020" t="s">
        <v>664</v>
      </c>
      <c r="G12020" t="s">
        <v>26426</v>
      </c>
      <c r="H12020" t="s">
        <v>1246</v>
      </c>
      <c r="I12020" t="s">
        <v>140</v>
      </c>
      <c r="J12020">
        <v>49506</v>
      </c>
      <c r="K12020">
        <v>2544</v>
      </c>
      <c r="L12020" t="s">
        <v>23</v>
      </c>
      <c r="M12020" t="s">
        <v>26426</v>
      </c>
      <c r="N12020" t="s">
        <v>1246</v>
      </c>
      <c r="O12020" t="s">
        <v>140</v>
      </c>
      <c r="P12020">
        <v>49506</v>
      </c>
      <c r="Q12020">
        <v>2544</v>
      </c>
      <c r="R12020" t="s">
        <v>23</v>
      </c>
      <c r="S12020" s="1" t="s">
        <v>34218</v>
      </c>
    </row>
    <row r="12021" spans="1:19" x14ac:dyDescent="0.25">
      <c r="A12021">
        <v>101222158</v>
      </c>
      <c r="B12021" t="s">
        <v>25918</v>
      </c>
      <c r="C12021" t="s">
        <v>26427</v>
      </c>
      <c r="G12021" t="s">
        <v>26428</v>
      </c>
      <c r="H12021" t="s">
        <v>1597</v>
      </c>
      <c r="I12021" t="s">
        <v>71</v>
      </c>
      <c r="J12021">
        <v>80033</v>
      </c>
      <c r="K12021">
        <v>3802</v>
      </c>
      <c r="L12021" t="s">
        <v>23</v>
      </c>
      <c r="M12021" t="s">
        <v>26428</v>
      </c>
      <c r="N12021" t="s">
        <v>1597</v>
      </c>
      <c r="O12021" t="s">
        <v>71</v>
      </c>
      <c r="P12021">
        <v>80033</v>
      </c>
      <c r="Q12021">
        <v>3802</v>
      </c>
      <c r="R12021" t="s">
        <v>23</v>
      </c>
      <c r="S12021" s="1" t="s">
        <v>34218</v>
      </c>
    </row>
    <row r="12022" spans="1:19" x14ac:dyDescent="0.25">
      <c r="A12022">
        <v>101437299</v>
      </c>
      <c r="B12022" t="s">
        <v>26429</v>
      </c>
      <c r="C12022" t="s">
        <v>1450</v>
      </c>
      <c r="G12022" t="s">
        <v>26430</v>
      </c>
      <c r="H12022" t="s">
        <v>1600</v>
      </c>
      <c r="I12022" t="s">
        <v>28</v>
      </c>
      <c r="J12022">
        <v>30008</v>
      </c>
      <c r="K12022">
        <v>3633</v>
      </c>
      <c r="L12022" t="s">
        <v>23</v>
      </c>
      <c r="M12022" t="s">
        <v>26430</v>
      </c>
      <c r="N12022" t="s">
        <v>1600</v>
      </c>
      <c r="O12022" t="s">
        <v>28</v>
      </c>
      <c r="P12022">
        <v>30008</v>
      </c>
      <c r="Q12022">
        <v>3633</v>
      </c>
      <c r="R12022" t="s">
        <v>23</v>
      </c>
      <c r="S12022" s="1" t="s">
        <v>34218</v>
      </c>
    </row>
    <row r="12023" spans="1:19" x14ac:dyDescent="0.25">
      <c r="A12023">
        <v>101306728</v>
      </c>
      <c r="B12023" t="s">
        <v>26431</v>
      </c>
      <c r="C12023" t="s">
        <v>7358</v>
      </c>
      <c r="G12023" t="s">
        <v>26432</v>
      </c>
      <c r="H12023" t="s">
        <v>26433</v>
      </c>
      <c r="I12023" t="s">
        <v>33</v>
      </c>
      <c r="J12023">
        <v>15010</v>
      </c>
      <c r="K12023">
        <v>2809</v>
      </c>
      <c r="L12023" t="s">
        <v>23</v>
      </c>
      <c r="M12023" t="s">
        <v>26432</v>
      </c>
      <c r="N12023" t="s">
        <v>26433</v>
      </c>
      <c r="O12023" t="s">
        <v>33</v>
      </c>
      <c r="P12023">
        <v>15010</v>
      </c>
      <c r="Q12023">
        <v>2809</v>
      </c>
      <c r="R12023" t="s">
        <v>23</v>
      </c>
      <c r="S12023" s="1" t="s">
        <v>34218</v>
      </c>
    </row>
    <row r="12024" spans="1:19" x14ac:dyDescent="0.25">
      <c r="A12024">
        <v>101431898</v>
      </c>
      <c r="B12024" t="s">
        <v>2486</v>
      </c>
      <c r="C12024" t="s">
        <v>172</v>
      </c>
      <c r="G12024" t="s">
        <v>26434</v>
      </c>
      <c r="H12024" t="s">
        <v>26435</v>
      </c>
      <c r="I12024" t="s">
        <v>100</v>
      </c>
      <c r="J12024">
        <v>53574</v>
      </c>
      <c r="K12024">
        <v>9331</v>
      </c>
      <c r="L12024" t="s">
        <v>23</v>
      </c>
      <c r="M12024" t="s">
        <v>26434</v>
      </c>
      <c r="N12024" t="s">
        <v>26435</v>
      </c>
      <c r="O12024" t="s">
        <v>100</v>
      </c>
      <c r="P12024">
        <v>53574</v>
      </c>
      <c r="Q12024">
        <v>9331</v>
      </c>
      <c r="R12024" t="s">
        <v>23</v>
      </c>
      <c r="S12024" s="1" t="s">
        <v>34218</v>
      </c>
    </row>
    <row r="12025" spans="1:19" x14ac:dyDescent="0.25">
      <c r="A12025">
        <v>101144620</v>
      </c>
      <c r="B12025" t="s">
        <v>26436</v>
      </c>
      <c r="C12025" t="s">
        <v>1933</v>
      </c>
      <c r="G12025" t="s">
        <v>26437</v>
      </c>
      <c r="H12025" t="s">
        <v>2913</v>
      </c>
      <c r="I12025" t="s">
        <v>327</v>
      </c>
      <c r="J12025">
        <v>26501</v>
      </c>
      <c r="K12025">
        <v>4321</v>
      </c>
      <c r="L12025" t="s">
        <v>23</v>
      </c>
      <c r="M12025" t="s">
        <v>26437</v>
      </c>
      <c r="N12025" t="s">
        <v>2913</v>
      </c>
      <c r="O12025" t="s">
        <v>327</v>
      </c>
      <c r="P12025">
        <v>26501</v>
      </c>
      <c r="Q12025">
        <v>4321</v>
      </c>
      <c r="R12025" t="s">
        <v>23</v>
      </c>
      <c r="S12025" s="1" t="s">
        <v>34218</v>
      </c>
    </row>
    <row r="12026" spans="1:19" x14ac:dyDescent="0.25">
      <c r="A12026">
        <v>101297540</v>
      </c>
      <c r="B12026" t="s">
        <v>8608</v>
      </c>
      <c r="C12026" t="s">
        <v>26438</v>
      </c>
      <c r="G12026" t="s">
        <v>26439</v>
      </c>
      <c r="H12026" t="s">
        <v>26440</v>
      </c>
      <c r="I12026" t="s">
        <v>255</v>
      </c>
      <c r="J12026">
        <v>22968</v>
      </c>
      <c r="L12026" t="s">
        <v>23</v>
      </c>
      <c r="M12026" t="s">
        <v>26439</v>
      </c>
      <c r="N12026" t="s">
        <v>26440</v>
      </c>
      <c r="O12026" t="s">
        <v>255</v>
      </c>
      <c r="P12026">
        <v>22968</v>
      </c>
      <c r="R12026" t="s">
        <v>23</v>
      </c>
      <c r="S12026" s="1" t="s">
        <v>34218</v>
      </c>
    </row>
    <row r="12027" spans="1:19" x14ac:dyDescent="0.25">
      <c r="A12027">
        <v>100915386</v>
      </c>
      <c r="B12027" t="s">
        <v>6683</v>
      </c>
      <c r="C12027" t="s">
        <v>4960</v>
      </c>
      <c r="G12027">
        <v>7701</v>
      </c>
      <c r="H12027" t="s">
        <v>165</v>
      </c>
      <c r="I12027" t="s">
        <v>148</v>
      </c>
      <c r="J12027">
        <v>20817</v>
      </c>
      <c r="L12027" t="s">
        <v>23</v>
      </c>
      <c r="M12027">
        <v>7701</v>
      </c>
      <c r="N12027" t="s">
        <v>165</v>
      </c>
      <c r="O12027" t="s">
        <v>148</v>
      </c>
      <c r="P12027">
        <v>20817</v>
      </c>
      <c r="R12027" t="s">
        <v>23</v>
      </c>
      <c r="S12027" s="1" t="s">
        <v>34218</v>
      </c>
    </row>
    <row r="12028" spans="1:19" x14ac:dyDescent="0.25">
      <c r="A12028">
        <v>101301998</v>
      </c>
      <c r="B12028" t="s">
        <v>15922</v>
      </c>
      <c r="C12028" t="s">
        <v>7620</v>
      </c>
      <c r="G12028" t="s">
        <v>26441</v>
      </c>
      <c r="H12028" t="s">
        <v>10085</v>
      </c>
      <c r="I12028" t="s">
        <v>22</v>
      </c>
      <c r="J12028">
        <v>92211</v>
      </c>
      <c r="K12028">
        <v>4553</v>
      </c>
      <c r="L12028" t="s">
        <v>23</v>
      </c>
      <c r="M12028" t="s">
        <v>26441</v>
      </c>
      <c r="N12028" t="s">
        <v>10085</v>
      </c>
      <c r="O12028" t="s">
        <v>22</v>
      </c>
      <c r="P12028">
        <v>92211</v>
      </c>
      <c r="Q12028">
        <v>4553</v>
      </c>
      <c r="R12028" t="s">
        <v>23</v>
      </c>
      <c r="S12028" s="1" t="s">
        <v>34218</v>
      </c>
    </row>
    <row r="12029" spans="1:19" x14ac:dyDescent="0.25">
      <c r="A12029">
        <v>101424974</v>
      </c>
      <c r="B12029" t="s">
        <v>26442</v>
      </c>
      <c r="C12029" t="s">
        <v>26443</v>
      </c>
      <c r="G12029" t="s">
        <v>26444</v>
      </c>
      <c r="H12029" t="s">
        <v>26445</v>
      </c>
      <c r="I12029" t="s">
        <v>140</v>
      </c>
      <c r="J12029">
        <v>48341</v>
      </c>
      <c r="L12029" t="s">
        <v>23</v>
      </c>
      <c r="M12029" t="s">
        <v>26444</v>
      </c>
      <c r="N12029" t="s">
        <v>26445</v>
      </c>
      <c r="O12029" t="s">
        <v>140</v>
      </c>
      <c r="P12029">
        <v>48341</v>
      </c>
      <c r="R12029" t="s">
        <v>23</v>
      </c>
      <c r="S12029" s="1" t="s">
        <v>34218</v>
      </c>
    </row>
    <row r="12030" spans="1:19" x14ac:dyDescent="0.25">
      <c r="A12030">
        <v>101423428</v>
      </c>
      <c r="B12030" t="s">
        <v>26446</v>
      </c>
      <c r="C12030" t="s">
        <v>1824</v>
      </c>
      <c r="G12030" t="s">
        <v>26447</v>
      </c>
      <c r="H12030" t="s">
        <v>4405</v>
      </c>
      <c r="I12030" t="s">
        <v>43</v>
      </c>
      <c r="J12030">
        <v>19928</v>
      </c>
      <c r="L12030" t="s">
        <v>23</v>
      </c>
      <c r="M12030" t="s">
        <v>26447</v>
      </c>
      <c r="N12030" t="s">
        <v>4405</v>
      </c>
      <c r="O12030" t="s">
        <v>43</v>
      </c>
      <c r="P12030">
        <v>19928</v>
      </c>
      <c r="R12030" t="s">
        <v>23</v>
      </c>
      <c r="S12030" s="1" t="s">
        <v>34218</v>
      </c>
    </row>
    <row r="12031" spans="1:19" x14ac:dyDescent="0.25">
      <c r="A12031">
        <v>100999381</v>
      </c>
      <c r="B12031" t="s">
        <v>26448</v>
      </c>
      <c r="C12031" t="s">
        <v>158</v>
      </c>
      <c r="G12031" t="s">
        <v>26449</v>
      </c>
      <c r="H12031" t="s">
        <v>12692</v>
      </c>
      <c r="I12031" t="s">
        <v>28</v>
      </c>
      <c r="J12031">
        <v>30022</v>
      </c>
      <c r="K12031">
        <v>3058</v>
      </c>
      <c r="L12031" t="s">
        <v>23</v>
      </c>
      <c r="M12031" t="s">
        <v>26449</v>
      </c>
      <c r="N12031" t="s">
        <v>12692</v>
      </c>
      <c r="O12031" t="s">
        <v>28</v>
      </c>
      <c r="P12031">
        <v>30022</v>
      </c>
      <c r="Q12031">
        <v>3058</v>
      </c>
      <c r="R12031" t="s">
        <v>23</v>
      </c>
      <c r="S12031" s="1" t="s">
        <v>34218</v>
      </c>
    </row>
    <row r="12032" spans="1:19" x14ac:dyDescent="0.25">
      <c r="A12032">
        <v>101480685</v>
      </c>
      <c r="B12032" t="s">
        <v>20801</v>
      </c>
      <c r="C12032" t="s">
        <v>3545</v>
      </c>
      <c r="G12032" t="s">
        <v>26450</v>
      </c>
      <c r="H12032" t="s">
        <v>198</v>
      </c>
      <c r="I12032" t="s">
        <v>22</v>
      </c>
      <c r="J12032">
        <v>92131</v>
      </c>
      <c r="K12032">
        <v>2430</v>
      </c>
      <c r="L12032" t="s">
        <v>23</v>
      </c>
      <c r="M12032" t="s">
        <v>26450</v>
      </c>
      <c r="N12032" t="s">
        <v>198</v>
      </c>
      <c r="O12032" t="s">
        <v>22</v>
      </c>
      <c r="P12032">
        <v>92131</v>
      </c>
      <c r="Q12032">
        <v>2430</v>
      </c>
      <c r="R12032" t="s">
        <v>23</v>
      </c>
      <c r="S12032" s="1" t="s">
        <v>34218</v>
      </c>
    </row>
    <row r="12033" spans="1:19" x14ac:dyDescent="0.25">
      <c r="A12033">
        <v>101432049</v>
      </c>
      <c r="B12033" t="s">
        <v>5319</v>
      </c>
      <c r="C12033" t="s">
        <v>1384</v>
      </c>
      <c r="G12033" t="s">
        <v>26451</v>
      </c>
      <c r="H12033" t="s">
        <v>24669</v>
      </c>
      <c r="I12033" t="s">
        <v>57</v>
      </c>
      <c r="J12033">
        <v>46517</v>
      </c>
      <c r="K12033">
        <v>9455</v>
      </c>
      <c r="L12033" t="s">
        <v>23</v>
      </c>
      <c r="M12033" t="s">
        <v>26451</v>
      </c>
      <c r="N12033" t="s">
        <v>24669</v>
      </c>
      <c r="O12033" t="s">
        <v>57</v>
      </c>
      <c r="P12033">
        <v>46517</v>
      </c>
      <c r="Q12033">
        <v>9455</v>
      </c>
      <c r="R12033" t="s">
        <v>23</v>
      </c>
      <c r="S12033" s="1" t="s">
        <v>34218</v>
      </c>
    </row>
    <row r="12034" spans="1:19" x14ac:dyDescent="0.25">
      <c r="A12034">
        <v>101290345</v>
      </c>
      <c r="B12034" t="s">
        <v>3089</v>
      </c>
      <c r="C12034" t="s">
        <v>522</v>
      </c>
      <c r="G12034" t="s">
        <v>26452</v>
      </c>
      <c r="H12034" t="s">
        <v>26453</v>
      </c>
      <c r="I12034" t="s">
        <v>43</v>
      </c>
      <c r="J12034">
        <v>97388</v>
      </c>
      <c r="L12034" t="s">
        <v>23</v>
      </c>
      <c r="M12034" t="s">
        <v>26452</v>
      </c>
      <c r="N12034" t="s">
        <v>26453</v>
      </c>
      <c r="O12034" t="s">
        <v>43</v>
      </c>
      <c r="P12034">
        <v>97388</v>
      </c>
      <c r="R12034" t="s">
        <v>23</v>
      </c>
      <c r="S12034" s="1" t="s">
        <v>34218</v>
      </c>
    </row>
    <row r="12035" spans="1:19" x14ac:dyDescent="0.25">
      <c r="A12035">
        <v>101257500</v>
      </c>
      <c r="B12035" t="s">
        <v>26454</v>
      </c>
      <c r="C12035" t="s">
        <v>390</v>
      </c>
      <c r="G12035" t="s">
        <v>26455</v>
      </c>
      <c r="H12035" t="s">
        <v>130</v>
      </c>
      <c r="I12035" t="s">
        <v>22</v>
      </c>
      <c r="J12035">
        <v>94117</v>
      </c>
      <c r="K12035">
        <v>2392</v>
      </c>
      <c r="L12035" t="s">
        <v>23</v>
      </c>
      <c r="M12035" t="s">
        <v>26455</v>
      </c>
      <c r="N12035" t="s">
        <v>130</v>
      </c>
      <c r="O12035" t="s">
        <v>22</v>
      </c>
      <c r="P12035">
        <v>94117</v>
      </c>
      <c r="Q12035">
        <v>2392</v>
      </c>
      <c r="R12035" t="s">
        <v>23</v>
      </c>
      <c r="S12035" s="1" t="s">
        <v>34218</v>
      </c>
    </row>
    <row r="12036" spans="1:19" x14ac:dyDescent="0.25">
      <c r="A12036">
        <v>101318969</v>
      </c>
      <c r="B12036" t="s">
        <v>26456</v>
      </c>
      <c r="C12036" t="s">
        <v>9958</v>
      </c>
      <c r="G12036" t="s">
        <v>26457</v>
      </c>
      <c r="H12036" t="s">
        <v>5070</v>
      </c>
      <c r="I12036" t="s">
        <v>84</v>
      </c>
      <c r="J12036">
        <v>98682</v>
      </c>
      <c r="K12036">
        <v>7219</v>
      </c>
      <c r="L12036" t="s">
        <v>23</v>
      </c>
      <c r="M12036" t="s">
        <v>26457</v>
      </c>
      <c r="N12036" t="s">
        <v>5070</v>
      </c>
      <c r="O12036" t="s">
        <v>84</v>
      </c>
      <c r="P12036">
        <v>98682</v>
      </c>
      <c r="Q12036">
        <v>7219</v>
      </c>
      <c r="R12036" t="s">
        <v>23</v>
      </c>
      <c r="S12036" s="1" t="s">
        <v>34218</v>
      </c>
    </row>
    <row r="12037" spans="1:19" x14ac:dyDescent="0.25">
      <c r="A12037">
        <v>101214488</v>
      </c>
      <c r="B12037" t="s">
        <v>26458</v>
      </c>
      <c r="C12037" t="s">
        <v>10294</v>
      </c>
      <c r="G12037" t="s">
        <v>26459</v>
      </c>
      <c r="H12037" t="s">
        <v>507</v>
      </c>
      <c r="I12037" t="s">
        <v>446</v>
      </c>
      <c r="J12037">
        <v>28730</v>
      </c>
      <c r="K12037">
        <v>9700</v>
      </c>
      <c r="L12037" t="s">
        <v>23</v>
      </c>
      <c r="M12037" t="s">
        <v>26459</v>
      </c>
      <c r="N12037" t="s">
        <v>507</v>
      </c>
      <c r="O12037" t="s">
        <v>446</v>
      </c>
      <c r="P12037">
        <v>28730</v>
      </c>
      <c r="Q12037">
        <v>9700</v>
      </c>
      <c r="R12037" t="s">
        <v>23</v>
      </c>
      <c r="S12037" s="1" t="s">
        <v>34218</v>
      </c>
    </row>
    <row r="12038" spans="1:19" x14ac:dyDescent="0.25">
      <c r="A12038">
        <v>101418433</v>
      </c>
      <c r="B12038" t="s">
        <v>26460</v>
      </c>
      <c r="C12038" t="s">
        <v>894</v>
      </c>
      <c r="G12038" t="s">
        <v>26461</v>
      </c>
      <c r="H12038" t="s">
        <v>6433</v>
      </c>
      <c r="I12038" t="s">
        <v>57</v>
      </c>
      <c r="J12038">
        <v>46617</v>
      </c>
      <c r="K12038">
        <v>1108</v>
      </c>
      <c r="L12038" t="s">
        <v>23</v>
      </c>
      <c r="M12038" t="s">
        <v>26461</v>
      </c>
      <c r="N12038" t="s">
        <v>6433</v>
      </c>
      <c r="O12038" t="s">
        <v>57</v>
      </c>
      <c r="P12038">
        <v>46617</v>
      </c>
      <c r="Q12038">
        <v>1108</v>
      </c>
      <c r="R12038" t="s">
        <v>23</v>
      </c>
      <c r="S12038" s="1" t="s">
        <v>34218</v>
      </c>
    </row>
    <row r="12039" spans="1:19" x14ac:dyDescent="0.25">
      <c r="A12039">
        <v>100642829</v>
      </c>
      <c r="B12039" t="s">
        <v>18256</v>
      </c>
      <c r="C12039" t="s">
        <v>252</v>
      </c>
      <c r="G12039" t="s">
        <v>26462</v>
      </c>
      <c r="H12039" t="s">
        <v>2910</v>
      </c>
      <c r="I12039" t="s">
        <v>52</v>
      </c>
      <c r="J12039">
        <v>34232</v>
      </c>
      <c r="K12039">
        <v>2558</v>
      </c>
      <c r="L12039" t="s">
        <v>23</v>
      </c>
      <c r="M12039" t="s">
        <v>26462</v>
      </c>
      <c r="N12039" t="s">
        <v>2910</v>
      </c>
      <c r="O12039" t="s">
        <v>52</v>
      </c>
      <c r="P12039">
        <v>34232</v>
      </c>
      <c r="Q12039">
        <v>2558</v>
      </c>
      <c r="R12039" t="s">
        <v>23</v>
      </c>
      <c r="S12039" s="1" t="s">
        <v>34218</v>
      </c>
    </row>
    <row r="12040" spans="1:19" x14ac:dyDescent="0.25">
      <c r="A12040">
        <v>100767147</v>
      </c>
      <c r="B12040" t="s">
        <v>553</v>
      </c>
      <c r="C12040" t="s">
        <v>24013</v>
      </c>
      <c r="G12040" t="s">
        <v>26463</v>
      </c>
      <c r="H12040" t="s">
        <v>26464</v>
      </c>
      <c r="I12040" t="s">
        <v>153</v>
      </c>
      <c r="J12040">
        <v>70068</v>
      </c>
      <c r="K12040">
        <v>2712</v>
      </c>
      <c r="L12040" t="s">
        <v>23</v>
      </c>
      <c r="M12040" t="s">
        <v>26463</v>
      </c>
      <c r="N12040" t="s">
        <v>26464</v>
      </c>
      <c r="O12040" t="s">
        <v>153</v>
      </c>
      <c r="P12040">
        <v>70068</v>
      </c>
      <c r="Q12040">
        <v>2712</v>
      </c>
      <c r="R12040" t="s">
        <v>23</v>
      </c>
      <c r="S12040" s="1" t="s">
        <v>34218</v>
      </c>
    </row>
    <row r="12041" spans="1:19" x14ac:dyDescent="0.25">
      <c r="A12041">
        <v>100881340</v>
      </c>
      <c r="B12041" t="s">
        <v>26465</v>
      </c>
      <c r="C12041" t="s">
        <v>1463</v>
      </c>
      <c r="G12041" t="s">
        <v>26466</v>
      </c>
      <c r="H12041" t="s">
        <v>12831</v>
      </c>
      <c r="I12041" t="s">
        <v>84</v>
      </c>
      <c r="J12041">
        <v>98576</v>
      </c>
      <c r="K12041">
        <v>35</v>
      </c>
      <c r="L12041" t="s">
        <v>23</v>
      </c>
      <c r="M12041" t="s">
        <v>26466</v>
      </c>
      <c r="N12041" t="s">
        <v>12831</v>
      </c>
      <c r="O12041" t="s">
        <v>84</v>
      </c>
      <c r="P12041">
        <v>98576</v>
      </c>
      <c r="Q12041">
        <v>35</v>
      </c>
      <c r="R12041" t="s">
        <v>23</v>
      </c>
      <c r="S12041" s="1" t="s">
        <v>34218</v>
      </c>
    </row>
    <row r="12042" spans="1:19" x14ac:dyDescent="0.25">
      <c r="A12042">
        <v>101423522</v>
      </c>
      <c r="B12042" t="s">
        <v>26467</v>
      </c>
      <c r="C12042" t="s">
        <v>1161</v>
      </c>
      <c r="G12042" t="s">
        <v>26468</v>
      </c>
      <c r="H12042" t="s">
        <v>1674</v>
      </c>
      <c r="I12042" t="s">
        <v>22</v>
      </c>
      <c r="J12042">
        <v>91505</v>
      </c>
      <c r="K12042">
        <v>3837</v>
      </c>
      <c r="L12042" t="s">
        <v>23</v>
      </c>
      <c r="M12042" t="s">
        <v>26468</v>
      </c>
      <c r="N12042" t="s">
        <v>1674</v>
      </c>
      <c r="O12042" t="s">
        <v>22</v>
      </c>
      <c r="P12042">
        <v>91505</v>
      </c>
      <c r="Q12042">
        <v>3837</v>
      </c>
      <c r="R12042" t="s">
        <v>23</v>
      </c>
      <c r="S12042" s="1" t="s">
        <v>34218</v>
      </c>
    </row>
    <row r="12043" spans="1:19" x14ac:dyDescent="0.25">
      <c r="A12043">
        <v>101350092</v>
      </c>
      <c r="B12043" t="s">
        <v>5180</v>
      </c>
      <c r="C12043" t="s">
        <v>10806</v>
      </c>
      <c r="G12043" t="s">
        <v>26469</v>
      </c>
      <c r="H12043" t="s">
        <v>26470</v>
      </c>
      <c r="I12043" t="s">
        <v>22</v>
      </c>
      <c r="J12043">
        <v>95428</v>
      </c>
      <c r="L12043" t="s">
        <v>23</v>
      </c>
      <c r="M12043" t="s">
        <v>26469</v>
      </c>
      <c r="N12043" t="s">
        <v>26470</v>
      </c>
      <c r="O12043" t="s">
        <v>22</v>
      </c>
      <c r="P12043">
        <v>95428</v>
      </c>
      <c r="R12043" t="s">
        <v>23</v>
      </c>
      <c r="S12043" s="1" t="s">
        <v>34218</v>
      </c>
    </row>
    <row r="12044" spans="1:19" x14ac:dyDescent="0.25">
      <c r="A12044">
        <v>101303099</v>
      </c>
      <c r="B12044" t="s">
        <v>14400</v>
      </c>
      <c r="C12044" t="s">
        <v>1153</v>
      </c>
      <c r="G12044" t="s">
        <v>26471</v>
      </c>
      <c r="H12044" t="s">
        <v>3794</v>
      </c>
      <c r="I12044" t="s">
        <v>57</v>
      </c>
      <c r="J12044">
        <v>46122</v>
      </c>
      <c r="K12044">
        <v>9036</v>
      </c>
      <c r="L12044" t="s">
        <v>23</v>
      </c>
      <c r="M12044" t="s">
        <v>26471</v>
      </c>
      <c r="N12044" t="s">
        <v>3794</v>
      </c>
      <c r="O12044" t="s">
        <v>57</v>
      </c>
      <c r="P12044">
        <v>46122</v>
      </c>
      <c r="Q12044">
        <v>9036</v>
      </c>
      <c r="R12044" t="s">
        <v>23</v>
      </c>
      <c r="S12044" s="1" t="s">
        <v>34218</v>
      </c>
    </row>
    <row r="12045" spans="1:19" x14ac:dyDescent="0.25">
      <c r="A12045">
        <v>101234651</v>
      </c>
      <c r="B12045" t="s">
        <v>2509</v>
      </c>
      <c r="C12045" t="s">
        <v>1492</v>
      </c>
      <c r="G12045" t="s">
        <v>26472</v>
      </c>
      <c r="H12045" t="s">
        <v>26473</v>
      </c>
      <c r="I12045" t="s">
        <v>117</v>
      </c>
      <c r="J12045">
        <v>10980</v>
      </c>
      <c r="K12045">
        <v>2032</v>
      </c>
      <c r="L12045" t="s">
        <v>23</v>
      </c>
      <c r="M12045" t="s">
        <v>26472</v>
      </c>
      <c r="N12045" t="s">
        <v>26473</v>
      </c>
      <c r="O12045" t="s">
        <v>117</v>
      </c>
      <c r="P12045">
        <v>10980</v>
      </c>
      <c r="Q12045">
        <v>2032</v>
      </c>
      <c r="R12045" t="s">
        <v>23</v>
      </c>
      <c r="S12045" s="1" t="s">
        <v>34218</v>
      </c>
    </row>
    <row r="12046" spans="1:19" x14ac:dyDescent="0.25">
      <c r="A12046">
        <v>101429361</v>
      </c>
      <c r="B12046" t="s">
        <v>26474</v>
      </c>
      <c r="C12046" t="s">
        <v>535</v>
      </c>
      <c r="G12046" t="s">
        <v>26475</v>
      </c>
      <c r="H12046" t="s">
        <v>26476</v>
      </c>
      <c r="I12046" t="s">
        <v>22</v>
      </c>
      <c r="J12046">
        <v>95246</v>
      </c>
      <c r="K12046">
        <v>9591</v>
      </c>
      <c r="L12046" t="s">
        <v>23</v>
      </c>
      <c r="M12046" t="s">
        <v>26475</v>
      </c>
      <c r="N12046" t="s">
        <v>26476</v>
      </c>
      <c r="O12046" t="s">
        <v>22</v>
      </c>
      <c r="P12046">
        <v>95246</v>
      </c>
      <c r="Q12046">
        <v>9591</v>
      </c>
      <c r="R12046" t="s">
        <v>23</v>
      </c>
      <c r="S12046" s="1" t="s">
        <v>34218</v>
      </c>
    </row>
    <row r="12047" spans="1:19" x14ac:dyDescent="0.25">
      <c r="A12047">
        <v>101428363</v>
      </c>
      <c r="B12047" t="s">
        <v>26477</v>
      </c>
      <c r="C12047" t="s">
        <v>119</v>
      </c>
      <c r="G12047" t="s">
        <v>26478</v>
      </c>
      <c r="H12047" t="s">
        <v>393</v>
      </c>
      <c r="I12047" t="s">
        <v>71</v>
      </c>
      <c r="J12047">
        <v>80204</v>
      </c>
      <c r="K12047">
        <v>3566</v>
      </c>
      <c r="L12047" t="s">
        <v>23</v>
      </c>
      <c r="M12047" t="s">
        <v>26478</v>
      </c>
      <c r="N12047" t="s">
        <v>393</v>
      </c>
      <c r="O12047" t="s">
        <v>71</v>
      </c>
      <c r="P12047">
        <v>80204</v>
      </c>
      <c r="Q12047">
        <v>3566</v>
      </c>
      <c r="R12047" t="s">
        <v>23</v>
      </c>
      <c r="S12047" s="1" t="s">
        <v>34218</v>
      </c>
    </row>
    <row r="12048" spans="1:19" x14ac:dyDescent="0.25">
      <c r="A12048">
        <v>100944657</v>
      </c>
      <c r="B12048" t="s">
        <v>26479</v>
      </c>
      <c r="C12048" t="s">
        <v>10678</v>
      </c>
      <c r="G12048" t="s">
        <v>26480</v>
      </c>
      <c r="H12048" t="s">
        <v>653</v>
      </c>
      <c r="I12048" t="s">
        <v>117</v>
      </c>
      <c r="J12048">
        <v>10025</v>
      </c>
      <c r="K12048">
        <v>7243</v>
      </c>
      <c r="L12048" t="s">
        <v>23</v>
      </c>
      <c r="M12048" t="s">
        <v>26480</v>
      </c>
      <c r="N12048" t="s">
        <v>653</v>
      </c>
      <c r="O12048" t="s">
        <v>117</v>
      </c>
      <c r="P12048">
        <v>10025</v>
      </c>
      <c r="Q12048">
        <v>7243</v>
      </c>
      <c r="R12048" t="s">
        <v>23</v>
      </c>
      <c r="S12048" s="1" t="s">
        <v>34218</v>
      </c>
    </row>
    <row r="12049" spans="1:19" x14ac:dyDescent="0.25">
      <c r="A12049">
        <v>101474257</v>
      </c>
      <c r="B12049" t="s">
        <v>22286</v>
      </c>
      <c r="C12049" t="s">
        <v>26481</v>
      </c>
      <c r="G12049" t="s">
        <v>26482</v>
      </c>
      <c r="H12049" t="s">
        <v>2540</v>
      </c>
      <c r="I12049" t="s">
        <v>161</v>
      </c>
      <c r="J12049">
        <v>6855</v>
      </c>
      <c r="K12049">
        <v>2043</v>
      </c>
      <c r="L12049" t="s">
        <v>23</v>
      </c>
      <c r="M12049" t="s">
        <v>26482</v>
      </c>
      <c r="N12049" t="s">
        <v>2540</v>
      </c>
      <c r="O12049" t="s">
        <v>161</v>
      </c>
      <c r="P12049">
        <v>6855</v>
      </c>
      <c r="Q12049">
        <v>2043</v>
      </c>
      <c r="R12049" t="s">
        <v>23</v>
      </c>
      <c r="S12049" s="1" t="s">
        <v>34218</v>
      </c>
    </row>
    <row r="12050" spans="1:19" x14ac:dyDescent="0.25">
      <c r="A12050">
        <v>101470462</v>
      </c>
      <c r="B12050" t="s">
        <v>1554</v>
      </c>
      <c r="C12050" t="s">
        <v>3365</v>
      </c>
      <c r="G12050" t="s">
        <v>26483</v>
      </c>
      <c r="H12050" t="s">
        <v>130</v>
      </c>
      <c r="I12050" t="s">
        <v>22</v>
      </c>
      <c r="J12050">
        <v>94131</v>
      </c>
      <c r="K12050">
        <v>1409</v>
      </c>
      <c r="L12050" t="s">
        <v>23</v>
      </c>
      <c r="M12050" t="s">
        <v>26483</v>
      </c>
      <c r="N12050" t="s">
        <v>130</v>
      </c>
      <c r="O12050" t="s">
        <v>22</v>
      </c>
      <c r="P12050">
        <v>94131</v>
      </c>
      <c r="Q12050">
        <v>1409</v>
      </c>
      <c r="R12050" t="s">
        <v>23</v>
      </c>
      <c r="S12050" s="1" t="s">
        <v>34218</v>
      </c>
    </row>
    <row r="12051" spans="1:19" x14ac:dyDescent="0.25">
      <c r="A12051">
        <v>100532163</v>
      </c>
      <c r="B12051" t="s">
        <v>26484</v>
      </c>
      <c r="C12051" t="s">
        <v>26485</v>
      </c>
      <c r="G12051" t="s">
        <v>26486</v>
      </c>
      <c r="H12051" t="s">
        <v>2086</v>
      </c>
      <c r="I12051" t="s">
        <v>178</v>
      </c>
      <c r="J12051">
        <v>45236</v>
      </c>
      <c r="K12051">
        <v>2106</v>
      </c>
      <c r="L12051" t="s">
        <v>23</v>
      </c>
      <c r="M12051" t="s">
        <v>26486</v>
      </c>
      <c r="N12051" t="s">
        <v>2086</v>
      </c>
      <c r="O12051" t="s">
        <v>178</v>
      </c>
      <c r="P12051">
        <v>45236</v>
      </c>
      <c r="Q12051">
        <v>2106</v>
      </c>
      <c r="R12051" t="s">
        <v>23</v>
      </c>
      <c r="S12051" s="1" t="s">
        <v>34218</v>
      </c>
    </row>
    <row r="12052" spans="1:19" x14ac:dyDescent="0.25">
      <c r="A12052">
        <v>101466688</v>
      </c>
      <c r="B12052" t="s">
        <v>4197</v>
      </c>
      <c r="C12052" t="s">
        <v>8144</v>
      </c>
      <c r="G12052" t="s">
        <v>26487</v>
      </c>
      <c r="H12052" t="s">
        <v>653</v>
      </c>
      <c r="I12052" t="s">
        <v>117</v>
      </c>
      <c r="J12052">
        <v>10001</v>
      </c>
      <c r="K12052">
        <v>5823</v>
      </c>
      <c r="L12052" t="s">
        <v>23</v>
      </c>
      <c r="M12052" t="s">
        <v>26487</v>
      </c>
      <c r="N12052" t="s">
        <v>653</v>
      </c>
      <c r="O12052" t="s">
        <v>117</v>
      </c>
      <c r="P12052">
        <v>10001</v>
      </c>
      <c r="Q12052">
        <v>5823</v>
      </c>
      <c r="R12052" t="s">
        <v>23</v>
      </c>
      <c r="S12052" s="1" t="s">
        <v>34218</v>
      </c>
    </row>
    <row r="12053" spans="1:19" x14ac:dyDescent="0.25">
      <c r="A12053">
        <v>101467062</v>
      </c>
      <c r="B12053" t="s">
        <v>26488</v>
      </c>
      <c r="C12053" t="s">
        <v>641</v>
      </c>
      <c r="G12053" t="s">
        <v>26489</v>
      </c>
      <c r="H12053" t="s">
        <v>3815</v>
      </c>
      <c r="I12053" t="s">
        <v>22</v>
      </c>
      <c r="J12053">
        <v>94960</v>
      </c>
      <c r="K12053">
        <v>1223</v>
      </c>
      <c r="L12053" t="s">
        <v>23</v>
      </c>
      <c r="M12053" t="s">
        <v>26489</v>
      </c>
      <c r="N12053" t="s">
        <v>3815</v>
      </c>
      <c r="O12053" t="s">
        <v>22</v>
      </c>
      <c r="P12053">
        <v>94960</v>
      </c>
      <c r="Q12053">
        <v>1223</v>
      </c>
      <c r="R12053" t="s">
        <v>23</v>
      </c>
      <c r="S12053" s="1" t="s">
        <v>34218</v>
      </c>
    </row>
    <row r="12054" spans="1:19" x14ac:dyDescent="0.25">
      <c r="A12054">
        <v>101454728</v>
      </c>
      <c r="B12054" t="s">
        <v>17571</v>
      </c>
      <c r="C12054" t="s">
        <v>8472</v>
      </c>
      <c r="G12054" t="s">
        <v>26490</v>
      </c>
      <c r="H12054" t="s">
        <v>299</v>
      </c>
      <c r="I12054" t="s">
        <v>22</v>
      </c>
      <c r="J12054">
        <v>90046</v>
      </c>
      <c r="K12054">
        <v>1025</v>
      </c>
      <c r="L12054" t="s">
        <v>23</v>
      </c>
      <c r="M12054" t="s">
        <v>26490</v>
      </c>
      <c r="N12054" t="s">
        <v>299</v>
      </c>
      <c r="O12054" t="s">
        <v>22</v>
      </c>
      <c r="P12054">
        <v>90046</v>
      </c>
      <c r="Q12054">
        <v>1025</v>
      </c>
      <c r="R12054" t="s">
        <v>23</v>
      </c>
      <c r="S12054" s="1" t="s">
        <v>34218</v>
      </c>
    </row>
    <row r="12055" spans="1:19" x14ac:dyDescent="0.25">
      <c r="A12055">
        <v>101470639</v>
      </c>
      <c r="B12055" t="s">
        <v>11399</v>
      </c>
      <c r="C12055" t="s">
        <v>14963</v>
      </c>
      <c r="G12055" t="s">
        <v>26491</v>
      </c>
      <c r="H12055" t="s">
        <v>2031</v>
      </c>
      <c r="I12055" t="s">
        <v>22</v>
      </c>
      <c r="J12055">
        <v>94063</v>
      </c>
      <c r="K12055">
        <v>4114</v>
      </c>
      <c r="L12055" t="s">
        <v>23</v>
      </c>
      <c r="M12055" t="s">
        <v>26491</v>
      </c>
      <c r="N12055" t="s">
        <v>2031</v>
      </c>
      <c r="O12055" t="s">
        <v>22</v>
      </c>
      <c r="P12055">
        <v>94063</v>
      </c>
      <c r="Q12055">
        <v>4114</v>
      </c>
      <c r="R12055" t="s">
        <v>23</v>
      </c>
      <c r="S12055" s="1" t="s">
        <v>34218</v>
      </c>
    </row>
    <row r="12056" spans="1:19" x14ac:dyDescent="0.25">
      <c r="A12056">
        <v>101447712</v>
      </c>
      <c r="B12056" t="s">
        <v>26492</v>
      </c>
      <c r="C12056" t="s">
        <v>728</v>
      </c>
      <c r="G12056" t="s">
        <v>26493</v>
      </c>
      <c r="H12056" t="s">
        <v>4105</v>
      </c>
      <c r="I12056" t="s">
        <v>117</v>
      </c>
      <c r="J12056">
        <v>11375</v>
      </c>
      <c r="K12056">
        <v>3836</v>
      </c>
      <c r="L12056" t="s">
        <v>23</v>
      </c>
      <c r="M12056" t="s">
        <v>26493</v>
      </c>
      <c r="N12056" t="s">
        <v>4105</v>
      </c>
      <c r="O12056" t="s">
        <v>117</v>
      </c>
      <c r="P12056">
        <v>11375</v>
      </c>
      <c r="Q12056">
        <v>3836</v>
      </c>
      <c r="R12056" t="s">
        <v>23</v>
      </c>
      <c r="S12056" s="1" t="s">
        <v>34218</v>
      </c>
    </row>
    <row r="12057" spans="1:19" x14ac:dyDescent="0.25">
      <c r="A12057">
        <v>101046930</v>
      </c>
      <c r="B12057" t="s">
        <v>1619</v>
      </c>
      <c r="C12057" t="s">
        <v>30</v>
      </c>
      <c r="G12057" t="s">
        <v>26494</v>
      </c>
      <c r="H12057" t="s">
        <v>1439</v>
      </c>
      <c r="I12057" t="s">
        <v>365</v>
      </c>
      <c r="J12057">
        <v>85716</v>
      </c>
      <c r="K12057">
        <v>3845</v>
      </c>
      <c r="L12057" t="s">
        <v>23</v>
      </c>
      <c r="M12057" t="s">
        <v>26494</v>
      </c>
      <c r="N12057" t="s">
        <v>1439</v>
      </c>
      <c r="O12057" t="s">
        <v>365</v>
      </c>
      <c r="P12057">
        <v>85716</v>
      </c>
      <c r="Q12057">
        <v>3845</v>
      </c>
      <c r="R12057" t="s">
        <v>23</v>
      </c>
      <c r="S12057" s="1" t="s">
        <v>34218</v>
      </c>
    </row>
    <row r="12058" spans="1:19" x14ac:dyDescent="0.25">
      <c r="A12058">
        <v>101247949</v>
      </c>
      <c r="B12058" t="s">
        <v>26495</v>
      </c>
      <c r="C12058" t="s">
        <v>547</v>
      </c>
      <c r="G12058" t="s">
        <v>26496</v>
      </c>
      <c r="H12058" t="s">
        <v>26497</v>
      </c>
      <c r="I12058" t="s">
        <v>33</v>
      </c>
      <c r="J12058">
        <v>19073</v>
      </c>
      <c r="K12058">
        <v>4402</v>
      </c>
      <c r="L12058" t="s">
        <v>23</v>
      </c>
      <c r="M12058" t="s">
        <v>26496</v>
      </c>
      <c r="N12058" t="s">
        <v>26497</v>
      </c>
      <c r="O12058" t="s">
        <v>33</v>
      </c>
      <c r="P12058">
        <v>19073</v>
      </c>
      <c r="Q12058">
        <v>4402</v>
      </c>
      <c r="R12058" t="s">
        <v>23</v>
      </c>
      <c r="S12058" s="1" t="s">
        <v>34218</v>
      </c>
    </row>
    <row r="12059" spans="1:19" x14ac:dyDescent="0.25">
      <c r="A12059">
        <v>101466015</v>
      </c>
      <c r="B12059" t="s">
        <v>26498</v>
      </c>
      <c r="C12059" t="s">
        <v>522</v>
      </c>
      <c r="G12059" t="s">
        <v>26499</v>
      </c>
      <c r="H12059" t="s">
        <v>12904</v>
      </c>
      <c r="I12059" t="s">
        <v>250</v>
      </c>
      <c r="J12059">
        <v>8037</v>
      </c>
      <c r="K12059">
        <v>3149</v>
      </c>
      <c r="L12059" t="s">
        <v>23</v>
      </c>
      <c r="M12059" t="s">
        <v>26499</v>
      </c>
      <c r="N12059" t="s">
        <v>12904</v>
      </c>
      <c r="O12059" t="s">
        <v>250</v>
      </c>
      <c r="P12059">
        <v>8037</v>
      </c>
      <c r="Q12059">
        <v>3149</v>
      </c>
      <c r="R12059" t="s">
        <v>23</v>
      </c>
      <c r="S12059" s="1" t="s">
        <v>34218</v>
      </c>
    </row>
    <row r="12060" spans="1:19" x14ac:dyDescent="0.25">
      <c r="A12060">
        <v>101427071</v>
      </c>
      <c r="B12060" t="s">
        <v>224</v>
      </c>
      <c r="C12060" t="s">
        <v>1327</v>
      </c>
      <c r="G12060" t="s">
        <v>26500</v>
      </c>
      <c r="H12060" t="s">
        <v>412</v>
      </c>
      <c r="I12060" t="s">
        <v>117</v>
      </c>
      <c r="J12060">
        <v>11201</v>
      </c>
      <c r="K12060">
        <v>6561</v>
      </c>
      <c r="L12060" t="s">
        <v>23</v>
      </c>
      <c r="M12060" t="s">
        <v>26500</v>
      </c>
      <c r="N12060" t="s">
        <v>412</v>
      </c>
      <c r="O12060" t="s">
        <v>117</v>
      </c>
      <c r="P12060">
        <v>11201</v>
      </c>
      <c r="Q12060">
        <v>6561</v>
      </c>
      <c r="R12060" t="s">
        <v>23</v>
      </c>
      <c r="S12060" s="1" t="s">
        <v>34218</v>
      </c>
    </row>
    <row r="12061" spans="1:19" x14ac:dyDescent="0.25">
      <c r="A12061">
        <v>101480674</v>
      </c>
      <c r="B12061" t="s">
        <v>26501</v>
      </c>
      <c r="C12061" t="s">
        <v>8472</v>
      </c>
      <c r="G12061" t="s">
        <v>26502</v>
      </c>
      <c r="H12061" t="s">
        <v>26503</v>
      </c>
      <c r="I12061" t="s">
        <v>28</v>
      </c>
      <c r="J12061">
        <v>30518</v>
      </c>
      <c r="K12061">
        <v>5318</v>
      </c>
      <c r="L12061" t="s">
        <v>23</v>
      </c>
      <c r="M12061" t="s">
        <v>26502</v>
      </c>
      <c r="N12061" t="s">
        <v>26503</v>
      </c>
      <c r="O12061" t="s">
        <v>28</v>
      </c>
      <c r="P12061">
        <v>30518</v>
      </c>
      <c r="Q12061">
        <v>5318</v>
      </c>
      <c r="R12061" t="s">
        <v>23</v>
      </c>
      <c r="S12061" s="1" t="s">
        <v>34218</v>
      </c>
    </row>
    <row r="12062" spans="1:19" x14ac:dyDescent="0.25">
      <c r="A12062">
        <v>101312245</v>
      </c>
      <c r="B12062" t="s">
        <v>26504</v>
      </c>
      <c r="C12062" t="s">
        <v>1409</v>
      </c>
      <c r="G12062" t="s">
        <v>26505</v>
      </c>
      <c r="H12062" t="s">
        <v>4378</v>
      </c>
      <c r="I12062" t="s">
        <v>38</v>
      </c>
      <c r="J12062" t="s">
        <v>26506</v>
      </c>
      <c r="K12062">
        <v>7701</v>
      </c>
      <c r="L12062" t="s">
        <v>23</v>
      </c>
      <c r="M12062" t="s">
        <v>26505</v>
      </c>
      <c r="N12062" t="s">
        <v>4378</v>
      </c>
      <c r="O12062" t="s">
        <v>38</v>
      </c>
      <c r="P12062" t="s">
        <v>26506</v>
      </c>
      <c r="Q12062">
        <v>7701</v>
      </c>
      <c r="R12062" t="s">
        <v>23</v>
      </c>
      <c r="S12062" s="1" t="s">
        <v>34218</v>
      </c>
    </row>
    <row r="12063" spans="1:19" x14ac:dyDescent="0.25">
      <c r="A12063">
        <v>100979668</v>
      </c>
      <c r="B12063" t="s">
        <v>26507</v>
      </c>
      <c r="C12063" t="s">
        <v>890</v>
      </c>
      <c r="G12063" t="s">
        <v>26508</v>
      </c>
      <c r="H12063" t="s">
        <v>227</v>
      </c>
      <c r="I12063" t="s">
        <v>191</v>
      </c>
      <c r="J12063">
        <v>4104</v>
      </c>
      <c r="K12063">
        <v>7233</v>
      </c>
      <c r="L12063" t="s">
        <v>23</v>
      </c>
      <c r="M12063" t="s">
        <v>26508</v>
      </c>
      <c r="N12063" t="s">
        <v>227</v>
      </c>
      <c r="O12063" t="s">
        <v>191</v>
      </c>
      <c r="P12063">
        <v>4104</v>
      </c>
      <c r="Q12063">
        <v>7233</v>
      </c>
      <c r="R12063" t="s">
        <v>23</v>
      </c>
      <c r="S12063" s="1" t="s">
        <v>34218</v>
      </c>
    </row>
    <row r="12064" spans="1:19" x14ac:dyDescent="0.25">
      <c r="A12064">
        <v>101281881</v>
      </c>
      <c r="B12064" t="s">
        <v>1619</v>
      </c>
      <c r="C12064" t="s">
        <v>26509</v>
      </c>
      <c r="G12064" t="s">
        <v>26510</v>
      </c>
      <c r="H12064" t="s">
        <v>1415</v>
      </c>
      <c r="I12064" t="s">
        <v>365</v>
      </c>
      <c r="J12064">
        <v>85295</v>
      </c>
      <c r="K12064">
        <v>3433</v>
      </c>
      <c r="L12064" t="s">
        <v>23</v>
      </c>
      <c r="M12064" t="s">
        <v>26510</v>
      </c>
      <c r="N12064" t="s">
        <v>1415</v>
      </c>
      <c r="O12064" t="s">
        <v>365</v>
      </c>
      <c r="P12064">
        <v>85295</v>
      </c>
      <c r="Q12064">
        <v>3433</v>
      </c>
      <c r="R12064" t="s">
        <v>23</v>
      </c>
      <c r="S12064" s="1" t="s">
        <v>34218</v>
      </c>
    </row>
    <row r="12065" spans="1:19" x14ac:dyDescent="0.25">
      <c r="A12065">
        <v>101480690</v>
      </c>
      <c r="B12065" t="s">
        <v>24138</v>
      </c>
      <c r="C12065" t="s">
        <v>6917</v>
      </c>
      <c r="G12065" t="s">
        <v>26511</v>
      </c>
      <c r="H12065" t="s">
        <v>4611</v>
      </c>
      <c r="I12065" t="s">
        <v>135</v>
      </c>
      <c r="J12065">
        <v>60137</v>
      </c>
      <c r="L12065" t="s">
        <v>23</v>
      </c>
      <c r="M12065" t="s">
        <v>26511</v>
      </c>
      <c r="N12065" t="s">
        <v>4611</v>
      </c>
      <c r="O12065" t="s">
        <v>135</v>
      </c>
      <c r="P12065">
        <v>60137</v>
      </c>
      <c r="R12065" t="s">
        <v>23</v>
      </c>
      <c r="S12065" s="1" t="s">
        <v>34218</v>
      </c>
    </row>
    <row r="12066" spans="1:19" x14ac:dyDescent="0.25">
      <c r="A12066">
        <v>101469450</v>
      </c>
      <c r="B12066" t="s">
        <v>2446</v>
      </c>
      <c r="C12066" t="s">
        <v>4956</v>
      </c>
      <c r="G12066" t="s">
        <v>26512</v>
      </c>
      <c r="H12066" t="s">
        <v>88</v>
      </c>
      <c r="I12066" t="s">
        <v>22</v>
      </c>
      <c r="J12066">
        <v>94609</v>
      </c>
      <c r="K12066">
        <v>5067</v>
      </c>
      <c r="L12066" t="s">
        <v>23</v>
      </c>
      <c r="M12066" t="s">
        <v>26512</v>
      </c>
      <c r="N12066" t="s">
        <v>88</v>
      </c>
      <c r="O12066" t="s">
        <v>22</v>
      </c>
      <c r="P12066">
        <v>94609</v>
      </c>
      <c r="Q12066">
        <v>5067</v>
      </c>
      <c r="R12066" t="s">
        <v>23</v>
      </c>
      <c r="S12066" s="1" t="s">
        <v>34218</v>
      </c>
    </row>
    <row r="12067" spans="1:19" x14ac:dyDescent="0.25">
      <c r="A12067">
        <v>101476553</v>
      </c>
      <c r="B12067" t="s">
        <v>26513</v>
      </c>
      <c r="C12067" t="s">
        <v>3670</v>
      </c>
      <c r="G12067" t="s">
        <v>26514</v>
      </c>
      <c r="H12067" t="s">
        <v>10101</v>
      </c>
      <c r="I12067" t="s">
        <v>52</v>
      </c>
      <c r="J12067">
        <v>33904</v>
      </c>
      <c r="K12067">
        <v>3012</v>
      </c>
      <c r="L12067" t="s">
        <v>23</v>
      </c>
      <c r="M12067" t="s">
        <v>26514</v>
      </c>
      <c r="N12067" t="s">
        <v>10101</v>
      </c>
      <c r="O12067" t="s">
        <v>52</v>
      </c>
      <c r="P12067">
        <v>33904</v>
      </c>
      <c r="Q12067">
        <v>3012</v>
      </c>
      <c r="R12067" t="s">
        <v>23</v>
      </c>
      <c r="S12067" s="1" t="s">
        <v>34218</v>
      </c>
    </row>
    <row r="12068" spans="1:19" x14ac:dyDescent="0.25">
      <c r="A12068">
        <v>101298751</v>
      </c>
      <c r="B12068" t="s">
        <v>26515</v>
      </c>
      <c r="C12068" t="s">
        <v>390</v>
      </c>
      <c r="G12068" t="s">
        <v>26516</v>
      </c>
      <c r="H12068" t="s">
        <v>14984</v>
      </c>
      <c r="I12068" t="s">
        <v>52</v>
      </c>
      <c r="J12068">
        <v>32174</v>
      </c>
      <c r="K12068">
        <v>1172</v>
      </c>
      <c r="L12068" t="s">
        <v>23</v>
      </c>
      <c r="M12068" t="s">
        <v>26516</v>
      </c>
      <c r="N12068" t="s">
        <v>14984</v>
      </c>
      <c r="O12068" t="s">
        <v>52</v>
      </c>
      <c r="P12068">
        <v>32174</v>
      </c>
      <c r="Q12068">
        <v>1172</v>
      </c>
      <c r="R12068" t="s">
        <v>23</v>
      </c>
      <c r="S12068" s="1" t="s">
        <v>34218</v>
      </c>
    </row>
    <row r="12069" spans="1:19" x14ac:dyDescent="0.25">
      <c r="A12069">
        <v>101480697</v>
      </c>
      <c r="B12069" t="s">
        <v>26517</v>
      </c>
      <c r="C12069" t="s">
        <v>466</v>
      </c>
      <c r="G12069" t="s">
        <v>26518</v>
      </c>
      <c r="H12069" t="s">
        <v>2762</v>
      </c>
      <c r="I12069" t="s">
        <v>43</v>
      </c>
      <c r="J12069">
        <v>97439</v>
      </c>
      <c r="K12069">
        <v>7361</v>
      </c>
      <c r="L12069" t="s">
        <v>23</v>
      </c>
      <c r="M12069" t="s">
        <v>26518</v>
      </c>
      <c r="N12069" t="s">
        <v>2762</v>
      </c>
      <c r="O12069" t="s">
        <v>43</v>
      </c>
      <c r="P12069">
        <v>97439</v>
      </c>
      <c r="Q12069">
        <v>7361</v>
      </c>
      <c r="R12069" t="s">
        <v>23</v>
      </c>
      <c r="S12069" s="1" t="s">
        <v>34218</v>
      </c>
    </row>
    <row r="12070" spans="1:19" x14ac:dyDescent="0.25">
      <c r="A12070">
        <v>101304075</v>
      </c>
      <c r="B12070" t="s">
        <v>26519</v>
      </c>
      <c r="C12070" t="s">
        <v>119</v>
      </c>
      <c r="G12070" t="s">
        <v>26520</v>
      </c>
      <c r="H12070" t="s">
        <v>14474</v>
      </c>
      <c r="I12070" t="s">
        <v>52</v>
      </c>
      <c r="J12070">
        <v>33029</v>
      </c>
      <c r="K12070">
        <v>3687</v>
      </c>
      <c r="L12070" t="s">
        <v>23</v>
      </c>
      <c r="M12070" t="s">
        <v>26520</v>
      </c>
      <c r="N12070" t="s">
        <v>14474</v>
      </c>
      <c r="O12070" t="s">
        <v>52</v>
      </c>
      <c r="P12070">
        <v>33029</v>
      </c>
      <c r="Q12070">
        <v>3687</v>
      </c>
      <c r="R12070" t="s">
        <v>23</v>
      </c>
      <c r="S12070" s="1" t="s">
        <v>34218</v>
      </c>
    </row>
    <row r="12071" spans="1:19" x14ac:dyDescent="0.25">
      <c r="A12071">
        <v>101374071</v>
      </c>
      <c r="B12071" t="s">
        <v>26521</v>
      </c>
      <c r="C12071" t="s">
        <v>865</v>
      </c>
      <c r="G12071" t="s">
        <v>26522</v>
      </c>
      <c r="H12071" t="s">
        <v>8502</v>
      </c>
      <c r="I12071" t="s">
        <v>22</v>
      </c>
      <c r="J12071">
        <v>95437</v>
      </c>
      <c r="K12071">
        <v>3128</v>
      </c>
      <c r="L12071" t="s">
        <v>23</v>
      </c>
      <c r="M12071" t="s">
        <v>26522</v>
      </c>
      <c r="N12071" t="s">
        <v>8502</v>
      </c>
      <c r="O12071" t="s">
        <v>22</v>
      </c>
      <c r="P12071">
        <v>95437</v>
      </c>
      <c r="Q12071">
        <v>3128</v>
      </c>
      <c r="R12071" t="s">
        <v>23</v>
      </c>
      <c r="S12071" s="1" t="s">
        <v>34218</v>
      </c>
    </row>
    <row r="12072" spans="1:19" x14ac:dyDescent="0.25">
      <c r="A12072">
        <v>101480708</v>
      </c>
      <c r="B12072" t="s">
        <v>26523</v>
      </c>
      <c r="C12072" t="s">
        <v>535</v>
      </c>
      <c r="G12072" t="s">
        <v>26524</v>
      </c>
      <c r="H12072" t="s">
        <v>4235</v>
      </c>
      <c r="I12072" t="s">
        <v>984</v>
      </c>
      <c r="J12072">
        <v>96814</v>
      </c>
      <c r="K12072">
        <v>3247</v>
      </c>
      <c r="L12072" t="s">
        <v>23</v>
      </c>
      <c r="M12072" t="s">
        <v>26524</v>
      </c>
      <c r="N12072" t="s">
        <v>4235</v>
      </c>
      <c r="O12072" t="s">
        <v>984</v>
      </c>
      <c r="P12072">
        <v>96814</v>
      </c>
      <c r="Q12072">
        <v>3247</v>
      </c>
      <c r="R12072" t="s">
        <v>23</v>
      </c>
      <c r="S12072" s="1" t="s">
        <v>34218</v>
      </c>
    </row>
    <row r="12073" spans="1:19" x14ac:dyDescent="0.25">
      <c r="A12073">
        <v>100974965</v>
      </c>
      <c r="B12073" t="s">
        <v>25641</v>
      </c>
      <c r="C12073" t="s">
        <v>30</v>
      </c>
      <c r="G12073" t="s">
        <v>26525</v>
      </c>
      <c r="H12073" t="s">
        <v>75</v>
      </c>
      <c r="I12073" t="s">
        <v>22</v>
      </c>
      <c r="J12073">
        <v>94559</v>
      </c>
      <c r="K12073">
        <v>2245</v>
      </c>
      <c r="L12073" t="s">
        <v>23</v>
      </c>
      <c r="M12073" t="s">
        <v>26525</v>
      </c>
      <c r="N12073" t="s">
        <v>75</v>
      </c>
      <c r="O12073" t="s">
        <v>22</v>
      </c>
      <c r="P12073">
        <v>94559</v>
      </c>
      <c r="Q12073">
        <v>2245</v>
      </c>
      <c r="R12073" t="s">
        <v>23</v>
      </c>
      <c r="S12073" s="1" t="s">
        <v>34218</v>
      </c>
    </row>
    <row r="12074" spans="1:19" x14ac:dyDescent="0.25">
      <c r="A12074">
        <v>101456017</v>
      </c>
      <c r="B12074" t="s">
        <v>1734</v>
      </c>
      <c r="C12074" t="s">
        <v>575</v>
      </c>
      <c r="G12074" t="s">
        <v>26526</v>
      </c>
      <c r="H12074" t="s">
        <v>26527</v>
      </c>
      <c r="I12074" t="s">
        <v>161</v>
      </c>
      <c r="J12074">
        <v>15600</v>
      </c>
      <c r="L12074" t="s">
        <v>23</v>
      </c>
      <c r="M12074" t="s">
        <v>26526</v>
      </c>
      <c r="N12074" t="s">
        <v>26527</v>
      </c>
      <c r="O12074" t="s">
        <v>161</v>
      </c>
      <c r="P12074">
        <v>15600</v>
      </c>
      <c r="R12074" t="s">
        <v>23</v>
      </c>
      <c r="S12074" s="1" t="s">
        <v>34218</v>
      </c>
    </row>
    <row r="12075" spans="1:19" x14ac:dyDescent="0.25">
      <c r="A12075">
        <v>101409652</v>
      </c>
      <c r="B12075" t="s">
        <v>26528</v>
      </c>
      <c r="C12075" t="s">
        <v>114</v>
      </c>
      <c r="G12075" t="s">
        <v>26529</v>
      </c>
      <c r="H12075" t="s">
        <v>529</v>
      </c>
      <c r="I12075" t="s">
        <v>71</v>
      </c>
      <c r="J12075">
        <v>80538</v>
      </c>
      <c r="L12075" t="s">
        <v>23</v>
      </c>
      <c r="M12075" t="s">
        <v>26529</v>
      </c>
      <c r="N12075" t="s">
        <v>529</v>
      </c>
      <c r="O12075" t="s">
        <v>71</v>
      </c>
      <c r="P12075">
        <v>80538</v>
      </c>
      <c r="R12075" t="s">
        <v>23</v>
      </c>
      <c r="S12075" s="1" t="s">
        <v>34218</v>
      </c>
    </row>
    <row r="12076" spans="1:19" x14ac:dyDescent="0.25">
      <c r="A12076">
        <v>101477108</v>
      </c>
      <c r="B12076" t="s">
        <v>26530</v>
      </c>
      <c r="C12076" t="s">
        <v>286</v>
      </c>
      <c r="G12076" t="s">
        <v>26531</v>
      </c>
      <c r="H12076" t="s">
        <v>134</v>
      </c>
      <c r="I12076" t="s">
        <v>135</v>
      </c>
      <c r="J12076">
        <v>60656</v>
      </c>
      <c r="K12076">
        <v>1199</v>
      </c>
      <c r="L12076" t="s">
        <v>23</v>
      </c>
      <c r="M12076" t="s">
        <v>26531</v>
      </c>
      <c r="N12076" t="s">
        <v>134</v>
      </c>
      <c r="O12076" t="s">
        <v>135</v>
      </c>
      <c r="P12076">
        <v>60656</v>
      </c>
      <c r="Q12076">
        <v>1199</v>
      </c>
      <c r="R12076" t="s">
        <v>23</v>
      </c>
      <c r="S12076" s="1" t="s">
        <v>34218</v>
      </c>
    </row>
    <row r="12077" spans="1:19" x14ac:dyDescent="0.25">
      <c r="A12077">
        <v>101480718</v>
      </c>
      <c r="B12077" t="s">
        <v>26532</v>
      </c>
      <c r="C12077" t="s">
        <v>7538</v>
      </c>
      <c r="G12077" t="s">
        <v>17996</v>
      </c>
      <c r="H12077" t="s">
        <v>17140</v>
      </c>
      <c r="I12077" t="s">
        <v>38</v>
      </c>
      <c r="J12077">
        <v>76540</v>
      </c>
      <c r="K12077">
        <v>315</v>
      </c>
      <c r="L12077" t="s">
        <v>23</v>
      </c>
      <c r="M12077" t="s">
        <v>17996</v>
      </c>
      <c r="N12077" t="s">
        <v>17140</v>
      </c>
      <c r="O12077" t="s">
        <v>38</v>
      </c>
      <c r="P12077">
        <v>76540</v>
      </c>
      <c r="Q12077">
        <v>315</v>
      </c>
      <c r="R12077" t="s">
        <v>23</v>
      </c>
      <c r="S12077" s="1" t="s">
        <v>34218</v>
      </c>
    </row>
    <row r="12078" spans="1:19" x14ac:dyDescent="0.25">
      <c r="A12078">
        <v>100919356</v>
      </c>
      <c r="B12078" t="s">
        <v>15379</v>
      </c>
      <c r="C12078" t="s">
        <v>26533</v>
      </c>
      <c r="G12078" t="s">
        <v>26534</v>
      </c>
      <c r="H12078" t="s">
        <v>26535</v>
      </c>
      <c r="I12078" t="s">
        <v>43</v>
      </c>
      <c r="J12078">
        <v>89171</v>
      </c>
      <c r="L12078" t="s">
        <v>23</v>
      </c>
      <c r="M12078" t="s">
        <v>26534</v>
      </c>
      <c r="N12078" t="s">
        <v>26535</v>
      </c>
      <c r="O12078" t="s">
        <v>43</v>
      </c>
      <c r="P12078">
        <v>89171</v>
      </c>
      <c r="R12078" t="s">
        <v>23</v>
      </c>
      <c r="S12078" s="1" t="s">
        <v>34218</v>
      </c>
    </row>
    <row r="12079" spans="1:19" x14ac:dyDescent="0.25">
      <c r="A12079">
        <v>101168413</v>
      </c>
      <c r="B12079" t="s">
        <v>26536</v>
      </c>
      <c r="C12079" t="s">
        <v>10294</v>
      </c>
      <c r="G12079" t="s">
        <v>26537</v>
      </c>
      <c r="H12079" t="s">
        <v>143</v>
      </c>
      <c r="I12079" t="s">
        <v>52</v>
      </c>
      <c r="J12079">
        <v>32277</v>
      </c>
      <c r="K12079">
        <v>2540</v>
      </c>
      <c r="L12079" t="s">
        <v>23</v>
      </c>
      <c r="M12079" t="s">
        <v>26537</v>
      </c>
      <c r="N12079" t="s">
        <v>143</v>
      </c>
      <c r="O12079" t="s">
        <v>52</v>
      </c>
      <c r="P12079">
        <v>32277</v>
      </c>
      <c r="Q12079">
        <v>2540</v>
      </c>
      <c r="R12079" t="s">
        <v>23</v>
      </c>
      <c r="S12079" s="1" t="s">
        <v>34218</v>
      </c>
    </row>
    <row r="12080" spans="1:19" x14ac:dyDescent="0.25">
      <c r="A12080">
        <v>101338902</v>
      </c>
      <c r="B12080" t="s">
        <v>26538</v>
      </c>
      <c r="C12080" t="s">
        <v>3633</v>
      </c>
      <c r="G12080" t="s">
        <v>26539</v>
      </c>
      <c r="H12080" t="s">
        <v>8175</v>
      </c>
      <c r="I12080" t="s">
        <v>2310</v>
      </c>
      <c r="J12080">
        <v>19707</v>
      </c>
      <c r="K12080">
        <v>9215</v>
      </c>
      <c r="L12080" t="s">
        <v>23</v>
      </c>
      <c r="M12080" t="s">
        <v>26539</v>
      </c>
      <c r="N12080" t="s">
        <v>8175</v>
      </c>
      <c r="O12080" t="s">
        <v>2310</v>
      </c>
      <c r="P12080">
        <v>19707</v>
      </c>
      <c r="Q12080">
        <v>9215</v>
      </c>
      <c r="R12080" t="s">
        <v>23</v>
      </c>
      <c r="S12080" s="1" t="s">
        <v>34218</v>
      </c>
    </row>
    <row r="12081" spans="1:19" x14ac:dyDescent="0.25">
      <c r="A12081">
        <v>101339873</v>
      </c>
      <c r="B12081" t="s">
        <v>4168</v>
      </c>
      <c r="C12081" t="s">
        <v>22168</v>
      </c>
      <c r="G12081" t="s">
        <v>26540</v>
      </c>
      <c r="H12081" t="s">
        <v>450</v>
      </c>
      <c r="I12081" t="s">
        <v>33</v>
      </c>
      <c r="J12081">
        <v>18603</v>
      </c>
      <c r="K12081">
        <v>6235</v>
      </c>
      <c r="L12081" t="s">
        <v>23</v>
      </c>
      <c r="M12081" t="s">
        <v>26540</v>
      </c>
      <c r="N12081" t="s">
        <v>450</v>
      </c>
      <c r="O12081" t="s">
        <v>33</v>
      </c>
      <c r="P12081">
        <v>18603</v>
      </c>
      <c r="Q12081">
        <v>6235</v>
      </c>
      <c r="R12081" t="s">
        <v>23</v>
      </c>
      <c r="S12081" s="1" t="s">
        <v>34218</v>
      </c>
    </row>
    <row r="12082" spans="1:19" x14ac:dyDescent="0.25">
      <c r="A12082">
        <v>101467819</v>
      </c>
      <c r="B12082" t="s">
        <v>15674</v>
      </c>
      <c r="C12082" t="s">
        <v>2557</v>
      </c>
      <c r="G12082" t="s">
        <v>26541</v>
      </c>
      <c r="H12082" t="s">
        <v>4150</v>
      </c>
      <c r="I12082" t="s">
        <v>365</v>
      </c>
      <c r="J12082">
        <v>85382</v>
      </c>
      <c r="K12082">
        <v>8512</v>
      </c>
      <c r="L12082" t="s">
        <v>23</v>
      </c>
      <c r="M12082" t="s">
        <v>26541</v>
      </c>
      <c r="N12082" t="s">
        <v>4150</v>
      </c>
      <c r="O12082" t="s">
        <v>365</v>
      </c>
      <c r="P12082">
        <v>85382</v>
      </c>
      <c r="Q12082">
        <v>8512</v>
      </c>
      <c r="R12082" t="s">
        <v>23</v>
      </c>
      <c r="S12082" s="1" t="s">
        <v>34218</v>
      </c>
    </row>
    <row r="12083" spans="1:19" x14ac:dyDescent="0.25">
      <c r="A12083">
        <v>101455323</v>
      </c>
      <c r="B12083" t="s">
        <v>26542</v>
      </c>
      <c r="C12083" t="s">
        <v>16674</v>
      </c>
      <c r="G12083" t="s">
        <v>26543</v>
      </c>
      <c r="H12083" t="s">
        <v>14984</v>
      </c>
      <c r="I12083" t="s">
        <v>52</v>
      </c>
      <c r="J12083">
        <v>32174</v>
      </c>
      <c r="K12083">
        <v>4876</v>
      </c>
      <c r="L12083" t="s">
        <v>23</v>
      </c>
      <c r="M12083" t="s">
        <v>26543</v>
      </c>
      <c r="N12083" t="s">
        <v>14984</v>
      </c>
      <c r="O12083" t="s">
        <v>52</v>
      </c>
      <c r="P12083">
        <v>32174</v>
      </c>
      <c r="Q12083">
        <v>4876</v>
      </c>
      <c r="R12083" t="s">
        <v>23</v>
      </c>
      <c r="S12083" s="1" t="s">
        <v>34218</v>
      </c>
    </row>
    <row r="12084" spans="1:19" x14ac:dyDescent="0.25">
      <c r="A12084">
        <v>101480738</v>
      </c>
      <c r="B12084" t="s">
        <v>26544</v>
      </c>
      <c r="C12084" t="s">
        <v>26545</v>
      </c>
      <c r="G12084" t="s">
        <v>26546</v>
      </c>
      <c r="H12084" t="s">
        <v>397</v>
      </c>
      <c r="I12084" t="s">
        <v>117</v>
      </c>
      <c r="J12084">
        <v>14534</v>
      </c>
      <c r="K12084">
        <v>2938</v>
      </c>
      <c r="L12084" t="s">
        <v>23</v>
      </c>
      <c r="M12084" t="s">
        <v>26546</v>
      </c>
      <c r="N12084" t="s">
        <v>397</v>
      </c>
      <c r="O12084" t="s">
        <v>117</v>
      </c>
      <c r="P12084">
        <v>14534</v>
      </c>
      <c r="Q12084">
        <v>2938</v>
      </c>
      <c r="R12084" t="s">
        <v>23</v>
      </c>
      <c r="S12084" s="1" t="s">
        <v>34218</v>
      </c>
    </row>
    <row r="12085" spans="1:19" x14ac:dyDescent="0.25">
      <c r="A12085">
        <v>101480739</v>
      </c>
      <c r="B12085" t="s">
        <v>26547</v>
      </c>
      <c r="C12085" t="s">
        <v>26548</v>
      </c>
      <c r="G12085" t="s">
        <v>26549</v>
      </c>
      <c r="H12085" t="s">
        <v>26550</v>
      </c>
      <c r="I12085" t="s">
        <v>22</v>
      </c>
      <c r="J12085">
        <v>95465</v>
      </c>
      <c r="K12085">
        <v>936</v>
      </c>
      <c r="L12085" t="s">
        <v>23</v>
      </c>
      <c r="M12085" t="s">
        <v>26549</v>
      </c>
      <c r="N12085" t="s">
        <v>26550</v>
      </c>
      <c r="O12085" t="s">
        <v>22</v>
      </c>
      <c r="P12085">
        <v>95465</v>
      </c>
      <c r="Q12085">
        <v>936</v>
      </c>
      <c r="R12085" t="s">
        <v>23</v>
      </c>
      <c r="S12085" s="1" t="s">
        <v>34218</v>
      </c>
    </row>
    <row r="12086" spans="1:19" x14ac:dyDescent="0.25">
      <c r="A12086">
        <v>101480745</v>
      </c>
      <c r="B12086" t="s">
        <v>26551</v>
      </c>
      <c r="C12086" t="s">
        <v>894</v>
      </c>
      <c r="G12086" t="s">
        <v>26552</v>
      </c>
      <c r="H12086" t="s">
        <v>7091</v>
      </c>
      <c r="I12086" t="s">
        <v>236</v>
      </c>
      <c r="J12086">
        <v>1845</v>
      </c>
      <c r="K12086">
        <v>1223</v>
      </c>
      <c r="L12086" t="s">
        <v>23</v>
      </c>
      <c r="M12086" t="s">
        <v>26552</v>
      </c>
      <c r="N12086" t="s">
        <v>7091</v>
      </c>
      <c r="O12086" t="s">
        <v>236</v>
      </c>
      <c r="P12086">
        <v>1845</v>
      </c>
      <c r="Q12086">
        <v>1223</v>
      </c>
      <c r="R12086" t="s">
        <v>23</v>
      </c>
      <c r="S12086" s="1" t="s">
        <v>34218</v>
      </c>
    </row>
    <row r="12087" spans="1:19" x14ac:dyDescent="0.25">
      <c r="A12087">
        <v>101467247</v>
      </c>
      <c r="B12087" t="s">
        <v>2098</v>
      </c>
      <c r="C12087" t="s">
        <v>313</v>
      </c>
      <c r="G12087" t="s">
        <v>26553</v>
      </c>
      <c r="H12087" t="s">
        <v>19476</v>
      </c>
      <c r="I12087" t="s">
        <v>307</v>
      </c>
      <c r="J12087">
        <v>5461</v>
      </c>
      <c r="K12087">
        <v>8964</v>
      </c>
      <c r="L12087" t="s">
        <v>23</v>
      </c>
      <c r="M12087" t="s">
        <v>26553</v>
      </c>
      <c r="N12087" t="s">
        <v>19476</v>
      </c>
      <c r="O12087" t="s">
        <v>307</v>
      </c>
      <c r="P12087">
        <v>5461</v>
      </c>
      <c r="Q12087">
        <v>8964</v>
      </c>
      <c r="R12087" t="s">
        <v>23</v>
      </c>
      <c r="S12087" s="1" t="s">
        <v>34218</v>
      </c>
    </row>
    <row r="12088" spans="1:19" x14ac:dyDescent="0.25">
      <c r="A12088">
        <v>101480754</v>
      </c>
      <c r="B12088" t="s">
        <v>20388</v>
      </c>
      <c r="C12088" t="s">
        <v>4273</v>
      </c>
      <c r="G12088" t="s">
        <v>26554</v>
      </c>
      <c r="H12088" t="s">
        <v>20390</v>
      </c>
      <c r="I12088" t="s">
        <v>1000</v>
      </c>
      <c r="J12088">
        <v>59422</v>
      </c>
      <c r="K12088">
        <v>9234</v>
      </c>
      <c r="L12088" t="s">
        <v>23</v>
      </c>
      <c r="M12088" t="s">
        <v>26554</v>
      </c>
      <c r="N12088" t="s">
        <v>20390</v>
      </c>
      <c r="O12088" t="s">
        <v>1000</v>
      </c>
      <c r="P12088">
        <v>59422</v>
      </c>
      <c r="Q12088">
        <v>9234</v>
      </c>
      <c r="R12088" t="s">
        <v>23</v>
      </c>
      <c r="S12088" s="1" t="s">
        <v>34218</v>
      </c>
    </row>
    <row r="12089" spans="1:19" x14ac:dyDescent="0.25">
      <c r="A12089">
        <v>101480755</v>
      </c>
      <c r="B12089" t="s">
        <v>2176</v>
      </c>
      <c r="C12089" t="s">
        <v>432</v>
      </c>
      <c r="G12089" t="s">
        <v>26555</v>
      </c>
      <c r="H12089" t="s">
        <v>299</v>
      </c>
      <c r="I12089" t="s">
        <v>22</v>
      </c>
      <c r="J12089">
        <v>90026</v>
      </c>
      <c r="K12089">
        <v>2035</v>
      </c>
      <c r="L12089" t="s">
        <v>23</v>
      </c>
      <c r="M12089" t="s">
        <v>26555</v>
      </c>
      <c r="N12089" t="s">
        <v>299</v>
      </c>
      <c r="O12089" t="s">
        <v>22</v>
      </c>
      <c r="P12089">
        <v>90026</v>
      </c>
      <c r="Q12089">
        <v>2035</v>
      </c>
      <c r="R12089" t="s">
        <v>23</v>
      </c>
      <c r="S12089" s="1" t="s">
        <v>34218</v>
      </c>
    </row>
    <row r="12090" spans="1:19" x14ac:dyDescent="0.25">
      <c r="A12090">
        <v>101480760</v>
      </c>
      <c r="B12090" t="s">
        <v>26556</v>
      </c>
      <c r="C12090" t="s">
        <v>367</v>
      </c>
      <c r="G12090" t="s">
        <v>26557</v>
      </c>
      <c r="H12090" t="s">
        <v>26558</v>
      </c>
      <c r="I12090" t="s">
        <v>135</v>
      </c>
      <c r="J12090">
        <v>60954</v>
      </c>
      <c r="L12090" t="s">
        <v>23</v>
      </c>
      <c r="M12090" t="s">
        <v>26557</v>
      </c>
      <c r="N12090" t="s">
        <v>26558</v>
      </c>
      <c r="O12090" t="s">
        <v>135</v>
      </c>
      <c r="P12090">
        <v>60954</v>
      </c>
      <c r="R12090" t="s">
        <v>23</v>
      </c>
      <c r="S12090" s="1" t="s">
        <v>34218</v>
      </c>
    </row>
    <row r="12091" spans="1:19" x14ac:dyDescent="0.25">
      <c r="A12091">
        <v>101453260</v>
      </c>
      <c r="B12091" t="s">
        <v>23533</v>
      </c>
      <c r="C12091" t="s">
        <v>9405</v>
      </c>
      <c r="G12091" t="s">
        <v>26559</v>
      </c>
      <c r="H12091" t="s">
        <v>3972</v>
      </c>
      <c r="I12091" t="s">
        <v>1387</v>
      </c>
      <c r="J12091">
        <v>35205</v>
      </c>
      <c r="L12091" t="s">
        <v>23</v>
      </c>
      <c r="M12091" t="s">
        <v>26559</v>
      </c>
      <c r="N12091" t="s">
        <v>3972</v>
      </c>
      <c r="O12091" t="s">
        <v>1387</v>
      </c>
      <c r="P12091">
        <v>35205</v>
      </c>
      <c r="R12091" t="s">
        <v>23</v>
      </c>
      <c r="S12091" s="1" t="s">
        <v>34218</v>
      </c>
    </row>
    <row r="12092" spans="1:19" x14ac:dyDescent="0.25">
      <c r="A12092">
        <v>101480675</v>
      </c>
      <c r="B12092" t="s">
        <v>3089</v>
      </c>
      <c r="C12092" t="s">
        <v>26560</v>
      </c>
      <c r="G12092" t="s">
        <v>26561</v>
      </c>
      <c r="H12092" t="s">
        <v>650</v>
      </c>
      <c r="I12092" t="s">
        <v>22</v>
      </c>
      <c r="J12092">
        <v>95834</v>
      </c>
      <c r="K12092">
        <v>7618</v>
      </c>
      <c r="L12092" t="s">
        <v>23</v>
      </c>
      <c r="M12092" t="s">
        <v>26561</v>
      </c>
      <c r="N12092" t="s">
        <v>650</v>
      </c>
      <c r="O12092" t="s">
        <v>22</v>
      </c>
      <c r="P12092">
        <v>95834</v>
      </c>
      <c r="Q12092">
        <v>7618</v>
      </c>
      <c r="R12092" t="s">
        <v>23</v>
      </c>
      <c r="S12092" s="1" t="s">
        <v>34218</v>
      </c>
    </row>
    <row r="12093" spans="1:19" x14ac:dyDescent="0.25">
      <c r="A12093">
        <v>100618274</v>
      </c>
      <c r="B12093" t="s">
        <v>26562</v>
      </c>
      <c r="C12093" t="s">
        <v>699</v>
      </c>
      <c r="G12093" t="s">
        <v>26563</v>
      </c>
      <c r="H12093" t="s">
        <v>1449</v>
      </c>
      <c r="I12093" t="s">
        <v>140</v>
      </c>
      <c r="J12093">
        <v>48625</v>
      </c>
      <c r="K12093">
        <v>9482</v>
      </c>
      <c r="L12093" t="s">
        <v>23</v>
      </c>
      <c r="M12093" t="s">
        <v>26563</v>
      </c>
      <c r="N12093" t="s">
        <v>1449</v>
      </c>
      <c r="O12093" t="s">
        <v>140</v>
      </c>
      <c r="P12093">
        <v>48625</v>
      </c>
      <c r="Q12093">
        <v>9482</v>
      </c>
      <c r="R12093" t="s">
        <v>23</v>
      </c>
      <c r="S12093" s="1" t="s">
        <v>34218</v>
      </c>
    </row>
    <row r="12094" spans="1:19" x14ac:dyDescent="0.25">
      <c r="A12094">
        <v>101368073</v>
      </c>
      <c r="B12094" t="s">
        <v>26564</v>
      </c>
      <c r="C12094" t="s">
        <v>18280</v>
      </c>
      <c r="G12094" t="s">
        <v>26565</v>
      </c>
      <c r="H12094" t="s">
        <v>26566</v>
      </c>
      <c r="I12094" t="s">
        <v>117</v>
      </c>
      <c r="J12094">
        <v>11720</v>
      </c>
      <c r="L12094" t="s">
        <v>23</v>
      </c>
      <c r="M12094" t="s">
        <v>26565</v>
      </c>
      <c r="N12094" t="s">
        <v>26566</v>
      </c>
      <c r="O12094" t="s">
        <v>117</v>
      </c>
      <c r="P12094">
        <v>11720</v>
      </c>
      <c r="R12094" t="s">
        <v>23</v>
      </c>
      <c r="S12094" s="1" t="s">
        <v>34218</v>
      </c>
    </row>
    <row r="12095" spans="1:19" x14ac:dyDescent="0.25">
      <c r="A12095">
        <v>100776957</v>
      </c>
      <c r="B12095" t="s">
        <v>26567</v>
      </c>
      <c r="C12095" t="s">
        <v>26568</v>
      </c>
      <c r="G12095" t="s">
        <v>26569</v>
      </c>
      <c r="H12095" t="s">
        <v>2399</v>
      </c>
      <c r="I12095" t="s">
        <v>71</v>
      </c>
      <c r="J12095">
        <v>80524</v>
      </c>
      <c r="K12095">
        <v>1634</v>
      </c>
      <c r="L12095" t="s">
        <v>23</v>
      </c>
      <c r="M12095" t="s">
        <v>26569</v>
      </c>
      <c r="N12095" t="s">
        <v>2399</v>
      </c>
      <c r="O12095" t="s">
        <v>71</v>
      </c>
      <c r="P12095">
        <v>80524</v>
      </c>
      <c r="Q12095">
        <v>1634</v>
      </c>
      <c r="R12095" t="s">
        <v>23</v>
      </c>
      <c r="S12095" s="1" t="s">
        <v>34218</v>
      </c>
    </row>
    <row r="12096" spans="1:19" x14ac:dyDescent="0.25">
      <c r="A12096">
        <v>101480218</v>
      </c>
      <c r="B12096" t="s">
        <v>11320</v>
      </c>
      <c r="C12096" t="s">
        <v>25868</v>
      </c>
      <c r="G12096" t="s">
        <v>26570</v>
      </c>
      <c r="H12096" t="s">
        <v>6313</v>
      </c>
      <c r="I12096" t="s">
        <v>117</v>
      </c>
      <c r="J12096">
        <v>11379</v>
      </c>
      <c r="L12096" t="s">
        <v>23</v>
      </c>
      <c r="M12096" t="s">
        <v>26570</v>
      </c>
      <c r="N12096" t="s">
        <v>6313</v>
      </c>
      <c r="O12096" t="s">
        <v>117</v>
      </c>
      <c r="P12096">
        <v>11379</v>
      </c>
      <c r="R12096" t="s">
        <v>23</v>
      </c>
      <c r="S12096" s="1" t="s">
        <v>34218</v>
      </c>
    </row>
    <row r="12097" spans="1:19" x14ac:dyDescent="0.25">
      <c r="A12097">
        <v>101273224</v>
      </c>
      <c r="B12097" t="s">
        <v>26571</v>
      </c>
      <c r="C12097" t="s">
        <v>7358</v>
      </c>
      <c r="G12097" t="s">
        <v>26572</v>
      </c>
      <c r="H12097" t="s">
        <v>8206</v>
      </c>
      <c r="I12097" t="s">
        <v>250</v>
      </c>
      <c r="J12097">
        <v>8848</v>
      </c>
      <c r="K12097">
        <v>1909</v>
      </c>
      <c r="L12097" t="s">
        <v>23</v>
      </c>
      <c r="M12097" t="s">
        <v>26572</v>
      </c>
      <c r="N12097" t="s">
        <v>8206</v>
      </c>
      <c r="O12097" t="s">
        <v>250</v>
      </c>
      <c r="P12097">
        <v>8848</v>
      </c>
      <c r="Q12097">
        <v>1909</v>
      </c>
      <c r="R12097" t="s">
        <v>23</v>
      </c>
      <c r="S12097" s="1" t="s">
        <v>34218</v>
      </c>
    </row>
    <row r="12098" spans="1:19" x14ac:dyDescent="0.25">
      <c r="A12098">
        <v>100797820</v>
      </c>
      <c r="B12098" t="s">
        <v>26573</v>
      </c>
      <c r="C12098" t="s">
        <v>1426</v>
      </c>
      <c r="G12098" t="s">
        <v>26574</v>
      </c>
      <c r="H12098" t="s">
        <v>5525</v>
      </c>
      <c r="I12098" t="s">
        <v>178</v>
      </c>
      <c r="J12098">
        <v>43055</v>
      </c>
      <c r="L12098" t="s">
        <v>23</v>
      </c>
      <c r="M12098" t="s">
        <v>26574</v>
      </c>
      <c r="N12098" t="s">
        <v>5525</v>
      </c>
      <c r="O12098" t="s">
        <v>178</v>
      </c>
      <c r="P12098">
        <v>43055</v>
      </c>
      <c r="R12098" t="s">
        <v>23</v>
      </c>
      <c r="S12098" s="1" t="s">
        <v>34218</v>
      </c>
    </row>
    <row r="12099" spans="1:19" x14ac:dyDescent="0.25">
      <c r="A12099">
        <v>101439313</v>
      </c>
      <c r="B12099" t="s">
        <v>966</v>
      </c>
      <c r="C12099" t="s">
        <v>233</v>
      </c>
      <c r="G12099" t="s">
        <v>26575</v>
      </c>
      <c r="H12099" t="s">
        <v>26576</v>
      </c>
      <c r="I12099" t="s">
        <v>178</v>
      </c>
      <c r="J12099">
        <v>44667</v>
      </c>
      <c r="K12099">
        <v>2349</v>
      </c>
      <c r="L12099" t="s">
        <v>23</v>
      </c>
      <c r="M12099" t="s">
        <v>26575</v>
      </c>
      <c r="N12099" t="s">
        <v>26576</v>
      </c>
      <c r="O12099" t="s">
        <v>178</v>
      </c>
      <c r="P12099">
        <v>44667</v>
      </c>
      <c r="Q12099">
        <v>2349</v>
      </c>
      <c r="R12099" t="s">
        <v>23</v>
      </c>
      <c r="S12099" s="1" t="s">
        <v>34218</v>
      </c>
    </row>
    <row r="12100" spans="1:19" x14ac:dyDescent="0.25">
      <c r="A12100">
        <v>101446859</v>
      </c>
      <c r="B12100" t="s">
        <v>26577</v>
      </c>
      <c r="C12100" t="s">
        <v>10280</v>
      </c>
      <c r="G12100" t="s">
        <v>26578</v>
      </c>
      <c r="H12100" t="s">
        <v>6174</v>
      </c>
      <c r="I12100" t="s">
        <v>22</v>
      </c>
      <c r="J12100">
        <v>94546</v>
      </c>
      <c r="K12100">
        <v>5437</v>
      </c>
      <c r="L12100" t="s">
        <v>23</v>
      </c>
      <c r="M12100" t="s">
        <v>26578</v>
      </c>
      <c r="N12100" t="s">
        <v>6174</v>
      </c>
      <c r="O12100" t="s">
        <v>22</v>
      </c>
      <c r="P12100">
        <v>94546</v>
      </c>
      <c r="Q12100">
        <v>5437</v>
      </c>
      <c r="R12100" t="s">
        <v>23</v>
      </c>
      <c r="S12100" s="1" t="s">
        <v>34218</v>
      </c>
    </row>
    <row r="12101" spans="1:19" x14ac:dyDescent="0.25">
      <c r="A12101">
        <v>101313670</v>
      </c>
      <c r="B12101" t="s">
        <v>1370</v>
      </c>
      <c r="C12101" t="s">
        <v>547</v>
      </c>
      <c r="G12101" t="s">
        <v>26579</v>
      </c>
      <c r="H12101" t="s">
        <v>3405</v>
      </c>
      <c r="I12101" t="s">
        <v>140</v>
      </c>
      <c r="J12101">
        <v>49930</v>
      </c>
      <c r="K12101">
        <v>2158</v>
      </c>
      <c r="L12101" t="s">
        <v>23</v>
      </c>
      <c r="M12101" t="s">
        <v>26579</v>
      </c>
      <c r="N12101" t="s">
        <v>3405</v>
      </c>
      <c r="O12101" t="s">
        <v>140</v>
      </c>
      <c r="P12101">
        <v>49930</v>
      </c>
      <c r="Q12101">
        <v>2158</v>
      </c>
      <c r="R12101" t="s">
        <v>23</v>
      </c>
      <c r="S12101" s="1" t="s">
        <v>34218</v>
      </c>
    </row>
    <row r="12102" spans="1:19" x14ac:dyDescent="0.25">
      <c r="A12102">
        <v>101474882</v>
      </c>
      <c r="B12102" t="s">
        <v>26580</v>
      </c>
      <c r="C12102" t="s">
        <v>432</v>
      </c>
      <c r="G12102" t="s">
        <v>26581</v>
      </c>
      <c r="H12102" t="s">
        <v>26582</v>
      </c>
      <c r="I12102" t="s">
        <v>26583</v>
      </c>
      <c r="J12102">
        <v>33500</v>
      </c>
      <c r="L12102" t="s">
        <v>23</v>
      </c>
      <c r="M12102" t="s">
        <v>26581</v>
      </c>
      <c r="N12102" t="s">
        <v>26582</v>
      </c>
      <c r="O12102" t="s">
        <v>26583</v>
      </c>
      <c r="P12102">
        <v>33500</v>
      </c>
      <c r="R12102" t="s">
        <v>23</v>
      </c>
      <c r="S12102" s="1" t="s">
        <v>34218</v>
      </c>
    </row>
    <row r="12103" spans="1:19" x14ac:dyDescent="0.25">
      <c r="A12103">
        <v>100941179</v>
      </c>
      <c r="B12103" t="s">
        <v>1415</v>
      </c>
      <c r="C12103" t="s">
        <v>26584</v>
      </c>
      <c r="G12103" t="s">
        <v>26585</v>
      </c>
      <c r="H12103" t="s">
        <v>26586</v>
      </c>
      <c r="I12103" t="s">
        <v>117</v>
      </c>
      <c r="J12103">
        <v>12564</v>
      </c>
      <c r="K12103">
        <v>3427</v>
      </c>
      <c r="L12103" t="s">
        <v>23</v>
      </c>
      <c r="M12103" t="s">
        <v>26585</v>
      </c>
      <c r="N12103" t="s">
        <v>26586</v>
      </c>
      <c r="O12103" t="s">
        <v>117</v>
      </c>
      <c r="P12103">
        <v>12564</v>
      </c>
      <c r="Q12103">
        <v>3427</v>
      </c>
      <c r="R12103" t="s">
        <v>23</v>
      </c>
      <c r="S12103" s="1" t="s">
        <v>34218</v>
      </c>
    </row>
    <row r="12104" spans="1:19" x14ac:dyDescent="0.25">
      <c r="A12104">
        <v>101480702</v>
      </c>
      <c r="B12104" t="s">
        <v>1911</v>
      </c>
      <c r="C12104" t="s">
        <v>2417</v>
      </c>
      <c r="G12104" t="s">
        <v>26587</v>
      </c>
      <c r="H12104" t="s">
        <v>5838</v>
      </c>
      <c r="I12104" t="s">
        <v>914</v>
      </c>
      <c r="J12104">
        <v>37404</v>
      </c>
      <c r="K12104">
        <v>5919</v>
      </c>
      <c r="L12104" t="s">
        <v>23</v>
      </c>
      <c r="M12104" t="s">
        <v>26587</v>
      </c>
      <c r="N12104" t="s">
        <v>5838</v>
      </c>
      <c r="O12104" t="s">
        <v>914</v>
      </c>
      <c r="P12104">
        <v>37404</v>
      </c>
      <c r="Q12104">
        <v>5919</v>
      </c>
      <c r="R12104" t="s">
        <v>23</v>
      </c>
      <c r="S12104" s="1" t="s">
        <v>34218</v>
      </c>
    </row>
    <row r="12105" spans="1:19" x14ac:dyDescent="0.25">
      <c r="A12105">
        <v>101480703</v>
      </c>
      <c r="B12105" t="s">
        <v>16799</v>
      </c>
      <c r="C12105" t="s">
        <v>26588</v>
      </c>
      <c r="G12105" t="s">
        <v>26589</v>
      </c>
      <c r="H12105" t="s">
        <v>9271</v>
      </c>
      <c r="I12105" t="s">
        <v>43</v>
      </c>
      <c r="J12105">
        <v>97062</v>
      </c>
      <c r="K12105">
        <v>7216</v>
      </c>
      <c r="L12105" t="s">
        <v>23</v>
      </c>
      <c r="M12105" t="s">
        <v>26589</v>
      </c>
      <c r="N12105" t="s">
        <v>9271</v>
      </c>
      <c r="O12105" t="s">
        <v>43</v>
      </c>
      <c r="P12105">
        <v>97062</v>
      </c>
      <c r="Q12105">
        <v>7216</v>
      </c>
      <c r="R12105" t="s">
        <v>23</v>
      </c>
      <c r="S12105" s="1" t="s">
        <v>34218</v>
      </c>
    </row>
    <row r="12106" spans="1:19" x14ac:dyDescent="0.25">
      <c r="A12106">
        <v>101480709</v>
      </c>
      <c r="B12106" t="s">
        <v>19301</v>
      </c>
      <c r="C12106" t="s">
        <v>329</v>
      </c>
      <c r="G12106" t="s">
        <v>26590</v>
      </c>
      <c r="H12106" t="s">
        <v>458</v>
      </c>
      <c r="I12106" t="s">
        <v>43</v>
      </c>
      <c r="J12106">
        <v>97526</v>
      </c>
      <c r="K12106">
        <v>6350</v>
      </c>
      <c r="L12106" t="s">
        <v>23</v>
      </c>
      <c r="M12106" t="s">
        <v>26590</v>
      </c>
      <c r="N12106" t="s">
        <v>458</v>
      </c>
      <c r="O12106" t="s">
        <v>43</v>
      </c>
      <c r="P12106">
        <v>97526</v>
      </c>
      <c r="Q12106">
        <v>6350</v>
      </c>
      <c r="R12106" t="s">
        <v>23</v>
      </c>
      <c r="S12106" s="1" t="s">
        <v>34218</v>
      </c>
    </row>
    <row r="12107" spans="1:19" x14ac:dyDescent="0.25">
      <c r="A12107">
        <v>101480710</v>
      </c>
      <c r="B12107" t="s">
        <v>247</v>
      </c>
      <c r="C12107" t="s">
        <v>26591</v>
      </c>
      <c r="G12107" t="s">
        <v>26592</v>
      </c>
      <c r="H12107" t="s">
        <v>198</v>
      </c>
      <c r="I12107" t="s">
        <v>22</v>
      </c>
      <c r="J12107">
        <v>92115</v>
      </c>
      <c r="K12107">
        <v>6593</v>
      </c>
      <c r="L12107" t="s">
        <v>23</v>
      </c>
      <c r="M12107" t="s">
        <v>26592</v>
      </c>
      <c r="N12107" t="s">
        <v>198</v>
      </c>
      <c r="O12107" t="s">
        <v>22</v>
      </c>
      <c r="P12107">
        <v>92115</v>
      </c>
      <c r="Q12107">
        <v>6593</v>
      </c>
      <c r="R12107" t="s">
        <v>23</v>
      </c>
      <c r="S12107" s="1" t="s">
        <v>34218</v>
      </c>
    </row>
    <row r="12108" spans="1:19" x14ac:dyDescent="0.25">
      <c r="A12108">
        <v>101480713</v>
      </c>
      <c r="B12108" t="s">
        <v>26593</v>
      </c>
      <c r="C12108" t="s">
        <v>26594</v>
      </c>
      <c r="G12108" t="s">
        <v>26595</v>
      </c>
      <c r="H12108" t="s">
        <v>8826</v>
      </c>
      <c r="I12108" t="s">
        <v>22</v>
      </c>
      <c r="J12108">
        <v>92020</v>
      </c>
      <c r="K12108">
        <v>3909</v>
      </c>
      <c r="L12108" t="s">
        <v>23</v>
      </c>
      <c r="M12108" t="s">
        <v>26595</v>
      </c>
      <c r="N12108" t="s">
        <v>8826</v>
      </c>
      <c r="O12108" t="s">
        <v>22</v>
      </c>
      <c r="P12108">
        <v>92020</v>
      </c>
      <c r="Q12108">
        <v>3909</v>
      </c>
      <c r="R12108" t="s">
        <v>23</v>
      </c>
      <c r="S12108" s="1" t="s">
        <v>34218</v>
      </c>
    </row>
    <row r="12109" spans="1:19" x14ac:dyDescent="0.25">
      <c r="A12109">
        <v>101475512</v>
      </c>
      <c r="B12109" t="s">
        <v>26596</v>
      </c>
      <c r="C12109" t="s">
        <v>2762</v>
      </c>
      <c r="G12109" t="s">
        <v>26597</v>
      </c>
      <c r="H12109" t="s">
        <v>2056</v>
      </c>
      <c r="I12109" t="s">
        <v>148</v>
      </c>
      <c r="J12109">
        <v>20707</v>
      </c>
      <c r="K12109">
        <v>2992</v>
      </c>
      <c r="L12109" t="s">
        <v>23</v>
      </c>
      <c r="M12109" t="s">
        <v>26597</v>
      </c>
      <c r="N12109" t="s">
        <v>2056</v>
      </c>
      <c r="O12109" t="s">
        <v>148</v>
      </c>
      <c r="P12109">
        <v>20707</v>
      </c>
      <c r="Q12109">
        <v>2992</v>
      </c>
      <c r="R12109" t="s">
        <v>23</v>
      </c>
      <c r="S12109" s="1" t="s">
        <v>34218</v>
      </c>
    </row>
    <row r="12110" spans="1:19" x14ac:dyDescent="0.25">
      <c r="A12110">
        <v>100749047</v>
      </c>
      <c r="B12110" t="s">
        <v>26598</v>
      </c>
      <c r="C12110" t="s">
        <v>890</v>
      </c>
      <c r="G12110" t="s">
        <v>26599</v>
      </c>
      <c r="H12110" t="s">
        <v>134</v>
      </c>
      <c r="I12110" t="s">
        <v>135</v>
      </c>
      <c r="J12110">
        <v>60631</v>
      </c>
      <c r="K12110">
        <v>3633</v>
      </c>
      <c r="L12110" t="s">
        <v>23</v>
      </c>
      <c r="M12110" t="s">
        <v>26599</v>
      </c>
      <c r="N12110" t="s">
        <v>134</v>
      </c>
      <c r="O12110" t="s">
        <v>135</v>
      </c>
      <c r="P12110">
        <v>60631</v>
      </c>
      <c r="Q12110">
        <v>3633</v>
      </c>
      <c r="R12110" t="s">
        <v>23</v>
      </c>
      <c r="S12110" s="1" t="s">
        <v>34218</v>
      </c>
    </row>
    <row r="12111" spans="1:19" x14ac:dyDescent="0.25">
      <c r="A12111">
        <v>101445907</v>
      </c>
      <c r="B12111" t="s">
        <v>26600</v>
      </c>
      <c r="C12111" t="s">
        <v>1737</v>
      </c>
      <c r="G12111" t="s">
        <v>26601</v>
      </c>
      <c r="H12111" t="s">
        <v>26602</v>
      </c>
      <c r="I12111" t="s">
        <v>43</v>
      </c>
      <c r="J12111">
        <v>0</v>
      </c>
      <c r="L12111" t="s">
        <v>23</v>
      </c>
      <c r="M12111" t="s">
        <v>26601</v>
      </c>
      <c r="N12111" t="s">
        <v>26602</v>
      </c>
      <c r="O12111" t="s">
        <v>43</v>
      </c>
      <c r="P12111">
        <v>0</v>
      </c>
      <c r="R12111" t="s">
        <v>23</v>
      </c>
      <c r="S12111" s="1" t="s">
        <v>34218</v>
      </c>
    </row>
    <row r="12112" spans="1:19" x14ac:dyDescent="0.25">
      <c r="A12112">
        <v>101467921</v>
      </c>
      <c r="B12112" t="s">
        <v>26603</v>
      </c>
      <c r="C12112" t="s">
        <v>1658</v>
      </c>
      <c r="G12112" t="s">
        <v>26604</v>
      </c>
      <c r="H12112" t="s">
        <v>4764</v>
      </c>
      <c r="I12112" t="s">
        <v>71</v>
      </c>
      <c r="J12112">
        <v>81507</v>
      </c>
      <c r="K12112">
        <v>4005</v>
      </c>
      <c r="L12112" t="s">
        <v>23</v>
      </c>
      <c r="M12112" t="s">
        <v>26604</v>
      </c>
      <c r="N12112" t="s">
        <v>4764</v>
      </c>
      <c r="O12112" t="s">
        <v>71</v>
      </c>
      <c r="P12112">
        <v>81507</v>
      </c>
      <c r="Q12112">
        <v>4005</v>
      </c>
      <c r="R12112" t="s">
        <v>23</v>
      </c>
      <c r="S12112" s="1" t="s">
        <v>34218</v>
      </c>
    </row>
    <row r="12113" spans="1:19" x14ac:dyDescent="0.25">
      <c r="A12113">
        <v>101480724</v>
      </c>
      <c r="B12113" t="s">
        <v>25378</v>
      </c>
      <c r="C12113" t="s">
        <v>23495</v>
      </c>
      <c r="G12113" t="s">
        <v>26605</v>
      </c>
      <c r="H12113" t="s">
        <v>4632</v>
      </c>
      <c r="I12113" t="s">
        <v>250</v>
      </c>
      <c r="J12113">
        <v>8022</v>
      </c>
      <c r="K12113">
        <v>9750</v>
      </c>
      <c r="L12113" t="s">
        <v>23</v>
      </c>
      <c r="M12113" t="s">
        <v>26605</v>
      </c>
      <c r="N12113" t="s">
        <v>4632</v>
      </c>
      <c r="O12113" t="s">
        <v>250</v>
      </c>
      <c r="P12113">
        <v>8022</v>
      </c>
      <c r="Q12113">
        <v>9750</v>
      </c>
      <c r="R12113" t="s">
        <v>23</v>
      </c>
      <c r="S12113" s="1" t="s">
        <v>34218</v>
      </c>
    </row>
    <row r="12114" spans="1:19" x14ac:dyDescent="0.25">
      <c r="A12114">
        <v>101480727</v>
      </c>
      <c r="B12114" t="s">
        <v>26606</v>
      </c>
      <c r="C12114" t="s">
        <v>19027</v>
      </c>
      <c r="G12114" t="s">
        <v>26607</v>
      </c>
      <c r="H12114" t="s">
        <v>26608</v>
      </c>
      <c r="I12114" t="s">
        <v>43</v>
      </c>
      <c r="J12114">
        <v>27450</v>
      </c>
      <c r="L12114" t="s">
        <v>23</v>
      </c>
      <c r="M12114" t="s">
        <v>26607</v>
      </c>
      <c r="N12114" t="s">
        <v>26608</v>
      </c>
      <c r="O12114" t="s">
        <v>43</v>
      </c>
      <c r="P12114">
        <v>27450</v>
      </c>
      <c r="R12114" t="s">
        <v>23</v>
      </c>
      <c r="S12114" s="1" t="s">
        <v>34218</v>
      </c>
    </row>
    <row r="12115" spans="1:19" x14ac:dyDescent="0.25">
      <c r="A12115">
        <v>101480728</v>
      </c>
      <c r="B12115" t="s">
        <v>26609</v>
      </c>
      <c r="C12115" t="s">
        <v>26610</v>
      </c>
      <c r="G12115" t="s">
        <v>26611</v>
      </c>
      <c r="H12115" t="s">
        <v>2161</v>
      </c>
      <c r="I12115" t="s">
        <v>187</v>
      </c>
      <c r="J12115">
        <v>55122</v>
      </c>
      <c r="K12115">
        <v>1141</v>
      </c>
      <c r="L12115" t="s">
        <v>23</v>
      </c>
      <c r="M12115" t="s">
        <v>26611</v>
      </c>
      <c r="N12115" t="s">
        <v>2161</v>
      </c>
      <c r="O12115" t="s">
        <v>187</v>
      </c>
      <c r="P12115">
        <v>55122</v>
      </c>
      <c r="Q12115">
        <v>1141</v>
      </c>
      <c r="R12115" t="s">
        <v>23</v>
      </c>
      <c r="S12115" s="1" t="s">
        <v>34218</v>
      </c>
    </row>
    <row r="12116" spans="1:19" x14ac:dyDescent="0.25">
      <c r="A12116">
        <v>101191509</v>
      </c>
      <c r="B12116" t="s">
        <v>2132</v>
      </c>
      <c r="C12116" t="s">
        <v>1731</v>
      </c>
      <c r="G12116" t="s">
        <v>26612</v>
      </c>
      <c r="H12116" t="s">
        <v>26613</v>
      </c>
      <c r="I12116" t="s">
        <v>148</v>
      </c>
      <c r="J12116">
        <v>21227</v>
      </c>
      <c r="K12116">
        <v>2644</v>
      </c>
      <c r="L12116" t="s">
        <v>23</v>
      </c>
      <c r="M12116" t="s">
        <v>26612</v>
      </c>
      <c r="N12116" t="s">
        <v>26613</v>
      </c>
      <c r="O12116" t="s">
        <v>148</v>
      </c>
      <c r="P12116">
        <v>21227</v>
      </c>
      <c r="Q12116">
        <v>2644</v>
      </c>
      <c r="R12116" t="s">
        <v>23</v>
      </c>
      <c r="S12116" s="1" t="s">
        <v>34218</v>
      </c>
    </row>
    <row r="12117" spans="1:19" x14ac:dyDescent="0.25">
      <c r="A12117">
        <v>100985786</v>
      </c>
      <c r="B12117" t="s">
        <v>26614</v>
      </c>
      <c r="C12117" t="s">
        <v>313</v>
      </c>
      <c r="G12117" t="s">
        <v>26615</v>
      </c>
      <c r="H12117" t="s">
        <v>13062</v>
      </c>
      <c r="I12117" t="s">
        <v>52</v>
      </c>
      <c r="J12117">
        <v>32901</v>
      </c>
      <c r="K12117">
        <v>6653</v>
      </c>
      <c r="L12117" t="s">
        <v>23</v>
      </c>
      <c r="M12117" t="s">
        <v>26615</v>
      </c>
      <c r="N12117" t="s">
        <v>13062</v>
      </c>
      <c r="O12117" t="s">
        <v>52</v>
      </c>
      <c r="P12117">
        <v>32901</v>
      </c>
      <c r="Q12117">
        <v>6653</v>
      </c>
      <c r="R12117" t="s">
        <v>23</v>
      </c>
      <c r="S12117" s="1" t="s">
        <v>34218</v>
      </c>
    </row>
    <row r="12118" spans="1:19" x14ac:dyDescent="0.25">
      <c r="A12118">
        <v>101365571</v>
      </c>
      <c r="B12118" t="s">
        <v>26616</v>
      </c>
      <c r="C12118" t="s">
        <v>1050</v>
      </c>
      <c r="G12118" t="s">
        <v>26617</v>
      </c>
      <c r="H12118" t="s">
        <v>1531</v>
      </c>
      <c r="I12118" t="s">
        <v>84</v>
      </c>
      <c r="J12118">
        <v>98136</v>
      </c>
      <c r="L12118" t="s">
        <v>23</v>
      </c>
      <c r="M12118" t="s">
        <v>26617</v>
      </c>
      <c r="N12118" t="s">
        <v>1531</v>
      </c>
      <c r="O12118" t="s">
        <v>84</v>
      </c>
      <c r="P12118">
        <v>98136</v>
      </c>
      <c r="R12118" t="s">
        <v>23</v>
      </c>
      <c r="S12118" s="1" t="s">
        <v>34218</v>
      </c>
    </row>
    <row r="12119" spans="1:19" x14ac:dyDescent="0.25">
      <c r="A12119">
        <v>100963529</v>
      </c>
      <c r="B12119" t="s">
        <v>415</v>
      </c>
      <c r="C12119" t="s">
        <v>803</v>
      </c>
      <c r="G12119" t="s">
        <v>26618</v>
      </c>
      <c r="H12119" t="s">
        <v>14454</v>
      </c>
      <c r="I12119" t="s">
        <v>33</v>
      </c>
      <c r="J12119">
        <v>19054</v>
      </c>
      <c r="K12119">
        <v>1305</v>
      </c>
      <c r="L12119" t="s">
        <v>23</v>
      </c>
      <c r="M12119" t="s">
        <v>26618</v>
      </c>
      <c r="N12119" t="s">
        <v>14454</v>
      </c>
      <c r="O12119" t="s">
        <v>33</v>
      </c>
      <c r="P12119">
        <v>19054</v>
      </c>
      <c r="Q12119">
        <v>1305</v>
      </c>
      <c r="R12119" t="s">
        <v>23</v>
      </c>
      <c r="S12119" s="1" t="s">
        <v>34218</v>
      </c>
    </row>
    <row r="12120" spans="1:19" x14ac:dyDescent="0.25">
      <c r="A12120">
        <v>101476440</v>
      </c>
      <c r="B12120" t="s">
        <v>13757</v>
      </c>
      <c r="C12120" t="s">
        <v>45</v>
      </c>
      <c r="G12120" t="s">
        <v>26619</v>
      </c>
      <c r="H12120" t="s">
        <v>15259</v>
      </c>
      <c r="I12120" t="s">
        <v>117</v>
      </c>
      <c r="J12120">
        <v>11937</v>
      </c>
      <c r="K12120">
        <v>2521</v>
      </c>
      <c r="L12120" t="s">
        <v>23</v>
      </c>
      <c r="M12120" t="s">
        <v>26619</v>
      </c>
      <c r="N12120" t="s">
        <v>15259</v>
      </c>
      <c r="O12120" t="s">
        <v>117</v>
      </c>
      <c r="P12120">
        <v>11937</v>
      </c>
      <c r="Q12120">
        <v>2521</v>
      </c>
      <c r="R12120" t="s">
        <v>23</v>
      </c>
      <c r="S12120" s="1" t="s">
        <v>34218</v>
      </c>
    </row>
    <row r="12121" spans="1:19" x14ac:dyDescent="0.25">
      <c r="A12121">
        <v>101451904</v>
      </c>
      <c r="B12121" t="s">
        <v>26620</v>
      </c>
      <c r="C12121" t="s">
        <v>2232</v>
      </c>
      <c r="G12121" t="s">
        <v>26621</v>
      </c>
      <c r="H12121" t="s">
        <v>26622</v>
      </c>
      <c r="I12121" t="s">
        <v>140</v>
      </c>
      <c r="J12121">
        <v>48043</v>
      </c>
      <c r="K12121">
        <v>2150</v>
      </c>
      <c r="L12121" t="s">
        <v>23</v>
      </c>
      <c r="M12121" t="s">
        <v>26621</v>
      </c>
      <c r="N12121" t="s">
        <v>26622</v>
      </c>
      <c r="O12121" t="s">
        <v>140</v>
      </c>
      <c r="P12121">
        <v>48043</v>
      </c>
      <c r="Q12121">
        <v>2150</v>
      </c>
      <c r="R12121" t="s">
        <v>23</v>
      </c>
      <c r="S12121" s="1" t="s">
        <v>34218</v>
      </c>
    </row>
    <row r="12122" spans="1:19" x14ac:dyDescent="0.25">
      <c r="A12122">
        <v>101360119</v>
      </c>
      <c r="B12122" t="s">
        <v>26623</v>
      </c>
      <c r="C12122" t="s">
        <v>102</v>
      </c>
      <c r="G12122" t="s">
        <v>26624</v>
      </c>
      <c r="H12122" t="s">
        <v>3856</v>
      </c>
      <c r="I12122" t="s">
        <v>22</v>
      </c>
      <c r="J12122">
        <v>93955</v>
      </c>
      <c r="K12122">
        <v>3326</v>
      </c>
      <c r="L12122" t="s">
        <v>23</v>
      </c>
      <c r="M12122" t="s">
        <v>26624</v>
      </c>
      <c r="N12122" t="s">
        <v>3856</v>
      </c>
      <c r="O12122" t="s">
        <v>22</v>
      </c>
      <c r="P12122">
        <v>93955</v>
      </c>
      <c r="Q12122">
        <v>3326</v>
      </c>
      <c r="R12122" t="s">
        <v>23</v>
      </c>
      <c r="S12122" s="1" t="s">
        <v>34218</v>
      </c>
    </row>
    <row r="12123" spans="1:19" x14ac:dyDescent="0.25">
      <c r="A12123">
        <v>101002378</v>
      </c>
      <c r="B12123" t="s">
        <v>26625</v>
      </c>
      <c r="C12123" t="s">
        <v>483</v>
      </c>
      <c r="G12123" t="s">
        <v>26626</v>
      </c>
      <c r="H12123" t="s">
        <v>26627</v>
      </c>
      <c r="I12123" t="s">
        <v>38</v>
      </c>
      <c r="J12123">
        <v>78669</v>
      </c>
      <c r="K12123">
        <v>2044</v>
      </c>
      <c r="L12123" t="s">
        <v>23</v>
      </c>
      <c r="M12123" t="s">
        <v>26626</v>
      </c>
      <c r="N12123" t="s">
        <v>26627</v>
      </c>
      <c r="O12123" t="s">
        <v>38</v>
      </c>
      <c r="P12123">
        <v>78669</v>
      </c>
      <c r="Q12123">
        <v>2044</v>
      </c>
      <c r="R12123" t="s">
        <v>23</v>
      </c>
      <c r="S12123" s="1" t="s">
        <v>34218</v>
      </c>
    </row>
    <row r="12124" spans="1:19" x14ac:dyDescent="0.25">
      <c r="A12124">
        <v>101410374</v>
      </c>
      <c r="B12124" t="s">
        <v>25933</v>
      </c>
      <c r="C12124" t="s">
        <v>664</v>
      </c>
      <c r="G12124" t="s">
        <v>26628</v>
      </c>
      <c r="H12124" t="s">
        <v>1293</v>
      </c>
      <c r="I12124" t="s">
        <v>22</v>
      </c>
      <c r="J12124">
        <v>95062</v>
      </c>
      <c r="K12124">
        <v>5325</v>
      </c>
      <c r="L12124" t="s">
        <v>23</v>
      </c>
      <c r="M12124" t="s">
        <v>26628</v>
      </c>
      <c r="N12124" t="s">
        <v>1293</v>
      </c>
      <c r="O12124" t="s">
        <v>22</v>
      </c>
      <c r="P12124">
        <v>95062</v>
      </c>
      <c r="Q12124">
        <v>5325</v>
      </c>
      <c r="R12124" t="s">
        <v>23</v>
      </c>
      <c r="S12124" s="1" t="s">
        <v>34218</v>
      </c>
    </row>
    <row r="12125" spans="1:19" x14ac:dyDescent="0.25">
      <c r="A12125">
        <v>101435170</v>
      </c>
      <c r="B12125" t="s">
        <v>9108</v>
      </c>
      <c r="C12125" t="s">
        <v>1398</v>
      </c>
      <c r="G12125" t="s">
        <v>26629</v>
      </c>
      <c r="H12125" t="s">
        <v>682</v>
      </c>
      <c r="I12125" t="s">
        <v>365</v>
      </c>
      <c r="J12125">
        <v>85007</v>
      </c>
      <c r="L12125" t="s">
        <v>23</v>
      </c>
      <c r="M12125" t="s">
        <v>26629</v>
      </c>
      <c r="N12125" t="s">
        <v>682</v>
      </c>
      <c r="O12125" t="s">
        <v>365</v>
      </c>
      <c r="P12125">
        <v>85007</v>
      </c>
      <c r="R12125" t="s">
        <v>23</v>
      </c>
      <c r="S12125" s="1" t="s">
        <v>34218</v>
      </c>
    </row>
    <row r="12126" spans="1:19" x14ac:dyDescent="0.25">
      <c r="A12126">
        <v>101465324</v>
      </c>
      <c r="B12126" t="s">
        <v>26630</v>
      </c>
      <c r="C12126" t="s">
        <v>8472</v>
      </c>
      <c r="G12126" t="s">
        <v>26631</v>
      </c>
      <c r="H12126" t="s">
        <v>11932</v>
      </c>
      <c r="I12126" t="s">
        <v>43</v>
      </c>
      <c r="J12126">
        <v>97222</v>
      </c>
      <c r="K12126">
        <v>6915</v>
      </c>
      <c r="L12126" t="s">
        <v>23</v>
      </c>
      <c r="M12126" t="s">
        <v>26631</v>
      </c>
      <c r="N12126" t="s">
        <v>11932</v>
      </c>
      <c r="O12126" t="s">
        <v>43</v>
      </c>
      <c r="P12126">
        <v>97222</v>
      </c>
      <c r="Q12126">
        <v>6915</v>
      </c>
      <c r="R12126" t="s">
        <v>23</v>
      </c>
      <c r="S12126" s="1" t="s">
        <v>34218</v>
      </c>
    </row>
    <row r="12127" spans="1:19" x14ac:dyDescent="0.25">
      <c r="A12127">
        <v>101354048</v>
      </c>
      <c r="B12127" t="s">
        <v>26632</v>
      </c>
      <c r="C12127" t="s">
        <v>9765</v>
      </c>
      <c r="G12127" t="s">
        <v>26633</v>
      </c>
      <c r="H12127" t="s">
        <v>9901</v>
      </c>
      <c r="I12127" t="s">
        <v>57</v>
      </c>
      <c r="J12127">
        <v>46112</v>
      </c>
      <c r="K12127">
        <v>1276</v>
      </c>
      <c r="L12127" t="s">
        <v>23</v>
      </c>
      <c r="M12127" t="s">
        <v>26633</v>
      </c>
      <c r="N12127" t="s">
        <v>9901</v>
      </c>
      <c r="O12127" t="s">
        <v>57</v>
      </c>
      <c r="P12127">
        <v>46112</v>
      </c>
      <c r="Q12127">
        <v>1276</v>
      </c>
      <c r="R12127" t="s">
        <v>23</v>
      </c>
      <c r="S12127" s="1" t="s">
        <v>34218</v>
      </c>
    </row>
    <row r="12128" spans="1:19" x14ac:dyDescent="0.25">
      <c r="A12128">
        <v>101473707</v>
      </c>
      <c r="B12128" t="s">
        <v>2331</v>
      </c>
      <c r="C12128" t="s">
        <v>26634</v>
      </c>
      <c r="G12128" t="s">
        <v>26635</v>
      </c>
      <c r="H12128" t="s">
        <v>393</v>
      </c>
      <c r="I12128" t="s">
        <v>71</v>
      </c>
      <c r="J12128">
        <v>80211</v>
      </c>
      <c r="K12128">
        <v>3018</v>
      </c>
      <c r="L12128" t="s">
        <v>23</v>
      </c>
      <c r="M12128" t="s">
        <v>26635</v>
      </c>
      <c r="N12128" t="s">
        <v>393</v>
      </c>
      <c r="O12128" t="s">
        <v>71</v>
      </c>
      <c r="P12128">
        <v>80211</v>
      </c>
      <c r="Q12128">
        <v>3018</v>
      </c>
      <c r="R12128" t="s">
        <v>23</v>
      </c>
      <c r="S12128" s="1" t="s">
        <v>34218</v>
      </c>
    </row>
    <row r="12129" spans="1:19" x14ac:dyDescent="0.25">
      <c r="A12129">
        <v>100585375</v>
      </c>
      <c r="B12129" t="s">
        <v>26636</v>
      </c>
      <c r="C12129" t="s">
        <v>1616</v>
      </c>
      <c r="F12129" t="str">
        <f>"6319284332"</f>
        <v>6319284332</v>
      </c>
      <c r="G12129" t="s">
        <v>11530</v>
      </c>
      <c r="H12129" t="s">
        <v>26637</v>
      </c>
      <c r="I12129" t="s">
        <v>117</v>
      </c>
      <c r="J12129">
        <v>11766</v>
      </c>
      <c r="K12129">
        <v>154</v>
      </c>
      <c r="L12129" t="s">
        <v>23</v>
      </c>
      <c r="M12129" t="s">
        <v>11530</v>
      </c>
      <c r="N12129" t="s">
        <v>26637</v>
      </c>
      <c r="O12129" t="s">
        <v>117</v>
      </c>
      <c r="P12129">
        <v>11766</v>
      </c>
      <c r="Q12129">
        <v>154</v>
      </c>
      <c r="R12129" t="s">
        <v>23</v>
      </c>
      <c r="S12129" s="1" t="s">
        <v>34218</v>
      </c>
    </row>
    <row r="12130" spans="1:19" x14ac:dyDescent="0.25">
      <c r="A12130">
        <v>101468163</v>
      </c>
      <c r="B12130" t="s">
        <v>5631</v>
      </c>
      <c r="C12130" t="s">
        <v>26638</v>
      </c>
      <c r="G12130" t="s">
        <v>26639</v>
      </c>
      <c r="H12130" t="s">
        <v>18925</v>
      </c>
      <c r="I12130" t="s">
        <v>38</v>
      </c>
      <c r="J12130">
        <v>79831</v>
      </c>
      <c r="K12130">
        <v>203</v>
      </c>
      <c r="L12130" t="s">
        <v>23</v>
      </c>
      <c r="M12130" t="s">
        <v>26639</v>
      </c>
      <c r="N12130" t="s">
        <v>18925</v>
      </c>
      <c r="O12130" t="s">
        <v>38</v>
      </c>
      <c r="P12130">
        <v>79831</v>
      </c>
      <c r="Q12130">
        <v>203</v>
      </c>
      <c r="R12130" t="s">
        <v>23</v>
      </c>
      <c r="S12130" s="1" t="s">
        <v>34218</v>
      </c>
    </row>
    <row r="12131" spans="1:19" x14ac:dyDescent="0.25">
      <c r="A12131">
        <v>101246471</v>
      </c>
      <c r="B12131" t="s">
        <v>76</v>
      </c>
      <c r="C12131" t="s">
        <v>155</v>
      </c>
      <c r="G12131" t="s">
        <v>26640</v>
      </c>
      <c r="H12131" t="s">
        <v>1465</v>
      </c>
      <c r="I12131" t="s">
        <v>236</v>
      </c>
      <c r="J12131">
        <v>1007</v>
      </c>
      <c r="K12131">
        <v>9155</v>
      </c>
      <c r="L12131" t="s">
        <v>23</v>
      </c>
      <c r="M12131" t="s">
        <v>26640</v>
      </c>
      <c r="N12131" t="s">
        <v>1465</v>
      </c>
      <c r="O12131" t="s">
        <v>236</v>
      </c>
      <c r="P12131">
        <v>1007</v>
      </c>
      <c r="Q12131">
        <v>9155</v>
      </c>
      <c r="R12131" t="s">
        <v>23</v>
      </c>
      <c r="S12131" s="1" t="s">
        <v>34218</v>
      </c>
    </row>
    <row r="12132" spans="1:19" x14ac:dyDescent="0.25">
      <c r="A12132">
        <v>101306828</v>
      </c>
      <c r="B12132" t="s">
        <v>26641</v>
      </c>
      <c r="C12132" t="s">
        <v>16657</v>
      </c>
      <c r="G12132" t="s">
        <v>26642</v>
      </c>
      <c r="H12132" t="s">
        <v>25213</v>
      </c>
      <c r="I12132" t="s">
        <v>178</v>
      </c>
      <c r="J12132">
        <v>44133</v>
      </c>
      <c r="K12132">
        <v>4651</v>
      </c>
      <c r="L12132" t="s">
        <v>23</v>
      </c>
      <c r="M12132" t="s">
        <v>26642</v>
      </c>
      <c r="N12132" t="s">
        <v>25213</v>
      </c>
      <c r="O12132" t="s">
        <v>178</v>
      </c>
      <c r="P12132">
        <v>44133</v>
      </c>
      <c r="Q12132">
        <v>4651</v>
      </c>
      <c r="R12132" t="s">
        <v>23</v>
      </c>
      <c r="S12132" s="1" t="s">
        <v>34218</v>
      </c>
    </row>
    <row r="12133" spans="1:19" x14ac:dyDescent="0.25">
      <c r="A12133">
        <v>101474560</v>
      </c>
      <c r="B12133" t="s">
        <v>26643</v>
      </c>
      <c r="C12133" t="s">
        <v>274</v>
      </c>
      <c r="G12133" t="s">
        <v>26644</v>
      </c>
      <c r="H12133" t="s">
        <v>37</v>
      </c>
      <c r="I12133" t="s">
        <v>38</v>
      </c>
      <c r="J12133">
        <v>78757</v>
      </c>
      <c r="K12133">
        <v>2530</v>
      </c>
      <c r="L12133" t="s">
        <v>23</v>
      </c>
      <c r="M12133" t="s">
        <v>26644</v>
      </c>
      <c r="N12133" t="s">
        <v>37</v>
      </c>
      <c r="O12133" t="s">
        <v>38</v>
      </c>
      <c r="P12133">
        <v>78757</v>
      </c>
      <c r="Q12133">
        <v>2530</v>
      </c>
      <c r="R12133" t="s">
        <v>23</v>
      </c>
      <c r="S12133" s="1" t="s">
        <v>34218</v>
      </c>
    </row>
    <row r="12134" spans="1:19" x14ac:dyDescent="0.25">
      <c r="A12134">
        <v>101456264</v>
      </c>
      <c r="B12134" t="s">
        <v>14363</v>
      </c>
      <c r="C12134" t="s">
        <v>26645</v>
      </c>
      <c r="G12134" t="s">
        <v>26646</v>
      </c>
      <c r="H12134" t="s">
        <v>1452</v>
      </c>
      <c r="I12134" t="s">
        <v>43</v>
      </c>
      <c r="J12134">
        <v>97401</v>
      </c>
      <c r="L12134" t="s">
        <v>23</v>
      </c>
      <c r="M12134" t="s">
        <v>26646</v>
      </c>
      <c r="N12134" t="s">
        <v>1452</v>
      </c>
      <c r="O12134" t="s">
        <v>43</v>
      </c>
      <c r="P12134">
        <v>97401</v>
      </c>
      <c r="R12134" t="s">
        <v>23</v>
      </c>
      <c r="S12134" s="1" t="s">
        <v>34218</v>
      </c>
    </row>
    <row r="12135" spans="1:19" x14ac:dyDescent="0.25">
      <c r="A12135">
        <v>100998328</v>
      </c>
      <c r="B12135" t="s">
        <v>26647</v>
      </c>
      <c r="C12135" t="s">
        <v>4284</v>
      </c>
      <c r="F12135" t="str">
        <f>"2538337470"</f>
        <v>2538337470</v>
      </c>
      <c r="G12135" t="s">
        <v>26648</v>
      </c>
      <c r="H12135" t="s">
        <v>2436</v>
      </c>
      <c r="I12135" t="s">
        <v>84</v>
      </c>
      <c r="J12135">
        <v>98580</v>
      </c>
      <c r="K12135">
        <v>9731</v>
      </c>
      <c r="L12135" t="s">
        <v>23</v>
      </c>
      <c r="M12135" t="s">
        <v>26648</v>
      </c>
      <c r="N12135" t="s">
        <v>2436</v>
      </c>
      <c r="O12135" t="s">
        <v>84</v>
      </c>
      <c r="P12135">
        <v>98580</v>
      </c>
      <c r="Q12135">
        <v>9731</v>
      </c>
      <c r="R12135" t="s">
        <v>23</v>
      </c>
      <c r="S12135" s="1" t="s">
        <v>34218</v>
      </c>
    </row>
    <row r="12136" spans="1:19" x14ac:dyDescent="0.25">
      <c r="A12136">
        <v>101326424</v>
      </c>
      <c r="B12136" t="s">
        <v>26649</v>
      </c>
      <c r="C12136" t="s">
        <v>102</v>
      </c>
      <c r="G12136" t="s">
        <v>26650</v>
      </c>
      <c r="H12136" t="s">
        <v>6492</v>
      </c>
      <c r="I12136" t="s">
        <v>161</v>
      </c>
      <c r="J12136">
        <v>6902</v>
      </c>
      <c r="K12136">
        <v>2013</v>
      </c>
      <c r="L12136" t="s">
        <v>23</v>
      </c>
      <c r="M12136" t="s">
        <v>26650</v>
      </c>
      <c r="N12136" t="s">
        <v>6492</v>
      </c>
      <c r="O12136" t="s">
        <v>161</v>
      </c>
      <c r="P12136">
        <v>6902</v>
      </c>
      <c r="Q12136">
        <v>2013</v>
      </c>
      <c r="R12136" t="s">
        <v>23</v>
      </c>
      <c r="S12136" s="1" t="s">
        <v>34218</v>
      </c>
    </row>
    <row r="12137" spans="1:19" x14ac:dyDescent="0.25">
      <c r="A12137">
        <v>101456158</v>
      </c>
      <c r="B12137" t="s">
        <v>4136</v>
      </c>
      <c r="C12137" t="s">
        <v>966</v>
      </c>
      <c r="G12137" t="s">
        <v>26651</v>
      </c>
      <c r="H12137" t="s">
        <v>7045</v>
      </c>
      <c r="I12137" t="s">
        <v>140</v>
      </c>
      <c r="J12137">
        <v>48198</v>
      </c>
      <c r="K12137">
        <v>3038</v>
      </c>
      <c r="L12137" t="s">
        <v>23</v>
      </c>
      <c r="M12137" t="s">
        <v>26651</v>
      </c>
      <c r="N12137" t="s">
        <v>7045</v>
      </c>
      <c r="O12137" t="s">
        <v>140</v>
      </c>
      <c r="P12137">
        <v>48198</v>
      </c>
      <c r="Q12137">
        <v>3038</v>
      </c>
      <c r="R12137" t="s">
        <v>23</v>
      </c>
      <c r="S12137" s="1" t="s">
        <v>34218</v>
      </c>
    </row>
    <row r="12138" spans="1:19" x14ac:dyDescent="0.25">
      <c r="A12138">
        <v>101465841</v>
      </c>
      <c r="B12138" t="s">
        <v>26652</v>
      </c>
      <c r="C12138" t="s">
        <v>286</v>
      </c>
      <c r="G12138" t="s">
        <v>26653</v>
      </c>
      <c r="H12138" t="s">
        <v>26654</v>
      </c>
      <c r="I12138" t="s">
        <v>191</v>
      </c>
      <c r="J12138">
        <v>4652</v>
      </c>
      <c r="K12138">
        <v>9600</v>
      </c>
      <c r="L12138" t="s">
        <v>23</v>
      </c>
      <c r="M12138" t="s">
        <v>26653</v>
      </c>
      <c r="N12138" t="s">
        <v>26654</v>
      </c>
      <c r="O12138" t="s">
        <v>191</v>
      </c>
      <c r="P12138">
        <v>4652</v>
      </c>
      <c r="Q12138">
        <v>9600</v>
      </c>
      <c r="R12138" t="s">
        <v>23</v>
      </c>
      <c r="S12138" s="1" t="s">
        <v>34218</v>
      </c>
    </row>
    <row r="12139" spans="1:19" x14ac:dyDescent="0.25">
      <c r="A12139">
        <v>101475785</v>
      </c>
      <c r="B12139" t="s">
        <v>26655</v>
      </c>
      <c r="C12139" t="s">
        <v>8451</v>
      </c>
      <c r="G12139" t="s">
        <v>26656</v>
      </c>
      <c r="H12139" t="s">
        <v>16848</v>
      </c>
      <c r="I12139" t="s">
        <v>33</v>
      </c>
      <c r="J12139">
        <v>19050</v>
      </c>
      <c r="K12139">
        <v>1802</v>
      </c>
      <c r="L12139" t="s">
        <v>23</v>
      </c>
      <c r="M12139" t="s">
        <v>26656</v>
      </c>
      <c r="N12139" t="s">
        <v>16848</v>
      </c>
      <c r="O12139" t="s">
        <v>33</v>
      </c>
      <c r="P12139">
        <v>19050</v>
      </c>
      <c r="Q12139">
        <v>1802</v>
      </c>
      <c r="R12139" t="s">
        <v>23</v>
      </c>
      <c r="S12139" s="1" t="s">
        <v>34218</v>
      </c>
    </row>
    <row r="12140" spans="1:19" x14ac:dyDescent="0.25">
      <c r="A12140">
        <v>101360269</v>
      </c>
      <c r="B12140" t="s">
        <v>13533</v>
      </c>
      <c r="C12140" t="s">
        <v>2417</v>
      </c>
      <c r="G12140" t="s">
        <v>26657</v>
      </c>
      <c r="H12140" t="s">
        <v>2375</v>
      </c>
      <c r="I12140" t="s">
        <v>100</v>
      </c>
      <c r="J12140">
        <v>53704</v>
      </c>
      <c r="K12140">
        <v>3851</v>
      </c>
      <c r="L12140" t="s">
        <v>23</v>
      </c>
      <c r="M12140" t="s">
        <v>26657</v>
      </c>
      <c r="N12140" t="s">
        <v>2375</v>
      </c>
      <c r="O12140" t="s">
        <v>100</v>
      </c>
      <c r="P12140">
        <v>53704</v>
      </c>
      <c r="Q12140">
        <v>3851</v>
      </c>
      <c r="R12140" t="s">
        <v>23</v>
      </c>
      <c r="S12140" s="1" t="s">
        <v>34218</v>
      </c>
    </row>
    <row r="12141" spans="1:19" x14ac:dyDescent="0.25">
      <c r="A12141">
        <v>101444867</v>
      </c>
      <c r="B12141" t="s">
        <v>26658</v>
      </c>
      <c r="C12141" t="s">
        <v>4502</v>
      </c>
      <c r="G12141" t="s">
        <v>26659</v>
      </c>
      <c r="H12141" t="s">
        <v>1405</v>
      </c>
      <c r="I12141" t="s">
        <v>187</v>
      </c>
      <c r="J12141">
        <v>55102</v>
      </c>
      <c r="K12141">
        <v>3574</v>
      </c>
      <c r="L12141" t="s">
        <v>23</v>
      </c>
      <c r="M12141" t="s">
        <v>26659</v>
      </c>
      <c r="N12141" t="s">
        <v>1405</v>
      </c>
      <c r="O12141" t="s">
        <v>187</v>
      </c>
      <c r="P12141">
        <v>55102</v>
      </c>
      <c r="Q12141">
        <v>3574</v>
      </c>
      <c r="R12141" t="s">
        <v>23</v>
      </c>
      <c r="S12141" s="1" t="s">
        <v>34218</v>
      </c>
    </row>
    <row r="12142" spans="1:19" x14ac:dyDescent="0.25">
      <c r="A12142">
        <v>101465214</v>
      </c>
      <c r="B12142" t="s">
        <v>3650</v>
      </c>
      <c r="C12142" t="s">
        <v>838</v>
      </c>
      <c r="G12142" t="s">
        <v>26660</v>
      </c>
      <c r="H12142" t="s">
        <v>66</v>
      </c>
      <c r="I12142" t="s">
        <v>22</v>
      </c>
      <c r="J12142">
        <v>94705</v>
      </c>
      <c r="K12142">
        <v>2838</v>
      </c>
      <c r="L12142" t="s">
        <v>23</v>
      </c>
      <c r="M12142" t="s">
        <v>26660</v>
      </c>
      <c r="N12142" t="s">
        <v>66</v>
      </c>
      <c r="O12142" t="s">
        <v>22</v>
      </c>
      <c r="P12142">
        <v>94705</v>
      </c>
      <c r="Q12142">
        <v>2838</v>
      </c>
      <c r="R12142" t="s">
        <v>23</v>
      </c>
      <c r="S12142" s="1" t="s">
        <v>34218</v>
      </c>
    </row>
    <row r="12143" spans="1:19" x14ac:dyDescent="0.25">
      <c r="A12143">
        <v>101480786</v>
      </c>
      <c r="B12143" t="s">
        <v>3248</v>
      </c>
      <c r="C12143" t="s">
        <v>26661</v>
      </c>
      <c r="G12143" t="s">
        <v>3249</v>
      </c>
      <c r="H12143" t="s">
        <v>3250</v>
      </c>
      <c r="I12143" t="s">
        <v>33</v>
      </c>
      <c r="J12143">
        <v>19365</v>
      </c>
      <c r="K12143">
        <v>9198</v>
      </c>
      <c r="L12143" t="s">
        <v>23</v>
      </c>
      <c r="M12143" t="s">
        <v>3249</v>
      </c>
      <c r="N12143" t="s">
        <v>3250</v>
      </c>
      <c r="O12143" t="s">
        <v>33</v>
      </c>
      <c r="P12143">
        <v>19365</v>
      </c>
      <c r="Q12143">
        <v>9198</v>
      </c>
      <c r="R12143" t="s">
        <v>23</v>
      </c>
      <c r="S12143" s="1" t="s">
        <v>34218</v>
      </c>
    </row>
    <row r="12144" spans="1:19" x14ac:dyDescent="0.25">
      <c r="A12144">
        <v>101477786</v>
      </c>
      <c r="B12144" t="s">
        <v>26662</v>
      </c>
      <c r="C12144" t="s">
        <v>498</v>
      </c>
      <c r="G12144" t="s">
        <v>26663</v>
      </c>
      <c r="H12144" t="s">
        <v>26664</v>
      </c>
      <c r="I12144" t="s">
        <v>639</v>
      </c>
      <c r="J12144">
        <v>87002</v>
      </c>
      <c r="L12144" t="s">
        <v>23</v>
      </c>
      <c r="M12144" t="s">
        <v>26663</v>
      </c>
      <c r="N12144" t="s">
        <v>26664</v>
      </c>
      <c r="O12144" t="s">
        <v>639</v>
      </c>
      <c r="P12144">
        <v>87002</v>
      </c>
      <c r="R12144" t="s">
        <v>23</v>
      </c>
      <c r="S12144" s="1" t="s">
        <v>34218</v>
      </c>
    </row>
    <row r="12145" spans="1:19" x14ac:dyDescent="0.25">
      <c r="A12145">
        <v>100735119</v>
      </c>
      <c r="B12145" t="s">
        <v>26665</v>
      </c>
      <c r="C12145" t="s">
        <v>1933</v>
      </c>
      <c r="G12145" t="s">
        <v>26666</v>
      </c>
      <c r="H12145" t="s">
        <v>26667</v>
      </c>
      <c r="I12145" t="s">
        <v>250</v>
      </c>
      <c r="J12145">
        <v>8005</v>
      </c>
      <c r="K12145">
        <v>2473</v>
      </c>
      <c r="L12145" t="s">
        <v>23</v>
      </c>
      <c r="M12145" t="s">
        <v>26666</v>
      </c>
      <c r="N12145" t="s">
        <v>26667</v>
      </c>
      <c r="O12145" t="s">
        <v>250</v>
      </c>
      <c r="P12145">
        <v>8005</v>
      </c>
      <c r="Q12145">
        <v>2473</v>
      </c>
      <c r="R12145" t="s">
        <v>23</v>
      </c>
      <c r="S12145" s="1" t="s">
        <v>34218</v>
      </c>
    </row>
    <row r="12146" spans="1:19" x14ac:dyDescent="0.25">
      <c r="A12146">
        <v>101419063</v>
      </c>
      <c r="B12146" t="s">
        <v>18659</v>
      </c>
      <c r="C12146" t="s">
        <v>26668</v>
      </c>
      <c r="G12146" t="s">
        <v>26669</v>
      </c>
      <c r="H12146" t="s">
        <v>4382</v>
      </c>
      <c r="I12146" t="s">
        <v>639</v>
      </c>
      <c r="J12146">
        <v>88001</v>
      </c>
      <c r="K12146">
        <v>2217</v>
      </c>
      <c r="L12146" t="s">
        <v>23</v>
      </c>
      <c r="M12146" t="s">
        <v>26669</v>
      </c>
      <c r="N12146" t="s">
        <v>4382</v>
      </c>
      <c r="O12146" t="s">
        <v>639</v>
      </c>
      <c r="P12146">
        <v>88001</v>
      </c>
      <c r="Q12146">
        <v>2217</v>
      </c>
      <c r="R12146" t="s">
        <v>23</v>
      </c>
      <c r="S12146" s="1" t="s">
        <v>34218</v>
      </c>
    </row>
    <row r="12147" spans="1:19" x14ac:dyDescent="0.25">
      <c r="A12147">
        <v>101452007</v>
      </c>
      <c r="B12147" t="s">
        <v>1675</v>
      </c>
      <c r="C12147" t="s">
        <v>7569</v>
      </c>
      <c r="G12147" t="s">
        <v>26670</v>
      </c>
      <c r="H12147" t="s">
        <v>26671</v>
      </c>
      <c r="I12147" t="s">
        <v>38</v>
      </c>
      <c r="J12147">
        <v>78681</v>
      </c>
      <c r="K12147">
        <v>3826</v>
      </c>
      <c r="L12147" t="s">
        <v>23</v>
      </c>
      <c r="M12147" t="s">
        <v>26670</v>
      </c>
      <c r="N12147" t="s">
        <v>26671</v>
      </c>
      <c r="O12147" t="s">
        <v>38</v>
      </c>
      <c r="P12147">
        <v>78681</v>
      </c>
      <c r="Q12147">
        <v>3826</v>
      </c>
      <c r="R12147" t="s">
        <v>23</v>
      </c>
      <c r="S12147" s="1" t="s">
        <v>34218</v>
      </c>
    </row>
    <row r="12148" spans="1:19" x14ac:dyDescent="0.25">
      <c r="A12148">
        <v>101480794</v>
      </c>
      <c r="B12148" t="s">
        <v>26672</v>
      </c>
      <c r="C12148" t="s">
        <v>123</v>
      </c>
      <c r="G12148" t="s">
        <v>26673</v>
      </c>
      <c r="H12148" t="s">
        <v>198</v>
      </c>
      <c r="I12148" t="s">
        <v>22</v>
      </c>
      <c r="J12148">
        <v>92128</v>
      </c>
      <c r="K12148">
        <v>6043</v>
      </c>
      <c r="L12148" t="s">
        <v>23</v>
      </c>
      <c r="M12148" t="s">
        <v>26673</v>
      </c>
      <c r="N12148" t="s">
        <v>198</v>
      </c>
      <c r="O12148" t="s">
        <v>22</v>
      </c>
      <c r="P12148">
        <v>92128</v>
      </c>
      <c r="Q12148">
        <v>6043</v>
      </c>
      <c r="R12148" t="s">
        <v>23</v>
      </c>
      <c r="S12148" s="1" t="s">
        <v>34218</v>
      </c>
    </row>
    <row r="12149" spans="1:19" x14ac:dyDescent="0.25">
      <c r="A12149">
        <v>100621126</v>
      </c>
      <c r="B12149" t="s">
        <v>26674</v>
      </c>
      <c r="C12149" t="s">
        <v>6143</v>
      </c>
      <c r="G12149" t="s">
        <v>26675</v>
      </c>
      <c r="H12149" t="s">
        <v>70</v>
      </c>
      <c r="I12149" t="s">
        <v>71</v>
      </c>
      <c r="J12149">
        <v>80004</v>
      </c>
      <c r="K12149">
        <v>1550</v>
      </c>
      <c r="L12149" t="s">
        <v>23</v>
      </c>
      <c r="M12149" t="s">
        <v>26675</v>
      </c>
      <c r="N12149" t="s">
        <v>70</v>
      </c>
      <c r="O12149" t="s">
        <v>71</v>
      </c>
      <c r="P12149">
        <v>80004</v>
      </c>
      <c r="Q12149">
        <v>1550</v>
      </c>
      <c r="R12149" t="s">
        <v>23</v>
      </c>
      <c r="S12149" s="1" t="s">
        <v>34218</v>
      </c>
    </row>
    <row r="12150" spans="1:19" x14ac:dyDescent="0.25">
      <c r="A12150">
        <v>101450334</v>
      </c>
      <c r="B12150" t="s">
        <v>26676</v>
      </c>
      <c r="C12150" t="s">
        <v>81</v>
      </c>
      <c r="G12150" t="s">
        <v>26677</v>
      </c>
      <c r="H12150" t="s">
        <v>2279</v>
      </c>
      <c r="I12150" t="s">
        <v>52</v>
      </c>
      <c r="J12150">
        <v>33612</v>
      </c>
      <c r="K12150">
        <v>3434</v>
      </c>
      <c r="L12150" t="s">
        <v>23</v>
      </c>
      <c r="M12150" t="s">
        <v>26677</v>
      </c>
      <c r="N12150" t="s">
        <v>2279</v>
      </c>
      <c r="O12150" t="s">
        <v>52</v>
      </c>
      <c r="P12150">
        <v>33612</v>
      </c>
      <c r="Q12150">
        <v>3434</v>
      </c>
      <c r="R12150" t="s">
        <v>23</v>
      </c>
      <c r="S12150" s="1" t="s">
        <v>34218</v>
      </c>
    </row>
    <row r="12151" spans="1:19" x14ac:dyDescent="0.25">
      <c r="A12151">
        <v>101445924</v>
      </c>
      <c r="B12151" t="s">
        <v>26678</v>
      </c>
      <c r="C12151" t="s">
        <v>8472</v>
      </c>
      <c r="G12151" t="s">
        <v>26679</v>
      </c>
      <c r="H12151" t="s">
        <v>5644</v>
      </c>
      <c r="I12151" t="s">
        <v>370</v>
      </c>
      <c r="J12151">
        <v>68104</v>
      </c>
      <c r="K12151">
        <v>4410</v>
      </c>
      <c r="L12151" t="s">
        <v>23</v>
      </c>
      <c r="M12151" t="s">
        <v>26679</v>
      </c>
      <c r="N12151" t="s">
        <v>5644</v>
      </c>
      <c r="O12151" t="s">
        <v>370</v>
      </c>
      <c r="P12151">
        <v>68104</v>
      </c>
      <c r="Q12151">
        <v>4410</v>
      </c>
      <c r="R12151" t="s">
        <v>23</v>
      </c>
      <c r="S12151" s="1" t="s">
        <v>34218</v>
      </c>
    </row>
    <row r="12152" spans="1:19" x14ac:dyDescent="0.25">
      <c r="A12152">
        <v>101480753</v>
      </c>
      <c r="B12152" t="s">
        <v>1100</v>
      </c>
      <c r="C12152" t="s">
        <v>30</v>
      </c>
      <c r="G12152" t="s">
        <v>26680</v>
      </c>
      <c r="H12152" t="s">
        <v>17585</v>
      </c>
      <c r="I12152" t="s">
        <v>71</v>
      </c>
      <c r="J12152">
        <v>80130</v>
      </c>
      <c r="K12152">
        <v>3345</v>
      </c>
      <c r="L12152" t="s">
        <v>23</v>
      </c>
      <c r="M12152" t="s">
        <v>26680</v>
      </c>
      <c r="N12152" t="s">
        <v>17585</v>
      </c>
      <c r="O12152" t="s">
        <v>71</v>
      </c>
      <c r="P12152">
        <v>80130</v>
      </c>
      <c r="Q12152">
        <v>3345</v>
      </c>
      <c r="R12152" t="s">
        <v>23</v>
      </c>
      <c r="S12152" s="1" t="s">
        <v>34218</v>
      </c>
    </row>
    <row r="12153" spans="1:19" x14ac:dyDescent="0.25">
      <c r="A12153">
        <v>101425031</v>
      </c>
      <c r="B12153" t="s">
        <v>1339</v>
      </c>
      <c r="C12153" t="s">
        <v>1179</v>
      </c>
      <c r="G12153" t="s">
        <v>26681</v>
      </c>
      <c r="H12153" t="s">
        <v>4347</v>
      </c>
      <c r="I12153" t="s">
        <v>71</v>
      </c>
      <c r="J12153">
        <v>81301</v>
      </c>
      <c r="K12153">
        <v>9515</v>
      </c>
      <c r="L12153" t="s">
        <v>23</v>
      </c>
      <c r="M12153" t="s">
        <v>26681</v>
      </c>
      <c r="N12153" t="s">
        <v>4347</v>
      </c>
      <c r="O12153" t="s">
        <v>71</v>
      </c>
      <c r="P12153">
        <v>81301</v>
      </c>
      <c r="Q12153">
        <v>9515</v>
      </c>
      <c r="R12153" t="s">
        <v>23</v>
      </c>
      <c r="S12153" s="1" t="s">
        <v>34218</v>
      </c>
    </row>
    <row r="12154" spans="1:19" x14ac:dyDescent="0.25">
      <c r="A12154">
        <v>100984884</v>
      </c>
      <c r="B12154" t="s">
        <v>12780</v>
      </c>
      <c r="C12154" t="s">
        <v>890</v>
      </c>
      <c r="G12154" t="s">
        <v>26682</v>
      </c>
      <c r="H12154" t="s">
        <v>8690</v>
      </c>
      <c r="I12154" t="s">
        <v>135</v>
      </c>
      <c r="J12154">
        <v>61542</v>
      </c>
      <c r="K12154">
        <v>141</v>
      </c>
      <c r="L12154" t="s">
        <v>23</v>
      </c>
      <c r="M12154" t="s">
        <v>26682</v>
      </c>
      <c r="N12154" t="s">
        <v>8690</v>
      </c>
      <c r="O12154" t="s">
        <v>135</v>
      </c>
      <c r="P12154">
        <v>61542</v>
      </c>
      <c r="Q12154">
        <v>141</v>
      </c>
      <c r="R12154" t="s">
        <v>23</v>
      </c>
      <c r="S12154" s="1" t="s">
        <v>34218</v>
      </c>
    </row>
    <row r="12155" spans="1:19" x14ac:dyDescent="0.25">
      <c r="A12155">
        <v>100659258</v>
      </c>
      <c r="B12155" t="s">
        <v>26683</v>
      </c>
      <c r="C12155" t="s">
        <v>13903</v>
      </c>
      <c r="G12155" t="s">
        <v>26684</v>
      </c>
      <c r="H12155" t="s">
        <v>299</v>
      </c>
      <c r="I12155" t="s">
        <v>22</v>
      </c>
      <c r="J12155">
        <v>90036</v>
      </c>
      <c r="K12155">
        <v>3240</v>
      </c>
      <c r="L12155" t="s">
        <v>23</v>
      </c>
      <c r="M12155" t="s">
        <v>26684</v>
      </c>
      <c r="N12155" t="s">
        <v>299</v>
      </c>
      <c r="O12155" t="s">
        <v>22</v>
      </c>
      <c r="P12155">
        <v>90036</v>
      </c>
      <c r="Q12155">
        <v>3240</v>
      </c>
      <c r="R12155" t="s">
        <v>23</v>
      </c>
      <c r="S12155" s="1" t="s">
        <v>34218</v>
      </c>
    </row>
    <row r="12156" spans="1:19" x14ac:dyDescent="0.25">
      <c r="A12156">
        <v>101474528</v>
      </c>
      <c r="B12156" t="s">
        <v>26685</v>
      </c>
      <c r="C12156" t="s">
        <v>26686</v>
      </c>
      <c r="G12156" t="s">
        <v>26687</v>
      </c>
      <c r="H12156" t="s">
        <v>423</v>
      </c>
      <c r="I12156" t="s">
        <v>71</v>
      </c>
      <c r="J12156">
        <v>80305</v>
      </c>
      <c r="K12156">
        <v>5434</v>
      </c>
      <c r="L12156" t="s">
        <v>23</v>
      </c>
      <c r="M12156" t="s">
        <v>26687</v>
      </c>
      <c r="N12156" t="s">
        <v>423</v>
      </c>
      <c r="O12156" t="s">
        <v>71</v>
      </c>
      <c r="P12156">
        <v>80305</v>
      </c>
      <c r="Q12156">
        <v>5434</v>
      </c>
      <c r="R12156" t="s">
        <v>23</v>
      </c>
      <c r="S12156" s="1" t="s">
        <v>34218</v>
      </c>
    </row>
    <row r="12157" spans="1:19" x14ac:dyDescent="0.25">
      <c r="A12157">
        <v>101448308</v>
      </c>
      <c r="B12157" t="s">
        <v>13987</v>
      </c>
      <c r="C12157" t="s">
        <v>14772</v>
      </c>
      <c r="G12157" t="s">
        <v>26688</v>
      </c>
      <c r="H12157" t="s">
        <v>6435</v>
      </c>
      <c r="I12157" t="s">
        <v>1482</v>
      </c>
      <c r="J12157">
        <v>29485</v>
      </c>
      <c r="K12157">
        <v>7958</v>
      </c>
      <c r="L12157" t="s">
        <v>23</v>
      </c>
      <c r="M12157" t="s">
        <v>26688</v>
      </c>
      <c r="N12157" t="s">
        <v>6435</v>
      </c>
      <c r="O12157" t="s">
        <v>1482</v>
      </c>
      <c r="P12157">
        <v>29485</v>
      </c>
      <c r="Q12157">
        <v>7958</v>
      </c>
      <c r="R12157" t="s">
        <v>23</v>
      </c>
      <c r="S12157" s="1" t="s">
        <v>34218</v>
      </c>
    </row>
    <row r="12158" spans="1:19" x14ac:dyDescent="0.25">
      <c r="A12158">
        <v>101473479</v>
      </c>
      <c r="B12158" t="s">
        <v>6658</v>
      </c>
      <c r="C12158" t="s">
        <v>2518</v>
      </c>
      <c r="G12158" t="s">
        <v>26689</v>
      </c>
      <c r="H12158" t="s">
        <v>11092</v>
      </c>
      <c r="I12158" t="s">
        <v>984</v>
      </c>
      <c r="J12158">
        <v>96734</v>
      </c>
      <c r="K12158">
        <v>5514</v>
      </c>
      <c r="L12158" t="s">
        <v>23</v>
      </c>
      <c r="M12158" t="s">
        <v>26689</v>
      </c>
      <c r="N12158" t="s">
        <v>11092</v>
      </c>
      <c r="O12158" t="s">
        <v>984</v>
      </c>
      <c r="P12158">
        <v>96734</v>
      </c>
      <c r="Q12158">
        <v>5514</v>
      </c>
      <c r="R12158" t="s">
        <v>23</v>
      </c>
      <c r="S12158" s="1" t="s">
        <v>34218</v>
      </c>
    </row>
    <row r="12159" spans="1:19" x14ac:dyDescent="0.25">
      <c r="A12159">
        <v>101301068</v>
      </c>
      <c r="B12159" t="s">
        <v>26690</v>
      </c>
      <c r="C12159" t="s">
        <v>329</v>
      </c>
      <c r="G12159" t="s">
        <v>26691</v>
      </c>
      <c r="H12159" t="s">
        <v>450</v>
      </c>
      <c r="I12159" t="s">
        <v>191</v>
      </c>
      <c r="J12159">
        <v>3901</v>
      </c>
      <c r="L12159" t="s">
        <v>23</v>
      </c>
      <c r="M12159" t="s">
        <v>26691</v>
      </c>
      <c r="N12159" t="s">
        <v>450</v>
      </c>
      <c r="O12159" t="s">
        <v>191</v>
      </c>
      <c r="P12159">
        <v>3901</v>
      </c>
      <c r="R12159" t="s">
        <v>23</v>
      </c>
      <c r="S12159" s="1" t="s">
        <v>34218</v>
      </c>
    </row>
    <row r="12160" spans="1:19" x14ac:dyDescent="0.25">
      <c r="A12160">
        <v>101439735</v>
      </c>
      <c r="B12160" t="s">
        <v>14772</v>
      </c>
      <c r="C12160" t="s">
        <v>903</v>
      </c>
      <c r="G12160" t="s">
        <v>26692</v>
      </c>
      <c r="H12160" t="s">
        <v>198</v>
      </c>
      <c r="I12160" t="s">
        <v>22</v>
      </c>
      <c r="J12160">
        <v>92130</v>
      </c>
      <c r="K12160">
        <v>5017</v>
      </c>
      <c r="L12160" t="s">
        <v>23</v>
      </c>
      <c r="M12160" t="s">
        <v>26692</v>
      </c>
      <c r="N12160" t="s">
        <v>198</v>
      </c>
      <c r="O12160" t="s">
        <v>22</v>
      </c>
      <c r="P12160">
        <v>92130</v>
      </c>
      <c r="Q12160">
        <v>5017</v>
      </c>
      <c r="R12160" t="s">
        <v>23</v>
      </c>
      <c r="S12160" s="1" t="s">
        <v>34218</v>
      </c>
    </row>
    <row r="12161" spans="1:19" x14ac:dyDescent="0.25">
      <c r="A12161">
        <v>101341722</v>
      </c>
      <c r="B12161" t="s">
        <v>3386</v>
      </c>
      <c r="C12161" t="s">
        <v>865</v>
      </c>
      <c r="G12161" t="s">
        <v>26693</v>
      </c>
      <c r="H12161" t="s">
        <v>15789</v>
      </c>
      <c r="I12161" t="s">
        <v>140</v>
      </c>
      <c r="J12161">
        <v>48101</v>
      </c>
      <c r="L12161" t="s">
        <v>23</v>
      </c>
      <c r="M12161" t="s">
        <v>26693</v>
      </c>
      <c r="N12161" t="s">
        <v>15789</v>
      </c>
      <c r="O12161" t="s">
        <v>140</v>
      </c>
      <c r="P12161">
        <v>48101</v>
      </c>
      <c r="R12161" t="s">
        <v>23</v>
      </c>
      <c r="S12161" s="1" t="s">
        <v>34218</v>
      </c>
    </row>
    <row r="12162" spans="1:19" x14ac:dyDescent="0.25">
      <c r="A12162">
        <v>101474551</v>
      </c>
      <c r="B12162" t="s">
        <v>26694</v>
      </c>
      <c r="C12162" t="s">
        <v>1107</v>
      </c>
      <c r="G12162" t="s">
        <v>26695</v>
      </c>
      <c r="H12162" t="s">
        <v>3616</v>
      </c>
      <c r="I12162" t="s">
        <v>52</v>
      </c>
      <c r="J12162">
        <v>33781</v>
      </c>
      <c r="K12162">
        <v>5834</v>
      </c>
      <c r="L12162" t="s">
        <v>23</v>
      </c>
      <c r="M12162" t="s">
        <v>26695</v>
      </c>
      <c r="N12162" t="s">
        <v>3616</v>
      </c>
      <c r="O12162" t="s">
        <v>52</v>
      </c>
      <c r="P12162">
        <v>33781</v>
      </c>
      <c r="Q12162">
        <v>5834</v>
      </c>
      <c r="R12162" t="s">
        <v>23</v>
      </c>
      <c r="S12162" s="1" t="s">
        <v>34218</v>
      </c>
    </row>
    <row r="12163" spans="1:19" x14ac:dyDescent="0.25">
      <c r="A12163">
        <v>101423421</v>
      </c>
      <c r="B12163" t="s">
        <v>22335</v>
      </c>
      <c r="C12163" t="s">
        <v>1714</v>
      </c>
      <c r="G12163" t="s">
        <v>26696</v>
      </c>
      <c r="H12163" t="s">
        <v>1531</v>
      </c>
      <c r="I12163" t="s">
        <v>84</v>
      </c>
      <c r="J12163">
        <v>98102</v>
      </c>
      <c r="K12163">
        <v>5140</v>
      </c>
      <c r="L12163" t="s">
        <v>23</v>
      </c>
      <c r="M12163" t="s">
        <v>26696</v>
      </c>
      <c r="N12163" t="s">
        <v>1531</v>
      </c>
      <c r="O12163" t="s">
        <v>84</v>
      </c>
      <c r="P12163">
        <v>98102</v>
      </c>
      <c r="Q12163">
        <v>5140</v>
      </c>
      <c r="R12163" t="s">
        <v>23</v>
      </c>
      <c r="S12163" s="1" t="s">
        <v>34218</v>
      </c>
    </row>
    <row r="12164" spans="1:19" x14ac:dyDescent="0.25">
      <c r="A12164">
        <v>101473937</v>
      </c>
      <c r="B12164" t="s">
        <v>11170</v>
      </c>
      <c r="C12164" t="s">
        <v>5714</v>
      </c>
      <c r="G12164" t="s">
        <v>21720</v>
      </c>
      <c r="H12164" t="s">
        <v>8068</v>
      </c>
      <c r="I12164" t="s">
        <v>135</v>
      </c>
      <c r="J12164">
        <v>60045</v>
      </c>
      <c r="K12164">
        <v>241</v>
      </c>
      <c r="L12164" t="s">
        <v>23</v>
      </c>
      <c r="M12164" t="s">
        <v>21720</v>
      </c>
      <c r="N12164" t="s">
        <v>8068</v>
      </c>
      <c r="O12164" t="s">
        <v>135</v>
      </c>
      <c r="P12164">
        <v>60045</v>
      </c>
      <c r="Q12164">
        <v>241</v>
      </c>
      <c r="R12164" t="s">
        <v>23</v>
      </c>
      <c r="S12164" s="1" t="s">
        <v>34218</v>
      </c>
    </row>
    <row r="12165" spans="1:19" x14ac:dyDescent="0.25">
      <c r="A12165">
        <v>101307208</v>
      </c>
      <c r="B12165" t="s">
        <v>26697</v>
      </c>
      <c r="C12165" t="s">
        <v>378</v>
      </c>
      <c r="G12165" t="s">
        <v>26698</v>
      </c>
      <c r="H12165" t="s">
        <v>393</v>
      </c>
      <c r="I12165" t="s">
        <v>71</v>
      </c>
      <c r="J12165">
        <v>80204</v>
      </c>
      <c r="K12165">
        <v>4712</v>
      </c>
      <c r="L12165" t="s">
        <v>23</v>
      </c>
      <c r="M12165" t="s">
        <v>26698</v>
      </c>
      <c r="N12165" t="s">
        <v>393</v>
      </c>
      <c r="O12165" t="s">
        <v>71</v>
      </c>
      <c r="P12165">
        <v>80204</v>
      </c>
      <c r="Q12165">
        <v>4712</v>
      </c>
      <c r="R12165" t="s">
        <v>23</v>
      </c>
      <c r="S12165" s="1" t="s">
        <v>34218</v>
      </c>
    </row>
    <row r="12166" spans="1:19" x14ac:dyDescent="0.25">
      <c r="A12166">
        <v>100516038</v>
      </c>
      <c r="B12166" t="s">
        <v>6139</v>
      </c>
      <c r="C12166" t="s">
        <v>1533</v>
      </c>
      <c r="G12166" t="s">
        <v>26699</v>
      </c>
      <c r="H12166" t="s">
        <v>4239</v>
      </c>
      <c r="I12166" t="s">
        <v>52</v>
      </c>
      <c r="J12166">
        <v>32162</v>
      </c>
      <c r="K12166">
        <v>3829</v>
      </c>
      <c r="L12166" t="s">
        <v>23</v>
      </c>
      <c r="M12166" t="s">
        <v>26699</v>
      </c>
      <c r="N12166" t="s">
        <v>4239</v>
      </c>
      <c r="O12166" t="s">
        <v>52</v>
      </c>
      <c r="P12166">
        <v>32162</v>
      </c>
      <c r="Q12166">
        <v>3829</v>
      </c>
      <c r="R12166" t="s">
        <v>23</v>
      </c>
      <c r="S12166" s="1" t="s">
        <v>34218</v>
      </c>
    </row>
    <row r="12167" spans="1:19" x14ac:dyDescent="0.25">
      <c r="A12167">
        <v>101359430</v>
      </c>
      <c r="B12167" t="s">
        <v>26700</v>
      </c>
      <c r="C12167" t="s">
        <v>26701</v>
      </c>
      <c r="G12167" t="s">
        <v>26702</v>
      </c>
      <c r="H12167" t="s">
        <v>5644</v>
      </c>
      <c r="I12167" t="s">
        <v>370</v>
      </c>
      <c r="J12167">
        <v>68132</v>
      </c>
      <c r="K12167">
        <v>3330</v>
      </c>
      <c r="L12167" t="s">
        <v>23</v>
      </c>
      <c r="M12167" t="s">
        <v>26702</v>
      </c>
      <c r="N12167" t="s">
        <v>5644</v>
      </c>
      <c r="O12167" t="s">
        <v>370</v>
      </c>
      <c r="P12167">
        <v>68132</v>
      </c>
      <c r="Q12167">
        <v>3330</v>
      </c>
      <c r="R12167" t="s">
        <v>23</v>
      </c>
      <c r="S12167" s="1" t="s">
        <v>34218</v>
      </c>
    </row>
    <row r="12168" spans="1:19" x14ac:dyDescent="0.25">
      <c r="A12168">
        <v>100817556</v>
      </c>
      <c r="B12168" t="s">
        <v>823</v>
      </c>
      <c r="C12168" t="s">
        <v>2653</v>
      </c>
      <c r="G12168" t="s">
        <v>26703</v>
      </c>
      <c r="H12168" t="s">
        <v>707</v>
      </c>
      <c r="I12168" t="s">
        <v>332</v>
      </c>
      <c r="J12168">
        <v>84091</v>
      </c>
      <c r="K12168">
        <v>1202</v>
      </c>
      <c r="L12168" t="s">
        <v>23</v>
      </c>
      <c r="M12168" t="s">
        <v>26703</v>
      </c>
      <c r="N12168" t="s">
        <v>707</v>
      </c>
      <c r="O12168" t="s">
        <v>332</v>
      </c>
      <c r="P12168">
        <v>84091</v>
      </c>
      <c r="Q12168">
        <v>1202</v>
      </c>
      <c r="R12168" t="s">
        <v>23</v>
      </c>
      <c r="S12168" s="1" t="s">
        <v>34218</v>
      </c>
    </row>
    <row r="12169" spans="1:19" x14ac:dyDescent="0.25">
      <c r="A12169">
        <v>100979289</v>
      </c>
      <c r="B12169" t="s">
        <v>654</v>
      </c>
      <c r="C12169" t="s">
        <v>305</v>
      </c>
      <c r="G12169" t="s">
        <v>26704</v>
      </c>
      <c r="H12169" t="s">
        <v>15104</v>
      </c>
      <c r="I12169" t="s">
        <v>1482</v>
      </c>
      <c r="J12169">
        <v>29466</v>
      </c>
      <c r="K12169">
        <v>9260</v>
      </c>
      <c r="L12169" t="s">
        <v>23</v>
      </c>
      <c r="M12169" t="s">
        <v>26704</v>
      </c>
      <c r="N12169" t="s">
        <v>15104</v>
      </c>
      <c r="O12169" t="s">
        <v>1482</v>
      </c>
      <c r="P12169">
        <v>29466</v>
      </c>
      <c r="Q12169">
        <v>9260</v>
      </c>
      <c r="R12169" t="s">
        <v>23</v>
      </c>
      <c r="S12169" s="1" t="s">
        <v>34218</v>
      </c>
    </row>
    <row r="12170" spans="1:19" x14ac:dyDescent="0.25">
      <c r="A12170">
        <v>101480768</v>
      </c>
      <c r="B12170" t="s">
        <v>26705</v>
      </c>
      <c r="C12170" t="s">
        <v>21150</v>
      </c>
      <c r="G12170" t="s">
        <v>26706</v>
      </c>
      <c r="H12170" t="s">
        <v>7898</v>
      </c>
      <c r="I12170" t="s">
        <v>662</v>
      </c>
      <c r="J12170">
        <v>2813</v>
      </c>
      <c r="K12170">
        <v>462</v>
      </c>
      <c r="L12170" t="s">
        <v>23</v>
      </c>
      <c r="M12170" t="s">
        <v>26706</v>
      </c>
      <c r="N12170" t="s">
        <v>7898</v>
      </c>
      <c r="O12170" t="s">
        <v>662</v>
      </c>
      <c r="P12170">
        <v>2813</v>
      </c>
      <c r="Q12170">
        <v>462</v>
      </c>
      <c r="R12170" t="s">
        <v>23</v>
      </c>
      <c r="S12170" s="1" t="s">
        <v>34218</v>
      </c>
    </row>
    <row r="12171" spans="1:19" x14ac:dyDescent="0.25">
      <c r="A12171">
        <v>101442424</v>
      </c>
      <c r="B12171" t="s">
        <v>26707</v>
      </c>
      <c r="C12171" t="s">
        <v>123</v>
      </c>
      <c r="G12171" t="s">
        <v>26708</v>
      </c>
      <c r="H12171" t="s">
        <v>5908</v>
      </c>
      <c r="I12171" t="s">
        <v>52</v>
      </c>
      <c r="J12171">
        <v>32966</v>
      </c>
      <c r="K12171">
        <v>8046</v>
      </c>
      <c r="L12171" t="s">
        <v>23</v>
      </c>
      <c r="M12171" t="s">
        <v>26708</v>
      </c>
      <c r="N12171" t="s">
        <v>5908</v>
      </c>
      <c r="O12171" t="s">
        <v>52</v>
      </c>
      <c r="P12171">
        <v>32966</v>
      </c>
      <c r="Q12171">
        <v>8046</v>
      </c>
      <c r="R12171" t="s">
        <v>23</v>
      </c>
      <c r="S12171" s="1" t="s">
        <v>34218</v>
      </c>
    </row>
    <row r="12172" spans="1:19" x14ac:dyDescent="0.25">
      <c r="A12172">
        <v>101480775</v>
      </c>
      <c r="B12172" t="s">
        <v>26709</v>
      </c>
      <c r="C12172" t="s">
        <v>123</v>
      </c>
      <c r="G12172" t="s">
        <v>26710</v>
      </c>
      <c r="H12172" t="s">
        <v>26711</v>
      </c>
      <c r="I12172" t="s">
        <v>140</v>
      </c>
      <c r="J12172">
        <v>49749</v>
      </c>
      <c r="K12172">
        <v>9402</v>
      </c>
      <c r="L12172" t="s">
        <v>23</v>
      </c>
      <c r="M12172" t="s">
        <v>26710</v>
      </c>
      <c r="N12172" t="s">
        <v>26711</v>
      </c>
      <c r="O12172" t="s">
        <v>140</v>
      </c>
      <c r="P12172">
        <v>49749</v>
      </c>
      <c r="Q12172">
        <v>9402</v>
      </c>
      <c r="R12172" t="s">
        <v>23</v>
      </c>
      <c r="S12172" s="1" t="s">
        <v>34218</v>
      </c>
    </row>
    <row r="12173" spans="1:19" x14ac:dyDescent="0.25">
      <c r="A12173">
        <v>101480780</v>
      </c>
      <c r="B12173" t="s">
        <v>5180</v>
      </c>
      <c r="C12173" t="s">
        <v>436</v>
      </c>
      <c r="G12173" t="s">
        <v>26712</v>
      </c>
      <c r="H12173" t="s">
        <v>4460</v>
      </c>
      <c r="I12173" t="s">
        <v>307</v>
      </c>
      <c r="J12173">
        <v>5301</v>
      </c>
      <c r="K12173">
        <v>6654</v>
      </c>
      <c r="L12173" t="s">
        <v>23</v>
      </c>
      <c r="M12173" t="s">
        <v>26712</v>
      </c>
      <c r="N12173" t="s">
        <v>4460</v>
      </c>
      <c r="O12173" t="s">
        <v>307</v>
      </c>
      <c r="P12173">
        <v>5301</v>
      </c>
      <c r="Q12173">
        <v>6654</v>
      </c>
      <c r="R12173" t="s">
        <v>23</v>
      </c>
      <c r="S12173" s="1" t="s">
        <v>34218</v>
      </c>
    </row>
    <row r="12174" spans="1:19" x14ac:dyDescent="0.25">
      <c r="A12174">
        <v>101480781</v>
      </c>
      <c r="B12174" t="s">
        <v>26713</v>
      </c>
      <c r="C12174" t="s">
        <v>282</v>
      </c>
      <c r="G12174" t="s">
        <v>26714</v>
      </c>
      <c r="H12174" t="s">
        <v>3348</v>
      </c>
      <c r="I12174" t="s">
        <v>71</v>
      </c>
      <c r="J12174">
        <v>81147</v>
      </c>
      <c r="K12174">
        <v>7305</v>
      </c>
      <c r="L12174" t="s">
        <v>23</v>
      </c>
      <c r="M12174" t="s">
        <v>26714</v>
      </c>
      <c r="N12174" t="s">
        <v>3348</v>
      </c>
      <c r="O12174" t="s">
        <v>71</v>
      </c>
      <c r="P12174">
        <v>81147</v>
      </c>
      <c r="Q12174">
        <v>7305</v>
      </c>
      <c r="R12174" t="s">
        <v>23</v>
      </c>
      <c r="S12174" s="1" t="s">
        <v>34218</v>
      </c>
    </row>
    <row r="12175" spans="1:19" x14ac:dyDescent="0.25">
      <c r="A12175">
        <v>101218123</v>
      </c>
      <c r="B12175" t="s">
        <v>11679</v>
      </c>
      <c r="C12175" t="s">
        <v>4160</v>
      </c>
      <c r="G12175" t="s">
        <v>26715</v>
      </c>
      <c r="H12175" t="s">
        <v>26716</v>
      </c>
      <c r="I12175" t="s">
        <v>117</v>
      </c>
      <c r="J12175">
        <v>11421</v>
      </c>
      <c r="K12175">
        <v>1714</v>
      </c>
      <c r="L12175" t="s">
        <v>23</v>
      </c>
      <c r="M12175" t="s">
        <v>26715</v>
      </c>
      <c r="N12175" t="s">
        <v>26716</v>
      </c>
      <c r="O12175" t="s">
        <v>117</v>
      </c>
      <c r="P12175">
        <v>11421</v>
      </c>
      <c r="Q12175">
        <v>1714</v>
      </c>
      <c r="R12175" t="s">
        <v>23</v>
      </c>
      <c r="S12175" s="1" t="s">
        <v>34218</v>
      </c>
    </row>
    <row r="12176" spans="1:19" x14ac:dyDescent="0.25">
      <c r="A12176">
        <v>100932672</v>
      </c>
      <c r="B12176" t="s">
        <v>2486</v>
      </c>
      <c r="C12176" t="s">
        <v>1623</v>
      </c>
      <c r="G12176" t="s">
        <v>26717</v>
      </c>
      <c r="H12176" t="s">
        <v>26718</v>
      </c>
      <c r="I12176" t="s">
        <v>43</v>
      </c>
      <c r="J12176">
        <v>97814</v>
      </c>
      <c r="K12176">
        <v>2456</v>
      </c>
      <c r="L12176" t="s">
        <v>23</v>
      </c>
      <c r="M12176" t="s">
        <v>26717</v>
      </c>
      <c r="N12176" t="s">
        <v>26718</v>
      </c>
      <c r="O12176" t="s">
        <v>43</v>
      </c>
      <c r="P12176">
        <v>97814</v>
      </c>
      <c r="Q12176">
        <v>2456</v>
      </c>
      <c r="R12176" t="s">
        <v>23</v>
      </c>
      <c r="S12176" s="1" t="s">
        <v>34218</v>
      </c>
    </row>
    <row r="12177" spans="1:19" x14ac:dyDescent="0.25">
      <c r="A12177">
        <v>100837599</v>
      </c>
      <c r="B12177" t="s">
        <v>26719</v>
      </c>
      <c r="C12177" t="s">
        <v>6997</v>
      </c>
      <c r="G12177" t="s">
        <v>26720</v>
      </c>
      <c r="H12177" t="s">
        <v>26721</v>
      </c>
      <c r="I12177" t="s">
        <v>117</v>
      </c>
      <c r="J12177">
        <v>12585</v>
      </c>
      <c r="K12177">
        <v>5023</v>
      </c>
      <c r="L12177" t="s">
        <v>23</v>
      </c>
      <c r="M12177" t="s">
        <v>26720</v>
      </c>
      <c r="N12177" t="s">
        <v>26721</v>
      </c>
      <c r="O12177" t="s">
        <v>117</v>
      </c>
      <c r="P12177">
        <v>12585</v>
      </c>
      <c r="Q12177">
        <v>5023</v>
      </c>
      <c r="R12177" t="s">
        <v>23</v>
      </c>
      <c r="S12177" s="1" t="s">
        <v>34218</v>
      </c>
    </row>
    <row r="12178" spans="1:19" x14ac:dyDescent="0.25">
      <c r="A12178">
        <v>101480791</v>
      </c>
      <c r="B12178" t="s">
        <v>26722</v>
      </c>
      <c r="C12178" t="s">
        <v>26723</v>
      </c>
      <c r="G12178" t="s">
        <v>26724</v>
      </c>
      <c r="H12178" t="s">
        <v>299</v>
      </c>
      <c r="I12178" t="s">
        <v>22</v>
      </c>
      <c r="J12178">
        <v>90035</v>
      </c>
      <c r="K12178">
        <v>3449</v>
      </c>
      <c r="L12178" t="s">
        <v>23</v>
      </c>
      <c r="M12178" t="s">
        <v>26724</v>
      </c>
      <c r="N12178" t="s">
        <v>299</v>
      </c>
      <c r="O12178" t="s">
        <v>22</v>
      </c>
      <c r="P12178">
        <v>90035</v>
      </c>
      <c r="Q12178">
        <v>3449</v>
      </c>
      <c r="R12178" t="s">
        <v>23</v>
      </c>
      <c r="S12178" s="1" t="s">
        <v>34218</v>
      </c>
    </row>
    <row r="12179" spans="1:19" x14ac:dyDescent="0.25">
      <c r="A12179">
        <v>101476450</v>
      </c>
      <c r="B12179" t="s">
        <v>654</v>
      </c>
      <c r="C12179" t="s">
        <v>803</v>
      </c>
      <c r="G12179" t="s">
        <v>26725</v>
      </c>
      <c r="H12179" t="s">
        <v>4622</v>
      </c>
      <c r="I12179" t="s">
        <v>117</v>
      </c>
      <c r="J12179">
        <v>12054</v>
      </c>
      <c r="K12179">
        <v>2202</v>
      </c>
      <c r="L12179" t="s">
        <v>23</v>
      </c>
      <c r="M12179" t="s">
        <v>26725</v>
      </c>
      <c r="N12179" t="s">
        <v>4622</v>
      </c>
      <c r="O12179" t="s">
        <v>117</v>
      </c>
      <c r="P12179">
        <v>12054</v>
      </c>
      <c r="Q12179">
        <v>2202</v>
      </c>
      <c r="R12179" t="s">
        <v>23</v>
      </c>
      <c r="S12179" s="1" t="s">
        <v>34218</v>
      </c>
    </row>
    <row r="12180" spans="1:19" x14ac:dyDescent="0.25">
      <c r="A12180">
        <v>101480803</v>
      </c>
      <c r="B12180" t="s">
        <v>9103</v>
      </c>
      <c r="C12180" t="s">
        <v>26726</v>
      </c>
      <c r="G12180" t="s">
        <v>26727</v>
      </c>
      <c r="H12180" t="s">
        <v>1857</v>
      </c>
      <c r="I12180" t="s">
        <v>702</v>
      </c>
      <c r="J12180">
        <v>89508</v>
      </c>
      <c r="K12180">
        <v>5816</v>
      </c>
      <c r="L12180" t="s">
        <v>23</v>
      </c>
      <c r="M12180" t="s">
        <v>26727</v>
      </c>
      <c r="N12180" t="s">
        <v>1857</v>
      </c>
      <c r="O12180" t="s">
        <v>702</v>
      </c>
      <c r="P12180">
        <v>89508</v>
      </c>
      <c r="Q12180">
        <v>5816</v>
      </c>
      <c r="R12180" t="s">
        <v>23</v>
      </c>
      <c r="S12180" s="1" t="s">
        <v>34218</v>
      </c>
    </row>
    <row r="12181" spans="1:19" x14ac:dyDescent="0.25">
      <c r="A12181">
        <v>101480804</v>
      </c>
      <c r="B12181" t="s">
        <v>26728</v>
      </c>
      <c r="C12181" t="s">
        <v>184</v>
      </c>
      <c r="G12181" t="s">
        <v>26729</v>
      </c>
      <c r="H12181" t="s">
        <v>423</v>
      </c>
      <c r="I12181" t="s">
        <v>71</v>
      </c>
      <c r="J12181">
        <v>80302</v>
      </c>
      <c r="K12181">
        <v>5833</v>
      </c>
      <c r="L12181" t="s">
        <v>23</v>
      </c>
      <c r="M12181" t="s">
        <v>26729</v>
      </c>
      <c r="N12181" t="s">
        <v>423</v>
      </c>
      <c r="O12181" t="s">
        <v>71</v>
      </c>
      <c r="P12181">
        <v>80302</v>
      </c>
      <c r="Q12181">
        <v>5833</v>
      </c>
      <c r="R12181" t="s">
        <v>23</v>
      </c>
      <c r="S12181" s="1" t="s">
        <v>34218</v>
      </c>
    </row>
    <row r="12182" spans="1:19" x14ac:dyDescent="0.25">
      <c r="A12182">
        <v>101199499</v>
      </c>
      <c r="B12182" t="s">
        <v>26730</v>
      </c>
      <c r="C12182" t="s">
        <v>1835</v>
      </c>
      <c r="G12182" t="s">
        <v>16749</v>
      </c>
      <c r="H12182" t="s">
        <v>22149</v>
      </c>
      <c r="I12182" t="s">
        <v>28</v>
      </c>
      <c r="J12182">
        <v>30046</v>
      </c>
      <c r="K12182">
        <v>214</v>
      </c>
      <c r="L12182" t="s">
        <v>23</v>
      </c>
      <c r="M12182" t="s">
        <v>16749</v>
      </c>
      <c r="N12182" t="s">
        <v>22149</v>
      </c>
      <c r="O12182" t="s">
        <v>28</v>
      </c>
      <c r="P12182">
        <v>30046</v>
      </c>
      <c r="Q12182">
        <v>214</v>
      </c>
      <c r="R12182" t="s">
        <v>23</v>
      </c>
      <c r="S12182" s="1" t="s">
        <v>34218</v>
      </c>
    </row>
    <row r="12183" spans="1:19" x14ac:dyDescent="0.25">
      <c r="A12183">
        <v>101480809</v>
      </c>
      <c r="B12183" t="s">
        <v>2773</v>
      </c>
      <c r="C12183" t="s">
        <v>26731</v>
      </c>
      <c r="G12183" t="s">
        <v>26732</v>
      </c>
      <c r="H12183" t="s">
        <v>20258</v>
      </c>
      <c r="I12183" t="s">
        <v>135</v>
      </c>
      <c r="J12183">
        <v>60430</v>
      </c>
      <c r="K12183">
        <v>2322</v>
      </c>
      <c r="L12183" t="s">
        <v>23</v>
      </c>
      <c r="M12183" t="s">
        <v>26732</v>
      </c>
      <c r="N12183" t="s">
        <v>20258</v>
      </c>
      <c r="O12183" t="s">
        <v>135</v>
      </c>
      <c r="P12183">
        <v>60430</v>
      </c>
      <c r="Q12183">
        <v>2322</v>
      </c>
      <c r="R12183" t="s">
        <v>23</v>
      </c>
      <c r="S12183" s="1" t="s">
        <v>34218</v>
      </c>
    </row>
    <row r="12184" spans="1:19" x14ac:dyDescent="0.25">
      <c r="A12184">
        <v>101480812</v>
      </c>
      <c r="B12184" t="s">
        <v>26733</v>
      </c>
      <c r="C12184" t="s">
        <v>1208</v>
      </c>
      <c r="G12184" t="s">
        <v>26734</v>
      </c>
      <c r="H12184" t="s">
        <v>7232</v>
      </c>
      <c r="I12184" t="s">
        <v>71</v>
      </c>
      <c r="J12184">
        <v>80439</v>
      </c>
      <c r="K12184">
        <v>4503</v>
      </c>
      <c r="L12184" t="s">
        <v>23</v>
      </c>
      <c r="M12184" t="s">
        <v>26734</v>
      </c>
      <c r="N12184" t="s">
        <v>7232</v>
      </c>
      <c r="O12184" t="s">
        <v>71</v>
      </c>
      <c r="P12184">
        <v>80439</v>
      </c>
      <c r="Q12184">
        <v>4503</v>
      </c>
      <c r="R12184" t="s">
        <v>23</v>
      </c>
      <c r="S12184" s="1" t="s">
        <v>34218</v>
      </c>
    </row>
    <row r="12185" spans="1:19" x14ac:dyDescent="0.25">
      <c r="A12185">
        <v>101020085</v>
      </c>
      <c r="B12185" t="s">
        <v>26735</v>
      </c>
      <c r="C12185" t="s">
        <v>17756</v>
      </c>
      <c r="G12185" t="s">
        <v>26736</v>
      </c>
      <c r="H12185" t="s">
        <v>14996</v>
      </c>
      <c r="I12185" t="s">
        <v>52</v>
      </c>
      <c r="J12185">
        <v>33810</v>
      </c>
      <c r="K12185">
        <v>8801</v>
      </c>
      <c r="L12185" t="s">
        <v>23</v>
      </c>
      <c r="M12185" t="s">
        <v>26736</v>
      </c>
      <c r="N12185" t="s">
        <v>14996</v>
      </c>
      <c r="O12185" t="s">
        <v>52</v>
      </c>
      <c r="P12185">
        <v>33810</v>
      </c>
      <c r="Q12185">
        <v>8801</v>
      </c>
      <c r="R12185" t="s">
        <v>23</v>
      </c>
      <c r="S12185" s="1" t="s">
        <v>34218</v>
      </c>
    </row>
    <row r="12186" spans="1:19" x14ac:dyDescent="0.25">
      <c r="A12186">
        <v>101425083</v>
      </c>
      <c r="B12186" t="s">
        <v>26737</v>
      </c>
      <c r="C12186" t="s">
        <v>21429</v>
      </c>
      <c r="G12186" t="s">
        <v>26738</v>
      </c>
      <c r="H12186" t="s">
        <v>2798</v>
      </c>
      <c r="I12186" t="s">
        <v>307</v>
      </c>
      <c r="J12186">
        <v>5401</v>
      </c>
      <c r="K12186">
        <v>4726</v>
      </c>
      <c r="L12186" t="s">
        <v>23</v>
      </c>
      <c r="M12186" t="s">
        <v>26738</v>
      </c>
      <c r="N12186" t="s">
        <v>2798</v>
      </c>
      <c r="O12186" t="s">
        <v>307</v>
      </c>
      <c r="P12186">
        <v>5401</v>
      </c>
      <c r="Q12186">
        <v>4726</v>
      </c>
      <c r="R12186" t="s">
        <v>23</v>
      </c>
      <c r="S12186" s="1" t="s">
        <v>34218</v>
      </c>
    </row>
    <row r="12187" spans="1:19" x14ac:dyDescent="0.25">
      <c r="A12187">
        <v>100563430</v>
      </c>
      <c r="B12187" t="s">
        <v>26739</v>
      </c>
      <c r="C12187" t="s">
        <v>3566</v>
      </c>
      <c r="G12187" t="s">
        <v>26740</v>
      </c>
      <c r="H12187" t="s">
        <v>357</v>
      </c>
      <c r="I12187" t="s">
        <v>255</v>
      </c>
      <c r="J12187">
        <v>22315</v>
      </c>
      <c r="K12187">
        <v>3216</v>
      </c>
      <c r="L12187" t="s">
        <v>23</v>
      </c>
      <c r="M12187" t="s">
        <v>26740</v>
      </c>
      <c r="N12187" t="s">
        <v>357</v>
      </c>
      <c r="O12187" t="s">
        <v>255</v>
      </c>
      <c r="P12187">
        <v>22315</v>
      </c>
      <c r="Q12187">
        <v>3216</v>
      </c>
      <c r="R12187" t="s">
        <v>23</v>
      </c>
      <c r="S12187" s="1" t="s">
        <v>34218</v>
      </c>
    </row>
    <row r="12188" spans="1:19" x14ac:dyDescent="0.25">
      <c r="A12188">
        <v>101480822</v>
      </c>
      <c r="B12188" t="s">
        <v>24348</v>
      </c>
      <c r="C12188" t="s">
        <v>959</v>
      </c>
      <c r="G12188" t="s">
        <v>26741</v>
      </c>
      <c r="H12188" t="s">
        <v>26742</v>
      </c>
      <c r="I12188" t="s">
        <v>100</v>
      </c>
      <c r="J12188">
        <v>53092</v>
      </c>
      <c r="K12188">
        <v>5533</v>
      </c>
      <c r="L12188" t="s">
        <v>23</v>
      </c>
      <c r="M12188" t="s">
        <v>26741</v>
      </c>
      <c r="N12188" t="s">
        <v>26742</v>
      </c>
      <c r="O12188" t="s">
        <v>100</v>
      </c>
      <c r="P12188">
        <v>53092</v>
      </c>
      <c r="Q12188">
        <v>5533</v>
      </c>
      <c r="R12188" t="s">
        <v>23</v>
      </c>
      <c r="S12188" s="1" t="s">
        <v>34218</v>
      </c>
    </row>
    <row r="12189" spans="1:19" x14ac:dyDescent="0.25">
      <c r="A12189">
        <v>101423957</v>
      </c>
      <c r="B12189" t="s">
        <v>26743</v>
      </c>
      <c r="C12189" t="s">
        <v>329</v>
      </c>
      <c r="G12189" t="s">
        <v>26744</v>
      </c>
      <c r="H12189" t="s">
        <v>2403</v>
      </c>
      <c r="I12189" t="s">
        <v>117</v>
      </c>
      <c r="J12189">
        <v>10603</v>
      </c>
      <c r="K12189">
        <v>3800</v>
      </c>
      <c r="L12189" t="s">
        <v>23</v>
      </c>
      <c r="M12189" t="s">
        <v>26744</v>
      </c>
      <c r="N12189" t="s">
        <v>2403</v>
      </c>
      <c r="O12189" t="s">
        <v>117</v>
      </c>
      <c r="P12189">
        <v>10603</v>
      </c>
      <c r="Q12189">
        <v>3800</v>
      </c>
      <c r="R12189" t="s">
        <v>23</v>
      </c>
      <c r="S12189" s="1" t="s">
        <v>34218</v>
      </c>
    </row>
    <row r="12190" spans="1:19" x14ac:dyDescent="0.25">
      <c r="A12190">
        <v>101480828</v>
      </c>
      <c r="B12190" t="s">
        <v>26745</v>
      </c>
      <c r="C12190" t="s">
        <v>26746</v>
      </c>
      <c r="G12190" t="s">
        <v>26747</v>
      </c>
      <c r="H12190" t="s">
        <v>13717</v>
      </c>
      <c r="I12190" t="s">
        <v>117</v>
      </c>
      <c r="J12190">
        <v>12866</v>
      </c>
      <c r="K12190">
        <v>4009</v>
      </c>
      <c r="L12190" t="s">
        <v>23</v>
      </c>
      <c r="M12190" t="s">
        <v>26747</v>
      </c>
      <c r="N12190" t="s">
        <v>13717</v>
      </c>
      <c r="O12190" t="s">
        <v>117</v>
      </c>
      <c r="P12190">
        <v>12866</v>
      </c>
      <c r="Q12190">
        <v>4009</v>
      </c>
      <c r="R12190" t="s">
        <v>23</v>
      </c>
      <c r="S12190" s="1" t="s">
        <v>34218</v>
      </c>
    </row>
    <row r="12191" spans="1:19" x14ac:dyDescent="0.25">
      <c r="A12191">
        <v>101480832</v>
      </c>
      <c r="B12191" t="s">
        <v>734</v>
      </c>
      <c r="C12191" t="s">
        <v>49</v>
      </c>
      <c r="G12191" t="s">
        <v>26748</v>
      </c>
      <c r="H12191" t="s">
        <v>3721</v>
      </c>
      <c r="I12191" t="s">
        <v>117</v>
      </c>
      <c r="J12191">
        <v>11024</v>
      </c>
      <c r="K12191">
        <v>1939</v>
      </c>
      <c r="L12191" t="s">
        <v>23</v>
      </c>
      <c r="M12191" t="s">
        <v>26748</v>
      </c>
      <c r="N12191" t="s">
        <v>3721</v>
      </c>
      <c r="O12191" t="s">
        <v>117</v>
      </c>
      <c r="P12191">
        <v>11024</v>
      </c>
      <c r="Q12191">
        <v>1939</v>
      </c>
      <c r="R12191" t="s">
        <v>23</v>
      </c>
      <c r="S12191" s="1" t="s">
        <v>34218</v>
      </c>
    </row>
    <row r="12192" spans="1:19" x14ac:dyDescent="0.25">
      <c r="A12192">
        <v>101451142</v>
      </c>
      <c r="B12192" t="s">
        <v>26749</v>
      </c>
      <c r="C12192" t="s">
        <v>5599</v>
      </c>
      <c r="G12192" t="s">
        <v>26750</v>
      </c>
      <c r="H12192" t="s">
        <v>412</v>
      </c>
      <c r="I12192" t="s">
        <v>117</v>
      </c>
      <c r="J12192">
        <v>11217</v>
      </c>
      <c r="K12192">
        <v>2823</v>
      </c>
      <c r="L12192" t="s">
        <v>23</v>
      </c>
      <c r="M12192" t="s">
        <v>26750</v>
      </c>
      <c r="N12192" t="s">
        <v>412</v>
      </c>
      <c r="O12192" t="s">
        <v>117</v>
      </c>
      <c r="P12192">
        <v>11217</v>
      </c>
      <c r="Q12192">
        <v>2823</v>
      </c>
      <c r="R12192" t="s">
        <v>23</v>
      </c>
      <c r="S12192" s="1" t="s">
        <v>34218</v>
      </c>
    </row>
    <row r="12193" spans="1:19" x14ac:dyDescent="0.25">
      <c r="A12193">
        <v>101289228</v>
      </c>
      <c r="B12193" t="s">
        <v>553</v>
      </c>
      <c r="C12193" t="s">
        <v>266</v>
      </c>
      <c r="G12193" t="s">
        <v>26751</v>
      </c>
      <c r="H12193" t="s">
        <v>1597</v>
      </c>
      <c r="I12193" t="s">
        <v>71</v>
      </c>
      <c r="J12193">
        <v>80033</v>
      </c>
      <c r="K12193">
        <v>5819</v>
      </c>
      <c r="L12193" t="s">
        <v>23</v>
      </c>
      <c r="M12193" t="s">
        <v>26751</v>
      </c>
      <c r="N12193" t="s">
        <v>1597</v>
      </c>
      <c r="O12193" t="s">
        <v>71</v>
      </c>
      <c r="P12193">
        <v>80033</v>
      </c>
      <c r="Q12193">
        <v>5819</v>
      </c>
      <c r="R12193" t="s">
        <v>23</v>
      </c>
      <c r="S12193" s="1" t="s">
        <v>34218</v>
      </c>
    </row>
    <row r="12194" spans="1:19" x14ac:dyDescent="0.25">
      <c r="A12194">
        <v>101044208</v>
      </c>
      <c r="B12194" t="s">
        <v>4120</v>
      </c>
      <c r="C12194" t="s">
        <v>7257</v>
      </c>
      <c r="G12194" t="s">
        <v>26752</v>
      </c>
      <c r="H12194" t="s">
        <v>14007</v>
      </c>
      <c r="I12194" t="s">
        <v>187</v>
      </c>
      <c r="J12194">
        <v>55416</v>
      </c>
      <c r="K12194">
        <v>1659</v>
      </c>
      <c r="L12194" t="s">
        <v>23</v>
      </c>
      <c r="M12194" t="s">
        <v>26752</v>
      </c>
      <c r="N12194" t="s">
        <v>14007</v>
      </c>
      <c r="O12194" t="s">
        <v>187</v>
      </c>
      <c r="P12194">
        <v>55416</v>
      </c>
      <c r="Q12194">
        <v>1659</v>
      </c>
      <c r="R12194" t="s">
        <v>23</v>
      </c>
      <c r="S12194" s="1" t="s">
        <v>34218</v>
      </c>
    </row>
    <row r="12195" spans="1:19" x14ac:dyDescent="0.25">
      <c r="A12195">
        <v>101251152</v>
      </c>
      <c r="B12195" t="s">
        <v>26753</v>
      </c>
      <c r="C12195" t="s">
        <v>19299</v>
      </c>
      <c r="G12195" t="s">
        <v>26754</v>
      </c>
      <c r="H12195" t="s">
        <v>11945</v>
      </c>
      <c r="I12195" t="s">
        <v>38</v>
      </c>
      <c r="J12195">
        <v>75662</v>
      </c>
      <c r="K12195">
        <v>5747</v>
      </c>
      <c r="L12195" t="s">
        <v>23</v>
      </c>
      <c r="M12195" t="s">
        <v>26754</v>
      </c>
      <c r="N12195" t="s">
        <v>11945</v>
      </c>
      <c r="O12195" t="s">
        <v>38</v>
      </c>
      <c r="P12195">
        <v>75662</v>
      </c>
      <c r="Q12195">
        <v>5747</v>
      </c>
      <c r="R12195" t="s">
        <v>23</v>
      </c>
      <c r="S12195" s="1" t="s">
        <v>34218</v>
      </c>
    </row>
    <row r="12196" spans="1:19" x14ac:dyDescent="0.25">
      <c r="A12196">
        <v>101456175</v>
      </c>
      <c r="B12196" t="s">
        <v>26755</v>
      </c>
      <c r="C12196" t="s">
        <v>382</v>
      </c>
      <c r="G12196" t="s">
        <v>26756</v>
      </c>
      <c r="H12196" t="s">
        <v>1765</v>
      </c>
      <c r="I12196" t="s">
        <v>84</v>
      </c>
      <c r="J12196">
        <v>98506</v>
      </c>
      <c r="K12196">
        <v>3516</v>
      </c>
      <c r="L12196" t="s">
        <v>23</v>
      </c>
      <c r="M12196" t="s">
        <v>26756</v>
      </c>
      <c r="N12196" t="s">
        <v>1765</v>
      </c>
      <c r="O12196" t="s">
        <v>84</v>
      </c>
      <c r="P12196">
        <v>98506</v>
      </c>
      <c r="Q12196">
        <v>3516</v>
      </c>
      <c r="R12196" t="s">
        <v>23</v>
      </c>
      <c r="S12196" s="1" t="s">
        <v>34218</v>
      </c>
    </row>
    <row r="12197" spans="1:19" x14ac:dyDescent="0.25">
      <c r="A12197">
        <v>101288534</v>
      </c>
      <c r="B12197" t="s">
        <v>24554</v>
      </c>
      <c r="C12197" t="s">
        <v>1153</v>
      </c>
      <c r="G12197" t="s">
        <v>26757</v>
      </c>
      <c r="H12197" t="s">
        <v>737</v>
      </c>
      <c r="I12197" t="s">
        <v>255</v>
      </c>
      <c r="J12197">
        <v>23462</v>
      </c>
      <c r="K12197">
        <v>7260</v>
      </c>
      <c r="L12197" t="s">
        <v>23</v>
      </c>
      <c r="M12197" t="s">
        <v>26757</v>
      </c>
      <c r="N12197" t="s">
        <v>737</v>
      </c>
      <c r="O12197" t="s">
        <v>255</v>
      </c>
      <c r="P12197">
        <v>23462</v>
      </c>
      <c r="Q12197">
        <v>7260</v>
      </c>
      <c r="R12197" t="s">
        <v>23</v>
      </c>
      <c r="S12197" s="1" t="s">
        <v>34218</v>
      </c>
    </row>
    <row r="12198" spans="1:19" x14ac:dyDescent="0.25">
      <c r="A12198">
        <v>101449411</v>
      </c>
      <c r="B12198" t="s">
        <v>11122</v>
      </c>
      <c r="C12198" t="s">
        <v>644</v>
      </c>
      <c r="G12198" t="s">
        <v>26758</v>
      </c>
      <c r="H12198" t="s">
        <v>26759</v>
      </c>
      <c r="I12198" t="s">
        <v>22</v>
      </c>
      <c r="J12198">
        <v>95252</v>
      </c>
      <c r="K12198">
        <v>8661</v>
      </c>
      <c r="L12198" t="s">
        <v>23</v>
      </c>
      <c r="M12198" t="s">
        <v>26758</v>
      </c>
      <c r="N12198" t="s">
        <v>26759</v>
      </c>
      <c r="O12198" t="s">
        <v>22</v>
      </c>
      <c r="P12198">
        <v>95252</v>
      </c>
      <c r="Q12198">
        <v>8661</v>
      </c>
      <c r="R12198" t="s">
        <v>23</v>
      </c>
      <c r="S12198" s="1" t="s">
        <v>34218</v>
      </c>
    </row>
    <row r="12199" spans="1:19" x14ac:dyDescent="0.25">
      <c r="A12199">
        <v>101476877</v>
      </c>
      <c r="B12199" t="s">
        <v>26760</v>
      </c>
      <c r="C12199" t="s">
        <v>26761</v>
      </c>
      <c r="G12199" t="s">
        <v>26762</v>
      </c>
      <c r="H12199" t="s">
        <v>7018</v>
      </c>
      <c r="I12199" t="s">
        <v>241</v>
      </c>
      <c r="J12199">
        <v>66061</v>
      </c>
      <c r="L12199" t="s">
        <v>23</v>
      </c>
      <c r="M12199" t="s">
        <v>26762</v>
      </c>
      <c r="N12199" t="s">
        <v>7018</v>
      </c>
      <c r="O12199" t="s">
        <v>241</v>
      </c>
      <c r="P12199">
        <v>66061</v>
      </c>
      <c r="R12199" t="s">
        <v>23</v>
      </c>
      <c r="S12199" s="1" t="s">
        <v>34218</v>
      </c>
    </row>
    <row r="12200" spans="1:19" x14ac:dyDescent="0.25">
      <c r="A12200">
        <v>100764507</v>
      </c>
      <c r="B12200" t="s">
        <v>26763</v>
      </c>
      <c r="C12200" t="s">
        <v>1327</v>
      </c>
      <c r="G12200" t="s">
        <v>26764</v>
      </c>
      <c r="H12200" t="s">
        <v>1975</v>
      </c>
      <c r="I12200" t="s">
        <v>52</v>
      </c>
      <c r="J12200">
        <v>33319</v>
      </c>
      <c r="K12200">
        <v>2465</v>
      </c>
      <c r="L12200" t="s">
        <v>23</v>
      </c>
      <c r="M12200" t="s">
        <v>26764</v>
      </c>
      <c r="N12200" t="s">
        <v>1975</v>
      </c>
      <c r="O12200" t="s">
        <v>52</v>
      </c>
      <c r="P12200">
        <v>33319</v>
      </c>
      <c r="Q12200">
        <v>2465</v>
      </c>
      <c r="R12200" t="s">
        <v>23</v>
      </c>
      <c r="S12200" s="1" t="s">
        <v>34218</v>
      </c>
    </row>
    <row r="12201" spans="1:19" x14ac:dyDescent="0.25">
      <c r="A12201">
        <v>100611933</v>
      </c>
      <c r="B12201" t="s">
        <v>6788</v>
      </c>
      <c r="C12201" t="s">
        <v>26765</v>
      </c>
      <c r="F12201" t="str">
        <f>"7077777777"</f>
        <v>7077777777</v>
      </c>
      <c r="G12201" t="s">
        <v>26766</v>
      </c>
      <c r="H12201" t="s">
        <v>21604</v>
      </c>
      <c r="I12201" t="s">
        <v>22</v>
      </c>
      <c r="J12201">
        <v>95442</v>
      </c>
      <c r="K12201">
        <v>9743</v>
      </c>
      <c r="L12201" t="s">
        <v>23</v>
      </c>
      <c r="M12201" t="s">
        <v>26766</v>
      </c>
      <c r="N12201" t="s">
        <v>21604</v>
      </c>
      <c r="O12201" t="s">
        <v>22</v>
      </c>
      <c r="P12201">
        <v>95442</v>
      </c>
      <c r="Q12201">
        <v>9743</v>
      </c>
      <c r="R12201" t="s">
        <v>23</v>
      </c>
      <c r="S12201" s="1" t="s">
        <v>34218</v>
      </c>
    </row>
    <row r="12202" spans="1:19" x14ac:dyDescent="0.25">
      <c r="A12202">
        <v>101377371</v>
      </c>
      <c r="B12202" t="s">
        <v>23919</v>
      </c>
      <c r="C12202" t="s">
        <v>9629</v>
      </c>
      <c r="G12202" t="s">
        <v>26767</v>
      </c>
      <c r="H12202" t="s">
        <v>2778</v>
      </c>
      <c r="I12202" t="s">
        <v>1482</v>
      </c>
      <c r="J12202">
        <v>29526</v>
      </c>
      <c r="K12202">
        <v>6625</v>
      </c>
      <c r="L12202" t="s">
        <v>23</v>
      </c>
      <c r="M12202" t="s">
        <v>26767</v>
      </c>
      <c r="N12202" t="s">
        <v>2778</v>
      </c>
      <c r="O12202" t="s">
        <v>1482</v>
      </c>
      <c r="P12202">
        <v>29526</v>
      </c>
      <c r="Q12202">
        <v>6625</v>
      </c>
      <c r="R12202" t="s">
        <v>23</v>
      </c>
      <c r="S12202" s="1" t="s">
        <v>34218</v>
      </c>
    </row>
    <row r="12203" spans="1:19" x14ac:dyDescent="0.25">
      <c r="A12203">
        <v>101430681</v>
      </c>
      <c r="B12203" t="s">
        <v>26768</v>
      </c>
      <c r="C12203" t="s">
        <v>30</v>
      </c>
      <c r="G12203" t="s">
        <v>26769</v>
      </c>
      <c r="H12203" t="s">
        <v>26770</v>
      </c>
      <c r="I12203" t="s">
        <v>365</v>
      </c>
      <c r="J12203">
        <v>85087</v>
      </c>
      <c r="K12203">
        <v>7938</v>
      </c>
      <c r="L12203" t="s">
        <v>23</v>
      </c>
      <c r="M12203" t="s">
        <v>26769</v>
      </c>
      <c r="N12203" t="s">
        <v>26770</v>
      </c>
      <c r="O12203" t="s">
        <v>365</v>
      </c>
      <c r="P12203">
        <v>85087</v>
      </c>
      <c r="Q12203">
        <v>7938</v>
      </c>
      <c r="R12203" t="s">
        <v>23</v>
      </c>
      <c r="S12203" s="1" t="s">
        <v>34218</v>
      </c>
    </row>
    <row r="12204" spans="1:19" x14ac:dyDescent="0.25">
      <c r="A12204">
        <v>101327332</v>
      </c>
      <c r="B12204" t="s">
        <v>26771</v>
      </c>
      <c r="C12204" t="s">
        <v>26772</v>
      </c>
      <c r="G12204">
        <v>2026</v>
      </c>
      <c r="H12204" t="s">
        <v>198</v>
      </c>
      <c r="I12204" t="s">
        <v>22</v>
      </c>
      <c r="J12204">
        <v>92109</v>
      </c>
      <c r="L12204" t="s">
        <v>23</v>
      </c>
      <c r="M12204">
        <v>2026</v>
      </c>
      <c r="N12204" t="s">
        <v>198</v>
      </c>
      <c r="O12204" t="s">
        <v>22</v>
      </c>
      <c r="P12204">
        <v>92109</v>
      </c>
      <c r="R12204" t="s">
        <v>23</v>
      </c>
      <c r="S12204" s="1" t="s">
        <v>34218</v>
      </c>
    </row>
    <row r="12205" spans="1:19" x14ac:dyDescent="0.25">
      <c r="A12205">
        <v>100854024</v>
      </c>
      <c r="B12205" t="s">
        <v>26773</v>
      </c>
      <c r="C12205" t="s">
        <v>225</v>
      </c>
      <c r="G12205" t="s">
        <v>26774</v>
      </c>
      <c r="H12205" t="s">
        <v>5579</v>
      </c>
      <c r="I12205" t="s">
        <v>446</v>
      </c>
      <c r="J12205">
        <v>27104</v>
      </c>
      <c r="K12205">
        <v>4538</v>
      </c>
      <c r="L12205" t="s">
        <v>23</v>
      </c>
      <c r="M12205" t="s">
        <v>26774</v>
      </c>
      <c r="N12205" t="s">
        <v>5579</v>
      </c>
      <c r="O12205" t="s">
        <v>446</v>
      </c>
      <c r="P12205">
        <v>27104</v>
      </c>
      <c r="Q12205">
        <v>4538</v>
      </c>
      <c r="R12205" t="s">
        <v>23</v>
      </c>
      <c r="S12205" s="1" t="s">
        <v>34218</v>
      </c>
    </row>
    <row r="12206" spans="1:19" x14ac:dyDescent="0.25">
      <c r="A12206">
        <v>101428337</v>
      </c>
      <c r="B12206" t="s">
        <v>26775</v>
      </c>
      <c r="C12206" t="s">
        <v>970</v>
      </c>
      <c r="G12206" t="s">
        <v>26776</v>
      </c>
      <c r="H12206" t="s">
        <v>299</v>
      </c>
      <c r="I12206" t="s">
        <v>22</v>
      </c>
      <c r="J12206">
        <v>90035</v>
      </c>
      <c r="K12206">
        <v>1825</v>
      </c>
      <c r="L12206" t="s">
        <v>23</v>
      </c>
      <c r="M12206" t="s">
        <v>26776</v>
      </c>
      <c r="N12206" t="s">
        <v>299</v>
      </c>
      <c r="O12206" t="s">
        <v>22</v>
      </c>
      <c r="P12206">
        <v>90035</v>
      </c>
      <c r="Q12206">
        <v>1825</v>
      </c>
      <c r="R12206" t="s">
        <v>23</v>
      </c>
      <c r="S12206" s="1" t="s">
        <v>34218</v>
      </c>
    </row>
    <row r="12207" spans="1:19" x14ac:dyDescent="0.25">
      <c r="A12207">
        <v>101395472</v>
      </c>
      <c r="B12207" t="s">
        <v>26777</v>
      </c>
      <c r="C12207" t="s">
        <v>6520</v>
      </c>
      <c r="G12207" t="s">
        <v>26778</v>
      </c>
      <c r="H12207" t="s">
        <v>1431</v>
      </c>
      <c r="I12207" t="s">
        <v>639</v>
      </c>
      <c r="J12207">
        <v>87507</v>
      </c>
      <c r="K12207">
        <v>2558</v>
      </c>
      <c r="L12207" t="s">
        <v>23</v>
      </c>
      <c r="M12207" t="s">
        <v>26778</v>
      </c>
      <c r="N12207" t="s">
        <v>1431</v>
      </c>
      <c r="O12207" t="s">
        <v>639</v>
      </c>
      <c r="P12207">
        <v>87507</v>
      </c>
      <c r="Q12207">
        <v>2558</v>
      </c>
      <c r="R12207" t="s">
        <v>23</v>
      </c>
      <c r="S12207" s="1" t="s">
        <v>34218</v>
      </c>
    </row>
    <row r="12208" spans="1:19" x14ac:dyDescent="0.25">
      <c r="A12208">
        <v>101314560</v>
      </c>
      <c r="B12208" t="s">
        <v>26779</v>
      </c>
      <c r="C12208" t="s">
        <v>26780</v>
      </c>
      <c r="G12208" t="s">
        <v>26781</v>
      </c>
      <c r="H12208" t="s">
        <v>1863</v>
      </c>
      <c r="I12208" t="s">
        <v>126</v>
      </c>
      <c r="J12208">
        <v>64114</v>
      </c>
      <c r="K12208">
        <v>2540</v>
      </c>
      <c r="L12208" t="s">
        <v>23</v>
      </c>
      <c r="M12208" t="s">
        <v>26781</v>
      </c>
      <c r="N12208" t="s">
        <v>1863</v>
      </c>
      <c r="O12208" t="s">
        <v>126</v>
      </c>
      <c r="P12208">
        <v>64114</v>
      </c>
      <c r="Q12208">
        <v>2540</v>
      </c>
      <c r="R12208" t="s">
        <v>23</v>
      </c>
      <c r="S12208" s="1" t="s">
        <v>34218</v>
      </c>
    </row>
    <row r="12209" spans="1:19" x14ac:dyDescent="0.25">
      <c r="A12209">
        <v>101146979</v>
      </c>
      <c r="B12209" t="s">
        <v>8024</v>
      </c>
      <c r="C12209" t="s">
        <v>26782</v>
      </c>
      <c r="G12209" t="s">
        <v>26783</v>
      </c>
      <c r="H12209" t="s">
        <v>5471</v>
      </c>
      <c r="I12209" t="s">
        <v>255</v>
      </c>
      <c r="J12209">
        <v>23113</v>
      </c>
      <c r="K12209">
        <v>6826</v>
      </c>
      <c r="L12209" t="s">
        <v>23</v>
      </c>
      <c r="M12209" t="s">
        <v>26783</v>
      </c>
      <c r="N12209" t="s">
        <v>5471</v>
      </c>
      <c r="O12209" t="s">
        <v>255</v>
      </c>
      <c r="P12209">
        <v>23113</v>
      </c>
      <c r="Q12209">
        <v>6826</v>
      </c>
      <c r="R12209" t="s">
        <v>23</v>
      </c>
      <c r="S12209" s="1" t="s">
        <v>34218</v>
      </c>
    </row>
    <row r="12210" spans="1:19" x14ac:dyDescent="0.25">
      <c r="A12210">
        <v>101336745</v>
      </c>
      <c r="B12210" t="s">
        <v>26784</v>
      </c>
      <c r="C12210" t="s">
        <v>274</v>
      </c>
      <c r="G12210" t="s">
        <v>26785</v>
      </c>
      <c r="H12210" t="s">
        <v>746</v>
      </c>
      <c r="I12210" t="s">
        <v>43</v>
      </c>
      <c r="J12210">
        <v>97478</v>
      </c>
      <c r="K12210">
        <v>6951</v>
      </c>
      <c r="L12210" t="s">
        <v>23</v>
      </c>
      <c r="M12210" t="s">
        <v>26785</v>
      </c>
      <c r="N12210" t="s">
        <v>746</v>
      </c>
      <c r="O12210" t="s">
        <v>43</v>
      </c>
      <c r="P12210">
        <v>97478</v>
      </c>
      <c r="Q12210">
        <v>6951</v>
      </c>
      <c r="R12210" t="s">
        <v>23</v>
      </c>
      <c r="S12210" s="1" t="s">
        <v>34218</v>
      </c>
    </row>
    <row r="12211" spans="1:19" x14ac:dyDescent="0.25">
      <c r="A12211">
        <v>101426730</v>
      </c>
      <c r="B12211" t="s">
        <v>1335</v>
      </c>
      <c r="C12211" t="s">
        <v>1168</v>
      </c>
      <c r="G12211" t="s">
        <v>26786</v>
      </c>
      <c r="H12211" t="s">
        <v>3363</v>
      </c>
      <c r="I12211" t="s">
        <v>33</v>
      </c>
      <c r="J12211">
        <v>15206</v>
      </c>
      <c r="K12211">
        <v>4811</v>
      </c>
      <c r="L12211" t="s">
        <v>23</v>
      </c>
      <c r="M12211" t="s">
        <v>26786</v>
      </c>
      <c r="N12211" t="s">
        <v>3363</v>
      </c>
      <c r="O12211" t="s">
        <v>33</v>
      </c>
      <c r="P12211">
        <v>15206</v>
      </c>
      <c r="Q12211">
        <v>4811</v>
      </c>
      <c r="R12211" t="s">
        <v>23</v>
      </c>
      <c r="S12211" s="1" t="s">
        <v>34218</v>
      </c>
    </row>
    <row r="12212" spans="1:19" x14ac:dyDescent="0.25">
      <c r="A12212">
        <v>100790213</v>
      </c>
      <c r="B12212" t="s">
        <v>20123</v>
      </c>
      <c r="C12212" t="s">
        <v>3326</v>
      </c>
      <c r="G12212" t="s">
        <v>26787</v>
      </c>
      <c r="H12212" t="s">
        <v>26788</v>
      </c>
      <c r="I12212" t="s">
        <v>255</v>
      </c>
      <c r="J12212">
        <v>24211</v>
      </c>
      <c r="L12212" t="s">
        <v>23</v>
      </c>
      <c r="M12212" t="s">
        <v>26787</v>
      </c>
      <c r="N12212" t="s">
        <v>26788</v>
      </c>
      <c r="O12212" t="s">
        <v>255</v>
      </c>
      <c r="P12212">
        <v>24211</v>
      </c>
      <c r="R12212" t="s">
        <v>23</v>
      </c>
      <c r="S12212" s="1" t="s">
        <v>34218</v>
      </c>
    </row>
    <row r="12213" spans="1:19" x14ac:dyDescent="0.25">
      <c r="A12213">
        <v>101359497</v>
      </c>
      <c r="B12213" t="s">
        <v>14584</v>
      </c>
      <c r="C12213" t="s">
        <v>155</v>
      </c>
      <c r="G12213" t="s">
        <v>26789</v>
      </c>
      <c r="H12213" t="s">
        <v>4693</v>
      </c>
      <c r="I12213" t="s">
        <v>52</v>
      </c>
      <c r="J12213">
        <v>33484</v>
      </c>
      <c r="K12213">
        <v>8314</v>
      </c>
      <c r="L12213" t="s">
        <v>23</v>
      </c>
      <c r="M12213" t="s">
        <v>26789</v>
      </c>
      <c r="N12213" t="s">
        <v>4693</v>
      </c>
      <c r="O12213" t="s">
        <v>52</v>
      </c>
      <c r="P12213">
        <v>33484</v>
      </c>
      <c r="Q12213">
        <v>8314</v>
      </c>
      <c r="R12213" t="s">
        <v>23</v>
      </c>
      <c r="S12213" s="1" t="s">
        <v>34218</v>
      </c>
    </row>
    <row r="12214" spans="1:19" x14ac:dyDescent="0.25">
      <c r="A12214">
        <v>101352566</v>
      </c>
      <c r="B12214" t="s">
        <v>26790</v>
      </c>
      <c r="C12214" t="s">
        <v>26791</v>
      </c>
      <c r="G12214" t="s">
        <v>26792</v>
      </c>
      <c r="H12214" t="s">
        <v>3270</v>
      </c>
      <c r="I12214" t="s">
        <v>348</v>
      </c>
      <c r="J12214">
        <v>83709</v>
      </c>
      <c r="K12214">
        <v>2354</v>
      </c>
      <c r="L12214" t="s">
        <v>23</v>
      </c>
      <c r="M12214" t="s">
        <v>26792</v>
      </c>
      <c r="N12214" t="s">
        <v>3270</v>
      </c>
      <c r="O12214" t="s">
        <v>348</v>
      </c>
      <c r="P12214">
        <v>83709</v>
      </c>
      <c r="Q12214">
        <v>2354</v>
      </c>
      <c r="R12214" t="s">
        <v>23</v>
      </c>
      <c r="S12214" s="1" t="s">
        <v>34218</v>
      </c>
    </row>
    <row r="12215" spans="1:19" x14ac:dyDescent="0.25">
      <c r="A12215">
        <v>101423240</v>
      </c>
      <c r="B12215" t="s">
        <v>9276</v>
      </c>
      <c r="C12215" t="s">
        <v>158</v>
      </c>
      <c r="G12215" t="s">
        <v>26793</v>
      </c>
      <c r="H12215" t="s">
        <v>8662</v>
      </c>
      <c r="I12215" t="s">
        <v>153</v>
      </c>
      <c r="J12215">
        <v>70121</v>
      </c>
      <c r="K12215">
        <v>1111</v>
      </c>
      <c r="L12215" t="s">
        <v>23</v>
      </c>
      <c r="M12215" t="s">
        <v>26793</v>
      </c>
      <c r="N12215" t="s">
        <v>8662</v>
      </c>
      <c r="O12215" t="s">
        <v>153</v>
      </c>
      <c r="P12215">
        <v>70121</v>
      </c>
      <c r="Q12215">
        <v>1111</v>
      </c>
      <c r="R12215" t="s">
        <v>23</v>
      </c>
      <c r="S12215" s="1" t="s">
        <v>34218</v>
      </c>
    </row>
    <row r="12216" spans="1:19" x14ac:dyDescent="0.25">
      <c r="A12216">
        <v>101430256</v>
      </c>
      <c r="B12216" t="s">
        <v>2653</v>
      </c>
      <c r="C12216" t="s">
        <v>26794</v>
      </c>
      <c r="G12216" t="s">
        <v>26795</v>
      </c>
      <c r="H12216" t="s">
        <v>26796</v>
      </c>
      <c r="I12216" t="s">
        <v>241</v>
      </c>
      <c r="J12216">
        <v>67801</v>
      </c>
      <c r="K12216">
        <v>7409</v>
      </c>
      <c r="L12216" t="s">
        <v>23</v>
      </c>
      <c r="M12216" t="s">
        <v>26795</v>
      </c>
      <c r="N12216" t="s">
        <v>26796</v>
      </c>
      <c r="O12216" t="s">
        <v>241</v>
      </c>
      <c r="P12216">
        <v>67801</v>
      </c>
      <c r="Q12216">
        <v>7409</v>
      </c>
      <c r="R12216" t="s">
        <v>23</v>
      </c>
      <c r="S12216" s="1" t="s">
        <v>34218</v>
      </c>
    </row>
    <row r="12217" spans="1:19" x14ac:dyDescent="0.25">
      <c r="A12217">
        <v>100781207</v>
      </c>
      <c r="B12217" t="s">
        <v>26797</v>
      </c>
      <c r="C12217" t="s">
        <v>7561</v>
      </c>
      <c r="G12217" t="s">
        <v>26798</v>
      </c>
      <c r="H12217" t="s">
        <v>10969</v>
      </c>
      <c r="I12217" t="s">
        <v>38</v>
      </c>
      <c r="J12217">
        <v>75034</v>
      </c>
      <c r="K12217">
        <v>4191</v>
      </c>
      <c r="L12217" t="s">
        <v>23</v>
      </c>
      <c r="M12217" t="s">
        <v>26798</v>
      </c>
      <c r="N12217" t="s">
        <v>10969</v>
      </c>
      <c r="O12217" t="s">
        <v>38</v>
      </c>
      <c r="P12217">
        <v>75034</v>
      </c>
      <c r="Q12217">
        <v>4191</v>
      </c>
      <c r="R12217" t="s">
        <v>23</v>
      </c>
      <c r="S12217" s="1" t="s">
        <v>34218</v>
      </c>
    </row>
    <row r="12218" spans="1:19" x14ac:dyDescent="0.25">
      <c r="A12218">
        <v>101448400</v>
      </c>
      <c r="B12218" t="s">
        <v>6058</v>
      </c>
      <c r="C12218" t="s">
        <v>1714</v>
      </c>
      <c r="G12218" t="s">
        <v>26799</v>
      </c>
      <c r="H12218" t="s">
        <v>10093</v>
      </c>
      <c r="I12218" t="s">
        <v>84</v>
      </c>
      <c r="J12218">
        <v>98382</v>
      </c>
      <c r="K12218">
        <v>9531</v>
      </c>
      <c r="L12218" t="s">
        <v>23</v>
      </c>
      <c r="M12218" t="s">
        <v>26799</v>
      </c>
      <c r="N12218" t="s">
        <v>10093</v>
      </c>
      <c r="O12218" t="s">
        <v>84</v>
      </c>
      <c r="P12218">
        <v>98382</v>
      </c>
      <c r="Q12218">
        <v>9531</v>
      </c>
      <c r="R12218" t="s">
        <v>23</v>
      </c>
      <c r="S12218" s="1" t="s">
        <v>34218</v>
      </c>
    </row>
    <row r="12219" spans="1:19" x14ac:dyDescent="0.25">
      <c r="A12219">
        <v>101132429</v>
      </c>
      <c r="B12219" t="s">
        <v>26800</v>
      </c>
      <c r="C12219" t="s">
        <v>90</v>
      </c>
      <c r="G12219" t="s">
        <v>26801</v>
      </c>
      <c r="H12219" t="s">
        <v>2434</v>
      </c>
      <c r="I12219" t="s">
        <v>161</v>
      </c>
      <c r="J12219">
        <v>6511</v>
      </c>
      <c r="K12219">
        <v>5466</v>
      </c>
      <c r="L12219" t="s">
        <v>23</v>
      </c>
      <c r="M12219" t="s">
        <v>26801</v>
      </c>
      <c r="N12219" t="s">
        <v>2434</v>
      </c>
      <c r="O12219" t="s">
        <v>161</v>
      </c>
      <c r="P12219">
        <v>6511</v>
      </c>
      <c r="Q12219">
        <v>5466</v>
      </c>
      <c r="R12219" t="s">
        <v>23</v>
      </c>
      <c r="S12219" s="1" t="s">
        <v>34218</v>
      </c>
    </row>
    <row r="12220" spans="1:19" x14ac:dyDescent="0.25">
      <c r="A12220">
        <v>101447310</v>
      </c>
      <c r="B12220" t="s">
        <v>4440</v>
      </c>
      <c r="C12220" t="s">
        <v>2127</v>
      </c>
      <c r="G12220" t="s">
        <v>26802</v>
      </c>
      <c r="H12220" t="s">
        <v>3373</v>
      </c>
      <c r="I12220" t="s">
        <v>178</v>
      </c>
      <c r="J12220">
        <v>44111</v>
      </c>
      <c r="K12220">
        <v>5301</v>
      </c>
      <c r="L12220" t="s">
        <v>23</v>
      </c>
      <c r="M12220" t="s">
        <v>26802</v>
      </c>
      <c r="N12220" t="s">
        <v>3373</v>
      </c>
      <c r="O12220" t="s">
        <v>178</v>
      </c>
      <c r="P12220">
        <v>44111</v>
      </c>
      <c r="Q12220">
        <v>5301</v>
      </c>
      <c r="R12220" t="s">
        <v>23</v>
      </c>
      <c r="S12220" s="1" t="s">
        <v>34218</v>
      </c>
    </row>
    <row r="12221" spans="1:19" x14ac:dyDescent="0.25">
      <c r="A12221">
        <v>101423227</v>
      </c>
      <c r="B12221" t="s">
        <v>26803</v>
      </c>
      <c r="C12221" t="s">
        <v>26804</v>
      </c>
      <c r="G12221" t="s">
        <v>26805</v>
      </c>
      <c r="H12221" t="s">
        <v>6026</v>
      </c>
      <c r="I12221" t="s">
        <v>191</v>
      </c>
      <c r="J12221">
        <v>4427</v>
      </c>
      <c r="K12221">
        <v>3218</v>
      </c>
      <c r="L12221" t="s">
        <v>23</v>
      </c>
      <c r="M12221" t="s">
        <v>26805</v>
      </c>
      <c r="N12221" t="s">
        <v>6026</v>
      </c>
      <c r="O12221" t="s">
        <v>191</v>
      </c>
      <c r="P12221">
        <v>4427</v>
      </c>
      <c r="Q12221">
        <v>3218</v>
      </c>
      <c r="R12221" t="s">
        <v>23</v>
      </c>
      <c r="S12221" s="1" t="s">
        <v>34218</v>
      </c>
    </row>
    <row r="12222" spans="1:19" x14ac:dyDescent="0.25">
      <c r="A12222">
        <v>101301114</v>
      </c>
      <c r="B12222" t="s">
        <v>15897</v>
      </c>
      <c r="C12222" t="s">
        <v>3843</v>
      </c>
      <c r="G12222" t="s">
        <v>26806</v>
      </c>
      <c r="H12222" t="s">
        <v>130</v>
      </c>
      <c r="I12222" t="s">
        <v>22</v>
      </c>
      <c r="J12222">
        <v>94123</v>
      </c>
      <c r="L12222" t="s">
        <v>23</v>
      </c>
      <c r="M12222" t="s">
        <v>26806</v>
      </c>
      <c r="N12222" t="s">
        <v>130</v>
      </c>
      <c r="O12222" t="s">
        <v>22</v>
      </c>
      <c r="P12222">
        <v>94123</v>
      </c>
      <c r="R12222" t="s">
        <v>23</v>
      </c>
      <c r="S12222" s="1" t="s">
        <v>34218</v>
      </c>
    </row>
    <row r="12223" spans="1:19" x14ac:dyDescent="0.25">
      <c r="A12223">
        <v>100515571</v>
      </c>
      <c r="B12223" t="s">
        <v>26807</v>
      </c>
      <c r="C12223" t="s">
        <v>6024</v>
      </c>
      <c r="G12223" t="s">
        <v>26808</v>
      </c>
      <c r="H12223" t="s">
        <v>1402</v>
      </c>
      <c r="I12223" t="s">
        <v>38</v>
      </c>
      <c r="J12223">
        <v>77079</v>
      </c>
      <c r="K12223">
        <v>7605</v>
      </c>
      <c r="L12223" t="s">
        <v>23</v>
      </c>
      <c r="M12223" t="s">
        <v>26808</v>
      </c>
      <c r="N12223" t="s">
        <v>1402</v>
      </c>
      <c r="O12223" t="s">
        <v>38</v>
      </c>
      <c r="P12223">
        <v>77079</v>
      </c>
      <c r="Q12223">
        <v>7605</v>
      </c>
      <c r="R12223" t="s">
        <v>23</v>
      </c>
      <c r="S12223" s="1" t="s">
        <v>34218</v>
      </c>
    </row>
    <row r="12224" spans="1:19" x14ac:dyDescent="0.25">
      <c r="A12224">
        <v>101290684</v>
      </c>
      <c r="B12224" t="s">
        <v>26809</v>
      </c>
      <c r="C12224" t="s">
        <v>1107</v>
      </c>
      <c r="G12224" t="s">
        <v>26810</v>
      </c>
      <c r="H12224" t="s">
        <v>6831</v>
      </c>
      <c r="I12224" t="s">
        <v>22</v>
      </c>
      <c r="J12224">
        <v>95448</v>
      </c>
      <c r="K12224">
        <v>4402</v>
      </c>
      <c r="L12224" t="s">
        <v>23</v>
      </c>
      <c r="M12224" t="s">
        <v>26810</v>
      </c>
      <c r="N12224" t="s">
        <v>6831</v>
      </c>
      <c r="O12224" t="s">
        <v>22</v>
      </c>
      <c r="P12224">
        <v>95448</v>
      </c>
      <c r="Q12224">
        <v>4402</v>
      </c>
      <c r="R12224" t="s">
        <v>23</v>
      </c>
      <c r="S12224" s="1" t="s">
        <v>34218</v>
      </c>
    </row>
    <row r="12225" spans="1:19" x14ac:dyDescent="0.25">
      <c r="A12225">
        <v>101427162</v>
      </c>
      <c r="B12225" t="s">
        <v>11054</v>
      </c>
      <c r="C12225" t="s">
        <v>1327</v>
      </c>
      <c r="G12225" t="s">
        <v>26811</v>
      </c>
      <c r="H12225" t="s">
        <v>26812</v>
      </c>
      <c r="I12225" t="s">
        <v>117</v>
      </c>
      <c r="J12225">
        <v>14478</v>
      </c>
      <c r="K12225">
        <v>172</v>
      </c>
      <c r="L12225" t="s">
        <v>23</v>
      </c>
      <c r="M12225" t="s">
        <v>26811</v>
      </c>
      <c r="N12225" t="s">
        <v>26812</v>
      </c>
      <c r="O12225" t="s">
        <v>117</v>
      </c>
      <c r="P12225">
        <v>14478</v>
      </c>
      <c r="Q12225">
        <v>172</v>
      </c>
      <c r="R12225" t="s">
        <v>23</v>
      </c>
      <c r="S12225" s="1" t="s">
        <v>34218</v>
      </c>
    </row>
    <row r="12226" spans="1:19" x14ac:dyDescent="0.25">
      <c r="A12226">
        <v>100646612</v>
      </c>
      <c r="B12226" t="s">
        <v>26813</v>
      </c>
      <c r="C12226" t="s">
        <v>26814</v>
      </c>
      <c r="G12226" t="s">
        <v>26815</v>
      </c>
      <c r="H12226" t="s">
        <v>26816</v>
      </c>
      <c r="I12226" t="s">
        <v>22</v>
      </c>
      <c r="J12226">
        <v>92624</v>
      </c>
      <c r="K12226">
        <v>1314</v>
      </c>
      <c r="L12226" t="s">
        <v>23</v>
      </c>
      <c r="M12226" t="s">
        <v>26815</v>
      </c>
      <c r="N12226" t="s">
        <v>26816</v>
      </c>
      <c r="O12226" t="s">
        <v>22</v>
      </c>
      <c r="P12226">
        <v>92624</v>
      </c>
      <c r="Q12226">
        <v>1314</v>
      </c>
      <c r="R12226" t="s">
        <v>23</v>
      </c>
      <c r="S12226" s="1" t="s">
        <v>34218</v>
      </c>
    </row>
    <row r="12227" spans="1:19" x14ac:dyDescent="0.25">
      <c r="A12227">
        <v>101427081</v>
      </c>
      <c r="B12227" t="s">
        <v>26817</v>
      </c>
      <c r="C12227" t="s">
        <v>286</v>
      </c>
      <c r="G12227" t="s">
        <v>26818</v>
      </c>
      <c r="H12227" t="s">
        <v>2422</v>
      </c>
      <c r="I12227" t="s">
        <v>255</v>
      </c>
      <c r="J12227">
        <v>24401</v>
      </c>
      <c r="K12227">
        <v>1935</v>
      </c>
      <c r="L12227" t="s">
        <v>23</v>
      </c>
      <c r="M12227" t="s">
        <v>26818</v>
      </c>
      <c r="N12227" t="s">
        <v>2422</v>
      </c>
      <c r="O12227" t="s">
        <v>255</v>
      </c>
      <c r="P12227">
        <v>24401</v>
      </c>
      <c r="Q12227">
        <v>1935</v>
      </c>
      <c r="R12227" t="s">
        <v>23</v>
      </c>
      <c r="S12227" s="1" t="s">
        <v>34218</v>
      </c>
    </row>
    <row r="12228" spans="1:19" x14ac:dyDescent="0.25">
      <c r="A12228">
        <v>101434732</v>
      </c>
      <c r="B12228" t="s">
        <v>734</v>
      </c>
      <c r="C12228" t="s">
        <v>13091</v>
      </c>
      <c r="G12228" t="s">
        <v>26819</v>
      </c>
      <c r="H12228" t="s">
        <v>650</v>
      </c>
      <c r="I12228" t="s">
        <v>22</v>
      </c>
      <c r="J12228">
        <v>95835</v>
      </c>
      <c r="K12228">
        <v>1303</v>
      </c>
      <c r="L12228" t="s">
        <v>23</v>
      </c>
      <c r="M12228" t="s">
        <v>26819</v>
      </c>
      <c r="N12228" t="s">
        <v>650</v>
      </c>
      <c r="O12228" t="s">
        <v>22</v>
      </c>
      <c r="P12228">
        <v>95835</v>
      </c>
      <c r="Q12228">
        <v>1303</v>
      </c>
      <c r="R12228" t="s">
        <v>23</v>
      </c>
      <c r="S12228" s="1" t="s">
        <v>34218</v>
      </c>
    </row>
    <row r="12229" spans="1:19" x14ac:dyDescent="0.25">
      <c r="A12229">
        <v>100740487</v>
      </c>
      <c r="B12229" t="s">
        <v>11916</v>
      </c>
      <c r="C12229" t="s">
        <v>1555</v>
      </c>
      <c r="G12229" t="s">
        <v>26820</v>
      </c>
      <c r="H12229" t="s">
        <v>13480</v>
      </c>
      <c r="I12229" t="s">
        <v>28</v>
      </c>
      <c r="J12229">
        <v>30909</v>
      </c>
      <c r="K12229">
        <v>4316</v>
      </c>
      <c r="L12229" t="s">
        <v>23</v>
      </c>
      <c r="M12229" t="s">
        <v>26820</v>
      </c>
      <c r="N12229" t="s">
        <v>13480</v>
      </c>
      <c r="O12229" t="s">
        <v>28</v>
      </c>
      <c r="P12229">
        <v>30909</v>
      </c>
      <c r="Q12229">
        <v>4316</v>
      </c>
      <c r="R12229" t="s">
        <v>23</v>
      </c>
      <c r="S12229" s="1" t="s">
        <v>34218</v>
      </c>
    </row>
    <row r="12230" spans="1:19" x14ac:dyDescent="0.25">
      <c r="A12230">
        <v>100556890</v>
      </c>
      <c r="B12230" t="s">
        <v>26821</v>
      </c>
      <c r="C12230" t="s">
        <v>119</v>
      </c>
      <c r="G12230" t="s">
        <v>26822</v>
      </c>
      <c r="H12230" t="s">
        <v>18927</v>
      </c>
      <c r="I12230" t="s">
        <v>914</v>
      </c>
      <c r="J12230">
        <v>37076</v>
      </c>
      <c r="L12230" t="s">
        <v>23</v>
      </c>
      <c r="M12230" t="s">
        <v>26822</v>
      </c>
      <c r="N12230" t="s">
        <v>18927</v>
      </c>
      <c r="O12230" t="s">
        <v>914</v>
      </c>
      <c r="P12230">
        <v>37076</v>
      </c>
      <c r="R12230" t="s">
        <v>23</v>
      </c>
      <c r="S12230" s="1" t="s">
        <v>34218</v>
      </c>
    </row>
    <row r="12231" spans="1:19" x14ac:dyDescent="0.25">
      <c r="A12231">
        <v>101139053</v>
      </c>
      <c r="B12231" t="s">
        <v>26823</v>
      </c>
      <c r="C12231" t="s">
        <v>8144</v>
      </c>
      <c r="G12231" t="s">
        <v>26824</v>
      </c>
      <c r="H12231" t="s">
        <v>331</v>
      </c>
      <c r="I12231" t="s">
        <v>332</v>
      </c>
      <c r="J12231">
        <v>84108</v>
      </c>
      <c r="K12231">
        <v>2176</v>
      </c>
      <c r="L12231" t="s">
        <v>23</v>
      </c>
      <c r="M12231" t="s">
        <v>26824</v>
      </c>
      <c r="N12231" t="s">
        <v>331</v>
      </c>
      <c r="O12231" t="s">
        <v>332</v>
      </c>
      <c r="P12231">
        <v>84108</v>
      </c>
      <c r="Q12231">
        <v>2176</v>
      </c>
      <c r="R12231" t="s">
        <v>23</v>
      </c>
      <c r="S12231" s="1" t="s">
        <v>34218</v>
      </c>
    </row>
    <row r="12232" spans="1:19" x14ac:dyDescent="0.25">
      <c r="A12232">
        <v>101419398</v>
      </c>
      <c r="B12232" t="s">
        <v>26825</v>
      </c>
      <c r="C12232" t="s">
        <v>11343</v>
      </c>
      <c r="G12232" t="s">
        <v>26826</v>
      </c>
      <c r="H12232" t="s">
        <v>23852</v>
      </c>
      <c r="I12232" t="s">
        <v>332</v>
      </c>
      <c r="J12232">
        <v>84121</v>
      </c>
      <c r="K12232">
        <v>1276</v>
      </c>
      <c r="L12232" t="s">
        <v>23</v>
      </c>
      <c r="M12232" t="s">
        <v>26826</v>
      </c>
      <c r="N12232" t="s">
        <v>23852</v>
      </c>
      <c r="O12232" t="s">
        <v>332</v>
      </c>
      <c r="P12232">
        <v>84121</v>
      </c>
      <c r="Q12232">
        <v>1276</v>
      </c>
      <c r="R12232" t="s">
        <v>23</v>
      </c>
      <c r="S12232" s="1" t="s">
        <v>34218</v>
      </c>
    </row>
    <row r="12233" spans="1:19" x14ac:dyDescent="0.25">
      <c r="A12233">
        <v>101112760</v>
      </c>
      <c r="B12233" t="s">
        <v>26827</v>
      </c>
      <c r="C12233" t="s">
        <v>575</v>
      </c>
      <c r="G12233" t="s">
        <v>26828</v>
      </c>
      <c r="H12233" t="s">
        <v>12592</v>
      </c>
      <c r="I12233" t="s">
        <v>52</v>
      </c>
      <c r="J12233">
        <v>33709</v>
      </c>
      <c r="K12233">
        <v>1726</v>
      </c>
      <c r="L12233" t="s">
        <v>23</v>
      </c>
      <c r="M12233" t="s">
        <v>26828</v>
      </c>
      <c r="N12233" t="s">
        <v>12592</v>
      </c>
      <c r="O12233" t="s">
        <v>52</v>
      </c>
      <c r="P12233">
        <v>33709</v>
      </c>
      <c r="Q12233">
        <v>1726</v>
      </c>
      <c r="R12233" t="s">
        <v>23</v>
      </c>
      <c r="S12233" s="1" t="s">
        <v>34218</v>
      </c>
    </row>
    <row r="12234" spans="1:19" x14ac:dyDescent="0.25">
      <c r="A12234">
        <v>100515592</v>
      </c>
      <c r="B12234" t="s">
        <v>26829</v>
      </c>
      <c r="C12234" t="s">
        <v>3705</v>
      </c>
      <c r="G12234" t="s">
        <v>26830</v>
      </c>
      <c r="H12234" t="s">
        <v>976</v>
      </c>
      <c r="I12234" t="s">
        <v>140</v>
      </c>
      <c r="J12234">
        <v>48105</v>
      </c>
      <c r="K12234">
        <v>1819</v>
      </c>
      <c r="L12234" t="s">
        <v>23</v>
      </c>
      <c r="M12234" t="s">
        <v>26830</v>
      </c>
      <c r="N12234" t="s">
        <v>976</v>
      </c>
      <c r="O12234" t="s">
        <v>140</v>
      </c>
      <c r="P12234">
        <v>48105</v>
      </c>
      <c r="Q12234">
        <v>1819</v>
      </c>
      <c r="R12234" t="s">
        <v>23</v>
      </c>
      <c r="S12234" s="1" t="s">
        <v>34218</v>
      </c>
    </row>
    <row r="12235" spans="1:19" x14ac:dyDescent="0.25">
      <c r="A12235">
        <v>101427638</v>
      </c>
      <c r="B12235" t="s">
        <v>26831</v>
      </c>
      <c r="C12235" t="s">
        <v>1616</v>
      </c>
      <c r="G12235" t="s">
        <v>26832</v>
      </c>
      <c r="H12235" t="s">
        <v>18463</v>
      </c>
      <c r="I12235" t="s">
        <v>250</v>
      </c>
      <c r="J12235">
        <v>7452</v>
      </c>
      <c r="K12235">
        <v>3106</v>
      </c>
      <c r="L12235" t="s">
        <v>23</v>
      </c>
      <c r="M12235" t="s">
        <v>26832</v>
      </c>
      <c r="N12235" t="s">
        <v>18463</v>
      </c>
      <c r="O12235" t="s">
        <v>250</v>
      </c>
      <c r="P12235">
        <v>7452</v>
      </c>
      <c r="Q12235">
        <v>3106</v>
      </c>
      <c r="R12235" t="s">
        <v>23</v>
      </c>
      <c r="S12235" s="1" t="s">
        <v>34218</v>
      </c>
    </row>
    <row r="12236" spans="1:19" x14ac:dyDescent="0.25">
      <c r="A12236">
        <v>101278471</v>
      </c>
      <c r="B12236" t="s">
        <v>14977</v>
      </c>
      <c r="C12236" t="s">
        <v>6277</v>
      </c>
      <c r="G12236" t="s">
        <v>26833</v>
      </c>
      <c r="H12236" t="s">
        <v>393</v>
      </c>
      <c r="I12236" t="s">
        <v>71</v>
      </c>
      <c r="J12236">
        <v>80209</v>
      </c>
      <c r="K12236">
        <v>4114</v>
      </c>
      <c r="L12236" t="s">
        <v>23</v>
      </c>
      <c r="M12236" t="s">
        <v>26833</v>
      </c>
      <c r="N12236" t="s">
        <v>393</v>
      </c>
      <c r="O12236" t="s">
        <v>71</v>
      </c>
      <c r="P12236">
        <v>80209</v>
      </c>
      <c r="Q12236">
        <v>4114</v>
      </c>
      <c r="R12236" t="s">
        <v>23</v>
      </c>
      <c r="S12236" s="1" t="s">
        <v>34218</v>
      </c>
    </row>
    <row r="12237" spans="1:19" x14ac:dyDescent="0.25">
      <c r="A12237">
        <v>100684323</v>
      </c>
      <c r="B12237" t="s">
        <v>796</v>
      </c>
      <c r="C12237" t="s">
        <v>1027</v>
      </c>
      <c r="G12237" t="s">
        <v>26834</v>
      </c>
      <c r="H12237" t="s">
        <v>2359</v>
      </c>
      <c r="I12237" t="s">
        <v>22</v>
      </c>
      <c r="J12237">
        <v>92672</v>
      </c>
      <c r="K12237">
        <v>3549</v>
      </c>
      <c r="L12237" t="s">
        <v>23</v>
      </c>
      <c r="M12237" t="s">
        <v>26834</v>
      </c>
      <c r="N12237" t="s">
        <v>2359</v>
      </c>
      <c r="O12237" t="s">
        <v>22</v>
      </c>
      <c r="P12237">
        <v>92672</v>
      </c>
      <c r="Q12237">
        <v>3549</v>
      </c>
      <c r="R12237" t="s">
        <v>23</v>
      </c>
      <c r="S12237" s="1" t="s">
        <v>34218</v>
      </c>
    </row>
    <row r="12238" spans="1:19" x14ac:dyDescent="0.25">
      <c r="A12238">
        <v>101480798</v>
      </c>
      <c r="B12238" t="s">
        <v>13950</v>
      </c>
      <c r="C12238" t="s">
        <v>10601</v>
      </c>
      <c r="G12238" t="s">
        <v>26835</v>
      </c>
      <c r="H12238" t="s">
        <v>202</v>
      </c>
      <c r="I12238" t="s">
        <v>117</v>
      </c>
      <c r="J12238">
        <v>14209</v>
      </c>
      <c r="K12238">
        <v>2222</v>
      </c>
      <c r="L12238" t="s">
        <v>23</v>
      </c>
      <c r="M12238" t="s">
        <v>26835</v>
      </c>
      <c r="N12238" t="s">
        <v>202</v>
      </c>
      <c r="O12238" t="s">
        <v>117</v>
      </c>
      <c r="P12238">
        <v>14209</v>
      </c>
      <c r="Q12238">
        <v>2222</v>
      </c>
      <c r="R12238" t="s">
        <v>23</v>
      </c>
      <c r="S12238" s="1" t="s">
        <v>34218</v>
      </c>
    </row>
    <row r="12239" spans="1:19" x14ac:dyDescent="0.25">
      <c r="A12239">
        <v>100790348</v>
      </c>
      <c r="B12239" t="s">
        <v>3109</v>
      </c>
      <c r="C12239" t="s">
        <v>718</v>
      </c>
      <c r="G12239" t="s">
        <v>4283</v>
      </c>
      <c r="H12239" t="s">
        <v>631</v>
      </c>
      <c r="I12239" t="s">
        <v>22</v>
      </c>
      <c r="J12239">
        <v>94945</v>
      </c>
      <c r="K12239">
        <v>2517</v>
      </c>
      <c r="L12239" t="s">
        <v>23</v>
      </c>
      <c r="M12239" t="s">
        <v>4283</v>
      </c>
      <c r="N12239" t="s">
        <v>631</v>
      </c>
      <c r="O12239" t="s">
        <v>22</v>
      </c>
      <c r="P12239">
        <v>94945</v>
      </c>
      <c r="Q12239">
        <v>2517</v>
      </c>
      <c r="R12239" t="s">
        <v>23</v>
      </c>
      <c r="S12239" s="1" t="s">
        <v>34218</v>
      </c>
    </row>
    <row r="12240" spans="1:19" x14ac:dyDescent="0.25">
      <c r="A12240">
        <v>101480802</v>
      </c>
      <c r="B12240" t="s">
        <v>26836</v>
      </c>
      <c r="C12240" t="s">
        <v>26837</v>
      </c>
      <c r="G12240" t="s">
        <v>26838</v>
      </c>
      <c r="H12240" t="s">
        <v>13911</v>
      </c>
      <c r="I12240" t="s">
        <v>250</v>
      </c>
      <c r="J12240">
        <v>7438</v>
      </c>
      <c r="K12240">
        <v>2062</v>
      </c>
      <c r="L12240" t="s">
        <v>23</v>
      </c>
      <c r="M12240" t="s">
        <v>26838</v>
      </c>
      <c r="N12240" t="s">
        <v>13911</v>
      </c>
      <c r="O12240" t="s">
        <v>250</v>
      </c>
      <c r="P12240">
        <v>7438</v>
      </c>
      <c r="Q12240">
        <v>2062</v>
      </c>
      <c r="R12240" t="s">
        <v>23</v>
      </c>
      <c r="S12240" s="1" t="s">
        <v>34218</v>
      </c>
    </row>
    <row r="12241" spans="1:19" x14ac:dyDescent="0.25">
      <c r="A12241">
        <v>101161996</v>
      </c>
      <c r="B12241" t="s">
        <v>3708</v>
      </c>
      <c r="C12241" t="s">
        <v>225</v>
      </c>
      <c r="G12241" t="s">
        <v>26839</v>
      </c>
      <c r="H12241" t="s">
        <v>26840</v>
      </c>
      <c r="I12241" t="s">
        <v>52</v>
      </c>
      <c r="J12241">
        <v>34251</v>
      </c>
      <c r="K12241">
        <v>3801</v>
      </c>
      <c r="L12241" t="s">
        <v>23</v>
      </c>
      <c r="M12241" t="s">
        <v>26839</v>
      </c>
      <c r="N12241" t="s">
        <v>26840</v>
      </c>
      <c r="O12241" t="s">
        <v>52</v>
      </c>
      <c r="P12241">
        <v>34251</v>
      </c>
      <c r="Q12241">
        <v>3801</v>
      </c>
      <c r="R12241" t="s">
        <v>23</v>
      </c>
      <c r="S12241" s="1" t="s">
        <v>34218</v>
      </c>
    </row>
    <row r="12242" spans="1:19" x14ac:dyDescent="0.25">
      <c r="A12242">
        <v>101216125</v>
      </c>
      <c r="B12242" t="s">
        <v>26841</v>
      </c>
      <c r="C12242" t="s">
        <v>571</v>
      </c>
      <c r="F12242" t="str">
        <f>"5742892254"</f>
        <v>5742892254</v>
      </c>
      <c r="G12242" t="s">
        <v>26842</v>
      </c>
      <c r="H12242" t="s">
        <v>653</v>
      </c>
      <c r="I12242" t="s">
        <v>117</v>
      </c>
      <c r="J12242">
        <v>10036</v>
      </c>
      <c r="K12242">
        <v>2389</v>
      </c>
      <c r="L12242" t="s">
        <v>23</v>
      </c>
      <c r="M12242" t="s">
        <v>26842</v>
      </c>
      <c r="N12242" t="s">
        <v>653</v>
      </c>
      <c r="O12242" t="s">
        <v>117</v>
      </c>
      <c r="P12242">
        <v>10036</v>
      </c>
      <c r="Q12242">
        <v>2389</v>
      </c>
      <c r="R12242" t="s">
        <v>23</v>
      </c>
      <c r="S12242" s="1" t="s">
        <v>34218</v>
      </c>
    </row>
    <row r="12243" spans="1:19" x14ac:dyDescent="0.25">
      <c r="A12243">
        <v>101468352</v>
      </c>
      <c r="B12243" t="s">
        <v>22020</v>
      </c>
      <c r="C12243" t="s">
        <v>26843</v>
      </c>
      <c r="G12243" t="s">
        <v>26844</v>
      </c>
      <c r="H12243" t="s">
        <v>2141</v>
      </c>
      <c r="I12243" t="s">
        <v>1000</v>
      </c>
      <c r="J12243">
        <v>59718</v>
      </c>
      <c r="K12243">
        <v>5105</v>
      </c>
      <c r="L12243" t="s">
        <v>23</v>
      </c>
      <c r="M12243" t="s">
        <v>26844</v>
      </c>
      <c r="N12243" t="s">
        <v>2141</v>
      </c>
      <c r="O12243" t="s">
        <v>1000</v>
      </c>
      <c r="P12243">
        <v>59718</v>
      </c>
      <c r="Q12243">
        <v>5105</v>
      </c>
      <c r="R12243" t="s">
        <v>23</v>
      </c>
      <c r="S12243" s="1" t="s">
        <v>34218</v>
      </c>
    </row>
    <row r="12244" spans="1:19" x14ac:dyDescent="0.25">
      <c r="A12244">
        <v>101191019</v>
      </c>
      <c r="B12244" t="s">
        <v>26845</v>
      </c>
      <c r="C12244" t="s">
        <v>6641</v>
      </c>
      <c r="G12244" t="s">
        <v>26846</v>
      </c>
      <c r="H12244" t="s">
        <v>18912</v>
      </c>
      <c r="I12244" t="s">
        <v>126</v>
      </c>
      <c r="J12244">
        <v>65616</v>
      </c>
      <c r="L12244" t="s">
        <v>23</v>
      </c>
      <c r="M12244" t="s">
        <v>26846</v>
      </c>
      <c r="N12244" t="s">
        <v>18912</v>
      </c>
      <c r="O12244" t="s">
        <v>126</v>
      </c>
      <c r="P12244">
        <v>65616</v>
      </c>
      <c r="R12244" t="s">
        <v>23</v>
      </c>
      <c r="S12244" s="1" t="s">
        <v>34218</v>
      </c>
    </row>
    <row r="12245" spans="1:19" x14ac:dyDescent="0.25">
      <c r="A12245">
        <v>101449861</v>
      </c>
      <c r="B12245" t="s">
        <v>12498</v>
      </c>
      <c r="C12245" t="s">
        <v>2549</v>
      </c>
      <c r="G12245" t="s">
        <v>26847</v>
      </c>
      <c r="H12245" t="s">
        <v>11284</v>
      </c>
      <c r="I12245" t="s">
        <v>250</v>
      </c>
      <c r="J12245">
        <v>7461</v>
      </c>
      <c r="K12245">
        <v>4816</v>
      </c>
      <c r="L12245" t="s">
        <v>23</v>
      </c>
      <c r="M12245" t="s">
        <v>26847</v>
      </c>
      <c r="N12245" t="s">
        <v>11284</v>
      </c>
      <c r="O12245" t="s">
        <v>250</v>
      </c>
      <c r="P12245">
        <v>7461</v>
      </c>
      <c r="Q12245">
        <v>4816</v>
      </c>
      <c r="R12245" t="s">
        <v>23</v>
      </c>
      <c r="S12245" s="1" t="s">
        <v>34218</v>
      </c>
    </row>
    <row r="12246" spans="1:19" x14ac:dyDescent="0.25">
      <c r="A12246">
        <v>101311109</v>
      </c>
      <c r="B12246" t="s">
        <v>18597</v>
      </c>
      <c r="C12246" t="s">
        <v>225</v>
      </c>
      <c r="G12246" t="s">
        <v>26848</v>
      </c>
      <c r="H12246" t="s">
        <v>16069</v>
      </c>
      <c r="I12246" t="s">
        <v>191</v>
      </c>
      <c r="J12246">
        <v>4605</v>
      </c>
      <c r="K12246">
        <v>2110</v>
      </c>
      <c r="L12246" t="s">
        <v>23</v>
      </c>
      <c r="M12246" t="s">
        <v>26848</v>
      </c>
      <c r="N12246" t="s">
        <v>16069</v>
      </c>
      <c r="O12246" t="s">
        <v>191</v>
      </c>
      <c r="P12246">
        <v>4605</v>
      </c>
      <c r="Q12246">
        <v>2110</v>
      </c>
      <c r="R12246" t="s">
        <v>23</v>
      </c>
      <c r="S12246" s="1" t="s">
        <v>34218</v>
      </c>
    </row>
    <row r="12247" spans="1:19" x14ac:dyDescent="0.25">
      <c r="A12247">
        <v>100865339</v>
      </c>
      <c r="B12247" t="s">
        <v>3535</v>
      </c>
      <c r="C12247" t="s">
        <v>1647</v>
      </c>
      <c r="G12247" t="s">
        <v>26849</v>
      </c>
      <c r="H12247" t="s">
        <v>6435</v>
      </c>
      <c r="I12247" t="s">
        <v>1482</v>
      </c>
      <c r="J12247">
        <v>29485</v>
      </c>
      <c r="K12247">
        <v>5418</v>
      </c>
      <c r="L12247" t="s">
        <v>23</v>
      </c>
      <c r="M12247" t="s">
        <v>26849</v>
      </c>
      <c r="N12247" t="s">
        <v>6435</v>
      </c>
      <c r="O12247" t="s">
        <v>1482</v>
      </c>
      <c r="P12247">
        <v>29485</v>
      </c>
      <c r="Q12247">
        <v>5418</v>
      </c>
      <c r="R12247" t="s">
        <v>23</v>
      </c>
      <c r="S12247" s="1" t="s">
        <v>34218</v>
      </c>
    </row>
    <row r="12248" spans="1:19" x14ac:dyDescent="0.25">
      <c r="A12248">
        <v>101478462</v>
      </c>
      <c r="B12248" t="s">
        <v>18846</v>
      </c>
      <c r="C12248" t="s">
        <v>1298</v>
      </c>
      <c r="G12248" t="s">
        <v>26850</v>
      </c>
      <c r="H12248" t="s">
        <v>16252</v>
      </c>
      <c r="I12248" t="s">
        <v>71</v>
      </c>
      <c r="J12248">
        <v>80512</v>
      </c>
      <c r="K12248">
        <v>363</v>
      </c>
      <c r="L12248" t="s">
        <v>23</v>
      </c>
      <c r="M12248" t="s">
        <v>26850</v>
      </c>
      <c r="N12248" t="s">
        <v>16252</v>
      </c>
      <c r="O12248" t="s">
        <v>71</v>
      </c>
      <c r="P12248">
        <v>80512</v>
      </c>
      <c r="Q12248">
        <v>363</v>
      </c>
      <c r="R12248" t="s">
        <v>23</v>
      </c>
      <c r="S12248" s="1" t="s">
        <v>34218</v>
      </c>
    </row>
    <row r="12249" spans="1:19" x14ac:dyDescent="0.25">
      <c r="A12249">
        <v>101354805</v>
      </c>
      <c r="B12249" t="s">
        <v>12007</v>
      </c>
      <c r="C12249" t="s">
        <v>3545</v>
      </c>
      <c r="G12249" t="s">
        <v>26851</v>
      </c>
      <c r="H12249" t="s">
        <v>4589</v>
      </c>
      <c r="I12249" t="s">
        <v>140</v>
      </c>
      <c r="J12249">
        <v>48430</v>
      </c>
      <c r="K12249">
        <v>8401</v>
      </c>
      <c r="L12249" t="s">
        <v>23</v>
      </c>
      <c r="M12249" t="s">
        <v>26851</v>
      </c>
      <c r="N12249" t="s">
        <v>4589</v>
      </c>
      <c r="O12249" t="s">
        <v>140</v>
      </c>
      <c r="P12249">
        <v>48430</v>
      </c>
      <c r="Q12249">
        <v>8401</v>
      </c>
      <c r="R12249" t="s">
        <v>23</v>
      </c>
      <c r="S12249" s="1" t="s">
        <v>34218</v>
      </c>
    </row>
    <row r="12250" spans="1:19" x14ac:dyDescent="0.25">
      <c r="A12250">
        <v>101480829</v>
      </c>
      <c r="B12250" t="s">
        <v>26852</v>
      </c>
      <c r="C12250" t="s">
        <v>274</v>
      </c>
      <c r="G12250" t="s">
        <v>26853</v>
      </c>
      <c r="H12250" t="s">
        <v>26854</v>
      </c>
      <c r="I12250" t="s">
        <v>702</v>
      </c>
      <c r="J12250">
        <v>89423</v>
      </c>
      <c r="K12250">
        <v>3918</v>
      </c>
      <c r="L12250" t="s">
        <v>23</v>
      </c>
      <c r="M12250" t="s">
        <v>26853</v>
      </c>
      <c r="N12250" t="s">
        <v>26854</v>
      </c>
      <c r="O12250" t="s">
        <v>702</v>
      </c>
      <c r="P12250">
        <v>89423</v>
      </c>
      <c r="Q12250">
        <v>3918</v>
      </c>
      <c r="R12250" t="s">
        <v>23</v>
      </c>
      <c r="S12250" s="1" t="s">
        <v>34218</v>
      </c>
    </row>
    <row r="12251" spans="1:19" x14ac:dyDescent="0.25">
      <c r="A12251">
        <v>101474270</v>
      </c>
      <c r="B12251" t="s">
        <v>26855</v>
      </c>
      <c r="C12251" t="s">
        <v>167</v>
      </c>
      <c r="G12251" t="s">
        <v>26856</v>
      </c>
      <c r="H12251" t="s">
        <v>264</v>
      </c>
      <c r="I12251" t="s">
        <v>117</v>
      </c>
      <c r="J12251">
        <v>14850</v>
      </c>
      <c r="L12251" t="s">
        <v>23</v>
      </c>
      <c r="M12251" t="s">
        <v>26856</v>
      </c>
      <c r="N12251" t="s">
        <v>264</v>
      </c>
      <c r="O12251" t="s">
        <v>117</v>
      </c>
      <c r="P12251">
        <v>14850</v>
      </c>
      <c r="R12251" t="s">
        <v>23</v>
      </c>
      <c r="S12251" s="1" t="s">
        <v>34218</v>
      </c>
    </row>
    <row r="12252" spans="1:19" x14ac:dyDescent="0.25">
      <c r="A12252">
        <v>101434232</v>
      </c>
      <c r="B12252" t="s">
        <v>1049</v>
      </c>
      <c r="C12252" t="s">
        <v>102</v>
      </c>
      <c r="G12252" t="s">
        <v>26857</v>
      </c>
      <c r="H12252" t="s">
        <v>10481</v>
      </c>
      <c r="I12252" t="s">
        <v>33</v>
      </c>
      <c r="J12252">
        <v>18947</v>
      </c>
      <c r="K12252">
        <v>1061</v>
      </c>
      <c r="L12252" t="s">
        <v>23</v>
      </c>
      <c r="M12252" t="s">
        <v>26857</v>
      </c>
      <c r="N12252" t="s">
        <v>10481</v>
      </c>
      <c r="O12252" t="s">
        <v>33</v>
      </c>
      <c r="P12252">
        <v>18947</v>
      </c>
      <c r="Q12252">
        <v>1061</v>
      </c>
      <c r="R12252" t="s">
        <v>23</v>
      </c>
      <c r="S12252" s="1" t="s">
        <v>34218</v>
      </c>
    </row>
    <row r="12253" spans="1:19" x14ac:dyDescent="0.25">
      <c r="A12253">
        <v>101247139</v>
      </c>
      <c r="B12253" t="s">
        <v>377</v>
      </c>
      <c r="C12253" t="s">
        <v>2411</v>
      </c>
      <c r="G12253">
        <v>1715</v>
      </c>
      <c r="H12253" t="s">
        <v>8826</v>
      </c>
      <c r="I12253" t="s">
        <v>22</v>
      </c>
      <c r="J12253">
        <v>92019</v>
      </c>
      <c r="L12253" t="s">
        <v>23</v>
      </c>
      <c r="M12253">
        <v>1715</v>
      </c>
      <c r="N12253" t="s">
        <v>8826</v>
      </c>
      <c r="O12253" t="s">
        <v>22</v>
      </c>
      <c r="P12253">
        <v>92019</v>
      </c>
      <c r="R12253" t="s">
        <v>23</v>
      </c>
      <c r="S12253" s="1" t="s">
        <v>34218</v>
      </c>
    </row>
    <row r="12254" spans="1:19" x14ac:dyDescent="0.25">
      <c r="A12254">
        <v>101440995</v>
      </c>
      <c r="B12254" t="s">
        <v>18020</v>
      </c>
      <c r="C12254" t="s">
        <v>690</v>
      </c>
      <c r="G12254" t="s">
        <v>26858</v>
      </c>
      <c r="H12254" t="s">
        <v>198</v>
      </c>
      <c r="I12254" t="s">
        <v>22</v>
      </c>
      <c r="J12254">
        <v>92117</v>
      </c>
      <c r="K12254">
        <v>4808</v>
      </c>
      <c r="L12254" t="s">
        <v>23</v>
      </c>
      <c r="M12254" t="s">
        <v>26858</v>
      </c>
      <c r="N12254" t="s">
        <v>198</v>
      </c>
      <c r="O12254" t="s">
        <v>22</v>
      </c>
      <c r="P12254">
        <v>92117</v>
      </c>
      <c r="Q12254">
        <v>4808</v>
      </c>
      <c r="R12254" t="s">
        <v>23</v>
      </c>
      <c r="S12254" s="1" t="s">
        <v>34218</v>
      </c>
    </row>
    <row r="12255" spans="1:19" x14ac:dyDescent="0.25">
      <c r="A12255">
        <v>100950792</v>
      </c>
      <c r="B12255" t="s">
        <v>26859</v>
      </c>
      <c r="C12255" t="s">
        <v>180</v>
      </c>
      <c r="G12255" t="s">
        <v>26860</v>
      </c>
      <c r="H12255" t="s">
        <v>88</v>
      </c>
      <c r="I12255" t="s">
        <v>22</v>
      </c>
      <c r="J12255">
        <v>94602</v>
      </c>
      <c r="K12255">
        <v>3909</v>
      </c>
      <c r="L12255" t="s">
        <v>23</v>
      </c>
      <c r="M12255" t="s">
        <v>26860</v>
      </c>
      <c r="N12255" t="s">
        <v>88</v>
      </c>
      <c r="O12255" t="s">
        <v>22</v>
      </c>
      <c r="P12255">
        <v>94602</v>
      </c>
      <c r="Q12255">
        <v>3909</v>
      </c>
      <c r="R12255" t="s">
        <v>23</v>
      </c>
      <c r="S12255" s="1" t="s">
        <v>34218</v>
      </c>
    </row>
    <row r="12256" spans="1:19" x14ac:dyDescent="0.25">
      <c r="A12256">
        <v>101481103</v>
      </c>
      <c r="B12256" t="s">
        <v>3058</v>
      </c>
      <c r="C12256" t="s">
        <v>8472</v>
      </c>
      <c r="G12256" t="s">
        <v>26861</v>
      </c>
      <c r="H12256" t="s">
        <v>26862</v>
      </c>
      <c r="I12256" t="s">
        <v>28</v>
      </c>
      <c r="J12256">
        <v>31324</v>
      </c>
      <c r="L12256" t="s">
        <v>23</v>
      </c>
      <c r="M12256" t="s">
        <v>26861</v>
      </c>
      <c r="N12256" t="s">
        <v>26862</v>
      </c>
      <c r="O12256" t="s">
        <v>28</v>
      </c>
      <c r="P12256">
        <v>31324</v>
      </c>
      <c r="R12256" t="s">
        <v>23</v>
      </c>
      <c r="S12256" s="1" t="s">
        <v>34218</v>
      </c>
    </row>
    <row r="12257" spans="1:19" x14ac:dyDescent="0.25">
      <c r="A12257">
        <v>101075950</v>
      </c>
      <c r="B12257" t="s">
        <v>9646</v>
      </c>
      <c r="C12257" t="s">
        <v>167</v>
      </c>
      <c r="G12257" t="s">
        <v>26863</v>
      </c>
      <c r="H12257" t="s">
        <v>5820</v>
      </c>
      <c r="I12257" t="s">
        <v>22</v>
      </c>
      <c r="J12257">
        <v>92078</v>
      </c>
      <c r="K12257">
        <v>801</v>
      </c>
      <c r="L12257" t="s">
        <v>23</v>
      </c>
      <c r="M12257" t="s">
        <v>26863</v>
      </c>
      <c r="N12257" t="s">
        <v>5820</v>
      </c>
      <c r="O12257" t="s">
        <v>22</v>
      </c>
      <c r="P12257">
        <v>92078</v>
      </c>
      <c r="Q12257">
        <v>801</v>
      </c>
      <c r="R12257" t="s">
        <v>23</v>
      </c>
      <c r="S12257" s="1" t="s">
        <v>34218</v>
      </c>
    </row>
    <row r="12258" spans="1:19" x14ac:dyDescent="0.25">
      <c r="A12258">
        <v>101478197</v>
      </c>
      <c r="B12258" t="s">
        <v>26864</v>
      </c>
      <c r="C12258" t="s">
        <v>40</v>
      </c>
      <c r="G12258" t="s">
        <v>26865</v>
      </c>
      <c r="H12258" t="s">
        <v>1705</v>
      </c>
      <c r="I12258" t="s">
        <v>140</v>
      </c>
      <c r="J12258">
        <v>48073</v>
      </c>
      <c r="K12258">
        <v>3379</v>
      </c>
      <c r="L12258" t="s">
        <v>23</v>
      </c>
      <c r="M12258" t="s">
        <v>26865</v>
      </c>
      <c r="N12258" t="s">
        <v>1705</v>
      </c>
      <c r="O12258" t="s">
        <v>140</v>
      </c>
      <c r="P12258">
        <v>48073</v>
      </c>
      <c r="Q12258">
        <v>3379</v>
      </c>
      <c r="R12258" t="s">
        <v>23</v>
      </c>
      <c r="S12258" s="1" t="s">
        <v>34218</v>
      </c>
    </row>
    <row r="12259" spans="1:19" x14ac:dyDescent="0.25">
      <c r="A12259">
        <v>100600423</v>
      </c>
      <c r="B12259" t="s">
        <v>21410</v>
      </c>
      <c r="C12259" t="s">
        <v>17756</v>
      </c>
      <c r="G12259" t="s">
        <v>26866</v>
      </c>
      <c r="H12259" t="s">
        <v>2309</v>
      </c>
      <c r="I12259" t="s">
        <v>446</v>
      </c>
      <c r="J12259">
        <v>28409</v>
      </c>
      <c r="K12259">
        <v>5109</v>
      </c>
      <c r="L12259" t="s">
        <v>23</v>
      </c>
      <c r="M12259" t="s">
        <v>26866</v>
      </c>
      <c r="N12259" t="s">
        <v>2309</v>
      </c>
      <c r="O12259" t="s">
        <v>446</v>
      </c>
      <c r="P12259">
        <v>28409</v>
      </c>
      <c r="Q12259">
        <v>5109</v>
      </c>
      <c r="R12259" t="s">
        <v>23</v>
      </c>
      <c r="S12259" s="1" t="s">
        <v>34218</v>
      </c>
    </row>
    <row r="12260" spans="1:19" x14ac:dyDescent="0.25">
      <c r="A12260">
        <v>101480943</v>
      </c>
      <c r="B12260" t="s">
        <v>3843</v>
      </c>
      <c r="C12260" t="s">
        <v>26867</v>
      </c>
      <c r="G12260" t="s">
        <v>26868</v>
      </c>
      <c r="H12260" t="s">
        <v>1508</v>
      </c>
      <c r="I12260" t="s">
        <v>84</v>
      </c>
      <c r="J12260">
        <v>98020</v>
      </c>
      <c r="K12260">
        <v>7506</v>
      </c>
      <c r="L12260" t="s">
        <v>23</v>
      </c>
      <c r="M12260" t="s">
        <v>26868</v>
      </c>
      <c r="N12260" t="s">
        <v>1508</v>
      </c>
      <c r="O12260" t="s">
        <v>84</v>
      </c>
      <c r="P12260">
        <v>98020</v>
      </c>
      <c r="Q12260">
        <v>7506</v>
      </c>
      <c r="R12260" t="s">
        <v>23</v>
      </c>
      <c r="S12260" s="1" t="s">
        <v>34218</v>
      </c>
    </row>
    <row r="12261" spans="1:19" x14ac:dyDescent="0.25">
      <c r="A12261">
        <v>101113481</v>
      </c>
      <c r="B12261" t="s">
        <v>26869</v>
      </c>
      <c r="C12261" t="s">
        <v>102</v>
      </c>
      <c r="G12261" t="s">
        <v>26870</v>
      </c>
      <c r="H12261" t="s">
        <v>2391</v>
      </c>
      <c r="I12261" t="s">
        <v>43</v>
      </c>
      <c r="J12261">
        <v>97702</v>
      </c>
      <c r="K12261">
        <v>2491</v>
      </c>
      <c r="L12261" t="s">
        <v>23</v>
      </c>
      <c r="M12261" t="s">
        <v>26870</v>
      </c>
      <c r="N12261" t="s">
        <v>2391</v>
      </c>
      <c r="O12261" t="s">
        <v>43</v>
      </c>
      <c r="P12261">
        <v>97702</v>
      </c>
      <c r="Q12261">
        <v>2491</v>
      </c>
      <c r="R12261" t="s">
        <v>23</v>
      </c>
      <c r="S12261" s="1" t="s">
        <v>34218</v>
      </c>
    </row>
    <row r="12262" spans="1:19" x14ac:dyDescent="0.25">
      <c r="A12262">
        <v>100789172</v>
      </c>
      <c r="B12262" t="s">
        <v>26871</v>
      </c>
      <c r="C12262" t="s">
        <v>26872</v>
      </c>
      <c r="G12262" t="s">
        <v>26873</v>
      </c>
      <c r="H12262" t="s">
        <v>3721</v>
      </c>
      <c r="I12262" t="s">
        <v>117</v>
      </c>
      <c r="J12262">
        <v>11021</v>
      </c>
      <c r="L12262" t="s">
        <v>23</v>
      </c>
      <c r="M12262" t="s">
        <v>26873</v>
      </c>
      <c r="N12262" t="s">
        <v>3721</v>
      </c>
      <c r="O12262" t="s">
        <v>117</v>
      </c>
      <c r="P12262">
        <v>11021</v>
      </c>
      <c r="R12262" t="s">
        <v>23</v>
      </c>
      <c r="S12262" s="1" t="s">
        <v>34218</v>
      </c>
    </row>
    <row r="12263" spans="1:19" x14ac:dyDescent="0.25">
      <c r="A12263">
        <v>101298032</v>
      </c>
      <c r="B12263" t="s">
        <v>3650</v>
      </c>
      <c r="C12263" t="s">
        <v>9248</v>
      </c>
      <c r="G12263" t="s">
        <v>26874</v>
      </c>
      <c r="H12263" t="s">
        <v>1370</v>
      </c>
      <c r="I12263" t="s">
        <v>4652</v>
      </c>
      <c r="J12263">
        <v>57301</v>
      </c>
      <c r="K12263">
        <v>6329</v>
      </c>
      <c r="L12263" t="s">
        <v>23</v>
      </c>
      <c r="M12263" t="s">
        <v>26874</v>
      </c>
      <c r="N12263" t="s">
        <v>1370</v>
      </c>
      <c r="O12263" t="s">
        <v>4652</v>
      </c>
      <c r="P12263">
        <v>57301</v>
      </c>
      <c r="Q12263">
        <v>6329</v>
      </c>
      <c r="R12263" t="s">
        <v>23</v>
      </c>
      <c r="S12263" s="1" t="s">
        <v>34218</v>
      </c>
    </row>
    <row r="12264" spans="1:19" x14ac:dyDescent="0.25">
      <c r="A12264">
        <v>100532790</v>
      </c>
      <c r="B12264" t="s">
        <v>26875</v>
      </c>
      <c r="C12264" t="s">
        <v>26876</v>
      </c>
      <c r="G12264" t="s">
        <v>26877</v>
      </c>
      <c r="H12264" t="s">
        <v>2296</v>
      </c>
      <c r="I12264" t="s">
        <v>22</v>
      </c>
      <c r="J12264">
        <v>95001</v>
      </c>
      <c r="K12264">
        <v>5115</v>
      </c>
      <c r="L12264" t="s">
        <v>23</v>
      </c>
      <c r="M12264" t="s">
        <v>26877</v>
      </c>
      <c r="N12264" t="s">
        <v>2296</v>
      </c>
      <c r="O12264" t="s">
        <v>22</v>
      </c>
      <c r="P12264">
        <v>95001</v>
      </c>
      <c r="Q12264">
        <v>5115</v>
      </c>
      <c r="R12264" t="s">
        <v>23</v>
      </c>
      <c r="S12264" s="1" t="s">
        <v>34218</v>
      </c>
    </row>
    <row r="12265" spans="1:19" x14ac:dyDescent="0.25">
      <c r="A12265">
        <v>101279771</v>
      </c>
      <c r="B12265" t="s">
        <v>26878</v>
      </c>
      <c r="C12265" t="s">
        <v>26879</v>
      </c>
      <c r="G12265" t="s">
        <v>26880</v>
      </c>
      <c r="H12265" t="s">
        <v>26881</v>
      </c>
      <c r="I12265" t="s">
        <v>250</v>
      </c>
      <c r="J12265">
        <v>7677</v>
      </c>
      <c r="L12265" t="s">
        <v>23</v>
      </c>
      <c r="M12265" t="s">
        <v>26880</v>
      </c>
      <c r="N12265" t="s">
        <v>26881</v>
      </c>
      <c r="O12265" t="s">
        <v>250</v>
      </c>
      <c r="P12265">
        <v>7677</v>
      </c>
      <c r="R12265" t="s">
        <v>23</v>
      </c>
      <c r="S12265" s="1" t="s">
        <v>34218</v>
      </c>
    </row>
    <row r="12266" spans="1:19" x14ac:dyDescent="0.25">
      <c r="A12266">
        <v>101410464</v>
      </c>
      <c r="B12266" t="s">
        <v>26882</v>
      </c>
      <c r="C12266" t="s">
        <v>1959</v>
      </c>
      <c r="G12266" t="s">
        <v>26883</v>
      </c>
      <c r="H12266" t="s">
        <v>1412</v>
      </c>
      <c r="I12266" t="s">
        <v>52</v>
      </c>
      <c r="J12266">
        <v>32832</v>
      </c>
      <c r="K12266">
        <v>4951</v>
      </c>
      <c r="L12266" t="s">
        <v>23</v>
      </c>
      <c r="M12266" t="s">
        <v>26883</v>
      </c>
      <c r="N12266" t="s">
        <v>1412</v>
      </c>
      <c r="O12266" t="s">
        <v>52</v>
      </c>
      <c r="P12266">
        <v>32832</v>
      </c>
      <c r="Q12266">
        <v>4951</v>
      </c>
      <c r="R12266" t="s">
        <v>23</v>
      </c>
      <c r="S12266" s="1" t="s">
        <v>34218</v>
      </c>
    </row>
    <row r="12267" spans="1:19" x14ac:dyDescent="0.25">
      <c r="A12267">
        <v>101145872</v>
      </c>
      <c r="B12267" t="s">
        <v>26884</v>
      </c>
      <c r="C12267" t="s">
        <v>54</v>
      </c>
      <c r="G12267" t="s">
        <v>26885</v>
      </c>
      <c r="H12267" t="s">
        <v>12911</v>
      </c>
      <c r="I12267" t="s">
        <v>365</v>
      </c>
      <c r="J12267">
        <v>86401</v>
      </c>
      <c r="K12267">
        <v>8282</v>
      </c>
      <c r="L12267" t="s">
        <v>23</v>
      </c>
      <c r="M12267" t="s">
        <v>26885</v>
      </c>
      <c r="N12267" t="s">
        <v>12911</v>
      </c>
      <c r="O12267" t="s">
        <v>365</v>
      </c>
      <c r="P12267">
        <v>86401</v>
      </c>
      <c r="Q12267">
        <v>8282</v>
      </c>
      <c r="R12267" t="s">
        <v>23</v>
      </c>
      <c r="S12267" s="1" t="s">
        <v>34218</v>
      </c>
    </row>
    <row r="12268" spans="1:19" x14ac:dyDescent="0.25">
      <c r="A12268">
        <v>100730609</v>
      </c>
      <c r="B12268" t="s">
        <v>26886</v>
      </c>
      <c r="C12268" t="s">
        <v>644</v>
      </c>
      <c r="G12268" t="s">
        <v>26887</v>
      </c>
      <c r="H12268" t="s">
        <v>913</v>
      </c>
      <c r="I12268" t="s">
        <v>914</v>
      </c>
      <c r="J12268">
        <v>37214</v>
      </c>
      <c r="K12268">
        <v>2034</v>
      </c>
      <c r="L12268" t="s">
        <v>23</v>
      </c>
      <c r="M12268" t="s">
        <v>26887</v>
      </c>
      <c r="N12268" t="s">
        <v>913</v>
      </c>
      <c r="O12268" t="s">
        <v>914</v>
      </c>
      <c r="P12268">
        <v>37214</v>
      </c>
      <c r="Q12268">
        <v>2034</v>
      </c>
      <c r="R12268" t="s">
        <v>23</v>
      </c>
      <c r="S12268" s="1" t="s">
        <v>34218</v>
      </c>
    </row>
    <row r="12269" spans="1:19" x14ac:dyDescent="0.25">
      <c r="A12269">
        <v>101467926</v>
      </c>
      <c r="B12269" t="s">
        <v>26888</v>
      </c>
      <c r="C12269" t="s">
        <v>1218</v>
      </c>
      <c r="G12269" t="s">
        <v>26889</v>
      </c>
      <c r="H12269" t="s">
        <v>20470</v>
      </c>
      <c r="I12269" t="s">
        <v>117</v>
      </c>
      <c r="J12269">
        <v>13850</v>
      </c>
      <c r="K12269">
        <v>6317</v>
      </c>
      <c r="L12269" t="s">
        <v>23</v>
      </c>
      <c r="M12269" t="s">
        <v>26889</v>
      </c>
      <c r="N12269" t="s">
        <v>20470</v>
      </c>
      <c r="O12269" t="s">
        <v>117</v>
      </c>
      <c r="P12269">
        <v>13850</v>
      </c>
      <c r="Q12269">
        <v>6317</v>
      </c>
      <c r="R12269" t="s">
        <v>23</v>
      </c>
      <c r="S12269" s="1" t="s">
        <v>34218</v>
      </c>
    </row>
    <row r="12270" spans="1:19" x14ac:dyDescent="0.25">
      <c r="A12270">
        <v>101277240</v>
      </c>
      <c r="B12270" t="s">
        <v>26890</v>
      </c>
      <c r="C12270" t="s">
        <v>4284</v>
      </c>
      <c r="G12270" t="s">
        <v>26891</v>
      </c>
      <c r="H12270" t="s">
        <v>521</v>
      </c>
      <c r="I12270" t="s">
        <v>22</v>
      </c>
      <c r="J12270" t="s">
        <v>26892</v>
      </c>
      <c r="K12270">
        <v>4328</v>
      </c>
      <c r="L12270" t="s">
        <v>23</v>
      </c>
      <c r="M12270" t="s">
        <v>26891</v>
      </c>
      <c r="N12270" t="s">
        <v>521</v>
      </c>
      <c r="O12270" t="s">
        <v>22</v>
      </c>
      <c r="P12270" t="s">
        <v>26892</v>
      </c>
      <c r="Q12270">
        <v>4328</v>
      </c>
      <c r="R12270" t="s">
        <v>23</v>
      </c>
      <c r="S12270" s="1" t="s">
        <v>34218</v>
      </c>
    </row>
    <row r="12271" spans="1:19" x14ac:dyDescent="0.25">
      <c r="A12271">
        <v>101348653</v>
      </c>
      <c r="B12271" t="s">
        <v>26893</v>
      </c>
      <c r="C12271" t="s">
        <v>5009</v>
      </c>
      <c r="G12271" t="s">
        <v>26894</v>
      </c>
      <c r="H12271" t="s">
        <v>26895</v>
      </c>
      <c r="I12271" t="s">
        <v>22</v>
      </c>
      <c r="J12271">
        <v>91326</v>
      </c>
      <c r="K12271">
        <v>4010</v>
      </c>
      <c r="L12271" t="s">
        <v>23</v>
      </c>
      <c r="M12271" t="s">
        <v>26894</v>
      </c>
      <c r="N12271" t="s">
        <v>26895</v>
      </c>
      <c r="O12271" t="s">
        <v>22</v>
      </c>
      <c r="P12271">
        <v>91326</v>
      </c>
      <c r="Q12271">
        <v>4010</v>
      </c>
      <c r="R12271" t="s">
        <v>23</v>
      </c>
      <c r="S12271" s="1" t="s">
        <v>34218</v>
      </c>
    </row>
    <row r="12272" spans="1:19" x14ac:dyDescent="0.25">
      <c r="A12272">
        <v>101115946</v>
      </c>
      <c r="B12272" t="s">
        <v>23675</v>
      </c>
      <c r="C12272" t="s">
        <v>26896</v>
      </c>
      <c r="G12272" t="s">
        <v>26897</v>
      </c>
      <c r="H12272" t="s">
        <v>10826</v>
      </c>
      <c r="I12272" t="s">
        <v>28</v>
      </c>
      <c r="J12272">
        <v>30319</v>
      </c>
      <c r="K12272">
        <v>2759</v>
      </c>
      <c r="L12272" t="s">
        <v>23</v>
      </c>
      <c r="M12272" t="s">
        <v>26897</v>
      </c>
      <c r="N12272" t="s">
        <v>10826</v>
      </c>
      <c r="O12272" t="s">
        <v>28</v>
      </c>
      <c r="P12272">
        <v>30319</v>
      </c>
      <c r="Q12272">
        <v>2759</v>
      </c>
      <c r="R12272" t="s">
        <v>23</v>
      </c>
      <c r="S12272" s="1" t="s">
        <v>34218</v>
      </c>
    </row>
    <row r="12273" spans="1:19" x14ac:dyDescent="0.25">
      <c r="A12273">
        <v>101439841</v>
      </c>
      <c r="B12273" t="s">
        <v>26898</v>
      </c>
      <c r="C12273" t="s">
        <v>7584</v>
      </c>
      <c r="G12273" t="s">
        <v>26899</v>
      </c>
      <c r="H12273" t="s">
        <v>2091</v>
      </c>
      <c r="I12273" t="s">
        <v>117</v>
      </c>
      <c r="J12273">
        <v>13219</v>
      </c>
      <c r="K12273">
        <v>3304</v>
      </c>
      <c r="L12273" t="s">
        <v>23</v>
      </c>
      <c r="M12273" t="s">
        <v>26899</v>
      </c>
      <c r="N12273" t="s">
        <v>2091</v>
      </c>
      <c r="O12273" t="s">
        <v>117</v>
      </c>
      <c r="P12273">
        <v>13219</v>
      </c>
      <c r="Q12273">
        <v>3304</v>
      </c>
      <c r="R12273" t="s">
        <v>23</v>
      </c>
      <c r="S12273" s="1" t="s">
        <v>34218</v>
      </c>
    </row>
    <row r="12274" spans="1:19" x14ac:dyDescent="0.25">
      <c r="A12274">
        <v>101415068</v>
      </c>
      <c r="B12274" t="s">
        <v>2937</v>
      </c>
      <c r="C12274" t="s">
        <v>635</v>
      </c>
      <c r="G12274" t="s">
        <v>26900</v>
      </c>
      <c r="H12274" t="s">
        <v>2139</v>
      </c>
      <c r="I12274" t="s">
        <v>135</v>
      </c>
      <c r="J12274">
        <v>60062</v>
      </c>
      <c r="L12274" t="s">
        <v>23</v>
      </c>
      <c r="M12274" t="s">
        <v>26900</v>
      </c>
      <c r="N12274" t="s">
        <v>2139</v>
      </c>
      <c r="O12274" t="s">
        <v>135</v>
      </c>
      <c r="P12274">
        <v>60062</v>
      </c>
      <c r="R12274" t="s">
        <v>23</v>
      </c>
      <c r="S12274" s="1" t="s">
        <v>34218</v>
      </c>
    </row>
    <row r="12275" spans="1:19" x14ac:dyDescent="0.25">
      <c r="A12275">
        <v>101282759</v>
      </c>
      <c r="B12275" t="s">
        <v>12611</v>
      </c>
      <c r="C12275" t="s">
        <v>274</v>
      </c>
      <c r="G12275" t="s">
        <v>26901</v>
      </c>
      <c r="H12275" t="s">
        <v>11528</v>
      </c>
      <c r="I12275" t="s">
        <v>187</v>
      </c>
      <c r="J12275">
        <v>56586</v>
      </c>
      <c r="K12275">
        <v>9204</v>
      </c>
      <c r="L12275" t="s">
        <v>23</v>
      </c>
      <c r="M12275" t="s">
        <v>26901</v>
      </c>
      <c r="N12275" t="s">
        <v>11528</v>
      </c>
      <c r="O12275" t="s">
        <v>187</v>
      </c>
      <c r="P12275">
        <v>56586</v>
      </c>
      <c r="Q12275">
        <v>9204</v>
      </c>
      <c r="R12275" t="s">
        <v>23</v>
      </c>
      <c r="S12275" s="1" t="s">
        <v>34218</v>
      </c>
    </row>
    <row r="12276" spans="1:19" x14ac:dyDescent="0.25">
      <c r="A12276">
        <v>101253274</v>
      </c>
      <c r="B12276" t="s">
        <v>26902</v>
      </c>
      <c r="C12276" t="s">
        <v>262</v>
      </c>
      <c r="G12276" t="s">
        <v>26903</v>
      </c>
      <c r="H12276" t="s">
        <v>1293</v>
      </c>
      <c r="I12276" t="s">
        <v>22</v>
      </c>
      <c r="J12276">
        <v>95062</v>
      </c>
      <c r="K12276">
        <v>3312</v>
      </c>
      <c r="L12276" t="s">
        <v>23</v>
      </c>
      <c r="M12276" t="s">
        <v>26903</v>
      </c>
      <c r="N12276" t="s">
        <v>1293</v>
      </c>
      <c r="O12276" t="s">
        <v>22</v>
      </c>
      <c r="P12276">
        <v>95062</v>
      </c>
      <c r="Q12276">
        <v>3312</v>
      </c>
      <c r="R12276" t="s">
        <v>23</v>
      </c>
      <c r="S12276" s="1" t="s">
        <v>34218</v>
      </c>
    </row>
    <row r="12277" spans="1:19" x14ac:dyDescent="0.25">
      <c r="A12277">
        <v>101426539</v>
      </c>
      <c r="B12277" t="s">
        <v>465</v>
      </c>
      <c r="C12277" t="s">
        <v>846</v>
      </c>
      <c r="G12277" t="s">
        <v>26904</v>
      </c>
      <c r="H12277" t="s">
        <v>3198</v>
      </c>
      <c r="I12277" t="s">
        <v>22</v>
      </c>
      <c r="J12277">
        <v>94523</v>
      </c>
      <c r="K12277">
        <v>2038</v>
      </c>
      <c r="L12277" t="s">
        <v>23</v>
      </c>
      <c r="M12277" t="s">
        <v>26904</v>
      </c>
      <c r="N12277" t="s">
        <v>3198</v>
      </c>
      <c r="O12277" t="s">
        <v>22</v>
      </c>
      <c r="P12277">
        <v>94523</v>
      </c>
      <c r="Q12277">
        <v>2038</v>
      </c>
      <c r="R12277" t="s">
        <v>23</v>
      </c>
      <c r="S12277" s="1" t="s">
        <v>34218</v>
      </c>
    </row>
    <row r="12278" spans="1:19" x14ac:dyDescent="0.25">
      <c r="A12278">
        <v>100782221</v>
      </c>
      <c r="B12278" t="s">
        <v>744</v>
      </c>
      <c r="C12278" t="s">
        <v>26905</v>
      </c>
      <c r="G12278" t="s">
        <v>26906</v>
      </c>
      <c r="H12278" t="s">
        <v>299</v>
      </c>
      <c r="I12278" t="s">
        <v>22</v>
      </c>
      <c r="J12278">
        <v>90019</v>
      </c>
      <c r="K12278">
        <v>2573</v>
      </c>
      <c r="L12278" t="s">
        <v>23</v>
      </c>
      <c r="M12278" t="s">
        <v>26906</v>
      </c>
      <c r="N12278" t="s">
        <v>299</v>
      </c>
      <c r="O12278" t="s">
        <v>22</v>
      </c>
      <c r="P12278">
        <v>90019</v>
      </c>
      <c r="Q12278">
        <v>2573</v>
      </c>
      <c r="R12278" t="s">
        <v>23</v>
      </c>
      <c r="S12278" s="1" t="s">
        <v>34218</v>
      </c>
    </row>
    <row r="12279" spans="1:19" x14ac:dyDescent="0.25">
      <c r="A12279">
        <v>100511009</v>
      </c>
      <c r="B12279" t="s">
        <v>251</v>
      </c>
      <c r="C12279" t="s">
        <v>30</v>
      </c>
      <c r="G12279" t="s">
        <v>26907</v>
      </c>
      <c r="H12279" t="s">
        <v>5070</v>
      </c>
      <c r="I12279" t="s">
        <v>84</v>
      </c>
      <c r="J12279">
        <v>98661</v>
      </c>
      <c r="K12279">
        <v>5746</v>
      </c>
      <c r="L12279" t="s">
        <v>23</v>
      </c>
      <c r="M12279" t="s">
        <v>26907</v>
      </c>
      <c r="N12279" t="s">
        <v>5070</v>
      </c>
      <c r="O12279" t="s">
        <v>84</v>
      </c>
      <c r="P12279">
        <v>98661</v>
      </c>
      <c r="Q12279">
        <v>5746</v>
      </c>
      <c r="R12279" t="s">
        <v>23</v>
      </c>
      <c r="S12279" s="1" t="s">
        <v>34218</v>
      </c>
    </row>
    <row r="12280" spans="1:19" x14ac:dyDescent="0.25">
      <c r="A12280">
        <v>101423362</v>
      </c>
      <c r="B12280" t="s">
        <v>26908</v>
      </c>
      <c r="C12280" t="s">
        <v>1327</v>
      </c>
      <c r="H12280" t="s">
        <v>5644</v>
      </c>
      <c r="I12280" t="s">
        <v>370</v>
      </c>
      <c r="J12280">
        <v>68132</v>
      </c>
      <c r="L12280" t="s">
        <v>23</v>
      </c>
      <c r="N12280" t="s">
        <v>5644</v>
      </c>
      <c r="O12280" t="s">
        <v>370</v>
      </c>
      <c r="P12280">
        <v>68132</v>
      </c>
      <c r="R12280" t="s">
        <v>23</v>
      </c>
      <c r="S12280" s="1" t="s">
        <v>34218</v>
      </c>
    </row>
    <row r="12281" spans="1:19" x14ac:dyDescent="0.25">
      <c r="A12281">
        <v>101418523</v>
      </c>
      <c r="B12281" t="s">
        <v>289</v>
      </c>
      <c r="C12281" t="s">
        <v>11308</v>
      </c>
      <c r="G12281" t="s">
        <v>26909</v>
      </c>
      <c r="H12281" t="s">
        <v>37</v>
      </c>
      <c r="I12281" t="s">
        <v>38</v>
      </c>
      <c r="J12281">
        <v>78731</v>
      </c>
      <c r="L12281" t="s">
        <v>23</v>
      </c>
      <c r="M12281" t="s">
        <v>26909</v>
      </c>
      <c r="N12281" t="s">
        <v>37</v>
      </c>
      <c r="O12281" t="s">
        <v>38</v>
      </c>
      <c r="P12281">
        <v>78731</v>
      </c>
      <c r="R12281" t="s">
        <v>23</v>
      </c>
      <c r="S12281" s="1" t="s">
        <v>34218</v>
      </c>
    </row>
    <row r="12282" spans="1:19" x14ac:dyDescent="0.25">
      <c r="A12282">
        <v>101457030</v>
      </c>
      <c r="B12282" t="s">
        <v>1671</v>
      </c>
      <c r="C12282" t="s">
        <v>123</v>
      </c>
      <c r="G12282" t="s">
        <v>26910</v>
      </c>
      <c r="H12282" t="s">
        <v>1614</v>
      </c>
      <c r="I12282" t="s">
        <v>22</v>
      </c>
      <c r="J12282">
        <v>92057</v>
      </c>
      <c r="K12282">
        <v>8344</v>
      </c>
      <c r="L12282" t="s">
        <v>23</v>
      </c>
      <c r="M12282" t="s">
        <v>26910</v>
      </c>
      <c r="N12282" t="s">
        <v>1614</v>
      </c>
      <c r="O12282" t="s">
        <v>22</v>
      </c>
      <c r="P12282">
        <v>92057</v>
      </c>
      <c r="Q12282">
        <v>8344</v>
      </c>
      <c r="R12282" t="s">
        <v>23</v>
      </c>
      <c r="S12282" s="1" t="s">
        <v>34218</v>
      </c>
    </row>
    <row r="12283" spans="1:19" x14ac:dyDescent="0.25">
      <c r="A12283">
        <v>100626064</v>
      </c>
      <c r="B12283" t="s">
        <v>2486</v>
      </c>
      <c r="C12283" t="s">
        <v>45</v>
      </c>
      <c r="G12283" t="s">
        <v>26911</v>
      </c>
      <c r="H12283" t="s">
        <v>26912</v>
      </c>
      <c r="I12283" t="s">
        <v>639</v>
      </c>
      <c r="J12283">
        <v>87522</v>
      </c>
      <c r="L12283" t="s">
        <v>23</v>
      </c>
      <c r="M12283" t="s">
        <v>26911</v>
      </c>
      <c r="N12283" t="s">
        <v>26912</v>
      </c>
      <c r="O12283" t="s">
        <v>639</v>
      </c>
      <c r="P12283">
        <v>87522</v>
      </c>
      <c r="R12283" t="s">
        <v>23</v>
      </c>
      <c r="S12283" s="1" t="s">
        <v>34218</v>
      </c>
    </row>
    <row r="12284" spans="1:19" x14ac:dyDescent="0.25">
      <c r="A12284">
        <v>100690969</v>
      </c>
      <c r="B12284" t="s">
        <v>26913</v>
      </c>
      <c r="C12284" t="s">
        <v>907</v>
      </c>
      <c r="G12284" t="s">
        <v>26914</v>
      </c>
      <c r="H12284" t="s">
        <v>18920</v>
      </c>
      <c r="I12284" t="s">
        <v>43</v>
      </c>
      <c r="J12284">
        <v>97498</v>
      </c>
      <c r="K12284">
        <v>9748</v>
      </c>
      <c r="L12284" t="s">
        <v>23</v>
      </c>
      <c r="M12284" t="s">
        <v>26914</v>
      </c>
      <c r="N12284" t="s">
        <v>18920</v>
      </c>
      <c r="O12284" t="s">
        <v>43</v>
      </c>
      <c r="P12284">
        <v>97498</v>
      </c>
      <c r="Q12284">
        <v>9748</v>
      </c>
      <c r="R12284" t="s">
        <v>23</v>
      </c>
      <c r="S12284" s="1" t="s">
        <v>34218</v>
      </c>
    </row>
    <row r="12285" spans="1:19" x14ac:dyDescent="0.25">
      <c r="A12285">
        <v>101039106</v>
      </c>
      <c r="B12285" t="s">
        <v>26915</v>
      </c>
      <c r="C12285" t="s">
        <v>26916</v>
      </c>
      <c r="F12285" t="str">
        <f>"5412632679"</f>
        <v>5412632679</v>
      </c>
      <c r="G12285" t="s">
        <v>26917</v>
      </c>
      <c r="H12285" t="s">
        <v>26918</v>
      </c>
      <c r="I12285" t="s">
        <v>43</v>
      </c>
      <c r="J12285">
        <v>97885</v>
      </c>
      <c r="L12285" t="s">
        <v>23</v>
      </c>
      <c r="M12285" t="s">
        <v>26917</v>
      </c>
      <c r="N12285" t="s">
        <v>26918</v>
      </c>
      <c r="O12285" t="s">
        <v>43</v>
      </c>
      <c r="P12285">
        <v>97885</v>
      </c>
      <c r="R12285" t="s">
        <v>23</v>
      </c>
      <c r="S12285" s="1" t="s">
        <v>34218</v>
      </c>
    </row>
    <row r="12286" spans="1:19" x14ac:dyDescent="0.25">
      <c r="A12286">
        <v>101278017</v>
      </c>
      <c r="B12286" t="s">
        <v>5505</v>
      </c>
      <c r="C12286" t="s">
        <v>406</v>
      </c>
      <c r="G12286" t="s">
        <v>26919</v>
      </c>
      <c r="H12286" t="s">
        <v>976</v>
      </c>
      <c r="I12286" t="s">
        <v>140</v>
      </c>
      <c r="J12286">
        <v>48105</v>
      </c>
      <c r="K12286">
        <v>9530</v>
      </c>
      <c r="L12286" t="s">
        <v>23</v>
      </c>
      <c r="M12286" t="s">
        <v>26919</v>
      </c>
      <c r="N12286" t="s">
        <v>976</v>
      </c>
      <c r="O12286" t="s">
        <v>140</v>
      </c>
      <c r="P12286">
        <v>48105</v>
      </c>
      <c r="Q12286">
        <v>9530</v>
      </c>
      <c r="R12286" t="s">
        <v>23</v>
      </c>
      <c r="S12286" s="1" t="s">
        <v>34218</v>
      </c>
    </row>
    <row r="12287" spans="1:19" x14ac:dyDescent="0.25">
      <c r="A12287">
        <v>101430455</v>
      </c>
      <c r="B12287" t="s">
        <v>6058</v>
      </c>
      <c r="C12287" t="s">
        <v>1873</v>
      </c>
      <c r="G12287" t="s">
        <v>26920</v>
      </c>
      <c r="H12287" t="s">
        <v>26921</v>
      </c>
      <c r="I12287" t="s">
        <v>1097</v>
      </c>
      <c r="J12287">
        <v>42140</v>
      </c>
      <c r="L12287" t="s">
        <v>23</v>
      </c>
      <c r="M12287" t="s">
        <v>26920</v>
      </c>
      <c r="N12287" t="s">
        <v>26921</v>
      </c>
      <c r="O12287" t="s">
        <v>1097</v>
      </c>
      <c r="P12287">
        <v>42140</v>
      </c>
      <c r="R12287" t="s">
        <v>23</v>
      </c>
      <c r="S12287" s="1" t="s">
        <v>34218</v>
      </c>
    </row>
    <row r="12288" spans="1:19" x14ac:dyDescent="0.25">
      <c r="A12288">
        <v>101168481</v>
      </c>
      <c r="B12288" t="s">
        <v>26922</v>
      </c>
      <c r="C12288" t="s">
        <v>1623</v>
      </c>
      <c r="G12288" t="s">
        <v>26923</v>
      </c>
      <c r="H12288" t="s">
        <v>1857</v>
      </c>
      <c r="I12288" t="s">
        <v>702</v>
      </c>
      <c r="J12288">
        <v>89523</v>
      </c>
      <c r="K12288">
        <v>4886</v>
      </c>
      <c r="L12288" t="s">
        <v>23</v>
      </c>
      <c r="M12288" t="s">
        <v>26923</v>
      </c>
      <c r="N12288" t="s">
        <v>1857</v>
      </c>
      <c r="O12288" t="s">
        <v>702</v>
      </c>
      <c r="P12288">
        <v>89523</v>
      </c>
      <c r="Q12288">
        <v>4886</v>
      </c>
      <c r="R12288" t="s">
        <v>23</v>
      </c>
      <c r="S12288" s="1" t="s">
        <v>34218</v>
      </c>
    </row>
    <row r="12289" spans="1:19" x14ac:dyDescent="0.25">
      <c r="A12289">
        <v>101364551</v>
      </c>
      <c r="B12289" t="s">
        <v>26924</v>
      </c>
      <c r="C12289" t="s">
        <v>102</v>
      </c>
      <c r="G12289" t="s">
        <v>26925</v>
      </c>
      <c r="H12289" t="s">
        <v>2701</v>
      </c>
      <c r="I12289" t="s">
        <v>178</v>
      </c>
      <c r="J12289">
        <v>45005</v>
      </c>
      <c r="K12289">
        <v>4358</v>
      </c>
      <c r="L12289" t="s">
        <v>23</v>
      </c>
      <c r="M12289" t="s">
        <v>26925</v>
      </c>
      <c r="N12289" t="s">
        <v>2701</v>
      </c>
      <c r="O12289" t="s">
        <v>178</v>
      </c>
      <c r="P12289">
        <v>45005</v>
      </c>
      <c r="Q12289">
        <v>4358</v>
      </c>
      <c r="R12289" t="s">
        <v>23</v>
      </c>
      <c r="S12289" s="1" t="s">
        <v>34218</v>
      </c>
    </row>
    <row r="12290" spans="1:19" x14ac:dyDescent="0.25">
      <c r="A12290">
        <v>101468583</v>
      </c>
      <c r="B12290" t="s">
        <v>26926</v>
      </c>
      <c r="C12290" t="s">
        <v>777</v>
      </c>
      <c r="G12290" t="s">
        <v>26927</v>
      </c>
      <c r="H12290" t="s">
        <v>976</v>
      </c>
      <c r="I12290" t="s">
        <v>140</v>
      </c>
      <c r="J12290">
        <v>48103</v>
      </c>
      <c r="K12290">
        <v>6301</v>
      </c>
      <c r="L12290" t="s">
        <v>23</v>
      </c>
      <c r="M12290" t="s">
        <v>26927</v>
      </c>
      <c r="N12290" t="s">
        <v>976</v>
      </c>
      <c r="O12290" t="s">
        <v>140</v>
      </c>
      <c r="P12290">
        <v>48103</v>
      </c>
      <c r="Q12290">
        <v>6301</v>
      </c>
      <c r="R12290" t="s">
        <v>23</v>
      </c>
      <c r="S12290" s="1" t="s">
        <v>34218</v>
      </c>
    </row>
    <row r="12291" spans="1:19" x14ac:dyDescent="0.25">
      <c r="A12291">
        <v>101468590</v>
      </c>
      <c r="B12291" t="s">
        <v>26928</v>
      </c>
      <c r="C12291" t="s">
        <v>2790</v>
      </c>
      <c r="G12291" t="s">
        <v>26929</v>
      </c>
      <c r="H12291" t="s">
        <v>1835</v>
      </c>
      <c r="I12291" t="s">
        <v>140</v>
      </c>
      <c r="J12291">
        <v>48184</v>
      </c>
      <c r="K12291">
        <v>2258</v>
      </c>
      <c r="L12291" t="s">
        <v>23</v>
      </c>
      <c r="M12291" t="s">
        <v>26929</v>
      </c>
      <c r="N12291" t="s">
        <v>1835</v>
      </c>
      <c r="O12291" t="s">
        <v>140</v>
      </c>
      <c r="P12291">
        <v>48184</v>
      </c>
      <c r="Q12291">
        <v>2258</v>
      </c>
      <c r="R12291" t="s">
        <v>23</v>
      </c>
      <c r="S12291" s="1" t="s">
        <v>34218</v>
      </c>
    </row>
    <row r="12292" spans="1:19" x14ac:dyDescent="0.25">
      <c r="A12292">
        <v>100649169</v>
      </c>
      <c r="B12292" t="s">
        <v>1505</v>
      </c>
      <c r="C12292" t="s">
        <v>225</v>
      </c>
      <c r="G12292" t="s">
        <v>15486</v>
      </c>
      <c r="H12292" t="s">
        <v>2253</v>
      </c>
      <c r="I12292" t="s">
        <v>2310</v>
      </c>
      <c r="J12292">
        <v>19734</v>
      </c>
      <c r="K12292">
        <v>97</v>
      </c>
      <c r="L12292" t="s">
        <v>23</v>
      </c>
      <c r="M12292" t="s">
        <v>15486</v>
      </c>
      <c r="N12292" t="s">
        <v>2253</v>
      </c>
      <c r="O12292" t="s">
        <v>2310</v>
      </c>
      <c r="P12292">
        <v>19734</v>
      </c>
      <c r="Q12292">
        <v>97</v>
      </c>
      <c r="R12292" t="s">
        <v>23</v>
      </c>
      <c r="S12292" s="1" t="s">
        <v>34218</v>
      </c>
    </row>
    <row r="12293" spans="1:19" x14ac:dyDescent="0.25">
      <c r="A12293">
        <v>101431948</v>
      </c>
      <c r="B12293" t="s">
        <v>26930</v>
      </c>
      <c r="C12293" t="s">
        <v>956</v>
      </c>
      <c r="G12293" t="s">
        <v>26931</v>
      </c>
      <c r="H12293" t="s">
        <v>7052</v>
      </c>
      <c r="I12293" t="s">
        <v>140</v>
      </c>
      <c r="J12293">
        <v>49508</v>
      </c>
      <c r="K12293">
        <v>6368</v>
      </c>
      <c r="L12293" t="s">
        <v>23</v>
      </c>
      <c r="M12293" t="s">
        <v>26931</v>
      </c>
      <c r="N12293" t="s">
        <v>7052</v>
      </c>
      <c r="O12293" t="s">
        <v>140</v>
      </c>
      <c r="P12293">
        <v>49508</v>
      </c>
      <c r="Q12293">
        <v>6368</v>
      </c>
      <c r="R12293" t="s">
        <v>23</v>
      </c>
      <c r="S12293" s="1" t="s">
        <v>34218</v>
      </c>
    </row>
    <row r="12294" spans="1:19" x14ac:dyDescent="0.25">
      <c r="A12294">
        <v>101467047</v>
      </c>
      <c r="B12294" t="s">
        <v>497</v>
      </c>
      <c r="C12294" t="s">
        <v>1906</v>
      </c>
      <c r="G12294" t="s">
        <v>26932</v>
      </c>
      <c r="H12294" t="s">
        <v>26933</v>
      </c>
      <c r="I12294" t="s">
        <v>135</v>
      </c>
      <c r="J12294">
        <v>60411</v>
      </c>
      <c r="K12294">
        <v>6824</v>
      </c>
      <c r="L12294" t="s">
        <v>23</v>
      </c>
      <c r="M12294" t="s">
        <v>26932</v>
      </c>
      <c r="N12294" t="s">
        <v>26933</v>
      </c>
      <c r="O12294" t="s">
        <v>135</v>
      </c>
      <c r="P12294">
        <v>60411</v>
      </c>
      <c r="Q12294">
        <v>6824</v>
      </c>
      <c r="R12294" t="s">
        <v>23</v>
      </c>
      <c r="S12294" s="1" t="s">
        <v>34218</v>
      </c>
    </row>
    <row r="12295" spans="1:19" x14ac:dyDescent="0.25">
      <c r="A12295">
        <v>100686456</v>
      </c>
      <c r="B12295" t="s">
        <v>12780</v>
      </c>
      <c r="C12295" t="s">
        <v>1107</v>
      </c>
      <c r="G12295" t="s">
        <v>26934</v>
      </c>
      <c r="H12295" t="s">
        <v>2122</v>
      </c>
      <c r="I12295" t="s">
        <v>38</v>
      </c>
      <c r="J12295">
        <v>77479</v>
      </c>
      <c r="L12295" t="s">
        <v>23</v>
      </c>
      <c r="M12295" t="s">
        <v>26934</v>
      </c>
      <c r="N12295" t="s">
        <v>2122</v>
      </c>
      <c r="O12295" t="s">
        <v>38</v>
      </c>
      <c r="P12295">
        <v>77479</v>
      </c>
      <c r="R12295" t="s">
        <v>23</v>
      </c>
      <c r="S12295" s="1" t="s">
        <v>34218</v>
      </c>
    </row>
    <row r="12296" spans="1:19" x14ac:dyDescent="0.25">
      <c r="A12296">
        <v>101178473</v>
      </c>
      <c r="B12296" t="s">
        <v>26935</v>
      </c>
      <c r="C12296" t="s">
        <v>3726</v>
      </c>
      <c r="G12296" t="s">
        <v>26936</v>
      </c>
      <c r="H12296" t="s">
        <v>3513</v>
      </c>
      <c r="I12296" t="s">
        <v>255</v>
      </c>
      <c r="J12296">
        <v>22554</v>
      </c>
      <c r="K12296">
        <v>5833</v>
      </c>
      <c r="L12296" t="s">
        <v>23</v>
      </c>
      <c r="M12296" t="s">
        <v>26936</v>
      </c>
      <c r="N12296" t="s">
        <v>3513</v>
      </c>
      <c r="O12296" t="s">
        <v>255</v>
      </c>
      <c r="P12296">
        <v>22554</v>
      </c>
      <c r="Q12296">
        <v>5833</v>
      </c>
      <c r="R12296" t="s">
        <v>23</v>
      </c>
      <c r="S12296" s="1" t="s">
        <v>34218</v>
      </c>
    </row>
    <row r="12297" spans="1:19" x14ac:dyDescent="0.25">
      <c r="A12297">
        <v>100775084</v>
      </c>
      <c r="B12297" t="s">
        <v>1800</v>
      </c>
      <c r="C12297" t="s">
        <v>208</v>
      </c>
      <c r="G12297" t="s">
        <v>26937</v>
      </c>
      <c r="H12297" t="s">
        <v>1096</v>
      </c>
      <c r="I12297" t="s">
        <v>1097</v>
      </c>
      <c r="J12297">
        <v>40205</v>
      </c>
      <c r="K12297">
        <v>1664</v>
      </c>
      <c r="L12297" t="s">
        <v>23</v>
      </c>
      <c r="M12297" t="s">
        <v>26937</v>
      </c>
      <c r="N12297" t="s">
        <v>1096</v>
      </c>
      <c r="O12297" t="s">
        <v>1097</v>
      </c>
      <c r="P12297">
        <v>40205</v>
      </c>
      <c r="Q12297">
        <v>1664</v>
      </c>
      <c r="R12297" t="s">
        <v>23</v>
      </c>
      <c r="S12297" s="1" t="s">
        <v>34218</v>
      </c>
    </row>
    <row r="12298" spans="1:19" x14ac:dyDescent="0.25">
      <c r="A12298">
        <v>101261535</v>
      </c>
      <c r="B12298" t="s">
        <v>26938</v>
      </c>
      <c r="C12298" t="s">
        <v>30</v>
      </c>
      <c r="G12298" t="s">
        <v>26939</v>
      </c>
      <c r="H12298" t="s">
        <v>3675</v>
      </c>
      <c r="I12298" t="s">
        <v>140</v>
      </c>
      <c r="J12298">
        <v>49441</v>
      </c>
      <c r="K12298">
        <v>5050</v>
      </c>
      <c r="L12298" t="s">
        <v>23</v>
      </c>
      <c r="M12298" t="s">
        <v>26939</v>
      </c>
      <c r="N12298" t="s">
        <v>3675</v>
      </c>
      <c r="O12298" t="s">
        <v>140</v>
      </c>
      <c r="P12298">
        <v>49441</v>
      </c>
      <c r="Q12298">
        <v>5050</v>
      </c>
      <c r="R12298" t="s">
        <v>23</v>
      </c>
      <c r="S12298" s="1" t="s">
        <v>34218</v>
      </c>
    </row>
    <row r="12299" spans="1:19" x14ac:dyDescent="0.25">
      <c r="A12299">
        <v>101456421</v>
      </c>
      <c r="B12299" t="s">
        <v>26940</v>
      </c>
      <c r="C12299" t="s">
        <v>30</v>
      </c>
      <c r="G12299" t="s">
        <v>26941</v>
      </c>
      <c r="H12299" t="s">
        <v>21243</v>
      </c>
      <c r="I12299" t="s">
        <v>117</v>
      </c>
      <c r="J12299">
        <v>12508</v>
      </c>
      <c r="K12299">
        <v>2638</v>
      </c>
      <c r="L12299" t="s">
        <v>23</v>
      </c>
      <c r="M12299" t="s">
        <v>26941</v>
      </c>
      <c r="N12299" t="s">
        <v>21243</v>
      </c>
      <c r="O12299" t="s">
        <v>117</v>
      </c>
      <c r="P12299">
        <v>12508</v>
      </c>
      <c r="Q12299">
        <v>2638</v>
      </c>
      <c r="R12299" t="s">
        <v>23</v>
      </c>
      <c r="S12299" s="1" t="s">
        <v>34218</v>
      </c>
    </row>
    <row r="12300" spans="1:19" x14ac:dyDescent="0.25">
      <c r="A12300">
        <v>101317685</v>
      </c>
      <c r="B12300" t="s">
        <v>26942</v>
      </c>
      <c r="C12300" t="s">
        <v>11488</v>
      </c>
      <c r="G12300" t="s">
        <v>26943</v>
      </c>
      <c r="H12300" t="s">
        <v>5190</v>
      </c>
      <c r="I12300" t="s">
        <v>255</v>
      </c>
      <c r="J12300">
        <v>22030</v>
      </c>
      <c r="K12300">
        <v>7775</v>
      </c>
      <c r="L12300" t="s">
        <v>23</v>
      </c>
      <c r="M12300" t="s">
        <v>26943</v>
      </c>
      <c r="N12300" t="s">
        <v>5190</v>
      </c>
      <c r="O12300" t="s">
        <v>255</v>
      </c>
      <c r="P12300">
        <v>22030</v>
      </c>
      <c r="Q12300">
        <v>7775</v>
      </c>
      <c r="R12300" t="s">
        <v>23</v>
      </c>
      <c r="S12300" s="1" t="s">
        <v>34218</v>
      </c>
    </row>
    <row r="12301" spans="1:19" x14ac:dyDescent="0.25">
      <c r="A12301">
        <v>101456435</v>
      </c>
      <c r="B12301" t="s">
        <v>26944</v>
      </c>
      <c r="C12301" t="s">
        <v>26945</v>
      </c>
      <c r="G12301" t="s">
        <v>26946</v>
      </c>
      <c r="H12301" t="s">
        <v>6151</v>
      </c>
      <c r="I12301" t="s">
        <v>33</v>
      </c>
      <c r="J12301">
        <v>17601</v>
      </c>
      <c r="K12301">
        <v>7012</v>
      </c>
      <c r="L12301" t="s">
        <v>23</v>
      </c>
      <c r="M12301" t="s">
        <v>26946</v>
      </c>
      <c r="N12301" t="s">
        <v>6151</v>
      </c>
      <c r="O12301" t="s">
        <v>33</v>
      </c>
      <c r="P12301">
        <v>17601</v>
      </c>
      <c r="Q12301">
        <v>7012</v>
      </c>
      <c r="R12301" t="s">
        <v>23</v>
      </c>
      <c r="S12301" s="1" t="s">
        <v>34218</v>
      </c>
    </row>
    <row r="12302" spans="1:19" x14ac:dyDescent="0.25">
      <c r="A12302">
        <v>101280661</v>
      </c>
      <c r="B12302" t="s">
        <v>26947</v>
      </c>
      <c r="C12302" t="s">
        <v>558</v>
      </c>
      <c r="F12302" t="str">
        <f>"5852708271"</f>
        <v>5852708271</v>
      </c>
      <c r="G12302" t="s">
        <v>26948</v>
      </c>
      <c r="H12302" t="s">
        <v>688</v>
      </c>
      <c r="I12302" t="s">
        <v>117</v>
      </c>
      <c r="J12302">
        <v>14623</v>
      </c>
      <c r="K12302">
        <v>1428</v>
      </c>
      <c r="L12302" t="s">
        <v>23</v>
      </c>
      <c r="M12302" t="s">
        <v>26948</v>
      </c>
      <c r="N12302" t="s">
        <v>688</v>
      </c>
      <c r="O12302" t="s">
        <v>117</v>
      </c>
      <c r="P12302">
        <v>14623</v>
      </c>
      <c r="Q12302">
        <v>1428</v>
      </c>
      <c r="R12302" t="s">
        <v>23</v>
      </c>
      <c r="S12302" s="1" t="s">
        <v>34218</v>
      </c>
    </row>
    <row r="12303" spans="1:19" x14ac:dyDescent="0.25">
      <c r="A12303">
        <v>101278015</v>
      </c>
      <c r="B12303" t="s">
        <v>10326</v>
      </c>
      <c r="C12303" t="s">
        <v>1669</v>
      </c>
      <c r="G12303" t="s">
        <v>26949</v>
      </c>
      <c r="H12303" t="s">
        <v>3346</v>
      </c>
      <c r="I12303" t="s">
        <v>161</v>
      </c>
      <c r="J12303">
        <v>6066</v>
      </c>
      <c r="K12303">
        <v>2808</v>
      </c>
      <c r="L12303" t="s">
        <v>23</v>
      </c>
      <c r="M12303" t="s">
        <v>26949</v>
      </c>
      <c r="N12303" t="s">
        <v>3346</v>
      </c>
      <c r="O12303" t="s">
        <v>161</v>
      </c>
      <c r="P12303">
        <v>6066</v>
      </c>
      <c r="Q12303">
        <v>2808</v>
      </c>
      <c r="R12303" t="s">
        <v>23</v>
      </c>
      <c r="S12303" s="1" t="s">
        <v>34218</v>
      </c>
    </row>
    <row r="12304" spans="1:19" x14ac:dyDescent="0.25">
      <c r="A12304">
        <v>101316366</v>
      </c>
      <c r="B12304" t="s">
        <v>26950</v>
      </c>
      <c r="C12304" t="s">
        <v>1992</v>
      </c>
      <c r="G12304" t="s">
        <v>26951</v>
      </c>
      <c r="H12304" t="s">
        <v>26952</v>
      </c>
      <c r="I12304" t="s">
        <v>100</v>
      </c>
      <c r="J12304">
        <v>53588</v>
      </c>
      <c r="K12304">
        <v>9</v>
      </c>
      <c r="L12304" t="s">
        <v>23</v>
      </c>
      <c r="M12304" t="s">
        <v>26951</v>
      </c>
      <c r="N12304" t="s">
        <v>26952</v>
      </c>
      <c r="O12304" t="s">
        <v>100</v>
      </c>
      <c r="P12304">
        <v>53588</v>
      </c>
      <c r="Q12304">
        <v>9</v>
      </c>
      <c r="R12304" t="s">
        <v>23</v>
      </c>
      <c r="S12304" s="1" t="s">
        <v>34218</v>
      </c>
    </row>
    <row r="12305" spans="1:19" x14ac:dyDescent="0.25">
      <c r="A12305">
        <v>101406347</v>
      </c>
      <c r="B12305" t="s">
        <v>1505</v>
      </c>
      <c r="C12305" t="s">
        <v>8877</v>
      </c>
      <c r="G12305" t="s">
        <v>26953</v>
      </c>
      <c r="H12305" t="s">
        <v>3214</v>
      </c>
      <c r="I12305" t="s">
        <v>22</v>
      </c>
      <c r="J12305">
        <v>91361</v>
      </c>
      <c r="K12305">
        <v>5004</v>
      </c>
      <c r="L12305" t="s">
        <v>23</v>
      </c>
      <c r="M12305" t="s">
        <v>26953</v>
      </c>
      <c r="N12305" t="s">
        <v>3214</v>
      </c>
      <c r="O12305" t="s">
        <v>22</v>
      </c>
      <c r="P12305">
        <v>91361</v>
      </c>
      <c r="Q12305">
        <v>5004</v>
      </c>
      <c r="R12305" t="s">
        <v>23</v>
      </c>
      <c r="S12305" s="1" t="s">
        <v>34218</v>
      </c>
    </row>
    <row r="12306" spans="1:19" x14ac:dyDescent="0.25">
      <c r="A12306">
        <v>101126715</v>
      </c>
      <c r="B12306" t="s">
        <v>26954</v>
      </c>
      <c r="C12306" t="s">
        <v>1161</v>
      </c>
      <c r="F12306" t="str">
        <f>"3104520195"</f>
        <v>3104520195</v>
      </c>
      <c r="G12306" t="s">
        <v>26955</v>
      </c>
      <c r="H12306" t="s">
        <v>726</v>
      </c>
      <c r="I12306" t="s">
        <v>22</v>
      </c>
      <c r="J12306">
        <v>90405</v>
      </c>
      <c r="K12306">
        <v>4340</v>
      </c>
      <c r="L12306" t="s">
        <v>23</v>
      </c>
      <c r="M12306" t="s">
        <v>26955</v>
      </c>
      <c r="N12306" t="s">
        <v>726</v>
      </c>
      <c r="O12306" t="s">
        <v>22</v>
      </c>
      <c r="P12306">
        <v>90405</v>
      </c>
      <c r="Q12306">
        <v>4340</v>
      </c>
      <c r="R12306" t="s">
        <v>23</v>
      </c>
      <c r="S12306" s="1" t="s">
        <v>34218</v>
      </c>
    </row>
    <row r="12307" spans="1:19" x14ac:dyDescent="0.25">
      <c r="A12307">
        <v>101285648</v>
      </c>
      <c r="B12307" t="s">
        <v>26956</v>
      </c>
      <c r="C12307" t="s">
        <v>59</v>
      </c>
      <c r="G12307" t="s">
        <v>26957</v>
      </c>
      <c r="H12307" t="s">
        <v>521</v>
      </c>
      <c r="I12307" t="s">
        <v>22</v>
      </c>
      <c r="J12307">
        <v>94541</v>
      </c>
      <c r="K12307">
        <v>3464</v>
      </c>
      <c r="L12307" t="s">
        <v>23</v>
      </c>
      <c r="M12307" t="s">
        <v>26957</v>
      </c>
      <c r="N12307" t="s">
        <v>521</v>
      </c>
      <c r="O12307" t="s">
        <v>22</v>
      </c>
      <c r="P12307">
        <v>94541</v>
      </c>
      <c r="Q12307">
        <v>3464</v>
      </c>
      <c r="R12307" t="s">
        <v>23</v>
      </c>
      <c r="S12307" s="1" t="s">
        <v>34218</v>
      </c>
    </row>
    <row r="12308" spans="1:19" x14ac:dyDescent="0.25">
      <c r="A12308">
        <v>101150081</v>
      </c>
      <c r="B12308" t="s">
        <v>26958</v>
      </c>
      <c r="C12308" t="s">
        <v>26959</v>
      </c>
      <c r="G12308" t="s">
        <v>26960</v>
      </c>
      <c r="H12308" t="s">
        <v>3680</v>
      </c>
      <c r="I12308" t="s">
        <v>565</v>
      </c>
      <c r="J12308">
        <v>52556</v>
      </c>
      <c r="K12308">
        <v>3015</v>
      </c>
      <c r="L12308" t="s">
        <v>23</v>
      </c>
      <c r="M12308" t="s">
        <v>26960</v>
      </c>
      <c r="N12308" t="s">
        <v>3680</v>
      </c>
      <c r="O12308" t="s">
        <v>565</v>
      </c>
      <c r="P12308">
        <v>52556</v>
      </c>
      <c r="Q12308">
        <v>3015</v>
      </c>
      <c r="R12308" t="s">
        <v>23</v>
      </c>
      <c r="S12308" s="1" t="s">
        <v>34218</v>
      </c>
    </row>
    <row r="12309" spans="1:19" x14ac:dyDescent="0.25">
      <c r="A12309">
        <v>100515465</v>
      </c>
      <c r="B12309" t="s">
        <v>2994</v>
      </c>
      <c r="C12309" t="s">
        <v>3993</v>
      </c>
      <c r="G12309" t="s">
        <v>26961</v>
      </c>
      <c r="H12309" t="s">
        <v>4114</v>
      </c>
      <c r="I12309" t="s">
        <v>117</v>
      </c>
      <c r="J12309">
        <v>12345</v>
      </c>
      <c r="K12309">
        <v>1</v>
      </c>
      <c r="L12309" t="s">
        <v>23</v>
      </c>
      <c r="M12309" t="s">
        <v>26961</v>
      </c>
      <c r="N12309" t="s">
        <v>4114</v>
      </c>
      <c r="O12309" t="s">
        <v>117</v>
      </c>
      <c r="P12309">
        <v>12345</v>
      </c>
      <c r="Q12309">
        <v>1</v>
      </c>
      <c r="R12309" t="s">
        <v>23</v>
      </c>
      <c r="S12309" s="1" t="s">
        <v>34218</v>
      </c>
    </row>
    <row r="12310" spans="1:19" x14ac:dyDescent="0.25">
      <c r="A12310">
        <v>101286334</v>
      </c>
      <c r="B12310" t="s">
        <v>786</v>
      </c>
      <c r="C12310" t="s">
        <v>9629</v>
      </c>
      <c r="G12310" t="s">
        <v>26962</v>
      </c>
      <c r="H12310" t="s">
        <v>26963</v>
      </c>
      <c r="I12310" t="s">
        <v>38</v>
      </c>
      <c r="J12310">
        <v>79734</v>
      </c>
      <c r="K12310">
        <v>94</v>
      </c>
      <c r="L12310" t="s">
        <v>23</v>
      </c>
      <c r="M12310" t="s">
        <v>26962</v>
      </c>
      <c r="N12310" t="s">
        <v>26963</v>
      </c>
      <c r="O12310" t="s">
        <v>38</v>
      </c>
      <c r="P12310">
        <v>79734</v>
      </c>
      <c r="Q12310">
        <v>94</v>
      </c>
      <c r="R12310" t="s">
        <v>23</v>
      </c>
      <c r="S12310" s="1" t="s">
        <v>34218</v>
      </c>
    </row>
    <row r="12311" spans="1:19" x14ac:dyDescent="0.25">
      <c r="A12311">
        <v>101426655</v>
      </c>
      <c r="B12311" t="s">
        <v>21283</v>
      </c>
      <c r="C12311" t="s">
        <v>1176</v>
      </c>
      <c r="G12311" t="s">
        <v>26964</v>
      </c>
      <c r="H12311" t="s">
        <v>481</v>
      </c>
      <c r="I12311" t="s">
        <v>22</v>
      </c>
      <c r="J12311">
        <v>95110</v>
      </c>
      <c r="K12311">
        <v>2761</v>
      </c>
      <c r="L12311" t="s">
        <v>23</v>
      </c>
      <c r="M12311" t="s">
        <v>26964</v>
      </c>
      <c r="N12311" t="s">
        <v>481</v>
      </c>
      <c r="O12311" t="s">
        <v>22</v>
      </c>
      <c r="P12311">
        <v>95110</v>
      </c>
      <c r="Q12311">
        <v>2761</v>
      </c>
      <c r="R12311" t="s">
        <v>23</v>
      </c>
      <c r="S12311" s="1" t="s">
        <v>34218</v>
      </c>
    </row>
    <row r="12312" spans="1:19" x14ac:dyDescent="0.25">
      <c r="A12312">
        <v>101474635</v>
      </c>
      <c r="B12312" t="s">
        <v>19290</v>
      </c>
      <c r="C12312" t="s">
        <v>123</v>
      </c>
      <c r="G12312" t="s">
        <v>26965</v>
      </c>
      <c r="H12312" t="s">
        <v>26966</v>
      </c>
      <c r="I12312" t="s">
        <v>71</v>
      </c>
      <c r="J12312">
        <v>81524</v>
      </c>
      <c r="K12312">
        <v>8602</v>
      </c>
      <c r="L12312" t="s">
        <v>23</v>
      </c>
      <c r="M12312" t="s">
        <v>26965</v>
      </c>
      <c r="N12312" t="s">
        <v>26966</v>
      </c>
      <c r="O12312" t="s">
        <v>71</v>
      </c>
      <c r="P12312">
        <v>81524</v>
      </c>
      <c r="Q12312">
        <v>8602</v>
      </c>
      <c r="R12312" t="s">
        <v>23</v>
      </c>
      <c r="S12312" s="1" t="s">
        <v>34218</v>
      </c>
    </row>
    <row r="12313" spans="1:19" x14ac:dyDescent="0.25">
      <c r="A12313">
        <v>100624295</v>
      </c>
      <c r="B12313" t="s">
        <v>26967</v>
      </c>
      <c r="C12313" t="s">
        <v>4578</v>
      </c>
      <c r="G12313" t="s">
        <v>26968</v>
      </c>
      <c r="H12313" t="s">
        <v>8445</v>
      </c>
      <c r="I12313" t="s">
        <v>33</v>
      </c>
      <c r="J12313">
        <v>19333</v>
      </c>
      <c r="K12313">
        <v>2316</v>
      </c>
      <c r="L12313" t="s">
        <v>23</v>
      </c>
      <c r="M12313" t="s">
        <v>26968</v>
      </c>
      <c r="N12313" t="s">
        <v>8445</v>
      </c>
      <c r="O12313" t="s">
        <v>33</v>
      </c>
      <c r="P12313">
        <v>19333</v>
      </c>
      <c r="Q12313">
        <v>2316</v>
      </c>
      <c r="R12313" t="s">
        <v>23</v>
      </c>
      <c r="S12313" s="1" t="s">
        <v>34218</v>
      </c>
    </row>
    <row r="12314" spans="1:19" x14ac:dyDescent="0.25">
      <c r="A12314">
        <v>101058494</v>
      </c>
      <c r="B12314" t="s">
        <v>26969</v>
      </c>
      <c r="C12314" t="s">
        <v>2248</v>
      </c>
      <c r="G12314" t="s">
        <v>26970</v>
      </c>
      <c r="H12314" t="s">
        <v>688</v>
      </c>
      <c r="I12314" t="s">
        <v>353</v>
      </c>
      <c r="J12314">
        <v>3867</v>
      </c>
      <c r="K12314">
        <v>2755</v>
      </c>
      <c r="L12314" t="s">
        <v>23</v>
      </c>
      <c r="M12314" t="s">
        <v>26970</v>
      </c>
      <c r="N12314" t="s">
        <v>688</v>
      </c>
      <c r="O12314" t="s">
        <v>353</v>
      </c>
      <c r="P12314">
        <v>3867</v>
      </c>
      <c r="Q12314">
        <v>2755</v>
      </c>
      <c r="R12314" t="s">
        <v>23</v>
      </c>
      <c r="S12314" s="1" t="s">
        <v>34218</v>
      </c>
    </row>
    <row r="12315" spans="1:19" x14ac:dyDescent="0.25">
      <c r="A12315">
        <v>100614290</v>
      </c>
      <c r="B12315" t="s">
        <v>26971</v>
      </c>
      <c r="C12315" t="s">
        <v>5822</v>
      </c>
      <c r="G12315" t="s">
        <v>26972</v>
      </c>
      <c r="H12315" t="s">
        <v>8296</v>
      </c>
      <c r="I12315" t="s">
        <v>984</v>
      </c>
      <c r="J12315">
        <v>96753</v>
      </c>
      <c r="K12315">
        <v>7156</v>
      </c>
      <c r="L12315" t="s">
        <v>23</v>
      </c>
      <c r="M12315" t="s">
        <v>26972</v>
      </c>
      <c r="N12315" t="s">
        <v>8296</v>
      </c>
      <c r="O12315" t="s">
        <v>984</v>
      </c>
      <c r="P12315">
        <v>96753</v>
      </c>
      <c r="Q12315">
        <v>7156</v>
      </c>
      <c r="R12315" t="s">
        <v>23</v>
      </c>
      <c r="S12315" s="1" t="s">
        <v>34218</v>
      </c>
    </row>
    <row r="12316" spans="1:19" x14ac:dyDescent="0.25">
      <c r="A12316">
        <v>101472582</v>
      </c>
      <c r="B12316" t="s">
        <v>2692</v>
      </c>
      <c r="C12316" t="s">
        <v>4284</v>
      </c>
      <c r="G12316" t="s">
        <v>13693</v>
      </c>
      <c r="H12316" t="s">
        <v>4114</v>
      </c>
      <c r="I12316" t="s">
        <v>117</v>
      </c>
      <c r="J12316">
        <v>12302</v>
      </c>
      <c r="K12316">
        <v>1410</v>
      </c>
      <c r="L12316" t="s">
        <v>23</v>
      </c>
      <c r="M12316" t="s">
        <v>13693</v>
      </c>
      <c r="N12316" t="s">
        <v>4114</v>
      </c>
      <c r="O12316" t="s">
        <v>117</v>
      </c>
      <c r="P12316">
        <v>12302</v>
      </c>
      <c r="Q12316">
        <v>1410</v>
      </c>
      <c r="R12316" t="s">
        <v>23</v>
      </c>
      <c r="S12316" s="1" t="s">
        <v>34218</v>
      </c>
    </row>
    <row r="12317" spans="1:19" x14ac:dyDescent="0.25">
      <c r="A12317">
        <v>101104474</v>
      </c>
      <c r="B12317" t="s">
        <v>11601</v>
      </c>
      <c r="C12317" t="s">
        <v>13091</v>
      </c>
      <c r="G12317" t="s">
        <v>26973</v>
      </c>
      <c r="H12317" t="s">
        <v>12354</v>
      </c>
      <c r="I12317" t="s">
        <v>365</v>
      </c>
      <c r="J12317">
        <v>85138</v>
      </c>
      <c r="L12317" t="s">
        <v>23</v>
      </c>
      <c r="M12317" t="s">
        <v>26973</v>
      </c>
      <c r="N12317" t="s">
        <v>12354</v>
      </c>
      <c r="O12317" t="s">
        <v>365</v>
      </c>
      <c r="P12317">
        <v>85138</v>
      </c>
      <c r="R12317" t="s">
        <v>23</v>
      </c>
      <c r="S12317" s="1" t="s">
        <v>34218</v>
      </c>
    </row>
    <row r="12318" spans="1:19" x14ac:dyDescent="0.25">
      <c r="A12318">
        <v>101060049</v>
      </c>
      <c r="B12318" t="s">
        <v>26974</v>
      </c>
      <c r="C12318" t="s">
        <v>274</v>
      </c>
      <c r="G12318" t="s">
        <v>26975</v>
      </c>
      <c r="H12318" t="s">
        <v>2079</v>
      </c>
      <c r="I12318" t="s">
        <v>22</v>
      </c>
      <c r="J12318">
        <v>95006</v>
      </c>
      <c r="K12318">
        <v>9617</v>
      </c>
      <c r="L12318" t="s">
        <v>23</v>
      </c>
      <c r="M12318" t="s">
        <v>26975</v>
      </c>
      <c r="N12318" t="s">
        <v>2079</v>
      </c>
      <c r="O12318" t="s">
        <v>22</v>
      </c>
      <c r="P12318">
        <v>95006</v>
      </c>
      <c r="Q12318">
        <v>9617</v>
      </c>
      <c r="R12318" t="s">
        <v>23</v>
      </c>
      <c r="S12318" s="1" t="s">
        <v>34218</v>
      </c>
    </row>
    <row r="12319" spans="1:19" x14ac:dyDescent="0.25">
      <c r="A12319">
        <v>101442267</v>
      </c>
      <c r="B12319" t="s">
        <v>26976</v>
      </c>
      <c r="C12319" t="s">
        <v>5564</v>
      </c>
      <c r="G12319" t="s">
        <v>26977</v>
      </c>
      <c r="H12319" t="s">
        <v>8280</v>
      </c>
      <c r="I12319" t="s">
        <v>1097</v>
      </c>
      <c r="J12319">
        <v>40513</v>
      </c>
      <c r="K12319">
        <v>1066</v>
      </c>
      <c r="L12319" t="s">
        <v>23</v>
      </c>
      <c r="M12319" t="s">
        <v>26977</v>
      </c>
      <c r="N12319" t="s">
        <v>8280</v>
      </c>
      <c r="O12319" t="s">
        <v>1097</v>
      </c>
      <c r="P12319">
        <v>40513</v>
      </c>
      <c r="Q12319">
        <v>1066</v>
      </c>
      <c r="R12319" t="s">
        <v>23</v>
      </c>
      <c r="S12319" s="1" t="s">
        <v>34218</v>
      </c>
    </row>
    <row r="12320" spans="1:19" x14ac:dyDescent="0.25">
      <c r="A12320">
        <v>101289347</v>
      </c>
      <c r="B12320" t="s">
        <v>1685</v>
      </c>
      <c r="C12320" t="s">
        <v>35</v>
      </c>
      <c r="G12320" t="s">
        <v>26978</v>
      </c>
      <c r="H12320" t="s">
        <v>139</v>
      </c>
      <c r="I12320" t="s">
        <v>28</v>
      </c>
      <c r="J12320">
        <v>30114</v>
      </c>
      <c r="K12320">
        <v>8957</v>
      </c>
      <c r="L12320" t="s">
        <v>23</v>
      </c>
      <c r="M12320" t="s">
        <v>26978</v>
      </c>
      <c r="N12320" t="s">
        <v>139</v>
      </c>
      <c r="O12320" t="s">
        <v>28</v>
      </c>
      <c r="P12320">
        <v>30114</v>
      </c>
      <c r="Q12320">
        <v>8957</v>
      </c>
      <c r="R12320" t="s">
        <v>23</v>
      </c>
      <c r="S12320" s="1" t="s">
        <v>34218</v>
      </c>
    </row>
    <row r="12321" spans="1:19" x14ac:dyDescent="0.25">
      <c r="A12321">
        <v>101424255</v>
      </c>
      <c r="B12321" t="s">
        <v>26979</v>
      </c>
      <c r="C12321" t="s">
        <v>281</v>
      </c>
      <c r="G12321" t="s">
        <v>26980</v>
      </c>
      <c r="H12321" t="s">
        <v>88</v>
      </c>
      <c r="I12321" t="s">
        <v>22</v>
      </c>
      <c r="J12321">
        <v>94611</v>
      </c>
      <c r="K12321">
        <v>1151</v>
      </c>
      <c r="L12321" t="s">
        <v>23</v>
      </c>
      <c r="M12321" t="s">
        <v>26980</v>
      </c>
      <c r="N12321" t="s">
        <v>88</v>
      </c>
      <c r="O12321" t="s">
        <v>22</v>
      </c>
      <c r="P12321">
        <v>94611</v>
      </c>
      <c r="Q12321">
        <v>1151</v>
      </c>
      <c r="R12321" t="s">
        <v>23</v>
      </c>
      <c r="S12321" s="1" t="s">
        <v>34218</v>
      </c>
    </row>
    <row r="12322" spans="1:19" x14ac:dyDescent="0.25">
      <c r="A12322">
        <v>101423920</v>
      </c>
      <c r="B12322" t="s">
        <v>12141</v>
      </c>
      <c r="C12322" t="s">
        <v>26981</v>
      </c>
      <c r="G12322" t="s">
        <v>26982</v>
      </c>
      <c r="H12322" t="s">
        <v>12197</v>
      </c>
      <c r="I12322" t="s">
        <v>33</v>
      </c>
      <c r="J12322">
        <v>17109</v>
      </c>
      <c r="K12322">
        <v>4236</v>
      </c>
      <c r="L12322" t="s">
        <v>23</v>
      </c>
      <c r="M12322" t="s">
        <v>26982</v>
      </c>
      <c r="N12322" t="s">
        <v>12197</v>
      </c>
      <c r="O12322" t="s">
        <v>33</v>
      </c>
      <c r="P12322">
        <v>17109</v>
      </c>
      <c r="Q12322">
        <v>4236</v>
      </c>
      <c r="R12322" t="s">
        <v>23</v>
      </c>
      <c r="S12322" s="1" t="s">
        <v>34218</v>
      </c>
    </row>
    <row r="12323" spans="1:19" x14ac:dyDescent="0.25">
      <c r="A12323">
        <v>100715587</v>
      </c>
      <c r="B12323" t="s">
        <v>26983</v>
      </c>
      <c r="C12323" t="s">
        <v>25</v>
      </c>
      <c r="F12323" t="str">
        <f>"3172519357"</f>
        <v>3172519357</v>
      </c>
      <c r="G12323" t="s">
        <v>26984</v>
      </c>
      <c r="H12323" t="s">
        <v>7649</v>
      </c>
      <c r="I12323" t="s">
        <v>57</v>
      </c>
      <c r="J12323">
        <v>46228</v>
      </c>
      <c r="K12323">
        <v>2226</v>
      </c>
      <c r="L12323" t="s">
        <v>23</v>
      </c>
      <c r="M12323" t="s">
        <v>26984</v>
      </c>
      <c r="N12323" t="s">
        <v>7649</v>
      </c>
      <c r="O12323" t="s">
        <v>57</v>
      </c>
      <c r="P12323">
        <v>46228</v>
      </c>
      <c r="Q12323">
        <v>2226</v>
      </c>
      <c r="R12323" t="s">
        <v>23</v>
      </c>
      <c r="S12323" s="1" t="s">
        <v>34218</v>
      </c>
    </row>
    <row r="12324" spans="1:19" x14ac:dyDescent="0.25">
      <c r="A12324">
        <v>101430981</v>
      </c>
      <c r="B12324" t="s">
        <v>12229</v>
      </c>
      <c r="C12324" t="s">
        <v>1962</v>
      </c>
      <c r="G12324" t="s">
        <v>26985</v>
      </c>
      <c r="H12324" t="s">
        <v>1787</v>
      </c>
      <c r="I12324" t="s">
        <v>702</v>
      </c>
      <c r="J12324">
        <v>89156</v>
      </c>
      <c r="K12324">
        <v>5824</v>
      </c>
      <c r="L12324" t="s">
        <v>23</v>
      </c>
      <c r="M12324" t="s">
        <v>26985</v>
      </c>
      <c r="N12324" t="s">
        <v>1787</v>
      </c>
      <c r="O12324" t="s">
        <v>702</v>
      </c>
      <c r="P12324">
        <v>89156</v>
      </c>
      <c r="Q12324">
        <v>5824</v>
      </c>
      <c r="R12324" t="s">
        <v>23</v>
      </c>
      <c r="S12324" s="1" t="s">
        <v>34218</v>
      </c>
    </row>
    <row r="12325" spans="1:19" x14ac:dyDescent="0.25">
      <c r="A12325">
        <v>100898361</v>
      </c>
      <c r="B12325" t="s">
        <v>26986</v>
      </c>
      <c r="C12325" t="s">
        <v>209</v>
      </c>
      <c r="G12325" t="s">
        <v>26987</v>
      </c>
      <c r="H12325" t="s">
        <v>2974</v>
      </c>
      <c r="I12325" t="s">
        <v>187</v>
      </c>
      <c r="J12325">
        <v>56296</v>
      </c>
      <c r="K12325">
        <v>1647</v>
      </c>
      <c r="L12325" t="s">
        <v>23</v>
      </c>
      <c r="M12325" t="s">
        <v>26987</v>
      </c>
      <c r="N12325" t="s">
        <v>2974</v>
      </c>
      <c r="O12325" t="s">
        <v>187</v>
      </c>
      <c r="P12325">
        <v>56296</v>
      </c>
      <c r="Q12325">
        <v>1647</v>
      </c>
      <c r="R12325" t="s">
        <v>23</v>
      </c>
      <c r="S12325" s="1" t="s">
        <v>34218</v>
      </c>
    </row>
    <row r="12326" spans="1:19" x14ac:dyDescent="0.25">
      <c r="A12326">
        <v>101464679</v>
      </c>
      <c r="B12326" t="s">
        <v>23844</v>
      </c>
      <c r="C12326" t="s">
        <v>90</v>
      </c>
      <c r="G12326" t="s">
        <v>26988</v>
      </c>
      <c r="H12326" t="s">
        <v>408</v>
      </c>
      <c r="I12326" t="s">
        <v>57</v>
      </c>
      <c r="J12326">
        <v>46526</v>
      </c>
      <c r="K12326">
        <v>5619</v>
      </c>
      <c r="L12326" t="s">
        <v>23</v>
      </c>
      <c r="M12326" t="s">
        <v>26988</v>
      </c>
      <c r="N12326" t="s">
        <v>408</v>
      </c>
      <c r="O12326" t="s">
        <v>57</v>
      </c>
      <c r="P12326">
        <v>46526</v>
      </c>
      <c r="Q12326">
        <v>5619</v>
      </c>
      <c r="R12326" t="s">
        <v>23</v>
      </c>
      <c r="S12326" s="1" t="s">
        <v>34218</v>
      </c>
    </row>
    <row r="12327" spans="1:19" x14ac:dyDescent="0.25">
      <c r="A12327">
        <v>100874676</v>
      </c>
      <c r="B12327" t="s">
        <v>26989</v>
      </c>
      <c r="C12327" t="s">
        <v>959</v>
      </c>
      <c r="G12327" t="s">
        <v>26990</v>
      </c>
      <c r="H12327" t="s">
        <v>2367</v>
      </c>
      <c r="I12327" t="s">
        <v>117</v>
      </c>
      <c r="J12327">
        <v>13667</v>
      </c>
      <c r="L12327" t="s">
        <v>23</v>
      </c>
      <c r="M12327" t="s">
        <v>26990</v>
      </c>
      <c r="N12327" t="s">
        <v>2367</v>
      </c>
      <c r="O12327" t="s">
        <v>117</v>
      </c>
      <c r="P12327">
        <v>13667</v>
      </c>
      <c r="R12327" t="s">
        <v>23</v>
      </c>
      <c r="S12327" s="1" t="s">
        <v>34218</v>
      </c>
    </row>
    <row r="12328" spans="1:19" x14ac:dyDescent="0.25">
      <c r="A12328">
        <v>101295468</v>
      </c>
      <c r="B12328" t="s">
        <v>26991</v>
      </c>
      <c r="C12328" t="s">
        <v>3304</v>
      </c>
      <c r="G12328" t="s">
        <v>26992</v>
      </c>
      <c r="H12328" t="s">
        <v>11379</v>
      </c>
      <c r="I12328" t="s">
        <v>2566</v>
      </c>
      <c r="J12328">
        <v>99501</v>
      </c>
      <c r="K12328">
        <v>1131</v>
      </c>
      <c r="L12328" t="s">
        <v>23</v>
      </c>
      <c r="M12328" t="s">
        <v>26992</v>
      </c>
      <c r="N12328" t="s">
        <v>11379</v>
      </c>
      <c r="O12328" t="s">
        <v>2566</v>
      </c>
      <c r="P12328">
        <v>99501</v>
      </c>
      <c r="Q12328">
        <v>1131</v>
      </c>
      <c r="R12328" t="s">
        <v>23</v>
      </c>
      <c r="S12328" s="1" t="s">
        <v>34218</v>
      </c>
    </row>
    <row r="12329" spans="1:19" x14ac:dyDescent="0.25">
      <c r="A12329">
        <v>101464735</v>
      </c>
      <c r="B12329" t="s">
        <v>14584</v>
      </c>
      <c r="C12329" t="s">
        <v>26993</v>
      </c>
      <c r="G12329" t="s">
        <v>26994</v>
      </c>
      <c r="H12329" t="s">
        <v>9008</v>
      </c>
      <c r="I12329" t="s">
        <v>914</v>
      </c>
      <c r="J12329">
        <v>37174</v>
      </c>
      <c r="K12329">
        <v>2970</v>
      </c>
      <c r="L12329" t="s">
        <v>23</v>
      </c>
      <c r="M12329" t="s">
        <v>26994</v>
      </c>
      <c r="N12329" t="s">
        <v>9008</v>
      </c>
      <c r="O12329" t="s">
        <v>914</v>
      </c>
      <c r="P12329">
        <v>37174</v>
      </c>
      <c r="Q12329">
        <v>2970</v>
      </c>
      <c r="R12329" t="s">
        <v>23</v>
      </c>
      <c r="S12329" s="1" t="s">
        <v>34218</v>
      </c>
    </row>
    <row r="12330" spans="1:19" x14ac:dyDescent="0.25">
      <c r="A12330">
        <v>100559648</v>
      </c>
      <c r="B12330" t="s">
        <v>26995</v>
      </c>
      <c r="C12330" t="s">
        <v>6257</v>
      </c>
      <c r="G12330" t="s">
        <v>26996</v>
      </c>
      <c r="H12330" t="s">
        <v>272</v>
      </c>
      <c r="I12330" t="s">
        <v>236</v>
      </c>
      <c r="J12330">
        <v>2130</v>
      </c>
      <c r="L12330" t="s">
        <v>23</v>
      </c>
      <c r="M12330" t="s">
        <v>26996</v>
      </c>
      <c r="N12330" t="s">
        <v>272</v>
      </c>
      <c r="O12330" t="s">
        <v>236</v>
      </c>
      <c r="P12330">
        <v>2130</v>
      </c>
      <c r="R12330" t="s">
        <v>23</v>
      </c>
      <c r="S12330" s="1" t="s">
        <v>34218</v>
      </c>
    </row>
    <row r="12331" spans="1:19" x14ac:dyDescent="0.25">
      <c r="A12331">
        <v>100516075</v>
      </c>
      <c r="B12331" t="s">
        <v>2531</v>
      </c>
      <c r="C12331" t="s">
        <v>2497</v>
      </c>
      <c r="G12331" t="s">
        <v>26997</v>
      </c>
      <c r="H12331" t="s">
        <v>511</v>
      </c>
      <c r="I12331" t="s">
        <v>140</v>
      </c>
      <c r="J12331">
        <v>48133</v>
      </c>
      <c r="K12331">
        <v>9426</v>
      </c>
      <c r="L12331" t="s">
        <v>23</v>
      </c>
      <c r="M12331" t="s">
        <v>26997</v>
      </c>
      <c r="N12331" t="s">
        <v>511</v>
      </c>
      <c r="O12331" t="s">
        <v>140</v>
      </c>
      <c r="P12331">
        <v>48133</v>
      </c>
      <c r="Q12331">
        <v>9426</v>
      </c>
      <c r="R12331" t="s">
        <v>23</v>
      </c>
      <c r="S12331" s="1" t="s">
        <v>34218</v>
      </c>
    </row>
    <row r="12332" spans="1:19" x14ac:dyDescent="0.25">
      <c r="A12332">
        <v>101304950</v>
      </c>
      <c r="B12332" t="s">
        <v>26327</v>
      </c>
      <c r="C12332" t="s">
        <v>25646</v>
      </c>
      <c r="G12332" t="s">
        <v>26998</v>
      </c>
      <c r="H12332" t="s">
        <v>26999</v>
      </c>
      <c r="I12332" t="s">
        <v>1482</v>
      </c>
      <c r="J12332">
        <v>29575</v>
      </c>
      <c r="K12332">
        <v>3605</v>
      </c>
      <c r="L12332" t="s">
        <v>23</v>
      </c>
      <c r="M12332" t="s">
        <v>26998</v>
      </c>
      <c r="N12332" t="s">
        <v>26999</v>
      </c>
      <c r="O12332" t="s">
        <v>1482</v>
      </c>
      <c r="P12332">
        <v>29575</v>
      </c>
      <c r="Q12332">
        <v>3605</v>
      </c>
      <c r="R12332" t="s">
        <v>23</v>
      </c>
      <c r="S12332" s="1" t="s">
        <v>34218</v>
      </c>
    </row>
    <row r="12333" spans="1:19" x14ac:dyDescent="0.25">
      <c r="A12333">
        <v>101458095</v>
      </c>
      <c r="B12333" t="s">
        <v>27000</v>
      </c>
      <c r="C12333" t="s">
        <v>600</v>
      </c>
      <c r="G12333" t="s">
        <v>27001</v>
      </c>
      <c r="H12333" t="s">
        <v>2514</v>
      </c>
      <c r="I12333" t="s">
        <v>236</v>
      </c>
      <c r="J12333">
        <v>2108</v>
      </c>
      <c r="K12333">
        <v>2805</v>
      </c>
      <c r="L12333" t="s">
        <v>23</v>
      </c>
      <c r="M12333" t="s">
        <v>27001</v>
      </c>
      <c r="N12333" t="s">
        <v>2514</v>
      </c>
      <c r="O12333" t="s">
        <v>236</v>
      </c>
      <c r="P12333">
        <v>2108</v>
      </c>
      <c r="Q12333">
        <v>2805</v>
      </c>
      <c r="R12333" t="s">
        <v>23</v>
      </c>
      <c r="S12333" s="1" t="s">
        <v>34218</v>
      </c>
    </row>
    <row r="12334" spans="1:19" x14ac:dyDescent="0.25">
      <c r="A12334">
        <v>101422313</v>
      </c>
      <c r="B12334" t="s">
        <v>4562</v>
      </c>
      <c r="C12334" t="s">
        <v>1086</v>
      </c>
      <c r="G12334" t="s">
        <v>27002</v>
      </c>
      <c r="H12334" t="s">
        <v>1431</v>
      </c>
      <c r="I12334" t="s">
        <v>639</v>
      </c>
      <c r="J12334">
        <v>87508</v>
      </c>
      <c r="K12334">
        <v>8779</v>
      </c>
      <c r="L12334" t="s">
        <v>23</v>
      </c>
      <c r="M12334" t="s">
        <v>27002</v>
      </c>
      <c r="N12334" t="s">
        <v>1431</v>
      </c>
      <c r="O12334" t="s">
        <v>639</v>
      </c>
      <c r="P12334">
        <v>87508</v>
      </c>
      <c r="Q12334">
        <v>8779</v>
      </c>
      <c r="R12334" t="s">
        <v>23</v>
      </c>
      <c r="S12334" s="1" t="s">
        <v>34218</v>
      </c>
    </row>
    <row r="12335" spans="1:19" x14ac:dyDescent="0.25">
      <c r="A12335">
        <v>101228963</v>
      </c>
      <c r="B12335" t="s">
        <v>1800</v>
      </c>
      <c r="C12335" t="s">
        <v>90</v>
      </c>
      <c r="G12335" t="s">
        <v>27003</v>
      </c>
      <c r="H12335" t="s">
        <v>1452</v>
      </c>
      <c r="I12335" t="s">
        <v>43</v>
      </c>
      <c r="J12335">
        <v>97405</v>
      </c>
      <c r="K12335">
        <v>1121</v>
      </c>
      <c r="L12335" t="s">
        <v>23</v>
      </c>
      <c r="M12335" t="s">
        <v>27003</v>
      </c>
      <c r="N12335" t="s">
        <v>1452</v>
      </c>
      <c r="O12335" t="s">
        <v>43</v>
      </c>
      <c r="P12335">
        <v>97405</v>
      </c>
      <c r="Q12335">
        <v>1121</v>
      </c>
      <c r="R12335" t="s">
        <v>23</v>
      </c>
      <c r="S12335" s="1" t="s">
        <v>34218</v>
      </c>
    </row>
    <row r="12336" spans="1:19" x14ac:dyDescent="0.25">
      <c r="A12336">
        <v>101157978</v>
      </c>
      <c r="B12336" t="s">
        <v>1831</v>
      </c>
      <c r="C12336" t="s">
        <v>3670</v>
      </c>
      <c r="G12336" t="s">
        <v>27004</v>
      </c>
      <c r="H12336" t="s">
        <v>7579</v>
      </c>
      <c r="I12336" t="s">
        <v>43</v>
      </c>
      <c r="J12336">
        <v>97224</v>
      </c>
      <c r="K12336">
        <v>4339</v>
      </c>
      <c r="L12336" t="s">
        <v>23</v>
      </c>
      <c r="M12336" t="s">
        <v>27004</v>
      </c>
      <c r="N12336" t="s">
        <v>7579</v>
      </c>
      <c r="O12336" t="s">
        <v>43</v>
      </c>
      <c r="P12336">
        <v>97224</v>
      </c>
      <c r="Q12336">
        <v>4339</v>
      </c>
      <c r="R12336" t="s">
        <v>23</v>
      </c>
      <c r="S12336" s="1" t="s">
        <v>34218</v>
      </c>
    </row>
    <row r="12337" spans="1:19" x14ac:dyDescent="0.25">
      <c r="A12337">
        <v>101464957</v>
      </c>
      <c r="B12337" t="s">
        <v>27005</v>
      </c>
      <c r="C12337" t="s">
        <v>27006</v>
      </c>
      <c r="G12337" t="s">
        <v>27007</v>
      </c>
      <c r="H12337" t="s">
        <v>227</v>
      </c>
      <c r="I12337" t="s">
        <v>43</v>
      </c>
      <c r="J12337">
        <v>97236</v>
      </c>
      <c r="K12337">
        <v>4577</v>
      </c>
      <c r="L12337" t="s">
        <v>23</v>
      </c>
      <c r="M12337" t="s">
        <v>27007</v>
      </c>
      <c r="N12337" t="s">
        <v>227</v>
      </c>
      <c r="O12337" t="s">
        <v>43</v>
      </c>
      <c r="P12337">
        <v>97236</v>
      </c>
      <c r="Q12337">
        <v>4577</v>
      </c>
      <c r="R12337" t="s">
        <v>23</v>
      </c>
      <c r="S12337" s="1" t="s">
        <v>34218</v>
      </c>
    </row>
    <row r="12338" spans="1:19" x14ac:dyDescent="0.25">
      <c r="A12338">
        <v>101378892</v>
      </c>
      <c r="B12338" t="s">
        <v>27008</v>
      </c>
      <c r="C12338" t="s">
        <v>1212</v>
      </c>
      <c r="G12338" t="s">
        <v>27009</v>
      </c>
      <c r="H12338" t="s">
        <v>653</v>
      </c>
      <c r="I12338" t="s">
        <v>117</v>
      </c>
      <c r="J12338">
        <v>10128</v>
      </c>
      <c r="K12338">
        <v>3126</v>
      </c>
      <c r="L12338" t="s">
        <v>23</v>
      </c>
      <c r="M12338" t="s">
        <v>27009</v>
      </c>
      <c r="N12338" t="s">
        <v>653</v>
      </c>
      <c r="O12338" t="s">
        <v>117</v>
      </c>
      <c r="P12338">
        <v>10128</v>
      </c>
      <c r="Q12338">
        <v>3126</v>
      </c>
      <c r="R12338" t="s">
        <v>23</v>
      </c>
      <c r="S12338" s="1" t="s">
        <v>34218</v>
      </c>
    </row>
    <row r="12339" spans="1:19" x14ac:dyDescent="0.25">
      <c r="A12339">
        <v>100961033</v>
      </c>
      <c r="B12339" t="s">
        <v>5783</v>
      </c>
      <c r="C12339" t="s">
        <v>3609</v>
      </c>
      <c r="G12339">
        <v>5</v>
      </c>
      <c r="H12339" t="s">
        <v>19494</v>
      </c>
      <c r="I12339" t="s">
        <v>57</v>
      </c>
      <c r="J12339">
        <v>46383</v>
      </c>
      <c r="L12339" t="s">
        <v>23</v>
      </c>
      <c r="M12339">
        <v>5</v>
      </c>
      <c r="N12339" t="s">
        <v>19494</v>
      </c>
      <c r="O12339" t="s">
        <v>57</v>
      </c>
      <c r="P12339">
        <v>46383</v>
      </c>
      <c r="R12339" t="s">
        <v>23</v>
      </c>
      <c r="S12339" s="1" t="s">
        <v>34218</v>
      </c>
    </row>
    <row r="12340" spans="1:19" x14ac:dyDescent="0.25">
      <c r="A12340">
        <v>101447407</v>
      </c>
      <c r="B12340" t="s">
        <v>27010</v>
      </c>
      <c r="C12340" t="s">
        <v>1398</v>
      </c>
      <c r="G12340" t="s">
        <v>27011</v>
      </c>
      <c r="H12340" t="s">
        <v>8485</v>
      </c>
      <c r="I12340" t="s">
        <v>250</v>
      </c>
      <c r="J12340">
        <v>7974</v>
      </c>
      <c r="K12340">
        <v>2931</v>
      </c>
      <c r="L12340" t="s">
        <v>23</v>
      </c>
      <c r="M12340" t="s">
        <v>27011</v>
      </c>
      <c r="N12340" t="s">
        <v>8485</v>
      </c>
      <c r="O12340" t="s">
        <v>250</v>
      </c>
      <c r="P12340">
        <v>7974</v>
      </c>
      <c r="Q12340">
        <v>2931</v>
      </c>
      <c r="R12340" t="s">
        <v>23</v>
      </c>
      <c r="S12340" s="1" t="s">
        <v>34218</v>
      </c>
    </row>
    <row r="12341" spans="1:19" x14ac:dyDescent="0.25">
      <c r="A12341">
        <v>101472689</v>
      </c>
      <c r="B12341" t="s">
        <v>27012</v>
      </c>
      <c r="C12341" t="s">
        <v>102</v>
      </c>
      <c r="G12341" t="s">
        <v>27013</v>
      </c>
      <c r="H12341" t="s">
        <v>6922</v>
      </c>
      <c r="I12341" t="s">
        <v>28</v>
      </c>
      <c r="J12341">
        <v>30093</v>
      </c>
      <c r="K12341">
        <v>5025</v>
      </c>
      <c r="L12341" t="s">
        <v>23</v>
      </c>
      <c r="M12341" t="s">
        <v>27013</v>
      </c>
      <c r="N12341" t="s">
        <v>6922</v>
      </c>
      <c r="O12341" t="s">
        <v>28</v>
      </c>
      <c r="P12341">
        <v>30093</v>
      </c>
      <c r="Q12341">
        <v>5025</v>
      </c>
      <c r="R12341" t="s">
        <v>23</v>
      </c>
      <c r="S12341" s="1" t="s">
        <v>34218</v>
      </c>
    </row>
    <row r="12342" spans="1:19" x14ac:dyDescent="0.25">
      <c r="A12342">
        <v>101206724</v>
      </c>
      <c r="B12342" t="s">
        <v>25661</v>
      </c>
      <c r="C12342" t="s">
        <v>281</v>
      </c>
      <c r="G12342" t="s">
        <v>27014</v>
      </c>
      <c r="H12342" t="s">
        <v>27015</v>
      </c>
      <c r="I12342" t="s">
        <v>250</v>
      </c>
      <c r="J12342">
        <v>8859</v>
      </c>
      <c r="K12342">
        <v>1525</v>
      </c>
      <c r="L12342" t="s">
        <v>23</v>
      </c>
      <c r="M12342" t="s">
        <v>27014</v>
      </c>
      <c r="N12342" t="s">
        <v>27015</v>
      </c>
      <c r="O12342" t="s">
        <v>250</v>
      </c>
      <c r="P12342">
        <v>8859</v>
      </c>
      <c r="Q12342">
        <v>1525</v>
      </c>
      <c r="R12342" t="s">
        <v>23</v>
      </c>
      <c r="S12342" s="1" t="s">
        <v>34218</v>
      </c>
    </row>
    <row r="12343" spans="1:19" x14ac:dyDescent="0.25">
      <c r="A12343">
        <v>101472712</v>
      </c>
      <c r="B12343" t="s">
        <v>27016</v>
      </c>
      <c r="C12343" t="s">
        <v>1309</v>
      </c>
      <c r="G12343" t="s">
        <v>27017</v>
      </c>
      <c r="H12343" t="s">
        <v>227</v>
      </c>
      <c r="I12343" t="s">
        <v>43</v>
      </c>
      <c r="J12343">
        <v>97266</v>
      </c>
      <c r="K12343">
        <v>2177</v>
      </c>
      <c r="L12343" t="s">
        <v>23</v>
      </c>
      <c r="M12343" t="s">
        <v>27017</v>
      </c>
      <c r="N12343" t="s">
        <v>227</v>
      </c>
      <c r="O12343" t="s">
        <v>43</v>
      </c>
      <c r="P12343">
        <v>97266</v>
      </c>
      <c r="Q12343">
        <v>2177</v>
      </c>
      <c r="R12343" t="s">
        <v>23</v>
      </c>
      <c r="S12343" s="1" t="s">
        <v>34218</v>
      </c>
    </row>
    <row r="12344" spans="1:19" x14ac:dyDescent="0.25">
      <c r="A12344">
        <v>101472713</v>
      </c>
      <c r="B12344" t="s">
        <v>1</v>
      </c>
      <c r="C12344" t="s">
        <v>2</v>
      </c>
      <c r="G12344" t="s">
        <v>27018</v>
      </c>
      <c r="H12344" t="s">
        <v>1765</v>
      </c>
      <c r="I12344" t="s">
        <v>84</v>
      </c>
      <c r="J12344">
        <v>98502</v>
      </c>
      <c r="K12344">
        <v>4539</v>
      </c>
      <c r="L12344" t="s">
        <v>23</v>
      </c>
      <c r="M12344" t="s">
        <v>27018</v>
      </c>
      <c r="N12344" t="s">
        <v>1765</v>
      </c>
      <c r="O12344" t="s">
        <v>84</v>
      </c>
      <c r="P12344">
        <v>98502</v>
      </c>
      <c r="Q12344">
        <v>4539</v>
      </c>
      <c r="R12344" t="s">
        <v>23</v>
      </c>
      <c r="S12344" s="1" t="s">
        <v>34218</v>
      </c>
    </row>
    <row r="12345" spans="1:19" x14ac:dyDescent="0.25">
      <c r="A12345">
        <v>101468698</v>
      </c>
      <c r="B12345" t="s">
        <v>27019</v>
      </c>
      <c r="C12345" t="s">
        <v>119</v>
      </c>
      <c r="G12345" t="s">
        <v>27020</v>
      </c>
      <c r="H12345" t="s">
        <v>2020</v>
      </c>
      <c r="I12345" t="s">
        <v>100</v>
      </c>
      <c r="J12345">
        <v>54915</v>
      </c>
      <c r="K12345">
        <v>5848</v>
      </c>
      <c r="L12345" t="s">
        <v>23</v>
      </c>
      <c r="M12345" t="s">
        <v>27020</v>
      </c>
      <c r="N12345" t="s">
        <v>2020</v>
      </c>
      <c r="O12345" t="s">
        <v>100</v>
      </c>
      <c r="P12345">
        <v>54915</v>
      </c>
      <c r="Q12345">
        <v>5848</v>
      </c>
      <c r="R12345" t="s">
        <v>23</v>
      </c>
      <c r="S12345" s="1" t="s">
        <v>34218</v>
      </c>
    </row>
    <row r="12346" spans="1:19" x14ac:dyDescent="0.25">
      <c r="A12346">
        <v>101386748</v>
      </c>
      <c r="B12346" t="s">
        <v>27021</v>
      </c>
      <c r="C12346" t="s">
        <v>27022</v>
      </c>
      <c r="G12346" t="s">
        <v>27023</v>
      </c>
      <c r="H12346" t="s">
        <v>2393</v>
      </c>
      <c r="I12346" t="s">
        <v>22</v>
      </c>
      <c r="J12346">
        <v>95991</v>
      </c>
      <c r="K12346">
        <v>8240</v>
      </c>
      <c r="L12346" t="s">
        <v>23</v>
      </c>
      <c r="M12346" t="s">
        <v>27023</v>
      </c>
      <c r="N12346" t="s">
        <v>2393</v>
      </c>
      <c r="O12346" t="s">
        <v>22</v>
      </c>
      <c r="P12346">
        <v>95991</v>
      </c>
      <c r="Q12346">
        <v>8240</v>
      </c>
      <c r="R12346" t="s">
        <v>23</v>
      </c>
      <c r="S12346" s="1" t="s">
        <v>34218</v>
      </c>
    </row>
    <row r="12347" spans="1:19" x14ac:dyDescent="0.25">
      <c r="A12347">
        <v>101468222</v>
      </c>
      <c r="B12347" t="s">
        <v>15283</v>
      </c>
      <c r="C12347" t="s">
        <v>2159</v>
      </c>
      <c r="G12347" t="s">
        <v>27024</v>
      </c>
      <c r="H12347" t="s">
        <v>746</v>
      </c>
      <c r="I12347" t="s">
        <v>250</v>
      </c>
      <c r="J12347">
        <v>7081</v>
      </c>
      <c r="K12347">
        <v>1403</v>
      </c>
      <c r="L12347" t="s">
        <v>23</v>
      </c>
      <c r="M12347" t="s">
        <v>27024</v>
      </c>
      <c r="N12347" t="s">
        <v>746</v>
      </c>
      <c r="O12347" t="s">
        <v>250</v>
      </c>
      <c r="P12347">
        <v>7081</v>
      </c>
      <c r="Q12347">
        <v>1403</v>
      </c>
      <c r="R12347" t="s">
        <v>23</v>
      </c>
      <c r="S12347" s="1" t="s">
        <v>34218</v>
      </c>
    </row>
    <row r="12348" spans="1:19" x14ac:dyDescent="0.25">
      <c r="A12348">
        <v>101467311</v>
      </c>
      <c r="B12348" t="s">
        <v>27025</v>
      </c>
      <c r="C12348" t="s">
        <v>11558</v>
      </c>
      <c r="G12348" t="s">
        <v>27026</v>
      </c>
      <c r="H12348" t="s">
        <v>855</v>
      </c>
      <c r="I12348" t="s">
        <v>84</v>
      </c>
      <c r="J12348">
        <v>98368</v>
      </c>
      <c r="K12348">
        <v>4434</v>
      </c>
      <c r="L12348" t="s">
        <v>23</v>
      </c>
      <c r="M12348" t="s">
        <v>27026</v>
      </c>
      <c r="N12348" t="s">
        <v>855</v>
      </c>
      <c r="O12348" t="s">
        <v>84</v>
      </c>
      <c r="P12348">
        <v>98368</v>
      </c>
      <c r="Q12348">
        <v>4434</v>
      </c>
      <c r="R12348" t="s">
        <v>23</v>
      </c>
      <c r="S12348" s="1" t="s">
        <v>34218</v>
      </c>
    </row>
    <row r="12349" spans="1:19" x14ac:dyDescent="0.25">
      <c r="A12349">
        <v>101025754</v>
      </c>
      <c r="B12349" t="s">
        <v>3921</v>
      </c>
      <c r="C12349" t="s">
        <v>509</v>
      </c>
      <c r="G12349" t="s">
        <v>27027</v>
      </c>
      <c r="H12349" t="s">
        <v>27028</v>
      </c>
      <c r="I12349" t="s">
        <v>191</v>
      </c>
      <c r="J12349">
        <v>4556</v>
      </c>
      <c r="K12349">
        <v>3220</v>
      </c>
      <c r="L12349" t="s">
        <v>23</v>
      </c>
      <c r="M12349" t="s">
        <v>27027</v>
      </c>
      <c r="N12349" t="s">
        <v>27028</v>
      </c>
      <c r="O12349" t="s">
        <v>191</v>
      </c>
      <c r="P12349">
        <v>4556</v>
      </c>
      <c r="Q12349">
        <v>3220</v>
      </c>
      <c r="R12349" t="s">
        <v>23</v>
      </c>
      <c r="S12349" s="1" t="s">
        <v>34218</v>
      </c>
    </row>
    <row r="12350" spans="1:19" x14ac:dyDescent="0.25">
      <c r="A12350">
        <v>100792086</v>
      </c>
      <c r="B12350" t="s">
        <v>27029</v>
      </c>
      <c r="C12350" t="s">
        <v>40</v>
      </c>
      <c r="G12350" t="s">
        <v>27030</v>
      </c>
      <c r="H12350" t="s">
        <v>25134</v>
      </c>
      <c r="I12350" t="s">
        <v>126</v>
      </c>
      <c r="J12350">
        <v>64506</v>
      </c>
      <c r="K12350">
        <v>2215</v>
      </c>
      <c r="L12350" t="s">
        <v>23</v>
      </c>
      <c r="M12350" t="s">
        <v>27030</v>
      </c>
      <c r="N12350" t="s">
        <v>25134</v>
      </c>
      <c r="O12350" t="s">
        <v>126</v>
      </c>
      <c r="P12350">
        <v>64506</v>
      </c>
      <c r="Q12350">
        <v>2215</v>
      </c>
      <c r="R12350" t="s">
        <v>23</v>
      </c>
      <c r="S12350" s="1" t="s">
        <v>34218</v>
      </c>
    </row>
    <row r="12351" spans="1:19" x14ac:dyDescent="0.25">
      <c r="A12351">
        <v>101466445</v>
      </c>
      <c r="B12351" t="s">
        <v>12251</v>
      </c>
      <c r="C12351" t="s">
        <v>1141</v>
      </c>
      <c r="G12351" t="s">
        <v>27031</v>
      </c>
      <c r="H12351" t="s">
        <v>653</v>
      </c>
      <c r="I12351" t="s">
        <v>117</v>
      </c>
      <c r="J12351">
        <v>10002</v>
      </c>
      <c r="K12351">
        <v>5670</v>
      </c>
      <c r="L12351" t="s">
        <v>23</v>
      </c>
      <c r="M12351" t="s">
        <v>27031</v>
      </c>
      <c r="N12351" t="s">
        <v>653</v>
      </c>
      <c r="O12351" t="s">
        <v>117</v>
      </c>
      <c r="P12351">
        <v>10002</v>
      </c>
      <c r="Q12351">
        <v>5670</v>
      </c>
      <c r="R12351" t="s">
        <v>23</v>
      </c>
      <c r="S12351" s="1" t="s">
        <v>34218</v>
      </c>
    </row>
    <row r="12352" spans="1:19" x14ac:dyDescent="0.25">
      <c r="A12352">
        <v>100857599</v>
      </c>
      <c r="B12352" t="s">
        <v>27032</v>
      </c>
      <c r="C12352" t="s">
        <v>274</v>
      </c>
      <c r="G12352" t="s">
        <v>27033</v>
      </c>
      <c r="H12352" t="s">
        <v>2878</v>
      </c>
      <c r="I12352" t="s">
        <v>161</v>
      </c>
      <c r="J12352">
        <v>6798</v>
      </c>
      <c r="K12352">
        <v>2129</v>
      </c>
      <c r="L12352" t="s">
        <v>23</v>
      </c>
      <c r="M12352" t="s">
        <v>27033</v>
      </c>
      <c r="N12352" t="s">
        <v>2878</v>
      </c>
      <c r="O12352" t="s">
        <v>161</v>
      </c>
      <c r="P12352">
        <v>6798</v>
      </c>
      <c r="Q12352">
        <v>2129</v>
      </c>
      <c r="R12352" t="s">
        <v>23</v>
      </c>
      <c r="S12352" s="1" t="s">
        <v>34218</v>
      </c>
    </row>
    <row r="12353" spans="1:19" x14ac:dyDescent="0.25">
      <c r="A12353">
        <v>101427133</v>
      </c>
      <c r="B12353" t="s">
        <v>27034</v>
      </c>
      <c r="C12353" t="s">
        <v>27035</v>
      </c>
      <c r="G12353" t="s">
        <v>27036</v>
      </c>
      <c r="H12353" t="s">
        <v>7039</v>
      </c>
      <c r="I12353" t="s">
        <v>236</v>
      </c>
      <c r="J12353">
        <v>1028</v>
      </c>
      <c r="K12353">
        <v>1416</v>
      </c>
      <c r="L12353" t="s">
        <v>23</v>
      </c>
      <c r="M12353" t="s">
        <v>27036</v>
      </c>
      <c r="N12353" t="s">
        <v>7039</v>
      </c>
      <c r="O12353" t="s">
        <v>236</v>
      </c>
      <c r="P12353">
        <v>1028</v>
      </c>
      <c r="Q12353">
        <v>1416</v>
      </c>
      <c r="R12353" t="s">
        <v>23</v>
      </c>
      <c r="S12353" s="1" t="s">
        <v>34218</v>
      </c>
    </row>
    <row r="12354" spans="1:19" x14ac:dyDescent="0.25">
      <c r="A12354">
        <v>101318228</v>
      </c>
      <c r="B12354" t="s">
        <v>27037</v>
      </c>
      <c r="C12354" t="s">
        <v>59</v>
      </c>
      <c r="G12354" t="s">
        <v>27038</v>
      </c>
      <c r="H12354" t="s">
        <v>1421</v>
      </c>
      <c r="I12354" t="s">
        <v>22</v>
      </c>
      <c r="J12354">
        <v>92014</v>
      </c>
      <c r="K12354">
        <v>1135</v>
      </c>
      <c r="L12354" t="s">
        <v>23</v>
      </c>
      <c r="M12354" t="s">
        <v>27038</v>
      </c>
      <c r="N12354" t="s">
        <v>1421</v>
      </c>
      <c r="O12354" t="s">
        <v>22</v>
      </c>
      <c r="P12354">
        <v>92014</v>
      </c>
      <c r="Q12354">
        <v>1135</v>
      </c>
      <c r="R12354" t="s">
        <v>23</v>
      </c>
      <c r="S12354" s="1" t="s">
        <v>34218</v>
      </c>
    </row>
    <row r="12355" spans="1:19" x14ac:dyDescent="0.25">
      <c r="A12355">
        <v>101264122</v>
      </c>
      <c r="B12355" t="s">
        <v>880</v>
      </c>
      <c r="C12355" t="s">
        <v>1793</v>
      </c>
      <c r="G12355" t="s">
        <v>27039</v>
      </c>
      <c r="H12355" t="s">
        <v>7111</v>
      </c>
      <c r="I12355" t="s">
        <v>52</v>
      </c>
      <c r="J12355">
        <v>32025</v>
      </c>
      <c r="L12355" t="s">
        <v>23</v>
      </c>
      <c r="M12355" t="s">
        <v>27039</v>
      </c>
      <c r="N12355" t="s">
        <v>7111</v>
      </c>
      <c r="O12355" t="s">
        <v>52</v>
      </c>
      <c r="P12355">
        <v>32025</v>
      </c>
      <c r="R12355" t="s">
        <v>23</v>
      </c>
      <c r="S12355" s="1" t="s">
        <v>34218</v>
      </c>
    </row>
    <row r="12356" spans="1:19" x14ac:dyDescent="0.25">
      <c r="A12356">
        <v>101480652</v>
      </c>
      <c r="B12356" t="s">
        <v>27040</v>
      </c>
      <c r="C12356" t="s">
        <v>180</v>
      </c>
      <c r="G12356" t="s">
        <v>27041</v>
      </c>
      <c r="H12356" t="s">
        <v>147</v>
      </c>
      <c r="I12356" t="s">
        <v>22</v>
      </c>
      <c r="J12356">
        <v>91104</v>
      </c>
      <c r="K12356">
        <v>1813</v>
      </c>
      <c r="L12356" t="s">
        <v>23</v>
      </c>
      <c r="M12356" t="s">
        <v>27041</v>
      </c>
      <c r="N12356" t="s">
        <v>147</v>
      </c>
      <c r="O12356" t="s">
        <v>22</v>
      </c>
      <c r="P12356">
        <v>91104</v>
      </c>
      <c r="Q12356">
        <v>1813</v>
      </c>
      <c r="R12356" t="s">
        <v>23</v>
      </c>
      <c r="S12356" s="1" t="s">
        <v>34218</v>
      </c>
    </row>
    <row r="12357" spans="1:19" x14ac:dyDescent="0.25">
      <c r="A12357">
        <v>101450198</v>
      </c>
      <c r="B12357" t="s">
        <v>27042</v>
      </c>
      <c r="C12357" t="s">
        <v>4299</v>
      </c>
      <c r="G12357" t="s">
        <v>27043</v>
      </c>
      <c r="H12357" t="s">
        <v>398</v>
      </c>
      <c r="I12357" t="s">
        <v>33</v>
      </c>
      <c r="J12357">
        <v>15801</v>
      </c>
      <c r="K12357">
        <v>9052</v>
      </c>
      <c r="L12357" t="s">
        <v>23</v>
      </c>
      <c r="M12357" t="s">
        <v>27043</v>
      </c>
      <c r="N12357" t="s">
        <v>398</v>
      </c>
      <c r="O12357" t="s">
        <v>33</v>
      </c>
      <c r="P12357">
        <v>15801</v>
      </c>
      <c r="Q12357">
        <v>9052</v>
      </c>
      <c r="R12357" t="s">
        <v>23</v>
      </c>
      <c r="S12357" s="1" t="s">
        <v>34218</v>
      </c>
    </row>
    <row r="12358" spans="1:19" x14ac:dyDescent="0.25">
      <c r="A12358">
        <v>101258451</v>
      </c>
      <c r="B12358" t="s">
        <v>27044</v>
      </c>
      <c r="C12358" t="s">
        <v>3954</v>
      </c>
      <c r="G12358" t="s">
        <v>27045</v>
      </c>
      <c r="H12358" t="s">
        <v>27046</v>
      </c>
      <c r="I12358" t="s">
        <v>1097</v>
      </c>
      <c r="J12358">
        <v>42001</v>
      </c>
      <c r="K12358">
        <v>4361</v>
      </c>
      <c r="L12358" t="s">
        <v>23</v>
      </c>
      <c r="M12358" t="s">
        <v>27045</v>
      </c>
      <c r="N12358" t="s">
        <v>27046</v>
      </c>
      <c r="O12358" t="s">
        <v>1097</v>
      </c>
      <c r="P12358">
        <v>42001</v>
      </c>
      <c r="Q12358">
        <v>4361</v>
      </c>
      <c r="R12358" t="s">
        <v>23</v>
      </c>
      <c r="S12358" s="1" t="s">
        <v>34218</v>
      </c>
    </row>
    <row r="12359" spans="1:19" x14ac:dyDescent="0.25">
      <c r="A12359">
        <v>101450456</v>
      </c>
      <c r="B12359" t="s">
        <v>3089</v>
      </c>
      <c r="C12359" t="s">
        <v>68</v>
      </c>
      <c r="G12359" t="s">
        <v>27047</v>
      </c>
      <c r="H12359" t="s">
        <v>7093</v>
      </c>
      <c r="I12359" t="s">
        <v>126</v>
      </c>
      <c r="J12359">
        <v>63010</v>
      </c>
      <c r="K12359">
        <v>2942</v>
      </c>
      <c r="L12359" t="s">
        <v>23</v>
      </c>
      <c r="M12359" t="s">
        <v>27047</v>
      </c>
      <c r="N12359" t="s">
        <v>7093</v>
      </c>
      <c r="O12359" t="s">
        <v>126</v>
      </c>
      <c r="P12359">
        <v>63010</v>
      </c>
      <c r="Q12359">
        <v>2942</v>
      </c>
      <c r="R12359" t="s">
        <v>23</v>
      </c>
      <c r="S12359" s="1" t="s">
        <v>34218</v>
      </c>
    </row>
    <row r="12360" spans="1:19" x14ac:dyDescent="0.25">
      <c r="A12360">
        <v>101418644</v>
      </c>
      <c r="B12360" t="s">
        <v>27048</v>
      </c>
      <c r="C12360" t="s">
        <v>3254</v>
      </c>
      <c r="G12360" t="s">
        <v>27049</v>
      </c>
      <c r="H12360" t="s">
        <v>88</v>
      </c>
      <c r="I12360" t="s">
        <v>22</v>
      </c>
      <c r="J12360">
        <v>94611</v>
      </c>
      <c r="K12360">
        <v>398</v>
      </c>
      <c r="L12360" t="s">
        <v>23</v>
      </c>
      <c r="M12360" t="s">
        <v>27049</v>
      </c>
      <c r="N12360" t="s">
        <v>88</v>
      </c>
      <c r="O12360" t="s">
        <v>22</v>
      </c>
      <c r="P12360">
        <v>94611</v>
      </c>
      <c r="Q12360">
        <v>398</v>
      </c>
      <c r="R12360" t="s">
        <v>23</v>
      </c>
      <c r="S12360" s="1" t="s">
        <v>34218</v>
      </c>
    </row>
    <row r="12361" spans="1:19" x14ac:dyDescent="0.25">
      <c r="A12361">
        <v>101453433</v>
      </c>
      <c r="B12361" t="s">
        <v>9077</v>
      </c>
      <c r="C12361" t="s">
        <v>1223</v>
      </c>
      <c r="G12361" t="s">
        <v>27050</v>
      </c>
      <c r="H12361" t="s">
        <v>4400</v>
      </c>
      <c r="I12361" t="s">
        <v>117</v>
      </c>
      <c r="J12361">
        <v>10701</v>
      </c>
      <c r="K12361">
        <v>2414</v>
      </c>
      <c r="L12361" t="s">
        <v>23</v>
      </c>
      <c r="M12361" t="s">
        <v>27050</v>
      </c>
      <c r="N12361" t="s">
        <v>4400</v>
      </c>
      <c r="O12361" t="s">
        <v>117</v>
      </c>
      <c r="P12361">
        <v>10701</v>
      </c>
      <c r="Q12361">
        <v>2414</v>
      </c>
      <c r="R12361" t="s">
        <v>23</v>
      </c>
      <c r="S12361" s="1" t="s">
        <v>34218</v>
      </c>
    </row>
    <row r="12362" spans="1:19" x14ac:dyDescent="0.25">
      <c r="A12362">
        <v>100570050</v>
      </c>
      <c r="B12362" t="s">
        <v>276</v>
      </c>
      <c r="C12362" t="s">
        <v>27051</v>
      </c>
      <c r="G12362" t="s">
        <v>27052</v>
      </c>
      <c r="H12362" t="s">
        <v>7447</v>
      </c>
      <c r="I12362" t="s">
        <v>22</v>
      </c>
      <c r="J12362">
        <v>95982</v>
      </c>
      <c r="K12362">
        <v>2310</v>
      </c>
      <c r="L12362" t="s">
        <v>23</v>
      </c>
      <c r="M12362" t="s">
        <v>27052</v>
      </c>
      <c r="N12362" t="s">
        <v>7447</v>
      </c>
      <c r="O12362" t="s">
        <v>22</v>
      </c>
      <c r="P12362">
        <v>95982</v>
      </c>
      <c r="Q12362">
        <v>2310</v>
      </c>
      <c r="R12362" t="s">
        <v>23</v>
      </c>
      <c r="S12362" s="1" t="s">
        <v>34218</v>
      </c>
    </row>
    <row r="12363" spans="1:19" x14ac:dyDescent="0.25">
      <c r="A12363">
        <v>101480659</v>
      </c>
      <c r="B12363" t="s">
        <v>27053</v>
      </c>
      <c r="C12363" t="s">
        <v>8144</v>
      </c>
      <c r="G12363" t="s">
        <v>27054</v>
      </c>
      <c r="H12363" t="s">
        <v>423</v>
      </c>
      <c r="I12363" t="s">
        <v>71</v>
      </c>
      <c r="J12363">
        <v>80304</v>
      </c>
      <c r="K12363">
        <v>999</v>
      </c>
      <c r="L12363" t="s">
        <v>23</v>
      </c>
      <c r="M12363" t="s">
        <v>27054</v>
      </c>
      <c r="N12363" t="s">
        <v>423</v>
      </c>
      <c r="O12363" t="s">
        <v>71</v>
      </c>
      <c r="P12363">
        <v>80304</v>
      </c>
      <c r="Q12363">
        <v>999</v>
      </c>
      <c r="R12363" t="s">
        <v>23</v>
      </c>
      <c r="S12363" s="1" t="s">
        <v>34218</v>
      </c>
    </row>
    <row r="12364" spans="1:19" x14ac:dyDescent="0.25">
      <c r="A12364">
        <v>101105228</v>
      </c>
      <c r="B12364" t="s">
        <v>10951</v>
      </c>
      <c r="C12364" t="s">
        <v>19299</v>
      </c>
      <c r="G12364" t="s">
        <v>27055</v>
      </c>
      <c r="H12364" t="s">
        <v>602</v>
      </c>
      <c r="I12364" t="s">
        <v>71</v>
      </c>
      <c r="J12364">
        <v>80234</v>
      </c>
      <c r="K12364">
        <v>1043</v>
      </c>
      <c r="L12364" t="s">
        <v>23</v>
      </c>
      <c r="M12364" t="s">
        <v>27055</v>
      </c>
      <c r="N12364" t="s">
        <v>602</v>
      </c>
      <c r="O12364" t="s">
        <v>71</v>
      </c>
      <c r="P12364">
        <v>80234</v>
      </c>
      <c r="Q12364">
        <v>1043</v>
      </c>
      <c r="R12364" t="s">
        <v>23</v>
      </c>
      <c r="S12364" s="1" t="s">
        <v>34218</v>
      </c>
    </row>
    <row r="12365" spans="1:19" x14ac:dyDescent="0.25">
      <c r="A12365">
        <v>101480663</v>
      </c>
      <c r="B12365" t="s">
        <v>27056</v>
      </c>
      <c r="C12365" t="s">
        <v>27057</v>
      </c>
      <c r="G12365" t="s">
        <v>27058</v>
      </c>
      <c r="H12365" t="s">
        <v>11980</v>
      </c>
      <c r="I12365" t="s">
        <v>43</v>
      </c>
      <c r="J12365">
        <v>97540</v>
      </c>
      <c r="K12365">
        <v>7751</v>
      </c>
      <c r="L12365" t="s">
        <v>23</v>
      </c>
      <c r="M12365" t="s">
        <v>27058</v>
      </c>
      <c r="N12365" t="s">
        <v>11980</v>
      </c>
      <c r="O12365" t="s">
        <v>43</v>
      </c>
      <c r="P12365">
        <v>97540</v>
      </c>
      <c r="Q12365">
        <v>7751</v>
      </c>
      <c r="R12365" t="s">
        <v>23</v>
      </c>
      <c r="S12365" s="1" t="s">
        <v>34218</v>
      </c>
    </row>
    <row r="12366" spans="1:19" x14ac:dyDescent="0.25">
      <c r="A12366">
        <v>101452079</v>
      </c>
      <c r="B12366" t="s">
        <v>640</v>
      </c>
      <c r="C12366" t="s">
        <v>1306</v>
      </c>
      <c r="G12366" t="s">
        <v>27059</v>
      </c>
      <c r="H12366" t="s">
        <v>27060</v>
      </c>
      <c r="I12366" t="s">
        <v>236</v>
      </c>
      <c r="J12366">
        <v>2025</v>
      </c>
      <c r="K12366">
        <v>1944</v>
      </c>
      <c r="L12366" t="s">
        <v>23</v>
      </c>
      <c r="M12366" t="s">
        <v>27059</v>
      </c>
      <c r="N12366" t="s">
        <v>27060</v>
      </c>
      <c r="O12366" t="s">
        <v>236</v>
      </c>
      <c r="P12366">
        <v>2025</v>
      </c>
      <c r="Q12366">
        <v>1944</v>
      </c>
      <c r="R12366" t="s">
        <v>23</v>
      </c>
      <c r="S12366" s="1" t="s">
        <v>34218</v>
      </c>
    </row>
    <row r="12367" spans="1:19" x14ac:dyDescent="0.25">
      <c r="A12367">
        <v>101480668</v>
      </c>
      <c r="B12367" t="s">
        <v>3746</v>
      </c>
      <c r="C12367" t="s">
        <v>1141</v>
      </c>
      <c r="G12367" t="s">
        <v>27061</v>
      </c>
      <c r="H12367" t="s">
        <v>27062</v>
      </c>
      <c r="I12367" t="s">
        <v>126</v>
      </c>
      <c r="J12367">
        <v>64070</v>
      </c>
      <c r="L12367" t="s">
        <v>23</v>
      </c>
      <c r="M12367" t="s">
        <v>27061</v>
      </c>
      <c r="N12367" t="s">
        <v>27062</v>
      </c>
      <c r="O12367" t="s">
        <v>126</v>
      </c>
      <c r="P12367">
        <v>64070</v>
      </c>
      <c r="R12367" t="s">
        <v>23</v>
      </c>
      <c r="S12367" s="1" t="s">
        <v>34218</v>
      </c>
    </row>
    <row r="12368" spans="1:19" x14ac:dyDescent="0.25">
      <c r="A12368">
        <v>101429535</v>
      </c>
      <c r="B12368" t="s">
        <v>11842</v>
      </c>
      <c r="C12368" t="s">
        <v>30</v>
      </c>
      <c r="G12368" t="s">
        <v>27063</v>
      </c>
      <c r="H12368" t="s">
        <v>5949</v>
      </c>
      <c r="I12368" t="s">
        <v>446</v>
      </c>
      <c r="J12368">
        <v>28560</v>
      </c>
      <c r="K12368">
        <v>4936</v>
      </c>
      <c r="L12368" t="s">
        <v>23</v>
      </c>
      <c r="M12368" t="s">
        <v>27063</v>
      </c>
      <c r="N12368" t="s">
        <v>5949</v>
      </c>
      <c r="O12368" t="s">
        <v>446</v>
      </c>
      <c r="P12368">
        <v>28560</v>
      </c>
      <c r="Q12368">
        <v>4936</v>
      </c>
      <c r="R12368" t="s">
        <v>23</v>
      </c>
      <c r="S12368" s="1" t="s">
        <v>34218</v>
      </c>
    </row>
    <row r="12369" spans="1:19" x14ac:dyDescent="0.25">
      <c r="A12369">
        <v>101480672</v>
      </c>
      <c r="B12369" t="s">
        <v>2429</v>
      </c>
      <c r="C12369" t="s">
        <v>5893</v>
      </c>
      <c r="G12369" t="s">
        <v>27064</v>
      </c>
      <c r="H12369" t="s">
        <v>6273</v>
      </c>
      <c r="I12369" t="s">
        <v>22</v>
      </c>
      <c r="J12369">
        <v>92865</v>
      </c>
      <c r="L12369" t="s">
        <v>23</v>
      </c>
      <c r="M12369" t="s">
        <v>27064</v>
      </c>
      <c r="N12369" t="s">
        <v>6273</v>
      </c>
      <c r="O12369" t="s">
        <v>22</v>
      </c>
      <c r="P12369">
        <v>92865</v>
      </c>
      <c r="R12369" t="s">
        <v>23</v>
      </c>
      <c r="S12369" s="1" t="s">
        <v>34218</v>
      </c>
    </row>
    <row r="12370" spans="1:19" x14ac:dyDescent="0.25">
      <c r="A12370">
        <v>101094103</v>
      </c>
      <c r="B12370" t="s">
        <v>27065</v>
      </c>
      <c r="C12370" t="s">
        <v>350</v>
      </c>
      <c r="G12370" t="s">
        <v>27066</v>
      </c>
      <c r="H12370" t="s">
        <v>21</v>
      </c>
      <c r="I12370" t="s">
        <v>22</v>
      </c>
      <c r="J12370">
        <v>95404</v>
      </c>
      <c r="K12370">
        <v>6193</v>
      </c>
      <c r="L12370" t="s">
        <v>23</v>
      </c>
      <c r="M12370" t="s">
        <v>27066</v>
      </c>
      <c r="N12370" t="s">
        <v>21</v>
      </c>
      <c r="O12370" t="s">
        <v>22</v>
      </c>
      <c r="P12370">
        <v>95404</v>
      </c>
      <c r="Q12370">
        <v>6193</v>
      </c>
      <c r="R12370" t="s">
        <v>23</v>
      </c>
      <c r="S12370" s="1" t="s">
        <v>34218</v>
      </c>
    </row>
    <row r="12371" spans="1:19" x14ac:dyDescent="0.25">
      <c r="A12371">
        <v>100633718</v>
      </c>
      <c r="B12371" t="s">
        <v>27067</v>
      </c>
      <c r="C12371" t="s">
        <v>5716</v>
      </c>
      <c r="G12371" t="s">
        <v>27068</v>
      </c>
      <c r="H12371" t="s">
        <v>27069</v>
      </c>
      <c r="I12371" t="s">
        <v>370</v>
      </c>
      <c r="J12371">
        <v>68048</v>
      </c>
      <c r="K12371">
        <v>1833</v>
      </c>
      <c r="L12371" t="s">
        <v>23</v>
      </c>
      <c r="M12371" t="s">
        <v>27068</v>
      </c>
      <c r="N12371" t="s">
        <v>27069</v>
      </c>
      <c r="O12371" t="s">
        <v>370</v>
      </c>
      <c r="P12371">
        <v>68048</v>
      </c>
      <c r="Q12371">
        <v>1833</v>
      </c>
      <c r="R12371" t="s">
        <v>23</v>
      </c>
      <c r="S12371" s="1" t="s">
        <v>34218</v>
      </c>
    </row>
    <row r="12372" spans="1:19" x14ac:dyDescent="0.25">
      <c r="A12372">
        <v>101252474</v>
      </c>
      <c r="B12372" t="s">
        <v>27070</v>
      </c>
      <c r="C12372" t="s">
        <v>27071</v>
      </c>
      <c r="G12372" t="s">
        <v>23933</v>
      </c>
      <c r="H12372" t="s">
        <v>27072</v>
      </c>
      <c r="I12372" t="s">
        <v>117</v>
      </c>
      <c r="J12372">
        <v>11939</v>
      </c>
      <c r="K12372">
        <v>19</v>
      </c>
      <c r="L12372" t="s">
        <v>23</v>
      </c>
      <c r="M12372" t="s">
        <v>23933</v>
      </c>
      <c r="N12372" t="s">
        <v>27072</v>
      </c>
      <c r="O12372" t="s">
        <v>117</v>
      </c>
      <c r="P12372">
        <v>11939</v>
      </c>
      <c r="Q12372">
        <v>19</v>
      </c>
      <c r="R12372" t="s">
        <v>23</v>
      </c>
      <c r="S12372" s="1" t="s">
        <v>34218</v>
      </c>
    </row>
    <row r="12373" spans="1:19" x14ac:dyDescent="0.25">
      <c r="A12373">
        <v>101426156</v>
      </c>
      <c r="B12373" t="s">
        <v>27073</v>
      </c>
      <c r="C12373" t="s">
        <v>22464</v>
      </c>
      <c r="G12373" t="s">
        <v>27074</v>
      </c>
      <c r="H12373" t="s">
        <v>227</v>
      </c>
      <c r="I12373" t="s">
        <v>43</v>
      </c>
      <c r="J12373">
        <v>97219</v>
      </c>
      <c r="K12373">
        <v>9503</v>
      </c>
      <c r="L12373" t="s">
        <v>23</v>
      </c>
      <c r="M12373" t="s">
        <v>27074</v>
      </c>
      <c r="N12373" t="s">
        <v>227</v>
      </c>
      <c r="O12373" t="s">
        <v>43</v>
      </c>
      <c r="P12373">
        <v>97219</v>
      </c>
      <c r="Q12373">
        <v>9503</v>
      </c>
      <c r="R12373" t="s">
        <v>23</v>
      </c>
      <c r="S12373" s="1" t="s">
        <v>34218</v>
      </c>
    </row>
    <row r="12374" spans="1:19" x14ac:dyDescent="0.25">
      <c r="A12374">
        <v>101407740</v>
      </c>
      <c r="B12374" t="s">
        <v>882</v>
      </c>
      <c r="C12374" t="s">
        <v>382</v>
      </c>
      <c r="G12374" t="s">
        <v>27075</v>
      </c>
      <c r="H12374" t="s">
        <v>227</v>
      </c>
      <c r="I12374" t="s">
        <v>43</v>
      </c>
      <c r="J12374">
        <v>97212</v>
      </c>
      <c r="K12374">
        <v>3150</v>
      </c>
      <c r="L12374" t="s">
        <v>23</v>
      </c>
      <c r="M12374" t="s">
        <v>27075</v>
      </c>
      <c r="N12374" t="s">
        <v>227</v>
      </c>
      <c r="O12374" t="s">
        <v>43</v>
      </c>
      <c r="P12374">
        <v>97212</v>
      </c>
      <c r="Q12374">
        <v>3150</v>
      </c>
      <c r="R12374" t="s">
        <v>23</v>
      </c>
      <c r="S12374" s="1" t="s">
        <v>34218</v>
      </c>
    </row>
    <row r="12375" spans="1:19" x14ac:dyDescent="0.25">
      <c r="A12375">
        <v>101480684</v>
      </c>
      <c r="B12375" t="s">
        <v>2641</v>
      </c>
      <c r="C12375" t="s">
        <v>490</v>
      </c>
      <c r="G12375" t="s">
        <v>27076</v>
      </c>
      <c r="H12375" t="s">
        <v>27077</v>
      </c>
      <c r="I12375" t="s">
        <v>1000</v>
      </c>
      <c r="J12375">
        <v>59231</v>
      </c>
      <c r="L12375" t="s">
        <v>23</v>
      </c>
      <c r="M12375" t="s">
        <v>27076</v>
      </c>
      <c r="N12375" t="s">
        <v>27077</v>
      </c>
      <c r="O12375" t="s">
        <v>1000</v>
      </c>
      <c r="P12375">
        <v>59231</v>
      </c>
      <c r="R12375" t="s">
        <v>23</v>
      </c>
      <c r="S12375" s="1" t="s">
        <v>34218</v>
      </c>
    </row>
    <row r="12376" spans="1:19" x14ac:dyDescent="0.25">
      <c r="A12376">
        <v>101480687</v>
      </c>
      <c r="B12376" t="s">
        <v>17750</v>
      </c>
      <c r="C12376" t="s">
        <v>81</v>
      </c>
      <c r="G12376" t="s">
        <v>27078</v>
      </c>
      <c r="H12376" t="s">
        <v>27079</v>
      </c>
      <c r="I12376" t="s">
        <v>250</v>
      </c>
      <c r="J12376">
        <v>7649</v>
      </c>
      <c r="K12376">
        <v>2017</v>
      </c>
      <c r="L12376" t="s">
        <v>23</v>
      </c>
      <c r="M12376" t="s">
        <v>27078</v>
      </c>
      <c r="N12376" t="s">
        <v>27079</v>
      </c>
      <c r="O12376" t="s">
        <v>250</v>
      </c>
      <c r="P12376">
        <v>7649</v>
      </c>
      <c r="Q12376">
        <v>2017</v>
      </c>
      <c r="R12376" t="s">
        <v>23</v>
      </c>
      <c r="S12376" s="1" t="s">
        <v>34218</v>
      </c>
    </row>
    <row r="12377" spans="1:19" x14ac:dyDescent="0.25">
      <c r="A12377">
        <v>101377731</v>
      </c>
      <c r="B12377" t="s">
        <v>2132</v>
      </c>
      <c r="C12377" t="s">
        <v>1460</v>
      </c>
      <c r="G12377" t="s">
        <v>27080</v>
      </c>
      <c r="H12377" t="s">
        <v>9008</v>
      </c>
      <c r="I12377" t="s">
        <v>52</v>
      </c>
      <c r="J12377">
        <v>34606</v>
      </c>
      <c r="K12377">
        <v>2525</v>
      </c>
      <c r="L12377" t="s">
        <v>23</v>
      </c>
      <c r="M12377" t="s">
        <v>27080</v>
      </c>
      <c r="N12377" t="s">
        <v>9008</v>
      </c>
      <c r="O12377" t="s">
        <v>52</v>
      </c>
      <c r="P12377">
        <v>34606</v>
      </c>
      <c r="Q12377">
        <v>2525</v>
      </c>
      <c r="R12377" t="s">
        <v>23</v>
      </c>
      <c r="S12377" s="1" t="s">
        <v>34218</v>
      </c>
    </row>
    <row r="12378" spans="1:19" x14ac:dyDescent="0.25">
      <c r="A12378">
        <v>101280933</v>
      </c>
      <c r="B12378" t="s">
        <v>27081</v>
      </c>
      <c r="C12378" t="s">
        <v>4049</v>
      </c>
      <c r="G12378" t="s">
        <v>27082</v>
      </c>
      <c r="H12378" t="s">
        <v>8668</v>
      </c>
      <c r="I12378" t="s">
        <v>117</v>
      </c>
      <c r="J12378">
        <v>10530</v>
      </c>
      <c r="K12378">
        <v>3207</v>
      </c>
      <c r="L12378" t="s">
        <v>23</v>
      </c>
      <c r="M12378" t="s">
        <v>27082</v>
      </c>
      <c r="N12378" t="s">
        <v>8668</v>
      </c>
      <c r="O12378" t="s">
        <v>117</v>
      </c>
      <c r="P12378">
        <v>10530</v>
      </c>
      <c r="Q12378">
        <v>3207</v>
      </c>
      <c r="R12378" t="s">
        <v>23</v>
      </c>
      <c r="S12378" s="1" t="s">
        <v>34218</v>
      </c>
    </row>
    <row r="12379" spans="1:19" x14ac:dyDescent="0.25">
      <c r="A12379">
        <v>101450186</v>
      </c>
      <c r="B12379" t="s">
        <v>5237</v>
      </c>
      <c r="C12379" t="s">
        <v>27083</v>
      </c>
      <c r="G12379" t="s">
        <v>27084</v>
      </c>
      <c r="H12379" t="s">
        <v>27085</v>
      </c>
      <c r="I12379" t="s">
        <v>446</v>
      </c>
      <c r="J12379">
        <v>27320</v>
      </c>
      <c r="K12379">
        <v>8965</v>
      </c>
      <c r="L12379" t="s">
        <v>23</v>
      </c>
      <c r="M12379" t="s">
        <v>27084</v>
      </c>
      <c r="N12379" t="s">
        <v>27085</v>
      </c>
      <c r="O12379" t="s">
        <v>446</v>
      </c>
      <c r="P12379">
        <v>27320</v>
      </c>
      <c r="Q12379">
        <v>8965</v>
      </c>
      <c r="R12379" t="s">
        <v>23</v>
      </c>
      <c r="S12379" s="1" t="s">
        <v>34218</v>
      </c>
    </row>
    <row r="12380" spans="1:19" x14ac:dyDescent="0.25">
      <c r="A12380">
        <v>101443734</v>
      </c>
      <c r="B12380" t="s">
        <v>3828</v>
      </c>
      <c r="C12380" t="s">
        <v>2781</v>
      </c>
      <c r="G12380" t="s">
        <v>27086</v>
      </c>
      <c r="H12380" t="s">
        <v>638</v>
      </c>
      <c r="I12380" t="s">
        <v>639</v>
      </c>
      <c r="J12380">
        <v>87111</v>
      </c>
      <c r="K12380">
        <v>5129</v>
      </c>
      <c r="L12380" t="s">
        <v>23</v>
      </c>
      <c r="M12380" t="s">
        <v>27086</v>
      </c>
      <c r="N12380" t="s">
        <v>638</v>
      </c>
      <c r="O12380" t="s">
        <v>639</v>
      </c>
      <c r="P12380">
        <v>87111</v>
      </c>
      <c r="Q12380">
        <v>5129</v>
      </c>
      <c r="R12380" t="s">
        <v>23</v>
      </c>
      <c r="S12380" s="1" t="s">
        <v>34218</v>
      </c>
    </row>
    <row r="12381" spans="1:19" x14ac:dyDescent="0.25">
      <c r="A12381">
        <v>101439047</v>
      </c>
      <c r="B12381" t="s">
        <v>2656</v>
      </c>
      <c r="C12381" t="s">
        <v>907</v>
      </c>
      <c r="G12381" t="s">
        <v>27087</v>
      </c>
      <c r="H12381" t="s">
        <v>88</v>
      </c>
      <c r="I12381" t="s">
        <v>22</v>
      </c>
      <c r="J12381">
        <v>94606</v>
      </c>
      <c r="L12381" t="s">
        <v>23</v>
      </c>
      <c r="M12381" t="s">
        <v>27087</v>
      </c>
      <c r="N12381" t="s">
        <v>88</v>
      </c>
      <c r="O12381" t="s">
        <v>22</v>
      </c>
      <c r="P12381">
        <v>94606</v>
      </c>
      <c r="R12381" t="s">
        <v>23</v>
      </c>
      <c r="S12381" s="1" t="s">
        <v>34218</v>
      </c>
    </row>
    <row r="12382" spans="1:19" x14ac:dyDescent="0.25">
      <c r="A12382">
        <v>101450822</v>
      </c>
      <c r="B12382" t="s">
        <v>3395</v>
      </c>
      <c r="C12382" t="s">
        <v>1422</v>
      </c>
      <c r="G12382" t="s">
        <v>27088</v>
      </c>
      <c r="H12382" t="s">
        <v>4415</v>
      </c>
      <c r="I12382" t="s">
        <v>100</v>
      </c>
      <c r="J12382">
        <v>54720</v>
      </c>
      <c r="K12382">
        <v>3006</v>
      </c>
      <c r="L12382" t="s">
        <v>23</v>
      </c>
      <c r="M12382" t="s">
        <v>27088</v>
      </c>
      <c r="N12382" t="s">
        <v>4415</v>
      </c>
      <c r="O12382" t="s">
        <v>100</v>
      </c>
      <c r="P12382">
        <v>54720</v>
      </c>
      <c r="Q12382">
        <v>3006</v>
      </c>
      <c r="R12382" t="s">
        <v>23</v>
      </c>
      <c r="S12382" s="1" t="s">
        <v>34218</v>
      </c>
    </row>
    <row r="12383" spans="1:19" x14ac:dyDescent="0.25">
      <c r="A12383">
        <v>101127807</v>
      </c>
      <c r="B12383" t="s">
        <v>27089</v>
      </c>
      <c r="C12383" t="s">
        <v>12821</v>
      </c>
      <c r="G12383" t="s">
        <v>27090</v>
      </c>
      <c r="H12383" t="s">
        <v>3021</v>
      </c>
      <c r="I12383" t="s">
        <v>1482</v>
      </c>
      <c r="J12383">
        <v>29588</v>
      </c>
      <c r="K12383">
        <v>1248</v>
      </c>
      <c r="L12383" t="s">
        <v>23</v>
      </c>
      <c r="M12383" t="s">
        <v>27090</v>
      </c>
      <c r="N12383" t="s">
        <v>3021</v>
      </c>
      <c r="O12383" t="s">
        <v>1482</v>
      </c>
      <c r="P12383">
        <v>29588</v>
      </c>
      <c r="Q12383">
        <v>1248</v>
      </c>
      <c r="R12383" t="s">
        <v>23</v>
      </c>
      <c r="S12383" s="1" t="s">
        <v>34218</v>
      </c>
    </row>
    <row r="12384" spans="1:19" x14ac:dyDescent="0.25">
      <c r="A12384">
        <v>101262025</v>
      </c>
      <c r="B12384" t="s">
        <v>27091</v>
      </c>
      <c r="C12384" t="s">
        <v>27092</v>
      </c>
      <c r="G12384" t="s">
        <v>27093</v>
      </c>
      <c r="H12384" t="s">
        <v>27094</v>
      </c>
      <c r="I12384" t="s">
        <v>43</v>
      </c>
      <c r="J12384">
        <v>0</v>
      </c>
      <c r="L12384" t="s">
        <v>23</v>
      </c>
      <c r="M12384" t="s">
        <v>27093</v>
      </c>
      <c r="N12384" t="s">
        <v>27094</v>
      </c>
      <c r="O12384" t="s">
        <v>43</v>
      </c>
      <c r="P12384">
        <v>0</v>
      </c>
      <c r="R12384" t="s">
        <v>23</v>
      </c>
      <c r="S12384" s="1" t="s">
        <v>34218</v>
      </c>
    </row>
    <row r="12385" spans="1:19" x14ac:dyDescent="0.25">
      <c r="A12385">
        <v>101480707</v>
      </c>
      <c r="B12385" t="s">
        <v>27095</v>
      </c>
      <c r="C12385" t="s">
        <v>1533</v>
      </c>
      <c r="G12385" t="s">
        <v>27096</v>
      </c>
      <c r="H12385" t="s">
        <v>913</v>
      </c>
      <c r="I12385" t="s">
        <v>914</v>
      </c>
      <c r="J12385">
        <v>37210</v>
      </c>
      <c r="K12385">
        <v>5053</v>
      </c>
      <c r="L12385" t="s">
        <v>23</v>
      </c>
      <c r="M12385" t="s">
        <v>27096</v>
      </c>
      <c r="N12385" t="s">
        <v>913</v>
      </c>
      <c r="O12385" t="s">
        <v>914</v>
      </c>
      <c r="P12385">
        <v>37210</v>
      </c>
      <c r="Q12385">
        <v>5053</v>
      </c>
      <c r="R12385" t="s">
        <v>23</v>
      </c>
      <c r="S12385" s="1" t="s">
        <v>34218</v>
      </c>
    </row>
    <row r="12386" spans="1:19" x14ac:dyDescent="0.25">
      <c r="A12386">
        <v>101316465</v>
      </c>
      <c r="B12386" t="s">
        <v>1941</v>
      </c>
      <c r="C12386" t="s">
        <v>27097</v>
      </c>
      <c r="G12386" t="s">
        <v>27098</v>
      </c>
      <c r="H12386" t="s">
        <v>650</v>
      </c>
      <c r="I12386" t="s">
        <v>22</v>
      </c>
      <c r="J12386">
        <v>95814</v>
      </c>
      <c r="K12386">
        <v>2492</v>
      </c>
      <c r="L12386" t="s">
        <v>23</v>
      </c>
      <c r="M12386" t="s">
        <v>27098</v>
      </c>
      <c r="N12386" t="s">
        <v>650</v>
      </c>
      <c r="O12386" t="s">
        <v>22</v>
      </c>
      <c r="P12386">
        <v>95814</v>
      </c>
      <c r="Q12386">
        <v>2492</v>
      </c>
      <c r="R12386" t="s">
        <v>23</v>
      </c>
      <c r="S12386" s="1" t="s">
        <v>34218</v>
      </c>
    </row>
    <row r="12387" spans="1:19" x14ac:dyDescent="0.25">
      <c r="A12387">
        <v>101465514</v>
      </c>
      <c r="B12387" t="s">
        <v>27099</v>
      </c>
      <c r="C12387" t="s">
        <v>1523</v>
      </c>
      <c r="G12387" t="s">
        <v>27100</v>
      </c>
      <c r="H12387" t="s">
        <v>1105</v>
      </c>
      <c r="I12387" t="s">
        <v>117</v>
      </c>
      <c r="J12387">
        <v>10461</v>
      </c>
      <c r="K12387">
        <v>3067</v>
      </c>
      <c r="L12387" t="s">
        <v>23</v>
      </c>
      <c r="M12387" t="s">
        <v>27100</v>
      </c>
      <c r="N12387" t="s">
        <v>1105</v>
      </c>
      <c r="O12387" t="s">
        <v>117</v>
      </c>
      <c r="P12387">
        <v>10461</v>
      </c>
      <c r="Q12387">
        <v>3067</v>
      </c>
      <c r="R12387" t="s">
        <v>23</v>
      </c>
      <c r="S12387" s="1" t="s">
        <v>34218</v>
      </c>
    </row>
    <row r="12388" spans="1:19" x14ac:dyDescent="0.25">
      <c r="A12388">
        <v>101449110</v>
      </c>
      <c r="B12388" t="s">
        <v>76</v>
      </c>
      <c r="C12388" t="s">
        <v>1161</v>
      </c>
      <c r="G12388" t="s">
        <v>27101</v>
      </c>
      <c r="H12388" t="s">
        <v>3493</v>
      </c>
      <c r="I12388" t="s">
        <v>22</v>
      </c>
      <c r="J12388">
        <v>94803</v>
      </c>
      <c r="K12388">
        <v>1422</v>
      </c>
      <c r="L12388" t="s">
        <v>23</v>
      </c>
      <c r="M12388" t="s">
        <v>27101</v>
      </c>
      <c r="N12388" t="s">
        <v>3493</v>
      </c>
      <c r="O12388" t="s">
        <v>22</v>
      </c>
      <c r="P12388">
        <v>94803</v>
      </c>
      <c r="Q12388">
        <v>1422</v>
      </c>
      <c r="R12388" t="s">
        <v>23</v>
      </c>
      <c r="S12388" s="1" t="s">
        <v>34218</v>
      </c>
    </row>
    <row r="12389" spans="1:19" x14ac:dyDescent="0.25">
      <c r="A12389">
        <v>101480722</v>
      </c>
      <c r="B12389" t="s">
        <v>7568</v>
      </c>
      <c r="C12389" t="s">
        <v>3609</v>
      </c>
      <c r="G12389" t="s">
        <v>27102</v>
      </c>
      <c r="H12389" t="s">
        <v>3798</v>
      </c>
      <c r="I12389" t="s">
        <v>71</v>
      </c>
      <c r="J12389">
        <v>80233</v>
      </c>
      <c r="K12389">
        <v>1604</v>
      </c>
      <c r="L12389" t="s">
        <v>23</v>
      </c>
      <c r="M12389" t="s">
        <v>27102</v>
      </c>
      <c r="N12389" t="s">
        <v>3798</v>
      </c>
      <c r="O12389" t="s">
        <v>71</v>
      </c>
      <c r="P12389">
        <v>80233</v>
      </c>
      <c r="Q12389">
        <v>1604</v>
      </c>
      <c r="R12389" t="s">
        <v>23</v>
      </c>
      <c r="S12389" s="1" t="s">
        <v>34218</v>
      </c>
    </row>
    <row r="12390" spans="1:19" x14ac:dyDescent="0.25">
      <c r="A12390">
        <v>101382303</v>
      </c>
      <c r="B12390" t="s">
        <v>303</v>
      </c>
      <c r="C12390" t="s">
        <v>27103</v>
      </c>
      <c r="G12390" t="s">
        <v>27104</v>
      </c>
      <c r="H12390" t="s">
        <v>16841</v>
      </c>
      <c r="I12390" t="s">
        <v>52</v>
      </c>
      <c r="J12390">
        <v>32425</v>
      </c>
      <c r="K12390">
        <v>6702</v>
      </c>
      <c r="L12390" t="s">
        <v>23</v>
      </c>
      <c r="M12390" t="s">
        <v>27104</v>
      </c>
      <c r="N12390" t="s">
        <v>16841</v>
      </c>
      <c r="O12390" t="s">
        <v>52</v>
      </c>
      <c r="P12390">
        <v>32425</v>
      </c>
      <c r="Q12390">
        <v>6702</v>
      </c>
      <c r="R12390" t="s">
        <v>23</v>
      </c>
      <c r="S12390" s="1" t="s">
        <v>34218</v>
      </c>
    </row>
    <row r="12391" spans="1:19" x14ac:dyDescent="0.25">
      <c r="A12391">
        <v>101285367</v>
      </c>
      <c r="B12391" t="s">
        <v>27105</v>
      </c>
      <c r="C12391" t="s">
        <v>180</v>
      </c>
      <c r="F12391" t="str">
        <f>"3104034572"</f>
        <v>3104034572</v>
      </c>
      <c r="G12391" t="s">
        <v>27106</v>
      </c>
      <c r="H12391" t="s">
        <v>726</v>
      </c>
      <c r="I12391" t="s">
        <v>22</v>
      </c>
      <c r="J12391">
        <v>90405</v>
      </c>
      <c r="K12391">
        <v>2705</v>
      </c>
      <c r="L12391" t="s">
        <v>23</v>
      </c>
      <c r="M12391" t="s">
        <v>27106</v>
      </c>
      <c r="N12391" t="s">
        <v>726</v>
      </c>
      <c r="O12391" t="s">
        <v>22</v>
      </c>
      <c r="P12391">
        <v>90405</v>
      </c>
      <c r="Q12391">
        <v>2705</v>
      </c>
      <c r="R12391" t="s">
        <v>23</v>
      </c>
      <c r="S12391" s="1" t="s">
        <v>34218</v>
      </c>
    </row>
    <row r="12392" spans="1:19" x14ac:dyDescent="0.25">
      <c r="A12392">
        <v>101264796</v>
      </c>
      <c r="B12392" t="s">
        <v>27107</v>
      </c>
      <c r="C12392" t="s">
        <v>4180</v>
      </c>
      <c r="G12392" t="s">
        <v>27108</v>
      </c>
      <c r="H12392" t="s">
        <v>4646</v>
      </c>
      <c r="I12392" t="s">
        <v>100</v>
      </c>
      <c r="J12392">
        <v>54025</v>
      </c>
      <c r="K12392">
        <v>7325</v>
      </c>
      <c r="L12392" t="s">
        <v>23</v>
      </c>
      <c r="M12392" t="s">
        <v>27108</v>
      </c>
      <c r="N12392" t="s">
        <v>4646</v>
      </c>
      <c r="O12392" t="s">
        <v>100</v>
      </c>
      <c r="P12392">
        <v>54025</v>
      </c>
      <c r="Q12392">
        <v>7325</v>
      </c>
      <c r="R12392" t="s">
        <v>23</v>
      </c>
      <c r="S12392" s="1" t="s">
        <v>34218</v>
      </c>
    </row>
    <row r="12393" spans="1:19" x14ac:dyDescent="0.25">
      <c r="A12393">
        <v>101480732</v>
      </c>
      <c r="B12393" t="s">
        <v>12662</v>
      </c>
      <c r="C12393" t="s">
        <v>27109</v>
      </c>
      <c r="G12393" t="s">
        <v>27110</v>
      </c>
      <c r="H12393" t="s">
        <v>412</v>
      </c>
      <c r="I12393" t="s">
        <v>117</v>
      </c>
      <c r="J12393">
        <v>11215</v>
      </c>
      <c r="K12393">
        <v>4233</v>
      </c>
      <c r="L12393" t="s">
        <v>23</v>
      </c>
      <c r="M12393" t="s">
        <v>27110</v>
      </c>
      <c r="N12393" t="s">
        <v>412</v>
      </c>
      <c r="O12393" t="s">
        <v>117</v>
      </c>
      <c r="P12393">
        <v>11215</v>
      </c>
      <c r="Q12393">
        <v>4233</v>
      </c>
      <c r="R12393" t="s">
        <v>23</v>
      </c>
      <c r="S12393" s="1" t="s">
        <v>34218</v>
      </c>
    </row>
    <row r="12394" spans="1:19" x14ac:dyDescent="0.25">
      <c r="A12394">
        <v>101474702</v>
      </c>
      <c r="B12394" t="s">
        <v>27111</v>
      </c>
      <c r="C12394" t="s">
        <v>2151</v>
      </c>
      <c r="G12394" t="s">
        <v>27112</v>
      </c>
      <c r="H12394" t="s">
        <v>653</v>
      </c>
      <c r="I12394" t="s">
        <v>117</v>
      </c>
      <c r="J12394">
        <v>10024</v>
      </c>
      <c r="K12394">
        <v>6803</v>
      </c>
      <c r="L12394" t="s">
        <v>23</v>
      </c>
      <c r="M12394" t="s">
        <v>27112</v>
      </c>
      <c r="N12394" t="s">
        <v>653</v>
      </c>
      <c r="O12394" t="s">
        <v>117</v>
      </c>
      <c r="P12394">
        <v>10024</v>
      </c>
      <c r="Q12394">
        <v>6803</v>
      </c>
      <c r="R12394" t="s">
        <v>23</v>
      </c>
      <c r="S12394" s="1" t="s">
        <v>34218</v>
      </c>
    </row>
    <row r="12395" spans="1:19" x14ac:dyDescent="0.25">
      <c r="A12395">
        <v>101480737</v>
      </c>
      <c r="B12395" t="s">
        <v>27113</v>
      </c>
      <c r="C12395" t="s">
        <v>9807</v>
      </c>
      <c r="G12395" t="s">
        <v>27114</v>
      </c>
      <c r="H12395" t="s">
        <v>19287</v>
      </c>
      <c r="I12395" t="s">
        <v>446</v>
      </c>
      <c r="J12395">
        <v>27030</v>
      </c>
      <c r="K12395">
        <v>8502</v>
      </c>
      <c r="L12395" t="s">
        <v>23</v>
      </c>
      <c r="M12395" t="s">
        <v>27114</v>
      </c>
      <c r="N12395" t="s">
        <v>19287</v>
      </c>
      <c r="O12395" t="s">
        <v>446</v>
      </c>
      <c r="P12395">
        <v>27030</v>
      </c>
      <c r="Q12395">
        <v>8502</v>
      </c>
      <c r="R12395" t="s">
        <v>23</v>
      </c>
      <c r="S12395" s="1" t="s">
        <v>34218</v>
      </c>
    </row>
    <row r="12396" spans="1:19" x14ac:dyDescent="0.25">
      <c r="A12396">
        <v>101480740</v>
      </c>
      <c r="B12396" t="s">
        <v>21018</v>
      </c>
      <c r="C12396" t="s">
        <v>377</v>
      </c>
      <c r="G12396" t="s">
        <v>25203</v>
      </c>
      <c r="H12396" t="s">
        <v>758</v>
      </c>
      <c r="I12396" t="s">
        <v>148</v>
      </c>
      <c r="J12396">
        <v>20901</v>
      </c>
      <c r="K12396">
        <v>4901</v>
      </c>
      <c r="L12396" t="s">
        <v>23</v>
      </c>
      <c r="M12396" t="s">
        <v>25203</v>
      </c>
      <c r="N12396" t="s">
        <v>758</v>
      </c>
      <c r="O12396" t="s">
        <v>148</v>
      </c>
      <c r="P12396">
        <v>20901</v>
      </c>
      <c r="Q12396">
        <v>4901</v>
      </c>
      <c r="R12396" t="s">
        <v>23</v>
      </c>
      <c r="S12396" s="1" t="s">
        <v>34218</v>
      </c>
    </row>
    <row r="12397" spans="1:19" x14ac:dyDescent="0.25">
      <c r="A12397">
        <v>101453148</v>
      </c>
      <c r="B12397" t="s">
        <v>27115</v>
      </c>
      <c r="C12397" t="s">
        <v>155</v>
      </c>
      <c r="G12397" t="s">
        <v>27116</v>
      </c>
      <c r="H12397" t="s">
        <v>1402</v>
      </c>
      <c r="I12397" t="s">
        <v>38</v>
      </c>
      <c r="J12397">
        <v>77025</v>
      </c>
      <c r="K12397">
        <v>1200</v>
      </c>
      <c r="L12397" t="s">
        <v>23</v>
      </c>
      <c r="M12397" t="s">
        <v>27116</v>
      </c>
      <c r="N12397" t="s">
        <v>1402</v>
      </c>
      <c r="O12397" t="s">
        <v>38</v>
      </c>
      <c r="P12397">
        <v>77025</v>
      </c>
      <c r="Q12397">
        <v>1200</v>
      </c>
      <c r="R12397" t="s">
        <v>23</v>
      </c>
      <c r="S12397" s="1" t="s">
        <v>34218</v>
      </c>
    </row>
    <row r="12398" spans="1:19" x14ac:dyDescent="0.25">
      <c r="A12398">
        <v>101480746</v>
      </c>
      <c r="B12398" t="s">
        <v>29</v>
      </c>
      <c r="C12398" t="s">
        <v>27117</v>
      </c>
      <c r="G12398" t="s">
        <v>27118</v>
      </c>
      <c r="H12398" t="s">
        <v>4742</v>
      </c>
      <c r="I12398" t="s">
        <v>38</v>
      </c>
      <c r="J12398">
        <v>75904</v>
      </c>
      <c r="K12398">
        <v>2726</v>
      </c>
      <c r="L12398" t="s">
        <v>23</v>
      </c>
      <c r="M12398" t="s">
        <v>27118</v>
      </c>
      <c r="N12398" t="s">
        <v>4742</v>
      </c>
      <c r="O12398" t="s">
        <v>38</v>
      </c>
      <c r="P12398">
        <v>75904</v>
      </c>
      <c r="Q12398">
        <v>2726</v>
      </c>
      <c r="R12398" t="s">
        <v>23</v>
      </c>
      <c r="S12398" s="1" t="s">
        <v>34218</v>
      </c>
    </row>
    <row r="12399" spans="1:19" x14ac:dyDescent="0.25">
      <c r="A12399">
        <v>101473705</v>
      </c>
      <c r="B12399" t="s">
        <v>25399</v>
      </c>
      <c r="C12399" t="s">
        <v>1487</v>
      </c>
      <c r="G12399" t="s">
        <v>27119</v>
      </c>
      <c r="H12399" t="s">
        <v>16504</v>
      </c>
      <c r="I12399" t="s">
        <v>1097</v>
      </c>
      <c r="J12399">
        <v>40066</v>
      </c>
      <c r="K12399">
        <v>1402</v>
      </c>
      <c r="L12399" t="s">
        <v>23</v>
      </c>
      <c r="M12399" t="s">
        <v>27119</v>
      </c>
      <c r="N12399" t="s">
        <v>16504</v>
      </c>
      <c r="O12399" t="s">
        <v>1097</v>
      </c>
      <c r="P12399">
        <v>40066</v>
      </c>
      <c r="Q12399">
        <v>1402</v>
      </c>
      <c r="R12399" t="s">
        <v>23</v>
      </c>
      <c r="S12399" s="1" t="s">
        <v>34218</v>
      </c>
    </row>
    <row r="12400" spans="1:19" x14ac:dyDescent="0.25">
      <c r="A12400">
        <v>101467099</v>
      </c>
      <c r="B12400" t="s">
        <v>27120</v>
      </c>
      <c r="C12400" t="s">
        <v>25</v>
      </c>
      <c r="G12400" t="s">
        <v>27121</v>
      </c>
      <c r="H12400" t="s">
        <v>9846</v>
      </c>
      <c r="I12400" t="s">
        <v>33</v>
      </c>
      <c r="J12400">
        <v>19003</v>
      </c>
      <c r="K12400">
        <v>1906</v>
      </c>
      <c r="L12400" t="s">
        <v>23</v>
      </c>
      <c r="M12400" t="s">
        <v>27121</v>
      </c>
      <c r="N12400" t="s">
        <v>9846</v>
      </c>
      <c r="O12400" t="s">
        <v>33</v>
      </c>
      <c r="P12400">
        <v>19003</v>
      </c>
      <c r="Q12400">
        <v>1906</v>
      </c>
      <c r="R12400" t="s">
        <v>23</v>
      </c>
      <c r="S12400" s="1" t="s">
        <v>34218</v>
      </c>
    </row>
    <row r="12401" spans="1:19" x14ac:dyDescent="0.25">
      <c r="A12401">
        <v>101480759</v>
      </c>
      <c r="B12401" t="s">
        <v>27122</v>
      </c>
      <c r="C12401" t="s">
        <v>313</v>
      </c>
      <c r="G12401" t="s">
        <v>27123</v>
      </c>
      <c r="H12401" t="s">
        <v>27124</v>
      </c>
      <c r="I12401" t="s">
        <v>1482</v>
      </c>
      <c r="J12401">
        <v>29851</v>
      </c>
      <c r="K12401">
        <v>3463</v>
      </c>
      <c r="L12401" t="s">
        <v>23</v>
      </c>
      <c r="M12401" t="s">
        <v>27123</v>
      </c>
      <c r="N12401" t="s">
        <v>27124</v>
      </c>
      <c r="O12401" t="s">
        <v>1482</v>
      </c>
      <c r="P12401">
        <v>29851</v>
      </c>
      <c r="Q12401">
        <v>3463</v>
      </c>
      <c r="R12401" t="s">
        <v>23</v>
      </c>
      <c r="S12401" s="1" t="s">
        <v>34218</v>
      </c>
    </row>
    <row r="12402" spans="1:19" x14ac:dyDescent="0.25">
      <c r="A12402">
        <v>101480761</v>
      </c>
      <c r="B12402" t="s">
        <v>6658</v>
      </c>
      <c r="C12402" t="s">
        <v>114</v>
      </c>
      <c r="G12402" t="s">
        <v>27125</v>
      </c>
      <c r="H12402" t="s">
        <v>3972</v>
      </c>
      <c r="I12402" t="s">
        <v>1387</v>
      </c>
      <c r="J12402">
        <v>35205</v>
      </c>
      <c r="L12402" t="s">
        <v>23</v>
      </c>
      <c r="M12402" t="s">
        <v>27125</v>
      </c>
      <c r="N12402" t="s">
        <v>3972</v>
      </c>
      <c r="O12402" t="s">
        <v>1387</v>
      </c>
      <c r="P12402">
        <v>35205</v>
      </c>
      <c r="R12402" t="s">
        <v>23</v>
      </c>
      <c r="S12402" s="1" t="s">
        <v>34218</v>
      </c>
    </row>
    <row r="12403" spans="1:19" x14ac:dyDescent="0.25">
      <c r="A12403">
        <v>101446118</v>
      </c>
      <c r="B12403" t="s">
        <v>25976</v>
      </c>
      <c r="C12403" t="s">
        <v>403</v>
      </c>
      <c r="G12403" t="s">
        <v>27126</v>
      </c>
      <c r="H12403" t="s">
        <v>10776</v>
      </c>
      <c r="I12403" t="s">
        <v>52</v>
      </c>
      <c r="J12403">
        <v>33324</v>
      </c>
      <c r="K12403">
        <v>7228</v>
      </c>
      <c r="L12403" t="s">
        <v>23</v>
      </c>
      <c r="M12403" t="s">
        <v>27126</v>
      </c>
      <c r="N12403" t="s">
        <v>10776</v>
      </c>
      <c r="O12403" t="s">
        <v>52</v>
      </c>
      <c r="P12403">
        <v>33324</v>
      </c>
      <c r="Q12403">
        <v>7228</v>
      </c>
      <c r="R12403" t="s">
        <v>23</v>
      </c>
      <c r="S12403" s="1" t="s">
        <v>34218</v>
      </c>
    </row>
    <row r="12404" spans="1:19" x14ac:dyDescent="0.25">
      <c r="A12404">
        <v>100816113</v>
      </c>
      <c r="B12404" t="s">
        <v>21163</v>
      </c>
      <c r="C12404" t="s">
        <v>1176</v>
      </c>
      <c r="F12404" t="str">
        <f>"7012050858"</f>
        <v>7012050858</v>
      </c>
      <c r="G12404" t="s">
        <v>27127</v>
      </c>
      <c r="H12404" t="s">
        <v>7078</v>
      </c>
      <c r="I12404" t="s">
        <v>2537</v>
      </c>
      <c r="J12404">
        <v>72116</v>
      </c>
      <c r="K12404">
        <v>7530</v>
      </c>
      <c r="L12404" t="s">
        <v>23</v>
      </c>
      <c r="M12404" t="s">
        <v>27127</v>
      </c>
      <c r="N12404" t="s">
        <v>7078</v>
      </c>
      <c r="O12404" t="s">
        <v>2537</v>
      </c>
      <c r="P12404">
        <v>72116</v>
      </c>
      <c r="Q12404">
        <v>7530</v>
      </c>
      <c r="R12404" t="s">
        <v>23</v>
      </c>
      <c r="S12404" s="1" t="s">
        <v>34218</v>
      </c>
    </row>
    <row r="12405" spans="1:19" x14ac:dyDescent="0.25">
      <c r="A12405">
        <v>100515530</v>
      </c>
      <c r="B12405" t="s">
        <v>27128</v>
      </c>
      <c r="C12405" t="s">
        <v>1107</v>
      </c>
      <c r="G12405" t="s">
        <v>27129</v>
      </c>
      <c r="H12405" t="s">
        <v>1863</v>
      </c>
      <c r="I12405" t="s">
        <v>126</v>
      </c>
      <c r="J12405">
        <v>64118</v>
      </c>
      <c r="K12405">
        <v>5828</v>
      </c>
      <c r="L12405" t="s">
        <v>23</v>
      </c>
      <c r="M12405" t="s">
        <v>27129</v>
      </c>
      <c r="N12405" t="s">
        <v>1863</v>
      </c>
      <c r="O12405" t="s">
        <v>126</v>
      </c>
      <c r="P12405">
        <v>64118</v>
      </c>
      <c r="Q12405">
        <v>5828</v>
      </c>
      <c r="R12405" t="s">
        <v>23</v>
      </c>
      <c r="S12405" s="1" t="s">
        <v>34218</v>
      </c>
    </row>
    <row r="12406" spans="1:19" x14ac:dyDescent="0.25">
      <c r="A12406">
        <v>101431049</v>
      </c>
      <c r="B12406" t="s">
        <v>3049</v>
      </c>
      <c r="C12406" t="s">
        <v>5478</v>
      </c>
      <c r="G12406" t="s">
        <v>27130</v>
      </c>
      <c r="H12406" t="s">
        <v>602</v>
      </c>
      <c r="I12406" t="s">
        <v>22</v>
      </c>
      <c r="J12406">
        <v>92683</v>
      </c>
      <c r="K12406">
        <v>2857</v>
      </c>
      <c r="L12406" t="s">
        <v>23</v>
      </c>
      <c r="M12406" t="s">
        <v>27130</v>
      </c>
      <c r="N12406" t="s">
        <v>602</v>
      </c>
      <c r="O12406" t="s">
        <v>22</v>
      </c>
      <c r="P12406">
        <v>92683</v>
      </c>
      <c r="Q12406">
        <v>2857</v>
      </c>
      <c r="R12406" t="s">
        <v>23</v>
      </c>
      <c r="S12406" s="1" t="s">
        <v>34218</v>
      </c>
    </row>
    <row r="12407" spans="1:19" x14ac:dyDescent="0.25">
      <c r="A12407">
        <v>101231463</v>
      </c>
      <c r="B12407" t="s">
        <v>5308</v>
      </c>
      <c r="C12407" t="s">
        <v>27131</v>
      </c>
      <c r="G12407" t="s">
        <v>27132</v>
      </c>
      <c r="H12407" t="s">
        <v>2431</v>
      </c>
      <c r="I12407" t="s">
        <v>662</v>
      </c>
      <c r="J12407">
        <v>2920</v>
      </c>
      <c r="K12407">
        <v>3106</v>
      </c>
      <c r="L12407" t="s">
        <v>23</v>
      </c>
      <c r="M12407" t="s">
        <v>27132</v>
      </c>
      <c r="N12407" t="s">
        <v>2431</v>
      </c>
      <c r="O12407" t="s">
        <v>662</v>
      </c>
      <c r="P12407">
        <v>2920</v>
      </c>
      <c r="Q12407">
        <v>3106</v>
      </c>
      <c r="R12407" t="s">
        <v>23</v>
      </c>
      <c r="S12407" s="1" t="s">
        <v>34218</v>
      </c>
    </row>
    <row r="12408" spans="1:19" x14ac:dyDescent="0.25">
      <c r="A12408">
        <v>101007911</v>
      </c>
      <c r="B12408" t="s">
        <v>2509</v>
      </c>
      <c r="C12408" t="s">
        <v>27133</v>
      </c>
      <c r="G12408" t="s">
        <v>27134</v>
      </c>
      <c r="H12408" t="s">
        <v>1405</v>
      </c>
      <c r="I12408" t="s">
        <v>187</v>
      </c>
      <c r="J12408">
        <v>55114</v>
      </c>
      <c r="K12408">
        <v>2402</v>
      </c>
      <c r="L12408" t="s">
        <v>23</v>
      </c>
      <c r="M12408" t="s">
        <v>27134</v>
      </c>
      <c r="N12408" t="s">
        <v>1405</v>
      </c>
      <c r="O12408" t="s">
        <v>187</v>
      </c>
      <c r="P12408">
        <v>55114</v>
      </c>
      <c r="Q12408">
        <v>2402</v>
      </c>
      <c r="R12408" t="s">
        <v>23</v>
      </c>
      <c r="S12408" s="1" t="s">
        <v>34218</v>
      </c>
    </row>
    <row r="12409" spans="1:19" x14ac:dyDescent="0.25">
      <c r="A12409">
        <v>101465056</v>
      </c>
      <c r="B12409" t="s">
        <v>27135</v>
      </c>
      <c r="C12409" t="s">
        <v>27136</v>
      </c>
      <c r="G12409" t="s">
        <v>27137</v>
      </c>
      <c r="H12409" t="s">
        <v>3689</v>
      </c>
      <c r="I12409" t="s">
        <v>255</v>
      </c>
      <c r="J12409">
        <v>20124</v>
      </c>
      <c r="K12409">
        <v>2357</v>
      </c>
      <c r="L12409" t="s">
        <v>23</v>
      </c>
      <c r="M12409" t="s">
        <v>27137</v>
      </c>
      <c r="N12409" t="s">
        <v>3689</v>
      </c>
      <c r="O12409" t="s">
        <v>255</v>
      </c>
      <c r="P12409">
        <v>20124</v>
      </c>
      <c r="Q12409">
        <v>2357</v>
      </c>
      <c r="R12409" t="s">
        <v>23</v>
      </c>
      <c r="S12409" s="1" t="s">
        <v>34218</v>
      </c>
    </row>
    <row r="12410" spans="1:19" x14ac:dyDescent="0.25">
      <c r="A12410">
        <v>101470041</v>
      </c>
      <c r="B12410" t="s">
        <v>3459</v>
      </c>
      <c r="C12410" t="s">
        <v>3609</v>
      </c>
      <c r="G12410" t="s">
        <v>27138</v>
      </c>
      <c r="H12410" t="s">
        <v>3847</v>
      </c>
      <c r="I12410" t="s">
        <v>22</v>
      </c>
      <c r="J12410">
        <v>92646</v>
      </c>
      <c r="K12410">
        <v>5547</v>
      </c>
      <c r="L12410" t="s">
        <v>23</v>
      </c>
      <c r="M12410" t="s">
        <v>27138</v>
      </c>
      <c r="N12410" t="s">
        <v>3847</v>
      </c>
      <c r="O12410" t="s">
        <v>22</v>
      </c>
      <c r="P12410">
        <v>92646</v>
      </c>
      <c r="Q12410">
        <v>5547</v>
      </c>
      <c r="R12410" t="s">
        <v>23</v>
      </c>
      <c r="S12410" s="1" t="s">
        <v>34218</v>
      </c>
    </row>
    <row r="12411" spans="1:19" x14ac:dyDescent="0.25">
      <c r="A12411">
        <v>101280642</v>
      </c>
      <c r="B12411" t="s">
        <v>1010</v>
      </c>
      <c r="C12411" t="s">
        <v>1588</v>
      </c>
      <c r="G12411" t="s">
        <v>27139</v>
      </c>
      <c r="H12411" t="s">
        <v>924</v>
      </c>
      <c r="I12411" t="s">
        <v>135</v>
      </c>
      <c r="J12411">
        <v>60026</v>
      </c>
      <c r="K12411">
        <v>5505</v>
      </c>
      <c r="L12411" t="s">
        <v>23</v>
      </c>
      <c r="M12411" t="s">
        <v>27139</v>
      </c>
      <c r="N12411" t="s">
        <v>924</v>
      </c>
      <c r="O12411" t="s">
        <v>135</v>
      </c>
      <c r="P12411">
        <v>60026</v>
      </c>
      <c r="Q12411">
        <v>5505</v>
      </c>
      <c r="R12411" t="s">
        <v>23</v>
      </c>
      <c r="S12411" s="1" t="s">
        <v>34218</v>
      </c>
    </row>
    <row r="12412" spans="1:19" x14ac:dyDescent="0.25">
      <c r="A12412">
        <v>100752629</v>
      </c>
      <c r="B12412" t="s">
        <v>27140</v>
      </c>
      <c r="C12412" t="s">
        <v>452</v>
      </c>
      <c r="G12412" t="s">
        <v>27141</v>
      </c>
      <c r="H12412" t="s">
        <v>2613</v>
      </c>
      <c r="I12412" t="s">
        <v>22</v>
      </c>
      <c r="J12412">
        <v>95667</v>
      </c>
      <c r="L12412" t="s">
        <v>23</v>
      </c>
      <c r="M12412" t="s">
        <v>27141</v>
      </c>
      <c r="N12412" t="s">
        <v>2613</v>
      </c>
      <c r="O12412" t="s">
        <v>22</v>
      </c>
      <c r="P12412">
        <v>95667</v>
      </c>
      <c r="R12412" t="s">
        <v>23</v>
      </c>
      <c r="S12412" s="1" t="s">
        <v>34218</v>
      </c>
    </row>
    <row r="12413" spans="1:19" x14ac:dyDescent="0.25">
      <c r="A12413">
        <v>100581356</v>
      </c>
      <c r="B12413" t="s">
        <v>27142</v>
      </c>
      <c r="C12413" t="s">
        <v>27143</v>
      </c>
      <c r="G12413" t="s">
        <v>27144</v>
      </c>
      <c r="H12413" t="s">
        <v>27145</v>
      </c>
      <c r="I12413" t="s">
        <v>57</v>
      </c>
      <c r="J12413">
        <v>46373</v>
      </c>
      <c r="L12413" t="s">
        <v>23</v>
      </c>
      <c r="M12413" t="s">
        <v>27144</v>
      </c>
      <c r="N12413" t="s">
        <v>27145</v>
      </c>
      <c r="O12413" t="s">
        <v>57</v>
      </c>
      <c r="P12413">
        <v>46373</v>
      </c>
      <c r="R12413" t="s">
        <v>23</v>
      </c>
      <c r="S12413" s="1" t="s">
        <v>34218</v>
      </c>
    </row>
    <row r="12414" spans="1:19" x14ac:dyDescent="0.25">
      <c r="A12414">
        <v>101298710</v>
      </c>
      <c r="B12414" t="s">
        <v>27146</v>
      </c>
      <c r="C12414" t="s">
        <v>247</v>
      </c>
      <c r="G12414" t="s">
        <v>27147</v>
      </c>
      <c r="H12414" t="s">
        <v>10938</v>
      </c>
      <c r="I12414" t="s">
        <v>236</v>
      </c>
      <c r="J12414">
        <v>1570</v>
      </c>
      <c r="K12414">
        <v>3075</v>
      </c>
      <c r="L12414" t="s">
        <v>23</v>
      </c>
      <c r="M12414" t="s">
        <v>27147</v>
      </c>
      <c r="N12414" t="s">
        <v>10938</v>
      </c>
      <c r="O12414" t="s">
        <v>236</v>
      </c>
      <c r="P12414">
        <v>1570</v>
      </c>
      <c r="Q12414">
        <v>3075</v>
      </c>
      <c r="R12414" t="s">
        <v>23</v>
      </c>
      <c r="S12414" s="1" t="s">
        <v>34218</v>
      </c>
    </row>
    <row r="12415" spans="1:19" x14ac:dyDescent="0.25">
      <c r="A12415">
        <v>101272623</v>
      </c>
      <c r="B12415" t="s">
        <v>27148</v>
      </c>
      <c r="C12415" t="s">
        <v>4049</v>
      </c>
      <c r="G12415" t="s">
        <v>3709</v>
      </c>
      <c r="H12415" t="s">
        <v>27149</v>
      </c>
      <c r="I12415" t="s">
        <v>117</v>
      </c>
      <c r="J12415">
        <v>11970</v>
      </c>
      <c r="K12415">
        <v>296</v>
      </c>
      <c r="L12415" t="s">
        <v>23</v>
      </c>
      <c r="M12415" t="s">
        <v>3709</v>
      </c>
      <c r="N12415" t="s">
        <v>27149</v>
      </c>
      <c r="O12415" t="s">
        <v>117</v>
      </c>
      <c r="P12415">
        <v>11970</v>
      </c>
      <c r="Q12415">
        <v>296</v>
      </c>
      <c r="R12415" t="s">
        <v>23</v>
      </c>
      <c r="S12415" s="1" t="s">
        <v>34218</v>
      </c>
    </row>
    <row r="12416" spans="1:19" x14ac:dyDescent="0.25">
      <c r="A12416">
        <v>101246439</v>
      </c>
      <c r="B12416" t="s">
        <v>27150</v>
      </c>
      <c r="C12416" t="s">
        <v>81</v>
      </c>
      <c r="G12416" t="s">
        <v>27151</v>
      </c>
      <c r="H12416" t="s">
        <v>4635</v>
      </c>
      <c r="I12416" t="s">
        <v>446</v>
      </c>
      <c r="J12416">
        <v>28711</v>
      </c>
      <c r="K12416">
        <v>3330</v>
      </c>
      <c r="L12416" t="s">
        <v>23</v>
      </c>
      <c r="M12416" t="s">
        <v>27151</v>
      </c>
      <c r="N12416" t="s">
        <v>4635</v>
      </c>
      <c r="O12416" t="s">
        <v>446</v>
      </c>
      <c r="P12416">
        <v>28711</v>
      </c>
      <c r="Q12416">
        <v>3330</v>
      </c>
      <c r="R12416" t="s">
        <v>23</v>
      </c>
      <c r="S12416" s="1" t="s">
        <v>34218</v>
      </c>
    </row>
    <row r="12417" spans="1:19" x14ac:dyDescent="0.25">
      <c r="A12417">
        <v>100746927</v>
      </c>
      <c r="B12417" t="s">
        <v>1291</v>
      </c>
      <c r="C12417" t="s">
        <v>2235</v>
      </c>
      <c r="G12417" t="s">
        <v>27152</v>
      </c>
      <c r="H12417" t="s">
        <v>1431</v>
      </c>
      <c r="I12417" t="s">
        <v>639</v>
      </c>
      <c r="J12417">
        <v>87508</v>
      </c>
      <c r="K12417">
        <v>8115</v>
      </c>
      <c r="L12417" t="s">
        <v>23</v>
      </c>
      <c r="M12417" t="s">
        <v>27152</v>
      </c>
      <c r="N12417" t="s">
        <v>1431</v>
      </c>
      <c r="O12417" t="s">
        <v>639</v>
      </c>
      <c r="P12417">
        <v>87508</v>
      </c>
      <c r="Q12417">
        <v>8115</v>
      </c>
      <c r="R12417" t="s">
        <v>23</v>
      </c>
      <c r="S12417" s="1" t="s">
        <v>34218</v>
      </c>
    </row>
    <row r="12418" spans="1:19" x14ac:dyDescent="0.25">
      <c r="A12418">
        <v>101422719</v>
      </c>
      <c r="B12418" t="s">
        <v>27153</v>
      </c>
      <c r="C12418" t="s">
        <v>403</v>
      </c>
      <c r="G12418" t="s">
        <v>27154</v>
      </c>
      <c r="H12418" t="s">
        <v>10776</v>
      </c>
      <c r="I12418" t="s">
        <v>52</v>
      </c>
      <c r="J12418">
        <v>33322</v>
      </c>
      <c r="K12418">
        <v>4620</v>
      </c>
      <c r="L12418" t="s">
        <v>23</v>
      </c>
      <c r="M12418" t="s">
        <v>27154</v>
      </c>
      <c r="N12418" t="s">
        <v>10776</v>
      </c>
      <c r="O12418" t="s">
        <v>52</v>
      </c>
      <c r="P12418">
        <v>33322</v>
      </c>
      <c r="Q12418">
        <v>4620</v>
      </c>
      <c r="R12418" t="s">
        <v>23</v>
      </c>
      <c r="S12418" s="1" t="s">
        <v>34218</v>
      </c>
    </row>
    <row r="12419" spans="1:19" x14ac:dyDescent="0.25">
      <c r="A12419">
        <v>101452169</v>
      </c>
      <c r="B12419" t="s">
        <v>27155</v>
      </c>
      <c r="C12419" t="s">
        <v>27156</v>
      </c>
      <c r="G12419" t="s">
        <v>27157</v>
      </c>
      <c r="H12419" t="s">
        <v>14665</v>
      </c>
      <c r="I12419" t="s">
        <v>327</v>
      </c>
      <c r="J12419">
        <v>26554</v>
      </c>
      <c r="K12419">
        <v>4942</v>
      </c>
      <c r="L12419" t="s">
        <v>23</v>
      </c>
      <c r="M12419" t="s">
        <v>27157</v>
      </c>
      <c r="N12419" t="s">
        <v>14665</v>
      </c>
      <c r="O12419" t="s">
        <v>327</v>
      </c>
      <c r="P12419">
        <v>26554</v>
      </c>
      <c r="Q12419">
        <v>4942</v>
      </c>
      <c r="R12419" t="s">
        <v>23</v>
      </c>
      <c r="S12419" s="1" t="s">
        <v>34218</v>
      </c>
    </row>
    <row r="12420" spans="1:19" x14ac:dyDescent="0.25">
      <c r="A12420">
        <v>101306066</v>
      </c>
      <c r="B12420" t="s">
        <v>27158</v>
      </c>
      <c r="C12420" t="s">
        <v>27159</v>
      </c>
      <c r="G12420">
        <v>855</v>
      </c>
      <c r="H12420" t="s">
        <v>4570</v>
      </c>
      <c r="I12420" t="s">
        <v>22</v>
      </c>
      <c r="J12420">
        <v>90291</v>
      </c>
      <c r="L12420" t="s">
        <v>23</v>
      </c>
      <c r="M12420">
        <v>855</v>
      </c>
      <c r="N12420" t="s">
        <v>4570</v>
      </c>
      <c r="O12420" t="s">
        <v>22</v>
      </c>
      <c r="P12420">
        <v>90291</v>
      </c>
      <c r="R12420" t="s">
        <v>23</v>
      </c>
      <c r="S12420" s="1" t="s">
        <v>34218</v>
      </c>
    </row>
    <row r="12421" spans="1:19" x14ac:dyDescent="0.25">
      <c r="A12421">
        <v>101334006</v>
      </c>
      <c r="B12421" t="s">
        <v>3881</v>
      </c>
      <c r="C12421" t="s">
        <v>10704</v>
      </c>
      <c r="F12421" t="str">
        <f>"5555555555"</f>
        <v>5555555555</v>
      </c>
      <c r="G12421" t="s">
        <v>27160</v>
      </c>
      <c r="H12421" t="s">
        <v>174</v>
      </c>
      <c r="I12421" t="s">
        <v>22</v>
      </c>
      <c r="J12421">
        <v>93101</v>
      </c>
      <c r="K12421">
        <v>3128</v>
      </c>
      <c r="L12421" t="s">
        <v>23</v>
      </c>
      <c r="M12421" t="s">
        <v>27160</v>
      </c>
      <c r="N12421" t="s">
        <v>174</v>
      </c>
      <c r="O12421" t="s">
        <v>22</v>
      </c>
      <c r="P12421">
        <v>93101</v>
      </c>
      <c r="Q12421">
        <v>3128</v>
      </c>
      <c r="R12421" t="s">
        <v>23</v>
      </c>
      <c r="S12421" s="1" t="s">
        <v>34218</v>
      </c>
    </row>
    <row r="12422" spans="1:19" x14ac:dyDescent="0.25">
      <c r="A12422">
        <v>101474232</v>
      </c>
      <c r="B12422" t="s">
        <v>27161</v>
      </c>
      <c r="C12422" t="s">
        <v>158</v>
      </c>
      <c r="G12422" t="s">
        <v>27162</v>
      </c>
      <c r="H12422" t="s">
        <v>25107</v>
      </c>
      <c r="I12422" t="s">
        <v>187</v>
      </c>
      <c r="J12422">
        <v>55315</v>
      </c>
      <c r="K12422">
        <v>9710</v>
      </c>
      <c r="L12422" t="s">
        <v>23</v>
      </c>
      <c r="M12422" t="s">
        <v>27162</v>
      </c>
      <c r="N12422" t="s">
        <v>25107</v>
      </c>
      <c r="O12422" t="s">
        <v>187</v>
      </c>
      <c r="P12422">
        <v>55315</v>
      </c>
      <c r="Q12422">
        <v>9710</v>
      </c>
      <c r="R12422" t="s">
        <v>23</v>
      </c>
      <c r="S12422" s="1" t="s">
        <v>34218</v>
      </c>
    </row>
    <row r="12423" spans="1:19" x14ac:dyDescent="0.25">
      <c r="A12423">
        <v>100680398</v>
      </c>
      <c r="B12423" t="s">
        <v>18738</v>
      </c>
      <c r="C12423" t="s">
        <v>1623</v>
      </c>
      <c r="G12423" t="s">
        <v>27163</v>
      </c>
      <c r="H12423" t="s">
        <v>17339</v>
      </c>
      <c r="I12423" t="s">
        <v>236</v>
      </c>
      <c r="J12423">
        <v>2780</v>
      </c>
      <c r="K12423">
        <v>3162</v>
      </c>
      <c r="L12423" t="s">
        <v>23</v>
      </c>
      <c r="M12423" t="s">
        <v>27163</v>
      </c>
      <c r="N12423" t="s">
        <v>17339</v>
      </c>
      <c r="O12423" t="s">
        <v>236</v>
      </c>
      <c r="P12423">
        <v>2780</v>
      </c>
      <c r="Q12423">
        <v>3162</v>
      </c>
      <c r="R12423" t="s">
        <v>23</v>
      </c>
      <c r="S12423" s="1" t="s">
        <v>34218</v>
      </c>
    </row>
    <row r="12424" spans="1:19" x14ac:dyDescent="0.25">
      <c r="A12424">
        <v>101450181</v>
      </c>
      <c r="B12424" t="s">
        <v>14035</v>
      </c>
      <c r="C12424" t="s">
        <v>1658</v>
      </c>
      <c r="G12424" t="s">
        <v>27164</v>
      </c>
      <c r="H12424" t="s">
        <v>631</v>
      </c>
      <c r="I12424" t="s">
        <v>22</v>
      </c>
      <c r="J12424">
        <v>94945</v>
      </c>
      <c r="K12424">
        <v>1106</v>
      </c>
      <c r="L12424" t="s">
        <v>23</v>
      </c>
      <c r="M12424" t="s">
        <v>27164</v>
      </c>
      <c r="N12424" t="s">
        <v>631</v>
      </c>
      <c r="O12424" t="s">
        <v>22</v>
      </c>
      <c r="P12424">
        <v>94945</v>
      </c>
      <c r="Q12424">
        <v>1106</v>
      </c>
      <c r="R12424" t="s">
        <v>23</v>
      </c>
      <c r="S12424" s="1" t="s">
        <v>34218</v>
      </c>
    </row>
    <row r="12425" spans="1:19" x14ac:dyDescent="0.25">
      <c r="A12425">
        <v>101467074</v>
      </c>
      <c r="B12425" t="s">
        <v>27165</v>
      </c>
      <c r="C12425" t="s">
        <v>12606</v>
      </c>
      <c r="G12425" t="s">
        <v>27166</v>
      </c>
      <c r="H12425" t="s">
        <v>299</v>
      </c>
      <c r="I12425" t="s">
        <v>22</v>
      </c>
      <c r="J12425">
        <v>90019</v>
      </c>
      <c r="K12425">
        <v>1604</v>
      </c>
      <c r="L12425" t="s">
        <v>23</v>
      </c>
      <c r="M12425" t="s">
        <v>27166</v>
      </c>
      <c r="N12425" t="s">
        <v>299</v>
      </c>
      <c r="O12425" t="s">
        <v>22</v>
      </c>
      <c r="P12425">
        <v>90019</v>
      </c>
      <c r="Q12425">
        <v>1604</v>
      </c>
      <c r="R12425" t="s">
        <v>23</v>
      </c>
      <c r="S12425" s="1" t="s">
        <v>34218</v>
      </c>
    </row>
    <row r="12426" spans="1:19" x14ac:dyDescent="0.25">
      <c r="A12426">
        <v>101422531</v>
      </c>
      <c r="B12426" t="s">
        <v>3296</v>
      </c>
      <c r="C12426" t="s">
        <v>3774</v>
      </c>
      <c r="G12426" t="s">
        <v>27167</v>
      </c>
      <c r="H12426" t="s">
        <v>88</v>
      </c>
      <c r="I12426" t="s">
        <v>22</v>
      </c>
      <c r="J12426">
        <v>94619</v>
      </c>
      <c r="K12426">
        <v>3315</v>
      </c>
      <c r="L12426" t="s">
        <v>23</v>
      </c>
      <c r="M12426" t="s">
        <v>27167</v>
      </c>
      <c r="N12426" t="s">
        <v>88</v>
      </c>
      <c r="O12426" t="s">
        <v>22</v>
      </c>
      <c r="P12426">
        <v>94619</v>
      </c>
      <c r="Q12426">
        <v>3315</v>
      </c>
      <c r="R12426" t="s">
        <v>23</v>
      </c>
      <c r="S12426" s="1" t="s">
        <v>34218</v>
      </c>
    </row>
    <row r="12427" spans="1:19" x14ac:dyDescent="0.25">
      <c r="A12427">
        <v>101445433</v>
      </c>
      <c r="B12427" t="s">
        <v>27168</v>
      </c>
      <c r="C12427" t="s">
        <v>2497</v>
      </c>
      <c r="G12427">
        <v>26531</v>
      </c>
      <c r="H12427" t="s">
        <v>2266</v>
      </c>
      <c r="I12427" t="s">
        <v>84</v>
      </c>
      <c r="J12427">
        <v>98030</v>
      </c>
      <c r="L12427" t="s">
        <v>23</v>
      </c>
      <c r="M12427">
        <v>26531</v>
      </c>
      <c r="N12427" t="s">
        <v>2266</v>
      </c>
      <c r="O12427" t="s">
        <v>84</v>
      </c>
      <c r="P12427">
        <v>98030</v>
      </c>
      <c r="R12427" t="s">
        <v>23</v>
      </c>
      <c r="S12427" s="1" t="s">
        <v>34218</v>
      </c>
    </row>
    <row r="12428" spans="1:19" x14ac:dyDescent="0.25">
      <c r="A12428">
        <v>101470577</v>
      </c>
      <c r="B12428" t="s">
        <v>25675</v>
      </c>
      <c r="C12428" t="s">
        <v>281</v>
      </c>
      <c r="G12428" t="s">
        <v>27169</v>
      </c>
      <c r="H12428" t="s">
        <v>8438</v>
      </c>
      <c r="I12428" t="s">
        <v>187</v>
      </c>
      <c r="J12428">
        <v>55110</v>
      </c>
      <c r="K12428">
        <v>2327</v>
      </c>
      <c r="L12428" t="s">
        <v>23</v>
      </c>
      <c r="M12428" t="s">
        <v>27169</v>
      </c>
      <c r="N12428" t="s">
        <v>8438</v>
      </c>
      <c r="O12428" t="s">
        <v>187</v>
      </c>
      <c r="P12428">
        <v>55110</v>
      </c>
      <c r="Q12428">
        <v>2327</v>
      </c>
      <c r="R12428" t="s">
        <v>23</v>
      </c>
      <c r="S12428" s="1" t="s">
        <v>34218</v>
      </c>
    </row>
    <row r="12429" spans="1:19" x14ac:dyDescent="0.25">
      <c r="A12429">
        <v>101218185</v>
      </c>
      <c r="B12429" t="s">
        <v>27170</v>
      </c>
      <c r="C12429" t="s">
        <v>123</v>
      </c>
      <c r="G12429" t="s">
        <v>27171</v>
      </c>
      <c r="H12429" t="s">
        <v>27172</v>
      </c>
      <c r="I12429" t="s">
        <v>62</v>
      </c>
      <c r="J12429">
        <v>73505</v>
      </c>
      <c r="K12429">
        <v>7408</v>
      </c>
      <c r="L12429" t="s">
        <v>23</v>
      </c>
      <c r="M12429" t="s">
        <v>27171</v>
      </c>
      <c r="N12429" t="s">
        <v>27172</v>
      </c>
      <c r="O12429" t="s">
        <v>62</v>
      </c>
      <c r="P12429">
        <v>73505</v>
      </c>
      <c r="Q12429">
        <v>7408</v>
      </c>
      <c r="R12429" t="s">
        <v>23</v>
      </c>
      <c r="S12429" s="1" t="s">
        <v>34218</v>
      </c>
    </row>
    <row r="12430" spans="1:19" x14ac:dyDescent="0.25">
      <c r="A12430">
        <v>100528449</v>
      </c>
      <c r="B12430" t="s">
        <v>1685</v>
      </c>
      <c r="C12430" t="s">
        <v>1223</v>
      </c>
      <c r="G12430" t="s">
        <v>27173</v>
      </c>
      <c r="H12430" t="s">
        <v>20818</v>
      </c>
      <c r="I12430" t="s">
        <v>22</v>
      </c>
      <c r="J12430">
        <v>96130</v>
      </c>
      <c r="K12430">
        <v>4891</v>
      </c>
      <c r="L12430" t="s">
        <v>23</v>
      </c>
      <c r="M12430" t="s">
        <v>27173</v>
      </c>
      <c r="N12430" t="s">
        <v>20818</v>
      </c>
      <c r="O12430" t="s">
        <v>22</v>
      </c>
      <c r="P12430">
        <v>96130</v>
      </c>
      <c r="Q12430">
        <v>4891</v>
      </c>
      <c r="R12430" t="s">
        <v>23</v>
      </c>
      <c r="S12430" s="1" t="s">
        <v>34218</v>
      </c>
    </row>
    <row r="12431" spans="1:19" x14ac:dyDescent="0.25">
      <c r="A12431">
        <v>101453246</v>
      </c>
      <c r="B12431" t="s">
        <v>3779</v>
      </c>
      <c r="C12431" t="s">
        <v>123</v>
      </c>
      <c r="G12431" t="s">
        <v>27174</v>
      </c>
      <c r="H12431" t="s">
        <v>10113</v>
      </c>
      <c r="I12431" t="s">
        <v>353</v>
      </c>
      <c r="J12431">
        <v>3086</v>
      </c>
      <c r="K12431">
        <v>5011</v>
      </c>
      <c r="L12431" t="s">
        <v>23</v>
      </c>
      <c r="M12431" t="s">
        <v>27174</v>
      </c>
      <c r="N12431" t="s">
        <v>10113</v>
      </c>
      <c r="O12431" t="s">
        <v>353</v>
      </c>
      <c r="P12431">
        <v>3086</v>
      </c>
      <c r="Q12431">
        <v>5011</v>
      </c>
      <c r="R12431" t="s">
        <v>23</v>
      </c>
      <c r="S12431" s="1" t="s">
        <v>34218</v>
      </c>
    </row>
    <row r="12432" spans="1:19" x14ac:dyDescent="0.25">
      <c r="A12432">
        <v>100689383</v>
      </c>
      <c r="B12432" t="s">
        <v>6914</v>
      </c>
      <c r="C12432" t="s">
        <v>2557</v>
      </c>
      <c r="G12432" t="s">
        <v>27175</v>
      </c>
      <c r="H12432" t="s">
        <v>1594</v>
      </c>
      <c r="I12432" t="s">
        <v>84</v>
      </c>
      <c r="J12432">
        <v>98503</v>
      </c>
      <c r="K12432">
        <v>1636</v>
      </c>
      <c r="L12432" t="s">
        <v>23</v>
      </c>
      <c r="M12432" t="s">
        <v>27175</v>
      </c>
      <c r="N12432" t="s">
        <v>1594</v>
      </c>
      <c r="O12432" t="s">
        <v>84</v>
      </c>
      <c r="P12432">
        <v>98503</v>
      </c>
      <c r="Q12432">
        <v>1636</v>
      </c>
      <c r="R12432" t="s">
        <v>23</v>
      </c>
      <c r="S12432" s="1" t="s">
        <v>34218</v>
      </c>
    </row>
    <row r="12433" spans="1:19" x14ac:dyDescent="0.25">
      <c r="A12433">
        <v>101448144</v>
      </c>
      <c r="B12433" t="s">
        <v>27176</v>
      </c>
      <c r="C12433" t="s">
        <v>2127</v>
      </c>
      <c r="G12433" t="s">
        <v>27177</v>
      </c>
      <c r="H12433" t="s">
        <v>8405</v>
      </c>
      <c r="I12433" t="s">
        <v>140</v>
      </c>
      <c r="J12433">
        <v>49509</v>
      </c>
      <c r="K12433">
        <v>3908</v>
      </c>
      <c r="L12433" t="s">
        <v>23</v>
      </c>
      <c r="M12433" t="s">
        <v>27177</v>
      </c>
      <c r="N12433" t="s">
        <v>8405</v>
      </c>
      <c r="O12433" t="s">
        <v>140</v>
      </c>
      <c r="P12433">
        <v>49509</v>
      </c>
      <c r="Q12433">
        <v>3908</v>
      </c>
      <c r="R12433" t="s">
        <v>23</v>
      </c>
      <c r="S12433" s="1" t="s">
        <v>34218</v>
      </c>
    </row>
    <row r="12434" spans="1:19" x14ac:dyDescent="0.25">
      <c r="A12434">
        <v>101456128</v>
      </c>
      <c r="B12434" t="s">
        <v>27178</v>
      </c>
      <c r="C12434" t="s">
        <v>1616</v>
      </c>
      <c r="G12434" t="s">
        <v>27179</v>
      </c>
      <c r="H12434" t="s">
        <v>10093</v>
      </c>
      <c r="I12434" t="s">
        <v>84</v>
      </c>
      <c r="J12434">
        <v>98382</v>
      </c>
      <c r="K12434">
        <v>9565</v>
      </c>
      <c r="L12434" t="s">
        <v>23</v>
      </c>
      <c r="M12434" t="s">
        <v>27179</v>
      </c>
      <c r="N12434" t="s">
        <v>10093</v>
      </c>
      <c r="O12434" t="s">
        <v>84</v>
      </c>
      <c r="P12434">
        <v>98382</v>
      </c>
      <c r="Q12434">
        <v>9565</v>
      </c>
      <c r="R12434" t="s">
        <v>23</v>
      </c>
      <c r="S12434" s="1" t="s">
        <v>34218</v>
      </c>
    </row>
    <row r="12435" spans="1:19" x14ac:dyDescent="0.25">
      <c r="A12435">
        <v>100955764</v>
      </c>
      <c r="B12435" t="s">
        <v>2870</v>
      </c>
      <c r="C12435" t="s">
        <v>1479</v>
      </c>
      <c r="G12435" t="s">
        <v>27180</v>
      </c>
      <c r="H12435" t="s">
        <v>10487</v>
      </c>
      <c r="I12435" t="s">
        <v>565</v>
      </c>
      <c r="J12435">
        <v>52402</v>
      </c>
      <c r="K12435">
        <v>3475</v>
      </c>
      <c r="L12435" t="s">
        <v>23</v>
      </c>
      <c r="M12435" t="s">
        <v>27180</v>
      </c>
      <c r="N12435" t="s">
        <v>10487</v>
      </c>
      <c r="O12435" t="s">
        <v>565</v>
      </c>
      <c r="P12435">
        <v>52402</v>
      </c>
      <c r="Q12435">
        <v>3475</v>
      </c>
      <c r="R12435" t="s">
        <v>23</v>
      </c>
      <c r="S12435" s="1" t="s">
        <v>34218</v>
      </c>
    </row>
    <row r="12436" spans="1:19" x14ac:dyDescent="0.25">
      <c r="A12436">
        <v>101480771</v>
      </c>
      <c r="B12436" t="s">
        <v>27181</v>
      </c>
      <c r="C12436" t="s">
        <v>2127</v>
      </c>
      <c r="G12436" t="s">
        <v>27182</v>
      </c>
      <c r="H12436" t="s">
        <v>2218</v>
      </c>
      <c r="I12436" t="s">
        <v>161</v>
      </c>
      <c r="J12436">
        <v>6606</v>
      </c>
      <c r="L12436" t="s">
        <v>23</v>
      </c>
      <c r="M12436" t="s">
        <v>27182</v>
      </c>
      <c r="N12436" t="s">
        <v>2218</v>
      </c>
      <c r="O12436" t="s">
        <v>161</v>
      </c>
      <c r="P12436">
        <v>6606</v>
      </c>
      <c r="R12436" t="s">
        <v>23</v>
      </c>
      <c r="S12436" s="1" t="s">
        <v>34218</v>
      </c>
    </row>
    <row r="12437" spans="1:19" x14ac:dyDescent="0.25">
      <c r="A12437">
        <v>101451226</v>
      </c>
      <c r="B12437" t="s">
        <v>27183</v>
      </c>
      <c r="C12437" t="s">
        <v>6140</v>
      </c>
      <c r="G12437" t="s">
        <v>27184</v>
      </c>
      <c r="H12437" t="s">
        <v>2809</v>
      </c>
      <c r="I12437" t="s">
        <v>140</v>
      </c>
      <c r="J12437">
        <v>48237</v>
      </c>
      <c r="K12437">
        <v>1106</v>
      </c>
      <c r="L12437" t="s">
        <v>23</v>
      </c>
      <c r="M12437" t="s">
        <v>27184</v>
      </c>
      <c r="N12437" t="s">
        <v>2809</v>
      </c>
      <c r="O12437" t="s">
        <v>140</v>
      </c>
      <c r="P12437">
        <v>48237</v>
      </c>
      <c r="Q12437">
        <v>1106</v>
      </c>
      <c r="R12437" t="s">
        <v>23</v>
      </c>
      <c r="S12437" s="1" t="s">
        <v>34218</v>
      </c>
    </row>
    <row r="12438" spans="1:19" x14ac:dyDescent="0.25">
      <c r="A12438">
        <v>100519122</v>
      </c>
      <c r="B12438" t="s">
        <v>27185</v>
      </c>
      <c r="C12438" t="s">
        <v>54</v>
      </c>
      <c r="G12438" t="s">
        <v>27186</v>
      </c>
      <c r="H12438" t="s">
        <v>3680</v>
      </c>
      <c r="I12438" t="s">
        <v>565</v>
      </c>
      <c r="J12438">
        <v>52556</v>
      </c>
      <c r="K12438">
        <v>2260</v>
      </c>
      <c r="L12438" t="s">
        <v>23</v>
      </c>
      <c r="M12438" t="s">
        <v>27186</v>
      </c>
      <c r="N12438" t="s">
        <v>3680</v>
      </c>
      <c r="O12438" t="s">
        <v>565</v>
      </c>
      <c r="P12438">
        <v>52556</v>
      </c>
      <c r="Q12438">
        <v>2260</v>
      </c>
      <c r="R12438" t="s">
        <v>23</v>
      </c>
      <c r="S12438" s="1" t="s">
        <v>34218</v>
      </c>
    </row>
    <row r="12439" spans="1:19" x14ac:dyDescent="0.25">
      <c r="A12439">
        <v>101477645</v>
      </c>
      <c r="B12439" t="s">
        <v>1234</v>
      </c>
      <c r="C12439" t="s">
        <v>1602</v>
      </c>
      <c r="G12439" t="s">
        <v>27187</v>
      </c>
      <c r="H12439" t="s">
        <v>19712</v>
      </c>
      <c r="I12439" t="s">
        <v>187</v>
      </c>
      <c r="J12439">
        <v>55330</v>
      </c>
      <c r="K12439">
        <v>1846</v>
      </c>
      <c r="L12439" t="s">
        <v>23</v>
      </c>
      <c r="M12439" t="s">
        <v>27187</v>
      </c>
      <c r="N12439" t="s">
        <v>19712</v>
      </c>
      <c r="O12439" t="s">
        <v>187</v>
      </c>
      <c r="P12439">
        <v>55330</v>
      </c>
      <c r="Q12439">
        <v>1846</v>
      </c>
      <c r="R12439" t="s">
        <v>23</v>
      </c>
      <c r="S12439" s="1" t="s">
        <v>34218</v>
      </c>
    </row>
    <row r="12440" spans="1:19" x14ac:dyDescent="0.25">
      <c r="A12440">
        <v>101474041</v>
      </c>
      <c r="B12440" t="s">
        <v>80</v>
      </c>
      <c r="C12440" t="s">
        <v>466</v>
      </c>
      <c r="G12440" t="s">
        <v>27188</v>
      </c>
      <c r="H12440" t="s">
        <v>169</v>
      </c>
      <c r="I12440" t="s">
        <v>170</v>
      </c>
      <c r="J12440">
        <v>20016</v>
      </c>
      <c r="L12440" t="s">
        <v>23</v>
      </c>
      <c r="M12440" t="s">
        <v>27188</v>
      </c>
      <c r="N12440" t="s">
        <v>169</v>
      </c>
      <c r="O12440" t="s">
        <v>170</v>
      </c>
      <c r="P12440">
        <v>20016</v>
      </c>
      <c r="R12440" t="s">
        <v>23</v>
      </c>
      <c r="S12440" s="1" t="s">
        <v>34218</v>
      </c>
    </row>
    <row r="12441" spans="1:19" x14ac:dyDescent="0.25">
      <c r="A12441">
        <v>101480787</v>
      </c>
      <c r="B12441" t="s">
        <v>27189</v>
      </c>
      <c r="C12441" t="s">
        <v>110</v>
      </c>
      <c r="G12441" t="s">
        <v>27190</v>
      </c>
      <c r="H12441" t="s">
        <v>3847</v>
      </c>
      <c r="I12441" t="s">
        <v>22</v>
      </c>
      <c r="J12441">
        <v>92646</v>
      </c>
      <c r="K12441">
        <v>3327</v>
      </c>
      <c r="L12441" t="s">
        <v>23</v>
      </c>
      <c r="M12441" t="s">
        <v>27190</v>
      </c>
      <c r="N12441" t="s">
        <v>3847</v>
      </c>
      <c r="O12441" t="s">
        <v>22</v>
      </c>
      <c r="P12441">
        <v>92646</v>
      </c>
      <c r="Q12441">
        <v>3327</v>
      </c>
      <c r="R12441" t="s">
        <v>23</v>
      </c>
      <c r="S12441" s="1" t="s">
        <v>34218</v>
      </c>
    </row>
    <row r="12442" spans="1:19" x14ac:dyDescent="0.25">
      <c r="A12442">
        <v>101480790</v>
      </c>
      <c r="B12442" t="s">
        <v>19680</v>
      </c>
      <c r="C12442" t="s">
        <v>27191</v>
      </c>
      <c r="G12442" t="s">
        <v>27192</v>
      </c>
      <c r="H12442" t="s">
        <v>1674</v>
      </c>
      <c r="I12442" t="s">
        <v>22</v>
      </c>
      <c r="J12442">
        <v>91502</v>
      </c>
      <c r="K12442">
        <v>1825</v>
      </c>
      <c r="L12442" t="s">
        <v>23</v>
      </c>
      <c r="M12442" t="s">
        <v>27192</v>
      </c>
      <c r="N12442" t="s">
        <v>1674</v>
      </c>
      <c r="O12442" t="s">
        <v>22</v>
      </c>
      <c r="P12442">
        <v>91502</v>
      </c>
      <c r="Q12442">
        <v>1825</v>
      </c>
      <c r="R12442" t="s">
        <v>23</v>
      </c>
      <c r="S12442" s="1" t="s">
        <v>34218</v>
      </c>
    </row>
    <row r="12443" spans="1:19" x14ac:dyDescent="0.25">
      <c r="A12443">
        <v>101052442</v>
      </c>
      <c r="B12443" t="s">
        <v>27193</v>
      </c>
      <c r="C12443" t="s">
        <v>9823</v>
      </c>
      <c r="G12443" t="s">
        <v>27194</v>
      </c>
      <c r="H12443" t="s">
        <v>1092</v>
      </c>
      <c r="I12443" t="s">
        <v>203</v>
      </c>
      <c r="J12443">
        <v>82054</v>
      </c>
      <c r="L12443" t="s">
        <v>23</v>
      </c>
      <c r="M12443" t="s">
        <v>27194</v>
      </c>
      <c r="N12443" t="s">
        <v>1092</v>
      </c>
      <c r="O12443" t="s">
        <v>203</v>
      </c>
      <c r="P12443">
        <v>82054</v>
      </c>
      <c r="R12443" t="s">
        <v>23</v>
      </c>
      <c r="S12443" s="1" t="s">
        <v>34218</v>
      </c>
    </row>
    <row r="12444" spans="1:19" x14ac:dyDescent="0.25">
      <c r="A12444">
        <v>101480528</v>
      </c>
      <c r="B12444" t="s">
        <v>2189</v>
      </c>
      <c r="C12444" t="s">
        <v>27195</v>
      </c>
      <c r="G12444" t="s">
        <v>14164</v>
      </c>
      <c r="H12444" t="s">
        <v>27196</v>
      </c>
      <c r="I12444" t="s">
        <v>255</v>
      </c>
      <c r="J12444">
        <v>23462</v>
      </c>
      <c r="K12444">
        <v>1860</v>
      </c>
      <c r="L12444" t="s">
        <v>23</v>
      </c>
      <c r="M12444" t="s">
        <v>14164</v>
      </c>
      <c r="N12444" t="s">
        <v>27196</v>
      </c>
      <c r="O12444" t="s">
        <v>255</v>
      </c>
      <c r="P12444">
        <v>23462</v>
      </c>
      <c r="Q12444">
        <v>1860</v>
      </c>
      <c r="R12444" t="s">
        <v>23</v>
      </c>
      <c r="S12444" s="1" t="s">
        <v>34218</v>
      </c>
    </row>
    <row r="12445" spans="1:19" x14ac:dyDescent="0.25">
      <c r="A12445">
        <v>101476766</v>
      </c>
      <c r="B12445" t="s">
        <v>21535</v>
      </c>
      <c r="C12445" t="s">
        <v>2047</v>
      </c>
      <c r="G12445" t="s">
        <v>27197</v>
      </c>
      <c r="H12445" t="s">
        <v>1748</v>
      </c>
      <c r="I12445" t="s">
        <v>38</v>
      </c>
      <c r="J12445">
        <v>76013</v>
      </c>
      <c r="K12445">
        <v>2586</v>
      </c>
      <c r="L12445" t="s">
        <v>23</v>
      </c>
      <c r="M12445" t="s">
        <v>27197</v>
      </c>
      <c r="N12445" t="s">
        <v>1748</v>
      </c>
      <c r="O12445" t="s">
        <v>38</v>
      </c>
      <c r="P12445">
        <v>76013</v>
      </c>
      <c r="Q12445">
        <v>2586</v>
      </c>
      <c r="R12445" t="s">
        <v>23</v>
      </c>
      <c r="S12445" s="1" t="s">
        <v>34218</v>
      </c>
    </row>
    <row r="12446" spans="1:19" x14ac:dyDescent="0.25">
      <c r="A12446">
        <v>101476783</v>
      </c>
      <c r="B12446" t="s">
        <v>11122</v>
      </c>
      <c r="C12446" t="s">
        <v>867</v>
      </c>
      <c r="G12446" t="s">
        <v>27198</v>
      </c>
      <c r="H12446" t="s">
        <v>419</v>
      </c>
      <c r="I12446" t="s">
        <v>38</v>
      </c>
      <c r="J12446">
        <v>76110</v>
      </c>
      <c r="K12446">
        <v>6624</v>
      </c>
      <c r="L12446" t="s">
        <v>23</v>
      </c>
      <c r="M12446" t="s">
        <v>27198</v>
      </c>
      <c r="N12446" t="s">
        <v>419</v>
      </c>
      <c r="O12446" t="s">
        <v>38</v>
      </c>
      <c r="P12446">
        <v>76110</v>
      </c>
      <c r="Q12446">
        <v>6624</v>
      </c>
      <c r="R12446" t="s">
        <v>23</v>
      </c>
      <c r="S12446" s="1" t="s">
        <v>34218</v>
      </c>
    </row>
    <row r="12447" spans="1:19" x14ac:dyDescent="0.25">
      <c r="A12447">
        <v>101476800</v>
      </c>
      <c r="B12447" t="s">
        <v>744</v>
      </c>
      <c r="C12447" t="s">
        <v>4812</v>
      </c>
      <c r="G12447" t="s">
        <v>27199</v>
      </c>
      <c r="H12447" t="s">
        <v>17140</v>
      </c>
      <c r="I12447" t="s">
        <v>38</v>
      </c>
      <c r="J12447">
        <v>76549</v>
      </c>
      <c r="K12447">
        <v>2893</v>
      </c>
      <c r="L12447" t="s">
        <v>23</v>
      </c>
      <c r="M12447" t="s">
        <v>27199</v>
      </c>
      <c r="N12447" t="s">
        <v>17140</v>
      </c>
      <c r="O12447" t="s">
        <v>38</v>
      </c>
      <c r="P12447">
        <v>76549</v>
      </c>
      <c r="Q12447">
        <v>2893</v>
      </c>
      <c r="R12447" t="s">
        <v>23</v>
      </c>
      <c r="S12447" s="1" t="s">
        <v>34218</v>
      </c>
    </row>
    <row r="12448" spans="1:19" x14ac:dyDescent="0.25">
      <c r="A12448">
        <v>101476849</v>
      </c>
      <c r="B12448" t="s">
        <v>29</v>
      </c>
      <c r="C12448" t="s">
        <v>26443</v>
      </c>
      <c r="G12448" t="s">
        <v>27200</v>
      </c>
      <c r="H12448" t="s">
        <v>27201</v>
      </c>
      <c r="I12448" t="s">
        <v>126</v>
      </c>
      <c r="J12448">
        <v>64804</v>
      </c>
      <c r="K12448">
        <v>2170</v>
      </c>
      <c r="L12448" t="s">
        <v>23</v>
      </c>
      <c r="M12448" t="s">
        <v>27200</v>
      </c>
      <c r="N12448" t="s">
        <v>27201</v>
      </c>
      <c r="O12448" t="s">
        <v>126</v>
      </c>
      <c r="P12448">
        <v>64804</v>
      </c>
      <c r="Q12448">
        <v>2170</v>
      </c>
      <c r="R12448" t="s">
        <v>23</v>
      </c>
      <c r="S12448" s="1" t="s">
        <v>34218</v>
      </c>
    </row>
    <row r="12449" spans="1:19" x14ac:dyDescent="0.25">
      <c r="A12449">
        <v>101477066</v>
      </c>
      <c r="B12449" t="s">
        <v>27202</v>
      </c>
      <c r="C12449" t="s">
        <v>27203</v>
      </c>
      <c r="G12449" t="s">
        <v>27204</v>
      </c>
      <c r="H12449" t="s">
        <v>134</v>
      </c>
      <c r="I12449" t="s">
        <v>135</v>
      </c>
      <c r="J12449">
        <v>60606</v>
      </c>
      <c r="K12449">
        <v>1373</v>
      </c>
      <c r="L12449" t="s">
        <v>23</v>
      </c>
      <c r="M12449" t="s">
        <v>27204</v>
      </c>
      <c r="N12449" t="s">
        <v>134</v>
      </c>
      <c r="O12449" t="s">
        <v>135</v>
      </c>
      <c r="P12449">
        <v>60606</v>
      </c>
      <c r="Q12449">
        <v>1373</v>
      </c>
      <c r="R12449" t="s">
        <v>23</v>
      </c>
      <c r="S12449" s="1" t="s">
        <v>34218</v>
      </c>
    </row>
    <row r="12450" spans="1:19" x14ac:dyDescent="0.25">
      <c r="A12450">
        <v>101477102</v>
      </c>
      <c r="B12450" t="s">
        <v>1800</v>
      </c>
      <c r="C12450" t="s">
        <v>17660</v>
      </c>
      <c r="G12450" t="s">
        <v>27205</v>
      </c>
      <c r="H12450" t="s">
        <v>134</v>
      </c>
      <c r="I12450" t="s">
        <v>135</v>
      </c>
      <c r="J12450">
        <v>60647</v>
      </c>
      <c r="K12450">
        <v>1789</v>
      </c>
      <c r="L12450" t="s">
        <v>23</v>
      </c>
      <c r="M12450" t="s">
        <v>27205</v>
      </c>
      <c r="N12450" t="s">
        <v>134</v>
      </c>
      <c r="O12450" t="s">
        <v>135</v>
      </c>
      <c r="P12450">
        <v>60647</v>
      </c>
      <c r="Q12450">
        <v>1789</v>
      </c>
      <c r="R12450" t="s">
        <v>23</v>
      </c>
      <c r="S12450" s="1" t="s">
        <v>34218</v>
      </c>
    </row>
    <row r="12451" spans="1:19" x14ac:dyDescent="0.25">
      <c r="A12451">
        <v>101477136</v>
      </c>
      <c r="B12451" t="s">
        <v>27206</v>
      </c>
      <c r="C12451" t="s">
        <v>10596</v>
      </c>
      <c r="G12451" t="s">
        <v>27207</v>
      </c>
      <c r="H12451" t="s">
        <v>13152</v>
      </c>
      <c r="I12451" t="s">
        <v>135</v>
      </c>
      <c r="J12451">
        <v>61761</v>
      </c>
      <c r="K12451">
        <v>3218</v>
      </c>
      <c r="L12451" t="s">
        <v>23</v>
      </c>
      <c r="M12451" t="s">
        <v>27207</v>
      </c>
      <c r="N12451" t="s">
        <v>13152</v>
      </c>
      <c r="O12451" t="s">
        <v>135</v>
      </c>
      <c r="P12451">
        <v>61761</v>
      </c>
      <c r="Q12451">
        <v>3218</v>
      </c>
      <c r="R12451" t="s">
        <v>23</v>
      </c>
      <c r="S12451" s="1" t="s">
        <v>34218</v>
      </c>
    </row>
    <row r="12452" spans="1:19" x14ac:dyDescent="0.25">
      <c r="A12452">
        <v>101477285</v>
      </c>
      <c r="B12452" t="s">
        <v>27208</v>
      </c>
      <c r="C12452" t="s">
        <v>286</v>
      </c>
      <c r="G12452" t="s">
        <v>27209</v>
      </c>
      <c r="H12452" t="s">
        <v>2208</v>
      </c>
      <c r="I12452" t="s">
        <v>135</v>
      </c>
      <c r="J12452">
        <v>60014</v>
      </c>
      <c r="K12452">
        <v>6162</v>
      </c>
      <c r="L12452" t="s">
        <v>23</v>
      </c>
      <c r="M12452" t="s">
        <v>27209</v>
      </c>
      <c r="N12452" t="s">
        <v>2208</v>
      </c>
      <c r="O12452" t="s">
        <v>135</v>
      </c>
      <c r="P12452">
        <v>60014</v>
      </c>
      <c r="Q12452">
        <v>6162</v>
      </c>
      <c r="R12452" t="s">
        <v>23</v>
      </c>
      <c r="S12452" s="1" t="s">
        <v>34218</v>
      </c>
    </row>
    <row r="12453" spans="1:19" x14ac:dyDescent="0.25">
      <c r="A12453">
        <v>101477317</v>
      </c>
      <c r="B12453" t="s">
        <v>1827</v>
      </c>
      <c r="C12453" t="s">
        <v>1671</v>
      </c>
      <c r="G12453" t="s">
        <v>27210</v>
      </c>
      <c r="H12453" t="s">
        <v>10271</v>
      </c>
      <c r="I12453" t="s">
        <v>135</v>
      </c>
      <c r="J12453">
        <v>60115</v>
      </c>
      <c r="K12453">
        <v>4249</v>
      </c>
      <c r="L12453" t="s">
        <v>23</v>
      </c>
      <c r="M12453" t="s">
        <v>27210</v>
      </c>
      <c r="N12453" t="s">
        <v>10271</v>
      </c>
      <c r="O12453" t="s">
        <v>135</v>
      </c>
      <c r="P12453">
        <v>60115</v>
      </c>
      <c r="Q12453">
        <v>4249</v>
      </c>
      <c r="R12453" t="s">
        <v>23</v>
      </c>
      <c r="S12453" s="1" t="s">
        <v>34218</v>
      </c>
    </row>
    <row r="12454" spans="1:19" x14ac:dyDescent="0.25">
      <c r="A12454">
        <v>101477319</v>
      </c>
      <c r="B12454" t="s">
        <v>27211</v>
      </c>
      <c r="C12454" t="s">
        <v>27212</v>
      </c>
      <c r="G12454" t="s">
        <v>27213</v>
      </c>
      <c r="H12454" t="s">
        <v>27214</v>
      </c>
      <c r="I12454" t="s">
        <v>135</v>
      </c>
      <c r="J12454">
        <v>60130</v>
      </c>
      <c r="K12454">
        <v>1182</v>
      </c>
      <c r="L12454" t="s">
        <v>23</v>
      </c>
      <c r="M12454" t="s">
        <v>27213</v>
      </c>
      <c r="N12454" t="s">
        <v>27214</v>
      </c>
      <c r="O12454" t="s">
        <v>135</v>
      </c>
      <c r="P12454">
        <v>60130</v>
      </c>
      <c r="Q12454">
        <v>1182</v>
      </c>
      <c r="R12454" t="s">
        <v>23</v>
      </c>
      <c r="S12454" s="1" t="s">
        <v>34218</v>
      </c>
    </row>
    <row r="12455" spans="1:19" x14ac:dyDescent="0.25">
      <c r="A12455">
        <v>101477417</v>
      </c>
      <c r="B12455" t="s">
        <v>3696</v>
      </c>
      <c r="C12455" t="s">
        <v>2127</v>
      </c>
      <c r="G12455" t="s">
        <v>27215</v>
      </c>
      <c r="H12455" t="s">
        <v>1787</v>
      </c>
      <c r="I12455" t="s">
        <v>702</v>
      </c>
      <c r="J12455">
        <v>89128</v>
      </c>
      <c r="K12455">
        <v>7999</v>
      </c>
      <c r="L12455" t="s">
        <v>23</v>
      </c>
      <c r="M12455" t="s">
        <v>27215</v>
      </c>
      <c r="N12455" t="s">
        <v>1787</v>
      </c>
      <c r="O12455" t="s">
        <v>702</v>
      </c>
      <c r="P12455">
        <v>89128</v>
      </c>
      <c r="Q12455">
        <v>7999</v>
      </c>
      <c r="R12455" t="s">
        <v>23</v>
      </c>
      <c r="S12455" s="1" t="s">
        <v>34218</v>
      </c>
    </row>
    <row r="12456" spans="1:19" x14ac:dyDescent="0.25">
      <c r="A12456">
        <v>101477568</v>
      </c>
      <c r="B12456" t="s">
        <v>27216</v>
      </c>
      <c r="C12456" t="s">
        <v>1933</v>
      </c>
      <c r="G12456" t="s">
        <v>27217</v>
      </c>
      <c r="H12456" t="s">
        <v>27218</v>
      </c>
      <c r="I12456" t="s">
        <v>100</v>
      </c>
      <c r="J12456">
        <v>54650</v>
      </c>
      <c r="K12456">
        <v>3140</v>
      </c>
      <c r="L12456" t="s">
        <v>23</v>
      </c>
      <c r="M12456" t="s">
        <v>27217</v>
      </c>
      <c r="N12456" t="s">
        <v>27218</v>
      </c>
      <c r="O12456" t="s">
        <v>100</v>
      </c>
      <c r="P12456">
        <v>54650</v>
      </c>
      <c r="Q12456">
        <v>3140</v>
      </c>
      <c r="R12456" t="s">
        <v>23</v>
      </c>
      <c r="S12456" s="1" t="s">
        <v>34218</v>
      </c>
    </row>
    <row r="12457" spans="1:19" x14ac:dyDescent="0.25">
      <c r="A12457">
        <v>101477604</v>
      </c>
      <c r="B12457" t="s">
        <v>9679</v>
      </c>
      <c r="C12457" t="s">
        <v>1906</v>
      </c>
      <c r="G12457" t="s">
        <v>27219</v>
      </c>
      <c r="H12457" t="s">
        <v>21479</v>
      </c>
      <c r="I12457" t="s">
        <v>187</v>
      </c>
      <c r="J12457">
        <v>55044</v>
      </c>
      <c r="K12457">
        <v>7309</v>
      </c>
      <c r="L12457" t="s">
        <v>23</v>
      </c>
      <c r="M12457" t="s">
        <v>27219</v>
      </c>
      <c r="N12457" t="s">
        <v>21479</v>
      </c>
      <c r="O12457" t="s">
        <v>187</v>
      </c>
      <c r="P12457">
        <v>55044</v>
      </c>
      <c r="Q12457">
        <v>7309</v>
      </c>
      <c r="R12457" t="s">
        <v>23</v>
      </c>
      <c r="S12457" s="1" t="s">
        <v>34218</v>
      </c>
    </row>
    <row r="12458" spans="1:19" x14ac:dyDescent="0.25">
      <c r="A12458">
        <v>101477651</v>
      </c>
      <c r="B12458" t="s">
        <v>27220</v>
      </c>
      <c r="C12458" t="s">
        <v>282</v>
      </c>
      <c r="G12458" t="s">
        <v>27221</v>
      </c>
      <c r="H12458" t="s">
        <v>3470</v>
      </c>
      <c r="I12458" t="s">
        <v>187</v>
      </c>
      <c r="J12458">
        <v>55346</v>
      </c>
      <c r="K12458">
        <v>2533</v>
      </c>
      <c r="L12458" t="s">
        <v>23</v>
      </c>
      <c r="M12458" t="s">
        <v>27221</v>
      </c>
      <c r="N12458" t="s">
        <v>3470</v>
      </c>
      <c r="O12458" t="s">
        <v>187</v>
      </c>
      <c r="P12458">
        <v>55346</v>
      </c>
      <c r="Q12458">
        <v>2533</v>
      </c>
      <c r="R12458" t="s">
        <v>23</v>
      </c>
      <c r="S12458" s="1" t="s">
        <v>34218</v>
      </c>
    </row>
    <row r="12459" spans="1:19" x14ac:dyDescent="0.25">
      <c r="A12459">
        <v>101477670</v>
      </c>
      <c r="B12459" t="s">
        <v>27222</v>
      </c>
      <c r="C12459" t="s">
        <v>10596</v>
      </c>
      <c r="G12459" t="s">
        <v>27223</v>
      </c>
      <c r="H12459" t="s">
        <v>569</v>
      </c>
      <c r="I12459" t="s">
        <v>187</v>
      </c>
      <c r="J12459">
        <v>55421</v>
      </c>
      <c r="K12459">
        <v>5005</v>
      </c>
      <c r="L12459" t="s">
        <v>23</v>
      </c>
      <c r="M12459" t="s">
        <v>27223</v>
      </c>
      <c r="N12459" t="s">
        <v>569</v>
      </c>
      <c r="O12459" t="s">
        <v>187</v>
      </c>
      <c r="P12459">
        <v>55421</v>
      </c>
      <c r="Q12459">
        <v>5005</v>
      </c>
      <c r="R12459" t="s">
        <v>23</v>
      </c>
      <c r="S12459" s="1" t="s">
        <v>34218</v>
      </c>
    </row>
    <row r="12460" spans="1:19" x14ac:dyDescent="0.25">
      <c r="A12460">
        <v>101477768</v>
      </c>
      <c r="B12460" t="s">
        <v>27224</v>
      </c>
      <c r="C12460" t="s">
        <v>274</v>
      </c>
      <c r="G12460" t="s">
        <v>27225</v>
      </c>
      <c r="H12460" t="s">
        <v>723</v>
      </c>
      <c r="I12460" t="s">
        <v>365</v>
      </c>
      <c r="J12460">
        <v>86301</v>
      </c>
      <c r="K12460">
        <v>4431</v>
      </c>
      <c r="L12460" t="s">
        <v>23</v>
      </c>
      <c r="M12460" t="s">
        <v>27225</v>
      </c>
      <c r="N12460" t="s">
        <v>723</v>
      </c>
      <c r="O12460" t="s">
        <v>365</v>
      </c>
      <c r="P12460">
        <v>86301</v>
      </c>
      <c r="Q12460">
        <v>4431</v>
      </c>
      <c r="R12460" t="s">
        <v>23</v>
      </c>
      <c r="S12460" s="1" t="s">
        <v>34218</v>
      </c>
    </row>
    <row r="12461" spans="1:19" x14ac:dyDescent="0.25">
      <c r="A12461">
        <v>101477870</v>
      </c>
      <c r="B12461" t="s">
        <v>1800</v>
      </c>
      <c r="C12461" t="s">
        <v>27226</v>
      </c>
      <c r="G12461" t="s">
        <v>27227</v>
      </c>
      <c r="H12461" t="s">
        <v>1246</v>
      </c>
      <c r="I12461" t="s">
        <v>140</v>
      </c>
      <c r="J12461">
        <v>49525</v>
      </c>
      <c r="K12461">
        <v>1937</v>
      </c>
      <c r="L12461" t="s">
        <v>23</v>
      </c>
      <c r="M12461" t="s">
        <v>27227</v>
      </c>
      <c r="N12461" t="s">
        <v>1246</v>
      </c>
      <c r="O12461" t="s">
        <v>140</v>
      </c>
      <c r="P12461">
        <v>49525</v>
      </c>
      <c r="Q12461">
        <v>1937</v>
      </c>
      <c r="R12461" t="s">
        <v>23</v>
      </c>
      <c r="S12461" s="1" t="s">
        <v>34218</v>
      </c>
    </row>
    <row r="12462" spans="1:19" x14ac:dyDescent="0.25">
      <c r="A12462">
        <v>101477885</v>
      </c>
      <c r="B12462" t="s">
        <v>27008</v>
      </c>
      <c r="C12462" t="s">
        <v>403</v>
      </c>
      <c r="G12462" t="s">
        <v>27228</v>
      </c>
      <c r="H12462" t="s">
        <v>27229</v>
      </c>
      <c r="I12462" t="s">
        <v>140</v>
      </c>
      <c r="J12462">
        <v>49777</v>
      </c>
      <c r="K12462">
        <v>8420</v>
      </c>
      <c r="L12462" t="s">
        <v>23</v>
      </c>
      <c r="M12462" t="s">
        <v>27228</v>
      </c>
      <c r="N12462" t="s">
        <v>27229</v>
      </c>
      <c r="O12462" t="s">
        <v>140</v>
      </c>
      <c r="P12462">
        <v>49777</v>
      </c>
      <c r="Q12462">
        <v>8420</v>
      </c>
      <c r="R12462" t="s">
        <v>23</v>
      </c>
      <c r="S12462" s="1" t="s">
        <v>34218</v>
      </c>
    </row>
    <row r="12463" spans="1:19" x14ac:dyDescent="0.25">
      <c r="A12463">
        <v>101477887</v>
      </c>
      <c r="B12463" t="s">
        <v>4512</v>
      </c>
      <c r="C12463" t="s">
        <v>440</v>
      </c>
      <c r="G12463" t="s">
        <v>27230</v>
      </c>
      <c r="H12463" t="s">
        <v>27231</v>
      </c>
      <c r="I12463" t="s">
        <v>140</v>
      </c>
      <c r="J12463">
        <v>49783</v>
      </c>
      <c r="K12463">
        <v>1003</v>
      </c>
      <c r="L12463" t="s">
        <v>23</v>
      </c>
      <c r="M12463" t="s">
        <v>27230</v>
      </c>
      <c r="N12463" t="s">
        <v>27231</v>
      </c>
      <c r="O12463" t="s">
        <v>140</v>
      </c>
      <c r="P12463">
        <v>49783</v>
      </c>
      <c r="Q12463">
        <v>1003</v>
      </c>
      <c r="R12463" t="s">
        <v>23</v>
      </c>
      <c r="S12463" s="1" t="s">
        <v>34218</v>
      </c>
    </row>
    <row r="12464" spans="1:19" x14ac:dyDescent="0.25">
      <c r="A12464">
        <v>101477904</v>
      </c>
      <c r="B12464" t="s">
        <v>27232</v>
      </c>
      <c r="C12464" t="s">
        <v>1205</v>
      </c>
      <c r="G12464" t="s">
        <v>27233</v>
      </c>
      <c r="H12464" t="s">
        <v>27234</v>
      </c>
      <c r="I12464" t="s">
        <v>565</v>
      </c>
      <c r="J12464">
        <v>50461</v>
      </c>
      <c r="K12464">
        <v>8067</v>
      </c>
      <c r="L12464" t="s">
        <v>23</v>
      </c>
      <c r="M12464" t="s">
        <v>27233</v>
      </c>
      <c r="N12464" t="s">
        <v>27234</v>
      </c>
      <c r="O12464" t="s">
        <v>565</v>
      </c>
      <c r="P12464">
        <v>50461</v>
      </c>
      <c r="Q12464">
        <v>8067</v>
      </c>
      <c r="R12464" t="s">
        <v>23</v>
      </c>
      <c r="S12464" s="1" t="s">
        <v>34218</v>
      </c>
    </row>
    <row r="12465" spans="1:19" x14ac:dyDescent="0.25">
      <c r="A12465">
        <v>101477971</v>
      </c>
      <c r="B12465" t="s">
        <v>208</v>
      </c>
      <c r="C12465" t="s">
        <v>25</v>
      </c>
      <c r="G12465" t="s">
        <v>27235</v>
      </c>
      <c r="H12465" t="s">
        <v>12161</v>
      </c>
      <c r="I12465" t="s">
        <v>100</v>
      </c>
      <c r="J12465">
        <v>53172</v>
      </c>
      <c r="K12465">
        <v>1709</v>
      </c>
      <c r="L12465" t="s">
        <v>23</v>
      </c>
      <c r="M12465" t="s">
        <v>27235</v>
      </c>
      <c r="N12465" t="s">
        <v>12161</v>
      </c>
      <c r="O12465" t="s">
        <v>100</v>
      </c>
      <c r="P12465">
        <v>53172</v>
      </c>
      <c r="Q12465">
        <v>1709</v>
      </c>
      <c r="R12465" t="s">
        <v>23</v>
      </c>
      <c r="S12465" s="1" t="s">
        <v>34218</v>
      </c>
    </row>
    <row r="12466" spans="1:19" x14ac:dyDescent="0.25">
      <c r="A12466">
        <v>101477973</v>
      </c>
      <c r="B12466" t="s">
        <v>27236</v>
      </c>
      <c r="C12466" t="s">
        <v>119</v>
      </c>
      <c r="G12466" t="s">
        <v>27237</v>
      </c>
      <c r="H12466" t="s">
        <v>19726</v>
      </c>
      <c r="I12466" t="s">
        <v>100</v>
      </c>
      <c r="J12466">
        <v>53179</v>
      </c>
      <c r="K12466">
        <v>9703</v>
      </c>
      <c r="L12466" t="s">
        <v>23</v>
      </c>
      <c r="M12466" t="s">
        <v>27237</v>
      </c>
      <c r="N12466" t="s">
        <v>19726</v>
      </c>
      <c r="O12466" t="s">
        <v>100</v>
      </c>
      <c r="P12466">
        <v>53179</v>
      </c>
      <c r="Q12466">
        <v>9703</v>
      </c>
      <c r="R12466" t="s">
        <v>23</v>
      </c>
      <c r="S12466" s="1" t="s">
        <v>34218</v>
      </c>
    </row>
    <row r="12467" spans="1:19" x14ac:dyDescent="0.25">
      <c r="A12467">
        <v>101477990</v>
      </c>
      <c r="B12467" t="s">
        <v>27238</v>
      </c>
      <c r="C12467" t="s">
        <v>1107</v>
      </c>
      <c r="G12467" t="s">
        <v>27239</v>
      </c>
      <c r="H12467" t="s">
        <v>389</v>
      </c>
      <c r="I12467" t="s">
        <v>100</v>
      </c>
      <c r="J12467">
        <v>53226</v>
      </c>
      <c r="K12467">
        <v>4412</v>
      </c>
      <c r="L12467" t="s">
        <v>23</v>
      </c>
      <c r="M12467" t="s">
        <v>27239</v>
      </c>
      <c r="N12467" t="s">
        <v>389</v>
      </c>
      <c r="O12467" t="s">
        <v>100</v>
      </c>
      <c r="P12467">
        <v>53226</v>
      </c>
      <c r="Q12467">
        <v>4412</v>
      </c>
      <c r="R12467" t="s">
        <v>23</v>
      </c>
      <c r="S12467" s="1" t="s">
        <v>34218</v>
      </c>
    </row>
    <row r="12468" spans="1:19" x14ac:dyDescent="0.25">
      <c r="A12468">
        <v>101478090</v>
      </c>
      <c r="B12468" t="s">
        <v>1479</v>
      </c>
      <c r="C12468" t="s">
        <v>911</v>
      </c>
      <c r="G12468" t="s">
        <v>27240</v>
      </c>
      <c r="H12468" t="s">
        <v>331</v>
      </c>
      <c r="I12468" t="s">
        <v>332</v>
      </c>
      <c r="J12468">
        <v>84102</v>
      </c>
      <c r="K12468">
        <v>3104</v>
      </c>
      <c r="L12468" t="s">
        <v>23</v>
      </c>
      <c r="M12468" t="s">
        <v>27240</v>
      </c>
      <c r="N12468" t="s">
        <v>331</v>
      </c>
      <c r="O12468" t="s">
        <v>332</v>
      </c>
      <c r="P12468">
        <v>84102</v>
      </c>
      <c r="Q12468">
        <v>3104</v>
      </c>
      <c r="R12468" t="s">
        <v>23</v>
      </c>
      <c r="S12468" s="1" t="s">
        <v>34218</v>
      </c>
    </row>
    <row r="12469" spans="1:19" x14ac:dyDescent="0.25">
      <c r="A12469">
        <v>101478105</v>
      </c>
      <c r="B12469" t="s">
        <v>27241</v>
      </c>
      <c r="C12469" t="s">
        <v>27242</v>
      </c>
      <c r="G12469" t="s">
        <v>27243</v>
      </c>
      <c r="H12469" t="s">
        <v>2073</v>
      </c>
      <c r="I12469" t="s">
        <v>332</v>
      </c>
      <c r="J12469">
        <v>84129</v>
      </c>
      <c r="K12469">
        <v>3995</v>
      </c>
      <c r="L12469" t="s">
        <v>23</v>
      </c>
      <c r="M12469" t="s">
        <v>27243</v>
      </c>
      <c r="N12469" t="s">
        <v>2073</v>
      </c>
      <c r="O12469" t="s">
        <v>332</v>
      </c>
      <c r="P12469">
        <v>84129</v>
      </c>
      <c r="Q12469">
        <v>3995</v>
      </c>
      <c r="R12469" t="s">
        <v>23</v>
      </c>
      <c r="S12469" s="1" t="s">
        <v>34218</v>
      </c>
    </row>
    <row r="12470" spans="1:19" x14ac:dyDescent="0.25">
      <c r="A12470">
        <v>101478354</v>
      </c>
      <c r="B12470" t="s">
        <v>1204</v>
      </c>
      <c r="C12470" t="s">
        <v>1153</v>
      </c>
      <c r="G12470" t="s">
        <v>27244</v>
      </c>
      <c r="H12470" t="s">
        <v>1096</v>
      </c>
      <c r="I12470" t="s">
        <v>71</v>
      </c>
      <c r="J12470">
        <v>80027</v>
      </c>
      <c r="K12470">
        <v>1671</v>
      </c>
      <c r="L12470" t="s">
        <v>23</v>
      </c>
      <c r="M12470" t="s">
        <v>27244</v>
      </c>
      <c r="N12470" t="s">
        <v>1096</v>
      </c>
      <c r="O12470" t="s">
        <v>71</v>
      </c>
      <c r="P12470">
        <v>80027</v>
      </c>
      <c r="Q12470">
        <v>1671</v>
      </c>
      <c r="R12470" t="s">
        <v>23</v>
      </c>
      <c r="S12470" s="1" t="s">
        <v>34218</v>
      </c>
    </row>
    <row r="12471" spans="1:19" x14ac:dyDescent="0.25">
      <c r="A12471">
        <v>101480792</v>
      </c>
      <c r="B12471" t="s">
        <v>1505</v>
      </c>
      <c r="C12471" t="s">
        <v>27245</v>
      </c>
      <c r="G12471" t="s">
        <v>27246</v>
      </c>
      <c r="H12471" t="s">
        <v>913</v>
      </c>
      <c r="I12471" t="s">
        <v>914</v>
      </c>
      <c r="J12471">
        <v>37212</v>
      </c>
      <c r="K12471">
        <v>235</v>
      </c>
      <c r="L12471" t="s">
        <v>23</v>
      </c>
      <c r="M12471" t="s">
        <v>27246</v>
      </c>
      <c r="N12471" t="s">
        <v>913</v>
      </c>
      <c r="O12471" t="s">
        <v>914</v>
      </c>
      <c r="P12471">
        <v>37212</v>
      </c>
      <c r="Q12471">
        <v>235</v>
      </c>
      <c r="R12471" t="s">
        <v>23</v>
      </c>
      <c r="S12471" s="1" t="s">
        <v>34218</v>
      </c>
    </row>
    <row r="12472" spans="1:19" x14ac:dyDescent="0.25">
      <c r="A12472">
        <v>100949346</v>
      </c>
      <c r="B12472" t="s">
        <v>3386</v>
      </c>
      <c r="C12472" t="s">
        <v>466</v>
      </c>
      <c r="G12472" t="s">
        <v>27247</v>
      </c>
      <c r="H12472" t="s">
        <v>573</v>
      </c>
      <c r="I12472" t="s">
        <v>33</v>
      </c>
      <c r="J12472">
        <v>19122</v>
      </c>
      <c r="K12472">
        <v>1603</v>
      </c>
      <c r="L12472" t="s">
        <v>23</v>
      </c>
      <c r="M12472" t="s">
        <v>27247</v>
      </c>
      <c r="N12472" t="s">
        <v>573</v>
      </c>
      <c r="O12472" t="s">
        <v>33</v>
      </c>
      <c r="P12472">
        <v>19122</v>
      </c>
      <c r="Q12472">
        <v>1603</v>
      </c>
      <c r="R12472" t="s">
        <v>23</v>
      </c>
      <c r="S12472" s="1" t="s">
        <v>34218</v>
      </c>
    </row>
    <row r="12473" spans="1:19" x14ac:dyDescent="0.25">
      <c r="A12473">
        <v>100944905</v>
      </c>
      <c r="B12473" t="s">
        <v>27248</v>
      </c>
      <c r="C12473" t="s">
        <v>3113</v>
      </c>
      <c r="G12473" t="s">
        <v>27249</v>
      </c>
      <c r="H12473" t="s">
        <v>3745</v>
      </c>
      <c r="I12473" t="s">
        <v>38</v>
      </c>
      <c r="J12473">
        <v>75106</v>
      </c>
      <c r="L12473" t="s">
        <v>23</v>
      </c>
      <c r="M12473" t="s">
        <v>27249</v>
      </c>
      <c r="N12473" t="s">
        <v>3745</v>
      </c>
      <c r="O12473" t="s">
        <v>38</v>
      </c>
      <c r="P12473">
        <v>75106</v>
      </c>
      <c r="R12473" t="s">
        <v>23</v>
      </c>
      <c r="S12473" s="1" t="s">
        <v>34218</v>
      </c>
    </row>
    <row r="12474" spans="1:19" x14ac:dyDescent="0.25">
      <c r="A12474">
        <v>101475470</v>
      </c>
      <c r="B12474" t="s">
        <v>3138</v>
      </c>
      <c r="C12474" t="s">
        <v>26896</v>
      </c>
      <c r="G12474" t="s">
        <v>27250</v>
      </c>
      <c r="H12474" t="s">
        <v>2309</v>
      </c>
      <c r="I12474" t="s">
        <v>2310</v>
      </c>
      <c r="J12474">
        <v>19810</v>
      </c>
      <c r="K12474">
        <v>3566</v>
      </c>
      <c r="L12474" t="s">
        <v>23</v>
      </c>
      <c r="M12474" t="s">
        <v>27250</v>
      </c>
      <c r="N12474" t="s">
        <v>2309</v>
      </c>
      <c r="O12474" t="s">
        <v>2310</v>
      </c>
      <c r="P12474">
        <v>19810</v>
      </c>
      <c r="Q12474">
        <v>3566</v>
      </c>
      <c r="R12474" t="s">
        <v>23</v>
      </c>
      <c r="S12474" s="1" t="s">
        <v>34218</v>
      </c>
    </row>
    <row r="12475" spans="1:19" x14ac:dyDescent="0.25">
      <c r="A12475">
        <v>101259121</v>
      </c>
      <c r="B12475" t="s">
        <v>401</v>
      </c>
      <c r="C12475" t="s">
        <v>155</v>
      </c>
      <c r="G12475" t="s">
        <v>20532</v>
      </c>
      <c r="H12475" t="s">
        <v>1557</v>
      </c>
      <c r="I12475" t="s">
        <v>914</v>
      </c>
      <c r="J12475">
        <v>38503</v>
      </c>
      <c r="K12475">
        <v>1298</v>
      </c>
      <c r="L12475" t="s">
        <v>23</v>
      </c>
      <c r="M12475" t="s">
        <v>20532</v>
      </c>
      <c r="N12475" t="s">
        <v>1557</v>
      </c>
      <c r="O12475" t="s">
        <v>914</v>
      </c>
      <c r="P12475">
        <v>38503</v>
      </c>
      <c r="Q12475">
        <v>1298</v>
      </c>
      <c r="R12475" t="s">
        <v>23</v>
      </c>
      <c r="S12475" s="1" t="s">
        <v>34218</v>
      </c>
    </row>
    <row r="12476" spans="1:19" x14ac:dyDescent="0.25">
      <c r="A12476">
        <v>101480805</v>
      </c>
      <c r="B12476" t="s">
        <v>27251</v>
      </c>
      <c r="C12476" t="s">
        <v>27252</v>
      </c>
      <c r="G12476" t="s">
        <v>27253</v>
      </c>
      <c r="H12476" t="s">
        <v>19040</v>
      </c>
      <c r="I12476" t="s">
        <v>1482</v>
      </c>
      <c r="J12476">
        <v>29909</v>
      </c>
      <c r="K12476">
        <v>6141</v>
      </c>
      <c r="L12476" t="s">
        <v>23</v>
      </c>
      <c r="M12476" t="s">
        <v>27253</v>
      </c>
      <c r="N12476" t="s">
        <v>19040</v>
      </c>
      <c r="O12476" t="s">
        <v>1482</v>
      </c>
      <c r="P12476">
        <v>29909</v>
      </c>
      <c r="Q12476">
        <v>6141</v>
      </c>
      <c r="R12476" t="s">
        <v>23</v>
      </c>
      <c r="S12476" s="1" t="s">
        <v>34218</v>
      </c>
    </row>
    <row r="12477" spans="1:19" x14ac:dyDescent="0.25">
      <c r="A12477">
        <v>101432728</v>
      </c>
      <c r="B12477" t="s">
        <v>1274</v>
      </c>
      <c r="C12477" t="s">
        <v>11755</v>
      </c>
      <c r="G12477" t="s">
        <v>27254</v>
      </c>
      <c r="H12477" t="s">
        <v>2086</v>
      </c>
      <c r="I12477" t="s">
        <v>178</v>
      </c>
      <c r="J12477">
        <v>45211</v>
      </c>
      <c r="K12477">
        <v>2610</v>
      </c>
      <c r="L12477" t="s">
        <v>23</v>
      </c>
      <c r="M12477" t="s">
        <v>27254</v>
      </c>
      <c r="N12477" t="s">
        <v>2086</v>
      </c>
      <c r="O12477" t="s">
        <v>178</v>
      </c>
      <c r="P12477">
        <v>45211</v>
      </c>
      <c r="Q12477">
        <v>2610</v>
      </c>
      <c r="R12477" t="s">
        <v>23</v>
      </c>
      <c r="S12477" s="1" t="s">
        <v>34218</v>
      </c>
    </row>
    <row r="12478" spans="1:19" x14ac:dyDescent="0.25">
      <c r="A12478">
        <v>101480808</v>
      </c>
      <c r="B12478" t="s">
        <v>27255</v>
      </c>
      <c r="C12478" t="s">
        <v>699</v>
      </c>
      <c r="G12478" t="s">
        <v>27256</v>
      </c>
      <c r="H12478" t="s">
        <v>9229</v>
      </c>
      <c r="I12478" t="s">
        <v>52</v>
      </c>
      <c r="J12478">
        <v>33908</v>
      </c>
      <c r="K12478">
        <v>6222</v>
      </c>
      <c r="L12478" t="s">
        <v>23</v>
      </c>
      <c r="M12478" t="s">
        <v>27256</v>
      </c>
      <c r="N12478" t="s">
        <v>9229</v>
      </c>
      <c r="O12478" t="s">
        <v>52</v>
      </c>
      <c r="P12478">
        <v>33908</v>
      </c>
      <c r="Q12478">
        <v>6222</v>
      </c>
      <c r="R12478" t="s">
        <v>23</v>
      </c>
      <c r="S12478" s="1" t="s">
        <v>34218</v>
      </c>
    </row>
    <row r="12479" spans="1:19" x14ac:dyDescent="0.25">
      <c r="A12479">
        <v>101477206</v>
      </c>
      <c r="B12479" t="s">
        <v>27257</v>
      </c>
      <c r="C12479" t="s">
        <v>846</v>
      </c>
      <c r="G12479" t="s">
        <v>27258</v>
      </c>
      <c r="H12479" t="s">
        <v>125</v>
      </c>
      <c r="I12479" t="s">
        <v>126</v>
      </c>
      <c r="J12479">
        <v>63143</v>
      </c>
      <c r="K12479">
        <v>3230</v>
      </c>
      <c r="L12479" t="s">
        <v>23</v>
      </c>
      <c r="M12479" t="s">
        <v>27258</v>
      </c>
      <c r="N12479" t="s">
        <v>125</v>
      </c>
      <c r="O12479" t="s">
        <v>126</v>
      </c>
      <c r="P12479">
        <v>63143</v>
      </c>
      <c r="Q12479">
        <v>3230</v>
      </c>
      <c r="R12479" t="s">
        <v>23</v>
      </c>
      <c r="S12479" s="1" t="s">
        <v>34218</v>
      </c>
    </row>
    <row r="12480" spans="1:19" x14ac:dyDescent="0.25">
      <c r="A12480">
        <v>101292298</v>
      </c>
      <c r="B12480" t="s">
        <v>27259</v>
      </c>
      <c r="C12480" t="s">
        <v>27260</v>
      </c>
      <c r="G12480" t="s">
        <v>27261</v>
      </c>
      <c r="H12480" t="s">
        <v>1325</v>
      </c>
      <c r="I12480" t="s">
        <v>22</v>
      </c>
      <c r="J12480">
        <v>94306</v>
      </c>
      <c r="K12480">
        <v>1236</v>
      </c>
      <c r="L12480" t="s">
        <v>23</v>
      </c>
      <c r="M12480" t="s">
        <v>27261</v>
      </c>
      <c r="N12480" t="s">
        <v>1325</v>
      </c>
      <c r="O12480" t="s">
        <v>22</v>
      </c>
      <c r="P12480">
        <v>94306</v>
      </c>
      <c r="Q12480">
        <v>1236</v>
      </c>
      <c r="R12480" t="s">
        <v>23</v>
      </c>
      <c r="S12480" s="1" t="s">
        <v>34218</v>
      </c>
    </row>
    <row r="12481" spans="1:19" x14ac:dyDescent="0.25">
      <c r="A12481">
        <v>100646979</v>
      </c>
      <c r="B12481" t="s">
        <v>13625</v>
      </c>
      <c r="C12481" t="s">
        <v>6584</v>
      </c>
      <c r="G12481" t="s">
        <v>13626</v>
      </c>
      <c r="H12481" t="s">
        <v>6881</v>
      </c>
      <c r="I12481" t="s">
        <v>52</v>
      </c>
      <c r="J12481">
        <v>33062</v>
      </c>
      <c r="K12481">
        <v>5968</v>
      </c>
      <c r="L12481" t="s">
        <v>23</v>
      </c>
      <c r="M12481" t="s">
        <v>13626</v>
      </c>
      <c r="N12481" t="s">
        <v>6881</v>
      </c>
      <c r="O12481" t="s">
        <v>52</v>
      </c>
      <c r="P12481">
        <v>33062</v>
      </c>
      <c r="Q12481">
        <v>5968</v>
      </c>
      <c r="R12481" t="s">
        <v>23</v>
      </c>
      <c r="S12481" s="1" t="s">
        <v>34218</v>
      </c>
    </row>
    <row r="12482" spans="1:19" x14ac:dyDescent="0.25">
      <c r="A12482">
        <v>101430013</v>
      </c>
      <c r="B12482" t="s">
        <v>27262</v>
      </c>
      <c r="C12482" t="s">
        <v>4895</v>
      </c>
      <c r="G12482" t="s">
        <v>27263</v>
      </c>
      <c r="H12482" t="s">
        <v>3553</v>
      </c>
      <c r="I12482" t="s">
        <v>22</v>
      </c>
      <c r="J12482">
        <v>92220</v>
      </c>
      <c r="L12482" t="s">
        <v>23</v>
      </c>
      <c r="M12482" t="s">
        <v>27263</v>
      </c>
      <c r="N12482" t="s">
        <v>3553</v>
      </c>
      <c r="O12482" t="s">
        <v>22</v>
      </c>
      <c r="P12482">
        <v>92220</v>
      </c>
      <c r="R12482" t="s">
        <v>23</v>
      </c>
      <c r="S12482" s="1" t="s">
        <v>34218</v>
      </c>
    </row>
    <row r="12483" spans="1:19" x14ac:dyDescent="0.25">
      <c r="A12483">
        <v>101480816</v>
      </c>
      <c r="B12483" t="s">
        <v>27264</v>
      </c>
      <c r="C12483" t="s">
        <v>281</v>
      </c>
      <c r="G12483" t="s">
        <v>27265</v>
      </c>
      <c r="H12483" t="s">
        <v>393</v>
      </c>
      <c r="I12483" t="s">
        <v>71</v>
      </c>
      <c r="J12483">
        <v>80210</v>
      </c>
      <c r="K12483">
        <v>2314</v>
      </c>
      <c r="L12483" t="s">
        <v>23</v>
      </c>
      <c r="M12483" t="s">
        <v>27265</v>
      </c>
      <c r="N12483" t="s">
        <v>393</v>
      </c>
      <c r="O12483" t="s">
        <v>71</v>
      </c>
      <c r="P12483">
        <v>80210</v>
      </c>
      <c r="Q12483">
        <v>2314</v>
      </c>
      <c r="R12483" t="s">
        <v>23</v>
      </c>
      <c r="S12483" s="1" t="s">
        <v>34218</v>
      </c>
    </row>
    <row r="12484" spans="1:19" x14ac:dyDescent="0.25">
      <c r="A12484">
        <v>101480820</v>
      </c>
      <c r="B12484" t="s">
        <v>27266</v>
      </c>
      <c r="C12484" t="s">
        <v>27267</v>
      </c>
      <c r="G12484" t="s">
        <v>27268</v>
      </c>
      <c r="H12484" t="s">
        <v>27269</v>
      </c>
      <c r="I12484" t="s">
        <v>43</v>
      </c>
      <c r="J12484">
        <v>3080</v>
      </c>
      <c r="L12484" t="s">
        <v>23</v>
      </c>
      <c r="M12484" t="s">
        <v>27268</v>
      </c>
      <c r="N12484" t="s">
        <v>27269</v>
      </c>
      <c r="O12484" t="s">
        <v>43</v>
      </c>
      <c r="P12484">
        <v>3080</v>
      </c>
      <c r="R12484" t="s">
        <v>23</v>
      </c>
      <c r="S12484" s="1" t="s">
        <v>34218</v>
      </c>
    </row>
    <row r="12485" spans="1:19" x14ac:dyDescent="0.25">
      <c r="A12485">
        <v>101221620</v>
      </c>
      <c r="B12485" t="s">
        <v>2970</v>
      </c>
      <c r="C12485" t="s">
        <v>4124</v>
      </c>
      <c r="G12485" t="s">
        <v>27270</v>
      </c>
      <c r="H12485" t="s">
        <v>299</v>
      </c>
      <c r="I12485" t="s">
        <v>22</v>
      </c>
      <c r="J12485">
        <v>90017</v>
      </c>
      <c r="K12485">
        <v>1110</v>
      </c>
      <c r="L12485" t="s">
        <v>23</v>
      </c>
      <c r="M12485" t="s">
        <v>27270</v>
      </c>
      <c r="N12485" t="s">
        <v>299</v>
      </c>
      <c r="O12485" t="s">
        <v>22</v>
      </c>
      <c r="P12485">
        <v>90017</v>
      </c>
      <c r="Q12485">
        <v>1110</v>
      </c>
      <c r="R12485" t="s">
        <v>23</v>
      </c>
      <c r="S12485" s="1" t="s">
        <v>34218</v>
      </c>
    </row>
    <row r="12486" spans="1:19" x14ac:dyDescent="0.25">
      <c r="A12486">
        <v>101480827</v>
      </c>
      <c r="B12486" t="s">
        <v>27271</v>
      </c>
      <c r="C12486" t="s">
        <v>27272</v>
      </c>
      <c r="G12486" t="s">
        <v>27273</v>
      </c>
      <c r="H12486" t="s">
        <v>27274</v>
      </c>
      <c r="I12486" t="s">
        <v>9752</v>
      </c>
      <c r="J12486">
        <v>717</v>
      </c>
      <c r="K12486">
        <v>569</v>
      </c>
      <c r="L12486" t="s">
        <v>23</v>
      </c>
      <c r="M12486" t="s">
        <v>27273</v>
      </c>
      <c r="N12486" t="s">
        <v>27274</v>
      </c>
      <c r="O12486" t="s">
        <v>9752</v>
      </c>
      <c r="P12486">
        <v>717</v>
      </c>
      <c r="Q12486">
        <v>569</v>
      </c>
      <c r="R12486" t="s">
        <v>23</v>
      </c>
      <c r="S12486" s="1" t="s">
        <v>34218</v>
      </c>
    </row>
    <row r="12487" spans="1:19" x14ac:dyDescent="0.25">
      <c r="A12487">
        <v>101480831</v>
      </c>
      <c r="B12487" t="s">
        <v>27275</v>
      </c>
      <c r="C12487" t="s">
        <v>158</v>
      </c>
      <c r="G12487" t="s">
        <v>27276</v>
      </c>
      <c r="H12487" t="s">
        <v>855</v>
      </c>
      <c r="I12487" t="s">
        <v>84</v>
      </c>
      <c r="J12487">
        <v>98368</v>
      </c>
      <c r="K12487">
        <v>7153</v>
      </c>
      <c r="L12487" t="s">
        <v>23</v>
      </c>
      <c r="M12487" t="s">
        <v>27276</v>
      </c>
      <c r="N12487" t="s">
        <v>855</v>
      </c>
      <c r="O12487" t="s">
        <v>84</v>
      </c>
      <c r="P12487">
        <v>98368</v>
      </c>
      <c r="Q12487">
        <v>7153</v>
      </c>
      <c r="R12487" t="s">
        <v>23</v>
      </c>
      <c r="S12487" s="1" t="s">
        <v>34218</v>
      </c>
    </row>
    <row r="12488" spans="1:19" x14ac:dyDescent="0.25">
      <c r="A12488">
        <v>101480835</v>
      </c>
      <c r="B12488" t="s">
        <v>10648</v>
      </c>
      <c r="C12488" t="s">
        <v>1588</v>
      </c>
      <c r="G12488" t="s">
        <v>27277</v>
      </c>
      <c r="H12488" t="s">
        <v>2020</v>
      </c>
      <c r="I12488" t="s">
        <v>100</v>
      </c>
      <c r="J12488">
        <v>54915</v>
      </c>
      <c r="K12488">
        <v>8197</v>
      </c>
      <c r="L12488" t="s">
        <v>23</v>
      </c>
      <c r="M12488" t="s">
        <v>27277</v>
      </c>
      <c r="N12488" t="s">
        <v>2020</v>
      </c>
      <c r="O12488" t="s">
        <v>100</v>
      </c>
      <c r="P12488">
        <v>54915</v>
      </c>
      <c r="Q12488">
        <v>8197</v>
      </c>
      <c r="R12488" t="s">
        <v>23</v>
      </c>
      <c r="S12488" s="1" t="s">
        <v>34218</v>
      </c>
    </row>
    <row r="12489" spans="1:19" x14ac:dyDescent="0.25">
      <c r="A12489">
        <v>101481563</v>
      </c>
      <c r="B12489" t="s">
        <v>27278</v>
      </c>
      <c r="C12489" t="s">
        <v>1506</v>
      </c>
      <c r="G12489" t="s">
        <v>27279</v>
      </c>
      <c r="H12489" t="s">
        <v>19229</v>
      </c>
      <c r="I12489" t="s">
        <v>984</v>
      </c>
      <c r="J12489">
        <v>96719</v>
      </c>
      <c r="K12489">
        <v>8900</v>
      </c>
      <c r="L12489" t="s">
        <v>23</v>
      </c>
      <c r="M12489" t="s">
        <v>27279</v>
      </c>
      <c r="N12489" t="s">
        <v>19229</v>
      </c>
      <c r="O12489" t="s">
        <v>984</v>
      </c>
      <c r="P12489">
        <v>96719</v>
      </c>
      <c r="Q12489">
        <v>8900</v>
      </c>
      <c r="R12489" t="s">
        <v>23</v>
      </c>
      <c r="S12489" s="1" t="s">
        <v>34218</v>
      </c>
    </row>
    <row r="12490" spans="1:19" x14ac:dyDescent="0.25">
      <c r="A12490">
        <v>100638120</v>
      </c>
      <c r="B12490" t="s">
        <v>2300</v>
      </c>
      <c r="C12490" t="s">
        <v>180</v>
      </c>
      <c r="F12490" t="str">
        <f>"6268626969"</f>
        <v>6268626969</v>
      </c>
      <c r="G12490" t="s">
        <v>27280</v>
      </c>
      <c r="H12490" t="s">
        <v>15116</v>
      </c>
      <c r="I12490" t="s">
        <v>22</v>
      </c>
      <c r="J12490">
        <v>91030</v>
      </c>
      <c r="K12490">
        <v>2254</v>
      </c>
      <c r="L12490" t="s">
        <v>23</v>
      </c>
      <c r="M12490" t="s">
        <v>27280</v>
      </c>
      <c r="N12490" t="s">
        <v>15116</v>
      </c>
      <c r="O12490" t="s">
        <v>22</v>
      </c>
      <c r="P12490">
        <v>91030</v>
      </c>
      <c r="Q12490">
        <v>2254</v>
      </c>
      <c r="R12490" t="s">
        <v>23</v>
      </c>
      <c r="S12490" s="1" t="s">
        <v>34218</v>
      </c>
    </row>
    <row r="12491" spans="1:19" x14ac:dyDescent="0.25">
      <c r="A12491">
        <v>101431085</v>
      </c>
      <c r="B12491" t="s">
        <v>27281</v>
      </c>
      <c r="C12491" t="s">
        <v>1506</v>
      </c>
      <c r="G12491" t="s">
        <v>27282</v>
      </c>
      <c r="H12491" t="s">
        <v>2476</v>
      </c>
      <c r="I12491" t="s">
        <v>187</v>
      </c>
      <c r="J12491">
        <v>56736</v>
      </c>
      <c r="K12491">
        <v>9427</v>
      </c>
      <c r="L12491" t="s">
        <v>23</v>
      </c>
      <c r="M12491" t="s">
        <v>27282</v>
      </c>
      <c r="N12491" t="s">
        <v>2476</v>
      </c>
      <c r="O12491" t="s">
        <v>187</v>
      </c>
      <c r="P12491">
        <v>56736</v>
      </c>
      <c r="Q12491">
        <v>9427</v>
      </c>
      <c r="R12491" t="s">
        <v>23</v>
      </c>
      <c r="S12491" s="1" t="s">
        <v>34218</v>
      </c>
    </row>
    <row r="12492" spans="1:19" x14ac:dyDescent="0.25">
      <c r="A12492">
        <v>101297990</v>
      </c>
      <c r="B12492" t="s">
        <v>27283</v>
      </c>
      <c r="C12492" t="s">
        <v>1212</v>
      </c>
      <c r="G12492">
        <v>14041</v>
      </c>
      <c r="H12492" t="s">
        <v>1531</v>
      </c>
      <c r="I12492" t="s">
        <v>84</v>
      </c>
      <c r="J12492">
        <v>98125</v>
      </c>
      <c r="L12492" t="s">
        <v>23</v>
      </c>
      <c r="M12492">
        <v>14041</v>
      </c>
      <c r="N12492" t="s">
        <v>1531</v>
      </c>
      <c r="O12492" t="s">
        <v>84</v>
      </c>
      <c r="P12492">
        <v>98125</v>
      </c>
      <c r="R12492" t="s">
        <v>23</v>
      </c>
      <c r="S12492" s="1" t="s">
        <v>34218</v>
      </c>
    </row>
    <row r="12493" spans="1:19" x14ac:dyDescent="0.25">
      <c r="A12493">
        <v>101430419</v>
      </c>
      <c r="B12493" t="s">
        <v>8489</v>
      </c>
      <c r="C12493" t="s">
        <v>777</v>
      </c>
      <c r="G12493" t="s">
        <v>27284</v>
      </c>
      <c r="H12493" t="s">
        <v>369</v>
      </c>
      <c r="I12493" t="s">
        <v>370</v>
      </c>
      <c r="J12493">
        <v>68528</v>
      </c>
      <c r="K12493">
        <v>2301</v>
      </c>
      <c r="L12493" t="s">
        <v>23</v>
      </c>
      <c r="M12493" t="s">
        <v>27284</v>
      </c>
      <c r="N12493" t="s">
        <v>369</v>
      </c>
      <c r="O12493" t="s">
        <v>370</v>
      </c>
      <c r="P12493">
        <v>68528</v>
      </c>
      <c r="Q12493">
        <v>2301</v>
      </c>
      <c r="R12493" t="s">
        <v>23</v>
      </c>
      <c r="S12493" s="1" t="s">
        <v>34218</v>
      </c>
    </row>
    <row r="12494" spans="1:19" x14ac:dyDescent="0.25">
      <c r="A12494">
        <v>100987359</v>
      </c>
      <c r="B12494" t="s">
        <v>4716</v>
      </c>
      <c r="C12494" t="s">
        <v>1306</v>
      </c>
      <c r="G12494" t="s">
        <v>27285</v>
      </c>
      <c r="H12494" t="s">
        <v>27286</v>
      </c>
      <c r="I12494" t="s">
        <v>33</v>
      </c>
      <c r="J12494">
        <v>19342</v>
      </c>
      <c r="K12494">
        <v>1734</v>
      </c>
      <c r="L12494" t="s">
        <v>23</v>
      </c>
      <c r="M12494" t="s">
        <v>27285</v>
      </c>
      <c r="N12494" t="s">
        <v>27286</v>
      </c>
      <c r="O12494" t="s">
        <v>33</v>
      </c>
      <c r="P12494">
        <v>19342</v>
      </c>
      <c r="Q12494">
        <v>1734</v>
      </c>
      <c r="R12494" t="s">
        <v>23</v>
      </c>
      <c r="S12494" s="1" t="s">
        <v>34218</v>
      </c>
    </row>
    <row r="12495" spans="1:19" x14ac:dyDescent="0.25">
      <c r="A12495">
        <v>101451968</v>
      </c>
      <c r="B12495" t="s">
        <v>18976</v>
      </c>
      <c r="C12495" t="s">
        <v>27287</v>
      </c>
      <c r="G12495" t="s">
        <v>27288</v>
      </c>
      <c r="H12495" t="s">
        <v>121</v>
      </c>
      <c r="I12495" t="s">
        <v>22</v>
      </c>
      <c r="J12495">
        <v>95928</v>
      </c>
      <c r="K12495">
        <v>6892</v>
      </c>
      <c r="L12495" t="s">
        <v>23</v>
      </c>
      <c r="M12495" t="s">
        <v>27288</v>
      </c>
      <c r="N12495" t="s">
        <v>121</v>
      </c>
      <c r="O12495" t="s">
        <v>22</v>
      </c>
      <c r="P12495">
        <v>95928</v>
      </c>
      <c r="Q12495">
        <v>6892</v>
      </c>
      <c r="R12495" t="s">
        <v>23</v>
      </c>
      <c r="S12495" s="1" t="s">
        <v>34218</v>
      </c>
    </row>
    <row r="12496" spans="1:19" x14ac:dyDescent="0.25">
      <c r="A12496">
        <v>101481351</v>
      </c>
      <c r="B12496" t="s">
        <v>16594</v>
      </c>
      <c r="C12496" t="s">
        <v>15849</v>
      </c>
      <c r="G12496" t="s">
        <v>16595</v>
      </c>
      <c r="H12496" t="s">
        <v>169</v>
      </c>
      <c r="I12496" t="s">
        <v>170</v>
      </c>
      <c r="J12496">
        <v>20020</v>
      </c>
      <c r="K12496">
        <v>3314</v>
      </c>
      <c r="L12496" t="s">
        <v>23</v>
      </c>
      <c r="M12496" t="s">
        <v>16595</v>
      </c>
      <c r="N12496" t="s">
        <v>169</v>
      </c>
      <c r="O12496" t="s">
        <v>170</v>
      </c>
      <c r="P12496">
        <v>20020</v>
      </c>
      <c r="Q12496">
        <v>3314</v>
      </c>
      <c r="R12496" t="s">
        <v>23</v>
      </c>
      <c r="S12496" s="1" t="s">
        <v>34218</v>
      </c>
    </row>
    <row r="12497" spans="1:19" x14ac:dyDescent="0.25">
      <c r="A12497">
        <v>101423489</v>
      </c>
      <c r="B12497" t="s">
        <v>6598</v>
      </c>
      <c r="C12497" t="s">
        <v>305</v>
      </c>
      <c r="G12497" t="s">
        <v>27289</v>
      </c>
      <c r="H12497" t="s">
        <v>11077</v>
      </c>
      <c r="I12497" t="s">
        <v>84</v>
      </c>
      <c r="J12497">
        <v>98584</v>
      </c>
      <c r="K12497">
        <v>7030</v>
      </c>
      <c r="L12497" t="s">
        <v>23</v>
      </c>
      <c r="M12497" t="s">
        <v>27289</v>
      </c>
      <c r="N12497" t="s">
        <v>11077</v>
      </c>
      <c r="O12497" t="s">
        <v>84</v>
      </c>
      <c r="P12497">
        <v>98584</v>
      </c>
      <c r="Q12497">
        <v>7030</v>
      </c>
      <c r="R12497" t="s">
        <v>23</v>
      </c>
      <c r="S12497" s="1" t="s">
        <v>34218</v>
      </c>
    </row>
    <row r="12498" spans="1:19" x14ac:dyDescent="0.25">
      <c r="A12498">
        <v>101295954</v>
      </c>
      <c r="B12498" t="s">
        <v>6905</v>
      </c>
      <c r="C12498" t="s">
        <v>2603</v>
      </c>
      <c r="G12498" t="s">
        <v>27290</v>
      </c>
      <c r="H12498" t="s">
        <v>1531</v>
      </c>
      <c r="I12498" t="s">
        <v>84</v>
      </c>
      <c r="J12498">
        <v>98107</v>
      </c>
      <c r="K12498">
        <v>2127</v>
      </c>
      <c r="L12498" t="s">
        <v>23</v>
      </c>
      <c r="M12498" t="s">
        <v>27290</v>
      </c>
      <c r="N12498" t="s">
        <v>1531</v>
      </c>
      <c r="O12498" t="s">
        <v>84</v>
      </c>
      <c r="P12498">
        <v>98107</v>
      </c>
      <c r="Q12498">
        <v>2127</v>
      </c>
      <c r="R12498" t="s">
        <v>23</v>
      </c>
      <c r="S12498" s="1" t="s">
        <v>34218</v>
      </c>
    </row>
    <row r="12499" spans="1:19" x14ac:dyDescent="0.25">
      <c r="A12499">
        <v>101456246</v>
      </c>
      <c r="B12499" t="s">
        <v>27291</v>
      </c>
      <c r="C12499" t="s">
        <v>1208</v>
      </c>
      <c r="G12499" t="s">
        <v>27292</v>
      </c>
      <c r="H12499" t="s">
        <v>2375</v>
      </c>
      <c r="I12499" t="s">
        <v>446</v>
      </c>
      <c r="J12499">
        <v>27025</v>
      </c>
      <c r="K12499">
        <v>6719</v>
      </c>
      <c r="L12499" t="s">
        <v>23</v>
      </c>
      <c r="M12499" t="s">
        <v>27292</v>
      </c>
      <c r="N12499" t="s">
        <v>2375</v>
      </c>
      <c r="O12499" t="s">
        <v>446</v>
      </c>
      <c r="P12499">
        <v>27025</v>
      </c>
      <c r="Q12499">
        <v>6719</v>
      </c>
      <c r="R12499" t="s">
        <v>23</v>
      </c>
      <c r="S12499" s="1" t="s">
        <v>34218</v>
      </c>
    </row>
    <row r="12500" spans="1:19" x14ac:dyDescent="0.25">
      <c r="A12500">
        <v>101478356</v>
      </c>
      <c r="B12500" t="s">
        <v>8800</v>
      </c>
      <c r="C12500" t="s">
        <v>8782</v>
      </c>
      <c r="G12500" t="s">
        <v>27293</v>
      </c>
      <c r="H12500" t="s">
        <v>1096</v>
      </c>
      <c r="I12500" t="s">
        <v>71</v>
      </c>
      <c r="J12500">
        <v>80027</v>
      </c>
      <c r="K12500">
        <v>1018</v>
      </c>
      <c r="L12500" t="s">
        <v>23</v>
      </c>
      <c r="M12500" t="s">
        <v>27293</v>
      </c>
      <c r="N12500" t="s">
        <v>1096</v>
      </c>
      <c r="O12500" t="s">
        <v>71</v>
      </c>
      <c r="P12500">
        <v>80027</v>
      </c>
      <c r="Q12500">
        <v>1018</v>
      </c>
      <c r="R12500" t="s">
        <v>23</v>
      </c>
      <c r="S12500" s="1" t="s">
        <v>34218</v>
      </c>
    </row>
    <row r="12501" spans="1:19" x14ac:dyDescent="0.25">
      <c r="A12501">
        <v>101481217</v>
      </c>
      <c r="B12501" t="s">
        <v>10843</v>
      </c>
      <c r="C12501" t="s">
        <v>3817</v>
      </c>
      <c r="G12501" t="s">
        <v>27294</v>
      </c>
      <c r="H12501" t="s">
        <v>2381</v>
      </c>
      <c r="I12501" t="s">
        <v>22</v>
      </c>
      <c r="J12501">
        <v>94904</v>
      </c>
      <c r="K12501">
        <v>1451</v>
      </c>
      <c r="L12501" t="s">
        <v>23</v>
      </c>
      <c r="M12501" t="s">
        <v>27294</v>
      </c>
      <c r="N12501" t="s">
        <v>2381</v>
      </c>
      <c r="O12501" t="s">
        <v>22</v>
      </c>
      <c r="P12501">
        <v>94904</v>
      </c>
      <c r="Q12501">
        <v>1451</v>
      </c>
      <c r="R12501" t="s">
        <v>23</v>
      </c>
      <c r="S12501" s="1" t="s">
        <v>34218</v>
      </c>
    </row>
    <row r="12502" spans="1:19" x14ac:dyDescent="0.25">
      <c r="A12502">
        <v>100801540</v>
      </c>
      <c r="B12502" t="s">
        <v>9324</v>
      </c>
      <c r="C12502" t="s">
        <v>30</v>
      </c>
      <c r="H12502" t="s">
        <v>12045</v>
      </c>
      <c r="I12502" t="s">
        <v>84</v>
      </c>
      <c r="J12502">
        <v>98632</v>
      </c>
      <c r="L12502" t="s">
        <v>23</v>
      </c>
      <c r="N12502" t="s">
        <v>12045</v>
      </c>
      <c r="O12502" t="s">
        <v>84</v>
      </c>
      <c r="P12502">
        <v>98632</v>
      </c>
      <c r="R12502" t="s">
        <v>23</v>
      </c>
      <c r="S12502" s="1" t="s">
        <v>34218</v>
      </c>
    </row>
    <row r="12503" spans="1:19" x14ac:dyDescent="0.25">
      <c r="A12503">
        <v>100940888</v>
      </c>
      <c r="B12503" t="s">
        <v>3136</v>
      </c>
      <c r="C12503" t="s">
        <v>2497</v>
      </c>
      <c r="G12503" t="s">
        <v>27295</v>
      </c>
      <c r="H12503" t="s">
        <v>16669</v>
      </c>
      <c r="I12503" t="s">
        <v>22</v>
      </c>
      <c r="J12503">
        <v>90310</v>
      </c>
      <c r="L12503" t="s">
        <v>23</v>
      </c>
      <c r="M12503" t="s">
        <v>27295</v>
      </c>
      <c r="N12503" t="s">
        <v>16669</v>
      </c>
      <c r="O12503" t="s">
        <v>22</v>
      </c>
      <c r="P12503">
        <v>90310</v>
      </c>
      <c r="R12503" t="s">
        <v>23</v>
      </c>
      <c r="S12503" s="1" t="s">
        <v>34218</v>
      </c>
    </row>
    <row r="12504" spans="1:19" x14ac:dyDescent="0.25">
      <c r="A12504">
        <v>101285564</v>
      </c>
      <c r="B12504" t="s">
        <v>27296</v>
      </c>
      <c r="C12504" t="s">
        <v>1218</v>
      </c>
      <c r="G12504" t="s">
        <v>27297</v>
      </c>
      <c r="H12504" t="s">
        <v>2279</v>
      </c>
      <c r="I12504" t="s">
        <v>52</v>
      </c>
      <c r="J12504">
        <v>33613</v>
      </c>
      <c r="L12504" t="s">
        <v>23</v>
      </c>
      <c r="M12504" t="s">
        <v>27297</v>
      </c>
      <c r="N12504" t="s">
        <v>2279</v>
      </c>
      <c r="O12504" t="s">
        <v>52</v>
      </c>
      <c r="P12504">
        <v>33613</v>
      </c>
      <c r="R12504" t="s">
        <v>23</v>
      </c>
      <c r="S12504" s="1" t="s">
        <v>34218</v>
      </c>
    </row>
    <row r="12505" spans="1:19" x14ac:dyDescent="0.25">
      <c r="A12505">
        <v>101310181</v>
      </c>
      <c r="B12505" t="s">
        <v>27298</v>
      </c>
      <c r="C12505" t="s">
        <v>27299</v>
      </c>
      <c r="G12505" t="s">
        <v>27300</v>
      </c>
      <c r="H12505" t="s">
        <v>27301</v>
      </c>
      <c r="I12505" t="s">
        <v>43</v>
      </c>
      <c r="J12505">
        <v>56000</v>
      </c>
      <c r="L12505" t="s">
        <v>23</v>
      </c>
      <c r="M12505" t="s">
        <v>27300</v>
      </c>
      <c r="N12505" t="s">
        <v>27301</v>
      </c>
      <c r="O12505" t="s">
        <v>43</v>
      </c>
      <c r="P12505">
        <v>56000</v>
      </c>
      <c r="R12505" t="s">
        <v>23</v>
      </c>
      <c r="S12505" s="1" t="s">
        <v>34218</v>
      </c>
    </row>
    <row r="12506" spans="1:19" x14ac:dyDescent="0.25">
      <c r="A12506">
        <v>101311319</v>
      </c>
      <c r="B12506" t="s">
        <v>27302</v>
      </c>
      <c r="C12506" t="s">
        <v>25</v>
      </c>
      <c r="G12506" t="s">
        <v>27303</v>
      </c>
      <c r="H12506" t="s">
        <v>556</v>
      </c>
      <c r="I12506" t="s">
        <v>22</v>
      </c>
      <c r="J12506">
        <v>95018</v>
      </c>
      <c r="K12506">
        <v>9037</v>
      </c>
      <c r="L12506" t="s">
        <v>23</v>
      </c>
      <c r="M12506" t="s">
        <v>27303</v>
      </c>
      <c r="N12506" t="s">
        <v>556</v>
      </c>
      <c r="O12506" t="s">
        <v>22</v>
      </c>
      <c r="P12506">
        <v>95018</v>
      </c>
      <c r="Q12506">
        <v>9037</v>
      </c>
      <c r="R12506" t="s">
        <v>23</v>
      </c>
      <c r="S12506" s="1" t="s">
        <v>34218</v>
      </c>
    </row>
    <row r="12507" spans="1:19" x14ac:dyDescent="0.25">
      <c r="A12507">
        <v>101478575</v>
      </c>
      <c r="B12507" t="s">
        <v>27304</v>
      </c>
      <c r="C12507" t="s">
        <v>18234</v>
      </c>
      <c r="G12507" t="s">
        <v>27305</v>
      </c>
      <c r="H12507" t="s">
        <v>1229</v>
      </c>
      <c r="I12507" t="s">
        <v>38</v>
      </c>
      <c r="J12507">
        <v>78244</v>
      </c>
      <c r="K12507">
        <v>1574</v>
      </c>
      <c r="L12507" t="s">
        <v>23</v>
      </c>
      <c r="M12507" t="s">
        <v>27305</v>
      </c>
      <c r="N12507" t="s">
        <v>1229</v>
      </c>
      <c r="O12507" t="s">
        <v>38</v>
      </c>
      <c r="P12507">
        <v>78244</v>
      </c>
      <c r="Q12507">
        <v>1574</v>
      </c>
      <c r="R12507" t="s">
        <v>23</v>
      </c>
      <c r="S12507" s="1" t="s">
        <v>34218</v>
      </c>
    </row>
    <row r="12508" spans="1:19" x14ac:dyDescent="0.25">
      <c r="A12508">
        <v>101478590</v>
      </c>
      <c r="B12508" t="s">
        <v>6084</v>
      </c>
      <c r="C12508" t="s">
        <v>903</v>
      </c>
      <c r="G12508" t="s">
        <v>27306</v>
      </c>
      <c r="H12508" t="s">
        <v>16818</v>
      </c>
      <c r="I12508" t="s">
        <v>38</v>
      </c>
      <c r="J12508">
        <v>78613</v>
      </c>
      <c r="K12508">
        <v>7521</v>
      </c>
      <c r="L12508" t="s">
        <v>23</v>
      </c>
      <c r="M12508" t="s">
        <v>27306</v>
      </c>
      <c r="N12508" t="s">
        <v>16818</v>
      </c>
      <c r="O12508" t="s">
        <v>38</v>
      </c>
      <c r="P12508">
        <v>78613</v>
      </c>
      <c r="Q12508">
        <v>7521</v>
      </c>
      <c r="R12508" t="s">
        <v>23</v>
      </c>
      <c r="S12508" s="1" t="s">
        <v>34218</v>
      </c>
    </row>
    <row r="12509" spans="1:19" x14ac:dyDescent="0.25">
      <c r="A12509">
        <v>101478705</v>
      </c>
      <c r="B12509" t="s">
        <v>6543</v>
      </c>
      <c r="C12509" t="s">
        <v>155</v>
      </c>
      <c r="G12509" t="s">
        <v>27307</v>
      </c>
      <c r="H12509" t="s">
        <v>746</v>
      </c>
      <c r="I12509" t="s">
        <v>43</v>
      </c>
      <c r="J12509">
        <v>97477</v>
      </c>
      <c r="K12509">
        <v>5354</v>
      </c>
      <c r="L12509" t="s">
        <v>23</v>
      </c>
      <c r="M12509" t="s">
        <v>27307</v>
      </c>
      <c r="N12509" t="s">
        <v>746</v>
      </c>
      <c r="O12509" t="s">
        <v>43</v>
      </c>
      <c r="P12509">
        <v>97477</v>
      </c>
      <c r="Q12509">
        <v>5354</v>
      </c>
      <c r="R12509" t="s">
        <v>23</v>
      </c>
      <c r="S12509" s="1" t="s">
        <v>34218</v>
      </c>
    </row>
    <row r="12510" spans="1:19" x14ac:dyDescent="0.25">
      <c r="A12510">
        <v>101478724</v>
      </c>
      <c r="B12510" t="s">
        <v>27056</v>
      </c>
      <c r="C12510" t="s">
        <v>8144</v>
      </c>
      <c r="G12510" t="s">
        <v>27058</v>
      </c>
      <c r="H12510" t="s">
        <v>11980</v>
      </c>
      <c r="I12510" t="s">
        <v>43</v>
      </c>
      <c r="J12510">
        <v>97540</v>
      </c>
      <c r="K12510">
        <v>7751</v>
      </c>
      <c r="L12510" t="s">
        <v>23</v>
      </c>
      <c r="M12510" t="s">
        <v>27058</v>
      </c>
      <c r="N12510" t="s">
        <v>11980</v>
      </c>
      <c r="O12510" t="s">
        <v>43</v>
      </c>
      <c r="P12510">
        <v>97540</v>
      </c>
      <c r="Q12510">
        <v>7751</v>
      </c>
      <c r="R12510" t="s">
        <v>23</v>
      </c>
      <c r="S12510" s="1" t="s">
        <v>34218</v>
      </c>
    </row>
    <row r="12511" spans="1:19" x14ac:dyDescent="0.25">
      <c r="A12511">
        <v>101478807</v>
      </c>
      <c r="B12511" t="s">
        <v>27308</v>
      </c>
      <c r="C12511" t="s">
        <v>4719</v>
      </c>
      <c r="G12511" t="s">
        <v>27309</v>
      </c>
      <c r="H12511" t="s">
        <v>20480</v>
      </c>
      <c r="I12511" t="s">
        <v>984</v>
      </c>
      <c r="J12511">
        <v>96704</v>
      </c>
      <c r="K12511">
        <v>8315</v>
      </c>
      <c r="L12511" t="s">
        <v>23</v>
      </c>
      <c r="M12511" t="s">
        <v>27309</v>
      </c>
      <c r="N12511" t="s">
        <v>20480</v>
      </c>
      <c r="O12511" t="s">
        <v>984</v>
      </c>
      <c r="P12511">
        <v>96704</v>
      </c>
      <c r="Q12511">
        <v>8315</v>
      </c>
      <c r="R12511" t="s">
        <v>23</v>
      </c>
      <c r="S12511" s="1" t="s">
        <v>34218</v>
      </c>
    </row>
    <row r="12512" spans="1:19" x14ac:dyDescent="0.25">
      <c r="A12512">
        <v>101478824</v>
      </c>
      <c r="B12512" t="s">
        <v>27310</v>
      </c>
      <c r="C12512" t="s">
        <v>15768</v>
      </c>
      <c r="G12512" t="s">
        <v>27311</v>
      </c>
      <c r="H12512" t="s">
        <v>10089</v>
      </c>
      <c r="I12512" t="s">
        <v>984</v>
      </c>
      <c r="J12512">
        <v>96779</v>
      </c>
      <c r="K12512">
        <v>1265</v>
      </c>
      <c r="L12512" t="s">
        <v>23</v>
      </c>
      <c r="M12512" t="s">
        <v>27311</v>
      </c>
      <c r="N12512" t="s">
        <v>10089</v>
      </c>
      <c r="O12512" t="s">
        <v>984</v>
      </c>
      <c r="P12512">
        <v>96779</v>
      </c>
      <c r="Q12512">
        <v>1265</v>
      </c>
      <c r="R12512" t="s">
        <v>23</v>
      </c>
      <c r="S12512" s="1" t="s">
        <v>34218</v>
      </c>
    </row>
    <row r="12513" spans="1:19" x14ac:dyDescent="0.25">
      <c r="A12513">
        <v>101478890</v>
      </c>
      <c r="B12513" t="s">
        <v>654</v>
      </c>
      <c r="C12513" t="s">
        <v>25</v>
      </c>
      <c r="G12513" t="s">
        <v>27312</v>
      </c>
      <c r="H12513" t="s">
        <v>620</v>
      </c>
      <c r="I12513" t="s">
        <v>43</v>
      </c>
      <c r="J12513">
        <v>97140</v>
      </c>
      <c r="L12513" t="s">
        <v>23</v>
      </c>
      <c r="M12513" t="s">
        <v>27312</v>
      </c>
      <c r="N12513" t="s">
        <v>620</v>
      </c>
      <c r="O12513" t="s">
        <v>43</v>
      </c>
      <c r="P12513">
        <v>97140</v>
      </c>
      <c r="R12513" t="s">
        <v>23</v>
      </c>
      <c r="S12513" s="1" t="s">
        <v>34218</v>
      </c>
    </row>
    <row r="12514" spans="1:19" x14ac:dyDescent="0.25">
      <c r="A12514">
        <v>101478892</v>
      </c>
      <c r="B12514" t="s">
        <v>27313</v>
      </c>
      <c r="C12514" t="s">
        <v>27314</v>
      </c>
      <c r="G12514" t="s">
        <v>27315</v>
      </c>
      <c r="H12514" t="s">
        <v>620</v>
      </c>
      <c r="I12514" t="s">
        <v>43</v>
      </c>
      <c r="J12514">
        <v>97140</v>
      </c>
      <c r="K12514">
        <v>7110</v>
      </c>
      <c r="L12514" t="s">
        <v>23</v>
      </c>
      <c r="M12514" t="s">
        <v>27315</v>
      </c>
      <c r="N12514" t="s">
        <v>620</v>
      </c>
      <c r="O12514" t="s">
        <v>43</v>
      </c>
      <c r="P12514">
        <v>97140</v>
      </c>
      <c r="Q12514">
        <v>7110</v>
      </c>
      <c r="R12514" t="s">
        <v>23</v>
      </c>
      <c r="S12514" s="1" t="s">
        <v>34218</v>
      </c>
    </row>
    <row r="12515" spans="1:19" x14ac:dyDescent="0.25">
      <c r="A12515">
        <v>101478907</v>
      </c>
      <c r="B12515" t="s">
        <v>14951</v>
      </c>
      <c r="C12515" t="s">
        <v>266</v>
      </c>
      <c r="G12515" t="s">
        <v>27316</v>
      </c>
      <c r="H12515" t="s">
        <v>227</v>
      </c>
      <c r="I12515" t="s">
        <v>43</v>
      </c>
      <c r="J12515">
        <v>97211</v>
      </c>
      <c r="K12515">
        <v>5478</v>
      </c>
      <c r="L12515" t="s">
        <v>23</v>
      </c>
      <c r="M12515" t="s">
        <v>27316</v>
      </c>
      <c r="N12515" t="s">
        <v>227</v>
      </c>
      <c r="O12515" t="s">
        <v>43</v>
      </c>
      <c r="P12515">
        <v>97211</v>
      </c>
      <c r="Q12515">
        <v>5478</v>
      </c>
      <c r="R12515" t="s">
        <v>23</v>
      </c>
      <c r="S12515" s="1" t="s">
        <v>34218</v>
      </c>
    </row>
    <row r="12516" spans="1:19" x14ac:dyDescent="0.25">
      <c r="A12516">
        <v>101479109</v>
      </c>
      <c r="B12516" t="s">
        <v>27317</v>
      </c>
      <c r="C12516" t="s">
        <v>27318</v>
      </c>
      <c r="G12516" t="s">
        <v>27319</v>
      </c>
      <c r="H12516" t="s">
        <v>7447</v>
      </c>
      <c r="I12516" t="s">
        <v>22</v>
      </c>
      <c r="J12516">
        <v>95982</v>
      </c>
      <c r="K12516">
        <v>2459</v>
      </c>
      <c r="L12516" t="s">
        <v>23</v>
      </c>
      <c r="M12516" t="s">
        <v>27319</v>
      </c>
      <c r="N12516" t="s">
        <v>7447</v>
      </c>
      <c r="O12516" t="s">
        <v>22</v>
      </c>
      <c r="P12516">
        <v>95982</v>
      </c>
      <c r="Q12516">
        <v>2459</v>
      </c>
      <c r="R12516" t="s">
        <v>23</v>
      </c>
      <c r="S12516" s="1" t="s">
        <v>34218</v>
      </c>
    </row>
    <row r="12517" spans="1:19" x14ac:dyDescent="0.25">
      <c r="A12517">
        <v>101479224</v>
      </c>
      <c r="B12517" t="s">
        <v>2712</v>
      </c>
      <c r="C12517" t="s">
        <v>15150</v>
      </c>
      <c r="G12517" t="s">
        <v>27320</v>
      </c>
      <c r="H12517" t="s">
        <v>556</v>
      </c>
      <c r="I12517" t="s">
        <v>22</v>
      </c>
      <c r="J12517">
        <v>95018</v>
      </c>
      <c r="K12517">
        <v>9638</v>
      </c>
      <c r="L12517" t="s">
        <v>23</v>
      </c>
      <c r="M12517" t="s">
        <v>27320</v>
      </c>
      <c r="N12517" t="s">
        <v>556</v>
      </c>
      <c r="O12517" t="s">
        <v>22</v>
      </c>
      <c r="P12517">
        <v>95018</v>
      </c>
      <c r="Q12517">
        <v>9638</v>
      </c>
      <c r="R12517" t="s">
        <v>23</v>
      </c>
      <c r="S12517" s="1" t="s">
        <v>34218</v>
      </c>
    </row>
    <row r="12518" spans="1:19" x14ac:dyDescent="0.25">
      <c r="A12518">
        <v>101479258</v>
      </c>
      <c r="B12518" t="s">
        <v>812</v>
      </c>
      <c r="C12518" t="s">
        <v>4318</v>
      </c>
      <c r="G12518" t="s">
        <v>27321</v>
      </c>
      <c r="H12518" t="s">
        <v>481</v>
      </c>
      <c r="I12518" t="s">
        <v>22</v>
      </c>
      <c r="J12518">
        <v>95125</v>
      </c>
      <c r="K12518">
        <v>6366</v>
      </c>
      <c r="L12518" t="s">
        <v>23</v>
      </c>
      <c r="M12518" t="s">
        <v>27321</v>
      </c>
      <c r="N12518" t="s">
        <v>481</v>
      </c>
      <c r="O12518" t="s">
        <v>22</v>
      </c>
      <c r="P12518">
        <v>95125</v>
      </c>
      <c r="Q12518">
        <v>6366</v>
      </c>
      <c r="R12518" t="s">
        <v>23</v>
      </c>
      <c r="S12518" s="1" t="s">
        <v>34218</v>
      </c>
    </row>
    <row r="12519" spans="1:19" x14ac:dyDescent="0.25">
      <c r="A12519">
        <v>101466597</v>
      </c>
      <c r="B12519" t="s">
        <v>6376</v>
      </c>
      <c r="C12519" t="s">
        <v>8637</v>
      </c>
      <c r="G12519" t="s">
        <v>27322</v>
      </c>
      <c r="H12519" t="s">
        <v>13494</v>
      </c>
      <c r="I12519" t="s">
        <v>22</v>
      </c>
      <c r="J12519">
        <v>93455</v>
      </c>
      <c r="K12519">
        <v>3659</v>
      </c>
      <c r="L12519" t="s">
        <v>23</v>
      </c>
      <c r="M12519" t="s">
        <v>27322</v>
      </c>
      <c r="N12519" t="s">
        <v>13494</v>
      </c>
      <c r="O12519" t="s">
        <v>22</v>
      </c>
      <c r="P12519">
        <v>93455</v>
      </c>
      <c r="Q12519">
        <v>3659</v>
      </c>
      <c r="R12519" t="s">
        <v>23</v>
      </c>
      <c r="S12519" s="1" t="s">
        <v>34218</v>
      </c>
    </row>
    <row r="12520" spans="1:19" x14ac:dyDescent="0.25">
      <c r="A12520">
        <v>100754903</v>
      </c>
      <c r="B12520" t="s">
        <v>27323</v>
      </c>
      <c r="C12520" t="s">
        <v>5803</v>
      </c>
      <c r="G12520" t="s">
        <v>27324</v>
      </c>
      <c r="H12520" t="s">
        <v>6383</v>
      </c>
      <c r="I12520" t="s">
        <v>135</v>
      </c>
      <c r="J12520">
        <v>60193</v>
      </c>
      <c r="K12520">
        <v>5713</v>
      </c>
      <c r="L12520" t="s">
        <v>23</v>
      </c>
      <c r="M12520" t="s">
        <v>27324</v>
      </c>
      <c r="N12520" t="s">
        <v>6383</v>
      </c>
      <c r="O12520" t="s">
        <v>135</v>
      </c>
      <c r="P12520">
        <v>60193</v>
      </c>
      <c r="Q12520">
        <v>5713</v>
      </c>
      <c r="R12520" t="s">
        <v>23</v>
      </c>
      <c r="S12520" s="1" t="s">
        <v>34218</v>
      </c>
    </row>
    <row r="12521" spans="1:19" x14ac:dyDescent="0.25">
      <c r="A12521">
        <v>100761947</v>
      </c>
      <c r="B12521" t="s">
        <v>5064</v>
      </c>
      <c r="C12521" t="s">
        <v>907</v>
      </c>
      <c r="G12521" t="s">
        <v>27325</v>
      </c>
      <c r="H12521" t="s">
        <v>6109</v>
      </c>
      <c r="I12521" t="s">
        <v>100</v>
      </c>
      <c r="J12521">
        <v>53151</v>
      </c>
      <c r="K12521">
        <v>4956</v>
      </c>
      <c r="L12521" t="s">
        <v>23</v>
      </c>
      <c r="M12521" t="s">
        <v>27325</v>
      </c>
      <c r="N12521" t="s">
        <v>6109</v>
      </c>
      <c r="O12521" t="s">
        <v>100</v>
      </c>
      <c r="P12521">
        <v>53151</v>
      </c>
      <c r="Q12521">
        <v>4956</v>
      </c>
      <c r="R12521" t="s">
        <v>23</v>
      </c>
      <c r="S12521" s="1" t="s">
        <v>34218</v>
      </c>
    </row>
    <row r="12522" spans="1:19" x14ac:dyDescent="0.25">
      <c r="A12522">
        <v>101240820</v>
      </c>
      <c r="B12522" t="s">
        <v>27326</v>
      </c>
      <c r="C12522" t="s">
        <v>4848</v>
      </c>
      <c r="G12522" t="s">
        <v>27327</v>
      </c>
      <c r="H12522" t="s">
        <v>299</v>
      </c>
      <c r="I12522" t="s">
        <v>22</v>
      </c>
      <c r="J12522">
        <v>90068</v>
      </c>
      <c r="K12522">
        <v>2415</v>
      </c>
      <c r="L12522" t="s">
        <v>23</v>
      </c>
      <c r="M12522" t="s">
        <v>27327</v>
      </c>
      <c r="N12522" t="s">
        <v>299</v>
      </c>
      <c r="O12522" t="s">
        <v>22</v>
      </c>
      <c r="P12522">
        <v>90068</v>
      </c>
      <c r="Q12522">
        <v>2415</v>
      </c>
      <c r="R12522" t="s">
        <v>23</v>
      </c>
      <c r="S12522" s="1" t="s">
        <v>34218</v>
      </c>
    </row>
    <row r="12523" spans="1:19" x14ac:dyDescent="0.25">
      <c r="A12523">
        <v>101242852</v>
      </c>
      <c r="B12523" t="s">
        <v>27328</v>
      </c>
      <c r="C12523" t="s">
        <v>132</v>
      </c>
      <c r="G12523" t="s">
        <v>27329</v>
      </c>
      <c r="H12523" t="s">
        <v>1439</v>
      </c>
      <c r="I12523" t="s">
        <v>365</v>
      </c>
      <c r="J12523">
        <v>85750</v>
      </c>
      <c r="K12523">
        <v>2123</v>
      </c>
      <c r="L12523" t="s">
        <v>23</v>
      </c>
      <c r="M12523" t="s">
        <v>27329</v>
      </c>
      <c r="N12523" t="s">
        <v>1439</v>
      </c>
      <c r="O12523" t="s">
        <v>365</v>
      </c>
      <c r="P12523">
        <v>85750</v>
      </c>
      <c r="Q12523">
        <v>2123</v>
      </c>
      <c r="R12523" t="s">
        <v>23</v>
      </c>
      <c r="S12523" s="1" t="s">
        <v>34218</v>
      </c>
    </row>
    <row r="12524" spans="1:19" x14ac:dyDescent="0.25">
      <c r="A12524">
        <v>101240226</v>
      </c>
      <c r="B12524" t="s">
        <v>27330</v>
      </c>
      <c r="C12524" t="s">
        <v>803</v>
      </c>
      <c r="G12524" t="s">
        <v>16465</v>
      </c>
      <c r="H12524" t="s">
        <v>5947</v>
      </c>
      <c r="I12524" t="s">
        <v>148</v>
      </c>
      <c r="J12524">
        <v>21061</v>
      </c>
      <c r="K12524">
        <v>4064</v>
      </c>
      <c r="L12524" t="s">
        <v>23</v>
      </c>
      <c r="M12524" t="s">
        <v>16465</v>
      </c>
      <c r="N12524" t="s">
        <v>5947</v>
      </c>
      <c r="O12524" t="s">
        <v>148</v>
      </c>
      <c r="P12524">
        <v>21061</v>
      </c>
      <c r="Q12524">
        <v>4064</v>
      </c>
      <c r="R12524" t="s">
        <v>23</v>
      </c>
      <c r="S12524" s="1" t="s">
        <v>34218</v>
      </c>
    </row>
    <row r="12525" spans="1:19" x14ac:dyDescent="0.25">
      <c r="A12525">
        <v>101247241</v>
      </c>
      <c r="B12525" t="s">
        <v>27331</v>
      </c>
      <c r="C12525" t="s">
        <v>575</v>
      </c>
      <c r="F12525" t="str">
        <f>"6309013624"</f>
        <v>6309013624</v>
      </c>
      <c r="G12525" t="s">
        <v>27332</v>
      </c>
      <c r="H12525" t="s">
        <v>6813</v>
      </c>
      <c r="I12525" t="s">
        <v>135</v>
      </c>
      <c r="J12525">
        <v>60490</v>
      </c>
      <c r="K12525">
        <v>3121</v>
      </c>
      <c r="L12525" t="s">
        <v>23</v>
      </c>
      <c r="M12525" t="s">
        <v>27332</v>
      </c>
      <c r="N12525" t="s">
        <v>6813</v>
      </c>
      <c r="O12525" t="s">
        <v>135</v>
      </c>
      <c r="P12525">
        <v>60490</v>
      </c>
      <c r="Q12525">
        <v>3121</v>
      </c>
      <c r="R12525" t="s">
        <v>23</v>
      </c>
      <c r="S12525" s="1" t="s">
        <v>34218</v>
      </c>
    </row>
    <row r="12526" spans="1:19" x14ac:dyDescent="0.25">
      <c r="A12526">
        <v>101240343</v>
      </c>
      <c r="B12526" t="s">
        <v>27333</v>
      </c>
      <c r="C12526" t="s">
        <v>763</v>
      </c>
      <c r="G12526" t="s">
        <v>27334</v>
      </c>
      <c r="H12526" t="s">
        <v>511</v>
      </c>
      <c r="I12526" t="s">
        <v>33</v>
      </c>
      <c r="J12526">
        <v>16501</v>
      </c>
      <c r="K12526">
        <v>1470</v>
      </c>
      <c r="L12526" t="s">
        <v>23</v>
      </c>
      <c r="M12526" t="s">
        <v>27334</v>
      </c>
      <c r="N12526" t="s">
        <v>511</v>
      </c>
      <c r="O12526" t="s">
        <v>33</v>
      </c>
      <c r="P12526">
        <v>16501</v>
      </c>
      <c r="Q12526">
        <v>1470</v>
      </c>
      <c r="R12526" t="s">
        <v>23</v>
      </c>
      <c r="S12526" s="1" t="s">
        <v>34218</v>
      </c>
    </row>
    <row r="12527" spans="1:19" x14ac:dyDescent="0.25">
      <c r="A12527">
        <v>101247629</v>
      </c>
      <c r="B12527" t="s">
        <v>1164</v>
      </c>
      <c r="C12527" t="s">
        <v>25</v>
      </c>
      <c r="G12527" t="s">
        <v>27335</v>
      </c>
      <c r="H12527" t="s">
        <v>27336</v>
      </c>
      <c r="I12527" t="s">
        <v>255</v>
      </c>
      <c r="J12527">
        <v>24382</v>
      </c>
      <c r="K12527">
        <v>3851</v>
      </c>
      <c r="L12527" t="s">
        <v>23</v>
      </c>
      <c r="M12527" t="s">
        <v>27335</v>
      </c>
      <c r="N12527" t="s">
        <v>27336</v>
      </c>
      <c r="O12527" t="s">
        <v>255</v>
      </c>
      <c r="P12527">
        <v>24382</v>
      </c>
      <c r="Q12527">
        <v>3851</v>
      </c>
      <c r="R12527" t="s">
        <v>23</v>
      </c>
      <c r="S12527" s="1" t="s">
        <v>34218</v>
      </c>
    </row>
    <row r="12528" spans="1:19" x14ac:dyDescent="0.25">
      <c r="A12528">
        <v>101246516</v>
      </c>
      <c r="B12528" t="s">
        <v>15897</v>
      </c>
      <c r="C12528" t="s">
        <v>1384</v>
      </c>
      <c r="G12528" t="s">
        <v>27337</v>
      </c>
      <c r="H12528" t="s">
        <v>5729</v>
      </c>
      <c r="I12528" t="s">
        <v>84</v>
      </c>
      <c r="J12528">
        <v>98168</v>
      </c>
      <c r="K12528">
        <v>3906</v>
      </c>
      <c r="L12528" t="s">
        <v>23</v>
      </c>
      <c r="M12528" t="s">
        <v>27337</v>
      </c>
      <c r="N12528" t="s">
        <v>5729</v>
      </c>
      <c r="O12528" t="s">
        <v>84</v>
      </c>
      <c r="P12528">
        <v>98168</v>
      </c>
      <c r="Q12528">
        <v>3906</v>
      </c>
      <c r="R12528" t="s">
        <v>23</v>
      </c>
      <c r="S12528" s="1" t="s">
        <v>34218</v>
      </c>
    </row>
    <row r="12529" spans="1:19" x14ac:dyDescent="0.25">
      <c r="A12529">
        <v>101228627</v>
      </c>
      <c r="B12529" t="s">
        <v>27338</v>
      </c>
      <c r="C12529" t="s">
        <v>329</v>
      </c>
      <c r="G12529" t="s">
        <v>27339</v>
      </c>
      <c r="H12529" t="s">
        <v>896</v>
      </c>
      <c r="I12529" t="s">
        <v>22</v>
      </c>
      <c r="J12529">
        <v>91801</v>
      </c>
      <c r="K12529">
        <v>1343</v>
      </c>
      <c r="L12529" t="s">
        <v>23</v>
      </c>
      <c r="M12529" t="s">
        <v>27339</v>
      </c>
      <c r="N12529" t="s">
        <v>896</v>
      </c>
      <c r="O12529" t="s">
        <v>22</v>
      </c>
      <c r="P12529">
        <v>91801</v>
      </c>
      <c r="Q12529">
        <v>1343</v>
      </c>
      <c r="R12529" t="s">
        <v>23</v>
      </c>
      <c r="S12529" s="1" t="s">
        <v>34218</v>
      </c>
    </row>
    <row r="12530" spans="1:19" x14ac:dyDescent="0.25">
      <c r="A12530">
        <v>101228665</v>
      </c>
      <c r="B12530" t="s">
        <v>3629</v>
      </c>
      <c r="C12530" t="s">
        <v>30</v>
      </c>
      <c r="F12530" t="str">
        <f>"7192005551"</f>
        <v>7192005551</v>
      </c>
      <c r="G12530" t="s">
        <v>27340</v>
      </c>
      <c r="H12530" t="s">
        <v>1985</v>
      </c>
      <c r="I12530" t="s">
        <v>71</v>
      </c>
      <c r="J12530">
        <v>80904</v>
      </c>
      <c r="K12530">
        <v>1930</v>
      </c>
      <c r="L12530" t="s">
        <v>23</v>
      </c>
      <c r="M12530" t="s">
        <v>27340</v>
      </c>
      <c r="N12530" t="s">
        <v>1985</v>
      </c>
      <c r="O12530" t="s">
        <v>71</v>
      </c>
      <c r="P12530">
        <v>80904</v>
      </c>
      <c r="Q12530">
        <v>1930</v>
      </c>
      <c r="R12530" t="s">
        <v>23</v>
      </c>
      <c r="S12530" s="1" t="s">
        <v>34218</v>
      </c>
    </row>
    <row r="12531" spans="1:19" x14ac:dyDescent="0.25">
      <c r="A12531">
        <v>101255287</v>
      </c>
      <c r="B12531" t="s">
        <v>13161</v>
      </c>
      <c r="C12531" t="s">
        <v>270</v>
      </c>
      <c r="G12531" t="s">
        <v>27341</v>
      </c>
      <c r="H12531" t="s">
        <v>1531</v>
      </c>
      <c r="I12531" t="s">
        <v>84</v>
      </c>
      <c r="J12531">
        <v>98178</v>
      </c>
      <c r="K12531">
        <v>2415</v>
      </c>
      <c r="L12531" t="s">
        <v>23</v>
      </c>
      <c r="M12531" t="s">
        <v>27341</v>
      </c>
      <c r="N12531" t="s">
        <v>1531</v>
      </c>
      <c r="O12531" t="s">
        <v>84</v>
      </c>
      <c r="P12531">
        <v>98178</v>
      </c>
      <c r="Q12531">
        <v>2415</v>
      </c>
      <c r="R12531" t="s">
        <v>23</v>
      </c>
      <c r="S12531" s="1" t="s">
        <v>34218</v>
      </c>
    </row>
    <row r="12532" spans="1:19" x14ac:dyDescent="0.25">
      <c r="A12532">
        <v>101255319</v>
      </c>
      <c r="B12532" t="s">
        <v>8037</v>
      </c>
      <c r="C12532" t="s">
        <v>1030</v>
      </c>
      <c r="F12532" t="str">
        <f>"8603499593"</f>
        <v>8603499593</v>
      </c>
      <c r="G12532" t="s">
        <v>27342</v>
      </c>
      <c r="H12532" t="s">
        <v>5862</v>
      </c>
      <c r="I12532" t="s">
        <v>161</v>
      </c>
      <c r="J12532">
        <v>6455</v>
      </c>
      <c r="K12532">
        <v>1223</v>
      </c>
      <c r="L12532" t="s">
        <v>23</v>
      </c>
      <c r="M12532" t="s">
        <v>27342</v>
      </c>
      <c r="N12532" t="s">
        <v>5862</v>
      </c>
      <c r="O12532" t="s">
        <v>161</v>
      </c>
      <c r="P12532">
        <v>6455</v>
      </c>
      <c r="Q12532">
        <v>1223</v>
      </c>
      <c r="R12532" t="s">
        <v>23</v>
      </c>
      <c r="S12532" s="1" t="s">
        <v>34218</v>
      </c>
    </row>
    <row r="12533" spans="1:19" x14ac:dyDescent="0.25">
      <c r="A12533">
        <v>101260931</v>
      </c>
      <c r="B12533" t="s">
        <v>27343</v>
      </c>
      <c r="C12533" t="s">
        <v>102</v>
      </c>
      <c r="G12533" t="s">
        <v>27344</v>
      </c>
      <c r="H12533" t="s">
        <v>10619</v>
      </c>
      <c r="I12533" t="s">
        <v>84</v>
      </c>
      <c r="J12533">
        <v>98177</v>
      </c>
      <c r="K12533">
        <v>2359</v>
      </c>
      <c r="L12533" t="s">
        <v>23</v>
      </c>
      <c r="M12533" t="s">
        <v>27344</v>
      </c>
      <c r="N12533" t="s">
        <v>10619</v>
      </c>
      <c r="O12533" t="s">
        <v>84</v>
      </c>
      <c r="P12533">
        <v>98177</v>
      </c>
      <c r="Q12533">
        <v>2359</v>
      </c>
      <c r="R12533" t="s">
        <v>23</v>
      </c>
      <c r="S12533" s="1" t="s">
        <v>34218</v>
      </c>
    </row>
    <row r="12534" spans="1:19" x14ac:dyDescent="0.25">
      <c r="A12534">
        <v>101257283</v>
      </c>
      <c r="B12534" t="s">
        <v>27345</v>
      </c>
      <c r="C12534" t="s">
        <v>989</v>
      </c>
      <c r="F12534" t="str">
        <f>"8024429863"</f>
        <v>8024429863</v>
      </c>
      <c r="G12534" t="s">
        <v>27346</v>
      </c>
      <c r="H12534" t="s">
        <v>25037</v>
      </c>
      <c r="I12534" t="s">
        <v>307</v>
      </c>
      <c r="J12534">
        <v>5257</v>
      </c>
      <c r="K12534">
        <v>9663</v>
      </c>
      <c r="L12534" t="s">
        <v>23</v>
      </c>
      <c r="M12534" t="s">
        <v>27346</v>
      </c>
      <c r="N12534" t="s">
        <v>25037</v>
      </c>
      <c r="O12534" t="s">
        <v>307</v>
      </c>
      <c r="P12534">
        <v>5257</v>
      </c>
      <c r="Q12534">
        <v>9663</v>
      </c>
      <c r="R12534" t="s">
        <v>23</v>
      </c>
      <c r="S12534" s="1" t="s">
        <v>34218</v>
      </c>
    </row>
    <row r="12535" spans="1:19" x14ac:dyDescent="0.25">
      <c r="A12535">
        <v>101264715</v>
      </c>
      <c r="B12535" t="s">
        <v>26577</v>
      </c>
      <c r="C12535" t="s">
        <v>699</v>
      </c>
      <c r="G12535" t="s">
        <v>27347</v>
      </c>
      <c r="H12535" t="s">
        <v>26678</v>
      </c>
      <c r="I12535" t="s">
        <v>446</v>
      </c>
      <c r="J12535">
        <v>28104</v>
      </c>
      <c r="K12535">
        <v>6750</v>
      </c>
      <c r="L12535" t="s">
        <v>23</v>
      </c>
      <c r="M12535" t="s">
        <v>27347</v>
      </c>
      <c r="N12535" t="s">
        <v>26678</v>
      </c>
      <c r="O12535" t="s">
        <v>446</v>
      </c>
      <c r="P12535">
        <v>28104</v>
      </c>
      <c r="Q12535">
        <v>6750</v>
      </c>
      <c r="R12535" t="s">
        <v>23</v>
      </c>
      <c r="S12535" s="1" t="s">
        <v>34218</v>
      </c>
    </row>
    <row r="12536" spans="1:19" x14ac:dyDescent="0.25">
      <c r="A12536">
        <v>101251076</v>
      </c>
      <c r="B12536" t="s">
        <v>27348</v>
      </c>
      <c r="C12536" t="s">
        <v>286</v>
      </c>
      <c r="G12536" t="s">
        <v>27349</v>
      </c>
      <c r="H12536" t="s">
        <v>1674</v>
      </c>
      <c r="I12536" t="s">
        <v>22</v>
      </c>
      <c r="J12536">
        <v>91505</v>
      </c>
      <c r="K12536">
        <v>2997</v>
      </c>
      <c r="L12536" t="s">
        <v>23</v>
      </c>
      <c r="M12536" t="s">
        <v>27349</v>
      </c>
      <c r="N12536" t="s">
        <v>1674</v>
      </c>
      <c r="O12536" t="s">
        <v>22</v>
      </c>
      <c r="P12536">
        <v>91505</v>
      </c>
      <c r="Q12536">
        <v>2997</v>
      </c>
      <c r="R12536" t="s">
        <v>23</v>
      </c>
      <c r="S12536" s="1" t="s">
        <v>34218</v>
      </c>
    </row>
    <row r="12537" spans="1:19" x14ac:dyDescent="0.25">
      <c r="A12537">
        <v>101264052</v>
      </c>
      <c r="B12537" t="s">
        <v>4486</v>
      </c>
      <c r="C12537" t="s">
        <v>27350</v>
      </c>
      <c r="G12537" t="s">
        <v>27351</v>
      </c>
      <c r="H12537" t="s">
        <v>5471</v>
      </c>
      <c r="I12537" t="s">
        <v>38</v>
      </c>
      <c r="J12537">
        <v>76065</v>
      </c>
      <c r="K12537">
        <v>3744</v>
      </c>
      <c r="L12537" t="s">
        <v>23</v>
      </c>
      <c r="M12537" t="s">
        <v>27351</v>
      </c>
      <c r="N12537" t="s">
        <v>5471</v>
      </c>
      <c r="O12537" t="s">
        <v>38</v>
      </c>
      <c r="P12537">
        <v>76065</v>
      </c>
      <c r="Q12537">
        <v>3744</v>
      </c>
      <c r="R12537" t="s">
        <v>23</v>
      </c>
      <c r="S12537" s="1" t="s">
        <v>34218</v>
      </c>
    </row>
    <row r="12538" spans="1:19" x14ac:dyDescent="0.25">
      <c r="A12538">
        <v>101266527</v>
      </c>
      <c r="B12538" t="s">
        <v>1536</v>
      </c>
      <c r="C12538" t="s">
        <v>2417</v>
      </c>
      <c r="G12538" t="s">
        <v>27352</v>
      </c>
      <c r="H12538" t="s">
        <v>27353</v>
      </c>
      <c r="I12538" t="s">
        <v>71</v>
      </c>
      <c r="J12538">
        <v>81635</v>
      </c>
      <c r="K12538">
        <v>9511</v>
      </c>
      <c r="L12538" t="s">
        <v>23</v>
      </c>
      <c r="M12538" t="s">
        <v>27352</v>
      </c>
      <c r="N12538" t="s">
        <v>27353</v>
      </c>
      <c r="O12538" t="s">
        <v>71</v>
      </c>
      <c r="P12538">
        <v>81635</v>
      </c>
      <c r="Q12538">
        <v>9511</v>
      </c>
      <c r="R12538" t="s">
        <v>23</v>
      </c>
      <c r="S12538" s="1" t="s">
        <v>34218</v>
      </c>
    </row>
    <row r="12539" spans="1:19" x14ac:dyDescent="0.25">
      <c r="A12539">
        <v>101267755</v>
      </c>
      <c r="B12539" t="s">
        <v>1449</v>
      </c>
      <c r="C12539" t="s">
        <v>4140</v>
      </c>
      <c r="F12539" t="str">
        <f>"2252167430"</f>
        <v>2252167430</v>
      </c>
      <c r="G12539" t="s">
        <v>27354</v>
      </c>
      <c r="H12539" t="s">
        <v>1900</v>
      </c>
      <c r="I12539" t="s">
        <v>153</v>
      </c>
      <c r="J12539">
        <v>70808</v>
      </c>
      <c r="K12539">
        <v>1214</v>
      </c>
      <c r="L12539" t="s">
        <v>23</v>
      </c>
      <c r="M12539" t="s">
        <v>27354</v>
      </c>
      <c r="N12539" t="s">
        <v>1900</v>
      </c>
      <c r="O12539" t="s">
        <v>153</v>
      </c>
      <c r="P12539">
        <v>70808</v>
      </c>
      <c r="Q12539">
        <v>1214</v>
      </c>
      <c r="R12539" t="s">
        <v>23</v>
      </c>
      <c r="S12539" s="1" t="s">
        <v>34218</v>
      </c>
    </row>
    <row r="12540" spans="1:19" x14ac:dyDescent="0.25">
      <c r="A12540">
        <v>101453781</v>
      </c>
      <c r="B12540" t="s">
        <v>3110</v>
      </c>
      <c r="C12540" t="s">
        <v>1078</v>
      </c>
      <c r="G12540" t="s">
        <v>27355</v>
      </c>
      <c r="H12540" t="s">
        <v>1171</v>
      </c>
      <c r="I12540" t="s">
        <v>1387</v>
      </c>
      <c r="J12540">
        <v>36277</v>
      </c>
      <c r="K12540">
        <v>3744</v>
      </c>
      <c r="L12540" t="s">
        <v>23</v>
      </c>
      <c r="M12540" t="s">
        <v>27355</v>
      </c>
      <c r="N12540" t="s">
        <v>1171</v>
      </c>
      <c r="O12540" t="s">
        <v>1387</v>
      </c>
      <c r="P12540">
        <v>36277</v>
      </c>
      <c r="Q12540">
        <v>3744</v>
      </c>
      <c r="R12540" t="s">
        <v>23</v>
      </c>
      <c r="S12540" s="1" t="s">
        <v>34218</v>
      </c>
    </row>
    <row r="12541" spans="1:19" x14ac:dyDescent="0.25">
      <c r="A12541">
        <v>101475443</v>
      </c>
      <c r="B12541" t="s">
        <v>13843</v>
      </c>
      <c r="C12541" t="s">
        <v>1542</v>
      </c>
      <c r="G12541" t="s">
        <v>27356</v>
      </c>
      <c r="H12541" t="s">
        <v>1276</v>
      </c>
      <c r="I12541" t="s">
        <v>446</v>
      </c>
      <c r="J12541">
        <v>27514</v>
      </c>
      <c r="K12541">
        <v>9562</v>
      </c>
      <c r="L12541" t="s">
        <v>23</v>
      </c>
      <c r="M12541" t="s">
        <v>27356</v>
      </c>
      <c r="N12541" t="s">
        <v>1276</v>
      </c>
      <c r="O12541" t="s">
        <v>446</v>
      </c>
      <c r="P12541">
        <v>27514</v>
      </c>
      <c r="Q12541">
        <v>9562</v>
      </c>
      <c r="R12541" t="s">
        <v>23</v>
      </c>
      <c r="S12541" s="1" t="s">
        <v>34218</v>
      </c>
    </row>
    <row r="12542" spans="1:19" x14ac:dyDescent="0.25">
      <c r="A12542">
        <v>101480534</v>
      </c>
      <c r="B12542" t="s">
        <v>27357</v>
      </c>
      <c r="C12542" t="s">
        <v>4673</v>
      </c>
      <c r="G12542" t="s">
        <v>27358</v>
      </c>
      <c r="H12542" t="s">
        <v>1964</v>
      </c>
      <c r="I12542" t="s">
        <v>22</v>
      </c>
      <c r="J12542">
        <v>91343</v>
      </c>
      <c r="K12542">
        <v>7034</v>
      </c>
      <c r="L12542" t="s">
        <v>23</v>
      </c>
      <c r="M12542" t="s">
        <v>27358</v>
      </c>
      <c r="N12542" t="s">
        <v>1964</v>
      </c>
      <c r="O12542" t="s">
        <v>22</v>
      </c>
      <c r="P12542">
        <v>91343</v>
      </c>
      <c r="Q12542">
        <v>7034</v>
      </c>
      <c r="R12542" t="s">
        <v>23</v>
      </c>
      <c r="S12542" s="1" t="s">
        <v>34218</v>
      </c>
    </row>
    <row r="12543" spans="1:19" x14ac:dyDescent="0.25">
      <c r="A12543">
        <v>101323600</v>
      </c>
      <c r="B12543" t="s">
        <v>27359</v>
      </c>
      <c r="C12543" t="s">
        <v>2266</v>
      </c>
      <c r="G12543" t="s">
        <v>27360</v>
      </c>
      <c r="H12543" t="s">
        <v>27361</v>
      </c>
      <c r="I12543" t="s">
        <v>117</v>
      </c>
      <c r="J12543">
        <v>53757</v>
      </c>
      <c r="L12543" t="s">
        <v>23</v>
      </c>
      <c r="M12543" t="s">
        <v>27360</v>
      </c>
      <c r="N12543" t="s">
        <v>27361</v>
      </c>
      <c r="O12543" t="s">
        <v>117</v>
      </c>
      <c r="P12543">
        <v>53757</v>
      </c>
      <c r="R12543" t="s">
        <v>23</v>
      </c>
      <c r="S12543" s="1" t="s">
        <v>34218</v>
      </c>
    </row>
    <row r="12544" spans="1:19" x14ac:dyDescent="0.25">
      <c r="A12544">
        <v>101480541</v>
      </c>
      <c r="B12544" t="s">
        <v>27362</v>
      </c>
      <c r="C12544" t="s">
        <v>27363</v>
      </c>
      <c r="G12544" t="s">
        <v>27364</v>
      </c>
      <c r="H12544" t="s">
        <v>2046</v>
      </c>
      <c r="I12544" t="s">
        <v>446</v>
      </c>
      <c r="J12544">
        <v>27704</v>
      </c>
      <c r="K12544">
        <v>2604</v>
      </c>
      <c r="L12544" t="s">
        <v>23</v>
      </c>
      <c r="M12544" t="s">
        <v>27364</v>
      </c>
      <c r="N12544" t="s">
        <v>2046</v>
      </c>
      <c r="O12544" t="s">
        <v>446</v>
      </c>
      <c r="P12544">
        <v>27704</v>
      </c>
      <c r="Q12544">
        <v>2604</v>
      </c>
      <c r="R12544" t="s">
        <v>23</v>
      </c>
      <c r="S12544" s="1" t="s">
        <v>34218</v>
      </c>
    </row>
    <row r="12545" spans="1:19" x14ac:dyDescent="0.25">
      <c r="A12545">
        <v>101480542</v>
      </c>
      <c r="B12545" t="s">
        <v>20419</v>
      </c>
      <c r="C12545" t="s">
        <v>27365</v>
      </c>
      <c r="G12545" t="s">
        <v>27366</v>
      </c>
      <c r="H12545" t="s">
        <v>2122</v>
      </c>
      <c r="I12545" t="s">
        <v>38</v>
      </c>
      <c r="J12545">
        <v>77479</v>
      </c>
      <c r="K12545">
        <v>5172</v>
      </c>
      <c r="L12545" t="s">
        <v>23</v>
      </c>
      <c r="M12545" t="s">
        <v>27366</v>
      </c>
      <c r="N12545" t="s">
        <v>2122</v>
      </c>
      <c r="O12545" t="s">
        <v>38</v>
      </c>
      <c r="P12545">
        <v>77479</v>
      </c>
      <c r="Q12545">
        <v>5172</v>
      </c>
      <c r="R12545" t="s">
        <v>23</v>
      </c>
      <c r="S12545" s="1" t="s">
        <v>34218</v>
      </c>
    </row>
    <row r="12546" spans="1:19" x14ac:dyDescent="0.25">
      <c r="A12546">
        <v>101473644</v>
      </c>
      <c r="B12546" t="s">
        <v>27367</v>
      </c>
      <c r="C12546" t="s">
        <v>2259</v>
      </c>
      <c r="G12546" t="s">
        <v>27368</v>
      </c>
      <c r="H12546" t="s">
        <v>9777</v>
      </c>
      <c r="I12546" t="s">
        <v>22</v>
      </c>
      <c r="J12546">
        <v>90292</v>
      </c>
      <c r="K12546">
        <v>7054</v>
      </c>
      <c r="L12546" t="s">
        <v>23</v>
      </c>
      <c r="M12546" t="s">
        <v>27368</v>
      </c>
      <c r="N12546" t="s">
        <v>9777</v>
      </c>
      <c r="O12546" t="s">
        <v>22</v>
      </c>
      <c r="P12546">
        <v>90292</v>
      </c>
      <c r="Q12546">
        <v>7054</v>
      </c>
      <c r="R12546" t="s">
        <v>23</v>
      </c>
      <c r="S12546" s="1" t="s">
        <v>34218</v>
      </c>
    </row>
    <row r="12547" spans="1:19" x14ac:dyDescent="0.25">
      <c r="A12547">
        <v>101480547</v>
      </c>
      <c r="B12547" t="s">
        <v>10360</v>
      </c>
      <c r="C12547" t="s">
        <v>26945</v>
      </c>
      <c r="G12547" t="s">
        <v>27369</v>
      </c>
      <c r="H12547" t="s">
        <v>11464</v>
      </c>
      <c r="I12547" t="s">
        <v>117</v>
      </c>
      <c r="J12547">
        <v>12404</v>
      </c>
      <c r="K12547">
        <v>5905</v>
      </c>
      <c r="L12547" t="s">
        <v>23</v>
      </c>
      <c r="M12547" t="s">
        <v>27369</v>
      </c>
      <c r="N12547" t="s">
        <v>11464</v>
      </c>
      <c r="O12547" t="s">
        <v>117</v>
      </c>
      <c r="P12547">
        <v>12404</v>
      </c>
      <c r="Q12547">
        <v>5905</v>
      </c>
      <c r="R12547" t="s">
        <v>23</v>
      </c>
      <c r="S12547" s="1" t="s">
        <v>34218</v>
      </c>
    </row>
    <row r="12548" spans="1:19" x14ac:dyDescent="0.25">
      <c r="A12548">
        <v>101248882</v>
      </c>
      <c r="B12548" t="s">
        <v>281</v>
      </c>
      <c r="C12548" t="s">
        <v>7569</v>
      </c>
      <c r="G12548" t="s">
        <v>27370</v>
      </c>
      <c r="H12548" t="s">
        <v>21</v>
      </c>
      <c r="I12548" t="s">
        <v>22</v>
      </c>
      <c r="J12548">
        <v>95407</v>
      </c>
      <c r="K12548">
        <v>7371</v>
      </c>
      <c r="L12548" t="s">
        <v>23</v>
      </c>
      <c r="M12548" t="s">
        <v>27370</v>
      </c>
      <c r="N12548" t="s">
        <v>21</v>
      </c>
      <c r="O12548" t="s">
        <v>22</v>
      </c>
      <c r="P12548">
        <v>95407</v>
      </c>
      <c r="Q12548">
        <v>7371</v>
      </c>
      <c r="R12548" t="s">
        <v>23</v>
      </c>
      <c r="S12548" s="1" t="s">
        <v>34218</v>
      </c>
    </row>
    <row r="12549" spans="1:19" x14ac:dyDescent="0.25">
      <c r="A12549">
        <v>101480001</v>
      </c>
      <c r="B12549" t="s">
        <v>3956</v>
      </c>
      <c r="C12549" t="s">
        <v>4966</v>
      </c>
      <c r="G12549" t="s">
        <v>27371</v>
      </c>
      <c r="H12549" t="s">
        <v>27372</v>
      </c>
      <c r="I12549" t="s">
        <v>22</v>
      </c>
      <c r="J12549">
        <v>91932</v>
      </c>
      <c r="K12549">
        <v>2231</v>
      </c>
      <c r="L12549" t="s">
        <v>23</v>
      </c>
      <c r="M12549" t="s">
        <v>27371</v>
      </c>
      <c r="N12549" t="s">
        <v>27372</v>
      </c>
      <c r="O12549" t="s">
        <v>22</v>
      </c>
      <c r="P12549">
        <v>91932</v>
      </c>
      <c r="Q12549">
        <v>2231</v>
      </c>
      <c r="R12549" t="s">
        <v>23</v>
      </c>
      <c r="S12549" s="1" t="s">
        <v>34218</v>
      </c>
    </row>
    <row r="12550" spans="1:19" x14ac:dyDescent="0.25">
      <c r="A12550">
        <v>100538405</v>
      </c>
      <c r="B12550" t="s">
        <v>328</v>
      </c>
      <c r="C12550" t="s">
        <v>266</v>
      </c>
      <c r="G12550" t="s">
        <v>27373</v>
      </c>
      <c r="H12550" t="s">
        <v>25993</v>
      </c>
      <c r="I12550" t="s">
        <v>52</v>
      </c>
      <c r="J12550">
        <v>32118</v>
      </c>
      <c r="K12550">
        <v>4058</v>
      </c>
      <c r="L12550" t="s">
        <v>23</v>
      </c>
      <c r="M12550" t="s">
        <v>27373</v>
      </c>
      <c r="N12550" t="s">
        <v>25993</v>
      </c>
      <c r="O12550" t="s">
        <v>52</v>
      </c>
      <c r="P12550">
        <v>32118</v>
      </c>
      <c r="Q12550">
        <v>4058</v>
      </c>
      <c r="R12550" t="s">
        <v>23</v>
      </c>
      <c r="S12550" s="1" t="s">
        <v>34218</v>
      </c>
    </row>
    <row r="12551" spans="1:19" x14ac:dyDescent="0.25">
      <c r="A12551">
        <v>101034930</v>
      </c>
      <c r="B12551" t="s">
        <v>985</v>
      </c>
      <c r="C12551" t="s">
        <v>278</v>
      </c>
      <c r="G12551" t="s">
        <v>27374</v>
      </c>
      <c r="H12551" t="s">
        <v>526</v>
      </c>
      <c r="I12551" t="s">
        <v>148</v>
      </c>
      <c r="J12551">
        <v>21076</v>
      </c>
      <c r="K12551">
        <v>1864</v>
      </c>
      <c r="L12551" t="s">
        <v>23</v>
      </c>
      <c r="M12551" t="s">
        <v>27374</v>
      </c>
      <c r="N12551" t="s">
        <v>526</v>
      </c>
      <c r="O12551" t="s">
        <v>148</v>
      </c>
      <c r="P12551">
        <v>21076</v>
      </c>
      <c r="Q12551">
        <v>1864</v>
      </c>
      <c r="R12551" t="s">
        <v>23</v>
      </c>
      <c r="S12551" s="1" t="s">
        <v>34218</v>
      </c>
    </row>
    <row r="12552" spans="1:19" x14ac:dyDescent="0.25">
      <c r="A12552">
        <v>101480559</v>
      </c>
      <c r="B12552" t="s">
        <v>15716</v>
      </c>
      <c r="C12552" t="s">
        <v>1107</v>
      </c>
      <c r="G12552" t="s">
        <v>27375</v>
      </c>
      <c r="H12552" t="s">
        <v>198</v>
      </c>
      <c r="I12552" t="s">
        <v>22</v>
      </c>
      <c r="J12552">
        <v>92171</v>
      </c>
      <c r="K12552">
        <v>634</v>
      </c>
      <c r="L12552" t="s">
        <v>23</v>
      </c>
      <c r="M12552" t="s">
        <v>27375</v>
      </c>
      <c r="N12552" t="s">
        <v>198</v>
      </c>
      <c r="O12552" t="s">
        <v>22</v>
      </c>
      <c r="P12552">
        <v>92171</v>
      </c>
      <c r="Q12552">
        <v>634</v>
      </c>
      <c r="R12552" t="s">
        <v>23</v>
      </c>
      <c r="S12552" s="1" t="s">
        <v>34218</v>
      </c>
    </row>
    <row r="12553" spans="1:19" x14ac:dyDescent="0.25">
      <c r="A12553">
        <v>101453036</v>
      </c>
      <c r="B12553" t="s">
        <v>27376</v>
      </c>
      <c r="C12553" t="s">
        <v>1873</v>
      </c>
      <c r="G12553" t="s">
        <v>27377</v>
      </c>
      <c r="H12553" t="s">
        <v>27378</v>
      </c>
      <c r="I12553" t="s">
        <v>178</v>
      </c>
      <c r="J12553">
        <v>44883</v>
      </c>
      <c r="K12553">
        <v>9675</v>
      </c>
      <c r="L12553" t="s">
        <v>23</v>
      </c>
      <c r="M12553" t="s">
        <v>27377</v>
      </c>
      <c r="N12553" t="s">
        <v>27378</v>
      </c>
      <c r="O12553" t="s">
        <v>178</v>
      </c>
      <c r="P12553">
        <v>44883</v>
      </c>
      <c r="Q12553">
        <v>9675</v>
      </c>
      <c r="R12553" t="s">
        <v>23</v>
      </c>
      <c r="S12553" s="1" t="s">
        <v>34218</v>
      </c>
    </row>
    <row r="12554" spans="1:19" x14ac:dyDescent="0.25">
      <c r="A12554">
        <v>101430693</v>
      </c>
      <c r="B12554" t="s">
        <v>27379</v>
      </c>
      <c r="C12554" t="s">
        <v>1933</v>
      </c>
      <c r="G12554" t="s">
        <v>27380</v>
      </c>
      <c r="H12554" t="s">
        <v>169</v>
      </c>
      <c r="I12554" t="s">
        <v>170</v>
      </c>
      <c r="J12554">
        <v>20005</v>
      </c>
      <c r="K12554">
        <v>2605</v>
      </c>
      <c r="L12554" t="s">
        <v>23</v>
      </c>
      <c r="M12554" t="s">
        <v>27380</v>
      </c>
      <c r="N12554" t="s">
        <v>169</v>
      </c>
      <c r="O12554" t="s">
        <v>170</v>
      </c>
      <c r="P12554">
        <v>20005</v>
      </c>
      <c r="Q12554">
        <v>2605</v>
      </c>
      <c r="R12554" t="s">
        <v>23</v>
      </c>
      <c r="S12554" s="1" t="s">
        <v>34218</v>
      </c>
    </row>
    <row r="12555" spans="1:19" x14ac:dyDescent="0.25">
      <c r="A12555">
        <v>101099096</v>
      </c>
      <c r="B12555" t="s">
        <v>23791</v>
      </c>
      <c r="C12555" t="s">
        <v>4966</v>
      </c>
      <c r="G12555" t="s">
        <v>27381</v>
      </c>
      <c r="H12555" t="s">
        <v>292</v>
      </c>
      <c r="I12555" t="s">
        <v>33</v>
      </c>
      <c r="J12555">
        <v>19033</v>
      </c>
      <c r="K12555">
        <v>3128</v>
      </c>
      <c r="L12555" t="s">
        <v>23</v>
      </c>
      <c r="M12555" t="s">
        <v>27381</v>
      </c>
      <c r="N12555" t="s">
        <v>292</v>
      </c>
      <c r="O12555" t="s">
        <v>33</v>
      </c>
      <c r="P12555">
        <v>19033</v>
      </c>
      <c r="Q12555">
        <v>3128</v>
      </c>
      <c r="R12555" t="s">
        <v>23</v>
      </c>
      <c r="S12555" s="1" t="s">
        <v>34218</v>
      </c>
    </row>
    <row r="12556" spans="1:19" x14ac:dyDescent="0.25">
      <c r="A12556">
        <v>101480566</v>
      </c>
      <c r="B12556" t="s">
        <v>34</v>
      </c>
      <c r="C12556" t="s">
        <v>2463</v>
      </c>
      <c r="G12556" t="s">
        <v>27382</v>
      </c>
      <c r="H12556" t="s">
        <v>380</v>
      </c>
      <c r="I12556" t="s">
        <v>38</v>
      </c>
      <c r="J12556">
        <v>75204</v>
      </c>
      <c r="K12556">
        <v>3488</v>
      </c>
      <c r="L12556" t="s">
        <v>23</v>
      </c>
      <c r="M12556" t="s">
        <v>27382</v>
      </c>
      <c r="N12556" t="s">
        <v>380</v>
      </c>
      <c r="O12556" t="s">
        <v>38</v>
      </c>
      <c r="P12556">
        <v>75204</v>
      </c>
      <c r="Q12556">
        <v>3488</v>
      </c>
      <c r="R12556" t="s">
        <v>23</v>
      </c>
      <c r="S12556" s="1" t="s">
        <v>34218</v>
      </c>
    </row>
    <row r="12557" spans="1:19" x14ac:dyDescent="0.25">
      <c r="A12557">
        <v>101424567</v>
      </c>
      <c r="B12557" t="s">
        <v>27383</v>
      </c>
      <c r="C12557" t="s">
        <v>3357</v>
      </c>
      <c r="G12557" t="s">
        <v>27384</v>
      </c>
      <c r="H12557" t="s">
        <v>6124</v>
      </c>
      <c r="I12557" t="s">
        <v>117</v>
      </c>
      <c r="J12557">
        <v>11746</v>
      </c>
      <c r="K12557">
        <v>6502</v>
      </c>
      <c r="L12557" t="s">
        <v>23</v>
      </c>
      <c r="M12557" t="s">
        <v>27384</v>
      </c>
      <c r="N12557" t="s">
        <v>6124</v>
      </c>
      <c r="O12557" t="s">
        <v>117</v>
      </c>
      <c r="P12557">
        <v>11746</v>
      </c>
      <c r="Q12557">
        <v>6502</v>
      </c>
      <c r="R12557" t="s">
        <v>23</v>
      </c>
      <c r="S12557" s="1" t="s">
        <v>34218</v>
      </c>
    </row>
    <row r="12558" spans="1:19" x14ac:dyDescent="0.25">
      <c r="A12558">
        <v>101298107</v>
      </c>
      <c r="B12558" t="s">
        <v>27385</v>
      </c>
      <c r="C12558" t="s">
        <v>27386</v>
      </c>
      <c r="G12558" t="s">
        <v>27387</v>
      </c>
      <c r="H12558" t="s">
        <v>27388</v>
      </c>
      <c r="I12558" t="s">
        <v>332</v>
      </c>
      <c r="J12558">
        <v>84096</v>
      </c>
      <c r="K12558">
        <v>3866</v>
      </c>
      <c r="L12558" t="s">
        <v>23</v>
      </c>
      <c r="M12558" t="s">
        <v>27387</v>
      </c>
      <c r="N12558" t="s">
        <v>27388</v>
      </c>
      <c r="O12558" t="s">
        <v>332</v>
      </c>
      <c r="P12558">
        <v>84096</v>
      </c>
      <c r="Q12558">
        <v>3866</v>
      </c>
      <c r="R12558" t="s">
        <v>23</v>
      </c>
      <c r="S12558" s="1" t="s">
        <v>34218</v>
      </c>
    </row>
    <row r="12559" spans="1:19" x14ac:dyDescent="0.25">
      <c r="A12559">
        <v>100785083</v>
      </c>
      <c r="B12559" t="s">
        <v>812</v>
      </c>
      <c r="C12559" t="s">
        <v>27389</v>
      </c>
      <c r="G12559" t="s">
        <v>27390</v>
      </c>
      <c r="H12559" t="s">
        <v>37</v>
      </c>
      <c r="I12559" t="s">
        <v>38</v>
      </c>
      <c r="J12559">
        <v>78704</v>
      </c>
      <c r="K12559">
        <v>8839</v>
      </c>
      <c r="L12559" t="s">
        <v>23</v>
      </c>
      <c r="M12559" t="s">
        <v>27390</v>
      </c>
      <c r="N12559" t="s">
        <v>37</v>
      </c>
      <c r="O12559" t="s">
        <v>38</v>
      </c>
      <c r="P12559">
        <v>78704</v>
      </c>
      <c r="Q12559">
        <v>8839</v>
      </c>
      <c r="R12559" t="s">
        <v>23</v>
      </c>
      <c r="S12559" s="1" t="s">
        <v>34218</v>
      </c>
    </row>
    <row r="12560" spans="1:19" x14ac:dyDescent="0.25">
      <c r="A12560">
        <v>101467957</v>
      </c>
      <c r="B12560" t="s">
        <v>27391</v>
      </c>
      <c r="C12560" t="s">
        <v>3878</v>
      </c>
      <c r="G12560" t="s">
        <v>27392</v>
      </c>
      <c r="H12560" t="s">
        <v>219</v>
      </c>
      <c r="I12560" t="s">
        <v>117</v>
      </c>
      <c r="J12560">
        <v>12590</v>
      </c>
      <c r="K12560">
        <v>5622</v>
      </c>
      <c r="L12560" t="s">
        <v>23</v>
      </c>
      <c r="M12560" t="s">
        <v>27392</v>
      </c>
      <c r="N12560" t="s">
        <v>219</v>
      </c>
      <c r="O12560" t="s">
        <v>117</v>
      </c>
      <c r="P12560">
        <v>12590</v>
      </c>
      <c r="Q12560">
        <v>5622</v>
      </c>
      <c r="R12560" t="s">
        <v>23</v>
      </c>
      <c r="S12560" s="1" t="s">
        <v>34218</v>
      </c>
    </row>
    <row r="12561" spans="1:19" x14ac:dyDescent="0.25">
      <c r="A12561">
        <v>101478623</v>
      </c>
      <c r="B12561" t="s">
        <v>27393</v>
      </c>
      <c r="C12561" t="s">
        <v>1714</v>
      </c>
      <c r="G12561" t="s">
        <v>27394</v>
      </c>
      <c r="H12561" t="s">
        <v>37</v>
      </c>
      <c r="I12561" t="s">
        <v>38</v>
      </c>
      <c r="J12561">
        <v>78741</v>
      </c>
      <c r="K12561">
        <v>4311</v>
      </c>
      <c r="L12561" t="s">
        <v>23</v>
      </c>
      <c r="M12561" t="s">
        <v>27394</v>
      </c>
      <c r="N12561" t="s">
        <v>37</v>
      </c>
      <c r="O12561" t="s">
        <v>38</v>
      </c>
      <c r="P12561">
        <v>78741</v>
      </c>
      <c r="Q12561">
        <v>4311</v>
      </c>
      <c r="R12561" t="s">
        <v>23</v>
      </c>
      <c r="S12561" s="1" t="s">
        <v>34218</v>
      </c>
    </row>
    <row r="12562" spans="1:19" x14ac:dyDescent="0.25">
      <c r="A12562">
        <v>101480576</v>
      </c>
      <c r="B12562" t="s">
        <v>27395</v>
      </c>
      <c r="C12562" t="s">
        <v>466</v>
      </c>
      <c r="G12562" t="s">
        <v>27396</v>
      </c>
      <c r="H12562" t="s">
        <v>2640</v>
      </c>
      <c r="I12562" t="s">
        <v>52</v>
      </c>
      <c r="J12562">
        <v>33428</v>
      </c>
      <c r="K12562">
        <v>3723</v>
      </c>
      <c r="L12562" t="s">
        <v>23</v>
      </c>
      <c r="M12562" t="s">
        <v>27396</v>
      </c>
      <c r="N12562" t="s">
        <v>2640</v>
      </c>
      <c r="O12562" t="s">
        <v>52</v>
      </c>
      <c r="P12562">
        <v>33428</v>
      </c>
      <c r="Q12562">
        <v>3723</v>
      </c>
      <c r="R12562" t="s">
        <v>23</v>
      </c>
      <c r="S12562" s="1" t="s">
        <v>34218</v>
      </c>
    </row>
    <row r="12563" spans="1:19" x14ac:dyDescent="0.25">
      <c r="A12563">
        <v>101480577</v>
      </c>
      <c r="B12563" t="s">
        <v>27397</v>
      </c>
      <c r="C12563" t="s">
        <v>1050</v>
      </c>
      <c r="G12563" t="s">
        <v>27398</v>
      </c>
      <c r="H12563" t="s">
        <v>27399</v>
      </c>
      <c r="I12563" t="s">
        <v>1000</v>
      </c>
      <c r="J12563">
        <v>59714</v>
      </c>
      <c r="K12563">
        <v>9063</v>
      </c>
      <c r="L12563" t="s">
        <v>23</v>
      </c>
      <c r="M12563" t="s">
        <v>27398</v>
      </c>
      <c r="N12563" t="s">
        <v>27399</v>
      </c>
      <c r="O12563" t="s">
        <v>1000</v>
      </c>
      <c r="P12563">
        <v>59714</v>
      </c>
      <c r="Q12563">
        <v>9063</v>
      </c>
      <c r="R12563" t="s">
        <v>23</v>
      </c>
      <c r="S12563" s="1" t="s">
        <v>34218</v>
      </c>
    </row>
    <row r="12564" spans="1:19" x14ac:dyDescent="0.25">
      <c r="A12564">
        <v>101299247</v>
      </c>
      <c r="B12564" t="s">
        <v>27400</v>
      </c>
      <c r="C12564" t="s">
        <v>27401</v>
      </c>
      <c r="G12564" t="s">
        <v>27402</v>
      </c>
      <c r="H12564" t="s">
        <v>3056</v>
      </c>
      <c r="I12564" t="s">
        <v>662</v>
      </c>
      <c r="J12564">
        <v>2879</v>
      </c>
      <c r="K12564">
        <v>2120</v>
      </c>
      <c r="L12564" t="s">
        <v>23</v>
      </c>
      <c r="M12564" t="s">
        <v>27402</v>
      </c>
      <c r="N12564" t="s">
        <v>3056</v>
      </c>
      <c r="O12564" t="s">
        <v>662</v>
      </c>
      <c r="P12564">
        <v>2879</v>
      </c>
      <c r="Q12564">
        <v>2120</v>
      </c>
      <c r="R12564" t="s">
        <v>23</v>
      </c>
      <c r="S12564" s="1" t="s">
        <v>34218</v>
      </c>
    </row>
    <row r="12565" spans="1:19" x14ac:dyDescent="0.25">
      <c r="A12565">
        <v>101379604</v>
      </c>
      <c r="B12565" t="s">
        <v>369</v>
      </c>
      <c r="C12565" t="s">
        <v>7555</v>
      </c>
      <c r="G12565" t="s">
        <v>27403</v>
      </c>
      <c r="H12565" t="s">
        <v>3278</v>
      </c>
      <c r="I12565" t="s">
        <v>353</v>
      </c>
      <c r="J12565">
        <v>3870</v>
      </c>
      <c r="K12565">
        <v>2419</v>
      </c>
      <c r="L12565" t="s">
        <v>23</v>
      </c>
      <c r="M12565" t="s">
        <v>27403</v>
      </c>
      <c r="N12565" t="s">
        <v>3278</v>
      </c>
      <c r="O12565" t="s">
        <v>353</v>
      </c>
      <c r="P12565">
        <v>3870</v>
      </c>
      <c r="Q12565">
        <v>2419</v>
      </c>
      <c r="R12565" t="s">
        <v>23</v>
      </c>
      <c r="S12565" s="1" t="s">
        <v>34218</v>
      </c>
    </row>
    <row r="12566" spans="1:19" x14ac:dyDescent="0.25">
      <c r="A12566">
        <v>101352575</v>
      </c>
      <c r="B12566" t="s">
        <v>27404</v>
      </c>
      <c r="C12566" t="s">
        <v>3110</v>
      </c>
      <c r="G12566" t="s">
        <v>27405</v>
      </c>
      <c r="H12566" t="s">
        <v>1674</v>
      </c>
      <c r="I12566" t="s">
        <v>22</v>
      </c>
      <c r="J12566">
        <v>91506</v>
      </c>
      <c r="K12566">
        <v>3314</v>
      </c>
      <c r="L12566" t="s">
        <v>23</v>
      </c>
      <c r="M12566" t="s">
        <v>27405</v>
      </c>
      <c r="N12566" t="s">
        <v>1674</v>
      </c>
      <c r="O12566" t="s">
        <v>22</v>
      </c>
      <c r="P12566">
        <v>91506</v>
      </c>
      <c r="Q12566">
        <v>3314</v>
      </c>
      <c r="R12566" t="s">
        <v>23</v>
      </c>
      <c r="S12566" s="1" t="s">
        <v>34218</v>
      </c>
    </row>
    <row r="12567" spans="1:19" x14ac:dyDescent="0.25">
      <c r="A12567">
        <v>101453131</v>
      </c>
      <c r="B12567" t="s">
        <v>4754</v>
      </c>
      <c r="C12567" t="s">
        <v>1533</v>
      </c>
      <c r="G12567" t="s">
        <v>27406</v>
      </c>
      <c r="H12567" t="s">
        <v>22155</v>
      </c>
      <c r="I12567" t="s">
        <v>33</v>
      </c>
      <c r="J12567">
        <v>19510</v>
      </c>
      <c r="K12567">
        <v>9426</v>
      </c>
      <c r="L12567" t="s">
        <v>23</v>
      </c>
      <c r="M12567" t="s">
        <v>27406</v>
      </c>
      <c r="N12567" t="s">
        <v>22155</v>
      </c>
      <c r="O12567" t="s">
        <v>33</v>
      </c>
      <c r="P12567">
        <v>19510</v>
      </c>
      <c r="Q12567">
        <v>9426</v>
      </c>
      <c r="R12567" t="s">
        <v>23</v>
      </c>
      <c r="S12567" s="1" t="s">
        <v>34218</v>
      </c>
    </row>
    <row r="12568" spans="1:19" x14ac:dyDescent="0.25">
      <c r="A12568">
        <v>100544031</v>
      </c>
      <c r="B12568" t="s">
        <v>27407</v>
      </c>
      <c r="C12568" t="s">
        <v>27408</v>
      </c>
      <c r="G12568" t="s">
        <v>27409</v>
      </c>
      <c r="H12568" t="s">
        <v>4510</v>
      </c>
      <c r="I12568" t="s">
        <v>84</v>
      </c>
      <c r="J12568">
        <v>98208</v>
      </c>
      <c r="L12568" t="s">
        <v>23</v>
      </c>
      <c r="M12568" t="s">
        <v>27409</v>
      </c>
      <c r="N12568" t="s">
        <v>4510</v>
      </c>
      <c r="O12568" t="s">
        <v>84</v>
      </c>
      <c r="P12568">
        <v>98208</v>
      </c>
      <c r="R12568" t="s">
        <v>23</v>
      </c>
      <c r="S12568" s="1" t="s">
        <v>34218</v>
      </c>
    </row>
    <row r="12569" spans="1:19" x14ac:dyDescent="0.25">
      <c r="A12569">
        <v>101480582</v>
      </c>
      <c r="B12569" t="s">
        <v>1505</v>
      </c>
      <c r="C12569" t="s">
        <v>9349</v>
      </c>
      <c r="G12569" t="s">
        <v>27410</v>
      </c>
      <c r="H12569" t="s">
        <v>2289</v>
      </c>
      <c r="I12569" t="s">
        <v>71</v>
      </c>
      <c r="J12569">
        <v>80020</v>
      </c>
      <c r="K12569">
        <v>6630</v>
      </c>
      <c r="L12569" t="s">
        <v>23</v>
      </c>
      <c r="M12569" t="s">
        <v>27410</v>
      </c>
      <c r="N12569" t="s">
        <v>2289</v>
      </c>
      <c r="O12569" t="s">
        <v>71</v>
      </c>
      <c r="P12569">
        <v>80020</v>
      </c>
      <c r="Q12569">
        <v>6630</v>
      </c>
      <c r="R12569" t="s">
        <v>23</v>
      </c>
      <c r="S12569" s="1" t="s">
        <v>34218</v>
      </c>
    </row>
    <row r="12570" spans="1:19" x14ac:dyDescent="0.25">
      <c r="A12570">
        <v>101452672</v>
      </c>
      <c r="B12570" t="s">
        <v>11178</v>
      </c>
      <c r="C12570" t="s">
        <v>3342</v>
      </c>
      <c r="G12570" t="s">
        <v>27411</v>
      </c>
      <c r="H12570" t="s">
        <v>746</v>
      </c>
      <c r="I12570" t="s">
        <v>126</v>
      </c>
      <c r="J12570">
        <v>65807</v>
      </c>
      <c r="K12570">
        <v>8148</v>
      </c>
      <c r="L12570" t="s">
        <v>23</v>
      </c>
      <c r="M12570" t="s">
        <v>27411</v>
      </c>
      <c r="N12570" t="s">
        <v>746</v>
      </c>
      <c r="O12570" t="s">
        <v>126</v>
      </c>
      <c r="P12570">
        <v>65807</v>
      </c>
      <c r="Q12570">
        <v>8148</v>
      </c>
      <c r="R12570" t="s">
        <v>23</v>
      </c>
      <c r="S12570" s="1" t="s">
        <v>34218</v>
      </c>
    </row>
    <row r="12571" spans="1:19" x14ac:dyDescent="0.25">
      <c r="A12571">
        <v>100975831</v>
      </c>
      <c r="B12571" t="s">
        <v>1134</v>
      </c>
      <c r="C12571" t="s">
        <v>1309</v>
      </c>
      <c r="G12571" t="s">
        <v>27412</v>
      </c>
      <c r="H12571" t="s">
        <v>134</v>
      </c>
      <c r="I12571" t="s">
        <v>135</v>
      </c>
      <c r="J12571">
        <v>60647</v>
      </c>
      <c r="K12571">
        <v>2577</v>
      </c>
      <c r="L12571" t="s">
        <v>23</v>
      </c>
      <c r="M12571" t="s">
        <v>27412</v>
      </c>
      <c r="N12571" t="s">
        <v>134</v>
      </c>
      <c r="O12571" t="s">
        <v>135</v>
      </c>
      <c r="P12571">
        <v>60647</v>
      </c>
      <c r="Q12571">
        <v>2577</v>
      </c>
      <c r="R12571" t="s">
        <v>23</v>
      </c>
      <c r="S12571" s="1" t="s">
        <v>34218</v>
      </c>
    </row>
    <row r="12572" spans="1:19" x14ac:dyDescent="0.25">
      <c r="A12572">
        <v>101314807</v>
      </c>
      <c r="B12572" t="s">
        <v>27413</v>
      </c>
      <c r="C12572" t="s">
        <v>4927</v>
      </c>
      <c r="G12572" t="s">
        <v>27414</v>
      </c>
      <c r="H12572" t="s">
        <v>11932</v>
      </c>
      <c r="I12572" t="s">
        <v>43</v>
      </c>
      <c r="J12572">
        <v>97222</v>
      </c>
      <c r="K12572">
        <v>5570</v>
      </c>
      <c r="L12572" t="s">
        <v>23</v>
      </c>
      <c r="M12572" t="s">
        <v>27414</v>
      </c>
      <c r="N12572" t="s">
        <v>11932</v>
      </c>
      <c r="O12572" t="s">
        <v>43</v>
      </c>
      <c r="P12572">
        <v>97222</v>
      </c>
      <c r="Q12572">
        <v>5570</v>
      </c>
      <c r="R12572" t="s">
        <v>23</v>
      </c>
      <c r="S12572" s="1" t="s">
        <v>34218</v>
      </c>
    </row>
    <row r="12573" spans="1:19" x14ac:dyDescent="0.25">
      <c r="A12573">
        <v>101451533</v>
      </c>
      <c r="B12573" t="s">
        <v>27415</v>
      </c>
      <c r="C12573" t="s">
        <v>803</v>
      </c>
      <c r="G12573" t="s">
        <v>27416</v>
      </c>
      <c r="H12573" t="s">
        <v>56</v>
      </c>
      <c r="I12573" t="s">
        <v>57</v>
      </c>
      <c r="J12573">
        <v>46845</v>
      </c>
      <c r="K12573">
        <v>8890</v>
      </c>
      <c r="L12573" t="s">
        <v>23</v>
      </c>
      <c r="M12573" t="s">
        <v>27416</v>
      </c>
      <c r="N12573" t="s">
        <v>56</v>
      </c>
      <c r="O12573" t="s">
        <v>57</v>
      </c>
      <c r="P12573">
        <v>46845</v>
      </c>
      <c r="Q12573">
        <v>8890</v>
      </c>
      <c r="R12573" t="s">
        <v>23</v>
      </c>
      <c r="S12573" s="1" t="s">
        <v>34218</v>
      </c>
    </row>
    <row r="12574" spans="1:19" x14ac:dyDescent="0.25">
      <c r="A12574">
        <v>100731735</v>
      </c>
      <c r="B12574" t="s">
        <v>27417</v>
      </c>
      <c r="C12574" t="s">
        <v>1124</v>
      </c>
      <c r="G12574" t="s">
        <v>27418</v>
      </c>
      <c r="H12574" t="s">
        <v>24794</v>
      </c>
      <c r="I12574" t="s">
        <v>117</v>
      </c>
      <c r="J12574">
        <v>11001</v>
      </c>
      <c r="K12574">
        <v>1923</v>
      </c>
      <c r="L12574" t="s">
        <v>23</v>
      </c>
      <c r="M12574" t="s">
        <v>27418</v>
      </c>
      <c r="N12574" t="s">
        <v>24794</v>
      </c>
      <c r="O12574" t="s">
        <v>117</v>
      </c>
      <c r="P12574">
        <v>11001</v>
      </c>
      <c r="Q12574">
        <v>1923</v>
      </c>
      <c r="R12574" t="s">
        <v>23</v>
      </c>
      <c r="S12574" s="1" t="s">
        <v>34218</v>
      </c>
    </row>
    <row r="12575" spans="1:19" x14ac:dyDescent="0.25">
      <c r="A12575">
        <v>101480596</v>
      </c>
      <c r="B12575" t="s">
        <v>3123</v>
      </c>
      <c r="C12575" t="s">
        <v>803</v>
      </c>
      <c r="G12575" t="s">
        <v>27419</v>
      </c>
      <c r="H12575" t="s">
        <v>27420</v>
      </c>
      <c r="I12575" t="s">
        <v>52</v>
      </c>
      <c r="J12575">
        <v>32065</v>
      </c>
      <c r="K12575">
        <v>7552</v>
      </c>
      <c r="L12575" t="s">
        <v>23</v>
      </c>
      <c r="M12575" t="s">
        <v>27419</v>
      </c>
      <c r="N12575" t="s">
        <v>27420</v>
      </c>
      <c r="O12575" t="s">
        <v>52</v>
      </c>
      <c r="P12575">
        <v>32065</v>
      </c>
      <c r="Q12575">
        <v>7552</v>
      </c>
      <c r="R12575" t="s">
        <v>23</v>
      </c>
      <c r="S12575" s="1" t="s">
        <v>34218</v>
      </c>
    </row>
    <row r="12576" spans="1:19" x14ac:dyDescent="0.25">
      <c r="A12576">
        <v>101453995</v>
      </c>
      <c r="B12576" t="s">
        <v>27421</v>
      </c>
      <c r="C12576" t="s">
        <v>362</v>
      </c>
      <c r="G12576" t="s">
        <v>27422</v>
      </c>
      <c r="H12576" t="s">
        <v>1355</v>
      </c>
      <c r="I12576" t="s">
        <v>153</v>
      </c>
      <c r="J12576">
        <v>71203</v>
      </c>
      <c r="K12576">
        <v>2923</v>
      </c>
      <c r="L12576" t="s">
        <v>23</v>
      </c>
      <c r="M12576" t="s">
        <v>27422</v>
      </c>
      <c r="N12576" t="s">
        <v>1355</v>
      </c>
      <c r="O12576" t="s">
        <v>153</v>
      </c>
      <c r="P12576">
        <v>71203</v>
      </c>
      <c r="Q12576">
        <v>2923</v>
      </c>
      <c r="R12576" t="s">
        <v>23</v>
      </c>
      <c r="S12576" s="1" t="s">
        <v>34218</v>
      </c>
    </row>
    <row r="12577" spans="1:19" x14ac:dyDescent="0.25">
      <c r="A12577">
        <v>100589321</v>
      </c>
      <c r="B12577" t="s">
        <v>27423</v>
      </c>
      <c r="C12577" t="s">
        <v>5283</v>
      </c>
      <c r="G12577" t="s">
        <v>27424</v>
      </c>
      <c r="H12577" t="s">
        <v>5070</v>
      </c>
      <c r="I12577" t="s">
        <v>84</v>
      </c>
      <c r="J12577">
        <v>98683</v>
      </c>
      <c r="K12577">
        <v>6261</v>
      </c>
      <c r="L12577" t="s">
        <v>23</v>
      </c>
      <c r="M12577" t="s">
        <v>27424</v>
      </c>
      <c r="N12577" t="s">
        <v>5070</v>
      </c>
      <c r="O12577" t="s">
        <v>84</v>
      </c>
      <c r="P12577">
        <v>98683</v>
      </c>
      <c r="Q12577">
        <v>6261</v>
      </c>
      <c r="R12577" t="s">
        <v>23</v>
      </c>
      <c r="S12577" s="1" t="s">
        <v>34218</v>
      </c>
    </row>
    <row r="12578" spans="1:19" x14ac:dyDescent="0.25">
      <c r="A12578">
        <v>101480601</v>
      </c>
      <c r="B12578" t="s">
        <v>8126</v>
      </c>
      <c r="C12578" t="s">
        <v>1955</v>
      </c>
      <c r="G12578" t="s">
        <v>27425</v>
      </c>
      <c r="H12578" t="s">
        <v>3214</v>
      </c>
      <c r="I12578" t="s">
        <v>22</v>
      </c>
      <c r="J12578">
        <v>91360</v>
      </c>
      <c r="K12578">
        <v>2946</v>
      </c>
      <c r="L12578" t="s">
        <v>23</v>
      </c>
      <c r="M12578" t="s">
        <v>27425</v>
      </c>
      <c r="N12578" t="s">
        <v>3214</v>
      </c>
      <c r="O12578" t="s">
        <v>22</v>
      </c>
      <c r="P12578">
        <v>91360</v>
      </c>
      <c r="Q12578">
        <v>2946</v>
      </c>
      <c r="R12578" t="s">
        <v>23</v>
      </c>
      <c r="S12578" s="1" t="s">
        <v>34218</v>
      </c>
    </row>
    <row r="12579" spans="1:19" x14ac:dyDescent="0.25">
      <c r="A12579">
        <v>101480602</v>
      </c>
      <c r="B12579" t="s">
        <v>27426</v>
      </c>
      <c r="C12579" t="s">
        <v>13429</v>
      </c>
      <c r="G12579" t="s">
        <v>27427</v>
      </c>
      <c r="H12579" t="s">
        <v>8711</v>
      </c>
      <c r="I12579" t="s">
        <v>135</v>
      </c>
      <c r="J12579">
        <v>60078</v>
      </c>
      <c r="K12579">
        <v>1326</v>
      </c>
      <c r="L12579" t="s">
        <v>23</v>
      </c>
      <c r="M12579" t="s">
        <v>27427</v>
      </c>
      <c r="N12579" t="s">
        <v>8711</v>
      </c>
      <c r="O12579" t="s">
        <v>135</v>
      </c>
      <c r="P12579">
        <v>60078</v>
      </c>
      <c r="Q12579">
        <v>1326</v>
      </c>
      <c r="R12579" t="s">
        <v>23</v>
      </c>
      <c r="S12579" s="1" t="s">
        <v>34218</v>
      </c>
    </row>
    <row r="12580" spans="1:19" x14ac:dyDescent="0.25">
      <c r="A12580">
        <v>101479027</v>
      </c>
      <c r="B12580" t="s">
        <v>15418</v>
      </c>
      <c r="C12580" t="s">
        <v>25</v>
      </c>
      <c r="G12580" t="s">
        <v>27428</v>
      </c>
      <c r="H12580" t="s">
        <v>1396</v>
      </c>
      <c r="I12580" t="s">
        <v>22</v>
      </c>
      <c r="J12580">
        <v>95603</v>
      </c>
      <c r="K12580">
        <v>9577</v>
      </c>
      <c r="L12580" t="s">
        <v>23</v>
      </c>
      <c r="M12580" t="s">
        <v>27428</v>
      </c>
      <c r="N12580" t="s">
        <v>1396</v>
      </c>
      <c r="O12580" t="s">
        <v>22</v>
      </c>
      <c r="P12580">
        <v>95603</v>
      </c>
      <c r="Q12580">
        <v>9577</v>
      </c>
      <c r="R12580" t="s">
        <v>23</v>
      </c>
      <c r="S12580" s="1" t="s">
        <v>34218</v>
      </c>
    </row>
    <row r="12581" spans="1:19" x14ac:dyDescent="0.25">
      <c r="A12581">
        <v>101345121</v>
      </c>
      <c r="B12581" t="s">
        <v>4144</v>
      </c>
      <c r="C12581" t="s">
        <v>27429</v>
      </c>
      <c r="G12581" t="s">
        <v>27430</v>
      </c>
      <c r="H12581" t="s">
        <v>27431</v>
      </c>
      <c r="I12581" t="s">
        <v>22</v>
      </c>
      <c r="J12581">
        <v>94018</v>
      </c>
      <c r="K12581">
        <v>8009</v>
      </c>
      <c r="L12581" t="s">
        <v>23</v>
      </c>
      <c r="M12581" t="s">
        <v>27430</v>
      </c>
      <c r="N12581" t="s">
        <v>27431</v>
      </c>
      <c r="O12581" t="s">
        <v>22</v>
      </c>
      <c r="P12581">
        <v>94018</v>
      </c>
      <c r="Q12581">
        <v>8009</v>
      </c>
      <c r="R12581" t="s">
        <v>23</v>
      </c>
      <c r="S12581" s="1" t="s">
        <v>34218</v>
      </c>
    </row>
    <row r="12582" spans="1:19" x14ac:dyDescent="0.25">
      <c r="A12582">
        <v>100517172</v>
      </c>
      <c r="B12582" t="s">
        <v>27432</v>
      </c>
      <c r="C12582" t="s">
        <v>27433</v>
      </c>
      <c r="G12582" t="s">
        <v>27434</v>
      </c>
      <c r="H12582" t="s">
        <v>814</v>
      </c>
      <c r="I12582" t="s">
        <v>161</v>
      </c>
      <c r="J12582">
        <v>6457</v>
      </c>
      <c r="K12582">
        <v>36</v>
      </c>
      <c r="L12582" t="s">
        <v>23</v>
      </c>
      <c r="M12582" t="s">
        <v>27434</v>
      </c>
      <c r="N12582" t="s">
        <v>814</v>
      </c>
      <c r="O12582" t="s">
        <v>161</v>
      </c>
      <c r="P12582">
        <v>6457</v>
      </c>
      <c r="Q12582">
        <v>36</v>
      </c>
      <c r="R12582" t="s">
        <v>23</v>
      </c>
      <c r="S12582" s="1" t="s">
        <v>34218</v>
      </c>
    </row>
    <row r="12583" spans="1:19" x14ac:dyDescent="0.25">
      <c r="A12583">
        <v>101480607</v>
      </c>
      <c r="B12583" t="s">
        <v>27435</v>
      </c>
      <c r="C12583" t="s">
        <v>27436</v>
      </c>
      <c r="G12583" t="s">
        <v>27437</v>
      </c>
      <c r="H12583" t="s">
        <v>27438</v>
      </c>
      <c r="I12583" t="s">
        <v>22</v>
      </c>
      <c r="J12583">
        <v>95558</v>
      </c>
      <c r="L12583" t="s">
        <v>23</v>
      </c>
      <c r="M12583" t="s">
        <v>27437</v>
      </c>
      <c r="N12583" t="s">
        <v>27438</v>
      </c>
      <c r="O12583" t="s">
        <v>22</v>
      </c>
      <c r="P12583">
        <v>95558</v>
      </c>
      <c r="R12583" t="s">
        <v>23</v>
      </c>
      <c r="S12583" s="1" t="s">
        <v>34218</v>
      </c>
    </row>
    <row r="12584" spans="1:19" x14ac:dyDescent="0.25">
      <c r="A12584">
        <v>101284607</v>
      </c>
      <c r="B12584" t="s">
        <v>3921</v>
      </c>
      <c r="C12584" t="s">
        <v>571</v>
      </c>
      <c r="G12584" t="s">
        <v>27439</v>
      </c>
      <c r="H12584" t="s">
        <v>27440</v>
      </c>
      <c r="I12584" t="s">
        <v>52</v>
      </c>
      <c r="J12584">
        <v>33706</v>
      </c>
      <c r="K12584">
        <v>2315</v>
      </c>
      <c r="L12584" t="s">
        <v>23</v>
      </c>
      <c r="M12584" t="s">
        <v>27439</v>
      </c>
      <c r="N12584" t="s">
        <v>27440</v>
      </c>
      <c r="O12584" t="s">
        <v>52</v>
      </c>
      <c r="P12584">
        <v>33706</v>
      </c>
      <c r="Q12584">
        <v>2315</v>
      </c>
      <c r="R12584" t="s">
        <v>23</v>
      </c>
      <c r="S12584" s="1" t="s">
        <v>34218</v>
      </c>
    </row>
    <row r="12585" spans="1:19" x14ac:dyDescent="0.25">
      <c r="A12585">
        <v>101480615</v>
      </c>
      <c r="B12585" t="s">
        <v>27441</v>
      </c>
      <c r="C12585" t="s">
        <v>27442</v>
      </c>
      <c r="G12585" t="s">
        <v>27443</v>
      </c>
      <c r="H12585" t="s">
        <v>21</v>
      </c>
      <c r="I12585" t="s">
        <v>22</v>
      </c>
      <c r="J12585">
        <v>95401</v>
      </c>
      <c r="K12585">
        <v>5851</v>
      </c>
      <c r="L12585" t="s">
        <v>23</v>
      </c>
      <c r="M12585" t="s">
        <v>27443</v>
      </c>
      <c r="N12585" t="s">
        <v>21</v>
      </c>
      <c r="O12585" t="s">
        <v>22</v>
      </c>
      <c r="P12585">
        <v>95401</v>
      </c>
      <c r="Q12585">
        <v>5851</v>
      </c>
      <c r="R12585" t="s">
        <v>23</v>
      </c>
      <c r="S12585" s="1" t="s">
        <v>34218</v>
      </c>
    </row>
    <row r="12586" spans="1:19" x14ac:dyDescent="0.25">
      <c r="A12586">
        <v>101222194</v>
      </c>
      <c r="B12586" t="s">
        <v>465</v>
      </c>
      <c r="C12586" t="s">
        <v>1161</v>
      </c>
      <c r="G12586" t="s">
        <v>27444</v>
      </c>
      <c r="H12586" t="s">
        <v>4235</v>
      </c>
      <c r="I12586" t="s">
        <v>984</v>
      </c>
      <c r="J12586">
        <v>96816</v>
      </c>
      <c r="K12586">
        <v>7813</v>
      </c>
      <c r="L12586" t="s">
        <v>23</v>
      </c>
      <c r="M12586" t="s">
        <v>27444</v>
      </c>
      <c r="N12586" t="s">
        <v>4235</v>
      </c>
      <c r="O12586" t="s">
        <v>984</v>
      </c>
      <c r="P12586">
        <v>96816</v>
      </c>
      <c r="Q12586">
        <v>7813</v>
      </c>
      <c r="R12586" t="s">
        <v>23</v>
      </c>
      <c r="S12586" s="1" t="s">
        <v>34218</v>
      </c>
    </row>
    <row r="12587" spans="1:19" x14ac:dyDescent="0.25">
      <c r="A12587">
        <v>101471625</v>
      </c>
      <c r="B12587" t="s">
        <v>27445</v>
      </c>
      <c r="C12587" t="s">
        <v>27446</v>
      </c>
      <c r="G12587" t="s">
        <v>27447</v>
      </c>
      <c r="H12587" t="s">
        <v>27448</v>
      </c>
      <c r="I12587" t="s">
        <v>43</v>
      </c>
      <c r="J12587">
        <v>72270</v>
      </c>
      <c r="L12587" t="s">
        <v>23</v>
      </c>
      <c r="M12587" t="s">
        <v>27447</v>
      </c>
      <c r="N12587" t="s">
        <v>27448</v>
      </c>
      <c r="O12587" t="s">
        <v>43</v>
      </c>
      <c r="P12587">
        <v>72270</v>
      </c>
      <c r="R12587" t="s">
        <v>23</v>
      </c>
      <c r="S12587" s="1" t="s">
        <v>34218</v>
      </c>
    </row>
    <row r="12588" spans="1:19" x14ac:dyDescent="0.25">
      <c r="A12588">
        <v>100672284</v>
      </c>
      <c r="B12588" t="s">
        <v>27449</v>
      </c>
      <c r="C12588" t="s">
        <v>1327</v>
      </c>
      <c r="G12588" t="s">
        <v>27450</v>
      </c>
      <c r="H12588" t="s">
        <v>27451</v>
      </c>
      <c r="I12588" t="s">
        <v>43</v>
      </c>
      <c r="J12588">
        <v>97064</v>
      </c>
      <c r="K12588">
        <v>341</v>
      </c>
      <c r="L12588" t="s">
        <v>23</v>
      </c>
      <c r="M12588" t="s">
        <v>27450</v>
      </c>
      <c r="N12588" t="s">
        <v>27451</v>
      </c>
      <c r="O12588" t="s">
        <v>43</v>
      </c>
      <c r="P12588">
        <v>97064</v>
      </c>
      <c r="Q12588">
        <v>341</v>
      </c>
      <c r="R12588" t="s">
        <v>23</v>
      </c>
      <c r="S12588" s="1" t="s">
        <v>34218</v>
      </c>
    </row>
    <row r="12589" spans="1:19" x14ac:dyDescent="0.25">
      <c r="A12589">
        <v>101098083</v>
      </c>
      <c r="B12589" t="s">
        <v>27452</v>
      </c>
      <c r="C12589" t="s">
        <v>1933</v>
      </c>
      <c r="G12589" t="s">
        <v>27453</v>
      </c>
      <c r="H12589" t="s">
        <v>814</v>
      </c>
      <c r="I12589" t="s">
        <v>662</v>
      </c>
      <c r="J12589">
        <v>2842</v>
      </c>
      <c r="K12589">
        <v>7613</v>
      </c>
      <c r="L12589" t="s">
        <v>23</v>
      </c>
      <c r="M12589" t="s">
        <v>27453</v>
      </c>
      <c r="N12589" t="s">
        <v>814</v>
      </c>
      <c r="O12589" t="s">
        <v>662</v>
      </c>
      <c r="P12589">
        <v>2842</v>
      </c>
      <c r="Q12589">
        <v>7613</v>
      </c>
      <c r="R12589" t="s">
        <v>23</v>
      </c>
      <c r="S12589" s="1" t="s">
        <v>34218</v>
      </c>
    </row>
    <row r="12590" spans="1:19" x14ac:dyDescent="0.25">
      <c r="A12590">
        <v>100955593</v>
      </c>
      <c r="B12590" t="s">
        <v>1970</v>
      </c>
      <c r="C12590" t="s">
        <v>2056</v>
      </c>
      <c r="G12590" t="s">
        <v>27454</v>
      </c>
      <c r="H12590" t="s">
        <v>12354</v>
      </c>
      <c r="I12590" t="s">
        <v>365</v>
      </c>
      <c r="J12590">
        <v>85138</v>
      </c>
      <c r="K12590">
        <v>5627</v>
      </c>
      <c r="L12590" t="s">
        <v>23</v>
      </c>
      <c r="M12590" t="s">
        <v>27454</v>
      </c>
      <c r="N12590" t="s">
        <v>12354</v>
      </c>
      <c r="O12590" t="s">
        <v>365</v>
      </c>
      <c r="P12590">
        <v>85138</v>
      </c>
      <c r="Q12590">
        <v>5627</v>
      </c>
      <c r="R12590" t="s">
        <v>23</v>
      </c>
      <c r="S12590" s="1" t="s">
        <v>34218</v>
      </c>
    </row>
    <row r="12591" spans="1:19" x14ac:dyDescent="0.25">
      <c r="A12591">
        <v>101052278</v>
      </c>
      <c r="B12591" t="s">
        <v>27455</v>
      </c>
      <c r="C12591" t="s">
        <v>158</v>
      </c>
      <c r="G12591" t="s">
        <v>27456</v>
      </c>
      <c r="H12591" t="s">
        <v>2178</v>
      </c>
      <c r="I12591" t="s">
        <v>28</v>
      </c>
      <c r="J12591">
        <v>30097</v>
      </c>
      <c r="K12591">
        <v>8220</v>
      </c>
      <c r="L12591" t="s">
        <v>23</v>
      </c>
      <c r="M12591" t="s">
        <v>27456</v>
      </c>
      <c r="N12591" t="s">
        <v>2178</v>
      </c>
      <c r="O12591" t="s">
        <v>28</v>
      </c>
      <c r="P12591">
        <v>30097</v>
      </c>
      <c r="Q12591">
        <v>8220</v>
      </c>
      <c r="R12591" t="s">
        <v>23</v>
      </c>
      <c r="S12591" s="1" t="s">
        <v>34218</v>
      </c>
    </row>
    <row r="12592" spans="1:19" x14ac:dyDescent="0.25">
      <c r="A12592">
        <v>101446835</v>
      </c>
      <c r="B12592" t="s">
        <v>3565</v>
      </c>
      <c r="C12592" t="s">
        <v>2417</v>
      </c>
      <c r="G12592" t="s">
        <v>27457</v>
      </c>
      <c r="H12592" t="s">
        <v>2289</v>
      </c>
      <c r="I12592" t="s">
        <v>71</v>
      </c>
      <c r="J12592">
        <v>80023</v>
      </c>
      <c r="K12592">
        <v>4710</v>
      </c>
      <c r="L12592" t="s">
        <v>23</v>
      </c>
      <c r="M12592" t="s">
        <v>27457</v>
      </c>
      <c r="N12592" t="s">
        <v>2289</v>
      </c>
      <c r="O12592" t="s">
        <v>71</v>
      </c>
      <c r="P12592">
        <v>80023</v>
      </c>
      <c r="Q12592">
        <v>4710</v>
      </c>
      <c r="R12592" t="s">
        <v>23</v>
      </c>
      <c r="S12592" s="1" t="s">
        <v>34218</v>
      </c>
    </row>
    <row r="12593" spans="1:19" x14ac:dyDescent="0.25">
      <c r="A12593">
        <v>101283781</v>
      </c>
      <c r="B12593" t="s">
        <v>27458</v>
      </c>
      <c r="C12593" t="s">
        <v>27459</v>
      </c>
      <c r="G12593" t="s">
        <v>27460</v>
      </c>
      <c r="H12593" t="s">
        <v>2701</v>
      </c>
      <c r="I12593" t="s">
        <v>191</v>
      </c>
      <c r="J12593">
        <v>4634</v>
      </c>
      <c r="K12593">
        <v>3133</v>
      </c>
      <c r="L12593" t="s">
        <v>23</v>
      </c>
      <c r="M12593" t="s">
        <v>27460</v>
      </c>
      <c r="N12593" t="s">
        <v>2701</v>
      </c>
      <c r="O12593" t="s">
        <v>191</v>
      </c>
      <c r="P12593">
        <v>4634</v>
      </c>
      <c r="Q12593">
        <v>3133</v>
      </c>
      <c r="R12593" t="s">
        <v>23</v>
      </c>
      <c r="S12593" s="1" t="s">
        <v>34218</v>
      </c>
    </row>
    <row r="12594" spans="1:19" x14ac:dyDescent="0.25">
      <c r="A12594">
        <v>100979709</v>
      </c>
      <c r="B12594" t="s">
        <v>3927</v>
      </c>
      <c r="C12594" t="s">
        <v>2518</v>
      </c>
      <c r="G12594" t="s">
        <v>27461</v>
      </c>
      <c r="H12594" t="s">
        <v>4512</v>
      </c>
      <c r="I12594" t="s">
        <v>148</v>
      </c>
      <c r="J12594">
        <v>21701</v>
      </c>
      <c r="K12594">
        <v>3276</v>
      </c>
      <c r="L12594" t="s">
        <v>23</v>
      </c>
      <c r="M12594" t="s">
        <v>27461</v>
      </c>
      <c r="N12594" t="s">
        <v>4512</v>
      </c>
      <c r="O12594" t="s">
        <v>148</v>
      </c>
      <c r="P12594">
        <v>21701</v>
      </c>
      <c r="Q12594">
        <v>3276</v>
      </c>
      <c r="R12594" t="s">
        <v>23</v>
      </c>
      <c r="S12594" s="1" t="s">
        <v>34218</v>
      </c>
    </row>
    <row r="12595" spans="1:19" x14ac:dyDescent="0.25">
      <c r="A12595">
        <v>101291285</v>
      </c>
      <c r="B12595" t="s">
        <v>9534</v>
      </c>
      <c r="C12595" t="s">
        <v>7844</v>
      </c>
      <c r="G12595" t="s">
        <v>27462</v>
      </c>
      <c r="H12595" t="s">
        <v>569</v>
      </c>
      <c r="I12595" t="s">
        <v>187</v>
      </c>
      <c r="J12595">
        <v>55417</v>
      </c>
      <c r="K12595">
        <v>1830</v>
      </c>
      <c r="L12595" t="s">
        <v>23</v>
      </c>
      <c r="M12595" t="s">
        <v>27462</v>
      </c>
      <c r="N12595" t="s">
        <v>569</v>
      </c>
      <c r="O12595" t="s">
        <v>187</v>
      </c>
      <c r="P12595">
        <v>55417</v>
      </c>
      <c r="Q12595">
        <v>1830</v>
      </c>
      <c r="R12595" t="s">
        <v>23</v>
      </c>
      <c r="S12595" s="1" t="s">
        <v>34218</v>
      </c>
    </row>
    <row r="12596" spans="1:19" x14ac:dyDescent="0.25">
      <c r="A12596">
        <v>101315654</v>
      </c>
      <c r="B12596" t="s">
        <v>4139</v>
      </c>
      <c r="C12596" t="s">
        <v>535</v>
      </c>
      <c r="G12596" t="s">
        <v>27463</v>
      </c>
      <c r="H12596" t="s">
        <v>27464</v>
      </c>
      <c r="I12596" t="s">
        <v>28</v>
      </c>
      <c r="J12596">
        <v>31605</v>
      </c>
      <c r="K12596">
        <v>7020</v>
      </c>
      <c r="L12596" t="s">
        <v>23</v>
      </c>
      <c r="M12596" t="s">
        <v>27463</v>
      </c>
      <c r="N12596" t="s">
        <v>27464</v>
      </c>
      <c r="O12596" t="s">
        <v>28</v>
      </c>
      <c r="P12596">
        <v>31605</v>
      </c>
      <c r="Q12596">
        <v>7020</v>
      </c>
      <c r="R12596" t="s">
        <v>23</v>
      </c>
      <c r="S12596" s="1" t="s">
        <v>34218</v>
      </c>
    </row>
    <row r="12597" spans="1:19" x14ac:dyDescent="0.25">
      <c r="A12597">
        <v>101428949</v>
      </c>
      <c r="B12597" t="s">
        <v>26327</v>
      </c>
      <c r="C12597" t="s">
        <v>27465</v>
      </c>
      <c r="G12597" t="s">
        <v>27466</v>
      </c>
      <c r="H12597" t="s">
        <v>16669</v>
      </c>
      <c r="I12597" t="s">
        <v>22</v>
      </c>
      <c r="J12597">
        <v>90301</v>
      </c>
      <c r="K12597">
        <v>8674</v>
      </c>
      <c r="L12597" t="s">
        <v>23</v>
      </c>
      <c r="M12597" t="s">
        <v>27466</v>
      </c>
      <c r="N12597" t="s">
        <v>16669</v>
      </c>
      <c r="O12597" t="s">
        <v>22</v>
      </c>
      <c r="P12597">
        <v>90301</v>
      </c>
      <c r="Q12597">
        <v>8674</v>
      </c>
      <c r="R12597" t="s">
        <v>23</v>
      </c>
      <c r="S12597" s="1" t="s">
        <v>34218</v>
      </c>
    </row>
    <row r="12598" spans="1:19" x14ac:dyDescent="0.25">
      <c r="A12598">
        <v>101144672</v>
      </c>
      <c r="B12598" t="s">
        <v>27467</v>
      </c>
      <c r="C12598" t="s">
        <v>23747</v>
      </c>
      <c r="G12598" t="s">
        <v>27468</v>
      </c>
      <c r="H12598" t="s">
        <v>15869</v>
      </c>
      <c r="I12598" t="s">
        <v>84</v>
      </c>
      <c r="J12598">
        <v>98671</v>
      </c>
      <c r="K12598">
        <v>9204</v>
      </c>
      <c r="L12598" t="s">
        <v>23</v>
      </c>
      <c r="M12598" t="s">
        <v>27468</v>
      </c>
      <c r="N12598" t="s">
        <v>15869</v>
      </c>
      <c r="O12598" t="s">
        <v>84</v>
      </c>
      <c r="P12598">
        <v>98671</v>
      </c>
      <c r="Q12598">
        <v>9204</v>
      </c>
      <c r="R12598" t="s">
        <v>23</v>
      </c>
      <c r="S12598" s="1" t="s">
        <v>34218</v>
      </c>
    </row>
    <row r="12599" spans="1:19" x14ac:dyDescent="0.25">
      <c r="A12599">
        <v>101298711</v>
      </c>
      <c r="B12599" t="s">
        <v>3303</v>
      </c>
      <c r="C12599" t="s">
        <v>2071</v>
      </c>
      <c r="G12599" t="s">
        <v>27469</v>
      </c>
      <c r="H12599" t="s">
        <v>3169</v>
      </c>
      <c r="I12599" t="s">
        <v>84</v>
      </c>
      <c r="J12599">
        <v>98407</v>
      </c>
      <c r="K12599">
        <v>6338</v>
      </c>
      <c r="L12599" t="s">
        <v>23</v>
      </c>
      <c r="M12599" t="s">
        <v>27469</v>
      </c>
      <c r="N12599" t="s">
        <v>3169</v>
      </c>
      <c r="O12599" t="s">
        <v>84</v>
      </c>
      <c r="P12599">
        <v>98407</v>
      </c>
      <c r="Q12599">
        <v>6338</v>
      </c>
      <c r="R12599" t="s">
        <v>23</v>
      </c>
      <c r="S12599" s="1" t="s">
        <v>34218</v>
      </c>
    </row>
    <row r="12600" spans="1:19" x14ac:dyDescent="0.25">
      <c r="A12600">
        <v>101428078</v>
      </c>
      <c r="B12600" t="s">
        <v>27470</v>
      </c>
      <c r="C12600" t="s">
        <v>35</v>
      </c>
      <c r="G12600" t="s">
        <v>27471</v>
      </c>
      <c r="H12600" t="s">
        <v>299</v>
      </c>
      <c r="I12600" t="s">
        <v>22</v>
      </c>
      <c r="J12600">
        <v>90036</v>
      </c>
      <c r="K12600">
        <v>4811</v>
      </c>
      <c r="L12600" t="s">
        <v>23</v>
      </c>
      <c r="M12600" t="s">
        <v>27471</v>
      </c>
      <c r="N12600" t="s">
        <v>299</v>
      </c>
      <c r="O12600" t="s">
        <v>22</v>
      </c>
      <c r="P12600">
        <v>90036</v>
      </c>
      <c r="Q12600">
        <v>4811</v>
      </c>
      <c r="R12600" t="s">
        <v>23</v>
      </c>
      <c r="S12600" s="1" t="s">
        <v>34218</v>
      </c>
    </row>
    <row r="12601" spans="1:19" x14ac:dyDescent="0.25">
      <c r="A12601">
        <v>101284235</v>
      </c>
      <c r="B12601" t="s">
        <v>27472</v>
      </c>
      <c r="C12601" t="s">
        <v>27473</v>
      </c>
      <c r="G12601" t="s">
        <v>27474</v>
      </c>
      <c r="H12601" t="s">
        <v>7153</v>
      </c>
      <c r="I12601" t="s">
        <v>662</v>
      </c>
      <c r="J12601">
        <v>2837</v>
      </c>
      <c r="K12601">
        <v>1356</v>
      </c>
      <c r="L12601" t="s">
        <v>23</v>
      </c>
      <c r="M12601" t="s">
        <v>27474</v>
      </c>
      <c r="N12601" t="s">
        <v>7153</v>
      </c>
      <c r="O12601" t="s">
        <v>662</v>
      </c>
      <c r="P12601">
        <v>2837</v>
      </c>
      <c r="Q12601">
        <v>1356</v>
      </c>
      <c r="R12601" t="s">
        <v>23</v>
      </c>
      <c r="S12601" s="1" t="s">
        <v>34218</v>
      </c>
    </row>
    <row r="12602" spans="1:19" x14ac:dyDescent="0.25">
      <c r="A12602">
        <v>100542017</v>
      </c>
      <c r="B12602" t="s">
        <v>27475</v>
      </c>
      <c r="C12602" t="s">
        <v>1959</v>
      </c>
      <c r="G12602" t="s">
        <v>27476</v>
      </c>
      <c r="H12602" t="s">
        <v>16313</v>
      </c>
      <c r="I12602" t="s">
        <v>236</v>
      </c>
      <c r="J12602">
        <v>1026</v>
      </c>
      <c r="K12602">
        <v>9731</v>
      </c>
      <c r="L12602" t="s">
        <v>23</v>
      </c>
      <c r="M12602" t="s">
        <v>27476</v>
      </c>
      <c r="N12602" t="s">
        <v>16313</v>
      </c>
      <c r="O12602" t="s">
        <v>236</v>
      </c>
      <c r="P12602">
        <v>1026</v>
      </c>
      <c r="Q12602">
        <v>9731</v>
      </c>
      <c r="R12602" t="s">
        <v>23</v>
      </c>
      <c r="S12602" s="1" t="s">
        <v>34218</v>
      </c>
    </row>
    <row r="12603" spans="1:19" x14ac:dyDescent="0.25">
      <c r="A12603">
        <v>101422535</v>
      </c>
      <c r="B12603" t="s">
        <v>3696</v>
      </c>
      <c r="C12603" t="s">
        <v>2127</v>
      </c>
      <c r="G12603" t="s">
        <v>23230</v>
      </c>
      <c r="H12603" t="s">
        <v>1911</v>
      </c>
      <c r="I12603" t="s">
        <v>52</v>
      </c>
      <c r="J12603">
        <v>32771</v>
      </c>
      <c r="K12603">
        <v>8390</v>
      </c>
      <c r="L12603" t="s">
        <v>23</v>
      </c>
      <c r="M12603" t="s">
        <v>23230</v>
      </c>
      <c r="N12603" t="s">
        <v>1911</v>
      </c>
      <c r="O12603" t="s">
        <v>52</v>
      </c>
      <c r="P12603">
        <v>32771</v>
      </c>
      <c r="Q12603">
        <v>8390</v>
      </c>
      <c r="R12603" t="s">
        <v>23</v>
      </c>
      <c r="S12603" s="1" t="s">
        <v>34218</v>
      </c>
    </row>
    <row r="12604" spans="1:19" x14ac:dyDescent="0.25">
      <c r="A12604">
        <v>101309083</v>
      </c>
      <c r="B12604" t="s">
        <v>27477</v>
      </c>
      <c r="C12604" t="s">
        <v>1327</v>
      </c>
      <c r="G12604" t="s">
        <v>27478</v>
      </c>
      <c r="H12604" t="s">
        <v>17106</v>
      </c>
      <c r="I12604" t="s">
        <v>140</v>
      </c>
      <c r="J12604">
        <v>48118</v>
      </c>
      <c r="K12604">
        <v>9442</v>
      </c>
      <c r="L12604" t="s">
        <v>23</v>
      </c>
      <c r="M12604" t="s">
        <v>27478</v>
      </c>
      <c r="N12604" t="s">
        <v>17106</v>
      </c>
      <c r="O12604" t="s">
        <v>140</v>
      </c>
      <c r="P12604">
        <v>48118</v>
      </c>
      <c r="Q12604">
        <v>9442</v>
      </c>
      <c r="R12604" t="s">
        <v>23</v>
      </c>
      <c r="S12604" s="1" t="s">
        <v>34218</v>
      </c>
    </row>
    <row r="12605" spans="1:19" x14ac:dyDescent="0.25">
      <c r="A12605">
        <v>101154656</v>
      </c>
      <c r="B12605" t="s">
        <v>3240</v>
      </c>
      <c r="C12605" t="s">
        <v>27479</v>
      </c>
      <c r="G12605" t="s">
        <v>27480</v>
      </c>
      <c r="H12605" t="s">
        <v>2122</v>
      </c>
      <c r="I12605" t="s">
        <v>38</v>
      </c>
      <c r="J12605">
        <v>77498</v>
      </c>
      <c r="K12605">
        <v>7509</v>
      </c>
      <c r="L12605" t="s">
        <v>23</v>
      </c>
      <c r="M12605" t="s">
        <v>27480</v>
      </c>
      <c r="N12605" t="s">
        <v>2122</v>
      </c>
      <c r="O12605" t="s">
        <v>38</v>
      </c>
      <c r="P12605">
        <v>77498</v>
      </c>
      <c r="Q12605">
        <v>7509</v>
      </c>
      <c r="R12605" t="s">
        <v>23</v>
      </c>
      <c r="S12605" s="1" t="s">
        <v>34218</v>
      </c>
    </row>
    <row r="12606" spans="1:19" x14ac:dyDescent="0.25">
      <c r="A12606">
        <v>101233041</v>
      </c>
      <c r="B12606" t="s">
        <v>27481</v>
      </c>
      <c r="C12606" t="s">
        <v>2497</v>
      </c>
      <c r="G12606" t="s">
        <v>27482</v>
      </c>
      <c r="H12606" t="s">
        <v>1625</v>
      </c>
      <c r="I12606" t="s">
        <v>702</v>
      </c>
      <c r="J12606">
        <v>89002</v>
      </c>
      <c r="K12606">
        <v>9105</v>
      </c>
      <c r="L12606" t="s">
        <v>23</v>
      </c>
      <c r="M12606" t="s">
        <v>27482</v>
      </c>
      <c r="N12606" t="s">
        <v>1625</v>
      </c>
      <c r="O12606" t="s">
        <v>702</v>
      </c>
      <c r="P12606">
        <v>89002</v>
      </c>
      <c r="Q12606">
        <v>9105</v>
      </c>
      <c r="R12606" t="s">
        <v>23</v>
      </c>
      <c r="S12606" s="1" t="s">
        <v>34218</v>
      </c>
    </row>
    <row r="12607" spans="1:19" x14ac:dyDescent="0.25">
      <c r="A12607">
        <v>101423411</v>
      </c>
      <c r="B12607" t="s">
        <v>27483</v>
      </c>
      <c r="C12607" t="s">
        <v>30</v>
      </c>
      <c r="G12607" t="s">
        <v>27484</v>
      </c>
      <c r="H12607" t="s">
        <v>13046</v>
      </c>
      <c r="I12607" t="s">
        <v>135</v>
      </c>
      <c r="J12607">
        <v>60089</v>
      </c>
      <c r="K12607">
        <v>2179</v>
      </c>
      <c r="L12607" t="s">
        <v>23</v>
      </c>
      <c r="M12607" t="s">
        <v>27484</v>
      </c>
      <c r="N12607" t="s">
        <v>13046</v>
      </c>
      <c r="O12607" t="s">
        <v>135</v>
      </c>
      <c r="P12607">
        <v>60089</v>
      </c>
      <c r="Q12607">
        <v>2179</v>
      </c>
      <c r="R12607" t="s">
        <v>23</v>
      </c>
      <c r="S12607" s="1" t="s">
        <v>34218</v>
      </c>
    </row>
    <row r="12608" spans="1:19" x14ac:dyDescent="0.25">
      <c r="A12608">
        <v>101423720</v>
      </c>
      <c r="B12608" t="s">
        <v>14349</v>
      </c>
      <c r="C12608" t="s">
        <v>3130</v>
      </c>
      <c r="G12608" t="s">
        <v>27485</v>
      </c>
      <c r="H12608" t="s">
        <v>10866</v>
      </c>
      <c r="I12608" t="s">
        <v>187</v>
      </c>
      <c r="J12608">
        <v>56001</v>
      </c>
      <c r="K12608">
        <v>5912</v>
      </c>
      <c r="L12608" t="s">
        <v>23</v>
      </c>
      <c r="M12608" t="s">
        <v>27485</v>
      </c>
      <c r="N12608" t="s">
        <v>10866</v>
      </c>
      <c r="O12608" t="s">
        <v>187</v>
      </c>
      <c r="P12608">
        <v>56001</v>
      </c>
      <c r="Q12608">
        <v>5912</v>
      </c>
      <c r="R12608" t="s">
        <v>23</v>
      </c>
      <c r="S12608" s="1" t="s">
        <v>34218</v>
      </c>
    </row>
    <row r="12609" spans="1:19" x14ac:dyDescent="0.25">
      <c r="A12609">
        <v>100939565</v>
      </c>
      <c r="B12609" t="s">
        <v>24258</v>
      </c>
      <c r="C12609" t="s">
        <v>2938</v>
      </c>
      <c r="F12609" t="str">
        <f>"2063884112"</f>
        <v>2063884112</v>
      </c>
      <c r="G12609" t="s">
        <v>27486</v>
      </c>
      <c r="H12609" t="s">
        <v>1531</v>
      </c>
      <c r="I12609" t="s">
        <v>84</v>
      </c>
      <c r="J12609">
        <v>98118</v>
      </c>
      <c r="K12609">
        <v>1324</v>
      </c>
      <c r="L12609" t="s">
        <v>23</v>
      </c>
      <c r="M12609" t="s">
        <v>27486</v>
      </c>
      <c r="N12609" t="s">
        <v>1531</v>
      </c>
      <c r="O12609" t="s">
        <v>84</v>
      </c>
      <c r="P12609">
        <v>98118</v>
      </c>
      <c r="Q12609">
        <v>1324</v>
      </c>
      <c r="R12609" t="s">
        <v>23</v>
      </c>
      <c r="S12609" s="1" t="s">
        <v>34218</v>
      </c>
    </row>
    <row r="12610" spans="1:19" x14ac:dyDescent="0.25">
      <c r="A12610">
        <v>101453713</v>
      </c>
      <c r="B12610" t="s">
        <v>12335</v>
      </c>
      <c r="C12610" t="s">
        <v>27487</v>
      </c>
      <c r="G12610" t="s">
        <v>27488</v>
      </c>
      <c r="H12610" t="s">
        <v>5070</v>
      </c>
      <c r="I12610" t="s">
        <v>84</v>
      </c>
      <c r="J12610">
        <v>98685</v>
      </c>
      <c r="K12610">
        <v>4962</v>
      </c>
      <c r="L12610" t="s">
        <v>23</v>
      </c>
      <c r="M12610" t="s">
        <v>27488</v>
      </c>
      <c r="N12610" t="s">
        <v>5070</v>
      </c>
      <c r="O12610" t="s">
        <v>84</v>
      </c>
      <c r="P12610">
        <v>98685</v>
      </c>
      <c r="Q12610">
        <v>4962</v>
      </c>
      <c r="R12610" t="s">
        <v>23</v>
      </c>
      <c r="S12610" s="1" t="s">
        <v>34218</v>
      </c>
    </row>
    <row r="12611" spans="1:19" x14ac:dyDescent="0.25">
      <c r="A12611">
        <v>101447144</v>
      </c>
      <c r="B12611" t="s">
        <v>27489</v>
      </c>
      <c r="C12611" t="s">
        <v>1036</v>
      </c>
      <c r="G12611" t="s">
        <v>27490</v>
      </c>
      <c r="H12611" t="s">
        <v>10374</v>
      </c>
      <c r="I12611" t="s">
        <v>140</v>
      </c>
      <c r="J12611">
        <v>48170</v>
      </c>
      <c r="K12611">
        <v>4014</v>
      </c>
      <c r="L12611" t="s">
        <v>23</v>
      </c>
      <c r="M12611" t="s">
        <v>27490</v>
      </c>
      <c r="N12611" t="s">
        <v>10374</v>
      </c>
      <c r="O12611" t="s">
        <v>140</v>
      </c>
      <c r="P12611">
        <v>48170</v>
      </c>
      <c r="Q12611">
        <v>4014</v>
      </c>
      <c r="R12611" t="s">
        <v>23</v>
      </c>
      <c r="S12611" s="1" t="s">
        <v>34218</v>
      </c>
    </row>
    <row r="12612" spans="1:19" x14ac:dyDescent="0.25">
      <c r="A12612">
        <v>100717075</v>
      </c>
      <c r="B12612" t="s">
        <v>10843</v>
      </c>
      <c r="C12612" t="s">
        <v>2044</v>
      </c>
      <c r="G12612" t="s">
        <v>27491</v>
      </c>
      <c r="H12612" t="s">
        <v>27492</v>
      </c>
      <c r="I12612" t="s">
        <v>22</v>
      </c>
      <c r="J12612">
        <v>91934</v>
      </c>
      <c r="K12612">
        <v>2132</v>
      </c>
      <c r="L12612" t="s">
        <v>23</v>
      </c>
      <c r="M12612" t="s">
        <v>27491</v>
      </c>
      <c r="N12612" t="s">
        <v>27492</v>
      </c>
      <c r="O12612" t="s">
        <v>22</v>
      </c>
      <c r="P12612">
        <v>91934</v>
      </c>
      <c r="Q12612">
        <v>2132</v>
      </c>
      <c r="R12612" t="s">
        <v>23</v>
      </c>
      <c r="S12612" s="1" t="s">
        <v>34218</v>
      </c>
    </row>
    <row r="12613" spans="1:19" x14ac:dyDescent="0.25">
      <c r="A12613">
        <v>101448990</v>
      </c>
      <c r="B12613" t="s">
        <v>199</v>
      </c>
      <c r="C12613" t="s">
        <v>1223</v>
      </c>
      <c r="G12613" t="s">
        <v>27493</v>
      </c>
      <c r="H12613" t="s">
        <v>27494</v>
      </c>
      <c r="I12613" t="s">
        <v>153</v>
      </c>
      <c r="J12613">
        <v>70517</v>
      </c>
      <c r="K12613">
        <v>6924</v>
      </c>
      <c r="L12613" t="s">
        <v>23</v>
      </c>
      <c r="M12613" t="s">
        <v>27493</v>
      </c>
      <c r="N12613" t="s">
        <v>27494</v>
      </c>
      <c r="O12613" t="s">
        <v>153</v>
      </c>
      <c r="P12613">
        <v>70517</v>
      </c>
      <c r="Q12613">
        <v>6924</v>
      </c>
      <c r="R12613" t="s">
        <v>23</v>
      </c>
      <c r="S12613" s="1" t="s">
        <v>34218</v>
      </c>
    </row>
    <row r="12614" spans="1:19" x14ac:dyDescent="0.25">
      <c r="A12614">
        <v>101450421</v>
      </c>
      <c r="B12614" t="s">
        <v>27495</v>
      </c>
      <c r="C12614" t="s">
        <v>2127</v>
      </c>
      <c r="G12614" t="s">
        <v>27496</v>
      </c>
      <c r="H12614" t="s">
        <v>496</v>
      </c>
      <c r="I12614" t="s">
        <v>22</v>
      </c>
      <c r="J12614">
        <v>94954</v>
      </c>
      <c r="K12614">
        <v>1310</v>
      </c>
      <c r="L12614" t="s">
        <v>23</v>
      </c>
      <c r="M12614" t="s">
        <v>27496</v>
      </c>
      <c r="N12614" t="s">
        <v>496</v>
      </c>
      <c r="O12614" t="s">
        <v>22</v>
      </c>
      <c r="P12614">
        <v>94954</v>
      </c>
      <c r="Q12614">
        <v>1310</v>
      </c>
      <c r="R12614" t="s">
        <v>23</v>
      </c>
      <c r="S12614" s="1" t="s">
        <v>34218</v>
      </c>
    </row>
    <row r="12615" spans="1:19" x14ac:dyDescent="0.25">
      <c r="A12615">
        <v>101314851</v>
      </c>
      <c r="B12615" t="s">
        <v>27497</v>
      </c>
      <c r="C12615" t="s">
        <v>644</v>
      </c>
      <c r="G12615" t="s">
        <v>27498</v>
      </c>
      <c r="H12615" t="s">
        <v>12182</v>
      </c>
      <c r="I12615" t="s">
        <v>250</v>
      </c>
      <c r="J12615">
        <v>7950</v>
      </c>
      <c r="L12615" t="s">
        <v>23</v>
      </c>
      <c r="M12615" t="s">
        <v>27498</v>
      </c>
      <c r="N12615" t="s">
        <v>12182</v>
      </c>
      <c r="O12615" t="s">
        <v>250</v>
      </c>
      <c r="P12615">
        <v>7950</v>
      </c>
      <c r="R12615" t="s">
        <v>23</v>
      </c>
      <c r="S12615" s="1" t="s">
        <v>34218</v>
      </c>
    </row>
    <row r="12616" spans="1:19" x14ac:dyDescent="0.25">
      <c r="A12616">
        <v>100710902</v>
      </c>
      <c r="B12616" t="s">
        <v>27499</v>
      </c>
      <c r="C12616" t="s">
        <v>180</v>
      </c>
      <c r="G12616" t="s">
        <v>27500</v>
      </c>
      <c r="H12616" t="s">
        <v>14608</v>
      </c>
      <c r="I12616" t="s">
        <v>22</v>
      </c>
      <c r="J12616">
        <v>95624</v>
      </c>
      <c r="K12616">
        <v>3842</v>
      </c>
      <c r="L12616" t="s">
        <v>23</v>
      </c>
      <c r="M12616" t="s">
        <v>27500</v>
      </c>
      <c r="N12616" t="s">
        <v>14608</v>
      </c>
      <c r="O12616" t="s">
        <v>22</v>
      </c>
      <c r="P12616">
        <v>95624</v>
      </c>
      <c r="Q12616">
        <v>3842</v>
      </c>
      <c r="R12616" t="s">
        <v>23</v>
      </c>
      <c r="S12616" s="1" t="s">
        <v>34218</v>
      </c>
    </row>
    <row r="12617" spans="1:19" x14ac:dyDescent="0.25">
      <c r="A12617">
        <v>101449692</v>
      </c>
      <c r="B12617" t="s">
        <v>1449</v>
      </c>
      <c r="C12617" t="s">
        <v>1669</v>
      </c>
      <c r="G12617" t="s">
        <v>27501</v>
      </c>
      <c r="H12617" t="s">
        <v>8220</v>
      </c>
      <c r="I12617" t="s">
        <v>22</v>
      </c>
      <c r="J12617">
        <v>92806</v>
      </c>
      <c r="K12617">
        <v>5040</v>
      </c>
      <c r="L12617" t="s">
        <v>23</v>
      </c>
      <c r="M12617" t="s">
        <v>27501</v>
      </c>
      <c r="N12617" t="s">
        <v>8220</v>
      </c>
      <c r="O12617" t="s">
        <v>22</v>
      </c>
      <c r="P12617">
        <v>92806</v>
      </c>
      <c r="Q12617">
        <v>5040</v>
      </c>
      <c r="R12617" t="s">
        <v>23</v>
      </c>
      <c r="S12617" s="1" t="s">
        <v>34218</v>
      </c>
    </row>
    <row r="12618" spans="1:19" x14ac:dyDescent="0.25">
      <c r="A12618">
        <v>101117277</v>
      </c>
      <c r="B12618" t="s">
        <v>27502</v>
      </c>
      <c r="C12618" t="s">
        <v>7799</v>
      </c>
      <c r="G12618" t="s">
        <v>27503</v>
      </c>
      <c r="H12618" t="s">
        <v>2514</v>
      </c>
      <c r="I12618" t="s">
        <v>236</v>
      </c>
      <c r="J12618">
        <v>2163</v>
      </c>
      <c r="K12618">
        <v>1006</v>
      </c>
      <c r="L12618" t="s">
        <v>23</v>
      </c>
      <c r="M12618" t="s">
        <v>27503</v>
      </c>
      <c r="N12618" t="s">
        <v>2514</v>
      </c>
      <c r="O12618" t="s">
        <v>236</v>
      </c>
      <c r="P12618">
        <v>2163</v>
      </c>
      <c r="Q12618">
        <v>1006</v>
      </c>
      <c r="R12618" t="s">
        <v>23</v>
      </c>
      <c r="S12618" s="1" t="s">
        <v>34218</v>
      </c>
    </row>
    <row r="12619" spans="1:19" x14ac:dyDescent="0.25">
      <c r="A12619">
        <v>101126883</v>
      </c>
      <c r="B12619" t="s">
        <v>27504</v>
      </c>
      <c r="C12619" t="s">
        <v>286</v>
      </c>
      <c r="G12619" t="s">
        <v>27505</v>
      </c>
      <c r="H12619" t="s">
        <v>393</v>
      </c>
      <c r="I12619" t="s">
        <v>71</v>
      </c>
      <c r="J12619" t="s">
        <v>27506</v>
      </c>
      <c r="K12619">
        <v>6822</v>
      </c>
      <c r="L12619" t="s">
        <v>23</v>
      </c>
      <c r="M12619" t="s">
        <v>27505</v>
      </c>
      <c r="N12619" t="s">
        <v>393</v>
      </c>
      <c r="O12619" t="s">
        <v>71</v>
      </c>
      <c r="P12619" t="s">
        <v>27506</v>
      </c>
      <c r="Q12619">
        <v>6822</v>
      </c>
      <c r="R12619" t="s">
        <v>23</v>
      </c>
      <c r="S12619" s="1" t="s">
        <v>34218</v>
      </c>
    </row>
    <row r="12620" spans="1:19" x14ac:dyDescent="0.25">
      <c r="A12620">
        <v>101333738</v>
      </c>
      <c r="B12620" t="s">
        <v>27507</v>
      </c>
      <c r="C12620" t="s">
        <v>575</v>
      </c>
      <c r="G12620" t="s">
        <v>27508</v>
      </c>
      <c r="H12620" t="s">
        <v>7505</v>
      </c>
      <c r="I12620" t="s">
        <v>84</v>
      </c>
      <c r="J12620">
        <v>98110</v>
      </c>
      <c r="K12620">
        <v>2317</v>
      </c>
      <c r="L12620" t="s">
        <v>23</v>
      </c>
      <c r="M12620" t="s">
        <v>27508</v>
      </c>
      <c r="N12620" t="s">
        <v>7505</v>
      </c>
      <c r="O12620" t="s">
        <v>84</v>
      </c>
      <c r="P12620">
        <v>98110</v>
      </c>
      <c r="Q12620">
        <v>2317</v>
      </c>
      <c r="R12620" t="s">
        <v>23</v>
      </c>
      <c r="S12620" s="1" t="s">
        <v>34218</v>
      </c>
    </row>
    <row r="12621" spans="1:19" x14ac:dyDescent="0.25">
      <c r="A12621">
        <v>101266165</v>
      </c>
      <c r="B12621" t="s">
        <v>27509</v>
      </c>
      <c r="C12621" t="s">
        <v>699</v>
      </c>
      <c r="G12621" t="s">
        <v>27510</v>
      </c>
      <c r="H12621" t="s">
        <v>27511</v>
      </c>
      <c r="I12621" t="s">
        <v>446</v>
      </c>
      <c r="J12621">
        <v>28547</v>
      </c>
      <c r="K12621">
        <v>1215</v>
      </c>
      <c r="L12621" t="s">
        <v>23</v>
      </c>
      <c r="M12621" t="s">
        <v>27510</v>
      </c>
      <c r="N12621" t="s">
        <v>27511</v>
      </c>
      <c r="O12621" t="s">
        <v>446</v>
      </c>
      <c r="P12621">
        <v>28547</v>
      </c>
      <c r="Q12621">
        <v>1215</v>
      </c>
      <c r="R12621" t="s">
        <v>23</v>
      </c>
      <c r="S12621" s="1" t="s">
        <v>34218</v>
      </c>
    </row>
    <row r="12622" spans="1:19" x14ac:dyDescent="0.25">
      <c r="A12622">
        <v>101474356</v>
      </c>
      <c r="B12622" t="s">
        <v>2937</v>
      </c>
      <c r="C12622" t="s">
        <v>838</v>
      </c>
      <c r="G12622" t="s">
        <v>15942</v>
      </c>
      <c r="H12622" t="s">
        <v>2910</v>
      </c>
      <c r="I12622" t="s">
        <v>52</v>
      </c>
      <c r="J12622">
        <v>34232</v>
      </c>
      <c r="K12622">
        <v>1916</v>
      </c>
      <c r="L12622" t="s">
        <v>23</v>
      </c>
      <c r="M12622" t="s">
        <v>15942</v>
      </c>
      <c r="N12622" t="s">
        <v>2910</v>
      </c>
      <c r="O12622" t="s">
        <v>52</v>
      </c>
      <c r="P12622">
        <v>34232</v>
      </c>
      <c r="Q12622">
        <v>1916</v>
      </c>
      <c r="R12622" t="s">
        <v>23</v>
      </c>
      <c r="S12622" s="1" t="s">
        <v>34218</v>
      </c>
    </row>
    <row r="12623" spans="1:19" x14ac:dyDescent="0.25">
      <c r="A12623">
        <v>101097451</v>
      </c>
      <c r="B12623" t="s">
        <v>27512</v>
      </c>
      <c r="C12623" t="s">
        <v>27513</v>
      </c>
      <c r="G12623">
        <v>9999999999</v>
      </c>
      <c r="H12623" t="s">
        <v>27514</v>
      </c>
      <c r="I12623" t="s">
        <v>38</v>
      </c>
      <c r="J12623">
        <v>75068</v>
      </c>
      <c r="L12623" t="s">
        <v>23</v>
      </c>
      <c r="M12623">
        <v>9999999999</v>
      </c>
      <c r="N12623" t="s">
        <v>27514</v>
      </c>
      <c r="O12623" t="s">
        <v>38</v>
      </c>
      <c r="P12623">
        <v>75068</v>
      </c>
      <c r="R12623" t="s">
        <v>23</v>
      </c>
      <c r="S12623" s="1" t="s">
        <v>34218</v>
      </c>
    </row>
    <row r="12624" spans="1:19" x14ac:dyDescent="0.25">
      <c r="A12624">
        <v>101363039</v>
      </c>
      <c r="B12624" t="s">
        <v>27515</v>
      </c>
      <c r="C12624" t="s">
        <v>2776</v>
      </c>
      <c r="G12624" t="s">
        <v>27516</v>
      </c>
      <c r="H12624" t="s">
        <v>66</v>
      </c>
      <c r="I12624" t="s">
        <v>22</v>
      </c>
      <c r="J12624" t="s">
        <v>27517</v>
      </c>
      <c r="K12624">
        <v>1036</v>
      </c>
      <c r="L12624" t="s">
        <v>23</v>
      </c>
      <c r="M12624" t="s">
        <v>27516</v>
      </c>
      <c r="N12624" t="s">
        <v>66</v>
      </c>
      <c r="O12624" t="s">
        <v>22</v>
      </c>
      <c r="P12624" t="s">
        <v>27517</v>
      </c>
      <c r="Q12624">
        <v>1036</v>
      </c>
      <c r="R12624" t="s">
        <v>23</v>
      </c>
      <c r="S12624" s="1" t="s">
        <v>34218</v>
      </c>
    </row>
    <row r="12625" spans="1:19" x14ac:dyDescent="0.25">
      <c r="A12625">
        <v>100785099</v>
      </c>
      <c r="B12625" t="s">
        <v>12452</v>
      </c>
      <c r="C12625" t="s">
        <v>18206</v>
      </c>
      <c r="G12625" t="s">
        <v>27518</v>
      </c>
      <c r="H12625" t="s">
        <v>27519</v>
      </c>
      <c r="I12625" t="s">
        <v>178</v>
      </c>
      <c r="J12625" t="s">
        <v>27520</v>
      </c>
      <c r="K12625">
        <v>9072</v>
      </c>
      <c r="L12625" t="s">
        <v>23</v>
      </c>
      <c r="M12625" t="s">
        <v>27518</v>
      </c>
      <c r="N12625" t="s">
        <v>27519</v>
      </c>
      <c r="O12625" t="s">
        <v>178</v>
      </c>
      <c r="P12625" t="s">
        <v>27520</v>
      </c>
      <c r="Q12625">
        <v>9072</v>
      </c>
      <c r="R12625" t="s">
        <v>23</v>
      </c>
      <c r="S12625" s="1" t="s">
        <v>34218</v>
      </c>
    </row>
    <row r="12626" spans="1:19" x14ac:dyDescent="0.25">
      <c r="A12626">
        <v>101320728</v>
      </c>
      <c r="B12626" t="s">
        <v>654</v>
      </c>
      <c r="C12626" t="s">
        <v>329</v>
      </c>
      <c r="G12626" t="s">
        <v>27521</v>
      </c>
      <c r="H12626" t="s">
        <v>27522</v>
      </c>
      <c r="I12626" t="s">
        <v>126</v>
      </c>
      <c r="J12626" t="s">
        <v>27523</v>
      </c>
      <c r="K12626">
        <v>2642</v>
      </c>
      <c r="L12626" t="s">
        <v>23</v>
      </c>
      <c r="M12626" t="s">
        <v>27521</v>
      </c>
      <c r="N12626" t="s">
        <v>27522</v>
      </c>
      <c r="O12626" t="s">
        <v>126</v>
      </c>
      <c r="P12626" t="s">
        <v>27523</v>
      </c>
      <c r="Q12626">
        <v>2642</v>
      </c>
      <c r="R12626" t="s">
        <v>23</v>
      </c>
      <c r="S12626" s="1" t="s">
        <v>34218</v>
      </c>
    </row>
    <row r="12627" spans="1:19" x14ac:dyDescent="0.25">
      <c r="A12627">
        <v>101141993</v>
      </c>
      <c r="B12627" t="s">
        <v>812</v>
      </c>
      <c r="C12627" t="s">
        <v>251</v>
      </c>
      <c r="G12627" t="s">
        <v>27524</v>
      </c>
      <c r="H12627" t="s">
        <v>2279</v>
      </c>
      <c r="I12627" t="s">
        <v>52</v>
      </c>
      <c r="J12627" t="s">
        <v>27525</v>
      </c>
      <c r="K12627">
        <v>1833</v>
      </c>
      <c r="L12627" t="s">
        <v>23</v>
      </c>
      <c r="M12627" t="s">
        <v>27524</v>
      </c>
      <c r="N12627" t="s">
        <v>2279</v>
      </c>
      <c r="O12627" t="s">
        <v>52</v>
      </c>
      <c r="P12627" t="s">
        <v>27525</v>
      </c>
      <c r="Q12627">
        <v>1833</v>
      </c>
      <c r="R12627" t="s">
        <v>23</v>
      </c>
      <c r="S12627" s="1" t="s">
        <v>34218</v>
      </c>
    </row>
    <row r="12628" spans="1:19" x14ac:dyDescent="0.25">
      <c r="A12628">
        <v>101295513</v>
      </c>
      <c r="B12628" t="s">
        <v>2429</v>
      </c>
      <c r="C12628" t="s">
        <v>9660</v>
      </c>
      <c r="G12628" t="s">
        <v>27526</v>
      </c>
      <c r="H12628" t="s">
        <v>27527</v>
      </c>
      <c r="I12628" t="s">
        <v>1226</v>
      </c>
      <c r="J12628" t="s">
        <v>27528</v>
      </c>
      <c r="K12628">
        <v>7616</v>
      </c>
      <c r="L12628" t="s">
        <v>23</v>
      </c>
      <c r="M12628" t="s">
        <v>27526</v>
      </c>
      <c r="N12628" t="s">
        <v>27527</v>
      </c>
      <c r="O12628" t="s">
        <v>1226</v>
      </c>
      <c r="P12628" t="s">
        <v>27528</v>
      </c>
      <c r="Q12628">
        <v>7616</v>
      </c>
      <c r="R12628" t="s">
        <v>23</v>
      </c>
      <c r="S12628" s="1" t="s">
        <v>34218</v>
      </c>
    </row>
    <row r="12629" spans="1:19" x14ac:dyDescent="0.25">
      <c r="A12629">
        <v>100560175</v>
      </c>
      <c r="B12629" t="s">
        <v>5870</v>
      </c>
      <c r="C12629" t="s">
        <v>233</v>
      </c>
      <c r="F12629" t="str">
        <f>"8016214058"</f>
        <v>8016214058</v>
      </c>
      <c r="G12629" t="s">
        <v>6501</v>
      </c>
      <c r="H12629" t="s">
        <v>1217</v>
      </c>
      <c r="I12629" t="s">
        <v>332</v>
      </c>
      <c r="J12629" t="s">
        <v>6502</v>
      </c>
      <c r="K12629">
        <v>4036</v>
      </c>
      <c r="L12629" t="s">
        <v>23</v>
      </c>
      <c r="M12629" t="s">
        <v>6501</v>
      </c>
      <c r="N12629" t="s">
        <v>1217</v>
      </c>
      <c r="O12629" t="s">
        <v>332</v>
      </c>
      <c r="P12629" t="s">
        <v>6502</v>
      </c>
      <c r="Q12629">
        <v>4036</v>
      </c>
      <c r="R12629" t="s">
        <v>23</v>
      </c>
      <c r="S12629" s="1" t="s">
        <v>34218</v>
      </c>
    </row>
    <row r="12630" spans="1:19" x14ac:dyDescent="0.25">
      <c r="A12630">
        <v>101306082</v>
      </c>
      <c r="B12630" t="s">
        <v>144</v>
      </c>
      <c r="C12630" t="s">
        <v>387</v>
      </c>
      <c r="G12630" t="s">
        <v>27529</v>
      </c>
      <c r="H12630" t="s">
        <v>299</v>
      </c>
      <c r="I12630" t="s">
        <v>22</v>
      </c>
      <c r="J12630" t="s">
        <v>27530</v>
      </c>
      <c r="K12630">
        <v>2753</v>
      </c>
      <c r="L12630" t="s">
        <v>23</v>
      </c>
      <c r="M12630" t="s">
        <v>27529</v>
      </c>
      <c r="N12630" t="s">
        <v>299</v>
      </c>
      <c r="O12630" t="s">
        <v>22</v>
      </c>
      <c r="P12630" t="s">
        <v>27530</v>
      </c>
      <c r="Q12630">
        <v>2753</v>
      </c>
      <c r="R12630" t="s">
        <v>23</v>
      </c>
      <c r="S12630" s="1" t="s">
        <v>34218</v>
      </c>
    </row>
    <row r="12631" spans="1:19" x14ac:dyDescent="0.25">
      <c r="A12631">
        <v>101418796</v>
      </c>
      <c r="B12631" t="s">
        <v>3590</v>
      </c>
      <c r="C12631" t="s">
        <v>1714</v>
      </c>
      <c r="G12631" t="s">
        <v>27531</v>
      </c>
      <c r="H12631" t="s">
        <v>3373</v>
      </c>
      <c r="I12631" t="s">
        <v>178</v>
      </c>
      <c r="J12631" t="s">
        <v>27532</v>
      </c>
      <c r="K12631">
        <v>2317</v>
      </c>
      <c r="L12631" t="s">
        <v>23</v>
      </c>
      <c r="M12631" t="s">
        <v>27531</v>
      </c>
      <c r="N12631" t="s">
        <v>3373</v>
      </c>
      <c r="O12631" t="s">
        <v>178</v>
      </c>
      <c r="P12631" t="s">
        <v>27532</v>
      </c>
      <c r="Q12631">
        <v>2317</v>
      </c>
      <c r="R12631" t="s">
        <v>23</v>
      </c>
      <c r="S12631" s="1" t="s">
        <v>34218</v>
      </c>
    </row>
    <row r="12632" spans="1:19" x14ac:dyDescent="0.25">
      <c r="A12632">
        <v>101332475</v>
      </c>
      <c r="B12632" t="s">
        <v>27533</v>
      </c>
      <c r="C12632" t="s">
        <v>49</v>
      </c>
      <c r="G12632" t="s">
        <v>27534</v>
      </c>
      <c r="H12632" t="s">
        <v>27535</v>
      </c>
      <c r="I12632" t="s">
        <v>33</v>
      </c>
      <c r="J12632" t="s">
        <v>27536</v>
      </c>
      <c r="K12632">
        <v>1837</v>
      </c>
      <c r="L12632" t="s">
        <v>23</v>
      </c>
      <c r="M12632" t="s">
        <v>27534</v>
      </c>
      <c r="N12632" t="s">
        <v>27535</v>
      </c>
      <c r="O12632" t="s">
        <v>33</v>
      </c>
      <c r="P12632" t="s">
        <v>27536</v>
      </c>
      <c r="Q12632">
        <v>1837</v>
      </c>
      <c r="R12632" t="s">
        <v>23</v>
      </c>
      <c r="S12632" s="1" t="s">
        <v>34218</v>
      </c>
    </row>
    <row r="12633" spans="1:19" x14ac:dyDescent="0.25">
      <c r="A12633">
        <v>100515615</v>
      </c>
      <c r="B12633" t="s">
        <v>27537</v>
      </c>
      <c r="C12633" t="s">
        <v>17838</v>
      </c>
      <c r="G12633" t="s">
        <v>27538</v>
      </c>
      <c r="H12633" t="s">
        <v>1628</v>
      </c>
      <c r="I12633" t="s">
        <v>250</v>
      </c>
      <c r="J12633" t="s">
        <v>27539</v>
      </c>
      <c r="K12633">
        <v>3621</v>
      </c>
      <c r="L12633" t="s">
        <v>23</v>
      </c>
      <c r="M12633" t="s">
        <v>27538</v>
      </c>
      <c r="N12633" t="s">
        <v>1628</v>
      </c>
      <c r="O12633" t="s">
        <v>250</v>
      </c>
      <c r="P12633" t="s">
        <v>27539</v>
      </c>
      <c r="Q12633">
        <v>3621</v>
      </c>
      <c r="R12633" t="s">
        <v>23</v>
      </c>
      <c r="S12633" s="1" t="s">
        <v>34218</v>
      </c>
    </row>
    <row r="12634" spans="1:19" x14ac:dyDescent="0.25">
      <c r="A12634">
        <v>100837363</v>
      </c>
      <c r="B12634" t="s">
        <v>3462</v>
      </c>
      <c r="C12634" t="s">
        <v>27540</v>
      </c>
      <c r="G12634" t="s">
        <v>19522</v>
      </c>
      <c r="H12634" t="s">
        <v>1434</v>
      </c>
      <c r="I12634" t="s">
        <v>43</v>
      </c>
      <c r="J12634" t="s">
        <v>27541</v>
      </c>
      <c r="K12634">
        <v>247</v>
      </c>
      <c r="L12634" t="s">
        <v>23</v>
      </c>
      <c r="M12634" t="s">
        <v>19522</v>
      </c>
      <c r="N12634" t="s">
        <v>1434</v>
      </c>
      <c r="O12634" t="s">
        <v>43</v>
      </c>
      <c r="P12634" t="s">
        <v>27541</v>
      </c>
      <c r="Q12634">
        <v>247</v>
      </c>
      <c r="R12634" t="s">
        <v>23</v>
      </c>
      <c r="S12634" s="1" t="s">
        <v>34218</v>
      </c>
    </row>
    <row r="12635" spans="1:19" x14ac:dyDescent="0.25">
      <c r="A12635">
        <v>100890324</v>
      </c>
      <c r="B12635" t="s">
        <v>27542</v>
      </c>
      <c r="C12635" t="s">
        <v>27543</v>
      </c>
      <c r="G12635" t="s">
        <v>27544</v>
      </c>
      <c r="H12635" t="s">
        <v>27545</v>
      </c>
      <c r="I12635" t="s">
        <v>100</v>
      </c>
      <c r="J12635" t="s">
        <v>27546</v>
      </c>
      <c r="K12635">
        <v>8849</v>
      </c>
      <c r="L12635" t="s">
        <v>23</v>
      </c>
      <c r="M12635" t="s">
        <v>27544</v>
      </c>
      <c r="N12635" t="s">
        <v>27545</v>
      </c>
      <c r="O12635" t="s">
        <v>100</v>
      </c>
      <c r="P12635" t="s">
        <v>27546</v>
      </c>
      <c r="Q12635">
        <v>8849</v>
      </c>
      <c r="R12635" t="s">
        <v>23</v>
      </c>
      <c r="S12635" s="1" t="s">
        <v>34218</v>
      </c>
    </row>
    <row r="12636" spans="1:19" x14ac:dyDescent="0.25">
      <c r="A12636">
        <v>101313343</v>
      </c>
      <c r="B12636" t="s">
        <v>27547</v>
      </c>
      <c r="C12636" t="s">
        <v>7538</v>
      </c>
      <c r="G12636" t="s">
        <v>27548</v>
      </c>
      <c r="H12636" t="s">
        <v>27549</v>
      </c>
      <c r="I12636" t="s">
        <v>117</v>
      </c>
      <c r="J12636" t="s">
        <v>27550</v>
      </c>
      <c r="K12636">
        <v>4148</v>
      </c>
      <c r="L12636" t="s">
        <v>23</v>
      </c>
      <c r="M12636" t="s">
        <v>27548</v>
      </c>
      <c r="N12636" t="s">
        <v>27549</v>
      </c>
      <c r="O12636" t="s">
        <v>117</v>
      </c>
      <c r="P12636" t="s">
        <v>27550</v>
      </c>
      <c r="Q12636">
        <v>4148</v>
      </c>
      <c r="R12636" t="s">
        <v>23</v>
      </c>
      <c r="S12636" s="1" t="s">
        <v>34218</v>
      </c>
    </row>
    <row r="12637" spans="1:19" x14ac:dyDescent="0.25">
      <c r="A12637">
        <v>101284920</v>
      </c>
      <c r="B12637" t="s">
        <v>27551</v>
      </c>
      <c r="C12637" t="s">
        <v>102</v>
      </c>
      <c r="G12637" t="s">
        <v>27552</v>
      </c>
      <c r="H12637" t="s">
        <v>682</v>
      </c>
      <c r="I12637" t="s">
        <v>365</v>
      </c>
      <c r="J12637" t="s">
        <v>27553</v>
      </c>
      <c r="K12637">
        <v>4028</v>
      </c>
      <c r="L12637" t="s">
        <v>23</v>
      </c>
      <c r="M12637" t="s">
        <v>27552</v>
      </c>
      <c r="N12637" t="s">
        <v>682</v>
      </c>
      <c r="O12637" t="s">
        <v>365</v>
      </c>
      <c r="P12637" t="s">
        <v>27553</v>
      </c>
      <c r="Q12637">
        <v>4028</v>
      </c>
      <c r="R12637" t="s">
        <v>23</v>
      </c>
      <c r="S12637" s="1" t="s">
        <v>34218</v>
      </c>
    </row>
    <row r="12638" spans="1:19" x14ac:dyDescent="0.25">
      <c r="A12638">
        <v>101310158</v>
      </c>
      <c r="B12638" t="s">
        <v>3766</v>
      </c>
      <c r="C12638" t="s">
        <v>180</v>
      </c>
      <c r="G12638" t="s">
        <v>27554</v>
      </c>
      <c r="H12638" t="s">
        <v>7125</v>
      </c>
      <c r="I12638" t="s">
        <v>1482</v>
      </c>
      <c r="J12638" t="s">
        <v>27555</v>
      </c>
      <c r="K12638">
        <v>6497</v>
      </c>
      <c r="L12638" t="s">
        <v>23</v>
      </c>
      <c r="M12638" t="s">
        <v>27554</v>
      </c>
      <c r="N12638" t="s">
        <v>7125</v>
      </c>
      <c r="O12638" t="s">
        <v>1482</v>
      </c>
      <c r="P12638" t="s">
        <v>27555</v>
      </c>
      <c r="Q12638">
        <v>6497</v>
      </c>
      <c r="R12638" t="s">
        <v>23</v>
      </c>
      <c r="S12638" s="1" t="s">
        <v>34218</v>
      </c>
    </row>
    <row r="12639" spans="1:19" x14ac:dyDescent="0.25">
      <c r="A12639">
        <v>101304738</v>
      </c>
      <c r="B12639" t="s">
        <v>12229</v>
      </c>
      <c r="C12639" t="s">
        <v>1632</v>
      </c>
      <c r="G12639" t="s">
        <v>27556</v>
      </c>
      <c r="H12639" t="s">
        <v>1261</v>
      </c>
      <c r="I12639" t="s">
        <v>22</v>
      </c>
      <c r="J12639" t="s">
        <v>27557</v>
      </c>
      <c r="K12639">
        <v>7033</v>
      </c>
      <c r="L12639" t="s">
        <v>23</v>
      </c>
      <c r="M12639" t="s">
        <v>27556</v>
      </c>
      <c r="N12639" t="s">
        <v>1261</v>
      </c>
      <c r="O12639" t="s">
        <v>22</v>
      </c>
      <c r="P12639" t="s">
        <v>27557</v>
      </c>
      <c r="Q12639">
        <v>7033</v>
      </c>
      <c r="R12639" t="s">
        <v>23</v>
      </c>
      <c r="S12639" s="1" t="s">
        <v>34218</v>
      </c>
    </row>
    <row r="12640" spans="1:19" x14ac:dyDescent="0.25">
      <c r="A12640">
        <v>101314088</v>
      </c>
      <c r="B12640" t="s">
        <v>27558</v>
      </c>
      <c r="C12640" t="s">
        <v>1671</v>
      </c>
      <c r="G12640" t="s">
        <v>27559</v>
      </c>
      <c r="H12640" t="s">
        <v>134</v>
      </c>
      <c r="I12640" t="s">
        <v>135</v>
      </c>
      <c r="J12640" t="s">
        <v>27560</v>
      </c>
      <c r="K12640">
        <v>3817</v>
      </c>
      <c r="L12640" t="s">
        <v>23</v>
      </c>
      <c r="M12640" t="s">
        <v>27559</v>
      </c>
      <c r="N12640" t="s">
        <v>134</v>
      </c>
      <c r="O12640" t="s">
        <v>135</v>
      </c>
      <c r="P12640" t="s">
        <v>27560</v>
      </c>
      <c r="Q12640">
        <v>3817</v>
      </c>
      <c r="R12640" t="s">
        <v>23</v>
      </c>
      <c r="S12640" s="1" t="s">
        <v>34218</v>
      </c>
    </row>
    <row r="12641" spans="1:19" x14ac:dyDescent="0.25">
      <c r="A12641">
        <v>101337421</v>
      </c>
      <c r="B12641" t="s">
        <v>27561</v>
      </c>
      <c r="C12641" t="s">
        <v>689</v>
      </c>
      <c r="G12641" t="s">
        <v>27562</v>
      </c>
      <c r="H12641" t="s">
        <v>3142</v>
      </c>
      <c r="I12641" t="s">
        <v>100</v>
      </c>
      <c r="J12641">
        <v>53094</v>
      </c>
      <c r="K12641">
        <v>9181</v>
      </c>
      <c r="L12641" t="s">
        <v>23</v>
      </c>
      <c r="M12641" t="s">
        <v>27562</v>
      </c>
      <c r="N12641" t="s">
        <v>3142</v>
      </c>
      <c r="O12641" t="s">
        <v>100</v>
      </c>
      <c r="P12641">
        <v>53094</v>
      </c>
      <c r="Q12641">
        <v>9181</v>
      </c>
      <c r="R12641" t="s">
        <v>23</v>
      </c>
      <c r="S12641" s="1" t="s">
        <v>34218</v>
      </c>
    </row>
    <row r="12642" spans="1:19" x14ac:dyDescent="0.25">
      <c r="A12642">
        <v>101342955</v>
      </c>
      <c r="B12642" t="s">
        <v>27563</v>
      </c>
      <c r="C12642" t="s">
        <v>403</v>
      </c>
      <c r="G12642" t="s">
        <v>27564</v>
      </c>
      <c r="H12642" t="s">
        <v>4632</v>
      </c>
      <c r="I12642" t="s">
        <v>178</v>
      </c>
      <c r="J12642">
        <v>43231</v>
      </c>
      <c r="K12642">
        <v>2940</v>
      </c>
      <c r="L12642" t="s">
        <v>23</v>
      </c>
      <c r="M12642" t="s">
        <v>27564</v>
      </c>
      <c r="N12642" t="s">
        <v>4632</v>
      </c>
      <c r="O12642" t="s">
        <v>178</v>
      </c>
      <c r="P12642">
        <v>43231</v>
      </c>
      <c r="Q12642">
        <v>2940</v>
      </c>
      <c r="R12642" t="s">
        <v>23</v>
      </c>
      <c r="S12642" s="1" t="s">
        <v>34218</v>
      </c>
    </row>
    <row r="12643" spans="1:19" x14ac:dyDescent="0.25">
      <c r="A12643">
        <v>101179324</v>
      </c>
      <c r="B12643" t="s">
        <v>27565</v>
      </c>
      <c r="C12643" t="s">
        <v>585</v>
      </c>
      <c r="H12643" t="s">
        <v>11169</v>
      </c>
      <c r="I12643" t="s">
        <v>100</v>
      </c>
      <c r="J12643">
        <v>54702</v>
      </c>
      <c r="L12643" t="s">
        <v>23</v>
      </c>
      <c r="N12643" t="s">
        <v>11169</v>
      </c>
      <c r="O12643" t="s">
        <v>100</v>
      </c>
      <c r="P12643">
        <v>54702</v>
      </c>
      <c r="R12643" t="s">
        <v>23</v>
      </c>
      <c r="S12643" s="1" t="s">
        <v>34218</v>
      </c>
    </row>
    <row r="12644" spans="1:19" x14ac:dyDescent="0.25">
      <c r="A12644">
        <v>101301056</v>
      </c>
      <c r="B12644" t="s">
        <v>16031</v>
      </c>
      <c r="C12644" t="s">
        <v>2653</v>
      </c>
      <c r="G12644" t="s">
        <v>27566</v>
      </c>
      <c r="H12644" t="s">
        <v>10085</v>
      </c>
      <c r="I12644" t="s">
        <v>22</v>
      </c>
      <c r="J12644" t="s">
        <v>27567</v>
      </c>
      <c r="K12644">
        <v>8563</v>
      </c>
      <c r="L12644" t="s">
        <v>23</v>
      </c>
      <c r="M12644" t="s">
        <v>27566</v>
      </c>
      <c r="N12644" t="s">
        <v>10085</v>
      </c>
      <c r="O12644" t="s">
        <v>22</v>
      </c>
      <c r="P12644" t="s">
        <v>27567</v>
      </c>
      <c r="Q12644">
        <v>8563</v>
      </c>
      <c r="R12644" t="s">
        <v>23</v>
      </c>
      <c r="S12644" s="1" t="s">
        <v>34218</v>
      </c>
    </row>
    <row r="12645" spans="1:19" x14ac:dyDescent="0.25">
      <c r="A12645">
        <v>101252473</v>
      </c>
      <c r="B12645" t="s">
        <v>2653</v>
      </c>
      <c r="C12645" t="s">
        <v>13886</v>
      </c>
      <c r="G12645" t="s">
        <v>27568</v>
      </c>
      <c r="H12645" t="s">
        <v>4235</v>
      </c>
      <c r="I12645" t="s">
        <v>984</v>
      </c>
      <c r="J12645" t="s">
        <v>27569</v>
      </c>
      <c r="K12645">
        <v>2624</v>
      </c>
      <c r="L12645" t="s">
        <v>23</v>
      </c>
      <c r="M12645" t="s">
        <v>27568</v>
      </c>
      <c r="N12645" t="s">
        <v>4235</v>
      </c>
      <c r="O12645" t="s">
        <v>984</v>
      </c>
      <c r="P12645" t="s">
        <v>27569</v>
      </c>
      <c r="Q12645">
        <v>2624</v>
      </c>
      <c r="R12645" t="s">
        <v>23</v>
      </c>
      <c r="S12645" s="1" t="s">
        <v>34218</v>
      </c>
    </row>
    <row r="12646" spans="1:19" x14ac:dyDescent="0.25">
      <c r="A12646">
        <v>101291532</v>
      </c>
      <c r="B12646" t="s">
        <v>27570</v>
      </c>
      <c r="C12646" t="s">
        <v>4124</v>
      </c>
      <c r="G12646" t="s">
        <v>27571</v>
      </c>
      <c r="H12646" t="s">
        <v>27572</v>
      </c>
      <c r="I12646" t="s">
        <v>187</v>
      </c>
      <c r="J12646" t="s">
        <v>27573</v>
      </c>
      <c r="K12646">
        <v>1055</v>
      </c>
      <c r="L12646" t="s">
        <v>23</v>
      </c>
      <c r="M12646" t="s">
        <v>27571</v>
      </c>
      <c r="N12646" t="s">
        <v>27572</v>
      </c>
      <c r="O12646" t="s">
        <v>187</v>
      </c>
      <c r="P12646" t="s">
        <v>27573</v>
      </c>
      <c r="Q12646">
        <v>1055</v>
      </c>
      <c r="R12646" t="s">
        <v>23</v>
      </c>
      <c r="S12646" s="1" t="s">
        <v>34218</v>
      </c>
    </row>
    <row r="12647" spans="1:19" x14ac:dyDescent="0.25">
      <c r="A12647">
        <v>101301103</v>
      </c>
      <c r="B12647" t="s">
        <v>16333</v>
      </c>
      <c r="C12647" t="s">
        <v>1086</v>
      </c>
      <c r="G12647" t="s">
        <v>27574</v>
      </c>
      <c r="H12647" t="s">
        <v>27575</v>
      </c>
      <c r="I12647" t="s">
        <v>52</v>
      </c>
      <c r="J12647" t="s">
        <v>27576</v>
      </c>
      <c r="K12647">
        <v>4689</v>
      </c>
      <c r="L12647" t="s">
        <v>23</v>
      </c>
      <c r="M12647" t="s">
        <v>27574</v>
      </c>
      <c r="N12647" t="s">
        <v>27575</v>
      </c>
      <c r="O12647" t="s">
        <v>52</v>
      </c>
      <c r="P12647" t="s">
        <v>27576</v>
      </c>
      <c r="Q12647">
        <v>4689</v>
      </c>
      <c r="R12647" t="s">
        <v>23</v>
      </c>
      <c r="S12647" s="1" t="s">
        <v>34218</v>
      </c>
    </row>
    <row r="12648" spans="1:19" x14ac:dyDescent="0.25">
      <c r="A12648">
        <v>100691718</v>
      </c>
      <c r="B12648" t="s">
        <v>27577</v>
      </c>
      <c r="C12648" t="s">
        <v>27578</v>
      </c>
      <c r="G12648" t="s">
        <v>27579</v>
      </c>
      <c r="H12648" t="s">
        <v>7360</v>
      </c>
      <c r="I12648" t="s">
        <v>135</v>
      </c>
      <c r="J12648" t="s">
        <v>27580</v>
      </c>
      <c r="K12648">
        <v>3908</v>
      </c>
      <c r="L12648" t="s">
        <v>23</v>
      </c>
      <c r="M12648" t="s">
        <v>27579</v>
      </c>
      <c r="N12648" t="s">
        <v>7360</v>
      </c>
      <c r="O12648" t="s">
        <v>135</v>
      </c>
      <c r="P12648" t="s">
        <v>27580</v>
      </c>
      <c r="Q12648">
        <v>3908</v>
      </c>
      <c r="R12648" t="s">
        <v>23</v>
      </c>
      <c r="S12648" s="1" t="s">
        <v>34218</v>
      </c>
    </row>
    <row r="12649" spans="1:19" x14ac:dyDescent="0.25">
      <c r="A12649">
        <v>101334007</v>
      </c>
      <c r="B12649" t="s">
        <v>1204</v>
      </c>
      <c r="C12649" t="s">
        <v>3350</v>
      </c>
      <c r="G12649" t="s">
        <v>27581</v>
      </c>
      <c r="H12649" t="s">
        <v>37</v>
      </c>
      <c r="I12649" t="s">
        <v>38</v>
      </c>
      <c r="J12649" t="s">
        <v>27582</v>
      </c>
      <c r="K12649">
        <v>8032</v>
      </c>
      <c r="L12649" t="s">
        <v>23</v>
      </c>
      <c r="M12649" t="s">
        <v>27581</v>
      </c>
      <c r="N12649" t="s">
        <v>37</v>
      </c>
      <c r="O12649" t="s">
        <v>38</v>
      </c>
      <c r="P12649" t="s">
        <v>27582</v>
      </c>
      <c r="Q12649">
        <v>8032</v>
      </c>
      <c r="R12649" t="s">
        <v>23</v>
      </c>
      <c r="S12649" s="1" t="s">
        <v>34218</v>
      </c>
    </row>
    <row r="12650" spans="1:19" x14ac:dyDescent="0.25">
      <c r="A12650">
        <v>101248374</v>
      </c>
      <c r="B12650" t="s">
        <v>27583</v>
      </c>
      <c r="C12650" t="s">
        <v>286</v>
      </c>
      <c r="G12650" t="s">
        <v>27584</v>
      </c>
      <c r="H12650" t="s">
        <v>1857</v>
      </c>
      <c r="I12650" t="s">
        <v>702</v>
      </c>
      <c r="J12650" t="s">
        <v>27585</v>
      </c>
      <c r="K12650">
        <v>4527</v>
      </c>
      <c r="L12650" t="s">
        <v>23</v>
      </c>
      <c r="M12650" t="s">
        <v>27584</v>
      </c>
      <c r="N12650" t="s">
        <v>1857</v>
      </c>
      <c r="O12650" t="s">
        <v>702</v>
      </c>
      <c r="P12650" t="s">
        <v>27585</v>
      </c>
      <c r="Q12650">
        <v>4527</v>
      </c>
      <c r="R12650" t="s">
        <v>23</v>
      </c>
      <c r="S12650" s="1" t="s">
        <v>34218</v>
      </c>
    </row>
    <row r="12651" spans="1:19" x14ac:dyDescent="0.25">
      <c r="A12651">
        <v>101120346</v>
      </c>
      <c r="B12651" t="s">
        <v>966</v>
      </c>
      <c r="C12651" t="s">
        <v>1306</v>
      </c>
      <c r="G12651" t="s">
        <v>20512</v>
      </c>
      <c r="H12651" t="s">
        <v>2514</v>
      </c>
      <c r="I12651" t="s">
        <v>236</v>
      </c>
      <c r="J12651" t="s">
        <v>27586</v>
      </c>
      <c r="K12651">
        <v>2238</v>
      </c>
      <c r="L12651" t="s">
        <v>23</v>
      </c>
      <c r="M12651" t="s">
        <v>20512</v>
      </c>
      <c r="N12651" t="s">
        <v>2514</v>
      </c>
      <c r="O12651" t="s">
        <v>236</v>
      </c>
      <c r="P12651" t="s">
        <v>27586</v>
      </c>
      <c r="Q12651">
        <v>2238</v>
      </c>
      <c r="R12651" t="s">
        <v>23</v>
      </c>
      <c r="S12651" s="1" t="s">
        <v>34218</v>
      </c>
    </row>
    <row r="12652" spans="1:19" x14ac:dyDescent="0.25">
      <c r="A12652">
        <v>101007419</v>
      </c>
      <c r="B12652" t="s">
        <v>10596</v>
      </c>
      <c r="C12652" t="s">
        <v>11308</v>
      </c>
      <c r="G12652" t="s">
        <v>27587</v>
      </c>
      <c r="H12652" t="s">
        <v>27588</v>
      </c>
      <c r="I12652" t="s">
        <v>140</v>
      </c>
      <c r="J12652" t="s">
        <v>27589</v>
      </c>
      <c r="K12652">
        <v>9441</v>
      </c>
      <c r="L12652" t="s">
        <v>23</v>
      </c>
      <c r="M12652" t="s">
        <v>27587</v>
      </c>
      <c r="N12652" t="s">
        <v>27588</v>
      </c>
      <c r="O12652" t="s">
        <v>140</v>
      </c>
      <c r="P12652" t="s">
        <v>27589</v>
      </c>
      <c r="Q12652">
        <v>9441</v>
      </c>
      <c r="R12652" t="s">
        <v>23</v>
      </c>
      <c r="S12652" s="1" t="s">
        <v>34218</v>
      </c>
    </row>
    <row r="12653" spans="1:19" x14ac:dyDescent="0.25">
      <c r="A12653">
        <v>101421812</v>
      </c>
      <c r="B12653" t="s">
        <v>27590</v>
      </c>
      <c r="C12653" t="s">
        <v>25</v>
      </c>
      <c r="G12653" t="s">
        <v>27591</v>
      </c>
      <c r="H12653" t="s">
        <v>22660</v>
      </c>
      <c r="I12653" t="s">
        <v>446</v>
      </c>
      <c r="J12653" t="s">
        <v>27592</v>
      </c>
      <c r="K12653">
        <v>4547</v>
      </c>
      <c r="L12653" t="s">
        <v>23</v>
      </c>
      <c r="M12653" t="s">
        <v>27591</v>
      </c>
      <c r="N12653" t="s">
        <v>22660</v>
      </c>
      <c r="O12653" t="s">
        <v>446</v>
      </c>
      <c r="P12653" t="s">
        <v>27592</v>
      </c>
      <c r="Q12653">
        <v>4547</v>
      </c>
      <c r="R12653" t="s">
        <v>23</v>
      </c>
      <c r="S12653" s="1" t="s">
        <v>34218</v>
      </c>
    </row>
    <row r="12654" spans="1:19" x14ac:dyDescent="0.25">
      <c r="A12654">
        <v>100828926</v>
      </c>
      <c r="B12654" t="s">
        <v>27593</v>
      </c>
      <c r="C12654" t="s">
        <v>2767</v>
      </c>
      <c r="G12654" t="s">
        <v>27594</v>
      </c>
      <c r="H12654" t="s">
        <v>174</v>
      </c>
      <c r="I12654" t="s">
        <v>22</v>
      </c>
      <c r="J12654" t="s">
        <v>27595</v>
      </c>
      <c r="K12654">
        <v>1671</v>
      </c>
      <c r="L12654" t="s">
        <v>23</v>
      </c>
      <c r="M12654" t="s">
        <v>27594</v>
      </c>
      <c r="N12654" t="s">
        <v>174</v>
      </c>
      <c r="O12654" t="s">
        <v>22</v>
      </c>
      <c r="P12654" t="s">
        <v>27595</v>
      </c>
      <c r="Q12654">
        <v>1671</v>
      </c>
      <c r="R12654" t="s">
        <v>23</v>
      </c>
      <c r="S12654" s="1" t="s">
        <v>34218</v>
      </c>
    </row>
    <row r="12655" spans="1:19" x14ac:dyDescent="0.25">
      <c r="A12655">
        <v>101154704</v>
      </c>
      <c r="B12655" t="s">
        <v>358</v>
      </c>
      <c r="C12655" t="s">
        <v>27596</v>
      </c>
      <c r="G12655" t="s">
        <v>27597</v>
      </c>
      <c r="H12655" t="s">
        <v>27598</v>
      </c>
      <c r="I12655" t="s">
        <v>84</v>
      </c>
      <c r="J12655">
        <v>98361</v>
      </c>
      <c r="K12655">
        <v>2503</v>
      </c>
      <c r="L12655" t="s">
        <v>23</v>
      </c>
      <c r="M12655" t="s">
        <v>27597</v>
      </c>
      <c r="N12655" t="s">
        <v>27598</v>
      </c>
      <c r="O12655" t="s">
        <v>84</v>
      </c>
      <c r="P12655">
        <v>98361</v>
      </c>
      <c r="Q12655">
        <v>2503</v>
      </c>
      <c r="R12655" t="s">
        <v>23</v>
      </c>
      <c r="S12655" s="1" t="s">
        <v>34218</v>
      </c>
    </row>
    <row r="12656" spans="1:19" x14ac:dyDescent="0.25">
      <c r="A12656">
        <v>101470395</v>
      </c>
      <c r="B12656" t="s">
        <v>2176</v>
      </c>
      <c r="C12656" t="s">
        <v>6641</v>
      </c>
      <c r="G12656" t="s">
        <v>27599</v>
      </c>
      <c r="H12656" t="s">
        <v>2990</v>
      </c>
      <c r="I12656" t="s">
        <v>365</v>
      </c>
      <c r="J12656">
        <v>86326</v>
      </c>
      <c r="K12656">
        <v>8907</v>
      </c>
      <c r="L12656" t="s">
        <v>23</v>
      </c>
      <c r="M12656" t="s">
        <v>27599</v>
      </c>
      <c r="N12656" t="s">
        <v>2990</v>
      </c>
      <c r="O12656" t="s">
        <v>365</v>
      </c>
      <c r="P12656">
        <v>86326</v>
      </c>
      <c r="Q12656">
        <v>8907</v>
      </c>
      <c r="R12656" t="s">
        <v>23</v>
      </c>
      <c r="S12656" s="1" t="s">
        <v>34218</v>
      </c>
    </row>
    <row r="12657" spans="1:19" x14ac:dyDescent="0.25">
      <c r="A12657">
        <v>101467402</v>
      </c>
      <c r="B12657" t="s">
        <v>27600</v>
      </c>
      <c r="C12657" t="s">
        <v>1879</v>
      </c>
      <c r="G12657" t="s">
        <v>27601</v>
      </c>
      <c r="H12657" t="s">
        <v>8479</v>
      </c>
      <c r="I12657" t="s">
        <v>52</v>
      </c>
      <c r="J12657">
        <v>32129</v>
      </c>
      <c r="K12657">
        <v>2301</v>
      </c>
      <c r="L12657" t="s">
        <v>23</v>
      </c>
      <c r="M12657" t="s">
        <v>27601</v>
      </c>
      <c r="N12657" t="s">
        <v>8479</v>
      </c>
      <c r="O12657" t="s">
        <v>52</v>
      </c>
      <c r="P12657">
        <v>32129</v>
      </c>
      <c r="Q12657">
        <v>2301</v>
      </c>
      <c r="R12657" t="s">
        <v>23</v>
      </c>
      <c r="S12657" s="1" t="s">
        <v>34218</v>
      </c>
    </row>
    <row r="12658" spans="1:19" x14ac:dyDescent="0.25">
      <c r="A12658">
        <v>101212116</v>
      </c>
      <c r="B12658" t="s">
        <v>1886</v>
      </c>
      <c r="C12658" t="s">
        <v>3113</v>
      </c>
      <c r="G12658" t="s">
        <v>27602</v>
      </c>
      <c r="H12658" t="s">
        <v>1431</v>
      </c>
      <c r="I12658" t="s">
        <v>639</v>
      </c>
      <c r="J12658">
        <v>87501</v>
      </c>
      <c r="K12658">
        <v>3020</v>
      </c>
      <c r="L12658" t="s">
        <v>23</v>
      </c>
      <c r="M12658" t="s">
        <v>27602</v>
      </c>
      <c r="N12658" t="s">
        <v>1431</v>
      </c>
      <c r="O12658" t="s">
        <v>639</v>
      </c>
      <c r="P12658">
        <v>87501</v>
      </c>
      <c r="Q12658">
        <v>3020</v>
      </c>
      <c r="R12658" t="s">
        <v>23</v>
      </c>
      <c r="S12658" s="1" t="s">
        <v>34218</v>
      </c>
    </row>
    <row r="12659" spans="1:19" x14ac:dyDescent="0.25">
      <c r="A12659">
        <v>101001284</v>
      </c>
      <c r="B12659" t="s">
        <v>27603</v>
      </c>
      <c r="C12659" t="s">
        <v>865</v>
      </c>
      <c r="G12659" t="s">
        <v>27604</v>
      </c>
      <c r="H12659" t="s">
        <v>653</v>
      </c>
      <c r="I12659" t="s">
        <v>117</v>
      </c>
      <c r="J12659">
        <v>10012</v>
      </c>
      <c r="K12659">
        <v>2440</v>
      </c>
      <c r="L12659" t="s">
        <v>23</v>
      </c>
      <c r="M12659" t="s">
        <v>27604</v>
      </c>
      <c r="N12659" t="s">
        <v>653</v>
      </c>
      <c r="O12659" t="s">
        <v>117</v>
      </c>
      <c r="P12659">
        <v>10012</v>
      </c>
      <c r="Q12659">
        <v>2440</v>
      </c>
      <c r="R12659" t="s">
        <v>23</v>
      </c>
      <c r="S12659" s="1" t="s">
        <v>34218</v>
      </c>
    </row>
    <row r="12660" spans="1:19" x14ac:dyDescent="0.25">
      <c r="A12660">
        <v>101306623</v>
      </c>
      <c r="B12660" t="s">
        <v>235</v>
      </c>
      <c r="C12660" t="s">
        <v>3300</v>
      </c>
      <c r="G12660" t="s">
        <v>27605</v>
      </c>
      <c r="H12660" t="s">
        <v>423</v>
      </c>
      <c r="I12660" t="s">
        <v>71</v>
      </c>
      <c r="J12660" t="s">
        <v>27606</v>
      </c>
      <c r="K12660">
        <v>1327</v>
      </c>
      <c r="L12660" t="s">
        <v>23</v>
      </c>
      <c r="M12660" t="s">
        <v>27605</v>
      </c>
      <c r="N12660" t="s">
        <v>423</v>
      </c>
      <c r="O12660" t="s">
        <v>71</v>
      </c>
      <c r="P12660" t="s">
        <v>27606</v>
      </c>
      <c r="Q12660">
        <v>1327</v>
      </c>
      <c r="R12660" t="s">
        <v>23</v>
      </c>
      <c r="S12660" s="1" t="s">
        <v>34218</v>
      </c>
    </row>
    <row r="12661" spans="1:19" x14ac:dyDescent="0.25">
      <c r="A12661">
        <v>101443936</v>
      </c>
      <c r="B12661" t="s">
        <v>27607</v>
      </c>
      <c r="C12661" t="s">
        <v>571</v>
      </c>
      <c r="G12661" t="s">
        <v>27608</v>
      </c>
      <c r="H12661" t="s">
        <v>1229</v>
      </c>
      <c r="I12661" t="s">
        <v>38</v>
      </c>
      <c r="J12661" t="s">
        <v>27609</v>
      </c>
      <c r="K12661">
        <v>5912</v>
      </c>
      <c r="L12661" t="s">
        <v>23</v>
      </c>
      <c r="M12661" t="s">
        <v>27608</v>
      </c>
      <c r="N12661" t="s">
        <v>1229</v>
      </c>
      <c r="O12661" t="s">
        <v>38</v>
      </c>
      <c r="P12661" t="s">
        <v>27609</v>
      </c>
      <c r="Q12661">
        <v>5912</v>
      </c>
      <c r="R12661" t="s">
        <v>23</v>
      </c>
      <c r="S12661" s="1" t="s">
        <v>34218</v>
      </c>
    </row>
    <row r="12662" spans="1:19" x14ac:dyDescent="0.25">
      <c r="A12662">
        <v>101450480</v>
      </c>
      <c r="B12662" t="s">
        <v>27610</v>
      </c>
      <c r="C12662" t="s">
        <v>1043</v>
      </c>
      <c r="G12662" t="s">
        <v>27611</v>
      </c>
      <c r="H12662" t="s">
        <v>23535</v>
      </c>
      <c r="I12662" t="s">
        <v>370</v>
      </c>
      <c r="J12662">
        <v>68022</v>
      </c>
      <c r="K12662">
        <v>5804</v>
      </c>
      <c r="L12662" t="s">
        <v>23</v>
      </c>
      <c r="M12662" t="s">
        <v>27611</v>
      </c>
      <c r="N12662" t="s">
        <v>23535</v>
      </c>
      <c r="O12662" t="s">
        <v>370</v>
      </c>
      <c r="P12662">
        <v>68022</v>
      </c>
      <c r="Q12662">
        <v>5804</v>
      </c>
      <c r="R12662" t="s">
        <v>23</v>
      </c>
      <c r="S12662" s="1" t="s">
        <v>34218</v>
      </c>
    </row>
    <row r="12663" spans="1:19" x14ac:dyDescent="0.25">
      <c r="A12663">
        <v>101297134</v>
      </c>
      <c r="B12663" t="s">
        <v>27612</v>
      </c>
      <c r="C12663" t="s">
        <v>1331</v>
      </c>
      <c r="G12663" t="s">
        <v>27613</v>
      </c>
      <c r="H12663" t="s">
        <v>3024</v>
      </c>
      <c r="I12663" t="s">
        <v>255</v>
      </c>
      <c r="J12663">
        <v>20191</v>
      </c>
      <c r="K12663">
        <v>2726</v>
      </c>
      <c r="L12663" t="s">
        <v>23</v>
      </c>
      <c r="M12663" t="s">
        <v>27613</v>
      </c>
      <c r="N12663" t="s">
        <v>3024</v>
      </c>
      <c r="O12663" t="s">
        <v>255</v>
      </c>
      <c r="P12663">
        <v>20191</v>
      </c>
      <c r="Q12663">
        <v>2726</v>
      </c>
      <c r="R12663" t="s">
        <v>23</v>
      </c>
      <c r="S12663" s="1" t="s">
        <v>34218</v>
      </c>
    </row>
    <row r="12664" spans="1:19" x14ac:dyDescent="0.25">
      <c r="A12664">
        <v>100528023</v>
      </c>
      <c r="B12664" t="s">
        <v>27614</v>
      </c>
      <c r="C12664" t="s">
        <v>25876</v>
      </c>
      <c r="G12664" t="s">
        <v>27615</v>
      </c>
      <c r="H12664" t="s">
        <v>3668</v>
      </c>
      <c r="I12664" t="s">
        <v>148</v>
      </c>
      <c r="J12664">
        <v>21231</v>
      </c>
      <c r="K12664">
        <v>3597</v>
      </c>
      <c r="L12664" t="s">
        <v>23</v>
      </c>
      <c r="M12664" t="s">
        <v>27615</v>
      </c>
      <c r="N12664" t="s">
        <v>3668</v>
      </c>
      <c r="O12664" t="s">
        <v>148</v>
      </c>
      <c r="P12664">
        <v>21231</v>
      </c>
      <c r="Q12664">
        <v>3597</v>
      </c>
      <c r="R12664" t="s">
        <v>23</v>
      </c>
      <c r="S12664" s="1" t="s">
        <v>34218</v>
      </c>
    </row>
    <row r="12665" spans="1:19" x14ac:dyDescent="0.25">
      <c r="A12665">
        <v>100814053</v>
      </c>
      <c r="B12665" t="s">
        <v>27616</v>
      </c>
      <c r="C12665" t="s">
        <v>16541</v>
      </c>
      <c r="G12665" t="s">
        <v>27617</v>
      </c>
      <c r="H12665" t="s">
        <v>27618</v>
      </c>
      <c r="I12665" t="s">
        <v>639</v>
      </c>
      <c r="J12665">
        <v>87540</v>
      </c>
      <c r="L12665" t="s">
        <v>23</v>
      </c>
      <c r="M12665" t="s">
        <v>27617</v>
      </c>
      <c r="N12665" t="s">
        <v>27618</v>
      </c>
      <c r="O12665" t="s">
        <v>639</v>
      </c>
      <c r="P12665">
        <v>87540</v>
      </c>
      <c r="R12665" t="s">
        <v>23</v>
      </c>
      <c r="S12665" s="1" t="s">
        <v>34218</v>
      </c>
    </row>
    <row r="12666" spans="1:19" x14ac:dyDescent="0.25">
      <c r="A12666">
        <v>101234219</v>
      </c>
      <c r="B12666" t="s">
        <v>27619</v>
      </c>
      <c r="C12666" t="s">
        <v>1306</v>
      </c>
      <c r="G12666" t="s">
        <v>27620</v>
      </c>
      <c r="H12666" t="s">
        <v>5998</v>
      </c>
      <c r="I12666" t="s">
        <v>914</v>
      </c>
      <c r="J12666">
        <v>38122</v>
      </c>
      <c r="K12666">
        <v>5248</v>
      </c>
      <c r="L12666" t="s">
        <v>23</v>
      </c>
      <c r="M12666" t="s">
        <v>27620</v>
      </c>
      <c r="N12666" t="s">
        <v>5998</v>
      </c>
      <c r="O12666" t="s">
        <v>914</v>
      </c>
      <c r="P12666">
        <v>38122</v>
      </c>
      <c r="Q12666">
        <v>5248</v>
      </c>
      <c r="R12666" t="s">
        <v>23</v>
      </c>
      <c r="S12666" s="1" t="s">
        <v>34218</v>
      </c>
    </row>
    <row r="12667" spans="1:19" x14ac:dyDescent="0.25">
      <c r="A12667">
        <v>101427598</v>
      </c>
      <c r="B12667" t="s">
        <v>27621</v>
      </c>
      <c r="C12667" t="s">
        <v>1208</v>
      </c>
      <c r="G12667" t="s">
        <v>27622</v>
      </c>
      <c r="H12667" t="s">
        <v>2987</v>
      </c>
      <c r="I12667" t="s">
        <v>22</v>
      </c>
      <c r="J12667">
        <v>91601</v>
      </c>
      <c r="K12667">
        <v>3981</v>
      </c>
      <c r="L12667" t="s">
        <v>23</v>
      </c>
      <c r="M12667" t="s">
        <v>27622</v>
      </c>
      <c r="N12667" t="s">
        <v>2987</v>
      </c>
      <c r="O12667" t="s">
        <v>22</v>
      </c>
      <c r="P12667">
        <v>91601</v>
      </c>
      <c r="Q12667">
        <v>3981</v>
      </c>
      <c r="R12667" t="s">
        <v>23</v>
      </c>
      <c r="S12667" s="1" t="s">
        <v>34218</v>
      </c>
    </row>
    <row r="12668" spans="1:19" x14ac:dyDescent="0.25">
      <c r="A12668">
        <v>100643132</v>
      </c>
      <c r="B12668" t="s">
        <v>2937</v>
      </c>
      <c r="C12668" t="s">
        <v>6531</v>
      </c>
      <c r="G12668" t="s">
        <v>27623</v>
      </c>
      <c r="H12668" t="s">
        <v>27624</v>
      </c>
      <c r="I12668" t="s">
        <v>126</v>
      </c>
      <c r="J12668">
        <v>65584</v>
      </c>
      <c r="K12668">
        <v>3240</v>
      </c>
      <c r="L12668" t="s">
        <v>23</v>
      </c>
      <c r="M12668" t="s">
        <v>27623</v>
      </c>
      <c r="N12668" t="s">
        <v>27624</v>
      </c>
      <c r="O12668" t="s">
        <v>126</v>
      </c>
      <c r="P12668">
        <v>65584</v>
      </c>
      <c r="Q12668">
        <v>3240</v>
      </c>
      <c r="R12668" t="s">
        <v>23</v>
      </c>
      <c r="S12668" s="1" t="s">
        <v>34218</v>
      </c>
    </row>
    <row r="12669" spans="1:19" x14ac:dyDescent="0.25">
      <c r="A12669">
        <v>101336095</v>
      </c>
      <c r="B12669" t="s">
        <v>27625</v>
      </c>
      <c r="C12669" t="s">
        <v>547</v>
      </c>
      <c r="G12669" t="s">
        <v>27626</v>
      </c>
      <c r="H12669" t="s">
        <v>8837</v>
      </c>
      <c r="I12669" t="s">
        <v>161</v>
      </c>
      <c r="J12669" t="s">
        <v>27627</v>
      </c>
      <c r="K12669">
        <v>2107</v>
      </c>
      <c r="L12669" t="s">
        <v>23</v>
      </c>
      <c r="M12669" t="s">
        <v>27626</v>
      </c>
      <c r="N12669" t="s">
        <v>8837</v>
      </c>
      <c r="O12669" t="s">
        <v>161</v>
      </c>
      <c r="P12669" t="s">
        <v>27627</v>
      </c>
      <c r="Q12669">
        <v>2107</v>
      </c>
      <c r="R12669" t="s">
        <v>23</v>
      </c>
      <c r="S12669" s="1" t="s">
        <v>34218</v>
      </c>
    </row>
    <row r="12670" spans="1:19" x14ac:dyDescent="0.25">
      <c r="A12670">
        <v>101277900</v>
      </c>
      <c r="B12670" t="s">
        <v>27628</v>
      </c>
      <c r="C12670" t="s">
        <v>27629</v>
      </c>
      <c r="G12670" t="s">
        <v>27630</v>
      </c>
      <c r="H12670" t="s">
        <v>27631</v>
      </c>
      <c r="I12670" t="s">
        <v>52</v>
      </c>
      <c r="J12670">
        <v>33442</v>
      </c>
      <c r="K12670">
        <v>3001</v>
      </c>
      <c r="L12670" t="s">
        <v>23</v>
      </c>
      <c r="M12670" t="s">
        <v>27630</v>
      </c>
      <c r="N12670" t="s">
        <v>27631</v>
      </c>
      <c r="O12670" t="s">
        <v>52</v>
      </c>
      <c r="P12670">
        <v>33442</v>
      </c>
      <c r="Q12670">
        <v>3001</v>
      </c>
      <c r="R12670" t="s">
        <v>23</v>
      </c>
      <c r="S12670" s="1" t="s">
        <v>34218</v>
      </c>
    </row>
    <row r="12671" spans="1:19" x14ac:dyDescent="0.25">
      <c r="A12671">
        <v>101479427</v>
      </c>
      <c r="B12671" t="s">
        <v>3535</v>
      </c>
      <c r="C12671" t="s">
        <v>2044</v>
      </c>
      <c r="G12671" t="s">
        <v>27632</v>
      </c>
      <c r="H12671" t="s">
        <v>27633</v>
      </c>
      <c r="I12671" t="s">
        <v>43</v>
      </c>
      <c r="J12671">
        <v>97015</v>
      </c>
      <c r="K12671">
        <v>8418</v>
      </c>
      <c r="L12671" t="s">
        <v>23</v>
      </c>
      <c r="M12671" t="s">
        <v>27632</v>
      </c>
      <c r="N12671" t="s">
        <v>27633</v>
      </c>
      <c r="O12671" t="s">
        <v>43</v>
      </c>
      <c r="P12671">
        <v>97015</v>
      </c>
      <c r="Q12671">
        <v>8418</v>
      </c>
      <c r="R12671" t="s">
        <v>23</v>
      </c>
      <c r="S12671" s="1" t="s">
        <v>34218</v>
      </c>
    </row>
    <row r="12672" spans="1:19" x14ac:dyDescent="0.25">
      <c r="A12672">
        <v>101479544</v>
      </c>
      <c r="B12672" t="s">
        <v>27634</v>
      </c>
      <c r="C12672" t="s">
        <v>27635</v>
      </c>
      <c r="G12672" t="s">
        <v>27636</v>
      </c>
      <c r="H12672" t="s">
        <v>130</v>
      </c>
      <c r="I12672" t="s">
        <v>22</v>
      </c>
      <c r="J12672">
        <v>94134</v>
      </c>
      <c r="K12672">
        <v>2756</v>
      </c>
      <c r="L12672" t="s">
        <v>23</v>
      </c>
      <c r="M12672" t="s">
        <v>27636</v>
      </c>
      <c r="N12672" t="s">
        <v>130</v>
      </c>
      <c r="O12672" t="s">
        <v>22</v>
      </c>
      <c r="P12672">
        <v>94134</v>
      </c>
      <c r="Q12672">
        <v>2756</v>
      </c>
      <c r="R12672" t="s">
        <v>23</v>
      </c>
      <c r="S12672" s="1" t="s">
        <v>34218</v>
      </c>
    </row>
    <row r="12673" spans="1:19" x14ac:dyDescent="0.25">
      <c r="A12673">
        <v>101467678</v>
      </c>
      <c r="B12673" t="s">
        <v>27637</v>
      </c>
      <c r="C12673" t="s">
        <v>27638</v>
      </c>
      <c r="G12673" t="s">
        <v>27639</v>
      </c>
      <c r="H12673" t="s">
        <v>299</v>
      </c>
      <c r="I12673" t="s">
        <v>22</v>
      </c>
      <c r="J12673">
        <v>90026</v>
      </c>
      <c r="K12673">
        <v>190</v>
      </c>
      <c r="L12673" t="s">
        <v>23</v>
      </c>
      <c r="M12673" t="s">
        <v>27639</v>
      </c>
      <c r="N12673" t="s">
        <v>299</v>
      </c>
      <c r="O12673" t="s">
        <v>22</v>
      </c>
      <c r="P12673">
        <v>90026</v>
      </c>
      <c r="Q12673">
        <v>190</v>
      </c>
      <c r="R12673" t="s">
        <v>23</v>
      </c>
      <c r="S12673" s="1" t="s">
        <v>34218</v>
      </c>
    </row>
    <row r="12674" spans="1:19" x14ac:dyDescent="0.25">
      <c r="A12674">
        <v>101316324</v>
      </c>
      <c r="B12674" t="s">
        <v>27640</v>
      </c>
      <c r="C12674" t="s">
        <v>8241</v>
      </c>
      <c r="G12674" t="s">
        <v>27641</v>
      </c>
      <c r="H12674" t="s">
        <v>726</v>
      </c>
      <c r="I12674" t="s">
        <v>22</v>
      </c>
      <c r="J12674">
        <v>90405</v>
      </c>
      <c r="K12674">
        <v>2852</v>
      </c>
      <c r="L12674" t="s">
        <v>23</v>
      </c>
      <c r="M12674" t="s">
        <v>27641</v>
      </c>
      <c r="N12674" t="s">
        <v>726</v>
      </c>
      <c r="O12674" t="s">
        <v>22</v>
      </c>
      <c r="P12674">
        <v>90405</v>
      </c>
      <c r="Q12674">
        <v>2852</v>
      </c>
      <c r="R12674" t="s">
        <v>23</v>
      </c>
      <c r="S12674" s="1" t="s">
        <v>34218</v>
      </c>
    </row>
    <row r="12675" spans="1:19" x14ac:dyDescent="0.25">
      <c r="A12675">
        <v>101469860</v>
      </c>
      <c r="B12675" t="s">
        <v>4203</v>
      </c>
      <c r="C12675" t="s">
        <v>5836</v>
      </c>
      <c r="G12675" t="s">
        <v>27642</v>
      </c>
      <c r="H12675" t="s">
        <v>438</v>
      </c>
      <c r="I12675" t="s">
        <v>71</v>
      </c>
      <c r="J12675">
        <v>80501</v>
      </c>
      <c r="K12675">
        <v>2016</v>
      </c>
      <c r="L12675" t="s">
        <v>23</v>
      </c>
      <c r="M12675" t="s">
        <v>27642</v>
      </c>
      <c r="N12675" t="s">
        <v>438</v>
      </c>
      <c r="O12675" t="s">
        <v>71</v>
      </c>
      <c r="P12675">
        <v>80501</v>
      </c>
      <c r="Q12675">
        <v>2016</v>
      </c>
      <c r="R12675" t="s">
        <v>23</v>
      </c>
      <c r="S12675" s="1" t="s">
        <v>34218</v>
      </c>
    </row>
    <row r="12676" spans="1:19" x14ac:dyDescent="0.25">
      <c r="A12676">
        <v>101298088</v>
      </c>
      <c r="B12676" t="s">
        <v>21443</v>
      </c>
      <c r="C12676" t="s">
        <v>155</v>
      </c>
      <c r="F12676" t="str">
        <f>"3015882583"</f>
        <v>3015882583</v>
      </c>
      <c r="G12676" t="s">
        <v>27643</v>
      </c>
      <c r="H12676" t="s">
        <v>758</v>
      </c>
      <c r="I12676" t="s">
        <v>148</v>
      </c>
      <c r="J12676">
        <v>20902</v>
      </c>
      <c r="L12676" t="s">
        <v>23</v>
      </c>
      <c r="M12676" t="s">
        <v>27643</v>
      </c>
      <c r="N12676" t="s">
        <v>758</v>
      </c>
      <c r="O12676" t="s">
        <v>148</v>
      </c>
      <c r="P12676">
        <v>20902</v>
      </c>
      <c r="R12676" t="s">
        <v>23</v>
      </c>
      <c r="S12676" s="1" t="s">
        <v>34218</v>
      </c>
    </row>
    <row r="12677" spans="1:19" x14ac:dyDescent="0.25">
      <c r="A12677">
        <v>101290652</v>
      </c>
      <c r="B12677" t="s">
        <v>6681</v>
      </c>
      <c r="C12677" t="s">
        <v>1398</v>
      </c>
      <c r="G12677" t="s">
        <v>27644</v>
      </c>
      <c r="H12677" t="s">
        <v>2086</v>
      </c>
      <c r="I12677" t="s">
        <v>178</v>
      </c>
      <c r="J12677">
        <v>45206</v>
      </c>
      <c r="L12677" t="s">
        <v>23</v>
      </c>
      <c r="M12677" t="s">
        <v>27644</v>
      </c>
      <c r="N12677" t="s">
        <v>2086</v>
      </c>
      <c r="O12677" t="s">
        <v>178</v>
      </c>
      <c r="P12677">
        <v>45206</v>
      </c>
      <c r="R12677" t="s">
        <v>23</v>
      </c>
      <c r="S12677" s="1" t="s">
        <v>34218</v>
      </c>
    </row>
    <row r="12678" spans="1:19" x14ac:dyDescent="0.25">
      <c r="A12678">
        <v>101410452</v>
      </c>
      <c r="B12678" t="s">
        <v>27645</v>
      </c>
      <c r="C12678" t="s">
        <v>1444</v>
      </c>
      <c r="G12678" t="s">
        <v>27646</v>
      </c>
      <c r="H12678" t="s">
        <v>2481</v>
      </c>
      <c r="I12678" t="s">
        <v>353</v>
      </c>
      <c r="J12678">
        <v>3054</v>
      </c>
      <c r="K12678">
        <v>4592</v>
      </c>
      <c r="L12678" t="s">
        <v>23</v>
      </c>
      <c r="M12678" t="s">
        <v>27646</v>
      </c>
      <c r="N12678" t="s">
        <v>2481</v>
      </c>
      <c r="O12678" t="s">
        <v>353</v>
      </c>
      <c r="P12678">
        <v>3054</v>
      </c>
      <c r="Q12678">
        <v>4592</v>
      </c>
      <c r="R12678" t="s">
        <v>23</v>
      </c>
      <c r="S12678" s="1" t="s">
        <v>34218</v>
      </c>
    </row>
    <row r="12679" spans="1:19" x14ac:dyDescent="0.25">
      <c r="A12679">
        <v>101448259</v>
      </c>
      <c r="B12679" t="s">
        <v>27647</v>
      </c>
      <c r="C12679" t="s">
        <v>846</v>
      </c>
      <c r="G12679" t="s">
        <v>27648</v>
      </c>
      <c r="H12679" t="s">
        <v>569</v>
      </c>
      <c r="I12679" t="s">
        <v>187</v>
      </c>
      <c r="J12679">
        <v>55448</v>
      </c>
      <c r="K12679">
        <v>2365</v>
      </c>
      <c r="L12679" t="s">
        <v>23</v>
      </c>
      <c r="M12679" t="s">
        <v>27648</v>
      </c>
      <c r="N12679" t="s">
        <v>569</v>
      </c>
      <c r="O12679" t="s">
        <v>187</v>
      </c>
      <c r="P12679">
        <v>55448</v>
      </c>
      <c r="Q12679">
        <v>2365</v>
      </c>
      <c r="R12679" t="s">
        <v>23</v>
      </c>
      <c r="S12679" s="1" t="s">
        <v>34218</v>
      </c>
    </row>
    <row r="12680" spans="1:19" x14ac:dyDescent="0.25">
      <c r="A12680">
        <v>100746946</v>
      </c>
      <c r="B12680" t="s">
        <v>27649</v>
      </c>
      <c r="C12680" t="s">
        <v>6143</v>
      </c>
      <c r="G12680" t="s">
        <v>27650</v>
      </c>
      <c r="H12680" t="s">
        <v>1594</v>
      </c>
      <c r="I12680" t="s">
        <v>84</v>
      </c>
      <c r="J12680">
        <v>98503</v>
      </c>
      <c r="K12680">
        <v>2016</v>
      </c>
      <c r="L12680" t="s">
        <v>23</v>
      </c>
      <c r="M12680" t="s">
        <v>27650</v>
      </c>
      <c r="N12680" t="s">
        <v>1594</v>
      </c>
      <c r="O12680" t="s">
        <v>84</v>
      </c>
      <c r="P12680">
        <v>98503</v>
      </c>
      <c r="Q12680">
        <v>2016</v>
      </c>
      <c r="R12680" t="s">
        <v>23</v>
      </c>
      <c r="S12680" s="1" t="s">
        <v>34218</v>
      </c>
    </row>
    <row r="12681" spans="1:19" x14ac:dyDescent="0.25">
      <c r="A12681">
        <v>101427261</v>
      </c>
      <c r="B12681" t="s">
        <v>27651</v>
      </c>
      <c r="C12681" t="s">
        <v>6375</v>
      </c>
      <c r="G12681" t="s">
        <v>27652</v>
      </c>
      <c r="H12681" t="s">
        <v>16845</v>
      </c>
      <c r="I12681" t="s">
        <v>148</v>
      </c>
      <c r="J12681" t="s">
        <v>27653</v>
      </c>
      <c r="K12681">
        <v>2126</v>
      </c>
      <c r="L12681" t="s">
        <v>23</v>
      </c>
      <c r="M12681" t="s">
        <v>27652</v>
      </c>
      <c r="N12681" t="s">
        <v>16845</v>
      </c>
      <c r="O12681" t="s">
        <v>148</v>
      </c>
      <c r="P12681" t="s">
        <v>27653</v>
      </c>
      <c r="Q12681">
        <v>2126</v>
      </c>
      <c r="R12681" t="s">
        <v>23</v>
      </c>
      <c r="S12681" s="1" t="s">
        <v>34218</v>
      </c>
    </row>
    <row r="12682" spans="1:19" x14ac:dyDescent="0.25">
      <c r="A12682">
        <v>101307197</v>
      </c>
      <c r="B12682" t="s">
        <v>16979</v>
      </c>
      <c r="C12682" t="s">
        <v>49</v>
      </c>
      <c r="G12682" t="s">
        <v>27654</v>
      </c>
      <c r="H12682" t="s">
        <v>27655</v>
      </c>
      <c r="I12682" t="s">
        <v>62</v>
      </c>
      <c r="J12682">
        <v>73054</v>
      </c>
      <c r="K12682">
        <v>9466</v>
      </c>
      <c r="L12682" t="s">
        <v>23</v>
      </c>
      <c r="M12682" t="s">
        <v>27654</v>
      </c>
      <c r="N12682" t="s">
        <v>27655</v>
      </c>
      <c r="O12682" t="s">
        <v>62</v>
      </c>
      <c r="P12682">
        <v>73054</v>
      </c>
      <c r="Q12682">
        <v>9466</v>
      </c>
      <c r="R12682" t="s">
        <v>23</v>
      </c>
      <c r="S12682" s="1" t="s">
        <v>34218</v>
      </c>
    </row>
    <row r="12683" spans="1:19" x14ac:dyDescent="0.25">
      <c r="A12683">
        <v>101422533</v>
      </c>
      <c r="B12683" t="s">
        <v>27656</v>
      </c>
      <c r="C12683" t="s">
        <v>313</v>
      </c>
      <c r="G12683" t="s">
        <v>27657</v>
      </c>
      <c r="H12683" t="s">
        <v>1531</v>
      </c>
      <c r="I12683" t="s">
        <v>84</v>
      </c>
      <c r="J12683">
        <v>98105</v>
      </c>
      <c r="K12683">
        <v>3010</v>
      </c>
      <c r="L12683" t="s">
        <v>23</v>
      </c>
      <c r="M12683" t="s">
        <v>27657</v>
      </c>
      <c r="N12683" t="s">
        <v>1531</v>
      </c>
      <c r="O12683" t="s">
        <v>84</v>
      </c>
      <c r="P12683">
        <v>98105</v>
      </c>
      <c r="Q12683">
        <v>3010</v>
      </c>
      <c r="R12683" t="s">
        <v>23</v>
      </c>
      <c r="S12683" s="1" t="s">
        <v>34218</v>
      </c>
    </row>
    <row r="12684" spans="1:19" x14ac:dyDescent="0.25">
      <c r="A12684">
        <v>101137713</v>
      </c>
      <c r="B12684" t="s">
        <v>27658</v>
      </c>
      <c r="C12684" t="s">
        <v>7445</v>
      </c>
      <c r="G12684" t="s">
        <v>27659</v>
      </c>
      <c r="H12684" t="s">
        <v>16077</v>
      </c>
      <c r="I12684" t="s">
        <v>178</v>
      </c>
      <c r="J12684">
        <v>45440</v>
      </c>
      <c r="K12684">
        <v>2730</v>
      </c>
      <c r="L12684" t="s">
        <v>23</v>
      </c>
      <c r="M12684" t="s">
        <v>27659</v>
      </c>
      <c r="N12684" t="s">
        <v>16077</v>
      </c>
      <c r="O12684" t="s">
        <v>178</v>
      </c>
      <c r="P12684">
        <v>45440</v>
      </c>
      <c r="Q12684">
        <v>2730</v>
      </c>
      <c r="R12684" t="s">
        <v>23</v>
      </c>
      <c r="S12684" s="1" t="s">
        <v>34218</v>
      </c>
    </row>
    <row r="12685" spans="1:19" x14ac:dyDescent="0.25">
      <c r="A12685">
        <v>101439406</v>
      </c>
      <c r="B12685" t="s">
        <v>24993</v>
      </c>
      <c r="C12685" t="s">
        <v>7693</v>
      </c>
      <c r="G12685" t="s">
        <v>27660</v>
      </c>
      <c r="H12685" t="s">
        <v>2367</v>
      </c>
      <c r="I12685" t="s">
        <v>255</v>
      </c>
      <c r="J12685">
        <v>23505</v>
      </c>
      <c r="K12685">
        <v>4454</v>
      </c>
      <c r="L12685" t="s">
        <v>23</v>
      </c>
      <c r="M12685" t="s">
        <v>27660</v>
      </c>
      <c r="N12685" t="s">
        <v>2367</v>
      </c>
      <c r="O12685" t="s">
        <v>255</v>
      </c>
      <c r="P12685">
        <v>23505</v>
      </c>
      <c r="Q12685">
        <v>4454</v>
      </c>
      <c r="R12685" t="s">
        <v>23</v>
      </c>
      <c r="S12685" s="1" t="s">
        <v>34218</v>
      </c>
    </row>
    <row r="12686" spans="1:19" x14ac:dyDescent="0.25">
      <c r="A12686">
        <v>100944033</v>
      </c>
      <c r="B12686" t="s">
        <v>654</v>
      </c>
      <c r="C12686" t="s">
        <v>30</v>
      </c>
      <c r="G12686" t="s">
        <v>27661</v>
      </c>
      <c r="H12686" t="s">
        <v>11984</v>
      </c>
      <c r="I12686" t="s">
        <v>43</v>
      </c>
      <c r="J12686">
        <v>97035</v>
      </c>
      <c r="K12686">
        <v>8821</v>
      </c>
      <c r="L12686" t="s">
        <v>23</v>
      </c>
      <c r="M12686" t="s">
        <v>27661</v>
      </c>
      <c r="N12686" t="s">
        <v>11984</v>
      </c>
      <c r="O12686" t="s">
        <v>43</v>
      </c>
      <c r="P12686">
        <v>97035</v>
      </c>
      <c r="Q12686">
        <v>8821</v>
      </c>
      <c r="R12686" t="s">
        <v>23</v>
      </c>
      <c r="S12686" s="1" t="s">
        <v>34218</v>
      </c>
    </row>
    <row r="12687" spans="1:19" x14ac:dyDescent="0.25">
      <c r="A12687">
        <v>101420828</v>
      </c>
      <c r="B12687" t="s">
        <v>22114</v>
      </c>
      <c r="C12687" t="s">
        <v>329</v>
      </c>
      <c r="G12687" t="s">
        <v>27662</v>
      </c>
      <c r="H12687" t="s">
        <v>27</v>
      </c>
      <c r="I12687" t="s">
        <v>28</v>
      </c>
      <c r="J12687">
        <v>30339</v>
      </c>
      <c r="K12687">
        <v>4293</v>
      </c>
      <c r="L12687" t="s">
        <v>23</v>
      </c>
      <c r="M12687" t="s">
        <v>27662</v>
      </c>
      <c r="N12687" t="s">
        <v>27</v>
      </c>
      <c r="O12687" t="s">
        <v>28</v>
      </c>
      <c r="P12687">
        <v>30339</v>
      </c>
      <c r="Q12687">
        <v>4293</v>
      </c>
      <c r="R12687" t="s">
        <v>23</v>
      </c>
      <c r="S12687" s="1" t="s">
        <v>34218</v>
      </c>
    </row>
    <row r="12688" spans="1:19" x14ac:dyDescent="0.25">
      <c r="A12688">
        <v>101451465</v>
      </c>
      <c r="B12688" t="s">
        <v>27663</v>
      </c>
      <c r="C12688" t="s">
        <v>1377</v>
      </c>
      <c r="G12688" t="s">
        <v>27664</v>
      </c>
      <c r="H12688" t="s">
        <v>4597</v>
      </c>
      <c r="I12688" t="s">
        <v>57</v>
      </c>
      <c r="J12688">
        <v>46342</v>
      </c>
      <c r="K12688">
        <v>4511</v>
      </c>
      <c r="L12688" t="s">
        <v>23</v>
      </c>
      <c r="M12688" t="s">
        <v>27664</v>
      </c>
      <c r="N12688" t="s">
        <v>4597</v>
      </c>
      <c r="O12688" t="s">
        <v>57</v>
      </c>
      <c r="P12688">
        <v>46342</v>
      </c>
      <c r="Q12688">
        <v>4511</v>
      </c>
      <c r="R12688" t="s">
        <v>23</v>
      </c>
      <c r="S12688" s="1" t="s">
        <v>34218</v>
      </c>
    </row>
    <row r="12689" spans="1:19" x14ac:dyDescent="0.25">
      <c r="A12689">
        <v>101469902</v>
      </c>
      <c r="B12689" t="s">
        <v>27665</v>
      </c>
      <c r="C12689" t="s">
        <v>27666</v>
      </c>
      <c r="G12689" t="s">
        <v>27667</v>
      </c>
      <c r="H12689" t="s">
        <v>976</v>
      </c>
      <c r="I12689" t="s">
        <v>140</v>
      </c>
      <c r="J12689">
        <v>48105</v>
      </c>
      <c r="K12689">
        <v>9721</v>
      </c>
      <c r="L12689" t="s">
        <v>23</v>
      </c>
      <c r="M12689" t="s">
        <v>27667</v>
      </c>
      <c r="N12689" t="s">
        <v>976</v>
      </c>
      <c r="O12689" t="s">
        <v>140</v>
      </c>
      <c r="P12689">
        <v>48105</v>
      </c>
      <c r="Q12689">
        <v>9721</v>
      </c>
      <c r="R12689" t="s">
        <v>23</v>
      </c>
      <c r="S12689" s="1" t="s">
        <v>34218</v>
      </c>
    </row>
    <row r="12690" spans="1:19" x14ac:dyDescent="0.25">
      <c r="A12690">
        <v>101349435</v>
      </c>
      <c r="B12690" t="s">
        <v>2328</v>
      </c>
      <c r="C12690" t="s">
        <v>27668</v>
      </c>
      <c r="G12690" t="s">
        <v>27669</v>
      </c>
      <c r="H12690" t="s">
        <v>5056</v>
      </c>
      <c r="I12690" t="s">
        <v>22</v>
      </c>
      <c r="J12690">
        <v>92704</v>
      </c>
      <c r="K12690">
        <v>6205</v>
      </c>
      <c r="L12690" t="s">
        <v>23</v>
      </c>
      <c r="M12690" t="s">
        <v>27669</v>
      </c>
      <c r="N12690" t="s">
        <v>5056</v>
      </c>
      <c r="O12690" t="s">
        <v>22</v>
      </c>
      <c r="P12690">
        <v>92704</v>
      </c>
      <c r="Q12690">
        <v>6205</v>
      </c>
      <c r="R12690" t="s">
        <v>23</v>
      </c>
      <c r="S12690" s="1" t="s">
        <v>34218</v>
      </c>
    </row>
    <row r="12691" spans="1:19" x14ac:dyDescent="0.25">
      <c r="A12691">
        <v>101479744</v>
      </c>
      <c r="B12691" t="s">
        <v>27670</v>
      </c>
      <c r="C12691" t="s">
        <v>1205</v>
      </c>
      <c r="G12691" t="s">
        <v>27671</v>
      </c>
      <c r="H12691" t="s">
        <v>174</v>
      </c>
      <c r="I12691" t="s">
        <v>22</v>
      </c>
      <c r="J12691">
        <v>93190</v>
      </c>
      <c r="K12691">
        <v>1835</v>
      </c>
      <c r="L12691" t="s">
        <v>23</v>
      </c>
      <c r="M12691" t="s">
        <v>27671</v>
      </c>
      <c r="N12691" t="s">
        <v>174</v>
      </c>
      <c r="O12691" t="s">
        <v>22</v>
      </c>
      <c r="P12691">
        <v>93190</v>
      </c>
      <c r="Q12691">
        <v>1835</v>
      </c>
      <c r="R12691" t="s">
        <v>23</v>
      </c>
      <c r="S12691" s="1" t="s">
        <v>34218</v>
      </c>
    </row>
    <row r="12692" spans="1:19" x14ac:dyDescent="0.25">
      <c r="A12692">
        <v>101479793</v>
      </c>
      <c r="B12692" t="s">
        <v>27672</v>
      </c>
      <c r="C12692" t="s">
        <v>13791</v>
      </c>
      <c r="G12692" t="s">
        <v>27673</v>
      </c>
      <c r="H12692" t="s">
        <v>12564</v>
      </c>
      <c r="I12692" t="s">
        <v>446</v>
      </c>
      <c r="J12692">
        <v>27406</v>
      </c>
      <c r="K12692">
        <v>8147</v>
      </c>
      <c r="L12692" t="s">
        <v>23</v>
      </c>
      <c r="M12692" t="s">
        <v>27673</v>
      </c>
      <c r="N12692" t="s">
        <v>12564</v>
      </c>
      <c r="O12692" t="s">
        <v>446</v>
      </c>
      <c r="P12692">
        <v>27406</v>
      </c>
      <c r="Q12692">
        <v>8147</v>
      </c>
      <c r="R12692" t="s">
        <v>23</v>
      </c>
      <c r="S12692" s="1" t="s">
        <v>34218</v>
      </c>
    </row>
    <row r="12693" spans="1:19" x14ac:dyDescent="0.25">
      <c r="A12693">
        <v>101479878</v>
      </c>
      <c r="B12693" t="s">
        <v>27674</v>
      </c>
      <c r="C12693" t="s">
        <v>286</v>
      </c>
      <c r="G12693" t="s">
        <v>27675</v>
      </c>
      <c r="H12693" t="s">
        <v>5384</v>
      </c>
      <c r="I12693" t="s">
        <v>140</v>
      </c>
      <c r="J12693">
        <v>48632</v>
      </c>
      <c r="K12693">
        <v>8705</v>
      </c>
      <c r="L12693" t="s">
        <v>23</v>
      </c>
      <c r="M12693" t="s">
        <v>27675</v>
      </c>
      <c r="N12693" t="s">
        <v>5384</v>
      </c>
      <c r="O12693" t="s">
        <v>140</v>
      </c>
      <c r="P12693">
        <v>48632</v>
      </c>
      <c r="Q12693">
        <v>8705</v>
      </c>
      <c r="R12693" t="s">
        <v>23</v>
      </c>
      <c r="S12693" s="1" t="s">
        <v>34218</v>
      </c>
    </row>
    <row r="12694" spans="1:19" x14ac:dyDescent="0.25">
      <c r="A12694">
        <v>101479944</v>
      </c>
      <c r="B12694" t="s">
        <v>27676</v>
      </c>
      <c r="C12694" t="s">
        <v>456</v>
      </c>
      <c r="G12694" t="s">
        <v>27677</v>
      </c>
      <c r="H12694" t="s">
        <v>20168</v>
      </c>
      <c r="I12694" t="s">
        <v>22</v>
      </c>
      <c r="J12694">
        <v>91387</v>
      </c>
      <c r="K12694">
        <v>4308</v>
      </c>
      <c r="L12694" t="s">
        <v>23</v>
      </c>
      <c r="M12694" t="s">
        <v>27677</v>
      </c>
      <c r="N12694" t="s">
        <v>20168</v>
      </c>
      <c r="O12694" t="s">
        <v>22</v>
      </c>
      <c r="P12694">
        <v>91387</v>
      </c>
      <c r="Q12694">
        <v>4308</v>
      </c>
      <c r="R12694" t="s">
        <v>23</v>
      </c>
      <c r="S12694" s="1" t="s">
        <v>34218</v>
      </c>
    </row>
    <row r="12695" spans="1:19" x14ac:dyDescent="0.25">
      <c r="A12695">
        <v>100552907</v>
      </c>
      <c r="B12695" t="s">
        <v>27678</v>
      </c>
      <c r="C12695" t="s">
        <v>3066</v>
      </c>
      <c r="G12695" t="s">
        <v>27679</v>
      </c>
      <c r="H12695" t="s">
        <v>412</v>
      </c>
      <c r="I12695" t="s">
        <v>117</v>
      </c>
      <c r="J12695">
        <v>11207</v>
      </c>
      <c r="K12695">
        <v>4705</v>
      </c>
      <c r="L12695" t="s">
        <v>23</v>
      </c>
      <c r="M12695" t="s">
        <v>27679</v>
      </c>
      <c r="N12695" t="s">
        <v>412</v>
      </c>
      <c r="O12695" t="s">
        <v>117</v>
      </c>
      <c r="P12695">
        <v>11207</v>
      </c>
      <c r="Q12695">
        <v>4705</v>
      </c>
      <c r="R12695" t="s">
        <v>23</v>
      </c>
      <c r="S12695" s="1" t="s">
        <v>34218</v>
      </c>
    </row>
    <row r="12696" spans="1:19" x14ac:dyDescent="0.25">
      <c r="A12696">
        <v>101481160</v>
      </c>
      <c r="B12696" t="s">
        <v>27680</v>
      </c>
      <c r="C12696" t="s">
        <v>15849</v>
      </c>
      <c r="G12696" t="s">
        <v>27681</v>
      </c>
      <c r="H12696" t="s">
        <v>27682</v>
      </c>
      <c r="I12696" t="s">
        <v>9752</v>
      </c>
      <c r="J12696">
        <v>603</v>
      </c>
      <c r="L12696" t="s">
        <v>23</v>
      </c>
      <c r="M12696" t="s">
        <v>27681</v>
      </c>
      <c r="N12696" t="s">
        <v>27682</v>
      </c>
      <c r="O12696" t="s">
        <v>9752</v>
      </c>
      <c r="P12696">
        <v>603</v>
      </c>
      <c r="R12696" t="s">
        <v>23</v>
      </c>
      <c r="S12696" s="1" t="s">
        <v>34218</v>
      </c>
    </row>
    <row r="12697" spans="1:19" x14ac:dyDescent="0.25">
      <c r="A12697">
        <v>101473443</v>
      </c>
      <c r="B12697" t="s">
        <v>1710</v>
      </c>
      <c r="C12697" t="s">
        <v>1965</v>
      </c>
      <c r="G12697" t="s">
        <v>27683</v>
      </c>
      <c r="H12697" t="s">
        <v>88</v>
      </c>
      <c r="I12697" t="s">
        <v>22</v>
      </c>
      <c r="J12697">
        <v>94602</v>
      </c>
      <c r="K12697">
        <v>1046</v>
      </c>
      <c r="L12697" t="s">
        <v>23</v>
      </c>
      <c r="M12697" t="s">
        <v>27683</v>
      </c>
      <c r="N12697" t="s">
        <v>88</v>
      </c>
      <c r="O12697" t="s">
        <v>22</v>
      </c>
      <c r="P12697">
        <v>94602</v>
      </c>
      <c r="Q12697">
        <v>1046</v>
      </c>
      <c r="R12697" t="s">
        <v>23</v>
      </c>
      <c r="S12697" s="1" t="s">
        <v>34218</v>
      </c>
    </row>
    <row r="12698" spans="1:19" x14ac:dyDescent="0.25">
      <c r="A12698">
        <v>101473458</v>
      </c>
      <c r="B12698" t="s">
        <v>3609</v>
      </c>
      <c r="C12698" t="s">
        <v>1086</v>
      </c>
      <c r="G12698" t="s">
        <v>27684</v>
      </c>
      <c r="H12698" t="s">
        <v>2178</v>
      </c>
      <c r="I12698" t="s">
        <v>28</v>
      </c>
      <c r="J12698">
        <v>30097</v>
      </c>
      <c r="K12698">
        <v>4351</v>
      </c>
      <c r="L12698" t="s">
        <v>23</v>
      </c>
      <c r="M12698" t="s">
        <v>27684</v>
      </c>
      <c r="N12698" t="s">
        <v>2178</v>
      </c>
      <c r="O12698" t="s">
        <v>28</v>
      </c>
      <c r="P12698">
        <v>30097</v>
      </c>
      <c r="Q12698">
        <v>4351</v>
      </c>
      <c r="R12698" t="s">
        <v>23</v>
      </c>
      <c r="S12698" s="1" t="s">
        <v>34218</v>
      </c>
    </row>
    <row r="12699" spans="1:19" x14ac:dyDescent="0.25">
      <c r="A12699">
        <v>101473460</v>
      </c>
      <c r="B12699" t="s">
        <v>4376</v>
      </c>
      <c r="C12699" t="s">
        <v>483</v>
      </c>
      <c r="G12699" t="s">
        <v>27685</v>
      </c>
      <c r="H12699" t="s">
        <v>10416</v>
      </c>
      <c r="I12699" t="s">
        <v>639</v>
      </c>
      <c r="J12699">
        <v>87015</v>
      </c>
      <c r="K12699">
        <v>8273</v>
      </c>
      <c r="L12699" t="s">
        <v>23</v>
      </c>
      <c r="M12699" t="s">
        <v>27685</v>
      </c>
      <c r="N12699" t="s">
        <v>10416</v>
      </c>
      <c r="O12699" t="s">
        <v>639</v>
      </c>
      <c r="P12699">
        <v>87015</v>
      </c>
      <c r="Q12699">
        <v>8273</v>
      </c>
      <c r="R12699" t="s">
        <v>23</v>
      </c>
      <c r="S12699" s="1" t="s">
        <v>34218</v>
      </c>
    </row>
    <row r="12700" spans="1:19" x14ac:dyDescent="0.25">
      <c r="A12700">
        <v>101473497</v>
      </c>
      <c r="B12700" t="s">
        <v>3011</v>
      </c>
      <c r="C12700" t="s">
        <v>1331</v>
      </c>
      <c r="G12700" t="s">
        <v>27686</v>
      </c>
      <c r="H12700" t="s">
        <v>5644</v>
      </c>
      <c r="I12700" t="s">
        <v>370</v>
      </c>
      <c r="J12700">
        <v>68144</v>
      </c>
      <c r="K12700">
        <v>2759</v>
      </c>
      <c r="L12700" t="s">
        <v>23</v>
      </c>
      <c r="M12700" t="s">
        <v>27686</v>
      </c>
      <c r="N12700" t="s">
        <v>5644</v>
      </c>
      <c r="O12700" t="s">
        <v>370</v>
      </c>
      <c r="P12700">
        <v>68144</v>
      </c>
      <c r="Q12700">
        <v>2759</v>
      </c>
      <c r="R12700" t="s">
        <v>23</v>
      </c>
      <c r="S12700" s="1" t="s">
        <v>34218</v>
      </c>
    </row>
    <row r="12701" spans="1:19" x14ac:dyDescent="0.25">
      <c r="A12701">
        <v>101294116</v>
      </c>
      <c r="B12701" t="s">
        <v>27687</v>
      </c>
      <c r="C12701" t="s">
        <v>329</v>
      </c>
      <c r="G12701" t="s">
        <v>27688</v>
      </c>
      <c r="H12701" t="s">
        <v>650</v>
      </c>
      <c r="I12701" t="s">
        <v>22</v>
      </c>
      <c r="J12701" t="s">
        <v>27689</v>
      </c>
      <c r="K12701">
        <v>728</v>
      </c>
      <c r="L12701" t="s">
        <v>23</v>
      </c>
      <c r="M12701" t="s">
        <v>27688</v>
      </c>
      <c r="N12701" t="s">
        <v>650</v>
      </c>
      <c r="O12701" t="s">
        <v>22</v>
      </c>
      <c r="P12701" t="s">
        <v>27689</v>
      </c>
      <c r="Q12701">
        <v>728</v>
      </c>
      <c r="R12701" t="s">
        <v>23</v>
      </c>
      <c r="S12701" s="1" t="s">
        <v>34218</v>
      </c>
    </row>
    <row r="12702" spans="1:19" x14ac:dyDescent="0.25">
      <c r="A12702">
        <v>101256790</v>
      </c>
      <c r="B12702" t="s">
        <v>2080</v>
      </c>
      <c r="C12702" t="s">
        <v>1208</v>
      </c>
      <c r="G12702" t="s">
        <v>27690</v>
      </c>
      <c r="H12702" t="s">
        <v>8089</v>
      </c>
      <c r="I12702" t="s">
        <v>117</v>
      </c>
      <c r="J12702" t="s">
        <v>27691</v>
      </c>
      <c r="K12702">
        <v>86</v>
      </c>
      <c r="L12702" t="s">
        <v>23</v>
      </c>
      <c r="M12702" t="s">
        <v>27690</v>
      </c>
      <c r="N12702" t="s">
        <v>8089</v>
      </c>
      <c r="O12702" t="s">
        <v>117</v>
      </c>
      <c r="P12702" t="s">
        <v>27691</v>
      </c>
      <c r="Q12702">
        <v>86</v>
      </c>
      <c r="R12702" t="s">
        <v>23</v>
      </c>
      <c r="S12702" s="1" t="s">
        <v>34218</v>
      </c>
    </row>
    <row r="12703" spans="1:19" x14ac:dyDescent="0.25">
      <c r="A12703">
        <v>101419911</v>
      </c>
      <c r="B12703" t="s">
        <v>27692</v>
      </c>
      <c r="C12703" t="s">
        <v>1208</v>
      </c>
      <c r="G12703" t="s">
        <v>27693</v>
      </c>
      <c r="H12703" t="s">
        <v>27694</v>
      </c>
      <c r="I12703" t="s">
        <v>135</v>
      </c>
      <c r="J12703" t="s">
        <v>27695</v>
      </c>
      <c r="K12703">
        <v>1869</v>
      </c>
      <c r="L12703" t="s">
        <v>23</v>
      </c>
      <c r="M12703" t="s">
        <v>27693</v>
      </c>
      <c r="N12703" t="s">
        <v>27694</v>
      </c>
      <c r="O12703" t="s">
        <v>135</v>
      </c>
      <c r="P12703" t="s">
        <v>27695</v>
      </c>
      <c r="Q12703">
        <v>1869</v>
      </c>
      <c r="R12703" t="s">
        <v>23</v>
      </c>
      <c r="S12703" s="1" t="s">
        <v>34218</v>
      </c>
    </row>
    <row r="12704" spans="1:19" x14ac:dyDescent="0.25">
      <c r="A12704">
        <v>101283728</v>
      </c>
      <c r="B12704" t="s">
        <v>27696</v>
      </c>
      <c r="C12704" t="s">
        <v>1239</v>
      </c>
      <c r="G12704" t="s">
        <v>27697</v>
      </c>
      <c r="H12704" t="s">
        <v>10721</v>
      </c>
      <c r="I12704" t="s">
        <v>135</v>
      </c>
      <c r="J12704" t="s">
        <v>27698</v>
      </c>
      <c r="K12704">
        <v>5609</v>
      </c>
      <c r="L12704" t="s">
        <v>23</v>
      </c>
      <c r="M12704" t="s">
        <v>27697</v>
      </c>
      <c r="N12704" t="s">
        <v>10721</v>
      </c>
      <c r="O12704" t="s">
        <v>135</v>
      </c>
      <c r="P12704" t="s">
        <v>27698</v>
      </c>
      <c r="Q12704">
        <v>5609</v>
      </c>
      <c r="R12704" t="s">
        <v>23</v>
      </c>
      <c r="S12704" s="1" t="s">
        <v>34218</v>
      </c>
    </row>
    <row r="12705" spans="1:19" x14ac:dyDescent="0.25">
      <c r="A12705">
        <v>101236160</v>
      </c>
      <c r="B12705" t="s">
        <v>19505</v>
      </c>
      <c r="C12705" t="s">
        <v>4502</v>
      </c>
      <c r="G12705" t="s">
        <v>27699</v>
      </c>
      <c r="H12705" t="s">
        <v>2640</v>
      </c>
      <c r="I12705" t="s">
        <v>52</v>
      </c>
      <c r="J12705" t="s">
        <v>27700</v>
      </c>
      <c r="K12705">
        <v>6139</v>
      </c>
      <c r="L12705" t="s">
        <v>23</v>
      </c>
      <c r="M12705" t="s">
        <v>27699</v>
      </c>
      <c r="N12705" t="s">
        <v>2640</v>
      </c>
      <c r="O12705" t="s">
        <v>52</v>
      </c>
      <c r="P12705" t="s">
        <v>27700</v>
      </c>
      <c r="Q12705">
        <v>6139</v>
      </c>
      <c r="R12705" t="s">
        <v>23</v>
      </c>
      <c r="S12705" s="1" t="s">
        <v>34218</v>
      </c>
    </row>
    <row r="12706" spans="1:19" x14ac:dyDescent="0.25">
      <c r="A12706">
        <v>101038526</v>
      </c>
      <c r="B12706" t="s">
        <v>7450</v>
      </c>
      <c r="C12706" t="s">
        <v>1208</v>
      </c>
      <c r="G12706" t="s">
        <v>27701</v>
      </c>
      <c r="H12706" t="s">
        <v>27702</v>
      </c>
      <c r="I12706" t="s">
        <v>33</v>
      </c>
      <c r="J12706" t="s">
        <v>27703</v>
      </c>
      <c r="K12706">
        <v>2542</v>
      </c>
      <c r="L12706" t="s">
        <v>23</v>
      </c>
      <c r="M12706" t="s">
        <v>27701</v>
      </c>
      <c r="N12706" t="s">
        <v>27702</v>
      </c>
      <c r="O12706" t="s">
        <v>33</v>
      </c>
      <c r="P12706" t="s">
        <v>27703</v>
      </c>
      <c r="Q12706">
        <v>2542</v>
      </c>
      <c r="R12706" t="s">
        <v>23</v>
      </c>
      <c r="S12706" s="1" t="s">
        <v>34218</v>
      </c>
    </row>
    <row r="12707" spans="1:19" x14ac:dyDescent="0.25">
      <c r="A12707">
        <v>101311126</v>
      </c>
      <c r="B12707" t="s">
        <v>27704</v>
      </c>
      <c r="C12707" t="s">
        <v>3747</v>
      </c>
      <c r="G12707" t="s">
        <v>27705</v>
      </c>
      <c r="H12707" t="s">
        <v>227</v>
      </c>
      <c r="I12707" t="s">
        <v>191</v>
      </c>
      <c r="J12707" t="s">
        <v>27706</v>
      </c>
      <c r="K12707">
        <v>4935</v>
      </c>
      <c r="L12707" t="s">
        <v>23</v>
      </c>
      <c r="M12707" t="s">
        <v>27705</v>
      </c>
      <c r="N12707" t="s">
        <v>227</v>
      </c>
      <c r="O12707" t="s">
        <v>191</v>
      </c>
      <c r="P12707" t="s">
        <v>27706</v>
      </c>
      <c r="Q12707">
        <v>4935</v>
      </c>
      <c r="R12707" t="s">
        <v>23</v>
      </c>
      <c r="S12707" s="1" t="s">
        <v>34218</v>
      </c>
    </row>
    <row r="12708" spans="1:19" x14ac:dyDescent="0.25">
      <c r="A12708">
        <v>100515493</v>
      </c>
      <c r="B12708" t="s">
        <v>27707</v>
      </c>
      <c r="C12708" t="s">
        <v>1208</v>
      </c>
      <c r="G12708" t="s">
        <v>27708</v>
      </c>
      <c r="H12708" t="s">
        <v>4893</v>
      </c>
      <c r="I12708" t="s">
        <v>22</v>
      </c>
      <c r="J12708" t="s">
        <v>27709</v>
      </c>
      <c r="K12708">
        <v>1907</v>
      </c>
      <c r="L12708" t="s">
        <v>23</v>
      </c>
      <c r="M12708" t="s">
        <v>27708</v>
      </c>
      <c r="N12708" t="s">
        <v>4893</v>
      </c>
      <c r="O12708" t="s">
        <v>22</v>
      </c>
      <c r="P12708" t="s">
        <v>27709</v>
      </c>
      <c r="Q12708">
        <v>1907</v>
      </c>
      <c r="R12708" t="s">
        <v>23</v>
      </c>
      <c r="S12708" s="1" t="s">
        <v>34218</v>
      </c>
    </row>
    <row r="12709" spans="1:19" x14ac:dyDescent="0.25">
      <c r="A12709">
        <v>100515692</v>
      </c>
      <c r="B12709" t="s">
        <v>27710</v>
      </c>
      <c r="C12709" t="s">
        <v>25</v>
      </c>
      <c r="G12709" t="s">
        <v>27711</v>
      </c>
      <c r="H12709" t="s">
        <v>653</v>
      </c>
      <c r="I12709" t="s">
        <v>117</v>
      </c>
      <c r="J12709" t="s">
        <v>27712</v>
      </c>
      <c r="K12709">
        <v>6555</v>
      </c>
      <c r="L12709" t="s">
        <v>23</v>
      </c>
      <c r="M12709" t="s">
        <v>27711</v>
      </c>
      <c r="N12709" t="s">
        <v>653</v>
      </c>
      <c r="O12709" t="s">
        <v>117</v>
      </c>
      <c r="P12709" t="s">
        <v>27712</v>
      </c>
      <c r="Q12709">
        <v>6555</v>
      </c>
      <c r="R12709" t="s">
        <v>23</v>
      </c>
      <c r="S12709" s="1" t="s">
        <v>34218</v>
      </c>
    </row>
    <row r="12710" spans="1:19" x14ac:dyDescent="0.25">
      <c r="A12710">
        <v>101272610</v>
      </c>
      <c r="B12710" t="s">
        <v>27713</v>
      </c>
      <c r="C12710" t="s">
        <v>1327</v>
      </c>
      <c r="G12710" t="s">
        <v>27714</v>
      </c>
      <c r="H12710" t="s">
        <v>5929</v>
      </c>
      <c r="I12710" t="s">
        <v>52</v>
      </c>
      <c r="J12710" t="s">
        <v>27715</v>
      </c>
      <c r="K12710">
        <v>5627</v>
      </c>
      <c r="L12710" t="s">
        <v>23</v>
      </c>
      <c r="M12710" t="s">
        <v>27714</v>
      </c>
      <c r="N12710" t="s">
        <v>5929</v>
      </c>
      <c r="O12710" t="s">
        <v>52</v>
      </c>
      <c r="P12710" t="s">
        <v>27715</v>
      </c>
      <c r="Q12710">
        <v>5627</v>
      </c>
      <c r="R12710" t="s">
        <v>23</v>
      </c>
      <c r="S12710" s="1" t="s">
        <v>34218</v>
      </c>
    </row>
    <row r="12711" spans="1:19" x14ac:dyDescent="0.25">
      <c r="A12711">
        <v>101396836</v>
      </c>
      <c r="B12711" t="s">
        <v>27716</v>
      </c>
      <c r="C12711" t="s">
        <v>25</v>
      </c>
      <c r="G12711" t="s">
        <v>27717</v>
      </c>
      <c r="H12711" t="s">
        <v>10374</v>
      </c>
      <c r="I12711" t="s">
        <v>236</v>
      </c>
      <c r="J12711" t="s">
        <v>27718</v>
      </c>
      <c r="K12711">
        <v>5275</v>
      </c>
      <c r="L12711" t="s">
        <v>23</v>
      </c>
      <c r="M12711" t="s">
        <v>27717</v>
      </c>
      <c r="N12711" t="s">
        <v>10374</v>
      </c>
      <c r="O12711" t="s">
        <v>236</v>
      </c>
      <c r="P12711" t="s">
        <v>27718</v>
      </c>
      <c r="Q12711">
        <v>5275</v>
      </c>
      <c r="R12711" t="s">
        <v>23</v>
      </c>
      <c r="S12711" s="1" t="s">
        <v>34218</v>
      </c>
    </row>
    <row r="12712" spans="1:19" x14ac:dyDescent="0.25">
      <c r="A12712">
        <v>101279875</v>
      </c>
      <c r="B12712" t="s">
        <v>199</v>
      </c>
      <c r="C12712" t="s">
        <v>874</v>
      </c>
      <c r="G12712" t="s">
        <v>27719</v>
      </c>
      <c r="H12712" t="s">
        <v>6629</v>
      </c>
      <c r="I12712" t="s">
        <v>38</v>
      </c>
      <c r="J12712">
        <v>77380</v>
      </c>
      <c r="L12712" t="s">
        <v>23</v>
      </c>
      <c r="M12712" t="s">
        <v>27719</v>
      </c>
      <c r="N12712" t="s">
        <v>6629</v>
      </c>
      <c r="O12712" t="s">
        <v>38</v>
      </c>
      <c r="P12712">
        <v>77380</v>
      </c>
      <c r="R12712" t="s">
        <v>23</v>
      </c>
      <c r="S12712" s="1" t="s">
        <v>34218</v>
      </c>
    </row>
    <row r="12713" spans="1:19" x14ac:dyDescent="0.25">
      <c r="A12713">
        <v>100741493</v>
      </c>
      <c r="B12713" t="s">
        <v>1710</v>
      </c>
      <c r="C12713" t="s">
        <v>1818</v>
      </c>
      <c r="G12713" t="s">
        <v>27720</v>
      </c>
      <c r="H12713" t="s">
        <v>27721</v>
      </c>
      <c r="I12713" t="s">
        <v>148</v>
      </c>
      <c r="J12713" t="s">
        <v>27722</v>
      </c>
      <c r="K12713">
        <v>1301</v>
      </c>
      <c r="L12713" t="s">
        <v>23</v>
      </c>
      <c r="M12713" t="s">
        <v>27720</v>
      </c>
      <c r="N12713" t="s">
        <v>27721</v>
      </c>
      <c r="O12713" t="s">
        <v>148</v>
      </c>
      <c r="P12713" t="s">
        <v>27722</v>
      </c>
      <c r="Q12713">
        <v>1301</v>
      </c>
      <c r="R12713" t="s">
        <v>23</v>
      </c>
      <c r="S12713" s="1" t="s">
        <v>34218</v>
      </c>
    </row>
    <row r="12714" spans="1:19" x14ac:dyDescent="0.25">
      <c r="A12714">
        <v>100937880</v>
      </c>
      <c r="B12714" t="s">
        <v>27723</v>
      </c>
      <c r="C12714" t="s">
        <v>803</v>
      </c>
      <c r="G12714" t="s">
        <v>27724</v>
      </c>
      <c r="H12714" t="s">
        <v>1431</v>
      </c>
      <c r="I12714" t="s">
        <v>639</v>
      </c>
      <c r="J12714" t="s">
        <v>27725</v>
      </c>
      <c r="K12714">
        <v>4126</v>
      </c>
      <c r="L12714" t="s">
        <v>23</v>
      </c>
      <c r="M12714" t="s">
        <v>27724</v>
      </c>
      <c r="N12714" t="s">
        <v>1431</v>
      </c>
      <c r="O12714" t="s">
        <v>639</v>
      </c>
      <c r="P12714" t="s">
        <v>27725</v>
      </c>
      <c r="Q12714">
        <v>4126</v>
      </c>
      <c r="R12714" t="s">
        <v>23</v>
      </c>
      <c r="S12714" s="1" t="s">
        <v>34218</v>
      </c>
    </row>
    <row r="12715" spans="1:19" x14ac:dyDescent="0.25">
      <c r="A12715">
        <v>100805609</v>
      </c>
      <c r="B12715" t="s">
        <v>27726</v>
      </c>
      <c r="C12715" t="s">
        <v>27727</v>
      </c>
      <c r="G12715" t="s">
        <v>27728</v>
      </c>
      <c r="H12715" t="s">
        <v>4087</v>
      </c>
      <c r="I12715" t="s">
        <v>236</v>
      </c>
      <c r="J12715" t="s">
        <v>27729</v>
      </c>
      <c r="K12715">
        <v>1621</v>
      </c>
      <c r="L12715" t="s">
        <v>23</v>
      </c>
      <c r="M12715" t="s">
        <v>27728</v>
      </c>
      <c r="N12715" t="s">
        <v>4087</v>
      </c>
      <c r="O12715" t="s">
        <v>236</v>
      </c>
      <c r="P12715" t="s">
        <v>27729</v>
      </c>
      <c r="Q12715">
        <v>1621</v>
      </c>
      <c r="R12715" t="s">
        <v>23</v>
      </c>
      <c r="S12715" s="1" t="s">
        <v>34218</v>
      </c>
    </row>
    <row r="12716" spans="1:19" x14ac:dyDescent="0.25">
      <c r="A12716">
        <v>101348118</v>
      </c>
      <c r="B12716" t="s">
        <v>13269</v>
      </c>
      <c r="C12716" t="s">
        <v>305</v>
      </c>
      <c r="G12716" t="s">
        <v>27730</v>
      </c>
      <c r="H12716" t="s">
        <v>1293</v>
      </c>
      <c r="I12716" t="s">
        <v>22</v>
      </c>
      <c r="J12716" t="s">
        <v>27731</v>
      </c>
      <c r="K12716">
        <v>2764</v>
      </c>
      <c r="L12716" t="s">
        <v>23</v>
      </c>
      <c r="M12716" t="s">
        <v>27730</v>
      </c>
      <c r="N12716" t="s">
        <v>1293</v>
      </c>
      <c r="O12716" t="s">
        <v>22</v>
      </c>
      <c r="P12716" t="s">
        <v>27731</v>
      </c>
      <c r="Q12716">
        <v>2764</v>
      </c>
      <c r="R12716" t="s">
        <v>23</v>
      </c>
      <c r="S12716" s="1" t="s">
        <v>34218</v>
      </c>
    </row>
    <row r="12717" spans="1:19" x14ac:dyDescent="0.25">
      <c r="A12717">
        <v>100543703</v>
      </c>
      <c r="B12717" t="s">
        <v>24456</v>
      </c>
      <c r="C12717" t="s">
        <v>547</v>
      </c>
      <c r="G12717" t="s">
        <v>27732</v>
      </c>
      <c r="H12717" t="s">
        <v>4510</v>
      </c>
      <c r="I12717" t="s">
        <v>84</v>
      </c>
      <c r="J12717" t="s">
        <v>27733</v>
      </c>
      <c r="K12717">
        <v>4432</v>
      </c>
      <c r="L12717" t="s">
        <v>23</v>
      </c>
      <c r="M12717" t="s">
        <v>27732</v>
      </c>
      <c r="N12717" t="s">
        <v>4510</v>
      </c>
      <c r="O12717" t="s">
        <v>84</v>
      </c>
      <c r="P12717" t="s">
        <v>27733</v>
      </c>
      <c r="Q12717">
        <v>4432</v>
      </c>
      <c r="R12717" t="s">
        <v>23</v>
      </c>
      <c r="S12717" s="1" t="s">
        <v>34218</v>
      </c>
    </row>
    <row r="12718" spans="1:19" x14ac:dyDescent="0.25">
      <c r="A12718">
        <v>101366305</v>
      </c>
      <c r="B12718" t="s">
        <v>27734</v>
      </c>
      <c r="C12718" t="s">
        <v>155</v>
      </c>
      <c r="G12718" t="s">
        <v>27735</v>
      </c>
      <c r="H12718" t="s">
        <v>569</v>
      </c>
      <c r="I12718" t="s">
        <v>187</v>
      </c>
      <c r="J12718" t="s">
        <v>27736</v>
      </c>
      <c r="K12718">
        <v>2100</v>
      </c>
      <c r="L12718" t="s">
        <v>23</v>
      </c>
      <c r="M12718" t="s">
        <v>27735</v>
      </c>
      <c r="N12718" t="s">
        <v>569</v>
      </c>
      <c r="O12718" t="s">
        <v>187</v>
      </c>
      <c r="P12718" t="s">
        <v>27736</v>
      </c>
      <c r="Q12718">
        <v>2100</v>
      </c>
      <c r="R12718" t="s">
        <v>23</v>
      </c>
      <c r="S12718" s="1" t="s">
        <v>34218</v>
      </c>
    </row>
    <row r="12719" spans="1:19" x14ac:dyDescent="0.25">
      <c r="A12719">
        <v>101420930</v>
      </c>
      <c r="B12719" t="s">
        <v>27737</v>
      </c>
      <c r="C12719" t="s">
        <v>27738</v>
      </c>
      <c r="G12719" t="s">
        <v>27739</v>
      </c>
      <c r="H12719" t="s">
        <v>27740</v>
      </c>
      <c r="I12719" t="s">
        <v>33</v>
      </c>
      <c r="J12719" t="s">
        <v>27741</v>
      </c>
      <c r="K12719">
        <v>7209</v>
      </c>
      <c r="L12719" t="s">
        <v>23</v>
      </c>
      <c r="M12719" t="s">
        <v>27739</v>
      </c>
      <c r="N12719" t="s">
        <v>27740</v>
      </c>
      <c r="O12719" t="s">
        <v>33</v>
      </c>
      <c r="P12719" t="s">
        <v>27741</v>
      </c>
      <c r="Q12719">
        <v>7209</v>
      </c>
      <c r="R12719" t="s">
        <v>23</v>
      </c>
      <c r="S12719" s="1" t="s">
        <v>34218</v>
      </c>
    </row>
    <row r="12720" spans="1:19" x14ac:dyDescent="0.25">
      <c r="A12720">
        <v>101420721</v>
      </c>
      <c r="B12720" t="s">
        <v>27742</v>
      </c>
      <c r="C12720" t="s">
        <v>305</v>
      </c>
      <c r="G12720" t="s">
        <v>27743</v>
      </c>
      <c r="H12720" t="s">
        <v>4951</v>
      </c>
      <c r="I12720" t="s">
        <v>140</v>
      </c>
      <c r="J12720" t="s">
        <v>27744</v>
      </c>
      <c r="K12720">
        <v>1267</v>
      </c>
      <c r="L12720" t="s">
        <v>23</v>
      </c>
      <c r="M12720" t="s">
        <v>27743</v>
      </c>
      <c r="N12720" t="s">
        <v>4951</v>
      </c>
      <c r="O12720" t="s">
        <v>140</v>
      </c>
      <c r="P12720" t="s">
        <v>27744</v>
      </c>
      <c r="Q12720">
        <v>1267</v>
      </c>
      <c r="R12720" t="s">
        <v>23</v>
      </c>
      <c r="S12720" s="1" t="s">
        <v>34218</v>
      </c>
    </row>
    <row r="12721" spans="1:19" x14ac:dyDescent="0.25">
      <c r="A12721">
        <v>100985671</v>
      </c>
      <c r="B12721" t="s">
        <v>27745</v>
      </c>
      <c r="C12721" t="s">
        <v>1054</v>
      </c>
      <c r="G12721" t="s">
        <v>27746</v>
      </c>
      <c r="H12721" t="s">
        <v>733</v>
      </c>
      <c r="I12721" t="s">
        <v>52</v>
      </c>
      <c r="J12721" t="s">
        <v>27747</v>
      </c>
      <c r="K12721">
        <v>2726</v>
      </c>
      <c r="L12721" t="s">
        <v>23</v>
      </c>
      <c r="M12721" t="s">
        <v>27746</v>
      </c>
      <c r="N12721" t="s">
        <v>733</v>
      </c>
      <c r="O12721" t="s">
        <v>52</v>
      </c>
      <c r="P12721" t="s">
        <v>27747</v>
      </c>
      <c r="Q12721">
        <v>2726</v>
      </c>
      <c r="R12721" t="s">
        <v>23</v>
      </c>
      <c r="S12721" s="1" t="s">
        <v>34218</v>
      </c>
    </row>
    <row r="12722" spans="1:19" x14ac:dyDescent="0.25">
      <c r="A12722">
        <v>101255057</v>
      </c>
      <c r="B12722" t="s">
        <v>4984</v>
      </c>
      <c r="C12722" t="s">
        <v>865</v>
      </c>
      <c r="G12722" t="s">
        <v>27748</v>
      </c>
      <c r="H12722" t="s">
        <v>521</v>
      </c>
      <c r="I12722" t="s">
        <v>22</v>
      </c>
      <c r="J12722" t="s">
        <v>27749</v>
      </c>
      <c r="K12722">
        <v>6035</v>
      </c>
      <c r="L12722" t="s">
        <v>23</v>
      </c>
      <c r="M12722" t="s">
        <v>27748</v>
      </c>
      <c r="N12722" t="s">
        <v>521</v>
      </c>
      <c r="O12722" t="s">
        <v>22</v>
      </c>
      <c r="P12722" t="s">
        <v>27749</v>
      </c>
      <c r="Q12722">
        <v>6035</v>
      </c>
      <c r="R12722" t="s">
        <v>23</v>
      </c>
      <c r="S12722" s="1" t="s">
        <v>34218</v>
      </c>
    </row>
    <row r="12723" spans="1:19" x14ac:dyDescent="0.25">
      <c r="A12723">
        <v>101399791</v>
      </c>
      <c r="B12723" t="s">
        <v>27750</v>
      </c>
      <c r="C12723" t="s">
        <v>6384</v>
      </c>
      <c r="G12723" t="s">
        <v>26313</v>
      </c>
      <c r="H12723" t="s">
        <v>134</v>
      </c>
      <c r="I12723" t="s">
        <v>135</v>
      </c>
      <c r="J12723">
        <v>60657</v>
      </c>
      <c r="L12723" t="s">
        <v>23</v>
      </c>
      <c r="M12723" t="s">
        <v>26313</v>
      </c>
      <c r="N12723" t="s">
        <v>134</v>
      </c>
      <c r="O12723" t="s">
        <v>135</v>
      </c>
      <c r="P12723">
        <v>60657</v>
      </c>
      <c r="R12723" t="s">
        <v>23</v>
      </c>
      <c r="S12723" s="1" t="s">
        <v>34218</v>
      </c>
    </row>
    <row r="12724" spans="1:19" x14ac:dyDescent="0.25">
      <c r="A12724">
        <v>101444008</v>
      </c>
      <c r="B12724" t="s">
        <v>9807</v>
      </c>
      <c r="C12724" t="s">
        <v>19403</v>
      </c>
      <c r="G12724" t="s">
        <v>27751</v>
      </c>
      <c r="H12724" t="s">
        <v>27752</v>
      </c>
      <c r="I12724" t="s">
        <v>38</v>
      </c>
      <c r="J12724" t="s">
        <v>27753</v>
      </c>
      <c r="K12724">
        <v>2696</v>
      </c>
      <c r="L12724" t="s">
        <v>23</v>
      </c>
      <c r="M12724" t="s">
        <v>27751</v>
      </c>
      <c r="N12724" t="s">
        <v>27752</v>
      </c>
      <c r="O12724" t="s">
        <v>38</v>
      </c>
      <c r="P12724" t="s">
        <v>27753</v>
      </c>
      <c r="Q12724">
        <v>2696</v>
      </c>
      <c r="R12724" t="s">
        <v>23</v>
      </c>
      <c r="S12724" s="1" t="s">
        <v>34218</v>
      </c>
    </row>
    <row r="12725" spans="1:19" x14ac:dyDescent="0.25">
      <c r="A12725">
        <v>101311497</v>
      </c>
      <c r="B12725" t="s">
        <v>26733</v>
      </c>
      <c r="C12725" t="s">
        <v>1208</v>
      </c>
      <c r="G12725" t="s">
        <v>26734</v>
      </c>
      <c r="H12725" t="s">
        <v>7232</v>
      </c>
      <c r="I12725" t="s">
        <v>71</v>
      </c>
      <c r="J12725" t="s">
        <v>27754</v>
      </c>
      <c r="K12725">
        <v>4503</v>
      </c>
      <c r="L12725" t="s">
        <v>23</v>
      </c>
      <c r="M12725" t="s">
        <v>26734</v>
      </c>
      <c r="N12725" t="s">
        <v>7232</v>
      </c>
      <c r="O12725" t="s">
        <v>71</v>
      </c>
      <c r="P12725" t="s">
        <v>27754</v>
      </c>
      <c r="Q12725">
        <v>4503</v>
      </c>
      <c r="R12725" t="s">
        <v>23</v>
      </c>
      <c r="S12725" s="1" t="s">
        <v>34218</v>
      </c>
    </row>
    <row r="12726" spans="1:19" x14ac:dyDescent="0.25">
      <c r="A12726">
        <v>100614377</v>
      </c>
      <c r="B12726" t="s">
        <v>25079</v>
      </c>
      <c r="C12726" t="s">
        <v>8920</v>
      </c>
      <c r="G12726" t="s">
        <v>27755</v>
      </c>
      <c r="H12726" t="s">
        <v>27756</v>
      </c>
      <c r="I12726" t="s">
        <v>140</v>
      </c>
      <c r="J12726" t="s">
        <v>27757</v>
      </c>
      <c r="K12726">
        <v>1051</v>
      </c>
      <c r="L12726" t="s">
        <v>23</v>
      </c>
      <c r="M12726" t="s">
        <v>27755</v>
      </c>
      <c r="N12726" t="s">
        <v>27756</v>
      </c>
      <c r="O12726" t="s">
        <v>140</v>
      </c>
      <c r="P12726" t="s">
        <v>27757</v>
      </c>
      <c r="Q12726">
        <v>1051</v>
      </c>
      <c r="R12726" t="s">
        <v>23</v>
      </c>
      <c r="S12726" s="1" t="s">
        <v>34218</v>
      </c>
    </row>
    <row r="12727" spans="1:19" x14ac:dyDescent="0.25">
      <c r="A12727">
        <v>100857654</v>
      </c>
      <c r="B12727" t="s">
        <v>688</v>
      </c>
      <c r="C12727" t="s">
        <v>403</v>
      </c>
      <c r="G12727" t="s">
        <v>27758</v>
      </c>
      <c r="H12727" t="s">
        <v>10641</v>
      </c>
      <c r="I12727" t="s">
        <v>446</v>
      </c>
      <c r="J12727" t="s">
        <v>27759</v>
      </c>
      <c r="K12727">
        <v>7000</v>
      </c>
      <c r="L12727" t="s">
        <v>23</v>
      </c>
      <c r="M12727" t="s">
        <v>27758</v>
      </c>
      <c r="N12727" t="s">
        <v>10641</v>
      </c>
      <c r="O12727" t="s">
        <v>446</v>
      </c>
      <c r="P12727" t="s">
        <v>27759</v>
      </c>
      <c r="Q12727">
        <v>7000</v>
      </c>
      <c r="R12727" t="s">
        <v>23</v>
      </c>
      <c r="S12727" s="1" t="s">
        <v>34218</v>
      </c>
    </row>
    <row r="12728" spans="1:19" x14ac:dyDescent="0.25">
      <c r="A12728">
        <v>101284679</v>
      </c>
      <c r="B12728" t="s">
        <v>10838</v>
      </c>
      <c r="C12728" t="s">
        <v>2127</v>
      </c>
      <c r="G12728" t="s">
        <v>27760</v>
      </c>
      <c r="H12728" t="s">
        <v>7857</v>
      </c>
      <c r="I12728" t="s">
        <v>148</v>
      </c>
      <c r="J12728" t="s">
        <v>27761</v>
      </c>
      <c r="K12728">
        <v>1871</v>
      </c>
      <c r="L12728" t="s">
        <v>23</v>
      </c>
      <c r="M12728" t="s">
        <v>27760</v>
      </c>
      <c r="N12728" t="s">
        <v>7857</v>
      </c>
      <c r="O12728" t="s">
        <v>148</v>
      </c>
      <c r="P12728" t="s">
        <v>27761</v>
      </c>
      <c r="Q12728">
        <v>1871</v>
      </c>
      <c r="R12728" t="s">
        <v>23</v>
      </c>
      <c r="S12728" s="1" t="s">
        <v>34218</v>
      </c>
    </row>
    <row r="12729" spans="1:19" x14ac:dyDescent="0.25">
      <c r="A12729">
        <v>100971310</v>
      </c>
      <c r="B12729" t="s">
        <v>27762</v>
      </c>
      <c r="C12729" t="s">
        <v>2892</v>
      </c>
      <c r="F12729" t="str">
        <f>"6269759737"</f>
        <v>6269759737</v>
      </c>
      <c r="G12729" t="s">
        <v>27763</v>
      </c>
      <c r="H12729" t="s">
        <v>11446</v>
      </c>
      <c r="I12729" t="s">
        <v>22</v>
      </c>
      <c r="J12729">
        <v>91722</v>
      </c>
      <c r="L12729" t="s">
        <v>23</v>
      </c>
      <c r="M12729" t="s">
        <v>27763</v>
      </c>
      <c r="N12729" t="s">
        <v>11446</v>
      </c>
      <c r="O12729" t="s">
        <v>22</v>
      </c>
      <c r="P12729">
        <v>91722</v>
      </c>
      <c r="R12729" t="s">
        <v>23</v>
      </c>
      <c r="S12729" s="1" t="s">
        <v>34218</v>
      </c>
    </row>
    <row r="12730" spans="1:19" x14ac:dyDescent="0.25">
      <c r="A12730">
        <v>101305038</v>
      </c>
      <c r="B12730" t="s">
        <v>27764</v>
      </c>
      <c r="C12730" t="s">
        <v>575</v>
      </c>
      <c r="G12730" t="s">
        <v>27765</v>
      </c>
      <c r="H12730" t="s">
        <v>9796</v>
      </c>
      <c r="I12730" t="s">
        <v>203</v>
      </c>
      <c r="J12730" t="s">
        <v>27766</v>
      </c>
      <c r="K12730">
        <v>7010</v>
      </c>
      <c r="L12730" t="s">
        <v>23</v>
      </c>
      <c r="M12730" t="s">
        <v>27765</v>
      </c>
      <c r="N12730" t="s">
        <v>9796</v>
      </c>
      <c r="O12730" t="s">
        <v>203</v>
      </c>
      <c r="P12730" t="s">
        <v>27766</v>
      </c>
      <c r="Q12730">
        <v>7010</v>
      </c>
      <c r="R12730" t="s">
        <v>23</v>
      </c>
      <c r="S12730" s="1" t="s">
        <v>34218</v>
      </c>
    </row>
    <row r="12731" spans="1:19" x14ac:dyDescent="0.25">
      <c r="A12731">
        <v>101421913</v>
      </c>
      <c r="B12731" t="s">
        <v>16120</v>
      </c>
      <c r="C12731" t="s">
        <v>2599</v>
      </c>
      <c r="G12731" t="s">
        <v>27767</v>
      </c>
      <c r="H12731" t="s">
        <v>264</v>
      </c>
      <c r="I12731" t="s">
        <v>117</v>
      </c>
      <c r="J12731" t="s">
        <v>27768</v>
      </c>
      <c r="K12731">
        <v>8721</v>
      </c>
      <c r="L12731" t="s">
        <v>23</v>
      </c>
      <c r="M12731" t="s">
        <v>27767</v>
      </c>
      <c r="N12731" t="s">
        <v>264</v>
      </c>
      <c r="O12731" t="s">
        <v>117</v>
      </c>
      <c r="P12731" t="s">
        <v>27768</v>
      </c>
      <c r="Q12731">
        <v>8721</v>
      </c>
      <c r="R12731" t="s">
        <v>23</v>
      </c>
      <c r="S12731" s="1" t="s">
        <v>34218</v>
      </c>
    </row>
    <row r="12732" spans="1:19" x14ac:dyDescent="0.25">
      <c r="A12732">
        <v>101343269</v>
      </c>
      <c r="B12732" t="s">
        <v>27769</v>
      </c>
      <c r="C12732" t="s">
        <v>30</v>
      </c>
      <c r="G12732" t="s">
        <v>27770</v>
      </c>
      <c r="H12732" t="s">
        <v>5190</v>
      </c>
      <c r="I12732" t="s">
        <v>255</v>
      </c>
      <c r="J12732" t="s">
        <v>27771</v>
      </c>
      <c r="K12732">
        <v>2116</v>
      </c>
      <c r="L12732" t="s">
        <v>23</v>
      </c>
      <c r="M12732" t="s">
        <v>27770</v>
      </c>
      <c r="N12732" t="s">
        <v>5190</v>
      </c>
      <c r="O12732" t="s">
        <v>255</v>
      </c>
      <c r="P12732" t="s">
        <v>27771</v>
      </c>
      <c r="Q12732">
        <v>2116</v>
      </c>
      <c r="R12732" t="s">
        <v>23</v>
      </c>
      <c r="S12732" s="1" t="s">
        <v>34218</v>
      </c>
    </row>
    <row r="12733" spans="1:19" x14ac:dyDescent="0.25">
      <c r="A12733">
        <v>101129737</v>
      </c>
      <c r="B12733" t="s">
        <v>8208</v>
      </c>
      <c r="C12733" t="s">
        <v>3670</v>
      </c>
      <c r="G12733" t="s">
        <v>27772</v>
      </c>
      <c r="H12733" t="s">
        <v>11092</v>
      </c>
      <c r="I12733" t="s">
        <v>984</v>
      </c>
      <c r="J12733" t="s">
        <v>27773</v>
      </c>
      <c r="K12733">
        <v>1944</v>
      </c>
      <c r="L12733" t="s">
        <v>23</v>
      </c>
      <c r="M12733" t="s">
        <v>27772</v>
      </c>
      <c r="N12733" t="s">
        <v>11092</v>
      </c>
      <c r="O12733" t="s">
        <v>984</v>
      </c>
      <c r="P12733" t="s">
        <v>27773</v>
      </c>
      <c r="Q12733">
        <v>1944</v>
      </c>
      <c r="R12733" t="s">
        <v>23</v>
      </c>
      <c r="S12733" s="1" t="s">
        <v>34218</v>
      </c>
    </row>
    <row r="12734" spans="1:19" x14ac:dyDescent="0.25">
      <c r="A12734">
        <v>100787186</v>
      </c>
      <c r="B12734" t="s">
        <v>11636</v>
      </c>
      <c r="C12734" t="s">
        <v>1422</v>
      </c>
      <c r="G12734" t="s">
        <v>27774</v>
      </c>
      <c r="H12734" t="s">
        <v>653</v>
      </c>
      <c r="I12734" t="s">
        <v>117</v>
      </c>
      <c r="J12734" t="s">
        <v>27775</v>
      </c>
      <c r="K12734">
        <v>6954</v>
      </c>
      <c r="L12734" t="s">
        <v>23</v>
      </c>
      <c r="M12734" t="s">
        <v>27774</v>
      </c>
      <c r="N12734" t="s">
        <v>653</v>
      </c>
      <c r="O12734" t="s">
        <v>117</v>
      </c>
      <c r="P12734" t="s">
        <v>27775</v>
      </c>
      <c r="Q12734">
        <v>6954</v>
      </c>
      <c r="R12734" t="s">
        <v>23</v>
      </c>
      <c r="S12734" s="1" t="s">
        <v>34218</v>
      </c>
    </row>
    <row r="12735" spans="1:19" x14ac:dyDescent="0.25">
      <c r="A12735">
        <v>101265239</v>
      </c>
      <c r="B12735" t="s">
        <v>27776</v>
      </c>
      <c r="C12735" t="s">
        <v>867</v>
      </c>
      <c r="G12735" t="s">
        <v>27777</v>
      </c>
      <c r="H12735" t="s">
        <v>96</v>
      </c>
      <c r="I12735" t="s">
        <v>236</v>
      </c>
      <c r="J12735" t="s">
        <v>27778</v>
      </c>
      <c r="K12735">
        <v>1482</v>
      </c>
      <c r="L12735" t="s">
        <v>23</v>
      </c>
      <c r="M12735" t="s">
        <v>27777</v>
      </c>
      <c r="N12735" t="s">
        <v>96</v>
      </c>
      <c r="O12735" t="s">
        <v>236</v>
      </c>
      <c r="P12735" t="s">
        <v>27778</v>
      </c>
      <c r="Q12735">
        <v>1482</v>
      </c>
      <c r="R12735" t="s">
        <v>23</v>
      </c>
      <c r="S12735" s="1" t="s">
        <v>34218</v>
      </c>
    </row>
    <row r="12736" spans="1:19" x14ac:dyDescent="0.25">
      <c r="A12736">
        <v>101422214</v>
      </c>
      <c r="B12736" t="s">
        <v>27779</v>
      </c>
      <c r="C12736" t="s">
        <v>4318</v>
      </c>
      <c r="G12736" t="s">
        <v>27780</v>
      </c>
      <c r="H12736" t="s">
        <v>2319</v>
      </c>
      <c r="I12736" t="s">
        <v>117</v>
      </c>
      <c r="J12736" t="s">
        <v>27781</v>
      </c>
      <c r="K12736">
        <v>3903</v>
      </c>
      <c r="L12736" t="s">
        <v>23</v>
      </c>
      <c r="M12736" t="s">
        <v>27780</v>
      </c>
      <c r="N12736" t="s">
        <v>2319</v>
      </c>
      <c r="O12736" t="s">
        <v>117</v>
      </c>
      <c r="P12736" t="s">
        <v>27781</v>
      </c>
      <c r="Q12736">
        <v>3903</v>
      </c>
      <c r="R12736" t="s">
        <v>23</v>
      </c>
      <c r="S12736" s="1" t="s">
        <v>34218</v>
      </c>
    </row>
    <row r="12737" spans="1:19" x14ac:dyDescent="0.25">
      <c r="A12737">
        <v>101150370</v>
      </c>
      <c r="B12737" t="s">
        <v>27782</v>
      </c>
      <c r="C12737" t="s">
        <v>309</v>
      </c>
      <c r="G12737" t="s">
        <v>27783</v>
      </c>
      <c r="H12737" t="s">
        <v>227</v>
      </c>
      <c r="I12737" t="s">
        <v>43</v>
      </c>
      <c r="J12737" t="s">
        <v>27784</v>
      </c>
      <c r="K12737">
        <v>6383</v>
      </c>
      <c r="L12737" t="s">
        <v>23</v>
      </c>
      <c r="M12737" t="s">
        <v>27783</v>
      </c>
      <c r="N12737" t="s">
        <v>227</v>
      </c>
      <c r="O12737" t="s">
        <v>43</v>
      </c>
      <c r="P12737" t="s">
        <v>27784</v>
      </c>
      <c r="Q12737">
        <v>6383</v>
      </c>
      <c r="R12737" t="s">
        <v>23</v>
      </c>
      <c r="S12737" s="1" t="s">
        <v>34218</v>
      </c>
    </row>
    <row r="12738" spans="1:19" x14ac:dyDescent="0.25">
      <c r="A12738">
        <v>101240452</v>
      </c>
      <c r="B12738" t="s">
        <v>27785</v>
      </c>
      <c r="C12738" t="s">
        <v>1069</v>
      </c>
      <c r="G12738" t="s">
        <v>27786</v>
      </c>
      <c r="H12738" t="s">
        <v>4429</v>
      </c>
      <c r="I12738" t="s">
        <v>38</v>
      </c>
      <c r="J12738" t="s">
        <v>27787</v>
      </c>
      <c r="K12738">
        <v>5071</v>
      </c>
      <c r="L12738" t="s">
        <v>23</v>
      </c>
      <c r="M12738" t="s">
        <v>27786</v>
      </c>
      <c r="N12738" t="s">
        <v>4429</v>
      </c>
      <c r="O12738" t="s">
        <v>38</v>
      </c>
      <c r="P12738" t="s">
        <v>27787</v>
      </c>
      <c r="Q12738">
        <v>5071</v>
      </c>
      <c r="R12738" t="s">
        <v>23</v>
      </c>
      <c r="S12738" s="1" t="s">
        <v>34218</v>
      </c>
    </row>
    <row r="12739" spans="1:19" x14ac:dyDescent="0.25">
      <c r="A12739">
        <v>101410746</v>
      </c>
      <c r="B12739" t="s">
        <v>27788</v>
      </c>
      <c r="C12739" t="s">
        <v>3113</v>
      </c>
      <c r="G12739" t="s">
        <v>27789</v>
      </c>
      <c r="H12739" t="s">
        <v>2923</v>
      </c>
      <c r="I12739" t="s">
        <v>22</v>
      </c>
      <c r="J12739" t="s">
        <v>27790</v>
      </c>
      <c r="K12739">
        <v>2447</v>
      </c>
      <c r="L12739" t="s">
        <v>23</v>
      </c>
      <c r="M12739" t="s">
        <v>27789</v>
      </c>
      <c r="N12739" t="s">
        <v>2923</v>
      </c>
      <c r="O12739" t="s">
        <v>22</v>
      </c>
      <c r="P12739" t="s">
        <v>27790</v>
      </c>
      <c r="Q12739">
        <v>2447</v>
      </c>
      <c r="R12739" t="s">
        <v>23</v>
      </c>
      <c r="S12739" s="1" t="s">
        <v>34218</v>
      </c>
    </row>
    <row r="12740" spans="1:19" x14ac:dyDescent="0.25">
      <c r="A12740">
        <v>101262108</v>
      </c>
      <c r="B12740" t="s">
        <v>27791</v>
      </c>
      <c r="C12740" t="s">
        <v>274</v>
      </c>
      <c r="G12740" t="s">
        <v>27792</v>
      </c>
      <c r="H12740" t="s">
        <v>2894</v>
      </c>
      <c r="I12740" t="s">
        <v>178</v>
      </c>
      <c r="J12740" t="s">
        <v>27793</v>
      </c>
      <c r="K12740">
        <v>1435</v>
      </c>
      <c r="L12740" t="s">
        <v>23</v>
      </c>
      <c r="M12740" t="s">
        <v>27792</v>
      </c>
      <c r="N12740" t="s">
        <v>2894</v>
      </c>
      <c r="O12740" t="s">
        <v>178</v>
      </c>
      <c r="P12740" t="s">
        <v>27793</v>
      </c>
      <c r="Q12740">
        <v>1435</v>
      </c>
      <c r="R12740" t="s">
        <v>23</v>
      </c>
      <c r="S12740" s="1" t="s">
        <v>34218</v>
      </c>
    </row>
    <row r="12741" spans="1:19" x14ac:dyDescent="0.25">
      <c r="A12741">
        <v>101184082</v>
      </c>
      <c r="B12741" t="s">
        <v>27794</v>
      </c>
      <c r="C12741" t="s">
        <v>1327</v>
      </c>
      <c r="F12741" t="str">
        <f>"8189141437"</f>
        <v>8189141437</v>
      </c>
      <c r="G12741" t="s">
        <v>27795</v>
      </c>
      <c r="H12741" t="s">
        <v>3561</v>
      </c>
      <c r="I12741" t="s">
        <v>22</v>
      </c>
      <c r="J12741" t="s">
        <v>27796</v>
      </c>
      <c r="K12741">
        <v>2906</v>
      </c>
      <c r="L12741" t="s">
        <v>23</v>
      </c>
      <c r="M12741" t="s">
        <v>27795</v>
      </c>
      <c r="N12741" t="s">
        <v>3561</v>
      </c>
      <c r="O12741" t="s">
        <v>22</v>
      </c>
      <c r="P12741" t="s">
        <v>27796</v>
      </c>
      <c r="Q12741">
        <v>2906</v>
      </c>
      <c r="R12741" t="s">
        <v>23</v>
      </c>
      <c r="S12741" s="1" t="s">
        <v>34218</v>
      </c>
    </row>
    <row r="12742" spans="1:19" x14ac:dyDescent="0.25">
      <c r="A12742">
        <v>101277977</v>
      </c>
      <c r="B12742" t="s">
        <v>27797</v>
      </c>
      <c r="C12742" t="s">
        <v>2343</v>
      </c>
      <c r="G12742" t="s">
        <v>27798</v>
      </c>
      <c r="H12742" t="s">
        <v>7686</v>
      </c>
      <c r="I12742" t="s">
        <v>140</v>
      </c>
      <c r="J12742" t="s">
        <v>27799</v>
      </c>
      <c r="K12742">
        <v>468</v>
      </c>
      <c r="L12742" t="s">
        <v>23</v>
      </c>
      <c r="M12742" t="s">
        <v>27798</v>
      </c>
      <c r="N12742" t="s">
        <v>7686</v>
      </c>
      <c r="O12742" t="s">
        <v>140</v>
      </c>
      <c r="P12742" t="s">
        <v>27799</v>
      </c>
      <c r="Q12742">
        <v>468</v>
      </c>
      <c r="R12742" t="s">
        <v>23</v>
      </c>
      <c r="S12742" s="1" t="s">
        <v>34218</v>
      </c>
    </row>
    <row r="12743" spans="1:19" x14ac:dyDescent="0.25">
      <c r="A12743">
        <v>101092002</v>
      </c>
      <c r="B12743" t="s">
        <v>15216</v>
      </c>
      <c r="C12743" t="s">
        <v>102</v>
      </c>
      <c r="G12743" t="s">
        <v>27800</v>
      </c>
      <c r="H12743" t="s">
        <v>10366</v>
      </c>
      <c r="I12743" t="s">
        <v>255</v>
      </c>
      <c r="J12743" t="s">
        <v>27801</v>
      </c>
      <c r="K12743">
        <v>2517</v>
      </c>
      <c r="L12743" t="s">
        <v>23</v>
      </c>
      <c r="M12743" t="s">
        <v>27800</v>
      </c>
      <c r="N12743" t="s">
        <v>10366</v>
      </c>
      <c r="O12743" t="s">
        <v>255</v>
      </c>
      <c r="P12743" t="s">
        <v>27801</v>
      </c>
      <c r="Q12743">
        <v>2517</v>
      </c>
      <c r="R12743" t="s">
        <v>23</v>
      </c>
      <c r="S12743" s="1" t="s">
        <v>34218</v>
      </c>
    </row>
    <row r="12744" spans="1:19" x14ac:dyDescent="0.25">
      <c r="A12744">
        <v>101055981</v>
      </c>
      <c r="B12744" t="s">
        <v>3438</v>
      </c>
      <c r="C12744" t="s">
        <v>2417</v>
      </c>
      <c r="F12744" t="str">
        <f>"5555555555"</f>
        <v>5555555555</v>
      </c>
      <c r="G12744" t="s">
        <v>27802</v>
      </c>
      <c r="H12744" t="s">
        <v>27803</v>
      </c>
      <c r="I12744" t="s">
        <v>187</v>
      </c>
      <c r="J12744" t="s">
        <v>27804</v>
      </c>
      <c r="K12744">
        <v>8842</v>
      </c>
      <c r="L12744" t="s">
        <v>23</v>
      </c>
      <c r="M12744" t="s">
        <v>27802</v>
      </c>
      <c r="N12744" t="s">
        <v>27803</v>
      </c>
      <c r="O12744" t="s">
        <v>187</v>
      </c>
      <c r="P12744" t="s">
        <v>27804</v>
      </c>
      <c r="Q12744">
        <v>8842</v>
      </c>
      <c r="R12744" t="s">
        <v>23</v>
      </c>
      <c r="S12744" s="1" t="s">
        <v>34218</v>
      </c>
    </row>
    <row r="12745" spans="1:19" x14ac:dyDescent="0.25">
      <c r="A12745">
        <v>101480736</v>
      </c>
      <c r="B12745" t="s">
        <v>2287</v>
      </c>
      <c r="C12745" t="s">
        <v>1859</v>
      </c>
      <c r="G12745" t="s">
        <v>27805</v>
      </c>
      <c r="H12745" t="s">
        <v>2784</v>
      </c>
      <c r="I12745" t="s">
        <v>140</v>
      </c>
      <c r="J12745">
        <v>48084</v>
      </c>
      <c r="L12745" t="s">
        <v>23</v>
      </c>
      <c r="M12745" t="s">
        <v>27805</v>
      </c>
      <c r="N12745" t="s">
        <v>2784</v>
      </c>
      <c r="O12745" t="s">
        <v>140</v>
      </c>
      <c r="P12745">
        <v>48084</v>
      </c>
      <c r="R12745" t="s">
        <v>23</v>
      </c>
      <c r="S12745" s="1" t="s">
        <v>34218</v>
      </c>
    </row>
    <row r="12746" spans="1:19" x14ac:dyDescent="0.25">
      <c r="A12746">
        <v>100788191</v>
      </c>
      <c r="B12746" t="s">
        <v>27806</v>
      </c>
      <c r="C12746" t="s">
        <v>123</v>
      </c>
      <c r="G12746" t="s">
        <v>27807</v>
      </c>
      <c r="H12746" t="s">
        <v>1293</v>
      </c>
      <c r="I12746" t="s">
        <v>22</v>
      </c>
      <c r="J12746">
        <v>95062</v>
      </c>
      <c r="K12746">
        <v>2720</v>
      </c>
      <c r="L12746" t="s">
        <v>23</v>
      </c>
      <c r="M12746" t="s">
        <v>27807</v>
      </c>
      <c r="N12746" t="s">
        <v>1293</v>
      </c>
      <c r="O12746" t="s">
        <v>22</v>
      </c>
      <c r="P12746">
        <v>95062</v>
      </c>
      <c r="Q12746">
        <v>2720</v>
      </c>
      <c r="R12746" t="s">
        <v>23</v>
      </c>
      <c r="S12746" s="1" t="s">
        <v>34218</v>
      </c>
    </row>
    <row r="12747" spans="1:19" x14ac:dyDescent="0.25">
      <c r="A12747">
        <v>101290518</v>
      </c>
      <c r="B12747" t="s">
        <v>25369</v>
      </c>
      <c r="C12747" t="s">
        <v>12498</v>
      </c>
      <c r="G12747" t="s">
        <v>27808</v>
      </c>
      <c r="H12747" t="s">
        <v>10113</v>
      </c>
      <c r="I12747" t="s">
        <v>353</v>
      </c>
      <c r="J12747" t="s">
        <v>27809</v>
      </c>
      <c r="K12747">
        <v>5943</v>
      </c>
      <c r="L12747" t="s">
        <v>23</v>
      </c>
      <c r="M12747" t="s">
        <v>27808</v>
      </c>
      <c r="N12747" t="s">
        <v>10113</v>
      </c>
      <c r="O12747" t="s">
        <v>353</v>
      </c>
      <c r="P12747" t="s">
        <v>27809</v>
      </c>
      <c r="Q12747">
        <v>5943</v>
      </c>
      <c r="R12747" t="s">
        <v>23</v>
      </c>
      <c r="S12747" s="1" t="s">
        <v>34218</v>
      </c>
    </row>
    <row r="12748" spans="1:19" x14ac:dyDescent="0.25">
      <c r="A12748">
        <v>100781154</v>
      </c>
      <c r="B12748" t="s">
        <v>27810</v>
      </c>
      <c r="C12748" t="s">
        <v>27811</v>
      </c>
      <c r="G12748" t="s">
        <v>27812</v>
      </c>
      <c r="H12748" t="s">
        <v>7813</v>
      </c>
      <c r="I12748" t="s">
        <v>307</v>
      </c>
      <c r="J12748" t="s">
        <v>27813</v>
      </c>
      <c r="K12748">
        <v>4460</v>
      </c>
      <c r="L12748" t="s">
        <v>23</v>
      </c>
      <c r="M12748" t="s">
        <v>27812</v>
      </c>
      <c r="N12748" t="s">
        <v>7813</v>
      </c>
      <c r="O12748" t="s">
        <v>307</v>
      </c>
      <c r="P12748" t="s">
        <v>27813</v>
      </c>
      <c r="Q12748">
        <v>4460</v>
      </c>
      <c r="R12748" t="s">
        <v>23</v>
      </c>
      <c r="S12748" s="1" t="s">
        <v>34218</v>
      </c>
    </row>
    <row r="12749" spans="1:19" x14ac:dyDescent="0.25">
      <c r="A12749">
        <v>101293306</v>
      </c>
      <c r="B12749" t="s">
        <v>27814</v>
      </c>
      <c r="C12749" t="s">
        <v>1327</v>
      </c>
      <c r="G12749" t="s">
        <v>27815</v>
      </c>
      <c r="H12749" t="s">
        <v>11499</v>
      </c>
      <c r="I12749" t="s">
        <v>140</v>
      </c>
      <c r="J12749" t="s">
        <v>27816</v>
      </c>
      <c r="K12749">
        <v>9614</v>
      </c>
      <c r="L12749" t="s">
        <v>23</v>
      </c>
      <c r="M12749" t="s">
        <v>27815</v>
      </c>
      <c r="N12749" t="s">
        <v>11499</v>
      </c>
      <c r="O12749" t="s">
        <v>140</v>
      </c>
      <c r="P12749" t="s">
        <v>27816</v>
      </c>
      <c r="Q12749">
        <v>9614</v>
      </c>
      <c r="R12749" t="s">
        <v>23</v>
      </c>
      <c r="S12749" s="1" t="s">
        <v>34218</v>
      </c>
    </row>
    <row r="12750" spans="1:19" x14ac:dyDescent="0.25">
      <c r="A12750">
        <v>101421607</v>
      </c>
      <c r="B12750" t="s">
        <v>17524</v>
      </c>
      <c r="C12750" t="s">
        <v>11272</v>
      </c>
      <c r="G12750" t="s">
        <v>27817</v>
      </c>
      <c r="H12750" t="s">
        <v>705</v>
      </c>
      <c r="I12750" t="s">
        <v>22</v>
      </c>
      <c r="J12750" t="s">
        <v>27818</v>
      </c>
      <c r="K12750">
        <v>1603</v>
      </c>
      <c r="L12750" t="s">
        <v>23</v>
      </c>
      <c r="M12750" t="s">
        <v>27817</v>
      </c>
      <c r="N12750" t="s">
        <v>705</v>
      </c>
      <c r="O12750" t="s">
        <v>22</v>
      </c>
      <c r="P12750" t="s">
        <v>27818</v>
      </c>
      <c r="Q12750">
        <v>1603</v>
      </c>
      <c r="R12750" t="s">
        <v>23</v>
      </c>
      <c r="S12750" s="1" t="s">
        <v>34218</v>
      </c>
    </row>
    <row r="12751" spans="1:19" x14ac:dyDescent="0.25">
      <c r="A12751">
        <v>101217527</v>
      </c>
      <c r="B12751" t="s">
        <v>27819</v>
      </c>
      <c r="C12751" t="s">
        <v>274</v>
      </c>
      <c r="G12751" t="s">
        <v>27820</v>
      </c>
      <c r="H12751" t="s">
        <v>1052</v>
      </c>
      <c r="I12751" t="s">
        <v>22</v>
      </c>
      <c r="J12751" t="s">
        <v>27821</v>
      </c>
      <c r="K12751">
        <v>2013</v>
      </c>
      <c r="L12751" t="s">
        <v>23</v>
      </c>
      <c r="M12751" t="s">
        <v>27820</v>
      </c>
      <c r="N12751" t="s">
        <v>1052</v>
      </c>
      <c r="O12751" t="s">
        <v>22</v>
      </c>
      <c r="P12751" t="s">
        <v>27821</v>
      </c>
      <c r="Q12751">
        <v>2013</v>
      </c>
      <c r="R12751" t="s">
        <v>23</v>
      </c>
      <c r="S12751" s="1" t="s">
        <v>34218</v>
      </c>
    </row>
    <row r="12752" spans="1:19" x14ac:dyDescent="0.25">
      <c r="A12752">
        <v>101239601</v>
      </c>
      <c r="B12752" t="s">
        <v>16150</v>
      </c>
      <c r="C12752" t="s">
        <v>1616</v>
      </c>
      <c r="G12752" t="s">
        <v>27822</v>
      </c>
      <c r="H12752" t="s">
        <v>2175</v>
      </c>
      <c r="I12752" t="s">
        <v>52</v>
      </c>
      <c r="J12752" t="s">
        <v>27823</v>
      </c>
      <c r="K12752">
        <v>9301</v>
      </c>
      <c r="L12752" t="s">
        <v>23</v>
      </c>
      <c r="M12752" t="s">
        <v>27822</v>
      </c>
      <c r="N12752" t="s">
        <v>2175</v>
      </c>
      <c r="O12752" t="s">
        <v>52</v>
      </c>
      <c r="P12752" t="s">
        <v>27823</v>
      </c>
      <c r="Q12752">
        <v>9301</v>
      </c>
      <c r="R12752" t="s">
        <v>23</v>
      </c>
      <c r="S12752" s="1" t="s">
        <v>34218</v>
      </c>
    </row>
    <row r="12753" spans="1:19" x14ac:dyDescent="0.25">
      <c r="A12753">
        <v>101277332</v>
      </c>
      <c r="B12753" t="s">
        <v>744</v>
      </c>
      <c r="C12753" t="s">
        <v>7058</v>
      </c>
      <c r="G12753" t="s">
        <v>27824</v>
      </c>
      <c r="H12753" t="s">
        <v>37</v>
      </c>
      <c r="I12753" t="s">
        <v>38</v>
      </c>
      <c r="J12753" t="s">
        <v>27825</v>
      </c>
      <c r="K12753">
        <v>1657</v>
      </c>
      <c r="L12753" t="s">
        <v>23</v>
      </c>
      <c r="M12753" t="s">
        <v>27824</v>
      </c>
      <c r="N12753" t="s">
        <v>37</v>
      </c>
      <c r="O12753" t="s">
        <v>38</v>
      </c>
      <c r="P12753" t="s">
        <v>27825</v>
      </c>
      <c r="Q12753">
        <v>1657</v>
      </c>
      <c r="R12753" t="s">
        <v>23</v>
      </c>
      <c r="S12753" s="1" t="s">
        <v>34218</v>
      </c>
    </row>
    <row r="12754" spans="1:19" x14ac:dyDescent="0.25">
      <c r="A12754">
        <v>101226151</v>
      </c>
      <c r="B12754" t="s">
        <v>27826</v>
      </c>
      <c r="C12754" t="s">
        <v>81</v>
      </c>
      <c r="G12754" t="s">
        <v>27827</v>
      </c>
      <c r="H12754" t="s">
        <v>198</v>
      </c>
      <c r="I12754" t="s">
        <v>22</v>
      </c>
      <c r="J12754" t="s">
        <v>27828</v>
      </c>
      <c r="K12754">
        <v>7829</v>
      </c>
      <c r="L12754" t="s">
        <v>23</v>
      </c>
      <c r="M12754" t="s">
        <v>27827</v>
      </c>
      <c r="N12754" t="s">
        <v>198</v>
      </c>
      <c r="O12754" t="s">
        <v>22</v>
      </c>
      <c r="P12754" t="s">
        <v>27828</v>
      </c>
      <c r="Q12754">
        <v>7829</v>
      </c>
      <c r="R12754" t="s">
        <v>23</v>
      </c>
      <c r="S12754" s="1" t="s">
        <v>34218</v>
      </c>
    </row>
    <row r="12755" spans="1:19" x14ac:dyDescent="0.25">
      <c r="A12755">
        <v>101269630</v>
      </c>
      <c r="B12755" t="s">
        <v>27829</v>
      </c>
      <c r="C12755" t="s">
        <v>7626</v>
      </c>
      <c r="G12755" t="s">
        <v>27830</v>
      </c>
      <c r="H12755" t="s">
        <v>9843</v>
      </c>
      <c r="I12755" t="s">
        <v>236</v>
      </c>
      <c r="J12755" t="s">
        <v>27831</v>
      </c>
      <c r="K12755">
        <v>3353</v>
      </c>
      <c r="L12755" t="s">
        <v>23</v>
      </c>
      <c r="M12755" t="s">
        <v>27830</v>
      </c>
      <c r="N12755" t="s">
        <v>9843</v>
      </c>
      <c r="O12755" t="s">
        <v>236</v>
      </c>
      <c r="P12755" t="s">
        <v>27831</v>
      </c>
      <c r="Q12755">
        <v>3353</v>
      </c>
      <c r="R12755" t="s">
        <v>23</v>
      </c>
      <c r="S12755" s="1" t="s">
        <v>34218</v>
      </c>
    </row>
    <row r="12756" spans="1:19" x14ac:dyDescent="0.25">
      <c r="A12756">
        <v>101288560</v>
      </c>
      <c r="B12756" t="s">
        <v>24935</v>
      </c>
      <c r="C12756" t="s">
        <v>4587</v>
      </c>
      <c r="G12756" t="s">
        <v>27832</v>
      </c>
      <c r="H12756" t="s">
        <v>2640</v>
      </c>
      <c r="I12756" t="s">
        <v>52</v>
      </c>
      <c r="J12756" t="s">
        <v>27833</v>
      </c>
      <c r="K12756">
        <v>4633</v>
      </c>
      <c r="L12756" t="s">
        <v>23</v>
      </c>
      <c r="M12756" t="s">
        <v>27832</v>
      </c>
      <c r="N12756" t="s">
        <v>2640</v>
      </c>
      <c r="O12756" t="s">
        <v>52</v>
      </c>
      <c r="P12756" t="s">
        <v>27833</v>
      </c>
      <c r="Q12756">
        <v>4633</v>
      </c>
      <c r="R12756" t="s">
        <v>23</v>
      </c>
      <c r="S12756" s="1" t="s">
        <v>34218</v>
      </c>
    </row>
    <row r="12757" spans="1:19" x14ac:dyDescent="0.25">
      <c r="A12757">
        <v>101284296</v>
      </c>
      <c r="B12757" t="s">
        <v>11936</v>
      </c>
      <c r="C12757" t="s">
        <v>12345</v>
      </c>
      <c r="G12757" t="s">
        <v>27834</v>
      </c>
      <c r="H12757" t="s">
        <v>1439</v>
      </c>
      <c r="I12757" t="s">
        <v>365</v>
      </c>
      <c r="J12757" t="s">
        <v>27835</v>
      </c>
      <c r="K12757">
        <v>839</v>
      </c>
      <c r="L12757" t="s">
        <v>23</v>
      </c>
      <c r="M12757" t="s">
        <v>27834</v>
      </c>
      <c r="N12757" t="s">
        <v>1439</v>
      </c>
      <c r="O12757" t="s">
        <v>365</v>
      </c>
      <c r="P12757" t="s">
        <v>27835</v>
      </c>
      <c r="Q12757">
        <v>839</v>
      </c>
      <c r="R12757" t="s">
        <v>23</v>
      </c>
      <c r="S12757" s="1" t="s">
        <v>34218</v>
      </c>
    </row>
    <row r="12758" spans="1:19" x14ac:dyDescent="0.25">
      <c r="A12758">
        <v>101131689</v>
      </c>
      <c r="B12758" t="s">
        <v>2802</v>
      </c>
      <c r="C12758" t="s">
        <v>1588</v>
      </c>
      <c r="F12758" t="str">
        <f>"8307923631"</f>
        <v>8307923631</v>
      </c>
      <c r="G12758" t="s">
        <v>27836</v>
      </c>
      <c r="H12758" t="s">
        <v>5395</v>
      </c>
      <c r="I12758" t="s">
        <v>38</v>
      </c>
      <c r="J12758" t="s">
        <v>27837</v>
      </c>
      <c r="K12758">
        <v>8274</v>
      </c>
      <c r="L12758" t="s">
        <v>23</v>
      </c>
      <c r="M12758" t="s">
        <v>27836</v>
      </c>
      <c r="N12758" t="s">
        <v>5395</v>
      </c>
      <c r="O12758" t="s">
        <v>38</v>
      </c>
      <c r="P12758" t="s">
        <v>27837</v>
      </c>
      <c r="Q12758">
        <v>8274</v>
      </c>
      <c r="R12758" t="s">
        <v>23</v>
      </c>
      <c r="S12758" s="1" t="s">
        <v>34218</v>
      </c>
    </row>
    <row r="12759" spans="1:19" x14ac:dyDescent="0.25">
      <c r="A12759">
        <v>101287207</v>
      </c>
      <c r="B12759" t="s">
        <v>985</v>
      </c>
      <c r="C12759" t="s">
        <v>1463</v>
      </c>
      <c r="G12759" t="s">
        <v>27838</v>
      </c>
      <c r="H12759" t="s">
        <v>6668</v>
      </c>
      <c r="I12759" t="s">
        <v>140</v>
      </c>
      <c r="J12759" t="s">
        <v>27839</v>
      </c>
      <c r="K12759">
        <v>4063</v>
      </c>
      <c r="L12759" t="s">
        <v>23</v>
      </c>
      <c r="M12759" t="s">
        <v>27838</v>
      </c>
      <c r="N12759" t="s">
        <v>6668</v>
      </c>
      <c r="O12759" t="s">
        <v>140</v>
      </c>
      <c r="P12759" t="s">
        <v>27839</v>
      </c>
      <c r="Q12759">
        <v>4063</v>
      </c>
      <c r="R12759" t="s">
        <v>23</v>
      </c>
      <c r="S12759" s="1" t="s">
        <v>34218</v>
      </c>
    </row>
    <row r="12760" spans="1:19" x14ac:dyDescent="0.25">
      <c r="A12760">
        <v>101277891</v>
      </c>
      <c r="B12760" t="s">
        <v>27840</v>
      </c>
      <c r="C12760" t="s">
        <v>1107</v>
      </c>
      <c r="G12760" t="s">
        <v>27841</v>
      </c>
      <c r="H12760" t="s">
        <v>4344</v>
      </c>
      <c r="I12760" t="s">
        <v>100</v>
      </c>
      <c r="J12760" t="s">
        <v>27842</v>
      </c>
      <c r="K12760">
        <v>9200</v>
      </c>
      <c r="L12760" t="s">
        <v>23</v>
      </c>
      <c r="M12760" t="s">
        <v>27841</v>
      </c>
      <c r="N12760" t="s">
        <v>4344</v>
      </c>
      <c r="O12760" t="s">
        <v>100</v>
      </c>
      <c r="P12760" t="s">
        <v>27842</v>
      </c>
      <c r="Q12760">
        <v>9200</v>
      </c>
      <c r="R12760" t="s">
        <v>23</v>
      </c>
      <c r="S12760" s="1" t="s">
        <v>34218</v>
      </c>
    </row>
    <row r="12761" spans="1:19" x14ac:dyDescent="0.25">
      <c r="A12761">
        <v>101217920</v>
      </c>
      <c r="B12761" t="s">
        <v>27843</v>
      </c>
      <c r="C12761" t="s">
        <v>30</v>
      </c>
      <c r="G12761" t="s">
        <v>27844</v>
      </c>
      <c r="H12761" t="s">
        <v>4510</v>
      </c>
      <c r="I12761" t="s">
        <v>84</v>
      </c>
      <c r="J12761" t="s">
        <v>27845</v>
      </c>
      <c r="K12761">
        <v>2546</v>
      </c>
      <c r="L12761" t="s">
        <v>23</v>
      </c>
      <c r="M12761" t="s">
        <v>27844</v>
      </c>
      <c r="N12761" t="s">
        <v>4510</v>
      </c>
      <c r="O12761" t="s">
        <v>84</v>
      </c>
      <c r="P12761" t="s">
        <v>27845</v>
      </c>
      <c r="Q12761">
        <v>2546</v>
      </c>
      <c r="R12761" t="s">
        <v>23</v>
      </c>
      <c r="S12761" s="1" t="s">
        <v>34218</v>
      </c>
    </row>
    <row r="12762" spans="1:19" x14ac:dyDescent="0.25">
      <c r="A12762">
        <v>101305083</v>
      </c>
      <c r="B12762" t="s">
        <v>27846</v>
      </c>
      <c r="C12762" t="s">
        <v>959</v>
      </c>
      <c r="G12762" t="s">
        <v>27847</v>
      </c>
      <c r="H12762" t="s">
        <v>2562</v>
      </c>
      <c r="I12762" t="s">
        <v>52</v>
      </c>
      <c r="J12762" t="s">
        <v>27848</v>
      </c>
      <c r="K12762">
        <v>2344</v>
      </c>
      <c r="L12762" t="s">
        <v>23</v>
      </c>
      <c r="M12762" t="s">
        <v>27847</v>
      </c>
      <c r="N12762" t="s">
        <v>2562</v>
      </c>
      <c r="O12762" t="s">
        <v>52</v>
      </c>
      <c r="P12762" t="s">
        <v>27848</v>
      </c>
      <c r="Q12762">
        <v>2344</v>
      </c>
      <c r="R12762" t="s">
        <v>23</v>
      </c>
      <c r="S12762" s="1" t="s">
        <v>34218</v>
      </c>
    </row>
    <row r="12763" spans="1:19" x14ac:dyDescent="0.25">
      <c r="A12763">
        <v>101394690</v>
      </c>
      <c r="B12763" t="s">
        <v>21043</v>
      </c>
      <c r="C12763" t="s">
        <v>403</v>
      </c>
      <c r="G12763" t="s">
        <v>27849</v>
      </c>
      <c r="H12763" t="s">
        <v>4890</v>
      </c>
      <c r="I12763" t="s">
        <v>57</v>
      </c>
      <c r="J12763" t="s">
        <v>27850</v>
      </c>
      <c r="K12763">
        <v>4000</v>
      </c>
      <c r="L12763" t="s">
        <v>23</v>
      </c>
      <c r="M12763" t="s">
        <v>27849</v>
      </c>
      <c r="N12763" t="s">
        <v>4890</v>
      </c>
      <c r="O12763" t="s">
        <v>57</v>
      </c>
      <c r="P12763" t="s">
        <v>27850</v>
      </c>
      <c r="Q12763">
        <v>4000</v>
      </c>
      <c r="R12763" t="s">
        <v>23</v>
      </c>
      <c r="S12763" s="1" t="s">
        <v>34218</v>
      </c>
    </row>
    <row r="12764" spans="1:19" x14ac:dyDescent="0.25">
      <c r="A12764">
        <v>101408472</v>
      </c>
      <c r="B12764" t="s">
        <v>27851</v>
      </c>
      <c r="C12764" t="s">
        <v>641</v>
      </c>
      <c r="G12764" t="s">
        <v>27852</v>
      </c>
      <c r="H12764" t="s">
        <v>2536</v>
      </c>
      <c r="I12764" t="s">
        <v>2537</v>
      </c>
      <c r="J12764">
        <v>71901</v>
      </c>
      <c r="K12764">
        <v>4816</v>
      </c>
      <c r="L12764" t="s">
        <v>23</v>
      </c>
      <c r="M12764" t="s">
        <v>27852</v>
      </c>
      <c r="N12764" t="s">
        <v>2536</v>
      </c>
      <c r="O12764" t="s">
        <v>2537</v>
      </c>
      <c r="P12764">
        <v>71901</v>
      </c>
      <c r="Q12764">
        <v>4816</v>
      </c>
      <c r="R12764" t="s">
        <v>23</v>
      </c>
      <c r="S12764" s="1" t="s">
        <v>34218</v>
      </c>
    </row>
    <row r="12765" spans="1:19" x14ac:dyDescent="0.25">
      <c r="A12765">
        <v>101418748</v>
      </c>
      <c r="B12765" t="s">
        <v>27853</v>
      </c>
      <c r="C12765" t="s">
        <v>27854</v>
      </c>
      <c r="G12765" t="s">
        <v>27855</v>
      </c>
      <c r="H12765" t="s">
        <v>14608</v>
      </c>
      <c r="I12765" t="s">
        <v>22</v>
      </c>
      <c r="J12765" t="s">
        <v>27856</v>
      </c>
      <c r="K12765">
        <v>7637</v>
      </c>
      <c r="L12765" t="s">
        <v>23</v>
      </c>
      <c r="M12765" t="s">
        <v>27855</v>
      </c>
      <c r="N12765" t="s">
        <v>14608</v>
      </c>
      <c r="O12765" t="s">
        <v>22</v>
      </c>
      <c r="P12765" t="s">
        <v>27856</v>
      </c>
      <c r="Q12765">
        <v>7637</v>
      </c>
      <c r="R12765" t="s">
        <v>23</v>
      </c>
      <c r="S12765" s="1" t="s">
        <v>34218</v>
      </c>
    </row>
    <row r="12766" spans="1:19" x14ac:dyDescent="0.25">
      <c r="A12766">
        <v>101306748</v>
      </c>
      <c r="B12766" t="s">
        <v>27857</v>
      </c>
      <c r="C12766" t="s">
        <v>1205</v>
      </c>
      <c r="G12766" t="s">
        <v>27858</v>
      </c>
      <c r="H12766" t="s">
        <v>2378</v>
      </c>
      <c r="I12766" t="s">
        <v>126</v>
      </c>
      <c r="J12766" t="s">
        <v>27859</v>
      </c>
      <c r="K12766">
        <v>1858</v>
      </c>
      <c r="L12766" t="s">
        <v>23</v>
      </c>
      <c r="M12766" t="s">
        <v>27858</v>
      </c>
      <c r="N12766" t="s">
        <v>2378</v>
      </c>
      <c r="O12766" t="s">
        <v>126</v>
      </c>
      <c r="P12766" t="s">
        <v>27859</v>
      </c>
      <c r="Q12766">
        <v>1858</v>
      </c>
      <c r="R12766" t="s">
        <v>23</v>
      </c>
      <c r="S12766" s="1" t="s">
        <v>34218</v>
      </c>
    </row>
    <row r="12767" spans="1:19" x14ac:dyDescent="0.25">
      <c r="A12767">
        <v>101480622</v>
      </c>
      <c r="B12767" t="s">
        <v>276</v>
      </c>
      <c r="C12767" t="s">
        <v>428</v>
      </c>
      <c r="G12767" t="s">
        <v>27860</v>
      </c>
      <c r="H12767" t="s">
        <v>22083</v>
      </c>
      <c r="I12767" t="s">
        <v>236</v>
      </c>
      <c r="J12767">
        <v>1020</v>
      </c>
      <c r="K12767">
        <v>2709</v>
      </c>
      <c r="L12767" t="s">
        <v>23</v>
      </c>
      <c r="M12767" t="s">
        <v>27860</v>
      </c>
      <c r="N12767" t="s">
        <v>22083</v>
      </c>
      <c r="O12767" t="s">
        <v>236</v>
      </c>
      <c r="P12767">
        <v>1020</v>
      </c>
      <c r="Q12767">
        <v>2709</v>
      </c>
      <c r="R12767" t="s">
        <v>23</v>
      </c>
      <c r="S12767" s="1" t="s">
        <v>34218</v>
      </c>
    </row>
    <row r="12768" spans="1:19" x14ac:dyDescent="0.25">
      <c r="A12768">
        <v>101450407</v>
      </c>
      <c r="B12768" t="s">
        <v>27861</v>
      </c>
      <c r="C12768" t="s">
        <v>6315</v>
      </c>
      <c r="G12768" t="s">
        <v>27862</v>
      </c>
      <c r="H12768" t="s">
        <v>3762</v>
      </c>
      <c r="I12768" t="s">
        <v>117</v>
      </c>
      <c r="J12768">
        <v>10954</v>
      </c>
      <c r="K12768">
        <v>1216</v>
      </c>
      <c r="L12768" t="s">
        <v>23</v>
      </c>
      <c r="M12768" t="s">
        <v>27862</v>
      </c>
      <c r="N12768" t="s">
        <v>3762</v>
      </c>
      <c r="O12768" t="s">
        <v>117</v>
      </c>
      <c r="P12768">
        <v>10954</v>
      </c>
      <c r="Q12768">
        <v>1216</v>
      </c>
      <c r="R12768" t="s">
        <v>23</v>
      </c>
      <c r="S12768" s="1" t="s">
        <v>34218</v>
      </c>
    </row>
    <row r="12769" spans="1:19" x14ac:dyDescent="0.25">
      <c r="A12769">
        <v>101064950</v>
      </c>
      <c r="B12769" t="s">
        <v>27863</v>
      </c>
      <c r="C12769" t="s">
        <v>6840</v>
      </c>
      <c r="G12769" t="s">
        <v>27864</v>
      </c>
      <c r="H12769" t="s">
        <v>653</v>
      </c>
      <c r="I12769" t="s">
        <v>117</v>
      </c>
      <c r="J12769">
        <v>10003</v>
      </c>
      <c r="K12769">
        <v>7107</v>
      </c>
      <c r="L12769" t="s">
        <v>23</v>
      </c>
      <c r="M12769" t="s">
        <v>27864</v>
      </c>
      <c r="N12769" t="s">
        <v>653</v>
      </c>
      <c r="O12769" t="s">
        <v>117</v>
      </c>
      <c r="P12769">
        <v>10003</v>
      </c>
      <c r="Q12769">
        <v>7107</v>
      </c>
      <c r="R12769" t="s">
        <v>23</v>
      </c>
      <c r="S12769" s="1" t="s">
        <v>34218</v>
      </c>
    </row>
    <row r="12770" spans="1:19" x14ac:dyDescent="0.25">
      <c r="A12770">
        <v>101064397</v>
      </c>
      <c r="B12770" t="s">
        <v>27865</v>
      </c>
      <c r="C12770" t="s">
        <v>1331</v>
      </c>
      <c r="G12770" t="s">
        <v>27866</v>
      </c>
      <c r="H12770" t="s">
        <v>1748</v>
      </c>
      <c r="I12770" t="s">
        <v>255</v>
      </c>
      <c r="J12770">
        <v>22204</v>
      </c>
      <c r="K12770">
        <v>5629</v>
      </c>
      <c r="L12770" t="s">
        <v>23</v>
      </c>
      <c r="M12770" t="s">
        <v>27866</v>
      </c>
      <c r="N12770" t="s">
        <v>1748</v>
      </c>
      <c r="O12770" t="s">
        <v>255</v>
      </c>
      <c r="P12770">
        <v>22204</v>
      </c>
      <c r="Q12770">
        <v>5629</v>
      </c>
      <c r="R12770" t="s">
        <v>23</v>
      </c>
      <c r="S12770" s="1" t="s">
        <v>34218</v>
      </c>
    </row>
    <row r="12771" spans="1:19" x14ac:dyDescent="0.25">
      <c r="A12771">
        <v>101480628</v>
      </c>
      <c r="B12771" t="s">
        <v>27867</v>
      </c>
      <c r="C12771" t="s">
        <v>286</v>
      </c>
      <c r="G12771" t="s">
        <v>27868</v>
      </c>
      <c r="H12771" t="s">
        <v>27869</v>
      </c>
      <c r="I12771" t="s">
        <v>117</v>
      </c>
      <c r="J12771">
        <v>12309</v>
      </c>
      <c r="K12771">
        <v>2239</v>
      </c>
      <c r="L12771" t="s">
        <v>23</v>
      </c>
      <c r="M12771" t="s">
        <v>27868</v>
      </c>
      <c r="N12771" t="s">
        <v>27869</v>
      </c>
      <c r="O12771" t="s">
        <v>117</v>
      </c>
      <c r="P12771">
        <v>12309</v>
      </c>
      <c r="Q12771">
        <v>2239</v>
      </c>
      <c r="R12771" t="s">
        <v>23</v>
      </c>
      <c r="S12771" s="1" t="s">
        <v>34218</v>
      </c>
    </row>
    <row r="12772" spans="1:19" x14ac:dyDescent="0.25">
      <c r="A12772">
        <v>101480629</v>
      </c>
      <c r="B12772" t="s">
        <v>27870</v>
      </c>
      <c r="C12772" t="s">
        <v>27871</v>
      </c>
      <c r="G12772" t="s">
        <v>27872</v>
      </c>
      <c r="H12772" t="s">
        <v>27873</v>
      </c>
      <c r="I12772" t="s">
        <v>38</v>
      </c>
      <c r="J12772">
        <v>77979</v>
      </c>
      <c r="K12772">
        <v>2377</v>
      </c>
      <c r="L12772" t="s">
        <v>23</v>
      </c>
      <c r="M12772" t="s">
        <v>27872</v>
      </c>
      <c r="N12772" t="s">
        <v>27873</v>
      </c>
      <c r="O12772" t="s">
        <v>38</v>
      </c>
      <c r="P12772">
        <v>77979</v>
      </c>
      <c r="Q12772">
        <v>2377</v>
      </c>
      <c r="R12772" t="s">
        <v>23</v>
      </c>
      <c r="S12772" s="1" t="s">
        <v>34218</v>
      </c>
    </row>
    <row r="12773" spans="1:19" x14ac:dyDescent="0.25">
      <c r="A12773">
        <v>101423562</v>
      </c>
      <c r="B12773" t="s">
        <v>27874</v>
      </c>
      <c r="C12773" t="s">
        <v>68</v>
      </c>
      <c r="G12773" t="s">
        <v>27875</v>
      </c>
      <c r="H12773" t="s">
        <v>27876</v>
      </c>
      <c r="I12773" t="s">
        <v>161</v>
      </c>
      <c r="J12773">
        <v>6475</v>
      </c>
      <c r="K12773">
        <v>2601</v>
      </c>
      <c r="L12773" t="s">
        <v>23</v>
      </c>
      <c r="M12773" t="s">
        <v>27875</v>
      </c>
      <c r="N12773" t="s">
        <v>27876</v>
      </c>
      <c r="O12773" t="s">
        <v>161</v>
      </c>
      <c r="P12773">
        <v>6475</v>
      </c>
      <c r="Q12773">
        <v>2601</v>
      </c>
      <c r="R12773" t="s">
        <v>23</v>
      </c>
      <c r="S12773" s="1" t="s">
        <v>34218</v>
      </c>
    </row>
    <row r="12774" spans="1:19" x14ac:dyDescent="0.25">
      <c r="A12774">
        <v>101422824</v>
      </c>
      <c r="B12774" t="s">
        <v>19804</v>
      </c>
      <c r="C12774" t="s">
        <v>4273</v>
      </c>
      <c r="G12774" t="s">
        <v>27877</v>
      </c>
      <c r="H12774" t="s">
        <v>497</v>
      </c>
      <c r="I12774" t="s">
        <v>57</v>
      </c>
      <c r="J12774">
        <v>46011</v>
      </c>
      <c r="K12774">
        <v>9785</v>
      </c>
      <c r="L12774" t="s">
        <v>23</v>
      </c>
      <c r="M12774" t="s">
        <v>27877</v>
      </c>
      <c r="N12774" t="s">
        <v>497</v>
      </c>
      <c r="O12774" t="s">
        <v>57</v>
      </c>
      <c r="P12774">
        <v>46011</v>
      </c>
      <c r="Q12774">
        <v>9785</v>
      </c>
      <c r="R12774" t="s">
        <v>23</v>
      </c>
      <c r="S12774" s="1" t="s">
        <v>34218</v>
      </c>
    </row>
    <row r="12775" spans="1:19" x14ac:dyDescent="0.25">
      <c r="A12775">
        <v>100755910</v>
      </c>
      <c r="B12775" t="s">
        <v>15680</v>
      </c>
      <c r="C12775" t="s">
        <v>3954</v>
      </c>
      <c r="G12775" t="s">
        <v>27878</v>
      </c>
      <c r="H12775" t="s">
        <v>1052</v>
      </c>
      <c r="I12775" t="s">
        <v>22</v>
      </c>
      <c r="J12775">
        <v>94706</v>
      </c>
      <c r="K12775">
        <v>2118</v>
      </c>
      <c r="L12775" t="s">
        <v>23</v>
      </c>
      <c r="M12775" t="s">
        <v>27878</v>
      </c>
      <c r="N12775" t="s">
        <v>1052</v>
      </c>
      <c r="O12775" t="s">
        <v>22</v>
      </c>
      <c r="P12775">
        <v>94706</v>
      </c>
      <c r="Q12775">
        <v>2118</v>
      </c>
      <c r="R12775" t="s">
        <v>23</v>
      </c>
      <c r="S12775" s="1" t="s">
        <v>34218</v>
      </c>
    </row>
    <row r="12776" spans="1:19" x14ac:dyDescent="0.25">
      <c r="A12776">
        <v>101455274</v>
      </c>
      <c r="B12776" t="s">
        <v>3583</v>
      </c>
      <c r="C12776" t="s">
        <v>1208</v>
      </c>
      <c r="G12776" t="s">
        <v>27879</v>
      </c>
      <c r="H12776" t="s">
        <v>5367</v>
      </c>
      <c r="I12776" t="s">
        <v>255</v>
      </c>
      <c r="J12776">
        <v>20165</v>
      </c>
      <c r="K12776">
        <v>5143</v>
      </c>
      <c r="L12776" t="s">
        <v>23</v>
      </c>
      <c r="M12776" t="s">
        <v>27879</v>
      </c>
      <c r="N12776" t="s">
        <v>5367</v>
      </c>
      <c r="O12776" t="s">
        <v>255</v>
      </c>
      <c r="P12776">
        <v>20165</v>
      </c>
      <c r="Q12776">
        <v>5143</v>
      </c>
      <c r="R12776" t="s">
        <v>23</v>
      </c>
      <c r="S12776" s="1" t="s">
        <v>34218</v>
      </c>
    </row>
    <row r="12777" spans="1:19" x14ac:dyDescent="0.25">
      <c r="A12777">
        <v>101472260</v>
      </c>
      <c r="B12777" t="s">
        <v>27880</v>
      </c>
      <c r="C12777" t="s">
        <v>27881</v>
      </c>
      <c r="G12777" t="s">
        <v>27882</v>
      </c>
      <c r="H12777" t="s">
        <v>1628</v>
      </c>
      <c r="I12777" t="s">
        <v>250</v>
      </c>
      <c r="J12777">
        <v>7039</v>
      </c>
      <c r="K12777">
        <v>1231</v>
      </c>
      <c r="L12777" t="s">
        <v>23</v>
      </c>
      <c r="M12777" t="s">
        <v>27882</v>
      </c>
      <c r="N12777" t="s">
        <v>1628</v>
      </c>
      <c r="O12777" t="s">
        <v>250</v>
      </c>
      <c r="P12777">
        <v>7039</v>
      </c>
      <c r="Q12777">
        <v>1231</v>
      </c>
      <c r="R12777" t="s">
        <v>23</v>
      </c>
      <c r="S12777" s="1" t="s">
        <v>34218</v>
      </c>
    </row>
    <row r="12778" spans="1:19" x14ac:dyDescent="0.25">
      <c r="A12778">
        <v>100797902</v>
      </c>
      <c r="B12778" t="s">
        <v>867</v>
      </c>
      <c r="C12778" t="s">
        <v>8920</v>
      </c>
      <c r="G12778" t="s">
        <v>27883</v>
      </c>
      <c r="H12778" t="s">
        <v>27884</v>
      </c>
      <c r="I12778" t="s">
        <v>250</v>
      </c>
      <c r="J12778">
        <v>8512</v>
      </c>
      <c r="K12778">
        <v>3114</v>
      </c>
      <c r="L12778" t="s">
        <v>23</v>
      </c>
      <c r="M12778" t="s">
        <v>27883</v>
      </c>
      <c r="N12778" t="s">
        <v>27884</v>
      </c>
      <c r="O12778" t="s">
        <v>250</v>
      </c>
      <c r="P12778">
        <v>8512</v>
      </c>
      <c r="Q12778">
        <v>3114</v>
      </c>
      <c r="R12778" t="s">
        <v>23</v>
      </c>
      <c r="S12778" s="1" t="s">
        <v>34218</v>
      </c>
    </row>
    <row r="12779" spans="1:19" x14ac:dyDescent="0.25">
      <c r="A12779">
        <v>101450958</v>
      </c>
      <c r="B12779" t="s">
        <v>20079</v>
      </c>
      <c r="C12779" t="s">
        <v>30</v>
      </c>
      <c r="G12779" t="s">
        <v>27885</v>
      </c>
      <c r="H12779" t="s">
        <v>27886</v>
      </c>
      <c r="I12779" t="s">
        <v>126</v>
      </c>
      <c r="J12779">
        <v>64427</v>
      </c>
      <c r="K12779">
        <v>9257</v>
      </c>
      <c r="L12779" t="s">
        <v>23</v>
      </c>
      <c r="M12779" t="s">
        <v>27885</v>
      </c>
      <c r="N12779" t="s">
        <v>27886</v>
      </c>
      <c r="O12779" t="s">
        <v>126</v>
      </c>
      <c r="P12779">
        <v>64427</v>
      </c>
      <c r="Q12779">
        <v>9257</v>
      </c>
      <c r="R12779" t="s">
        <v>23</v>
      </c>
      <c r="S12779" s="1" t="s">
        <v>34218</v>
      </c>
    </row>
    <row r="12780" spans="1:19" x14ac:dyDescent="0.25">
      <c r="A12780">
        <v>101472911</v>
      </c>
      <c r="B12780" t="s">
        <v>27887</v>
      </c>
      <c r="C12780" t="s">
        <v>217</v>
      </c>
      <c r="G12780" t="s">
        <v>27888</v>
      </c>
      <c r="H12780" t="s">
        <v>11122</v>
      </c>
      <c r="I12780" t="s">
        <v>178</v>
      </c>
      <c r="J12780">
        <v>44256</v>
      </c>
      <c r="K12780">
        <v>1361</v>
      </c>
      <c r="L12780" t="s">
        <v>23</v>
      </c>
      <c r="M12780" t="s">
        <v>27888</v>
      </c>
      <c r="N12780" t="s">
        <v>11122</v>
      </c>
      <c r="O12780" t="s">
        <v>178</v>
      </c>
      <c r="P12780">
        <v>44256</v>
      </c>
      <c r="Q12780">
        <v>1361</v>
      </c>
      <c r="R12780" t="s">
        <v>23</v>
      </c>
      <c r="S12780" s="1" t="s">
        <v>34218</v>
      </c>
    </row>
    <row r="12781" spans="1:19" x14ac:dyDescent="0.25">
      <c r="A12781">
        <v>101314237</v>
      </c>
      <c r="B12781" t="s">
        <v>27889</v>
      </c>
      <c r="C12781" t="s">
        <v>27890</v>
      </c>
      <c r="G12781" t="s">
        <v>27891</v>
      </c>
      <c r="H12781" t="s">
        <v>134</v>
      </c>
      <c r="I12781" t="s">
        <v>135</v>
      </c>
      <c r="J12781">
        <v>60604</v>
      </c>
      <c r="K12781">
        <v>1404</v>
      </c>
      <c r="L12781" t="s">
        <v>23</v>
      </c>
      <c r="M12781" t="s">
        <v>27891</v>
      </c>
      <c r="N12781" t="s">
        <v>134</v>
      </c>
      <c r="O12781" t="s">
        <v>135</v>
      </c>
      <c r="P12781">
        <v>60604</v>
      </c>
      <c r="Q12781">
        <v>1404</v>
      </c>
      <c r="R12781" t="s">
        <v>23</v>
      </c>
      <c r="S12781" s="1" t="s">
        <v>34218</v>
      </c>
    </row>
    <row r="12782" spans="1:19" x14ac:dyDescent="0.25">
      <c r="A12782">
        <v>101402157</v>
      </c>
      <c r="B12782" t="s">
        <v>27892</v>
      </c>
      <c r="C12782" t="s">
        <v>2127</v>
      </c>
      <c r="G12782" t="s">
        <v>27893</v>
      </c>
      <c r="H12782" t="s">
        <v>37</v>
      </c>
      <c r="I12782" t="s">
        <v>38</v>
      </c>
      <c r="J12782">
        <v>78757</v>
      </c>
      <c r="K12782">
        <v>2539</v>
      </c>
      <c r="L12782" t="s">
        <v>23</v>
      </c>
      <c r="M12782" t="s">
        <v>27893</v>
      </c>
      <c r="N12782" t="s">
        <v>37</v>
      </c>
      <c r="O12782" t="s">
        <v>38</v>
      </c>
      <c r="P12782">
        <v>78757</v>
      </c>
      <c r="Q12782">
        <v>2539</v>
      </c>
      <c r="R12782" t="s">
        <v>23</v>
      </c>
      <c r="S12782" s="1" t="s">
        <v>34218</v>
      </c>
    </row>
    <row r="12783" spans="1:19" x14ac:dyDescent="0.25">
      <c r="A12783">
        <v>101319811</v>
      </c>
      <c r="B12783" t="s">
        <v>27894</v>
      </c>
      <c r="C12783" t="s">
        <v>27895</v>
      </c>
      <c r="G12783" t="s">
        <v>27896</v>
      </c>
      <c r="H12783" t="s">
        <v>1479</v>
      </c>
      <c r="I12783" t="s">
        <v>565</v>
      </c>
      <c r="J12783">
        <v>50250</v>
      </c>
      <c r="K12783">
        <v>8130</v>
      </c>
      <c r="L12783" t="s">
        <v>23</v>
      </c>
      <c r="M12783" t="s">
        <v>27896</v>
      </c>
      <c r="N12783" t="s">
        <v>1479</v>
      </c>
      <c r="O12783" t="s">
        <v>565</v>
      </c>
      <c r="P12783">
        <v>50250</v>
      </c>
      <c r="Q12783">
        <v>8130</v>
      </c>
      <c r="R12783" t="s">
        <v>23</v>
      </c>
      <c r="S12783" s="1" t="s">
        <v>34218</v>
      </c>
    </row>
    <row r="12784" spans="1:19" x14ac:dyDescent="0.25">
      <c r="A12784">
        <v>101449633</v>
      </c>
      <c r="B12784" t="s">
        <v>27897</v>
      </c>
      <c r="C12784" t="s">
        <v>2568</v>
      </c>
      <c r="G12784" t="s">
        <v>27898</v>
      </c>
      <c r="H12784" t="s">
        <v>13596</v>
      </c>
      <c r="I12784" t="s">
        <v>28</v>
      </c>
      <c r="J12784">
        <v>30144</v>
      </c>
      <c r="K12784">
        <v>3830</v>
      </c>
      <c r="L12784" t="s">
        <v>23</v>
      </c>
      <c r="M12784" t="s">
        <v>27898</v>
      </c>
      <c r="N12784" t="s">
        <v>13596</v>
      </c>
      <c r="O12784" t="s">
        <v>28</v>
      </c>
      <c r="P12784">
        <v>30144</v>
      </c>
      <c r="Q12784">
        <v>3830</v>
      </c>
      <c r="R12784" t="s">
        <v>23</v>
      </c>
      <c r="S12784" s="1" t="s">
        <v>34218</v>
      </c>
    </row>
    <row r="12785" spans="1:19" x14ac:dyDescent="0.25">
      <c r="A12785">
        <v>101436591</v>
      </c>
      <c r="B12785" t="s">
        <v>744</v>
      </c>
      <c r="C12785" t="s">
        <v>2127</v>
      </c>
      <c r="G12785" t="s">
        <v>27899</v>
      </c>
      <c r="H12785" t="s">
        <v>10931</v>
      </c>
      <c r="I12785" t="s">
        <v>28</v>
      </c>
      <c r="J12785">
        <v>31403</v>
      </c>
      <c r="L12785" t="s">
        <v>23</v>
      </c>
      <c r="M12785" t="s">
        <v>27899</v>
      </c>
      <c r="N12785" t="s">
        <v>10931</v>
      </c>
      <c r="O12785" t="s">
        <v>28</v>
      </c>
      <c r="P12785">
        <v>31403</v>
      </c>
      <c r="R12785" t="s">
        <v>23</v>
      </c>
      <c r="S12785" s="1" t="s">
        <v>34218</v>
      </c>
    </row>
    <row r="12786" spans="1:19" x14ac:dyDescent="0.25">
      <c r="A12786">
        <v>101425232</v>
      </c>
      <c r="B12786" t="s">
        <v>27900</v>
      </c>
      <c r="C12786" t="s">
        <v>247</v>
      </c>
      <c r="G12786" t="s">
        <v>27901</v>
      </c>
      <c r="H12786" t="s">
        <v>2540</v>
      </c>
      <c r="I12786" t="s">
        <v>161</v>
      </c>
      <c r="J12786">
        <v>6851</v>
      </c>
      <c r="K12786">
        <v>4837</v>
      </c>
      <c r="L12786" t="s">
        <v>23</v>
      </c>
      <c r="M12786" t="s">
        <v>27901</v>
      </c>
      <c r="N12786" t="s">
        <v>2540</v>
      </c>
      <c r="O12786" t="s">
        <v>161</v>
      </c>
      <c r="P12786">
        <v>6851</v>
      </c>
      <c r="Q12786">
        <v>4837</v>
      </c>
      <c r="R12786" t="s">
        <v>23</v>
      </c>
      <c r="S12786" s="1" t="s">
        <v>34218</v>
      </c>
    </row>
    <row r="12787" spans="1:19" x14ac:dyDescent="0.25">
      <c r="A12787">
        <v>101073855</v>
      </c>
      <c r="B12787" t="s">
        <v>1220</v>
      </c>
      <c r="C12787" t="s">
        <v>1647</v>
      </c>
      <c r="G12787" t="s">
        <v>27902</v>
      </c>
      <c r="H12787" t="s">
        <v>227</v>
      </c>
      <c r="I12787" t="s">
        <v>43</v>
      </c>
      <c r="J12787">
        <v>97239</v>
      </c>
      <c r="K12787">
        <v>4346</v>
      </c>
      <c r="L12787" t="s">
        <v>23</v>
      </c>
      <c r="M12787" t="s">
        <v>27902</v>
      </c>
      <c r="N12787" t="s">
        <v>227</v>
      </c>
      <c r="O12787" t="s">
        <v>43</v>
      </c>
      <c r="P12787">
        <v>97239</v>
      </c>
      <c r="Q12787">
        <v>4346</v>
      </c>
      <c r="R12787" t="s">
        <v>23</v>
      </c>
      <c r="S12787" s="1" t="s">
        <v>34218</v>
      </c>
    </row>
    <row r="12788" spans="1:19" x14ac:dyDescent="0.25">
      <c r="A12788">
        <v>101281980</v>
      </c>
      <c r="B12788" t="s">
        <v>27903</v>
      </c>
      <c r="C12788" t="s">
        <v>7530</v>
      </c>
      <c r="G12788" t="s">
        <v>27904</v>
      </c>
      <c r="H12788" t="s">
        <v>27905</v>
      </c>
      <c r="I12788" t="s">
        <v>236</v>
      </c>
      <c r="J12788">
        <v>2664</v>
      </c>
      <c r="K12788">
        <v>5131</v>
      </c>
      <c r="L12788" t="s">
        <v>23</v>
      </c>
      <c r="M12788" t="s">
        <v>27904</v>
      </c>
      <c r="N12788" t="s">
        <v>27905</v>
      </c>
      <c r="O12788" t="s">
        <v>236</v>
      </c>
      <c r="P12788">
        <v>2664</v>
      </c>
      <c r="Q12788">
        <v>5131</v>
      </c>
      <c r="R12788" t="s">
        <v>23</v>
      </c>
      <c r="S12788" s="1" t="s">
        <v>34218</v>
      </c>
    </row>
    <row r="12789" spans="1:19" x14ac:dyDescent="0.25">
      <c r="A12789">
        <v>101307157</v>
      </c>
      <c r="B12789" t="s">
        <v>27906</v>
      </c>
      <c r="C12789" t="s">
        <v>2127</v>
      </c>
      <c r="G12789" t="s">
        <v>27907</v>
      </c>
      <c r="H12789" t="s">
        <v>1229</v>
      </c>
      <c r="I12789" t="s">
        <v>38</v>
      </c>
      <c r="J12789">
        <v>78261</v>
      </c>
      <c r="K12789">
        <v>2433</v>
      </c>
      <c r="L12789" t="s">
        <v>23</v>
      </c>
      <c r="M12789" t="s">
        <v>27907</v>
      </c>
      <c r="N12789" t="s">
        <v>1229</v>
      </c>
      <c r="O12789" t="s">
        <v>38</v>
      </c>
      <c r="P12789">
        <v>78261</v>
      </c>
      <c r="Q12789">
        <v>2433</v>
      </c>
      <c r="R12789" t="s">
        <v>23</v>
      </c>
      <c r="S12789" s="1" t="s">
        <v>34218</v>
      </c>
    </row>
    <row r="12790" spans="1:19" x14ac:dyDescent="0.25">
      <c r="A12790">
        <v>101471392</v>
      </c>
      <c r="B12790" t="s">
        <v>27908</v>
      </c>
      <c r="C12790" t="s">
        <v>2642</v>
      </c>
      <c r="G12790" t="s">
        <v>27909</v>
      </c>
      <c r="H12790" t="s">
        <v>3984</v>
      </c>
      <c r="I12790" t="s">
        <v>22</v>
      </c>
      <c r="J12790">
        <v>94507</v>
      </c>
      <c r="K12790">
        <v>1931</v>
      </c>
      <c r="L12790" t="s">
        <v>23</v>
      </c>
      <c r="M12790" t="s">
        <v>27909</v>
      </c>
      <c r="N12790" t="s">
        <v>3984</v>
      </c>
      <c r="O12790" t="s">
        <v>22</v>
      </c>
      <c r="P12790">
        <v>94507</v>
      </c>
      <c r="Q12790">
        <v>1931</v>
      </c>
      <c r="R12790" t="s">
        <v>23</v>
      </c>
      <c r="S12790" s="1" t="s">
        <v>34218</v>
      </c>
    </row>
    <row r="12791" spans="1:19" x14ac:dyDescent="0.25">
      <c r="A12791">
        <v>101464522</v>
      </c>
      <c r="B12791" t="s">
        <v>27910</v>
      </c>
      <c r="C12791" t="s">
        <v>30</v>
      </c>
      <c r="G12791" t="s">
        <v>27911</v>
      </c>
      <c r="H12791" t="s">
        <v>27912</v>
      </c>
      <c r="I12791" t="s">
        <v>187</v>
      </c>
      <c r="J12791">
        <v>55949</v>
      </c>
      <c r="K12791">
        <v>9713</v>
      </c>
      <c r="L12791" t="s">
        <v>23</v>
      </c>
      <c r="M12791" t="s">
        <v>27911</v>
      </c>
      <c r="N12791" t="s">
        <v>27912</v>
      </c>
      <c r="O12791" t="s">
        <v>187</v>
      </c>
      <c r="P12791">
        <v>55949</v>
      </c>
      <c r="Q12791">
        <v>9713</v>
      </c>
      <c r="R12791" t="s">
        <v>23</v>
      </c>
      <c r="S12791" s="1" t="s">
        <v>34218</v>
      </c>
    </row>
    <row r="12792" spans="1:19" x14ac:dyDescent="0.25">
      <c r="A12792">
        <v>101220241</v>
      </c>
      <c r="B12792" t="s">
        <v>938</v>
      </c>
      <c r="C12792" t="s">
        <v>11546</v>
      </c>
      <c r="G12792" t="s">
        <v>27913</v>
      </c>
      <c r="H12792" t="s">
        <v>1553</v>
      </c>
      <c r="I12792" t="s">
        <v>236</v>
      </c>
      <c r="J12792">
        <v>1002</v>
      </c>
      <c r="K12792">
        <v>2550</v>
      </c>
      <c r="L12792" t="s">
        <v>23</v>
      </c>
      <c r="M12792" t="s">
        <v>27913</v>
      </c>
      <c r="N12792" t="s">
        <v>1553</v>
      </c>
      <c r="O12792" t="s">
        <v>236</v>
      </c>
      <c r="P12792">
        <v>1002</v>
      </c>
      <c r="Q12792">
        <v>2550</v>
      </c>
      <c r="R12792" t="s">
        <v>23</v>
      </c>
      <c r="S12792" s="1" t="s">
        <v>34218</v>
      </c>
    </row>
    <row r="12793" spans="1:19" x14ac:dyDescent="0.25">
      <c r="A12793">
        <v>101317507</v>
      </c>
      <c r="B12793" t="s">
        <v>17562</v>
      </c>
      <c r="C12793" t="s">
        <v>1873</v>
      </c>
      <c r="G12793" t="s">
        <v>27914</v>
      </c>
      <c r="H12793" t="s">
        <v>17003</v>
      </c>
      <c r="I12793" t="s">
        <v>446</v>
      </c>
      <c r="J12793">
        <v>28787</v>
      </c>
      <c r="K12793">
        <v>9311</v>
      </c>
      <c r="L12793" t="s">
        <v>23</v>
      </c>
      <c r="M12793" t="s">
        <v>27914</v>
      </c>
      <c r="N12793" t="s">
        <v>17003</v>
      </c>
      <c r="O12793" t="s">
        <v>446</v>
      </c>
      <c r="P12793">
        <v>28787</v>
      </c>
      <c r="Q12793">
        <v>9311</v>
      </c>
      <c r="R12793" t="s">
        <v>23</v>
      </c>
      <c r="S12793" s="1" t="s">
        <v>34218</v>
      </c>
    </row>
    <row r="12794" spans="1:19" x14ac:dyDescent="0.25">
      <c r="A12794">
        <v>101464557</v>
      </c>
      <c r="B12794" t="s">
        <v>1164</v>
      </c>
      <c r="C12794" t="s">
        <v>305</v>
      </c>
      <c r="G12794" t="s">
        <v>27915</v>
      </c>
      <c r="H12794" t="s">
        <v>311</v>
      </c>
      <c r="I12794" t="s">
        <v>22</v>
      </c>
      <c r="J12794">
        <v>90806</v>
      </c>
      <c r="K12794">
        <v>4707</v>
      </c>
      <c r="L12794" t="s">
        <v>23</v>
      </c>
      <c r="M12794" t="s">
        <v>27915</v>
      </c>
      <c r="N12794" t="s">
        <v>311</v>
      </c>
      <c r="O12794" t="s">
        <v>22</v>
      </c>
      <c r="P12794">
        <v>90806</v>
      </c>
      <c r="Q12794">
        <v>4707</v>
      </c>
      <c r="R12794" t="s">
        <v>23</v>
      </c>
      <c r="S12794" s="1" t="s">
        <v>34218</v>
      </c>
    </row>
    <row r="12795" spans="1:19" x14ac:dyDescent="0.25">
      <c r="A12795">
        <v>101478373</v>
      </c>
      <c r="B12795" t="s">
        <v>22078</v>
      </c>
      <c r="C12795" t="s">
        <v>27916</v>
      </c>
      <c r="G12795" t="s">
        <v>27917</v>
      </c>
      <c r="H12795" t="s">
        <v>10838</v>
      </c>
      <c r="I12795" t="s">
        <v>71</v>
      </c>
      <c r="J12795">
        <v>80134</v>
      </c>
      <c r="K12795">
        <v>9137</v>
      </c>
      <c r="L12795" t="s">
        <v>23</v>
      </c>
      <c r="M12795" t="s">
        <v>27917</v>
      </c>
      <c r="N12795" t="s">
        <v>10838</v>
      </c>
      <c r="O12795" t="s">
        <v>71</v>
      </c>
      <c r="P12795">
        <v>80134</v>
      </c>
      <c r="Q12795">
        <v>9137</v>
      </c>
      <c r="R12795" t="s">
        <v>23</v>
      </c>
      <c r="S12795" s="1" t="s">
        <v>34218</v>
      </c>
    </row>
    <row r="12796" spans="1:19" x14ac:dyDescent="0.25">
      <c r="A12796">
        <v>101480642</v>
      </c>
      <c r="B12796" t="s">
        <v>27918</v>
      </c>
      <c r="C12796" t="s">
        <v>1588</v>
      </c>
      <c r="G12796" t="s">
        <v>27919</v>
      </c>
      <c r="H12796" t="s">
        <v>481</v>
      </c>
      <c r="I12796" t="s">
        <v>22</v>
      </c>
      <c r="J12796">
        <v>95124</v>
      </c>
      <c r="K12796">
        <v>1524</v>
      </c>
      <c r="L12796" t="s">
        <v>23</v>
      </c>
      <c r="M12796" t="s">
        <v>27919</v>
      </c>
      <c r="N12796" t="s">
        <v>481</v>
      </c>
      <c r="O12796" t="s">
        <v>22</v>
      </c>
      <c r="P12796">
        <v>95124</v>
      </c>
      <c r="Q12796">
        <v>1524</v>
      </c>
      <c r="R12796" t="s">
        <v>23</v>
      </c>
      <c r="S12796" s="1" t="s">
        <v>34218</v>
      </c>
    </row>
    <row r="12797" spans="1:19" x14ac:dyDescent="0.25">
      <c r="A12797">
        <v>101451638</v>
      </c>
      <c r="B12797" t="s">
        <v>27920</v>
      </c>
      <c r="C12797" t="s">
        <v>27921</v>
      </c>
      <c r="G12797" t="s">
        <v>27922</v>
      </c>
      <c r="H12797" t="s">
        <v>27923</v>
      </c>
      <c r="I12797" t="s">
        <v>250</v>
      </c>
      <c r="J12797">
        <v>8869</v>
      </c>
      <c r="K12797">
        <v>2314</v>
      </c>
      <c r="L12797" t="s">
        <v>23</v>
      </c>
      <c r="M12797" t="s">
        <v>27922</v>
      </c>
      <c r="N12797" t="s">
        <v>27923</v>
      </c>
      <c r="O12797" t="s">
        <v>250</v>
      </c>
      <c r="P12797">
        <v>8869</v>
      </c>
      <c r="Q12797">
        <v>2314</v>
      </c>
      <c r="R12797" t="s">
        <v>23</v>
      </c>
      <c r="S12797" s="1" t="s">
        <v>34218</v>
      </c>
    </row>
    <row r="12798" spans="1:19" x14ac:dyDescent="0.25">
      <c r="A12798">
        <v>100630867</v>
      </c>
      <c r="B12798" t="s">
        <v>27924</v>
      </c>
      <c r="C12798" t="s">
        <v>12434</v>
      </c>
      <c r="G12798" t="s">
        <v>27925</v>
      </c>
      <c r="H12798" t="s">
        <v>12247</v>
      </c>
      <c r="I12798" t="s">
        <v>662</v>
      </c>
      <c r="J12798">
        <v>2816</v>
      </c>
      <c r="L12798" t="s">
        <v>23</v>
      </c>
      <c r="M12798" t="s">
        <v>27925</v>
      </c>
      <c r="N12798" t="s">
        <v>12247</v>
      </c>
      <c r="O12798" t="s">
        <v>662</v>
      </c>
      <c r="P12798">
        <v>2816</v>
      </c>
      <c r="R12798" t="s">
        <v>23</v>
      </c>
      <c r="S12798" s="1" t="s">
        <v>34218</v>
      </c>
    </row>
    <row r="12799" spans="1:19" x14ac:dyDescent="0.25">
      <c r="A12799">
        <v>101327229</v>
      </c>
      <c r="B12799" t="s">
        <v>14165</v>
      </c>
      <c r="C12799" t="s">
        <v>1120</v>
      </c>
      <c r="G12799" t="s">
        <v>25395</v>
      </c>
      <c r="H12799" t="s">
        <v>5413</v>
      </c>
      <c r="I12799" t="s">
        <v>187</v>
      </c>
      <c r="J12799">
        <v>55024</v>
      </c>
      <c r="K12799">
        <v>8460</v>
      </c>
      <c r="L12799" t="s">
        <v>23</v>
      </c>
      <c r="M12799" t="s">
        <v>25395</v>
      </c>
      <c r="N12799" t="s">
        <v>5413</v>
      </c>
      <c r="O12799" t="s">
        <v>187</v>
      </c>
      <c r="P12799">
        <v>55024</v>
      </c>
      <c r="Q12799">
        <v>8460</v>
      </c>
      <c r="R12799" t="s">
        <v>23</v>
      </c>
      <c r="S12799" s="1" t="s">
        <v>34218</v>
      </c>
    </row>
    <row r="12800" spans="1:19" x14ac:dyDescent="0.25">
      <c r="A12800">
        <v>101480645</v>
      </c>
      <c r="B12800" t="s">
        <v>406</v>
      </c>
      <c r="C12800" t="s">
        <v>27926</v>
      </c>
      <c r="G12800" t="s">
        <v>27927</v>
      </c>
      <c r="H12800" t="s">
        <v>27928</v>
      </c>
      <c r="I12800" t="s">
        <v>22</v>
      </c>
      <c r="J12800">
        <v>95249</v>
      </c>
      <c r="K12800">
        <v>605</v>
      </c>
      <c r="L12800" t="s">
        <v>23</v>
      </c>
      <c r="M12800" t="s">
        <v>27927</v>
      </c>
      <c r="N12800" t="s">
        <v>27928</v>
      </c>
      <c r="O12800" t="s">
        <v>22</v>
      </c>
      <c r="P12800">
        <v>95249</v>
      </c>
      <c r="Q12800">
        <v>605</v>
      </c>
      <c r="R12800" t="s">
        <v>23</v>
      </c>
      <c r="S12800" s="1" t="s">
        <v>34218</v>
      </c>
    </row>
    <row r="12801" spans="1:19" x14ac:dyDescent="0.25">
      <c r="A12801">
        <v>100583210</v>
      </c>
      <c r="B12801" t="s">
        <v>24456</v>
      </c>
      <c r="C12801" t="s">
        <v>3254</v>
      </c>
      <c r="F12801" t="str">
        <f>"6196466923"</f>
        <v>6196466923</v>
      </c>
      <c r="G12801" t="s">
        <v>27929</v>
      </c>
      <c r="H12801" t="s">
        <v>198</v>
      </c>
      <c r="I12801" t="s">
        <v>22</v>
      </c>
      <c r="J12801">
        <v>92101</v>
      </c>
      <c r="K12801">
        <v>7897</v>
      </c>
      <c r="L12801" t="s">
        <v>23</v>
      </c>
      <c r="M12801" t="s">
        <v>27929</v>
      </c>
      <c r="N12801" t="s">
        <v>198</v>
      </c>
      <c r="O12801" t="s">
        <v>22</v>
      </c>
      <c r="P12801">
        <v>92101</v>
      </c>
      <c r="Q12801">
        <v>7897</v>
      </c>
      <c r="R12801" t="s">
        <v>23</v>
      </c>
      <c r="S12801" s="1" t="s">
        <v>34218</v>
      </c>
    </row>
    <row r="12802" spans="1:19" x14ac:dyDescent="0.25">
      <c r="A12802">
        <v>101241207</v>
      </c>
      <c r="B12802" t="s">
        <v>4515</v>
      </c>
      <c r="C12802" t="s">
        <v>4700</v>
      </c>
      <c r="G12802" t="s">
        <v>27930</v>
      </c>
      <c r="H12802" t="s">
        <v>2375</v>
      </c>
      <c r="I12802" t="s">
        <v>100</v>
      </c>
      <c r="J12802">
        <v>53703</v>
      </c>
      <c r="K12802">
        <v>2751</v>
      </c>
      <c r="L12802" t="s">
        <v>23</v>
      </c>
      <c r="M12802" t="s">
        <v>27930</v>
      </c>
      <c r="N12802" t="s">
        <v>2375</v>
      </c>
      <c r="O12802" t="s">
        <v>100</v>
      </c>
      <c r="P12802">
        <v>53703</v>
      </c>
      <c r="Q12802">
        <v>2751</v>
      </c>
      <c r="R12802" t="s">
        <v>23</v>
      </c>
      <c r="S12802" s="1" t="s">
        <v>34218</v>
      </c>
    </row>
    <row r="12803" spans="1:19" x14ac:dyDescent="0.25">
      <c r="A12803">
        <v>101480654</v>
      </c>
      <c r="B12803" t="s">
        <v>3061</v>
      </c>
      <c r="C12803" t="s">
        <v>27931</v>
      </c>
      <c r="G12803" t="s">
        <v>27932</v>
      </c>
      <c r="H12803" t="s">
        <v>438</v>
      </c>
      <c r="I12803" t="s">
        <v>71</v>
      </c>
      <c r="J12803">
        <v>80503</v>
      </c>
      <c r="K12803">
        <v>4137</v>
      </c>
      <c r="L12803" t="s">
        <v>23</v>
      </c>
      <c r="M12803" t="s">
        <v>27932</v>
      </c>
      <c r="N12803" t="s">
        <v>438</v>
      </c>
      <c r="O12803" t="s">
        <v>71</v>
      </c>
      <c r="P12803">
        <v>80503</v>
      </c>
      <c r="Q12803">
        <v>4137</v>
      </c>
      <c r="R12803" t="s">
        <v>23</v>
      </c>
      <c r="S12803" s="1" t="s">
        <v>34218</v>
      </c>
    </row>
    <row r="12804" spans="1:19" x14ac:dyDescent="0.25">
      <c r="A12804">
        <v>101480655</v>
      </c>
      <c r="B12804" t="s">
        <v>23218</v>
      </c>
      <c r="C12804" t="s">
        <v>25115</v>
      </c>
      <c r="G12804" t="s">
        <v>25116</v>
      </c>
      <c r="H12804" t="s">
        <v>380</v>
      </c>
      <c r="I12804" t="s">
        <v>38</v>
      </c>
      <c r="J12804">
        <v>75228</v>
      </c>
      <c r="K12804">
        <v>5435</v>
      </c>
      <c r="L12804" t="s">
        <v>23</v>
      </c>
      <c r="M12804" t="s">
        <v>25116</v>
      </c>
      <c r="N12804" t="s">
        <v>380</v>
      </c>
      <c r="O12804" t="s">
        <v>38</v>
      </c>
      <c r="P12804">
        <v>75228</v>
      </c>
      <c r="Q12804">
        <v>5435</v>
      </c>
      <c r="R12804" t="s">
        <v>23</v>
      </c>
      <c r="S12804" s="1" t="s">
        <v>34218</v>
      </c>
    </row>
    <row r="12805" spans="1:19" x14ac:dyDescent="0.25">
      <c r="A12805">
        <v>101236792</v>
      </c>
      <c r="B12805" t="s">
        <v>27933</v>
      </c>
      <c r="C12805" t="s">
        <v>803</v>
      </c>
      <c r="G12805">
        <v>2</v>
      </c>
      <c r="H12805" t="s">
        <v>5485</v>
      </c>
      <c r="I12805" t="s">
        <v>22</v>
      </c>
      <c r="J12805">
        <v>94556</v>
      </c>
      <c r="L12805" t="s">
        <v>23</v>
      </c>
      <c r="M12805">
        <v>2</v>
      </c>
      <c r="N12805" t="s">
        <v>5485</v>
      </c>
      <c r="O12805" t="s">
        <v>22</v>
      </c>
      <c r="P12805">
        <v>94556</v>
      </c>
      <c r="R12805" t="s">
        <v>23</v>
      </c>
      <c r="S12805" s="1" t="s">
        <v>34218</v>
      </c>
    </row>
    <row r="12806" spans="1:19" x14ac:dyDescent="0.25">
      <c r="A12806">
        <v>101347396</v>
      </c>
      <c r="B12806" t="s">
        <v>7568</v>
      </c>
      <c r="C12806" t="s">
        <v>4628</v>
      </c>
      <c r="G12806" t="s">
        <v>27934</v>
      </c>
      <c r="H12806" t="s">
        <v>6658</v>
      </c>
      <c r="I12806" t="s">
        <v>446</v>
      </c>
      <c r="J12806">
        <v>27253</v>
      </c>
      <c r="K12806">
        <v>1972</v>
      </c>
      <c r="L12806" t="s">
        <v>23</v>
      </c>
      <c r="M12806" t="s">
        <v>27934</v>
      </c>
      <c r="N12806" t="s">
        <v>6658</v>
      </c>
      <c r="O12806" t="s">
        <v>446</v>
      </c>
      <c r="P12806">
        <v>27253</v>
      </c>
      <c r="Q12806">
        <v>1972</v>
      </c>
      <c r="R12806" t="s">
        <v>23</v>
      </c>
      <c r="S12806" s="1" t="s">
        <v>34218</v>
      </c>
    </row>
    <row r="12807" spans="1:19" x14ac:dyDescent="0.25">
      <c r="A12807">
        <v>101472958</v>
      </c>
      <c r="B12807" t="s">
        <v>8138</v>
      </c>
      <c r="C12807" t="s">
        <v>1002</v>
      </c>
      <c r="G12807" t="s">
        <v>27935</v>
      </c>
      <c r="H12807" t="s">
        <v>21240</v>
      </c>
      <c r="I12807" t="s">
        <v>117</v>
      </c>
      <c r="J12807">
        <v>12136</v>
      </c>
      <c r="K12807">
        <v>2716</v>
      </c>
      <c r="L12807" t="s">
        <v>23</v>
      </c>
      <c r="M12807" t="s">
        <v>27935</v>
      </c>
      <c r="N12807" t="s">
        <v>21240</v>
      </c>
      <c r="O12807" t="s">
        <v>117</v>
      </c>
      <c r="P12807">
        <v>12136</v>
      </c>
      <c r="Q12807">
        <v>2716</v>
      </c>
      <c r="R12807" t="s">
        <v>23</v>
      </c>
      <c r="S12807" s="1" t="s">
        <v>34218</v>
      </c>
    </row>
    <row r="12808" spans="1:19" x14ac:dyDescent="0.25">
      <c r="A12808">
        <v>101451580</v>
      </c>
      <c r="B12808" t="s">
        <v>11361</v>
      </c>
      <c r="C12808" t="s">
        <v>1492</v>
      </c>
      <c r="G12808" t="s">
        <v>27936</v>
      </c>
      <c r="H12808" t="s">
        <v>4347</v>
      </c>
      <c r="I12808" t="s">
        <v>71</v>
      </c>
      <c r="J12808">
        <v>81303</v>
      </c>
      <c r="K12808">
        <v>6543</v>
      </c>
      <c r="L12808" t="s">
        <v>23</v>
      </c>
      <c r="M12808" t="s">
        <v>27936</v>
      </c>
      <c r="N12808" t="s">
        <v>4347</v>
      </c>
      <c r="O12808" t="s">
        <v>71</v>
      </c>
      <c r="P12808">
        <v>81303</v>
      </c>
      <c r="Q12808">
        <v>6543</v>
      </c>
      <c r="R12808" t="s">
        <v>23</v>
      </c>
      <c r="S12808" s="1" t="s">
        <v>34218</v>
      </c>
    </row>
    <row r="12809" spans="1:19" x14ac:dyDescent="0.25">
      <c r="A12809">
        <v>101430436</v>
      </c>
      <c r="B12809" t="s">
        <v>11659</v>
      </c>
      <c r="C12809" t="s">
        <v>3063</v>
      </c>
      <c r="G12809" t="s">
        <v>27937</v>
      </c>
      <c r="H12809" t="s">
        <v>861</v>
      </c>
      <c r="I12809" t="s">
        <v>33</v>
      </c>
      <c r="J12809">
        <v>19355</v>
      </c>
      <c r="L12809" t="s">
        <v>23</v>
      </c>
      <c r="M12809" t="s">
        <v>27937</v>
      </c>
      <c r="N12809" t="s">
        <v>861</v>
      </c>
      <c r="O12809" t="s">
        <v>33</v>
      </c>
      <c r="P12809">
        <v>19355</v>
      </c>
      <c r="R12809" t="s">
        <v>23</v>
      </c>
      <c r="S12809" s="1" t="s">
        <v>34218</v>
      </c>
    </row>
    <row r="12810" spans="1:19" x14ac:dyDescent="0.25">
      <c r="A12810">
        <v>101450365</v>
      </c>
      <c r="B12810" t="s">
        <v>9834</v>
      </c>
      <c r="C12810" t="s">
        <v>5347</v>
      </c>
      <c r="G12810" t="s">
        <v>27938</v>
      </c>
      <c r="H12810" t="s">
        <v>27939</v>
      </c>
      <c r="I12810" t="s">
        <v>914</v>
      </c>
      <c r="J12810">
        <v>38553</v>
      </c>
      <c r="K12810">
        <v>5195</v>
      </c>
      <c r="L12810" t="s">
        <v>23</v>
      </c>
      <c r="M12810" t="s">
        <v>27938</v>
      </c>
      <c r="N12810" t="s">
        <v>27939</v>
      </c>
      <c r="O12810" t="s">
        <v>914</v>
      </c>
      <c r="P12810">
        <v>38553</v>
      </c>
      <c r="Q12810">
        <v>5195</v>
      </c>
      <c r="R12810" t="s">
        <v>23</v>
      </c>
      <c r="S12810" s="1" t="s">
        <v>34218</v>
      </c>
    </row>
    <row r="12811" spans="1:19" x14ac:dyDescent="0.25">
      <c r="A12811">
        <v>101314305</v>
      </c>
      <c r="B12811" t="s">
        <v>27940</v>
      </c>
      <c r="C12811" t="s">
        <v>4273</v>
      </c>
      <c r="G12811" t="s">
        <v>27941</v>
      </c>
      <c r="H12811" t="s">
        <v>27942</v>
      </c>
      <c r="I12811" t="s">
        <v>52</v>
      </c>
      <c r="J12811">
        <v>32119</v>
      </c>
      <c r="K12811">
        <v>2548</v>
      </c>
      <c r="L12811" t="s">
        <v>23</v>
      </c>
      <c r="M12811" t="s">
        <v>27941</v>
      </c>
      <c r="N12811" t="s">
        <v>27942</v>
      </c>
      <c r="O12811" t="s">
        <v>52</v>
      </c>
      <c r="P12811">
        <v>32119</v>
      </c>
      <c r="Q12811">
        <v>2548</v>
      </c>
      <c r="R12811" t="s">
        <v>23</v>
      </c>
      <c r="S12811" s="1" t="s">
        <v>34218</v>
      </c>
    </row>
    <row r="12812" spans="1:19" x14ac:dyDescent="0.25">
      <c r="A12812">
        <v>100945830</v>
      </c>
      <c r="B12812" t="s">
        <v>1611</v>
      </c>
      <c r="C12812" t="s">
        <v>27943</v>
      </c>
      <c r="G12812" t="s">
        <v>27944</v>
      </c>
      <c r="H12812" t="s">
        <v>27945</v>
      </c>
      <c r="I12812" t="s">
        <v>135</v>
      </c>
      <c r="J12812">
        <v>62002</v>
      </c>
      <c r="K12812">
        <v>3921</v>
      </c>
      <c r="L12812" t="s">
        <v>23</v>
      </c>
      <c r="M12812" t="s">
        <v>27944</v>
      </c>
      <c r="N12812" t="s">
        <v>27945</v>
      </c>
      <c r="O12812" t="s">
        <v>135</v>
      </c>
      <c r="P12812">
        <v>62002</v>
      </c>
      <c r="Q12812">
        <v>3921</v>
      </c>
      <c r="R12812" t="s">
        <v>23</v>
      </c>
      <c r="S12812" s="1" t="s">
        <v>34218</v>
      </c>
    </row>
    <row r="12813" spans="1:19" x14ac:dyDescent="0.25">
      <c r="A12813">
        <v>101422265</v>
      </c>
      <c r="B12813" t="s">
        <v>27946</v>
      </c>
      <c r="C12813" t="s">
        <v>575</v>
      </c>
      <c r="H12813" t="s">
        <v>27947</v>
      </c>
      <c r="I12813" t="s">
        <v>27948</v>
      </c>
      <c r="J12813" t="s">
        <v>27949</v>
      </c>
      <c r="L12813" t="s">
        <v>22</v>
      </c>
      <c r="N12813" t="s">
        <v>27947</v>
      </c>
      <c r="O12813" t="s">
        <v>27948</v>
      </c>
      <c r="P12813" t="s">
        <v>27949</v>
      </c>
      <c r="R12813" t="s">
        <v>22</v>
      </c>
      <c r="S12813" s="1" t="s">
        <v>34218</v>
      </c>
    </row>
    <row r="12814" spans="1:19" x14ac:dyDescent="0.25">
      <c r="A12814">
        <v>101474688</v>
      </c>
      <c r="B12814" t="s">
        <v>27950</v>
      </c>
      <c r="C12814" t="s">
        <v>1363</v>
      </c>
      <c r="G12814" t="s">
        <v>27951</v>
      </c>
      <c r="H12814" t="s">
        <v>653</v>
      </c>
      <c r="I12814" t="s">
        <v>117</v>
      </c>
      <c r="J12814">
        <v>10024</v>
      </c>
      <c r="K12814">
        <v>1507</v>
      </c>
      <c r="L12814" t="s">
        <v>23</v>
      </c>
      <c r="M12814" t="s">
        <v>27951</v>
      </c>
      <c r="N12814" t="s">
        <v>653</v>
      </c>
      <c r="O12814" t="s">
        <v>117</v>
      </c>
      <c r="P12814">
        <v>10024</v>
      </c>
      <c r="Q12814">
        <v>1507</v>
      </c>
      <c r="R12814" t="s">
        <v>23</v>
      </c>
      <c r="S12814" s="1" t="s">
        <v>34218</v>
      </c>
    </row>
    <row r="12815" spans="1:19" x14ac:dyDescent="0.25">
      <c r="A12815">
        <v>101474771</v>
      </c>
      <c r="B12815" t="s">
        <v>27952</v>
      </c>
      <c r="C12815" t="s">
        <v>90</v>
      </c>
      <c r="G12815" t="s">
        <v>27953</v>
      </c>
      <c r="H12815" t="s">
        <v>27954</v>
      </c>
      <c r="I12815" t="s">
        <v>117</v>
      </c>
      <c r="J12815">
        <v>10598</v>
      </c>
      <c r="K12815">
        <v>3504</v>
      </c>
      <c r="L12815" t="s">
        <v>23</v>
      </c>
      <c r="M12815" t="s">
        <v>27953</v>
      </c>
      <c r="N12815" t="s">
        <v>27954</v>
      </c>
      <c r="O12815" t="s">
        <v>117</v>
      </c>
      <c r="P12815">
        <v>10598</v>
      </c>
      <c r="Q12815">
        <v>3504</v>
      </c>
      <c r="R12815" t="s">
        <v>23</v>
      </c>
      <c r="S12815" s="1" t="s">
        <v>34218</v>
      </c>
    </row>
    <row r="12816" spans="1:19" x14ac:dyDescent="0.25">
      <c r="A12816">
        <v>101474942</v>
      </c>
      <c r="B12816" t="s">
        <v>27955</v>
      </c>
      <c r="C12816" t="s">
        <v>2776</v>
      </c>
      <c r="G12816" t="s">
        <v>27956</v>
      </c>
      <c r="H12816" t="s">
        <v>16283</v>
      </c>
      <c r="I12816" t="s">
        <v>52</v>
      </c>
      <c r="J12816">
        <v>33437</v>
      </c>
      <c r="K12816">
        <v>4193</v>
      </c>
      <c r="L12816" t="s">
        <v>23</v>
      </c>
      <c r="M12816" t="s">
        <v>27956</v>
      </c>
      <c r="N12816" t="s">
        <v>16283</v>
      </c>
      <c r="O12816" t="s">
        <v>52</v>
      </c>
      <c r="P12816">
        <v>33437</v>
      </c>
      <c r="Q12816">
        <v>4193</v>
      </c>
      <c r="R12816" t="s">
        <v>23</v>
      </c>
      <c r="S12816" s="1" t="s">
        <v>34218</v>
      </c>
    </row>
    <row r="12817" spans="1:19" x14ac:dyDescent="0.25">
      <c r="A12817">
        <v>101480063</v>
      </c>
      <c r="B12817" t="s">
        <v>27957</v>
      </c>
      <c r="C12817" t="s">
        <v>27958</v>
      </c>
      <c r="G12817" t="s">
        <v>27959</v>
      </c>
      <c r="H12817" t="s">
        <v>198</v>
      </c>
      <c r="I12817" t="s">
        <v>22</v>
      </c>
      <c r="J12817">
        <v>92107</v>
      </c>
      <c r="K12817">
        <v>3365</v>
      </c>
      <c r="L12817" t="s">
        <v>23</v>
      </c>
      <c r="M12817" t="s">
        <v>27959</v>
      </c>
      <c r="N12817" t="s">
        <v>198</v>
      </c>
      <c r="O12817" t="s">
        <v>22</v>
      </c>
      <c r="P12817">
        <v>92107</v>
      </c>
      <c r="Q12817">
        <v>3365</v>
      </c>
      <c r="R12817" t="s">
        <v>23</v>
      </c>
      <c r="S12817" s="1" t="s">
        <v>34218</v>
      </c>
    </row>
    <row r="12818" spans="1:19" x14ac:dyDescent="0.25">
      <c r="A12818">
        <v>101480213</v>
      </c>
      <c r="B12818" t="s">
        <v>27960</v>
      </c>
      <c r="C12818" t="s">
        <v>1370</v>
      </c>
      <c r="G12818" t="s">
        <v>27961</v>
      </c>
      <c r="H12818" t="s">
        <v>2866</v>
      </c>
      <c r="I12818" t="s">
        <v>117</v>
      </c>
      <c r="J12818">
        <v>10598</v>
      </c>
      <c r="K12818">
        <v>3721</v>
      </c>
      <c r="L12818" t="s">
        <v>23</v>
      </c>
      <c r="M12818" t="s">
        <v>27961</v>
      </c>
      <c r="N12818" t="s">
        <v>2866</v>
      </c>
      <c r="O12818" t="s">
        <v>117</v>
      </c>
      <c r="P12818">
        <v>10598</v>
      </c>
      <c r="Q12818">
        <v>3721</v>
      </c>
      <c r="R12818" t="s">
        <v>23</v>
      </c>
      <c r="S12818" s="1" t="s">
        <v>34218</v>
      </c>
    </row>
    <row r="12819" spans="1:19" x14ac:dyDescent="0.25">
      <c r="A12819">
        <v>101480217</v>
      </c>
      <c r="B12819" t="s">
        <v>27962</v>
      </c>
      <c r="C12819" t="s">
        <v>4273</v>
      </c>
      <c r="G12819" t="s">
        <v>27963</v>
      </c>
      <c r="H12819" t="s">
        <v>18319</v>
      </c>
      <c r="I12819" t="s">
        <v>117</v>
      </c>
      <c r="J12819">
        <v>11374</v>
      </c>
      <c r="K12819">
        <v>3003</v>
      </c>
      <c r="L12819" t="s">
        <v>23</v>
      </c>
      <c r="M12819" t="s">
        <v>27963</v>
      </c>
      <c r="N12819" t="s">
        <v>18319</v>
      </c>
      <c r="O12819" t="s">
        <v>117</v>
      </c>
      <c r="P12819">
        <v>11374</v>
      </c>
      <c r="Q12819">
        <v>3003</v>
      </c>
      <c r="R12819" t="s">
        <v>23</v>
      </c>
      <c r="S12819" s="1" t="s">
        <v>34218</v>
      </c>
    </row>
    <row r="12820" spans="1:19" x14ac:dyDescent="0.25">
      <c r="A12820">
        <v>101480249</v>
      </c>
      <c r="B12820" t="s">
        <v>27964</v>
      </c>
      <c r="C12820" t="s">
        <v>399</v>
      </c>
      <c r="G12820" t="s">
        <v>27965</v>
      </c>
      <c r="H12820" t="s">
        <v>1531</v>
      </c>
      <c r="I12820" t="s">
        <v>84</v>
      </c>
      <c r="J12820">
        <v>98121</v>
      </c>
      <c r="K12820">
        <v>1259</v>
      </c>
      <c r="L12820" t="s">
        <v>23</v>
      </c>
      <c r="M12820" t="s">
        <v>27965</v>
      </c>
      <c r="N12820" t="s">
        <v>1531</v>
      </c>
      <c r="O12820" t="s">
        <v>84</v>
      </c>
      <c r="P12820">
        <v>98121</v>
      </c>
      <c r="Q12820">
        <v>1259</v>
      </c>
      <c r="R12820" t="s">
        <v>23</v>
      </c>
      <c r="S12820" s="1" t="s">
        <v>34218</v>
      </c>
    </row>
    <row r="12821" spans="1:19" x14ac:dyDescent="0.25">
      <c r="A12821">
        <v>101480317</v>
      </c>
      <c r="B12821" t="s">
        <v>1698</v>
      </c>
      <c r="C12821" t="s">
        <v>1793</v>
      </c>
      <c r="G12821" t="s">
        <v>27966</v>
      </c>
      <c r="H12821" t="s">
        <v>1355</v>
      </c>
      <c r="I12821" t="s">
        <v>84</v>
      </c>
      <c r="J12821">
        <v>98272</v>
      </c>
      <c r="K12821">
        <v>9069</v>
      </c>
      <c r="L12821" t="s">
        <v>23</v>
      </c>
      <c r="M12821" t="s">
        <v>27966</v>
      </c>
      <c r="N12821" t="s">
        <v>1355</v>
      </c>
      <c r="O12821" t="s">
        <v>84</v>
      </c>
      <c r="P12821">
        <v>98272</v>
      </c>
      <c r="Q12821">
        <v>9069</v>
      </c>
      <c r="R12821" t="s">
        <v>23</v>
      </c>
      <c r="S12821" s="1" t="s">
        <v>34218</v>
      </c>
    </row>
    <row r="12822" spans="1:19" x14ac:dyDescent="0.25">
      <c r="A12822">
        <v>101480330</v>
      </c>
      <c r="B12822" t="s">
        <v>3482</v>
      </c>
      <c r="C12822" t="s">
        <v>4012</v>
      </c>
      <c r="G12822" t="s">
        <v>27967</v>
      </c>
      <c r="H12822" t="s">
        <v>2582</v>
      </c>
      <c r="I12822" t="s">
        <v>84</v>
      </c>
      <c r="J12822">
        <v>98335</v>
      </c>
      <c r="K12822">
        <v>7102</v>
      </c>
      <c r="L12822" t="s">
        <v>23</v>
      </c>
      <c r="M12822" t="s">
        <v>27967</v>
      </c>
      <c r="N12822" t="s">
        <v>2582</v>
      </c>
      <c r="O12822" t="s">
        <v>84</v>
      </c>
      <c r="P12822">
        <v>98335</v>
      </c>
      <c r="Q12822">
        <v>7102</v>
      </c>
      <c r="R12822" t="s">
        <v>23</v>
      </c>
      <c r="S12822" s="1" t="s">
        <v>34218</v>
      </c>
    </row>
    <row r="12823" spans="1:19" x14ac:dyDescent="0.25">
      <c r="A12823">
        <v>101469655</v>
      </c>
      <c r="B12823" t="s">
        <v>2733</v>
      </c>
      <c r="C12823" t="s">
        <v>2734</v>
      </c>
      <c r="G12823" t="s">
        <v>2735</v>
      </c>
      <c r="H12823" t="s">
        <v>1105</v>
      </c>
      <c r="I12823" t="s">
        <v>117</v>
      </c>
      <c r="J12823">
        <v>10462</v>
      </c>
      <c r="K12823">
        <v>7426</v>
      </c>
      <c r="L12823" t="s">
        <v>23</v>
      </c>
      <c r="M12823" t="s">
        <v>2735</v>
      </c>
      <c r="N12823" t="s">
        <v>1105</v>
      </c>
      <c r="O12823" t="s">
        <v>117</v>
      </c>
      <c r="P12823">
        <v>10462</v>
      </c>
      <c r="Q12823">
        <v>7426</v>
      </c>
      <c r="R12823" t="s">
        <v>23</v>
      </c>
      <c r="S12823" s="1" t="s">
        <v>34218</v>
      </c>
    </row>
    <row r="12824" spans="1:19" x14ac:dyDescent="0.25">
      <c r="A12824">
        <v>100657327</v>
      </c>
      <c r="B12824" t="s">
        <v>27968</v>
      </c>
      <c r="C12824" t="s">
        <v>27969</v>
      </c>
      <c r="G12824" t="s">
        <v>27970</v>
      </c>
      <c r="H12824" t="s">
        <v>1344</v>
      </c>
      <c r="I12824" t="s">
        <v>984</v>
      </c>
      <c r="J12824">
        <v>96778</v>
      </c>
      <c r="L12824" t="s">
        <v>23</v>
      </c>
      <c r="M12824" t="s">
        <v>27970</v>
      </c>
      <c r="N12824" t="s">
        <v>1344</v>
      </c>
      <c r="O12824" t="s">
        <v>984</v>
      </c>
      <c r="P12824">
        <v>96778</v>
      </c>
      <c r="R12824" t="s">
        <v>23</v>
      </c>
      <c r="S12824" s="1" t="s">
        <v>34218</v>
      </c>
    </row>
    <row r="12825" spans="1:19" x14ac:dyDescent="0.25">
      <c r="A12825">
        <v>101245001</v>
      </c>
      <c r="B12825" t="s">
        <v>10379</v>
      </c>
      <c r="C12825" t="s">
        <v>313</v>
      </c>
      <c r="G12825" t="s">
        <v>27971</v>
      </c>
      <c r="H12825" t="s">
        <v>5644</v>
      </c>
      <c r="I12825" t="s">
        <v>370</v>
      </c>
      <c r="J12825">
        <v>68122</v>
      </c>
      <c r="K12825">
        <v>1022</v>
      </c>
      <c r="L12825" t="s">
        <v>23</v>
      </c>
      <c r="M12825" t="s">
        <v>27971</v>
      </c>
      <c r="N12825" t="s">
        <v>5644</v>
      </c>
      <c r="O12825" t="s">
        <v>370</v>
      </c>
      <c r="P12825">
        <v>68122</v>
      </c>
      <c r="Q12825">
        <v>1022</v>
      </c>
      <c r="R12825" t="s">
        <v>23</v>
      </c>
      <c r="S12825" s="1" t="s">
        <v>34218</v>
      </c>
    </row>
    <row r="12826" spans="1:19" x14ac:dyDescent="0.25">
      <c r="A12826">
        <v>101160432</v>
      </c>
      <c r="B12826" t="s">
        <v>27972</v>
      </c>
      <c r="C12826" t="s">
        <v>907</v>
      </c>
      <c r="G12826" t="s">
        <v>27973</v>
      </c>
      <c r="H12826" t="s">
        <v>7440</v>
      </c>
      <c r="I12826" t="s">
        <v>27974</v>
      </c>
      <c r="J12826">
        <v>21033</v>
      </c>
      <c r="L12826" t="s">
        <v>23</v>
      </c>
      <c r="M12826" t="s">
        <v>27973</v>
      </c>
      <c r="N12826" t="s">
        <v>7440</v>
      </c>
      <c r="O12826" t="s">
        <v>27974</v>
      </c>
      <c r="P12826">
        <v>21033</v>
      </c>
      <c r="R12826" t="s">
        <v>23</v>
      </c>
      <c r="S12826" s="1" t="s">
        <v>34218</v>
      </c>
    </row>
    <row r="12827" spans="1:19" x14ac:dyDescent="0.25">
      <c r="A12827">
        <v>101467763</v>
      </c>
      <c r="B12827" t="s">
        <v>1577</v>
      </c>
      <c r="C12827" t="s">
        <v>25</v>
      </c>
      <c r="G12827" t="s">
        <v>27975</v>
      </c>
      <c r="H12827" t="s">
        <v>1273</v>
      </c>
      <c r="I12827" t="s">
        <v>52</v>
      </c>
      <c r="J12827">
        <v>32164</v>
      </c>
      <c r="K12827">
        <v>6462</v>
      </c>
      <c r="L12827" t="s">
        <v>23</v>
      </c>
      <c r="M12827" t="s">
        <v>27975</v>
      </c>
      <c r="N12827" t="s">
        <v>1273</v>
      </c>
      <c r="O12827" t="s">
        <v>52</v>
      </c>
      <c r="P12827">
        <v>32164</v>
      </c>
      <c r="Q12827">
        <v>6462</v>
      </c>
      <c r="R12827" t="s">
        <v>23</v>
      </c>
      <c r="S12827" s="1" t="s">
        <v>34218</v>
      </c>
    </row>
    <row r="12828" spans="1:19" x14ac:dyDescent="0.25">
      <c r="A12828">
        <v>101257513</v>
      </c>
      <c r="B12828" t="s">
        <v>1970</v>
      </c>
      <c r="C12828" t="s">
        <v>282</v>
      </c>
      <c r="G12828" t="s">
        <v>27976</v>
      </c>
      <c r="H12828" t="s">
        <v>9016</v>
      </c>
      <c r="I12828" t="s">
        <v>84</v>
      </c>
      <c r="J12828">
        <v>98027</v>
      </c>
      <c r="L12828" t="s">
        <v>23</v>
      </c>
      <c r="M12828" t="s">
        <v>27976</v>
      </c>
      <c r="N12828" t="s">
        <v>9016</v>
      </c>
      <c r="O12828" t="s">
        <v>84</v>
      </c>
      <c r="P12828">
        <v>98027</v>
      </c>
      <c r="R12828" t="s">
        <v>23</v>
      </c>
      <c r="S12828" s="1" t="s">
        <v>34218</v>
      </c>
    </row>
    <row r="12829" spans="1:19" x14ac:dyDescent="0.25">
      <c r="A12829">
        <v>101180249</v>
      </c>
      <c r="B12829" t="s">
        <v>11916</v>
      </c>
      <c r="C12829" t="s">
        <v>1374</v>
      </c>
      <c r="G12829" t="s">
        <v>27977</v>
      </c>
      <c r="H12829" t="s">
        <v>5367</v>
      </c>
      <c r="I12829" t="s">
        <v>255</v>
      </c>
      <c r="J12829">
        <v>20165</v>
      </c>
      <c r="K12829">
        <v>6210</v>
      </c>
      <c r="L12829" t="s">
        <v>23</v>
      </c>
      <c r="M12829" t="s">
        <v>27977</v>
      </c>
      <c r="N12829" t="s">
        <v>5367</v>
      </c>
      <c r="O12829" t="s">
        <v>255</v>
      </c>
      <c r="P12829">
        <v>20165</v>
      </c>
      <c r="Q12829">
        <v>6210</v>
      </c>
      <c r="R12829" t="s">
        <v>23</v>
      </c>
      <c r="S12829" s="1" t="s">
        <v>34218</v>
      </c>
    </row>
    <row r="12830" spans="1:19" x14ac:dyDescent="0.25">
      <c r="A12830">
        <v>101471592</v>
      </c>
      <c r="B12830" t="s">
        <v>27978</v>
      </c>
      <c r="C12830" t="s">
        <v>403</v>
      </c>
      <c r="G12830" t="s">
        <v>27979</v>
      </c>
      <c r="H12830" t="s">
        <v>27980</v>
      </c>
      <c r="I12830" t="s">
        <v>117</v>
      </c>
      <c r="J12830">
        <v>13421</v>
      </c>
      <c r="K12830">
        <v>2820</v>
      </c>
      <c r="L12830" t="s">
        <v>23</v>
      </c>
      <c r="M12830" t="s">
        <v>27979</v>
      </c>
      <c r="N12830" t="s">
        <v>27980</v>
      </c>
      <c r="O12830" t="s">
        <v>117</v>
      </c>
      <c r="P12830">
        <v>13421</v>
      </c>
      <c r="Q12830">
        <v>2820</v>
      </c>
      <c r="R12830" t="s">
        <v>23</v>
      </c>
      <c r="S12830" s="1" t="s">
        <v>34218</v>
      </c>
    </row>
    <row r="12831" spans="1:19" x14ac:dyDescent="0.25">
      <c r="A12831">
        <v>101429791</v>
      </c>
      <c r="B12831" t="s">
        <v>27981</v>
      </c>
      <c r="C12831" t="s">
        <v>535</v>
      </c>
      <c r="G12831" t="s">
        <v>27982</v>
      </c>
      <c r="H12831" t="s">
        <v>1759</v>
      </c>
      <c r="I12831" t="s">
        <v>161</v>
      </c>
      <c r="J12831">
        <v>6794</v>
      </c>
      <c r="K12831">
        <v>1202</v>
      </c>
      <c r="L12831" t="s">
        <v>23</v>
      </c>
      <c r="M12831" t="s">
        <v>27982</v>
      </c>
      <c r="N12831" t="s">
        <v>1759</v>
      </c>
      <c r="O12831" t="s">
        <v>161</v>
      </c>
      <c r="P12831">
        <v>6794</v>
      </c>
      <c r="Q12831">
        <v>1202</v>
      </c>
      <c r="R12831" t="s">
        <v>23</v>
      </c>
      <c r="S12831" s="1" t="s">
        <v>34218</v>
      </c>
    </row>
    <row r="12832" spans="1:19" x14ac:dyDescent="0.25">
      <c r="A12832">
        <v>101335348</v>
      </c>
      <c r="B12832" t="s">
        <v>27983</v>
      </c>
      <c r="C12832" t="s">
        <v>30</v>
      </c>
      <c r="G12832" t="s">
        <v>27984</v>
      </c>
      <c r="H12832" t="s">
        <v>5335</v>
      </c>
      <c r="I12832" t="s">
        <v>446</v>
      </c>
      <c r="J12832">
        <v>28078</v>
      </c>
      <c r="K12832">
        <v>1856</v>
      </c>
      <c r="L12832" t="s">
        <v>23</v>
      </c>
      <c r="M12832" t="s">
        <v>27984</v>
      </c>
      <c r="N12832" t="s">
        <v>5335</v>
      </c>
      <c r="O12832" t="s">
        <v>446</v>
      </c>
      <c r="P12832">
        <v>28078</v>
      </c>
      <c r="Q12832">
        <v>1856</v>
      </c>
      <c r="R12832" t="s">
        <v>23</v>
      </c>
      <c r="S12832" s="1" t="s">
        <v>34218</v>
      </c>
    </row>
    <row r="12833" spans="1:19" x14ac:dyDescent="0.25">
      <c r="A12833">
        <v>101237750</v>
      </c>
      <c r="B12833" t="s">
        <v>27985</v>
      </c>
      <c r="C12833" t="s">
        <v>535</v>
      </c>
      <c r="G12833" t="s">
        <v>27986</v>
      </c>
      <c r="H12833" t="s">
        <v>653</v>
      </c>
      <c r="I12833" t="s">
        <v>117</v>
      </c>
      <c r="J12833">
        <v>10012</v>
      </c>
      <c r="K12833">
        <v>5029</v>
      </c>
      <c r="L12833" t="s">
        <v>23</v>
      </c>
      <c r="M12833" t="s">
        <v>27986</v>
      </c>
      <c r="N12833" t="s">
        <v>653</v>
      </c>
      <c r="O12833" t="s">
        <v>117</v>
      </c>
      <c r="P12833">
        <v>10012</v>
      </c>
      <c r="Q12833">
        <v>5029</v>
      </c>
      <c r="R12833" t="s">
        <v>23</v>
      </c>
      <c r="S12833" s="1" t="s">
        <v>34218</v>
      </c>
    </row>
    <row r="12834" spans="1:19" x14ac:dyDescent="0.25">
      <c r="A12834">
        <v>101453863</v>
      </c>
      <c r="B12834" t="s">
        <v>27987</v>
      </c>
      <c r="C12834" t="s">
        <v>522</v>
      </c>
      <c r="G12834" t="s">
        <v>27988</v>
      </c>
      <c r="H12834" t="s">
        <v>198</v>
      </c>
      <c r="I12834" t="s">
        <v>22</v>
      </c>
      <c r="J12834">
        <v>92130</v>
      </c>
      <c r="K12834">
        <v>6978</v>
      </c>
      <c r="L12834" t="s">
        <v>23</v>
      </c>
      <c r="M12834" t="s">
        <v>27988</v>
      </c>
      <c r="N12834" t="s">
        <v>198</v>
      </c>
      <c r="O12834" t="s">
        <v>22</v>
      </c>
      <c r="P12834">
        <v>92130</v>
      </c>
      <c r="Q12834">
        <v>6978</v>
      </c>
      <c r="R12834" t="s">
        <v>23</v>
      </c>
      <c r="S12834" s="1" t="s">
        <v>34218</v>
      </c>
    </row>
    <row r="12835" spans="1:19" x14ac:dyDescent="0.25">
      <c r="A12835">
        <v>101449302</v>
      </c>
      <c r="B12835" t="s">
        <v>27989</v>
      </c>
      <c r="C12835" t="s">
        <v>1463</v>
      </c>
      <c r="G12835" t="s">
        <v>27990</v>
      </c>
      <c r="H12835" t="s">
        <v>892</v>
      </c>
      <c r="I12835" t="s">
        <v>84</v>
      </c>
      <c r="J12835">
        <v>98848</v>
      </c>
      <c r="K12835">
        <v>1342</v>
      </c>
      <c r="L12835" t="s">
        <v>23</v>
      </c>
      <c r="M12835" t="s">
        <v>27990</v>
      </c>
      <c r="N12835" t="s">
        <v>892</v>
      </c>
      <c r="O12835" t="s">
        <v>84</v>
      </c>
      <c r="P12835">
        <v>98848</v>
      </c>
      <c r="Q12835">
        <v>1342</v>
      </c>
      <c r="R12835" t="s">
        <v>23</v>
      </c>
      <c r="S12835" s="1" t="s">
        <v>34218</v>
      </c>
    </row>
    <row r="12836" spans="1:19" x14ac:dyDescent="0.25">
      <c r="A12836">
        <v>100793008</v>
      </c>
      <c r="B12836" t="s">
        <v>8815</v>
      </c>
      <c r="C12836" t="s">
        <v>4299</v>
      </c>
      <c r="G12836" t="s">
        <v>27991</v>
      </c>
      <c r="H12836" t="s">
        <v>2039</v>
      </c>
      <c r="I12836" t="s">
        <v>446</v>
      </c>
      <c r="J12836">
        <v>28124</v>
      </c>
      <c r="K12836">
        <v>124</v>
      </c>
      <c r="L12836" t="s">
        <v>23</v>
      </c>
      <c r="M12836" t="s">
        <v>27991</v>
      </c>
      <c r="N12836" t="s">
        <v>2039</v>
      </c>
      <c r="O12836" t="s">
        <v>446</v>
      </c>
      <c r="P12836">
        <v>28124</v>
      </c>
      <c r="Q12836">
        <v>124</v>
      </c>
      <c r="R12836" t="s">
        <v>23</v>
      </c>
      <c r="S12836" s="1" t="s">
        <v>34218</v>
      </c>
    </row>
    <row r="12837" spans="1:19" x14ac:dyDescent="0.25">
      <c r="A12837">
        <v>101302882</v>
      </c>
      <c r="B12837" t="s">
        <v>5137</v>
      </c>
      <c r="C12837" t="s">
        <v>5187</v>
      </c>
      <c r="G12837" t="s">
        <v>27992</v>
      </c>
      <c r="H12837" t="s">
        <v>11625</v>
      </c>
      <c r="I12837" t="s">
        <v>33</v>
      </c>
      <c r="J12837">
        <v>17315</v>
      </c>
      <c r="K12837">
        <v>4554</v>
      </c>
      <c r="L12837" t="s">
        <v>23</v>
      </c>
      <c r="M12837" t="s">
        <v>27992</v>
      </c>
      <c r="N12837" t="s">
        <v>11625</v>
      </c>
      <c r="O12837" t="s">
        <v>33</v>
      </c>
      <c r="P12837">
        <v>17315</v>
      </c>
      <c r="Q12837">
        <v>4554</v>
      </c>
      <c r="R12837" t="s">
        <v>23</v>
      </c>
      <c r="S12837" s="1" t="s">
        <v>34218</v>
      </c>
    </row>
    <row r="12838" spans="1:19" x14ac:dyDescent="0.25">
      <c r="A12838">
        <v>101252568</v>
      </c>
      <c r="B12838" t="s">
        <v>17373</v>
      </c>
      <c r="C12838" t="s">
        <v>5091</v>
      </c>
      <c r="G12838" t="s">
        <v>27993</v>
      </c>
      <c r="H12838" t="s">
        <v>653</v>
      </c>
      <c r="I12838" t="s">
        <v>117</v>
      </c>
      <c r="J12838">
        <v>10023</v>
      </c>
      <c r="K12838">
        <v>5713</v>
      </c>
      <c r="L12838" t="s">
        <v>23</v>
      </c>
      <c r="M12838" t="s">
        <v>27993</v>
      </c>
      <c r="N12838" t="s">
        <v>653</v>
      </c>
      <c r="O12838" t="s">
        <v>117</v>
      </c>
      <c r="P12838">
        <v>10023</v>
      </c>
      <c r="Q12838">
        <v>5713</v>
      </c>
      <c r="R12838" t="s">
        <v>23</v>
      </c>
      <c r="S12838" s="1" t="s">
        <v>34218</v>
      </c>
    </row>
    <row r="12839" spans="1:19" x14ac:dyDescent="0.25">
      <c r="A12839">
        <v>101471705</v>
      </c>
      <c r="B12839" t="s">
        <v>1581</v>
      </c>
      <c r="C12839" t="s">
        <v>2127</v>
      </c>
      <c r="G12839" t="s">
        <v>27994</v>
      </c>
      <c r="H12839" t="s">
        <v>2665</v>
      </c>
      <c r="I12839" t="s">
        <v>33</v>
      </c>
      <c r="J12839">
        <v>19335</v>
      </c>
      <c r="K12839">
        <v>3040</v>
      </c>
      <c r="L12839" t="s">
        <v>23</v>
      </c>
      <c r="M12839" t="s">
        <v>27994</v>
      </c>
      <c r="N12839" t="s">
        <v>2665</v>
      </c>
      <c r="O12839" t="s">
        <v>33</v>
      </c>
      <c r="P12839">
        <v>19335</v>
      </c>
      <c r="Q12839">
        <v>3040</v>
      </c>
      <c r="R12839" t="s">
        <v>23</v>
      </c>
      <c r="S12839" s="1" t="s">
        <v>34218</v>
      </c>
    </row>
    <row r="12840" spans="1:19" x14ac:dyDescent="0.25">
      <c r="A12840">
        <v>101422508</v>
      </c>
      <c r="B12840" t="s">
        <v>6311</v>
      </c>
      <c r="C12840" t="s">
        <v>27995</v>
      </c>
      <c r="G12840" t="s">
        <v>27996</v>
      </c>
      <c r="H12840" t="s">
        <v>1439</v>
      </c>
      <c r="I12840" t="s">
        <v>365</v>
      </c>
      <c r="J12840">
        <v>85719</v>
      </c>
      <c r="L12840" t="s">
        <v>23</v>
      </c>
      <c r="M12840" t="s">
        <v>27996</v>
      </c>
      <c r="N12840" t="s">
        <v>1439</v>
      </c>
      <c r="O12840" t="s">
        <v>365</v>
      </c>
      <c r="P12840">
        <v>85719</v>
      </c>
      <c r="R12840" t="s">
        <v>23</v>
      </c>
      <c r="S12840" s="1" t="s">
        <v>34218</v>
      </c>
    </row>
    <row r="12841" spans="1:19" x14ac:dyDescent="0.25">
      <c r="A12841">
        <v>101223567</v>
      </c>
      <c r="B12841" t="s">
        <v>1831</v>
      </c>
      <c r="C12841" t="s">
        <v>1886</v>
      </c>
      <c r="G12841">
        <v>94605</v>
      </c>
      <c r="H12841" t="s">
        <v>88</v>
      </c>
      <c r="I12841" t="s">
        <v>22</v>
      </c>
      <c r="J12841">
        <v>94605</v>
      </c>
      <c r="L12841" t="s">
        <v>23</v>
      </c>
      <c r="M12841">
        <v>94605</v>
      </c>
      <c r="N12841" t="s">
        <v>88</v>
      </c>
      <c r="O12841" t="s">
        <v>22</v>
      </c>
      <c r="P12841">
        <v>94605</v>
      </c>
      <c r="R12841" t="s">
        <v>23</v>
      </c>
      <c r="S12841" s="1" t="s">
        <v>34218</v>
      </c>
    </row>
    <row r="12842" spans="1:19" x14ac:dyDescent="0.25">
      <c r="A12842">
        <v>101471065</v>
      </c>
      <c r="B12842" t="s">
        <v>27997</v>
      </c>
      <c r="C12842" t="s">
        <v>27998</v>
      </c>
      <c r="G12842" t="s">
        <v>27999</v>
      </c>
      <c r="H12842" t="s">
        <v>13210</v>
      </c>
      <c r="I12842" t="s">
        <v>52</v>
      </c>
      <c r="J12842">
        <v>34219</v>
      </c>
      <c r="K12842">
        <v>7505</v>
      </c>
      <c r="L12842" t="s">
        <v>23</v>
      </c>
      <c r="M12842" t="s">
        <v>27999</v>
      </c>
      <c r="N12842" t="s">
        <v>13210</v>
      </c>
      <c r="O12842" t="s">
        <v>52</v>
      </c>
      <c r="P12842">
        <v>34219</v>
      </c>
      <c r="Q12842">
        <v>7505</v>
      </c>
      <c r="R12842" t="s">
        <v>23</v>
      </c>
      <c r="S12842" s="1" t="s">
        <v>34218</v>
      </c>
    </row>
    <row r="12843" spans="1:19" x14ac:dyDescent="0.25">
      <c r="A12843">
        <v>101286257</v>
      </c>
      <c r="B12843" t="s">
        <v>28000</v>
      </c>
      <c r="C12843" t="s">
        <v>2802</v>
      </c>
      <c r="G12843" t="s">
        <v>28001</v>
      </c>
      <c r="H12843" t="s">
        <v>169</v>
      </c>
      <c r="I12843" t="s">
        <v>170</v>
      </c>
      <c r="J12843">
        <v>20500</v>
      </c>
      <c r="K12843">
        <v>5</v>
      </c>
      <c r="L12843" t="s">
        <v>23</v>
      </c>
      <c r="M12843" t="s">
        <v>28001</v>
      </c>
      <c r="N12843" t="s">
        <v>169</v>
      </c>
      <c r="O12843" t="s">
        <v>170</v>
      </c>
      <c r="P12843">
        <v>20500</v>
      </c>
      <c r="Q12843">
        <v>5</v>
      </c>
      <c r="R12843" t="s">
        <v>23</v>
      </c>
      <c r="S12843" s="1" t="s">
        <v>34218</v>
      </c>
    </row>
    <row r="12844" spans="1:19" x14ac:dyDescent="0.25">
      <c r="A12844">
        <v>101428017</v>
      </c>
      <c r="B12844" t="s">
        <v>28002</v>
      </c>
      <c r="C12844" t="s">
        <v>28003</v>
      </c>
      <c r="G12844" t="s">
        <v>28004</v>
      </c>
      <c r="H12844" t="s">
        <v>27575</v>
      </c>
      <c r="I12844" t="s">
        <v>33</v>
      </c>
      <c r="J12844">
        <v>19046</v>
      </c>
      <c r="K12844">
        <v>4206</v>
      </c>
      <c r="L12844" t="s">
        <v>23</v>
      </c>
      <c r="M12844" t="s">
        <v>28004</v>
      </c>
      <c r="N12844" t="s">
        <v>27575</v>
      </c>
      <c r="O12844" t="s">
        <v>33</v>
      </c>
      <c r="P12844">
        <v>19046</v>
      </c>
      <c r="Q12844">
        <v>4206</v>
      </c>
      <c r="R12844" t="s">
        <v>23</v>
      </c>
      <c r="S12844" s="1" t="s">
        <v>34218</v>
      </c>
    </row>
    <row r="12845" spans="1:19" x14ac:dyDescent="0.25">
      <c r="A12845">
        <v>101272576</v>
      </c>
      <c r="B12845" t="s">
        <v>7443</v>
      </c>
      <c r="C12845" t="s">
        <v>2786</v>
      </c>
      <c r="G12845" t="s">
        <v>28005</v>
      </c>
      <c r="H12845" t="s">
        <v>2313</v>
      </c>
      <c r="I12845" t="s">
        <v>639</v>
      </c>
      <c r="J12845">
        <v>87124</v>
      </c>
      <c r="K12845">
        <v>911</v>
      </c>
      <c r="L12845" t="s">
        <v>23</v>
      </c>
      <c r="M12845" t="s">
        <v>28005</v>
      </c>
      <c r="N12845" t="s">
        <v>2313</v>
      </c>
      <c r="O12845" t="s">
        <v>639</v>
      </c>
      <c r="P12845">
        <v>87124</v>
      </c>
      <c r="Q12845">
        <v>911</v>
      </c>
      <c r="R12845" t="s">
        <v>23</v>
      </c>
      <c r="S12845" s="1" t="s">
        <v>34218</v>
      </c>
    </row>
    <row r="12846" spans="1:19" x14ac:dyDescent="0.25">
      <c r="A12846">
        <v>101452223</v>
      </c>
      <c r="B12846" t="s">
        <v>28006</v>
      </c>
      <c r="C12846" t="s">
        <v>128</v>
      </c>
      <c r="G12846" t="s">
        <v>8300</v>
      </c>
      <c r="H12846" t="s">
        <v>4981</v>
      </c>
      <c r="I12846" t="s">
        <v>84</v>
      </c>
      <c r="J12846">
        <v>98386</v>
      </c>
      <c r="K12846">
        <v>176</v>
      </c>
      <c r="L12846" t="s">
        <v>23</v>
      </c>
      <c r="M12846" t="s">
        <v>8300</v>
      </c>
      <c r="N12846" t="s">
        <v>4981</v>
      </c>
      <c r="O12846" t="s">
        <v>84</v>
      </c>
      <c r="P12846">
        <v>98386</v>
      </c>
      <c r="Q12846">
        <v>176</v>
      </c>
      <c r="R12846" t="s">
        <v>23</v>
      </c>
      <c r="S12846" s="1" t="s">
        <v>34218</v>
      </c>
    </row>
    <row r="12847" spans="1:19" x14ac:dyDescent="0.25">
      <c r="A12847">
        <v>100539534</v>
      </c>
      <c r="B12847" t="s">
        <v>1339</v>
      </c>
      <c r="C12847" t="s">
        <v>466</v>
      </c>
      <c r="G12847" t="s">
        <v>28007</v>
      </c>
      <c r="H12847" t="s">
        <v>13480</v>
      </c>
      <c r="I12847" t="s">
        <v>1000</v>
      </c>
      <c r="J12847">
        <v>59410</v>
      </c>
      <c r="K12847">
        <v>373</v>
      </c>
      <c r="L12847" t="s">
        <v>23</v>
      </c>
      <c r="M12847" t="s">
        <v>28007</v>
      </c>
      <c r="N12847" t="s">
        <v>13480</v>
      </c>
      <c r="O12847" t="s">
        <v>1000</v>
      </c>
      <c r="P12847">
        <v>59410</v>
      </c>
      <c r="Q12847">
        <v>373</v>
      </c>
      <c r="R12847" t="s">
        <v>23</v>
      </c>
      <c r="S12847" s="1" t="s">
        <v>34218</v>
      </c>
    </row>
    <row r="12848" spans="1:19" x14ac:dyDescent="0.25">
      <c r="A12848">
        <v>101424056</v>
      </c>
      <c r="B12848" t="s">
        <v>144</v>
      </c>
      <c r="C12848" t="s">
        <v>28008</v>
      </c>
      <c r="G12848" t="s">
        <v>28009</v>
      </c>
      <c r="H12848" t="s">
        <v>18927</v>
      </c>
      <c r="I12848" t="s">
        <v>914</v>
      </c>
      <c r="J12848">
        <v>37076</v>
      </c>
      <c r="K12848">
        <v>2166</v>
      </c>
      <c r="L12848" t="s">
        <v>23</v>
      </c>
      <c r="M12848" t="s">
        <v>28009</v>
      </c>
      <c r="N12848" t="s">
        <v>18927</v>
      </c>
      <c r="O12848" t="s">
        <v>914</v>
      </c>
      <c r="P12848">
        <v>37076</v>
      </c>
      <c r="Q12848">
        <v>2166</v>
      </c>
      <c r="R12848" t="s">
        <v>23</v>
      </c>
      <c r="S12848" s="1" t="s">
        <v>34218</v>
      </c>
    </row>
    <row r="12849" spans="1:19" x14ac:dyDescent="0.25">
      <c r="A12849">
        <v>101451217</v>
      </c>
      <c r="B12849" t="s">
        <v>7463</v>
      </c>
      <c r="C12849" t="s">
        <v>1602</v>
      </c>
      <c r="G12849" t="s">
        <v>18899</v>
      </c>
      <c r="H12849" t="s">
        <v>2987</v>
      </c>
      <c r="I12849" t="s">
        <v>22</v>
      </c>
      <c r="J12849">
        <v>91606</v>
      </c>
      <c r="K12849">
        <v>4210</v>
      </c>
      <c r="L12849" t="s">
        <v>23</v>
      </c>
      <c r="M12849" t="s">
        <v>18899</v>
      </c>
      <c r="N12849" t="s">
        <v>2987</v>
      </c>
      <c r="O12849" t="s">
        <v>22</v>
      </c>
      <c r="P12849">
        <v>91606</v>
      </c>
      <c r="Q12849">
        <v>4210</v>
      </c>
      <c r="R12849" t="s">
        <v>23</v>
      </c>
      <c r="S12849" s="1" t="s">
        <v>34218</v>
      </c>
    </row>
    <row r="12850" spans="1:19" x14ac:dyDescent="0.25">
      <c r="A12850">
        <v>100968684</v>
      </c>
      <c r="B12850" t="s">
        <v>9421</v>
      </c>
      <c r="C12850" t="s">
        <v>4542</v>
      </c>
      <c r="G12850" t="s">
        <v>28010</v>
      </c>
      <c r="H12850" t="s">
        <v>28011</v>
      </c>
      <c r="I12850" t="s">
        <v>84</v>
      </c>
      <c r="J12850">
        <v>98292</v>
      </c>
      <c r="K12850">
        <v>4405</v>
      </c>
      <c r="L12850" t="s">
        <v>23</v>
      </c>
      <c r="M12850" t="s">
        <v>28010</v>
      </c>
      <c r="N12850" t="s">
        <v>28011</v>
      </c>
      <c r="O12850" t="s">
        <v>84</v>
      </c>
      <c r="P12850">
        <v>98292</v>
      </c>
      <c r="Q12850">
        <v>4405</v>
      </c>
      <c r="R12850" t="s">
        <v>23</v>
      </c>
      <c r="S12850" s="1" t="s">
        <v>34218</v>
      </c>
    </row>
    <row r="12851" spans="1:19" x14ac:dyDescent="0.25">
      <c r="A12851">
        <v>101230333</v>
      </c>
      <c r="B12851" t="s">
        <v>28012</v>
      </c>
      <c r="C12851" t="s">
        <v>2642</v>
      </c>
      <c r="G12851" t="s">
        <v>28013</v>
      </c>
      <c r="H12851" t="s">
        <v>2640</v>
      </c>
      <c r="I12851" t="s">
        <v>52</v>
      </c>
      <c r="J12851">
        <v>33432</v>
      </c>
      <c r="K12851">
        <v>4205</v>
      </c>
      <c r="L12851" t="s">
        <v>23</v>
      </c>
      <c r="M12851" t="s">
        <v>28013</v>
      </c>
      <c r="N12851" t="s">
        <v>2640</v>
      </c>
      <c r="O12851" t="s">
        <v>52</v>
      </c>
      <c r="P12851">
        <v>33432</v>
      </c>
      <c r="Q12851">
        <v>4205</v>
      </c>
      <c r="R12851" t="s">
        <v>23</v>
      </c>
      <c r="S12851" s="1" t="s">
        <v>34218</v>
      </c>
    </row>
    <row r="12852" spans="1:19" x14ac:dyDescent="0.25">
      <c r="A12852">
        <v>101472215</v>
      </c>
      <c r="B12852" t="s">
        <v>20834</v>
      </c>
      <c r="C12852" t="s">
        <v>1865</v>
      </c>
      <c r="G12852" t="s">
        <v>28014</v>
      </c>
      <c r="H12852" t="s">
        <v>25414</v>
      </c>
      <c r="I12852" t="s">
        <v>117</v>
      </c>
      <c r="J12852">
        <v>11710</v>
      </c>
      <c r="K12852">
        <v>2131</v>
      </c>
      <c r="L12852" t="s">
        <v>23</v>
      </c>
      <c r="M12852" t="s">
        <v>28014</v>
      </c>
      <c r="N12852" t="s">
        <v>25414</v>
      </c>
      <c r="O12852" t="s">
        <v>117</v>
      </c>
      <c r="P12852">
        <v>11710</v>
      </c>
      <c r="Q12852">
        <v>2131</v>
      </c>
      <c r="R12852" t="s">
        <v>23</v>
      </c>
      <c r="S12852" s="1" t="s">
        <v>34218</v>
      </c>
    </row>
    <row r="12853" spans="1:19" x14ac:dyDescent="0.25">
      <c r="A12853">
        <v>101449863</v>
      </c>
      <c r="B12853" t="s">
        <v>28015</v>
      </c>
      <c r="C12853" t="s">
        <v>2786</v>
      </c>
      <c r="G12853" t="s">
        <v>28016</v>
      </c>
      <c r="H12853" t="s">
        <v>28017</v>
      </c>
      <c r="I12853" t="s">
        <v>255</v>
      </c>
      <c r="J12853">
        <v>22079</v>
      </c>
      <c r="K12853">
        <v>3530</v>
      </c>
      <c r="L12853" t="s">
        <v>23</v>
      </c>
      <c r="M12853" t="s">
        <v>28016</v>
      </c>
      <c r="N12853" t="s">
        <v>28017</v>
      </c>
      <c r="O12853" t="s">
        <v>255</v>
      </c>
      <c r="P12853">
        <v>22079</v>
      </c>
      <c r="Q12853">
        <v>3530</v>
      </c>
      <c r="R12853" t="s">
        <v>23</v>
      </c>
      <c r="S12853" s="1" t="s">
        <v>34218</v>
      </c>
    </row>
    <row r="12854" spans="1:19" x14ac:dyDescent="0.25">
      <c r="A12854">
        <v>101337797</v>
      </c>
      <c r="B12854" t="s">
        <v>8938</v>
      </c>
      <c r="C12854" t="s">
        <v>158</v>
      </c>
      <c r="G12854" t="s">
        <v>28018</v>
      </c>
      <c r="H12854" t="s">
        <v>28019</v>
      </c>
      <c r="I12854" t="s">
        <v>52</v>
      </c>
      <c r="J12854">
        <v>33563</v>
      </c>
      <c r="K12854">
        <v>3055</v>
      </c>
      <c r="L12854" t="s">
        <v>23</v>
      </c>
      <c r="M12854" t="s">
        <v>28018</v>
      </c>
      <c r="N12854" t="s">
        <v>28019</v>
      </c>
      <c r="O12854" t="s">
        <v>52</v>
      </c>
      <c r="P12854">
        <v>33563</v>
      </c>
      <c r="Q12854">
        <v>3055</v>
      </c>
      <c r="R12854" t="s">
        <v>23</v>
      </c>
      <c r="S12854" s="1" t="s">
        <v>34218</v>
      </c>
    </row>
    <row r="12855" spans="1:19" x14ac:dyDescent="0.25">
      <c r="A12855">
        <v>101394521</v>
      </c>
      <c r="B12855" t="s">
        <v>9373</v>
      </c>
      <c r="C12855" t="s">
        <v>28020</v>
      </c>
      <c r="G12855" t="s">
        <v>15262</v>
      </c>
      <c r="H12855" t="s">
        <v>11512</v>
      </c>
      <c r="I12855" t="s">
        <v>255</v>
      </c>
      <c r="J12855" t="s">
        <v>15263</v>
      </c>
      <c r="K12855">
        <v>8812</v>
      </c>
      <c r="L12855" t="s">
        <v>23</v>
      </c>
      <c r="M12855" t="s">
        <v>15262</v>
      </c>
      <c r="N12855" t="s">
        <v>11512</v>
      </c>
      <c r="O12855" t="s">
        <v>255</v>
      </c>
      <c r="P12855" t="s">
        <v>15263</v>
      </c>
      <c r="Q12855">
        <v>8812</v>
      </c>
      <c r="R12855" t="s">
        <v>23</v>
      </c>
      <c r="S12855" s="1" t="s">
        <v>34218</v>
      </c>
    </row>
    <row r="12856" spans="1:19" x14ac:dyDescent="0.25">
      <c r="A12856">
        <v>101249639</v>
      </c>
      <c r="B12856" t="s">
        <v>28021</v>
      </c>
      <c r="C12856" t="s">
        <v>1616</v>
      </c>
      <c r="G12856" t="s">
        <v>28022</v>
      </c>
      <c r="H12856" t="s">
        <v>28023</v>
      </c>
      <c r="I12856" t="s">
        <v>135</v>
      </c>
      <c r="J12856">
        <v>60050</v>
      </c>
      <c r="K12856">
        <v>4947</v>
      </c>
      <c r="L12856" t="s">
        <v>23</v>
      </c>
      <c r="M12856" t="s">
        <v>28022</v>
      </c>
      <c r="N12856" t="s">
        <v>28023</v>
      </c>
      <c r="O12856" t="s">
        <v>135</v>
      </c>
      <c r="P12856">
        <v>60050</v>
      </c>
      <c r="Q12856">
        <v>4947</v>
      </c>
      <c r="R12856" t="s">
        <v>23</v>
      </c>
      <c r="S12856" s="1" t="s">
        <v>34218</v>
      </c>
    </row>
    <row r="12857" spans="1:19" x14ac:dyDescent="0.25">
      <c r="A12857">
        <v>101474473</v>
      </c>
      <c r="B12857" t="s">
        <v>11936</v>
      </c>
      <c r="C12857" t="s">
        <v>1239</v>
      </c>
      <c r="G12857" t="s">
        <v>11937</v>
      </c>
      <c r="H12857" t="s">
        <v>2378</v>
      </c>
      <c r="I12857" t="s">
        <v>43</v>
      </c>
      <c r="J12857">
        <v>97351</v>
      </c>
      <c r="K12857">
        <v>9800</v>
      </c>
      <c r="L12857" t="s">
        <v>23</v>
      </c>
      <c r="M12857" t="s">
        <v>11937</v>
      </c>
      <c r="N12857" t="s">
        <v>2378</v>
      </c>
      <c r="O12857" t="s">
        <v>43</v>
      </c>
      <c r="P12857">
        <v>97351</v>
      </c>
      <c r="Q12857">
        <v>9800</v>
      </c>
      <c r="R12857" t="s">
        <v>23</v>
      </c>
      <c r="S12857" s="1" t="s">
        <v>34218</v>
      </c>
    </row>
    <row r="12858" spans="1:19" x14ac:dyDescent="0.25">
      <c r="A12858">
        <v>101474474</v>
      </c>
      <c r="B12858" t="s">
        <v>28024</v>
      </c>
      <c r="C12858" t="s">
        <v>28025</v>
      </c>
      <c r="G12858" t="s">
        <v>28026</v>
      </c>
      <c r="H12858" t="s">
        <v>569</v>
      </c>
      <c r="I12858" t="s">
        <v>187</v>
      </c>
      <c r="J12858">
        <v>55411</v>
      </c>
      <c r="K12858">
        <v>2325</v>
      </c>
      <c r="L12858" t="s">
        <v>23</v>
      </c>
      <c r="M12858" t="s">
        <v>28026</v>
      </c>
      <c r="N12858" t="s">
        <v>569</v>
      </c>
      <c r="O12858" t="s">
        <v>187</v>
      </c>
      <c r="P12858">
        <v>55411</v>
      </c>
      <c r="Q12858">
        <v>2325</v>
      </c>
      <c r="R12858" t="s">
        <v>23</v>
      </c>
      <c r="S12858" s="1" t="s">
        <v>34218</v>
      </c>
    </row>
    <row r="12859" spans="1:19" x14ac:dyDescent="0.25">
      <c r="A12859">
        <v>101473775</v>
      </c>
      <c r="B12859" t="s">
        <v>28027</v>
      </c>
      <c r="C12859" t="s">
        <v>119</v>
      </c>
      <c r="G12859" t="s">
        <v>28028</v>
      </c>
      <c r="H12859" t="s">
        <v>4235</v>
      </c>
      <c r="I12859" t="s">
        <v>984</v>
      </c>
      <c r="J12859">
        <v>96814</v>
      </c>
      <c r="K12859">
        <v>4010</v>
      </c>
      <c r="L12859" t="s">
        <v>23</v>
      </c>
      <c r="M12859" t="s">
        <v>28028</v>
      </c>
      <c r="N12859" t="s">
        <v>4235</v>
      </c>
      <c r="O12859" t="s">
        <v>984</v>
      </c>
      <c r="P12859">
        <v>96814</v>
      </c>
      <c r="Q12859">
        <v>4010</v>
      </c>
      <c r="R12859" t="s">
        <v>23</v>
      </c>
      <c r="S12859" s="1" t="s">
        <v>34218</v>
      </c>
    </row>
    <row r="12860" spans="1:19" x14ac:dyDescent="0.25">
      <c r="A12860">
        <v>100549354</v>
      </c>
      <c r="B12860" t="s">
        <v>13165</v>
      </c>
      <c r="C12860" t="s">
        <v>3951</v>
      </c>
      <c r="G12860" t="s">
        <v>28029</v>
      </c>
      <c r="H12860" t="s">
        <v>713</v>
      </c>
      <c r="I12860" t="s">
        <v>22</v>
      </c>
      <c r="J12860">
        <v>90290</v>
      </c>
      <c r="L12860" t="s">
        <v>23</v>
      </c>
      <c r="M12860" t="s">
        <v>28029</v>
      </c>
      <c r="N12860" t="s">
        <v>713</v>
      </c>
      <c r="O12860" t="s">
        <v>22</v>
      </c>
      <c r="P12860">
        <v>90290</v>
      </c>
      <c r="R12860" t="s">
        <v>23</v>
      </c>
      <c r="S12860" s="1" t="s">
        <v>34218</v>
      </c>
    </row>
    <row r="12861" spans="1:19" x14ac:dyDescent="0.25">
      <c r="A12861">
        <v>101474487</v>
      </c>
      <c r="B12861" t="s">
        <v>28030</v>
      </c>
      <c r="C12861" t="s">
        <v>770</v>
      </c>
      <c r="G12861" t="s">
        <v>28031</v>
      </c>
      <c r="H12861" t="s">
        <v>28032</v>
      </c>
      <c r="I12861" t="s">
        <v>52</v>
      </c>
      <c r="J12861">
        <v>32533</v>
      </c>
      <c r="K12861">
        <v>8268</v>
      </c>
      <c r="L12861" t="s">
        <v>23</v>
      </c>
      <c r="M12861" t="s">
        <v>28031</v>
      </c>
      <c r="N12861" t="s">
        <v>28032</v>
      </c>
      <c r="O12861" t="s">
        <v>52</v>
      </c>
      <c r="P12861">
        <v>32533</v>
      </c>
      <c r="Q12861">
        <v>8268</v>
      </c>
      <c r="R12861" t="s">
        <v>23</v>
      </c>
      <c r="S12861" s="1" t="s">
        <v>34218</v>
      </c>
    </row>
    <row r="12862" spans="1:19" x14ac:dyDescent="0.25">
      <c r="A12862">
        <v>101119780</v>
      </c>
      <c r="B12862" t="s">
        <v>281</v>
      </c>
      <c r="C12862" t="s">
        <v>28033</v>
      </c>
      <c r="G12862" t="s">
        <v>28034</v>
      </c>
      <c r="H12862" t="s">
        <v>28035</v>
      </c>
      <c r="I12862" t="s">
        <v>236</v>
      </c>
      <c r="J12862">
        <v>2657</v>
      </c>
      <c r="K12862">
        <v>1534</v>
      </c>
      <c r="L12862" t="s">
        <v>23</v>
      </c>
      <c r="M12862" t="s">
        <v>28034</v>
      </c>
      <c r="N12862" t="s">
        <v>28035</v>
      </c>
      <c r="O12862" t="s">
        <v>236</v>
      </c>
      <c r="P12862">
        <v>2657</v>
      </c>
      <c r="Q12862">
        <v>1534</v>
      </c>
      <c r="R12862" t="s">
        <v>23</v>
      </c>
      <c r="S12862" s="1" t="s">
        <v>34218</v>
      </c>
    </row>
    <row r="12863" spans="1:19" x14ac:dyDescent="0.25">
      <c r="A12863">
        <v>101435237</v>
      </c>
      <c r="B12863" t="s">
        <v>28036</v>
      </c>
      <c r="C12863" t="s">
        <v>28037</v>
      </c>
      <c r="G12863" t="s">
        <v>28038</v>
      </c>
      <c r="H12863" t="s">
        <v>28039</v>
      </c>
      <c r="I12863" t="s">
        <v>117</v>
      </c>
      <c r="J12863">
        <v>14301</v>
      </c>
      <c r="K12863">
        <v>1811</v>
      </c>
      <c r="L12863" t="s">
        <v>23</v>
      </c>
      <c r="M12863" t="s">
        <v>28038</v>
      </c>
      <c r="N12863" t="s">
        <v>28039</v>
      </c>
      <c r="O12863" t="s">
        <v>117</v>
      </c>
      <c r="P12863">
        <v>14301</v>
      </c>
      <c r="Q12863">
        <v>1811</v>
      </c>
      <c r="R12863" t="s">
        <v>23</v>
      </c>
      <c r="S12863" s="1" t="s">
        <v>34218</v>
      </c>
    </row>
    <row r="12864" spans="1:19" x14ac:dyDescent="0.25">
      <c r="A12864">
        <v>101451430</v>
      </c>
      <c r="B12864" t="s">
        <v>12945</v>
      </c>
      <c r="C12864" t="s">
        <v>1487</v>
      </c>
      <c r="G12864" t="s">
        <v>28040</v>
      </c>
      <c r="H12864" t="s">
        <v>26671</v>
      </c>
      <c r="I12864" t="s">
        <v>38</v>
      </c>
      <c r="J12864">
        <v>78681</v>
      </c>
      <c r="K12864">
        <v>7241</v>
      </c>
      <c r="L12864" t="s">
        <v>23</v>
      </c>
      <c r="M12864" t="s">
        <v>28040</v>
      </c>
      <c r="N12864" t="s">
        <v>26671</v>
      </c>
      <c r="O12864" t="s">
        <v>38</v>
      </c>
      <c r="P12864">
        <v>78681</v>
      </c>
      <c r="Q12864">
        <v>7241</v>
      </c>
      <c r="R12864" t="s">
        <v>23</v>
      </c>
      <c r="S12864" s="1" t="s">
        <v>34218</v>
      </c>
    </row>
    <row r="12865" spans="1:19" x14ac:dyDescent="0.25">
      <c r="A12865">
        <v>101443726</v>
      </c>
      <c r="B12865" t="s">
        <v>13147</v>
      </c>
      <c r="C12865" t="s">
        <v>329</v>
      </c>
      <c r="G12865" t="s">
        <v>28041</v>
      </c>
      <c r="H12865" t="s">
        <v>5620</v>
      </c>
      <c r="I12865" t="s">
        <v>236</v>
      </c>
      <c r="J12865" t="s">
        <v>28042</v>
      </c>
      <c r="K12865">
        <v>3410</v>
      </c>
      <c r="L12865" t="s">
        <v>23</v>
      </c>
      <c r="M12865" t="s">
        <v>28041</v>
      </c>
      <c r="N12865" t="s">
        <v>5620</v>
      </c>
      <c r="O12865" t="s">
        <v>236</v>
      </c>
      <c r="P12865" t="s">
        <v>28042</v>
      </c>
      <c r="Q12865">
        <v>3410</v>
      </c>
      <c r="R12865" t="s">
        <v>23</v>
      </c>
      <c r="S12865" s="1" t="s">
        <v>34218</v>
      </c>
    </row>
    <row r="12866" spans="1:19" x14ac:dyDescent="0.25">
      <c r="A12866">
        <v>101420588</v>
      </c>
      <c r="B12866" t="s">
        <v>585</v>
      </c>
      <c r="C12866" t="s">
        <v>5893</v>
      </c>
      <c r="G12866" t="s">
        <v>28043</v>
      </c>
      <c r="H12866" t="s">
        <v>8037</v>
      </c>
      <c r="I12866" t="s">
        <v>22</v>
      </c>
      <c r="J12866">
        <v>92879</v>
      </c>
      <c r="K12866">
        <v>6601</v>
      </c>
      <c r="L12866" t="s">
        <v>23</v>
      </c>
      <c r="M12866" t="s">
        <v>28043</v>
      </c>
      <c r="N12866" t="s">
        <v>8037</v>
      </c>
      <c r="O12866" t="s">
        <v>22</v>
      </c>
      <c r="P12866">
        <v>92879</v>
      </c>
      <c r="Q12866">
        <v>6601</v>
      </c>
      <c r="R12866" t="s">
        <v>23</v>
      </c>
      <c r="S12866" s="1" t="s">
        <v>34218</v>
      </c>
    </row>
    <row r="12867" spans="1:19" x14ac:dyDescent="0.25">
      <c r="A12867">
        <v>101275068</v>
      </c>
      <c r="B12867" t="s">
        <v>28044</v>
      </c>
      <c r="C12867" t="s">
        <v>15347</v>
      </c>
      <c r="G12867" t="s">
        <v>28045</v>
      </c>
      <c r="H12867" t="s">
        <v>2125</v>
      </c>
      <c r="I12867" t="s">
        <v>100</v>
      </c>
      <c r="J12867">
        <v>53562</v>
      </c>
      <c r="L12867" t="s">
        <v>23</v>
      </c>
      <c r="M12867" t="s">
        <v>28045</v>
      </c>
      <c r="N12867" t="s">
        <v>2125</v>
      </c>
      <c r="O12867" t="s">
        <v>100</v>
      </c>
      <c r="P12867">
        <v>53562</v>
      </c>
      <c r="R12867" t="s">
        <v>23</v>
      </c>
      <c r="S12867" s="1" t="s">
        <v>34218</v>
      </c>
    </row>
    <row r="12868" spans="1:19" x14ac:dyDescent="0.25">
      <c r="A12868">
        <v>101451826</v>
      </c>
      <c r="B12868" t="s">
        <v>5440</v>
      </c>
      <c r="C12868" t="s">
        <v>155</v>
      </c>
      <c r="G12868" t="s">
        <v>28046</v>
      </c>
      <c r="H12868" t="s">
        <v>899</v>
      </c>
      <c r="I12868" t="s">
        <v>135</v>
      </c>
      <c r="J12868">
        <v>60491</v>
      </c>
      <c r="K12868">
        <v>8466</v>
      </c>
      <c r="L12868" t="s">
        <v>23</v>
      </c>
      <c r="M12868" t="s">
        <v>28046</v>
      </c>
      <c r="N12868" t="s">
        <v>899</v>
      </c>
      <c r="O12868" t="s">
        <v>135</v>
      </c>
      <c r="P12868">
        <v>60491</v>
      </c>
      <c r="Q12868">
        <v>8466</v>
      </c>
      <c r="R12868" t="s">
        <v>23</v>
      </c>
      <c r="S12868" s="1" t="s">
        <v>34218</v>
      </c>
    </row>
    <row r="12869" spans="1:19" x14ac:dyDescent="0.25">
      <c r="A12869">
        <v>101199916</v>
      </c>
      <c r="B12869" t="s">
        <v>90</v>
      </c>
      <c r="C12869" t="s">
        <v>3164</v>
      </c>
      <c r="G12869" t="s">
        <v>28047</v>
      </c>
      <c r="H12869" t="s">
        <v>419</v>
      </c>
      <c r="I12869" t="s">
        <v>38</v>
      </c>
      <c r="J12869">
        <v>76132</v>
      </c>
      <c r="K12869">
        <v>4001</v>
      </c>
      <c r="L12869" t="s">
        <v>23</v>
      </c>
      <c r="M12869" t="s">
        <v>28047</v>
      </c>
      <c r="N12869" t="s">
        <v>419</v>
      </c>
      <c r="O12869" t="s">
        <v>38</v>
      </c>
      <c r="P12869">
        <v>76132</v>
      </c>
      <c r="Q12869">
        <v>4001</v>
      </c>
      <c r="R12869" t="s">
        <v>23</v>
      </c>
      <c r="S12869" s="1" t="s">
        <v>34218</v>
      </c>
    </row>
    <row r="12870" spans="1:19" x14ac:dyDescent="0.25">
      <c r="A12870">
        <v>101451831</v>
      </c>
      <c r="B12870" t="s">
        <v>28048</v>
      </c>
      <c r="C12870" t="s">
        <v>3460</v>
      </c>
      <c r="G12870" t="s">
        <v>28049</v>
      </c>
      <c r="H12870" t="s">
        <v>4514</v>
      </c>
      <c r="I12870" t="s">
        <v>2537</v>
      </c>
      <c r="J12870">
        <v>72703</v>
      </c>
      <c r="K12870">
        <v>3869</v>
      </c>
      <c r="L12870" t="s">
        <v>23</v>
      </c>
      <c r="M12870" t="s">
        <v>28049</v>
      </c>
      <c r="N12870" t="s">
        <v>4514</v>
      </c>
      <c r="O12870" t="s">
        <v>2537</v>
      </c>
      <c r="P12870">
        <v>72703</v>
      </c>
      <c r="Q12870">
        <v>3869</v>
      </c>
      <c r="R12870" t="s">
        <v>23</v>
      </c>
      <c r="S12870" s="1" t="s">
        <v>34218</v>
      </c>
    </row>
    <row r="12871" spans="1:19" x14ac:dyDescent="0.25">
      <c r="A12871">
        <v>101342009</v>
      </c>
      <c r="B12871" t="s">
        <v>28050</v>
      </c>
      <c r="C12871" t="s">
        <v>1647</v>
      </c>
      <c r="G12871" t="s">
        <v>28051</v>
      </c>
      <c r="H12871" t="s">
        <v>2403</v>
      </c>
      <c r="I12871" t="s">
        <v>117</v>
      </c>
      <c r="J12871">
        <v>10603</v>
      </c>
      <c r="K12871">
        <v>3520</v>
      </c>
      <c r="L12871" t="s">
        <v>23</v>
      </c>
      <c r="M12871" t="s">
        <v>28051</v>
      </c>
      <c r="N12871" t="s">
        <v>2403</v>
      </c>
      <c r="O12871" t="s">
        <v>117</v>
      </c>
      <c r="P12871">
        <v>10603</v>
      </c>
      <c r="Q12871">
        <v>3520</v>
      </c>
      <c r="R12871" t="s">
        <v>23</v>
      </c>
      <c r="S12871" s="1" t="s">
        <v>34218</v>
      </c>
    </row>
    <row r="12872" spans="1:19" x14ac:dyDescent="0.25">
      <c r="A12872">
        <v>101309152</v>
      </c>
      <c r="B12872" t="s">
        <v>28052</v>
      </c>
      <c r="C12872" t="s">
        <v>699</v>
      </c>
      <c r="G12872" t="s">
        <v>28053</v>
      </c>
      <c r="H12872" t="s">
        <v>2279</v>
      </c>
      <c r="I12872" t="s">
        <v>52</v>
      </c>
      <c r="J12872">
        <v>33604</v>
      </c>
      <c r="K12872">
        <v>5406</v>
      </c>
      <c r="L12872" t="s">
        <v>23</v>
      </c>
      <c r="M12872" t="s">
        <v>28053</v>
      </c>
      <c r="N12872" t="s">
        <v>2279</v>
      </c>
      <c r="O12872" t="s">
        <v>52</v>
      </c>
      <c r="P12872">
        <v>33604</v>
      </c>
      <c r="Q12872">
        <v>5406</v>
      </c>
      <c r="R12872" t="s">
        <v>23</v>
      </c>
      <c r="S12872" s="1" t="s">
        <v>34218</v>
      </c>
    </row>
    <row r="12873" spans="1:19" x14ac:dyDescent="0.25">
      <c r="A12873">
        <v>101345237</v>
      </c>
      <c r="B12873" t="s">
        <v>28054</v>
      </c>
      <c r="C12873" t="s">
        <v>1598</v>
      </c>
      <c r="G12873" t="s">
        <v>28055</v>
      </c>
      <c r="H12873" t="s">
        <v>15192</v>
      </c>
      <c r="I12873" t="s">
        <v>446</v>
      </c>
      <c r="J12873">
        <v>27358</v>
      </c>
      <c r="K12873">
        <v>9371</v>
      </c>
      <c r="L12873" t="s">
        <v>23</v>
      </c>
      <c r="M12873" t="s">
        <v>28055</v>
      </c>
      <c r="N12873" t="s">
        <v>15192</v>
      </c>
      <c r="O12873" t="s">
        <v>446</v>
      </c>
      <c r="P12873">
        <v>27358</v>
      </c>
      <c r="Q12873">
        <v>9371</v>
      </c>
      <c r="R12873" t="s">
        <v>23</v>
      </c>
      <c r="S12873" s="1" t="s">
        <v>34218</v>
      </c>
    </row>
    <row r="12874" spans="1:19" x14ac:dyDescent="0.25">
      <c r="A12874">
        <v>101349980</v>
      </c>
      <c r="B12874" t="s">
        <v>28056</v>
      </c>
      <c r="C12874" t="s">
        <v>282</v>
      </c>
      <c r="G12874" t="s">
        <v>28057</v>
      </c>
      <c r="H12874" t="s">
        <v>10015</v>
      </c>
      <c r="I12874" t="s">
        <v>255</v>
      </c>
      <c r="J12874">
        <v>22408</v>
      </c>
      <c r="K12874">
        <v>4008</v>
      </c>
      <c r="L12874" t="s">
        <v>23</v>
      </c>
      <c r="M12874" t="s">
        <v>28057</v>
      </c>
      <c r="N12874" t="s">
        <v>10015</v>
      </c>
      <c r="O12874" t="s">
        <v>255</v>
      </c>
      <c r="P12874">
        <v>22408</v>
      </c>
      <c r="Q12874">
        <v>4008</v>
      </c>
      <c r="R12874" t="s">
        <v>23</v>
      </c>
      <c r="S12874" s="1" t="s">
        <v>34218</v>
      </c>
    </row>
    <row r="12875" spans="1:19" x14ac:dyDescent="0.25">
      <c r="A12875">
        <v>100700116</v>
      </c>
      <c r="B12875" t="s">
        <v>28058</v>
      </c>
      <c r="C12875" t="s">
        <v>1623</v>
      </c>
      <c r="G12875" t="s">
        <v>28059</v>
      </c>
      <c r="H12875" t="s">
        <v>28060</v>
      </c>
      <c r="I12875" t="s">
        <v>38</v>
      </c>
      <c r="J12875">
        <v>76577</v>
      </c>
      <c r="K12875">
        <v>962</v>
      </c>
      <c r="L12875" t="s">
        <v>23</v>
      </c>
      <c r="M12875" t="s">
        <v>28059</v>
      </c>
      <c r="N12875" t="s">
        <v>28060</v>
      </c>
      <c r="O12875" t="s">
        <v>38</v>
      </c>
      <c r="P12875">
        <v>76577</v>
      </c>
      <c r="Q12875">
        <v>962</v>
      </c>
      <c r="R12875" t="s">
        <v>23</v>
      </c>
      <c r="S12875" s="1" t="s">
        <v>34218</v>
      </c>
    </row>
    <row r="12876" spans="1:19" x14ac:dyDescent="0.25">
      <c r="A12876">
        <v>100586581</v>
      </c>
      <c r="B12876" t="s">
        <v>12893</v>
      </c>
      <c r="C12876" t="s">
        <v>28061</v>
      </c>
      <c r="G12876" t="s">
        <v>28062</v>
      </c>
      <c r="H12876" t="s">
        <v>4334</v>
      </c>
      <c r="I12876" t="s">
        <v>84</v>
      </c>
      <c r="J12876">
        <v>98597</v>
      </c>
      <c r="K12876">
        <v>9772</v>
      </c>
      <c r="L12876" t="s">
        <v>23</v>
      </c>
      <c r="M12876" t="s">
        <v>28062</v>
      </c>
      <c r="N12876" t="s">
        <v>4334</v>
      </c>
      <c r="O12876" t="s">
        <v>84</v>
      </c>
      <c r="P12876">
        <v>98597</v>
      </c>
      <c r="Q12876">
        <v>9772</v>
      </c>
      <c r="R12876" t="s">
        <v>23</v>
      </c>
      <c r="S12876" s="1" t="s">
        <v>34218</v>
      </c>
    </row>
    <row r="12877" spans="1:19" x14ac:dyDescent="0.25">
      <c r="A12877">
        <v>101296579</v>
      </c>
      <c r="B12877" t="s">
        <v>12977</v>
      </c>
      <c r="C12877" t="s">
        <v>158</v>
      </c>
      <c r="G12877" t="s">
        <v>28063</v>
      </c>
      <c r="H12877" t="s">
        <v>9846</v>
      </c>
      <c r="I12877" t="s">
        <v>62</v>
      </c>
      <c r="J12877">
        <v>73401</v>
      </c>
      <c r="K12877">
        <v>5835</v>
      </c>
      <c r="L12877" t="s">
        <v>23</v>
      </c>
      <c r="M12877" t="s">
        <v>28063</v>
      </c>
      <c r="N12877" t="s">
        <v>9846</v>
      </c>
      <c r="O12877" t="s">
        <v>62</v>
      </c>
      <c r="P12877">
        <v>73401</v>
      </c>
      <c r="Q12877">
        <v>5835</v>
      </c>
      <c r="R12877" t="s">
        <v>23</v>
      </c>
      <c r="S12877" s="1" t="s">
        <v>34218</v>
      </c>
    </row>
    <row r="12878" spans="1:19" x14ac:dyDescent="0.25">
      <c r="A12878">
        <v>101397800</v>
      </c>
      <c r="B12878" t="s">
        <v>6376</v>
      </c>
      <c r="C12878" t="s">
        <v>128</v>
      </c>
      <c r="G12878" t="s">
        <v>28064</v>
      </c>
      <c r="H12878" t="s">
        <v>19508</v>
      </c>
      <c r="I12878" t="s">
        <v>178</v>
      </c>
      <c r="J12878">
        <v>44420</v>
      </c>
      <c r="K12878">
        <v>2119</v>
      </c>
      <c r="L12878" t="s">
        <v>23</v>
      </c>
      <c r="M12878" t="s">
        <v>28064</v>
      </c>
      <c r="N12878" t="s">
        <v>19508</v>
      </c>
      <c r="O12878" t="s">
        <v>178</v>
      </c>
      <c r="P12878">
        <v>44420</v>
      </c>
      <c r="Q12878">
        <v>2119</v>
      </c>
      <c r="R12878" t="s">
        <v>23</v>
      </c>
      <c r="S12878" s="1" t="s">
        <v>34218</v>
      </c>
    </row>
    <row r="12879" spans="1:19" x14ac:dyDescent="0.25">
      <c r="A12879">
        <v>101309714</v>
      </c>
      <c r="B12879" t="s">
        <v>28065</v>
      </c>
      <c r="C12879" t="s">
        <v>1298</v>
      </c>
      <c r="G12879" t="s">
        <v>28066</v>
      </c>
      <c r="H12879" t="s">
        <v>28067</v>
      </c>
      <c r="I12879" t="s">
        <v>117</v>
      </c>
      <c r="J12879">
        <v>12759</v>
      </c>
      <c r="K12879">
        <v>5411</v>
      </c>
      <c r="L12879" t="s">
        <v>23</v>
      </c>
      <c r="M12879" t="s">
        <v>28066</v>
      </c>
      <c r="N12879" t="s">
        <v>28067</v>
      </c>
      <c r="O12879" t="s">
        <v>117</v>
      </c>
      <c r="P12879">
        <v>12759</v>
      </c>
      <c r="Q12879">
        <v>5411</v>
      </c>
      <c r="R12879" t="s">
        <v>23</v>
      </c>
      <c r="S12879" s="1" t="s">
        <v>34218</v>
      </c>
    </row>
    <row r="12880" spans="1:19" x14ac:dyDescent="0.25">
      <c r="A12880">
        <v>101290636</v>
      </c>
      <c r="B12880" t="s">
        <v>28068</v>
      </c>
      <c r="C12880" t="s">
        <v>5711</v>
      </c>
      <c r="G12880" t="s">
        <v>28069</v>
      </c>
      <c r="H12880" t="s">
        <v>1196</v>
      </c>
      <c r="I12880" t="s">
        <v>52</v>
      </c>
      <c r="J12880">
        <v>32317</v>
      </c>
      <c r="K12880">
        <v>501</v>
      </c>
      <c r="L12880" t="s">
        <v>23</v>
      </c>
      <c r="M12880" t="s">
        <v>28069</v>
      </c>
      <c r="N12880" t="s">
        <v>1196</v>
      </c>
      <c r="O12880" t="s">
        <v>52</v>
      </c>
      <c r="P12880">
        <v>32317</v>
      </c>
      <c r="Q12880">
        <v>501</v>
      </c>
      <c r="R12880" t="s">
        <v>23</v>
      </c>
      <c r="S12880" s="1" t="s">
        <v>34218</v>
      </c>
    </row>
    <row r="12881" spans="1:19" x14ac:dyDescent="0.25">
      <c r="A12881">
        <v>101364656</v>
      </c>
      <c r="B12881" t="s">
        <v>28070</v>
      </c>
      <c r="C12881" t="s">
        <v>452</v>
      </c>
      <c r="G12881" t="s">
        <v>28071</v>
      </c>
      <c r="H12881" t="s">
        <v>1402</v>
      </c>
      <c r="I12881" t="s">
        <v>38</v>
      </c>
      <c r="J12881">
        <v>77017</v>
      </c>
      <c r="K12881">
        <v>4704</v>
      </c>
      <c r="L12881" t="s">
        <v>23</v>
      </c>
      <c r="M12881" t="s">
        <v>28071</v>
      </c>
      <c r="N12881" t="s">
        <v>1402</v>
      </c>
      <c r="O12881" t="s">
        <v>38</v>
      </c>
      <c r="P12881">
        <v>77017</v>
      </c>
      <c r="Q12881">
        <v>4704</v>
      </c>
      <c r="R12881" t="s">
        <v>23</v>
      </c>
      <c r="S12881" s="1" t="s">
        <v>34218</v>
      </c>
    </row>
    <row r="12882" spans="1:19" x14ac:dyDescent="0.25">
      <c r="A12882">
        <v>101430880</v>
      </c>
      <c r="B12882" t="s">
        <v>28072</v>
      </c>
      <c r="C12882" t="s">
        <v>1827</v>
      </c>
      <c r="G12882" t="s">
        <v>28073</v>
      </c>
      <c r="H12882" t="s">
        <v>412</v>
      </c>
      <c r="I12882" t="s">
        <v>117</v>
      </c>
      <c r="J12882">
        <v>11201</v>
      </c>
      <c r="K12882">
        <v>7117</v>
      </c>
      <c r="L12882" t="s">
        <v>23</v>
      </c>
      <c r="M12882" t="s">
        <v>28073</v>
      </c>
      <c r="N12882" t="s">
        <v>412</v>
      </c>
      <c r="O12882" t="s">
        <v>117</v>
      </c>
      <c r="P12882">
        <v>11201</v>
      </c>
      <c r="Q12882">
        <v>7117</v>
      </c>
      <c r="R12882" t="s">
        <v>23</v>
      </c>
      <c r="S12882" s="1" t="s">
        <v>34218</v>
      </c>
    </row>
    <row r="12883" spans="1:19" x14ac:dyDescent="0.25">
      <c r="A12883">
        <v>101245907</v>
      </c>
      <c r="B12883" t="s">
        <v>744</v>
      </c>
      <c r="C12883" t="s">
        <v>321</v>
      </c>
      <c r="G12883" t="s">
        <v>28074</v>
      </c>
      <c r="H12883" t="s">
        <v>3613</v>
      </c>
      <c r="I12883" t="s">
        <v>236</v>
      </c>
      <c r="J12883">
        <v>2446</v>
      </c>
      <c r="K12883">
        <v>3952</v>
      </c>
      <c r="L12883" t="s">
        <v>23</v>
      </c>
      <c r="M12883" t="s">
        <v>28074</v>
      </c>
      <c r="N12883" t="s">
        <v>3613</v>
      </c>
      <c r="O12883" t="s">
        <v>236</v>
      </c>
      <c r="P12883">
        <v>2446</v>
      </c>
      <c r="Q12883">
        <v>3952</v>
      </c>
      <c r="R12883" t="s">
        <v>23</v>
      </c>
      <c r="S12883" s="1" t="s">
        <v>34218</v>
      </c>
    </row>
    <row r="12884" spans="1:19" x14ac:dyDescent="0.25">
      <c r="A12884">
        <v>101456449</v>
      </c>
      <c r="B12884" t="s">
        <v>28075</v>
      </c>
      <c r="C12884" t="s">
        <v>4502</v>
      </c>
      <c r="G12884" t="s">
        <v>28076</v>
      </c>
      <c r="H12884" t="s">
        <v>6001</v>
      </c>
      <c r="I12884" t="s">
        <v>84</v>
      </c>
      <c r="J12884">
        <v>98290</v>
      </c>
      <c r="K12884">
        <v>5613</v>
      </c>
      <c r="L12884" t="s">
        <v>23</v>
      </c>
      <c r="M12884" t="s">
        <v>28076</v>
      </c>
      <c r="N12884" t="s">
        <v>6001</v>
      </c>
      <c r="O12884" t="s">
        <v>84</v>
      </c>
      <c r="P12884">
        <v>98290</v>
      </c>
      <c r="Q12884">
        <v>5613</v>
      </c>
      <c r="R12884" t="s">
        <v>23</v>
      </c>
      <c r="S12884" s="1" t="s">
        <v>34218</v>
      </c>
    </row>
    <row r="12885" spans="1:19" x14ac:dyDescent="0.25">
      <c r="A12885">
        <v>101422683</v>
      </c>
      <c r="B12885" t="s">
        <v>28077</v>
      </c>
      <c r="C12885" t="s">
        <v>2642</v>
      </c>
      <c r="G12885" t="s">
        <v>28078</v>
      </c>
      <c r="H12885" t="s">
        <v>758</v>
      </c>
      <c r="I12885" t="s">
        <v>148</v>
      </c>
      <c r="J12885">
        <v>20903</v>
      </c>
      <c r="K12885">
        <v>1928</v>
      </c>
      <c r="L12885" t="s">
        <v>23</v>
      </c>
      <c r="M12885" t="s">
        <v>28078</v>
      </c>
      <c r="N12885" t="s">
        <v>758</v>
      </c>
      <c r="O12885" t="s">
        <v>148</v>
      </c>
      <c r="P12885">
        <v>20903</v>
      </c>
      <c r="Q12885">
        <v>1928</v>
      </c>
      <c r="R12885" t="s">
        <v>23</v>
      </c>
      <c r="S12885" s="1" t="s">
        <v>34218</v>
      </c>
    </row>
    <row r="12886" spans="1:19" x14ac:dyDescent="0.25">
      <c r="A12886">
        <v>101310055</v>
      </c>
      <c r="B12886" t="s">
        <v>8564</v>
      </c>
      <c r="C12886" t="s">
        <v>28079</v>
      </c>
      <c r="G12886" t="s">
        <v>28080</v>
      </c>
      <c r="H12886" t="s">
        <v>3363</v>
      </c>
      <c r="I12886" t="s">
        <v>33</v>
      </c>
      <c r="J12886">
        <v>15205</v>
      </c>
      <c r="K12886">
        <v>3708</v>
      </c>
      <c r="L12886" t="s">
        <v>23</v>
      </c>
      <c r="M12886" t="s">
        <v>28080</v>
      </c>
      <c r="N12886" t="s">
        <v>3363</v>
      </c>
      <c r="O12886" t="s">
        <v>33</v>
      </c>
      <c r="P12886">
        <v>15205</v>
      </c>
      <c r="Q12886">
        <v>3708</v>
      </c>
      <c r="R12886" t="s">
        <v>23</v>
      </c>
      <c r="S12886" s="1" t="s">
        <v>34218</v>
      </c>
    </row>
    <row r="12887" spans="1:19" x14ac:dyDescent="0.25">
      <c r="A12887">
        <v>101275081</v>
      </c>
      <c r="B12887" t="s">
        <v>8564</v>
      </c>
      <c r="C12887" t="s">
        <v>770</v>
      </c>
      <c r="G12887" t="s">
        <v>28081</v>
      </c>
      <c r="H12887" t="s">
        <v>2878</v>
      </c>
      <c r="I12887" t="s">
        <v>914</v>
      </c>
      <c r="J12887">
        <v>37190</v>
      </c>
      <c r="K12887">
        <v>5125</v>
      </c>
      <c r="L12887" t="s">
        <v>23</v>
      </c>
      <c r="M12887" t="s">
        <v>28081</v>
      </c>
      <c r="N12887" t="s">
        <v>2878</v>
      </c>
      <c r="O12887" t="s">
        <v>914</v>
      </c>
      <c r="P12887">
        <v>37190</v>
      </c>
      <c r="Q12887">
        <v>5125</v>
      </c>
      <c r="R12887" t="s">
        <v>23</v>
      </c>
      <c r="S12887" s="1" t="s">
        <v>34218</v>
      </c>
    </row>
    <row r="12888" spans="1:19" x14ac:dyDescent="0.25">
      <c r="A12888">
        <v>101456477</v>
      </c>
      <c r="B12888" t="s">
        <v>6473</v>
      </c>
      <c r="C12888" t="s">
        <v>888</v>
      </c>
      <c r="G12888" t="s">
        <v>28082</v>
      </c>
      <c r="H12888" t="s">
        <v>2399</v>
      </c>
      <c r="I12888" t="s">
        <v>71</v>
      </c>
      <c r="J12888">
        <v>80526</v>
      </c>
      <c r="K12888">
        <v>1406</v>
      </c>
      <c r="L12888" t="s">
        <v>23</v>
      </c>
      <c r="M12888" t="s">
        <v>28082</v>
      </c>
      <c r="N12888" t="s">
        <v>2399</v>
      </c>
      <c r="O12888" t="s">
        <v>71</v>
      </c>
      <c r="P12888">
        <v>80526</v>
      </c>
      <c r="Q12888">
        <v>1406</v>
      </c>
      <c r="R12888" t="s">
        <v>23</v>
      </c>
      <c r="S12888" s="1" t="s">
        <v>34218</v>
      </c>
    </row>
    <row r="12889" spans="1:19" x14ac:dyDescent="0.25">
      <c r="A12889">
        <v>100889473</v>
      </c>
      <c r="B12889" t="s">
        <v>28083</v>
      </c>
      <c r="C12889" t="s">
        <v>217</v>
      </c>
      <c r="G12889" t="s">
        <v>28084</v>
      </c>
      <c r="H12889" t="s">
        <v>17003</v>
      </c>
      <c r="I12889" t="s">
        <v>446</v>
      </c>
      <c r="J12889">
        <v>28787</v>
      </c>
      <c r="L12889" t="s">
        <v>23</v>
      </c>
      <c r="M12889" t="s">
        <v>28084</v>
      </c>
      <c r="N12889" t="s">
        <v>17003</v>
      </c>
      <c r="O12889" t="s">
        <v>446</v>
      </c>
      <c r="P12889">
        <v>28787</v>
      </c>
      <c r="R12889" t="s">
        <v>23</v>
      </c>
      <c r="S12889" s="1" t="s">
        <v>34218</v>
      </c>
    </row>
    <row r="12890" spans="1:19" x14ac:dyDescent="0.25">
      <c r="A12890">
        <v>101419043</v>
      </c>
      <c r="B12890" t="s">
        <v>14878</v>
      </c>
      <c r="C12890" t="s">
        <v>313</v>
      </c>
      <c r="G12890" t="s">
        <v>28085</v>
      </c>
      <c r="H12890" t="s">
        <v>1405</v>
      </c>
      <c r="I12890" t="s">
        <v>187</v>
      </c>
      <c r="J12890">
        <v>55112</v>
      </c>
      <c r="K12890">
        <v>6514</v>
      </c>
      <c r="L12890" t="s">
        <v>23</v>
      </c>
      <c r="M12890" t="s">
        <v>28085</v>
      </c>
      <c r="N12890" t="s">
        <v>1405</v>
      </c>
      <c r="O12890" t="s">
        <v>187</v>
      </c>
      <c r="P12890">
        <v>55112</v>
      </c>
      <c r="Q12890">
        <v>6514</v>
      </c>
      <c r="R12890" t="s">
        <v>23</v>
      </c>
      <c r="S12890" s="1" t="s">
        <v>34218</v>
      </c>
    </row>
    <row r="12891" spans="1:19" x14ac:dyDescent="0.25">
      <c r="A12891">
        <v>101441303</v>
      </c>
      <c r="B12891" t="s">
        <v>28086</v>
      </c>
      <c r="C12891" t="s">
        <v>274</v>
      </c>
      <c r="G12891" t="s">
        <v>28087</v>
      </c>
      <c r="H12891" t="s">
        <v>299</v>
      </c>
      <c r="I12891" t="s">
        <v>22</v>
      </c>
      <c r="J12891">
        <v>90004</v>
      </c>
      <c r="K12891">
        <v>5312</v>
      </c>
      <c r="L12891" t="s">
        <v>23</v>
      </c>
      <c r="M12891" t="s">
        <v>28087</v>
      </c>
      <c r="N12891" t="s">
        <v>299</v>
      </c>
      <c r="O12891" t="s">
        <v>22</v>
      </c>
      <c r="P12891">
        <v>90004</v>
      </c>
      <c r="Q12891">
        <v>5312</v>
      </c>
      <c r="R12891" t="s">
        <v>23</v>
      </c>
      <c r="S12891" s="1" t="s">
        <v>34218</v>
      </c>
    </row>
    <row r="12892" spans="1:19" x14ac:dyDescent="0.25">
      <c r="A12892">
        <v>101273261</v>
      </c>
      <c r="B12892" t="s">
        <v>4170</v>
      </c>
      <c r="C12892" t="s">
        <v>286</v>
      </c>
      <c r="G12892" t="s">
        <v>28088</v>
      </c>
      <c r="H12892" t="s">
        <v>4370</v>
      </c>
      <c r="I12892" t="s">
        <v>126</v>
      </c>
      <c r="J12892">
        <v>63021</v>
      </c>
      <c r="K12892">
        <v>6335</v>
      </c>
      <c r="L12892" t="s">
        <v>23</v>
      </c>
      <c r="M12892" t="s">
        <v>28088</v>
      </c>
      <c r="N12892" t="s">
        <v>4370</v>
      </c>
      <c r="O12892" t="s">
        <v>126</v>
      </c>
      <c r="P12892">
        <v>63021</v>
      </c>
      <c r="Q12892">
        <v>6335</v>
      </c>
      <c r="R12892" t="s">
        <v>23</v>
      </c>
      <c r="S12892" s="1" t="s">
        <v>34218</v>
      </c>
    </row>
    <row r="12893" spans="1:19" x14ac:dyDescent="0.25">
      <c r="A12893">
        <v>101434983</v>
      </c>
      <c r="B12893" t="s">
        <v>28089</v>
      </c>
      <c r="C12893" t="s">
        <v>5347</v>
      </c>
      <c r="G12893" t="s">
        <v>28090</v>
      </c>
      <c r="H12893" t="s">
        <v>2274</v>
      </c>
      <c r="I12893" t="s">
        <v>236</v>
      </c>
      <c r="J12893">
        <v>2324</v>
      </c>
      <c r="K12893">
        <v>1317</v>
      </c>
      <c r="L12893" t="s">
        <v>23</v>
      </c>
      <c r="M12893" t="s">
        <v>28090</v>
      </c>
      <c r="N12893" t="s">
        <v>2274</v>
      </c>
      <c r="O12893" t="s">
        <v>236</v>
      </c>
      <c r="P12893">
        <v>2324</v>
      </c>
      <c r="Q12893">
        <v>1317</v>
      </c>
      <c r="R12893" t="s">
        <v>23</v>
      </c>
      <c r="S12893" s="1" t="s">
        <v>34218</v>
      </c>
    </row>
    <row r="12894" spans="1:19" x14ac:dyDescent="0.25">
      <c r="A12894">
        <v>101304795</v>
      </c>
      <c r="B12894" t="s">
        <v>28091</v>
      </c>
      <c r="C12894" t="s">
        <v>19375</v>
      </c>
      <c r="G12894" t="s">
        <v>28092</v>
      </c>
      <c r="H12894" t="s">
        <v>16283</v>
      </c>
      <c r="I12894" t="s">
        <v>52</v>
      </c>
      <c r="J12894">
        <v>33436</v>
      </c>
      <c r="K12894">
        <v>8945</v>
      </c>
      <c r="L12894" t="s">
        <v>23</v>
      </c>
      <c r="M12894" t="s">
        <v>28092</v>
      </c>
      <c r="N12894" t="s">
        <v>16283</v>
      </c>
      <c r="O12894" t="s">
        <v>52</v>
      </c>
      <c r="P12894">
        <v>33436</v>
      </c>
      <c r="Q12894">
        <v>8945</v>
      </c>
      <c r="R12894" t="s">
        <v>23</v>
      </c>
      <c r="S12894" s="1" t="s">
        <v>34218</v>
      </c>
    </row>
    <row r="12895" spans="1:19" x14ac:dyDescent="0.25">
      <c r="A12895">
        <v>101456631</v>
      </c>
      <c r="B12895" t="s">
        <v>28093</v>
      </c>
      <c r="C12895" t="s">
        <v>2232</v>
      </c>
      <c r="G12895" t="s">
        <v>28094</v>
      </c>
      <c r="H12895" t="s">
        <v>19808</v>
      </c>
      <c r="I12895" t="s">
        <v>117</v>
      </c>
      <c r="J12895">
        <v>12701</v>
      </c>
      <c r="K12895">
        <v>1510</v>
      </c>
      <c r="L12895" t="s">
        <v>23</v>
      </c>
      <c r="M12895" t="s">
        <v>28094</v>
      </c>
      <c r="N12895" t="s">
        <v>19808</v>
      </c>
      <c r="O12895" t="s">
        <v>117</v>
      </c>
      <c r="P12895">
        <v>12701</v>
      </c>
      <c r="Q12895">
        <v>1510</v>
      </c>
      <c r="R12895" t="s">
        <v>23</v>
      </c>
      <c r="S12895" s="1" t="s">
        <v>34218</v>
      </c>
    </row>
    <row r="12896" spans="1:19" x14ac:dyDescent="0.25">
      <c r="A12896">
        <v>101260818</v>
      </c>
      <c r="B12896" t="s">
        <v>1205</v>
      </c>
      <c r="C12896" t="s">
        <v>15194</v>
      </c>
      <c r="G12896" t="s">
        <v>28095</v>
      </c>
      <c r="H12896" t="s">
        <v>11379</v>
      </c>
      <c r="I12896" t="s">
        <v>2566</v>
      </c>
      <c r="J12896">
        <v>99501</v>
      </c>
      <c r="L12896" t="s">
        <v>23</v>
      </c>
      <c r="M12896" t="s">
        <v>28095</v>
      </c>
      <c r="N12896" t="s">
        <v>11379</v>
      </c>
      <c r="O12896" t="s">
        <v>2566</v>
      </c>
      <c r="P12896">
        <v>99501</v>
      </c>
      <c r="R12896" t="s">
        <v>23</v>
      </c>
      <c r="S12896" s="1" t="s">
        <v>34218</v>
      </c>
    </row>
    <row r="12897" spans="1:19" x14ac:dyDescent="0.25">
      <c r="A12897">
        <v>101420115</v>
      </c>
      <c r="B12897" t="s">
        <v>4218</v>
      </c>
      <c r="C12897" t="s">
        <v>3714</v>
      </c>
      <c r="G12897" t="s">
        <v>28096</v>
      </c>
      <c r="H12897" t="s">
        <v>2613</v>
      </c>
      <c r="I12897" t="s">
        <v>22</v>
      </c>
      <c r="J12897">
        <v>95667</v>
      </c>
      <c r="K12897">
        <v>3605</v>
      </c>
      <c r="L12897" t="s">
        <v>23</v>
      </c>
      <c r="M12897" t="s">
        <v>28096</v>
      </c>
      <c r="N12897" t="s">
        <v>2613</v>
      </c>
      <c r="O12897" t="s">
        <v>22</v>
      </c>
      <c r="P12897">
        <v>95667</v>
      </c>
      <c r="Q12897">
        <v>3605</v>
      </c>
      <c r="R12897" t="s">
        <v>23</v>
      </c>
      <c r="S12897" s="1" t="s">
        <v>34218</v>
      </c>
    </row>
    <row r="12898" spans="1:19" x14ac:dyDescent="0.25">
      <c r="A12898">
        <v>101454496</v>
      </c>
      <c r="B12898" t="s">
        <v>4212</v>
      </c>
      <c r="C12898" t="s">
        <v>1873</v>
      </c>
      <c r="G12898" t="s">
        <v>28097</v>
      </c>
      <c r="H12898" t="s">
        <v>19494</v>
      </c>
      <c r="I12898" t="s">
        <v>57</v>
      </c>
      <c r="J12898">
        <v>46383</v>
      </c>
      <c r="L12898" t="s">
        <v>23</v>
      </c>
      <c r="M12898" t="s">
        <v>28097</v>
      </c>
      <c r="N12898" t="s">
        <v>19494</v>
      </c>
      <c r="O12898" t="s">
        <v>57</v>
      </c>
      <c r="P12898">
        <v>46383</v>
      </c>
      <c r="R12898" t="s">
        <v>23</v>
      </c>
      <c r="S12898" s="1" t="s">
        <v>34218</v>
      </c>
    </row>
    <row r="12899" spans="1:19" x14ac:dyDescent="0.25">
      <c r="A12899">
        <v>101331544</v>
      </c>
      <c r="B12899" t="s">
        <v>28098</v>
      </c>
      <c r="C12899" t="s">
        <v>28099</v>
      </c>
      <c r="G12899" t="s">
        <v>28100</v>
      </c>
      <c r="H12899" t="s">
        <v>235</v>
      </c>
      <c r="I12899" t="s">
        <v>236</v>
      </c>
      <c r="J12899">
        <v>2151</v>
      </c>
      <c r="K12899">
        <v>2645</v>
      </c>
      <c r="L12899" t="s">
        <v>23</v>
      </c>
      <c r="M12899" t="s">
        <v>28100</v>
      </c>
      <c r="N12899" t="s">
        <v>235</v>
      </c>
      <c r="O12899" t="s">
        <v>236</v>
      </c>
      <c r="P12899">
        <v>2151</v>
      </c>
      <c r="Q12899">
        <v>2645</v>
      </c>
      <c r="R12899" t="s">
        <v>23</v>
      </c>
      <c r="S12899" s="1" t="s">
        <v>34218</v>
      </c>
    </row>
    <row r="12900" spans="1:19" x14ac:dyDescent="0.25">
      <c r="A12900">
        <v>101256124</v>
      </c>
      <c r="B12900" t="s">
        <v>2531</v>
      </c>
      <c r="C12900" t="s">
        <v>180</v>
      </c>
      <c r="G12900" t="s">
        <v>28101</v>
      </c>
      <c r="H12900" t="s">
        <v>1531</v>
      </c>
      <c r="I12900" t="s">
        <v>84</v>
      </c>
      <c r="J12900">
        <v>98178</v>
      </c>
      <c r="K12900">
        <v>2504</v>
      </c>
      <c r="L12900" t="s">
        <v>23</v>
      </c>
      <c r="M12900" t="s">
        <v>28101</v>
      </c>
      <c r="N12900" t="s">
        <v>1531</v>
      </c>
      <c r="O12900" t="s">
        <v>84</v>
      </c>
      <c r="P12900">
        <v>98178</v>
      </c>
      <c r="Q12900">
        <v>2504</v>
      </c>
      <c r="R12900" t="s">
        <v>23</v>
      </c>
      <c r="S12900" s="1" t="s">
        <v>34218</v>
      </c>
    </row>
    <row r="12901" spans="1:19" x14ac:dyDescent="0.25">
      <c r="A12901">
        <v>101439899</v>
      </c>
      <c r="B12901" t="s">
        <v>28102</v>
      </c>
      <c r="C12901" t="s">
        <v>274</v>
      </c>
      <c r="G12901" t="s">
        <v>28103</v>
      </c>
      <c r="H12901" t="s">
        <v>2701</v>
      </c>
      <c r="I12901" t="s">
        <v>914</v>
      </c>
      <c r="J12901">
        <v>37064</v>
      </c>
      <c r="K12901">
        <v>8639</v>
      </c>
      <c r="L12901" t="s">
        <v>23</v>
      </c>
      <c r="M12901" t="s">
        <v>28103</v>
      </c>
      <c r="N12901" t="s">
        <v>2701</v>
      </c>
      <c r="O12901" t="s">
        <v>914</v>
      </c>
      <c r="P12901">
        <v>37064</v>
      </c>
      <c r="Q12901">
        <v>8639</v>
      </c>
      <c r="R12901" t="s">
        <v>23</v>
      </c>
      <c r="S12901" s="1" t="s">
        <v>34218</v>
      </c>
    </row>
    <row r="12902" spans="1:19" x14ac:dyDescent="0.25">
      <c r="A12902">
        <v>101308687</v>
      </c>
      <c r="B12902" t="s">
        <v>28104</v>
      </c>
      <c r="C12902" t="s">
        <v>403</v>
      </c>
      <c r="G12902" t="s">
        <v>28105</v>
      </c>
      <c r="H12902" t="s">
        <v>9468</v>
      </c>
      <c r="I12902" t="s">
        <v>38</v>
      </c>
      <c r="J12902">
        <v>77554</v>
      </c>
      <c r="K12902">
        <v>8083</v>
      </c>
      <c r="L12902" t="s">
        <v>23</v>
      </c>
      <c r="M12902" t="s">
        <v>28105</v>
      </c>
      <c r="N12902" t="s">
        <v>9468</v>
      </c>
      <c r="O12902" t="s">
        <v>38</v>
      </c>
      <c r="P12902">
        <v>77554</v>
      </c>
      <c r="Q12902">
        <v>8083</v>
      </c>
      <c r="R12902" t="s">
        <v>23</v>
      </c>
      <c r="S12902" s="1" t="s">
        <v>34218</v>
      </c>
    </row>
    <row r="12903" spans="1:19" x14ac:dyDescent="0.25">
      <c r="A12903">
        <v>101050750</v>
      </c>
      <c r="B12903" t="s">
        <v>28106</v>
      </c>
      <c r="C12903" t="s">
        <v>522</v>
      </c>
      <c r="G12903" t="s">
        <v>28107</v>
      </c>
      <c r="H12903" t="s">
        <v>27803</v>
      </c>
      <c r="I12903" t="s">
        <v>187</v>
      </c>
      <c r="J12903">
        <v>55025</v>
      </c>
      <c r="K12903">
        <v>5506</v>
      </c>
      <c r="L12903" t="s">
        <v>23</v>
      </c>
      <c r="M12903" t="s">
        <v>28107</v>
      </c>
      <c r="N12903" t="s">
        <v>27803</v>
      </c>
      <c r="O12903" t="s">
        <v>187</v>
      </c>
      <c r="P12903">
        <v>55025</v>
      </c>
      <c r="Q12903">
        <v>5506</v>
      </c>
      <c r="R12903" t="s">
        <v>23</v>
      </c>
      <c r="S12903" s="1" t="s">
        <v>34218</v>
      </c>
    </row>
    <row r="12904" spans="1:19" x14ac:dyDescent="0.25">
      <c r="A12904">
        <v>101438104</v>
      </c>
      <c r="B12904" t="s">
        <v>16506</v>
      </c>
      <c r="C12904" t="s">
        <v>321</v>
      </c>
      <c r="G12904" t="s">
        <v>28108</v>
      </c>
      <c r="H12904" t="s">
        <v>22768</v>
      </c>
      <c r="I12904" t="s">
        <v>353</v>
      </c>
      <c r="J12904">
        <v>3450</v>
      </c>
      <c r="K12904">
        <v>5615</v>
      </c>
      <c r="L12904" t="s">
        <v>23</v>
      </c>
      <c r="M12904" t="s">
        <v>28108</v>
      </c>
      <c r="N12904" t="s">
        <v>22768</v>
      </c>
      <c r="O12904" t="s">
        <v>353</v>
      </c>
      <c r="P12904">
        <v>3450</v>
      </c>
      <c r="Q12904">
        <v>5615</v>
      </c>
      <c r="R12904" t="s">
        <v>23</v>
      </c>
      <c r="S12904" s="1" t="s">
        <v>34218</v>
      </c>
    </row>
    <row r="12905" spans="1:19" x14ac:dyDescent="0.25">
      <c r="A12905">
        <v>100643806</v>
      </c>
      <c r="B12905" t="s">
        <v>1685</v>
      </c>
      <c r="C12905" t="s">
        <v>4046</v>
      </c>
      <c r="G12905" t="s">
        <v>28109</v>
      </c>
      <c r="H12905" t="s">
        <v>3129</v>
      </c>
      <c r="I12905" t="s">
        <v>84</v>
      </c>
      <c r="J12905">
        <v>99203</v>
      </c>
      <c r="K12905">
        <v>1060</v>
      </c>
      <c r="L12905" t="s">
        <v>23</v>
      </c>
      <c r="M12905" t="s">
        <v>28109</v>
      </c>
      <c r="N12905" t="s">
        <v>3129</v>
      </c>
      <c r="O12905" t="s">
        <v>84</v>
      </c>
      <c r="P12905">
        <v>99203</v>
      </c>
      <c r="Q12905">
        <v>1060</v>
      </c>
      <c r="R12905" t="s">
        <v>23</v>
      </c>
      <c r="S12905" s="1" t="s">
        <v>34218</v>
      </c>
    </row>
    <row r="12906" spans="1:19" x14ac:dyDescent="0.25">
      <c r="A12906">
        <v>101431516</v>
      </c>
      <c r="B12906" t="s">
        <v>93</v>
      </c>
      <c r="C12906" t="s">
        <v>123</v>
      </c>
      <c r="G12906" t="s">
        <v>28110</v>
      </c>
      <c r="H12906" t="s">
        <v>13053</v>
      </c>
      <c r="I12906" t="s">
        <v>43</v>
      </c>
      <c r="J12906">
        <v>97031</v>
      </c>
      <c r="K12906">
        <v>1127</v>
      </c>
      <c r="L12906" t="s">
        <v>23</v>
      </c>
      <c r="M12906" t="s">
        <v>28110</v>
      </c>
      <c r="N12906" t="s">
        <v>13053</v>
      </c>
      <c r="O12906" t="s">
        <v>43</v>
      </c>
      <c r="P12906">
        <v>97031</v>
      </c>
      <c r="Q12906">
        <v>1127</v>
      </c>
      <c r="R12906" t="s">
        <v>23</v>
      </c>
      <c r="S12906" s="1" t="s">
        <v>34218</v>
      </c>
    </row>
    <row r="12907" spans="1:19" x14ac:dyDescent="0.25">
      <c r="A12907">
        <v>101236847</v>
      </c>
      <c r="B12907" t="s">
        <v>1595</v>
      </c>
      <c r="C12907" t="s">
        <v>4502</v>
      </c>
      <c r="G12907" t="s">
        <v>28111</v>
      </c>
      <c r="H12907" t="s">
        <v>1151</v>
      </c>
      <c r="I12907" t="s">
        <v>43</v>
      </c>
      <c r="J12907">
        <v>97080</v>
      </c>
      <c r="K12907">
        <v>7131</v>
      </c>
      <c r="L12907" t="s">
        <v>23</v>
      </c>
      <c r="M12907" t="s">
        <v>28111</v>
      </c>
      <c r="N12907" t="s">
        <v>1151</v>
      </c>
      <c r="O12907" t="s">
        <v>43</v>
      </c>
      <c r="P12907">
        <v>97080</v>
      </c>
      <c r="Q12907">
        <v>7131</v>
      </c>
      <c r="R12907" t="s">
        <v>23</v>
      </c>
      <c r="S12907" s="1" t="s">
        <v>34218</v>
      </c>
    </row>
    <row r="12908" spans="1:19" x14ac:dyDescent="0.25">
      <c r="A12908">
        <v>101290509</v>
      </c>
      <c r="B12908" t="s">
        <v>4127</v>
      </c>
      <c r="C12908" t="s">
        <v>718</v>
      </c>
      <c r="G12908" t="s">
        <v>28112</v>
      </c>
      <c r="H12908" t="s">
        <v>688</v>
      </c>
      <c r="I12908" t="s">
        <v>57</v>
      </c>
      <c r="J12908">
        <v>46975</v>
      </c>
      <c r="K12908">
        <v>7319</v>
      </c>
      <c r="L12908" t="s">
        <v>23</v>
      </c>
      <c r="M12908" t="s">
        <v>28112</v>
      </c>
      <c r="N12908" t="s">
        <v>688</v>
      </c>
      <c r="O12908" t="s">
        <v>57</v>
      </c>
      <c r="P12908">
        <v>46975</v>
      </c>
      <c r="Q12908">
        <v>7319</v>
      </c>
      <c r="R12908" t="s">
        <v>23</v>
      </c>
      <c r="S12908" s="1" t="s">
        <v>34218</v>
      </c>
    </row>
    <row r="12909" spans="1:19" x14ac:dyDescent="0.25">
      <c r="A12909">
        <v>101427779</v>
      </c>
      <c r="B12909" t="s">
        <v>28113</v>
      </c>
      <c r="C12909" t="s">
        <v>225</v>
      </c>
      <c r="G12909" t="s">
        <v>28114</v>
      </c>
      <c r="H12909" t="s">
        <v>1830</v>
      </c>
      <c r="I12909" t="s">
        <v>140</v>
      </c>
      <c r="J12909">
        <v>48208</v>
      </c>
      <c r="K12909">
        <v>2709</v>
      </c>
      <c r="L12909" t="s">
        <v>23</v>
      </c>
      <c r="M12909" t="s">
        <v>28114</v>
      </c>
      <c r="N12909" t="s">
        <v>1830</v>
      </c>
      <c r="O12909" t="s">
        <v>140</v>
      </c>
      <c r="P12909">
        <v>48208</v>
      </c>
      <c r="Q12909">
        <v>2709</v>
      </c>
      <c r="R12909" t="s">
        <v>23</v>
      </c>
      <c r="S12909" s="1" t="s">
        <v>34218</v>
      </c>
    </row>
    <row r="12910" spans="1:19" x14ac:dyDescent="0.25">
      <c r="A12910">
        <v>101264924</v>
      </c>
      <c r="B12910" t="s">
        <v>3438</v>
      </c>
      <c r="C12910" t="s">
        <v>11558</v>
      </c>
      <c r="G12910" t="s">
        <v>28115</v>
      </c>
      <c r="H12910" t="s">
        <v>37</v>
      </c>
      <c r="I12910" t="s">
        <v>38</v>
      </c>
      <c r="J12910">
        <v>78731</v>
      </c>
      <c r="K12910">
        <v>1446</v>
      </c>
      <c r="L12910" t="s">
        <v>23</v>
      </c>
      <c r="M12910" t="s">
        <v>28115</v>
      </c>
      <c r="N12910" t="s">
        <v>37</v>
      </c>
      <c r="O12910" t="s">
        <v>38</v>
      </c>
      <c r="P12910">
        <v>78731</v>
      </c>
      <c r="Q12910">
        <v>1446</v>
      </c>
      <c r="R12910" t="s">
        <v>23</v>
      </c>
      <c r="S12910" s="1" t="s">
        <v>34218</v>
      </c>
    </row>
    <row r="12911" spans="1:19" x14ac:dyDescent="0.25">
      <c r="A12911">
        <v>101426716</v>
      </c>
      <c r="B12911" t="s">
        <v>9150</v>
      </c>
      <c r="C12911" t="s">
        <v>225</v>
      </c>
      <c r="G12911" t="s">
        <v>28116</v>
      </c>
      <c r="H12911" t="s">
        <v>3902</v>
      </c>
      <c r="I12911" t="s">
        <v>22</v>
      </c>
      <c r="J12911">
        <v>91016</v>
      </c>
      <c r="K12911">
        <v>3043</v>
      </c>
      <c r="L12911" t="s">
        <v>23</v>
      </c>
      <c r="M12911" t="s">
        <v>28116</v>
      </c>
      <c r="N12911" t="s">
        <v>3902</v>
      </c>
      <c r="O12911" t="s">
        <v>22</v>
      </c>
      <c r="P12911">
        <v>91016</v>
      </c>
      <c r="Q12911">
        <v>3043</v>
      </c>
      <c r="R12911" t="s">
        <v>23</v>
      </c>
      <c r="S12911" s="1" t="s">
        <v>34218</v>
      </c>
    </row>
    <row r="12912" spans="1:19" x14ac:dyDescent="0.25">
      <c r="A12912">
        <v>101454537</v>
      </c>
      <c r="B12912" t="s">
        <v>28117</v>
      </c>
      <c r="C12912" t="s">
        <v>2518</v>
      </c>
      <c r="G12912" t="s">
        <v>28118</v>
      </c>
      <c r="H12912" t="s">
        <v>3440</v>
      </c>
      <c r="I12912" t="s">
        <v>161</v>
      </c>
      <c r="J12912">
        <v>6447</v>
      </c>
      <c r="K12912">
        <v>1343</v>
      </c>
      <c r="L12912" t="s">
        <v>23</v>
      </c>
      <c r="M12912" t="s">
        <v>28118</v>
      </c>
      <c r="N12912" t="s">
        <v>3440</v>
      </c>
      <c r="O12912" t="s">
        <v>161</v>
      </c>
      <c r="P12912">
        <v>6447</v>
      </c>
      <c r="Q12912">
        <v>1343</v>
      </c>
      <c r="R12912" t="s">
        <v>23</v>
      </c>
      <c r="S12912" s="1" t="s">
        <v>34218</v>
      </c>
    </row>
    <row r="12913" spans="1:19" x14ac:dyDescent="0.25">
      <c r="A12913">
        <v>101229680</v>
      </c>
      <c r="B12913" t="s">
        <v>10546</v>
      </c>
      <c r="C12913" t="s">
        <v>13183</v>
      </c>
      <c r="H12913" t="s">
        <v>28119</v>
      </c>
      <c r="I12913" t="s">
        <v>28120</v>
      </c>
      <c r="J12913">
        <v>41680</v>
      </c>
      <c r="L12913" t="s">
        <v>28121</v>
      </c>
      <c r="N12913" t="s">
        <v>28119</v>
      </c>
      <c r="O12913" t="s">
        <v>28120</v>
      </c>
      <c r="P12913">
        <v>41680</v>
      </c>
      <c r="R12913" t="s">
        <v>28121</v>
      </c>
      <c r="S12913" s="1" t="s">
        <v>34218</v>
      </c>
    </row>
    <row r="12914" spans="1:19" x14ac:dyDescent="0.25">
      <c r="A12914">
        <v>101112337</v>
      </c>
      <c r="B12914" t="s">
        <v>5606</v>
      </c>
      <c r="C12914" t="s">
        <v>8352</v>
      </c>
      <c r="G12914" t="s">
        <v>28122</v>
      </c>
      <c r="H12914" t="s">
        <v>569</v>
      </c>
      <c r="I12914" t="s">
        <v>187</v>
      </c>
      <c r="J12914">
        <v>55408</v>
      </c>
      <c r="K12914">
        <v>2620</v>
      </c>
      <c r="L12914" t="s">
        <v>23</v>
      </c>
      <c r="M12914" t="s">
        <v>28122</v>
      </c>
      <c r="N12914" t="s">
        <v>569</v>
      </c>
      <c r="O12914" t="s">
        <v>187</v>
      </c>
      <c r="P12914">
        <v>55408</v>
      </c>
      <c r="Q12914">
        <v>2620</v>
      </c>
      <c r="R12914" t="s">
        <v>23</v>
      </c>
      <c r="S12914" s="1" t="s">
        <v>34218</v>
      </c>
    </row>
    <row r="12915" spans="1:19" x14ac:dyDescent="0.25">
      <c r="A12915">
        <v>101451397</v>
      </c>
      <c r="B12915" t="s">
        <v>4975</v>
      </c>
      <c r="C12915" t="s">
        <v>699</v>
      </c>
      <c r="G12915" t="s">
        <v>28123</v>
      </c>
      <c r="H12915" t="s">
        <v>11842</v>
      </c>
      <c r="I12915" t="s">
        <v>57</v>
      </c>
      <c r="J12915">
        <v>46142</v>
      </c>
      <c r="K12915">
        <v>9437</v>
      </c>
      <c r="L12915" t="s">
        <v>23</v>
      </c>
      <c r="M12915" t="s">
        <v>28123</v>
      </c>
      <c r="N12915" t="s">
        <v>11842</v>
      </c>
      <c r="O12915" t="s">
        <v>57</v>
      </c>
      <c r="P12915">
        <v>46142</v>
      </c>
      <c r="Q12915">
        <v>9437</v>
      </c>
      <c r="R12915" t="s">
        <v>23</v>
      </c>
      <c r="S12915" s="1" t="s">
        <v>34218</v>
      </c>
    </row>
    <row r="12916" spans="1:19" x14ac:dyDescent="0.25">
      <c r="A12916">
        <v>101418911</v>
      </c>
      <c r="B12916" t="s">
        <v>28124</v>
      </c>
      <c r="C12916" t="s">
        <v>1306</v>
      </c>
      <c r="G12916" t="s">
        <v>28125</v>
      </c>
      <c r="H12916" t="s">
        <v>70</v>
      </c>
      <c r="I12916" t="s">
        <v>71</v>
      </c>
      <c r="J12916">
        <v>80004</v>
      </c>
      <c r="K12916">
        <v>3804</v>
      </c>
      <c r="L12916" t="s">
        <v>23</v>
      </c>
      <c r="M12916" t="s">
        <v>28125</v>
      </c>
      <c r="N12916" t="s">
        <v>70</v>
      </c>
      <c r="O12916" t="s">
        <v>71</v>
      </c>
      <c r="P12916">
        <v>80004</v>
      </c>
      <c r="Q12916">
        <v>3804</v>
      </c>
      <c r="R12916" t="s">
        <v>23</v>
      </c>
      <c r="S12916" s="1" t="s">
        <v>34218</v>
      </c>
    </row>
    <row r="12917" spans="1:19" x14ac:dyDescent="0.25">
      <c r="A12917">
        <v>101467473</v>
      </c>
      <c r="B12917" t="s">
        <v>28126</v>
      </c>
      <c r="C12917" t="s">
        <v>180</v>
      </c>
      <c r="G12917" t="s">
        <v>28127</v>
      </c>
      <c r="H12917" t="s">
        <v>653</v>
      </c>
      <c r="I12917" t="s">
        <v>117</v>
      </c>
      <c r="J12917">
        <v>10002</v>
      </c>
      <c r="K12917">
        <v>3968</v>
      </c>
      <c r="L12917" t="s">
        <v>23</v>
      </c>
      <c r="M12917" t="s">
        <v>28127</v>
      </c>
      <c r="N12917" t="s">
        <v>653</v>
      </c>
      <c r="O12917" t="s">
        <v>117</v>
      </c>
      <c r="P12917">
        <v>10002</v>
      </c>
      <c r="Q12917">
        <v>3968</v>
      </c>
      <c r="R12917" t="s">
        <v>23</v>
      </c>
      <c r="S12917" s="1" t="s">
        <v>34218</v>
      </c>
    </row>
    <row r="12918" spans="1:19" x14ac:dyDescent="0.25">
      <c r="A12918">
        <v>100747281</v>
      </c>
      <c r="B12918" t="s">
        <v>1262</v>
      </c>
      <c r="C12918" t="s">
        <v>403</v>
      </c>
      <c r="G12918" t="s">
        <v>28128</v>
      </c>
      <c r="H12918" t="s">
        <v>634</v>
      </c>
      <c r="I12918" t="s">
        <v>22</v>
      </c>
      <c r="J12918">
        <v>92592</v>
      </c>
      <c r="K12918">
        <v>3257</v>
      </c>
      <c r="L12918" t="s">
        <v>23</v>
      </c>
      <c r="M12918" t="s">
        <v>28128</v>
      </c>
      <c r="N12918" t="s">
        <v>634</v>
      </c>
      <c r="O12918" t="s">
        <v>22</v>
      </c>
      <c r="P12918">
        <v>92592</v>
      </c>
      <c r="Q12918">
        <v>3257</v>
      </c>
      <c r="R12918" t="s">
        <v>23</v>
      </c>
      <c r="S12918" s="1" t="s">
        <v>34218</v>
      </c>
    </row>
    <row r="12919" spans="1:19" x14ac:dyDescent="0.25">
      <c r="A12919">
        <v>101228651</v>
      </c>
      <c r="B12919" t="s">
        <v>28129</v>
      </c>
      <c r="C12919" t="s">
        <v>842</v>
      </c>
      <c r="G12919" t="s">
        <v>28130</v>
      </c>
      <c r="H12919" t="s">
        <v>7195</v>
      </c>
      <c r="I12919" t="s">
        <v>178</v>
      </c>
      <c r="J12919">
        <v>43302</v>
      </c>
      <c r="K12919">
        <v>8768</v>
      </c>
      <c r="L12919" t="s">
        <v>23</v>
      </c>
      <c r="M12919" t="s">
        <v>28130</v>
      </c>
      <c r="N12919" t="s">
        <v>7195</v>
      </c>
      <c r="O12919" t="s">
        <v>178</v>
      </c>
      <c r="P12919">
        <v>43302</v>
      </c>
      <c r="Q12919">
        <v>8768</v>
      </c>
      <c r="R12919" t="s">
        <v>23</v>
      </c>
      <c r="S12919" s="1" t="s">
        <v>34218</v>
      </c>
    </row>
    <row r="12920" spans="1:19" x14ac:dyDescent="0.25">
      <c r="A12920">
        <v>101256082</v>
      </c>
      <c r="B12920" t="s">
        <v>8109</v>
      </c>
      <c r="C12920" t="s">
        <v>5711</v>
      </c>
      <c r="G12920" t="s">
        <v>18644</v>
      </c>
      <c r="H12920" t="s">
        <v>1787</v>
      </c>
      <c r="I12920" t="s">
        <v>702</v>
      </c>
      <c r="J12920">
        <v>89145</v>
      </c>
      <c r="K12920">
        <v>6238</v>
      </c>
      <c r="L12920" t="s">
        <v>23</v>
      </c>
      <c r="M12920" t="s">
        <v>18644</v>
      </c>
      <c r="N12920" t="s">
        <v>1787</v>
      </c>
      <c r="O12920" t="s">
        <v>702</v>
      </c>
      <c r="P12920">
        <v>89145</v>
      </c>
      <c r="Q12920">
        <v>6238</v>
      </c>
      <c r="R12920" t="s">
        <v>23</v>
      </c>
      <c r="S12920" s="1" t="s">
        <v>34218</v>
      </c>
    </row>
    <row r="12921" spans="1:19" x14ac:dyDescent="0.25">
      <c r="A12921">
        <v>101335037</v>
      </c>
      <c r="B12921" t="s">
        <v>1800</v>
      </c>
      <c r="C12921" t="s">
        <v>2180</v>
      </c>
      <c r="G12921" t="s">
        <v>28131</v>
      </c>
      <c r="H12921" t="s">
        <v>638</v>
      </c>
      <c r="I12921" t="s">
        <v>639</v>
      </c>
      <c r="J12921">
        <v>87105</v>
      </c>
      <c r="K12921">
        <v>2693</v>
      </c>
      <c r="L12921" t="s">
        <v>23</v>
      </c>
      <c r="M12921" t="s">
        <v>28131</v>
      </c>
      <c r="N12921" t="s">
        <v>638</v>
      </c>
      <c r="O12921" t="s">
        <v>639</v>
      </c>
      <c r="P12921">
        <v>87105</v>
      </c>
      <c r="Q12921">
        <v>2693</v>
      </c>
      <c r="R12921" t="s">
        <v>23</v>
      </c>
      <c r="S12921" s="1" t="s">
        <v>34218</v>
      </c>
    </row>
    <row r="12922" spans="1:19" x14ac:dyDescent="0.25">
      <c r="A12922">
        <v>101480383</v>
      </c>
      <c r="B12922" t="s">
        <v>276</v>
      </c>
      <c r="C12922" t="s">
        <v>172</v>
      </c>
      <c r="G12922" t="s">
        <v>28132</v>
      </c>
      <c r="H12922" t="s">
        <v>4681</v>
      </c>
      <c r="I12922" t="s">
        <v>84</v>
      </c>
      <c r="J12922">
        <v>98550</v>
      </c>
      <c r="K12922">
        <v>1005</v>
      </c>
      <c r="L12922" t="s">
        <v>23</v>
      </c>
      <c r="M12922" t="s">
        <v>28132</v>
      </c>
      <c r="N12922" t="s">
        <v>4681</v>
      </c>
      <c r="O12922" t="s">
        <v>84</v>
      </c>
      <c r="P12922">
        <v>98550</v>
      </c>
      <c r="Q12922">
        <v>1005</v>
      </c>
      <c r="R12922" t="s">
        <v>23</v>
      </c>
      <c r="S12922" s="1" t="s">
        <v>34218</v>
      </c>
    </row>
    <row r="12923" spans="1:19" x14ac:dyDescent="0.25">
      <c r="A12923">
        <v>101285618</v>
      </c>
      <c r="B12923" t="s">
        <v>28133</v>
      </c>
      <c r="C12923" t="s">
        <v>582</v>
      </c>
      <c r="G12923" t="s">
        <v>28134</v>
      </c>
      <c r="H12923" t="s">
        <v>227</v>
      </c>
      <c r="I12923" t="s">
        <v>43</v>
      </c>
      <c r="J12923">
        <v>97213</v>
      </c>
      <c r="K12923">
        <v>1184</v>
      </c>
      <c r="L12923" t="s">
        <v>23</v>
      </c>
      <c r="M12923" t="s">
        <v>28134</v>
      </c>
      <c r="N12923" t="s">
        <v>227</v>
      </c>
      <c r="O12923" t="s">
        <v>43</v>
      </c>
      <c r="P12923">
        <v>97213</v>
      </c>
      <c r="Q12923">
        <v>1184</v>
      </c>
      <c r="R12923" t="s">
        <v>23</v>
      </c>
      <c r="S12923" s="1" t="s">
        <v>34218</v>
      </c>
    </row>
    <row r="12924" spans="1:19" x14ac:dyDescent="0.25">
      <c r="A12924">
        <v>101480464</v>
      </c>
      <c r="B12924" t="s">
        <v>28135</v>
      </c>
      <c r="C12924" t="s">
        <v>2653</v>
      </c>
      <c r="G12924" t="s">
        <v>28136</v>
      </c>
      <c r="H12924" t="s">
        <v>521</v>
      </c>
      <c r="I12924" t="s">
        <v>22</v>
      </c>
      <c r="J12924">
        <v>94541</v>
      </c>
      <c r="K12924">
        <v>5008</v>
      </c>
      <c r="L12924" t="s">
        <v>23</v>
      </c>
      <c r="M12924" t="s">
        <v>28136</v>
      </c>
      <c r="N12924" t="s">
        <v>521</v>
      </c>
      <c r="O12924" t="s">
        <v>22</v>
      </c>
      <c r="P12924">
        <v>94541</v>
      </c>
      <c r="Q12924">
        <v>5008</v>
      </c>
      <c r="R12924" t="s">
        <v>23</v>
      </c>
      <c r="S12924" s="1" t="s">
        <v>34218</v>
      </c>
    </row>
    <row r="12925" spans="1:19" x14ac:dyDescent="0.25">
      <c r="A12925">
        <v>100879112</v>
      </c>
      <c r="B12925" t="s">
        <v>5482</v>
      </c>
      <c r="C12925" t="s">
        <v>2576</v>
      </c>
      <c r="G12925" t="s">
        <v>28137</v>
      </c>
      <c r="H12925" t="s">
        <v>2910</v>
      </c>
      <c r="I12925" t="s">
        <v>52</v>
      </c>
      <c r="J12925">
        <v>34235</v>
      </c>
      <c r="K12925">
        <v>2112</v>
      </c>
      <c r="L12925" t="s">
        <v>23</v>
      </c>
      <c r="M12925" t="s">
        <v>28137</v>
      </c>
      <c r="N12925" t="s">
        <v>2910</v>
      </c>
      <c r="O12925" t="s">
        <v>52</v>
      </c>
      <c r="P12925">
        <v>34235</v>
      </c>
      <c r="Q12925">
        <v>2112</v>
      </c>
      <c r="R12925" t="s">
        <v>23</v>
      </c>
      <c r="S12925" s="1" t="s">
        <v>34218</v>
      </c>
    </row>
    <row r="12926" spans="1:19" x14ac:dyDescent="0.25">
      <c r="A12926">
        <v>101480468</v>
      </c>
      <c r="B12926" t="s">
        <v>28138</v>
      </c>
      <c r="C12926" t="s">
        <v>1558</v>
      </c>
      <c r="G12926" t="s">
        <v>28139</v>
      </c>
      <c r="H12926" t="s">
        <v>28140</v>
      </c>
      <c r="I12926" t="s">
        <v>33</v>
      </c>
      <c r="J12926">
        <v>19425</v>
      </c>
      <c r="K12926">
        <v>2625</v>
      </c>
      <c r="L12926" t="s">
        <v>23</v>
      </c>
      <c r="M12926" t="s">
        <v>28139</v>
      </c>
      <c r="N12926" t="s">
        <v>28140</v>
      </c>
      <c r="O12926" t="s">
        <v>33</v>
      </c>
      <c r="P12926">
        <v>19425</v>
      </c>
      <c r="Q12926">
        <v>2625</v>
      </c>
      <c r="R12926" t="s">
        <v>23</v>
      </c>
      <c r="S12926" s="1" t="s">
        <v>34218</v>
      </c>
    </row>
    <row r="12927" spans="1:19" x14ac:dyDescent="0.25">
      <c r="A12927">
        <v>101477416</v>
      </c>
      <c r="B12927" t="s">
        <v>10838</v>
      </c>
      <c r="C12927" t="s">
        <v>1327</v>
      </c>
      <c r="G12927" t="s">
        <v>28141</v>
      </c>
      <c r="H12927" t="s">
        <v>1787</v>
      </c>
      <c r="I12927" t="s">
        <v>702</v>
      </c>
      <c r="J12927">
        <v>89122</v>
      </c>
      <c r="K12927">
        <v>3309</v>
      </c>
      <c r="L12927" t="s">
        <v>23</v>
      </c>
      <c r="M12927" t="s">
        <v>28141</v>
      </c>
      <c r="N12927" t="s">
        <v>1787</v>
      </c>
      <c r="O12927" t="s">
        <v>702</v>
      </c>
      <c r="P12927">
        <v>89122</v>
      </c>
      <c r="Q12927">
        <v>3309</v>
      </c>
      <c r="R12927" t="s">
        <v>23</v>
      </c>
      <c r="S12927" s="1" t="s">
        <v>34218</v>
      </c>
    </row>
    <row r="12928" spans="1:19" x14ac:dyDescent="0.25">
      <c r="A12928">
        <v>101056242</v>
      </c>
      <c r="B12928" t="s">
        <v>28142</v>
      </c>
      <c r="C12928" t="s">
        <v>5024</v>
      </c>
      <c r="G12928" t="s">
        <v>28143</v>
      </c>
      <c r="H12928" t="s">
        <v>526</v>
      </c>
      <c r="I12928" t="s">
        <v>236</v>
      </c>
      <c r="J12928">
        <v>2339</v>
      </c>
      <c r="K12928">
        <v>1956</v>
      </c>
      <c r="L12928" t="s">
        <v>23</v>
      </c>
      <c r="M12928" t="s">
        <v>28143</v>
      </c>
      <c r="N12928" t="s">
        <v>526</v>
      </c>
      <c r="O12928" t="s">
        <v>236</v>
      </c>
      <c r="P12928">
        <v>2339</v>
      </c>
      <c r="Q12928">
        <v>1956</v>
      </c>
      <c r="R12928" t="s">
        <v>23</v>
      </c>
      <c r="S12928" s="1" t="s">
        <v>34218</v>
      </c>
    </row>
    <row r="12929" spans="1:19" x14ac:dyDescent="0.25">
      <c r="A12929">
        <v>101480473</v>
      </c>
      <c r="B12929" t="s">
        <v>7236</v>
      </c>
      <c r="C12929" t="s">
        <v>763</v>
      </c>
      <c r="G12929" t="s">
        <v>20773</v>
      </c>
      <c r="H12929" t="s">
        <v>7944</v>
      </c>
      <c r="I12929" t="s">
        <v>236</v>
      </c>
      <c r="J12929">
        <v>1060</v>
      </c>
      <c r="L12929" t="s">
        <v>23</v>
      </c>
      <c r="M12929" t="s">
        <v>20773</v>
      </c>
      <c r="N12929" t="s">
        <v>7944</v>
      </c>
      <c r="O12929" t="s">
        <v>236</v>
      </c>
      <c r="P12929">
        <v>1060</v>
      </c>
      <c r="R12929" t="s">
        <v>23</v>
      </c>
      <c r="S12929" s="1" t="s">
        <v>34218</v>
      </c>
    </row>
    <row r="12930" spans="1:19" x14ac:dyDescent="0.25">
      <c r="A12930">
        <v>101480478</v>
      </c>
      <c r="B12930" t="s">
        <v>4793</v>
      </c>
      <c r="C12930" t="s">
        <v>28144</v>
      </c>
      <c r="G12930" t="s">
        <v>28145</v>
      </c>
      <c r="H12930" t="s">
        <v>27</v>
      </c>
      <c r="I12930" t="s">
        <v>28</v>
      </c>
      <c r="J12930">
        <v>30349</v>
      </c>
      <c r="K12930">
        <v>4993</v>
      </c>
      <c r="L12930" t="s">
        <v>23</v>
      </c>
      <c r="M12930" t="s">
        <v>28145</v>
      </c>
      <c r="N12930" t="s">
        <v>27</v>
      </c>
      <c r="O12930" t="s">
        <v>28</v>
      </c>
      <c r="P12930">
        <v>30349</v>
      </c>
      <c r="Q12930">
        <v>4993</v>
      </c>
      <c r="R12930" t="s">
        <v>23</v>
      </c>
      <c r="S12930" s="1" t="s">
        <v>34218</v>
      </c>
    </row>
    <row r="12931" spans="1:19" x14ac:dyDescent="0.25">
      <c r="A12931">
        <v>101298581</v>
      </c>
      <c r="B12931" t="s">
        <v>28146</v>
      </c>
      <c r="C12931" t="s">
        <v>2357</v>
      </c>
      <c r="G12931" t="s">
        <v>28147</v>
      </c>
      <c r="H12931" t="s">
        <v>130</v>
      </c>
      <c r="I12931" t="s">
        <v>22</v>
      </c>
      <c r="J12931">
        <v>94116</v>
      </c>
      <c r="L12931" t="s">
        <v>23</v>
      </c>
      <c r="M12931" t="s">
        <v>28147</v>
      </c>
      <c r="N12931" t="s">
        <v>130</v>
      </c>
      <c r="O12931" t="s">
        <v>22</v>
      </c>
      <c r="P12931">
        <v>94116</v>
      </c>
      <c r="R12931" t="s">
        <v>23</v>
      </c>
      <c r="S12931" s="1" t="s">
        <v>34218</v>
      </c>
    </row>
    <row r="12932" spans="1:19" x14ac:dyDescent="0.25">
      <c r="A12932">
        <v>101315590</v>
      </c>
      <c r="B12932" t="s">
        <v>28148</v>
      </c>
      <c r="C12932" t="s">
        <v>531</v>
      </c>
      <c r="G12932" t="s">
        <v>28149</v>
      </c>
      <c r="H12932" t="s">
        <v>638</v>
      </c>
      <c r="I12932" t="s">
        <v>639</v>
      </c>
      <c r="J12932">
        <v>87113</v>
      </c>
      <c r="K12932">
        <v>2806</v>
      </c>
      <c r="L12932" t="s">
        <v>23</v>
      </c>
      <c r="M12932" t="s">
        <v>28149</v>
      </c>
      <c r="N12932" t="s">
        <v>638</v>
      </c>
      <c r="O12932" t="s">
        <v>639</v>
      </c>
      <c r="P12932">
        <v>87113</v>
      </c>
      <c r="Q12932">
        <v>2806</v>
      </c>
      <c r="R12932" t="s">
        <v>23</v>
      </c>
      <c r="S12932" s="1" t="s">
        <v>34218</v>
      </c>
    </row>
    <row r="12933" spans="1:19" x14ac:dyDescent="0.25">
      <c r="A12933">
        <v>100621526</v>
      </c>
      <c r="B12933" t="s">
        <v>1164</v>
      </c>
      <c r="C12933" t="s">
        <v>522</v>
      </c>
      <c r="G12933" t="s">
        <v>28150</v>
      </c>
      <c r="H12933" t="s">
        <v>5340</v>
      </c>
      <c r="I12933" t="s">
        <v>71</v>
      </c>
      <c r="J12933">
        <v>81435</v>
      </c>
      <c r="K12933">
        <v>724</v>
      </c>
      <c r="L12933" t="s">
        <v>23</v>
      </c>
      <c r="M12933" t="s">
        <v>28150</v>
      </c>
      <c r="N12933" t="s">
        <v>5340</v>
      </c>
      <c r="O12933" t="s">
        <v>71</v>
      </c>
      <c r="P12933">
        <v>81435</v>
      </c>
      <c r="Q12933">
        <v>724</v>
      </c>
      <c r="R12933" t="s">
        <v>23</v>
      </c>
      <c r="S12933" s="1" t="s">
        <v>34218</v>
      </c>
    </row>
    <row r="12934" spans="1:19" x14ac:dyDescent="0.25">
      <c r="A12934">
        <v>100809897</v>
      </c>
      <c r="B12934" t="s">
        <v>28151</v>
      </c>
      <c r="C12934" t="s">
        <v>4273</v>
      </c>
      <c r="G12934" t="s">
        <v>28152</v>
      </c>
      <c r="H12934" t="s">
        <v>569</v>
      </c>
      <c r="I12934" t="s">
        <v>187</v>
      </c>
      <c r="J12934">
        <v>55406</v>
      </c>
      <c r="K12934">
        <v>1445</v>
      </c>
      <c r="L12934" t="s">
        <v>23</v>
      </c>
      <c r="M12934" t="s">
        <v>28152</v>
      </c>
      <c r="N12934" t="s">
        <v>569</v>
      </c>
      <c r="O12934" t="s">
        <v>187</v>
      </c>
      <c r="P12934">
        <v>55406</v>
      </c>
      <c r="Q12934">
        <v>1445</v>
      </c>
      <c r="R12934" t="s">
        <v>23</v>
      </c>
      <c r="S12934" s="1" t="s">
        <v>34218</v>
      </c>
    </row>
    <row r="12935" spans="1:19" x14ac:dyDescent="0.25">
      <c r="A12935">
        <v>101424524</v>
      </c>
      <c r="B12935" t="s">
        <v>3708</v>
      </c>
      <c r="C12935" t="s">
        <v>8451</v>
      </c>
      <c r="G12935" t="s">
        <v>28153</v>
      </c>
      <c r="H12935" t="s">
        <v>4632</v>
      </c>
      <c r="I12935" t="s">
        <v>178</v>
      </c>
      <c r="J12935">
        <v>43235</v>
      </c>
      <c r="K12935">
        <v>6479</v>
      </c>
      <c r="L12935" t="s">
        <v>23</v>
      </c>
      <c r="M12935" t="s">
        <v>28153</v>
      </c>
      <c r="N12935" t="s">
        <v>4632</v>
      </c>
      <c r="O12935" t="s">
        <v>178</v>
      </c>
      <c r="P12935">
        <v>43235</v>
      </c>
      <c r="Q12935">
        <v>6479</v>
      </c>
      <c r="R12935" t="s">
        <v>23</v>
      </c>
      <c r="S12935" s="1" t="s">
        <v>34218</v>
      </c>
    </row>
    <row r="12936" spans="1:19" x14ac:dyDescent="0.25">
      <c r="A12936">
        <v>101470203</v>
      </c>
      <c r="B12936" t="s">
        <v>744</v>
      </c>
      <c r="C12936" t="s">
        <v>1384</v>
      </c>
      <c r="G12936" t="s">
        <v>28154</v>
      </c>
      <c r="H12936" t="s">
        <v>1452</v>
      </c>
      <c r="I12936" t="s">
        <v>43</v>
      </c>
      <c r="J12936">
        <v>97405</v>
      </c>
      <c r="K12936">
        <v>3596</v>
      </c>
      <c r="L12936" t="s">
        <v>23</v>
      </c>
      <c r="M12936" t="s">
        <v>28154</v>
      </c>
      <c r="N12936" t="s">
        <v>1452</v>
      </c>
      <c r="O12936" t="s">
        <v>43</v>
      </c>
      <c r="P12936">
        <v>97405</v>
      </c>
      <c r="Q12936">
        <v>3596</v>
      </c>
      <c r="R12936" t="s">
        <v>23</v>
      </c>
      <c r="S12936" s="1" t="s">
        <v>34218</v>
      </c>
    </row>
    <row r="12937" spans="1:19" x14ac:dyDescent="0.25">
      <c r="A12937">
        <v>100519150</v>
      </c>
      <c r="B12937" t="s">
        <v>497</v>
      </c>
      <c r="C12937" t="s">
        <v>28155</v>
      </c>
      <c r="G12937" t="s">
        <v>28156</v>
      </c>
      <c r="H12937" t="s">
        <v>2231</v>
      </c>
      <c r="I12937" t="s">
        <v>365</v>
      </c>
      <c r="J12937">
        <v>85302</v>
      </c>
      <c r="L12937" t="s">
        <v>23</v>
      </c>
      <c r="M12937" t="s">
        <v>28156</v>
      </c>
      <c r="N12937" t="s">
        <v>2231</v>
      </c>
      <c r="O12937" t="s">
        <v>365</v>
      </c>
      <c r="P12937">
        <v>85302</v>
      </c>
      <c r="R12937" t="s">
        <v>23</v>
      </c>
      <c r="S12937" s="1" t="s">
        <v>34218</v>
      </c>
    </row>
    <row r="12938" spans="1:19" x14ac:dyDescent="0.25">
      <c r="A12938">
        <v>101274638</v>
      </c>
      <c r="B12938" t="s">
        <v>2588</v>
      </c>
      <c r="C12938" t="s">
        <v>19526</v>
      </c>
      <c r="G12938" t="s">
        <v>28157</v>
      </c>
      <c r="H12938" t="s">
        <v>1052</v>
      </c>
      <c r="I12938" t="s">
        <v>100</v>
      </c>
      <c r="J12938">
        <v>53502</v>
      </c>
      <c r="K12938">
        <v>9754</v>
      </c>
      <c r="L12938" t="s">
        <v>23</v>
      </c>
      <c r="M12938" t="s">
        <v>28157</v>
      </c>
      <c r="N12938" t="s">
        <v>1052</v>
      </c>
      <c r="O12938" t="s">
        <v>100</v>
      </c>
      <c r="P12938">
        <v>53502</v>
      </c>
      <c r="Q12938">
        <v>9754</v>
      </c>
      <c r="R12938" t="s">
        <v>23</v>
      </c>
      <c r="S12938" s="1" t="s">
        <v>34218</v>
      </c>
    </row>
    <row r="12939" spans="1:19" x14ac:dyDescent="0.25">
      <c r="A12939">
        <v>101368854</v>
      </c>
      <c r="B12939" t="s">
        <v>28158</v>
      </c>
      <c r="C12939" t="s">
        <v>286</v>
      </c>
      <c r="G12939" t="s">
        <v>28159</v>
      </c>
      <c r="H12939" t="s">
        <v>822</v>
      </c>
      <c r="I12939" t="s">
        <v>140</v>
      </c>
      <c r="J12939">
        <v>48911</v>
      </c>
      <c r="K12939">
        <v>1240</v>
      </c>
      <c r="L12939" t="s">
        <v>23</v>
      </c>
      <c r="M12939" t="s">
        <v>28159</v>
      </c>
      <c r="N12939" t="s">
        <v>822</v>
      </c>
      <c r="O12939" t="s">
        <v>140</v>
      </c>
      <c r="P12939">
        <v>48911</v>
      </c>
      <c r="Q12939">
        <v>1240</v>
      </c>
      <c r="R12939" t="s">
        <v>23</v>
      </c>
      <c r="S12939" s="1" t="s">
        <v>34218</v>
      </c>
    </row>
    <row r="12940" spans="1:19" x14ac:dyDescent="0.25">
      <c r="A12940">
        <v>101454421</v>
      </c>
      <c r="B12940" t="s">
        <v>7568</v>
      </c>
      <c r="C12940" t="s">
        <v>6474</v>
      </c>
      <c r="G12940" t="s">
        <v>28160</v>
      </c>
      <c r="H12940" t="s">
        <v>1614</v>
      </c>
      <c r="I12940" t="s">
        <v>22</v>
      </c>
      <c r="J12940">
        <v>92056</v>
      </c>
      <c r="K12940">
        <v>2101</v>
      </c>
      <c r="L12940" t="s">
        <v>23</v>
      </c>
      <c r="M12940" t="s">
        <v>28160</v>
      </c>
      <c r="N12940" t="s">
        <v>1614</v>
      </c>
      <c r="O12940" t="s">
        <v>22</v>
      </c>
      <c r="P12940">
        <v>92056</v>
      </c>
      <c r="Q12940">
        <v>2101</v>
      </c>
      <c r="R12940" t="s">
        <v>23</v>
      </c>
      <c r="S12940" s="1" t="s">
        <v>34218</v>
      </c>
    </row>
    <row r="12941" spans="1:19" x14ac:dyDescent="0.25">
      <c r="A12941">
        <v>101451230</v>
      </c>
      <c r="B12941" t="s">
        <v>9108</v>
      </c>
      <c r="C12941" t="s">
        <v>1773</v>
      </c>
      <c r="G12941" t="s">
        <v>28161</v>
      </c>
      <c r="H12941" t="s">
        <v>4186</v>
      </c>
      <c r="I12941" t="s">
        <v>84</v>
      </c>
      <c r="J12941">
        <v>98052</v>
      </c>
      <c r="L12941" t="s">
        <v>23</v>
      </c>
      <c r="M12941" t="s">
        <v>28161</v>
      </c>
      <c r="N12941" t="s">
        <v>4186</v>
      </c>
      <c r="O12941" t="s">
        <v>84</v>
      </c>
      <c r="P12941">
        <v>98052</v>
      </c>
      <c r="R12941" t="s">
        <v>23</v>
      </c>
      <c r="S12941" s="1" t="s">
        <v>34218</v>
      </c>
    </row>
    <row r="12942" spans="1:19" x14ac:dyDescent="0.25">
      <c r="A12942">
        <v>101430044</v>
      </c>
      <c r="B12942" t="s">
        <v>76</v>
      </c>
      <c r="C12942" t="s">
        <v>874</v>
      </c>
      <c r="G12942" t="s">
        <v>25110</v>
      </c>
      <c r="H12942" t="s">
        <v>21247</v>
      </c>
      <c r="I12942" t="s">
        <v>52</v>
      </c>
      <c r="J12942" t="s">
        <v>28162</v>
      </c>
      <c r="K12942">
        <v>6506</v>
      </c>
      <c r="L12942" t="s">
        <v>23</v>
      </c>
      <c r="M12942" t="s">
        <v>25110</v>
      </c>
      <c r="N12942" t="s">
        <v>21247</v>
      </c>
      <c r="O12942" t="s">
        <v>52</v>
      </c>
      <c r="P12942" t="s">
        <v>28162</v>
      </c>
      <c r="Q12942">
        <v>6506</v>
      </c>
      <c r="R12942" t="s">
        <v>23</v>
      </c>
      <c r="S12942" s="1" t="s">
        <v>34218</v>
      </c>
    </row>
    <row r="12943" spans="1:19" x14ac:dyDescent="0.25">
      <c r="A12943">
        <v>100842314</v>
      </c>
      <c r="B12943" t="s">
        <v>28163</v>
      </c>
      <c r="C12943" t="s">
        <v>28164</v>
      </c>
      <c r="G12943" t="s">
        <v>28165</v>
      </c>
      <c r="H12943" t="s">
        <v>1710</v>
      </c>
      <c r="I12943" t="s">
        <v>178</v>
      </c>
      <c r="J12943">
        <v>43065</v>
      </c>
      <c r="L12943" t="s">
        <v>23</v>
      </c>
      <c r="M12943" t="s">
        <v>28165</v>
      </c>
      <c r="N12943" t="s">
        <v>1710</v>
      </c>
      <c r="O12943" t="s">
        <v>178</v>
      </c>
      <c r="P12943">
        <v>43065</v>
      </c>
      <c r="R12943" t="s">
        <v>23</v>
      </c>
      <c r="S12943" s="1" t="s">
        <v>34218</v>
      </c>
    </row>
    <row r="12944" spans="1:19" x14ac:dyDescent="0.25">
      <c r="A12944">
        <v>100911555</v>
      </c>
      <c r="B12944" t="s">
        <v>28166</v>
      </c>
      <c r="C12944" t="s">
        <v>1117</v>
      </c>
      <c r="G12944" t="s">
        <v>28167</v>
      </c>
      <c r="H12944" t="s">
        <v>28168</v>
      </c>
      <c r="I12944" t="s">
        <v>250</v>
      </c>
      <c r="J12944">
        <v>8037</v>
      </c>
      <c r="L12944" t="s">
        <v>23</v>
      </c>
      <c r="M12944" t="s">
        <v>28167</v>
      </c>
      <c r="N12944" t="s">
        <v>28168</v>
      </c>
      <c r="O12944" t="s">
        <v>250</v>
      </c>
      <c r="P12944">
        <v>8037</v>
      </c>
      <c r="R12944" t="s">
        <v>23</v>
      </c>
      <c r="S12944" s="1" t="s">
        <v>34218</v>
      </c>
    </row>
    <row r="12945" spans="1:19" x14ac:dyDescent="0.25">
      <c r="A12945">
        <v>101454331</v>
      </c>
      <c r="B12945" t="s">
        <v>28169</v>
      </c>
      <c r="C12945" t="s">
        <v>907</v>
      </c>
      <c r="G12945" t="s">
        <v>28170</v>
      </c>
      <c r="H12945" t="s">
        <v>1647</v>
      </c>
      <c r="I12945" t="s">
        <v>38</v>
      </c>
      <c r="J12945">
        <v>77904</v>
      </c>
      <c r="K12945">
        <v>2917</v>
      </c>
      <c r="L12945" t="s">
        <v>23</v>
      </c>
      <c r="M12945" t="s">
        <v>28170</v>
      </c>
      <c r="N12945" t="s">
        <v>1647</v>
      </c>
      <c r="O12945" t="s">
        <v>38</v>
      </c>
      <c r="P12945">
        <v>77904</v>
      </c>
      <c r="Q12945">
        <v>2917</v>
      </c>
      <c r="R12945" t="s">
        <v>23</v>
      </c>
      <c r="S12945" s="1" t="s">
        <v>34218</v>
      </c>
    </row>
    <row r="12946" spans="1:19" x14ac:dyDescent="0.25">
      <c r="A12946">
        <v>101452692</v>
      </c>
      <c r="B12946" t="s">
        <v>1919</v>
      </c>
      <c r="C12946" t="s">
        <v>28171</v>
      </c>
      <c r="G12946" t="s">
        <v>28172</v>
      </c>
      <c r="H12946" t="s">
        <v>227</v>
      </c>
      <c r="I12946" t="s">
        <v>43</v>
      </c>
      <c r="J12946">
        <v>97211</v>
      </c>
      <c r="K12946">
        <v>6341</v>
      </c>
      <c r="L12946" t="s">
        <v>23</v>
      </c>
      <c r="M12946" t="s">
        <v>28172</v>
      </c>
      <c r="N12946" t="s">
        <v>227</v>
      </c>
      <c r="O12946" t="s">
        <v>43</v>
      </c>
      <c r="P12946">
        <v>97211</v>
      </c>
      <c r="Q12946">
        <v>6341</v>
      </c>
      <c r="R12946" t="s">
        <v>23</v>
      </c>
      <c r="S12946" s="1" t="s">
        <v>34218</v>
      </c>
    </row>
    <row r="12947" spans="1:19" x14ac:dyDescent="0.25">
      <c r="A12947">
        <v>101423929</v>
      </c>
      <c r="B12947" t="s">
        <v>28173</v>
      </c>
      <c r="C12947" t="s">
        <v>2653</v>
      </c>
      <c r="G12947" t="s">
        <v>28174</v>
      </c>
      <c r="H12947" t="s">
        <v>2391</v>
      </c>
      <c r="I12947" t="s">
        <v>43</v>
      </c>
      <c r="J12947">
        <v>97703</v>
      </c>
      <c r="K12947">
        <v>1617</v>
      </c>
      <c r="L12947" t="s">
        <v>23</v>
      </c>
      <c r="M12947" t="s">
        <v>28174</v>
      </c>
      <c r="N12947" t="s">
        <v>2391</v>
      </c>
      <c r="O12947" t="s">
        <v>43</v>
      </c>
      <c r="P12947">
        <v>97703</v>
      </c>
      <c r="Q12947">
        <v>1617</v>
      </c>
      <c r="R12947" t="s">
        <v>23</v>
      </c>
      <c r="S12947" s="1" t="s">
        <v>34218</v>
      </c>
    </row>
    <row r="12948" spans="1:19" x14ac:dyDescent="0.25">
      <c r="A12948">
        <v>101472024</v>
      </c>
      <c r="B12948" t="s">
        <v>28175</v>
      </c>
      <c r="C12948" t="s">
        <v>28176</v>
      </c>
      <c r="G12948" t="s">
        <v>28177</v>
      </c>
      <c r="H12948" t="s">
        <v>125</v>
      </c>
      <c r="I12948" t="s">
        <v>126</v>
      </c>
      <c r="J12948">
        <v>63112</v>
      </c>
      <c r="K12948">
        <v>1210</v>
      </c>
      <c r="L12948" t="s">
        <v>23</v>
      </c>
      <c r="M12948" t="s">
        <v>28177</v>
      </c>
      <c r="N12948" t="s">
        <v>125</v>
      </c>
      <c r="O12948" t="s">
        <v>126</v>
      </c>
      <c r="P12948">
        <v>63112</v>
      </c>
      <c r="Q12948">
        <v>1210</v>
      </c>
      <c r="R12948" t="s">
        <v>23</v>
      </c>
      <c r="S12948" s="1" t="s">
        <v>34218</v>
      </c>
    </row>
    <row r="12949" spans="1:19" x14ac:dyDescent="0.25">
      <c r="A12949">
        <v>101424042</v>
      </c>
      <c r="B12949" t="s">
        <v>247</v>
      </c>
      <c r="C12949" t="s">
        <v>28178</v>
      </c>
      <c r="G12949" t="s">
        <v>28179</v>
      </c>
      <c r="H12949" t="s">
        <v>9421</v>
      </c>
      <c r="I12949" t="s">
        <v>22</v>
      </c>
      <c r="J12949">
        <v>90220</v>
      </c>
      <c r="K12949">
        <v>2645</v>
      </c>
      <c r="L12949" t="s">
        <v>23</v>
      </c>
      <c r="M12949" t="s">
        <v>28179</v>
      </c>
      <c r="N12949" t="s">
        <v>9421</v>
      </c>
      <c r="O12949" t="s">
        <v>22</v>
      </c>
      <c r="P12949">
        <v>90220</v>
      </c>
      <c r="Q12949">
        <v>2645</v>
      </c>
      <c r="R12949" t="s">
        <v>23</v>
      </c>
      <c r="S12949" s="1" t="s">
        <v>34218</v>
      </c>
    </row>
    <row r="12950" spans="1:19" x14ac:dyDescent="0.25">
      <c r="A12950">
        <v>101472771</v>
      </c>
      <c r="B12950" t="s">
        <v>28180</v>
      </c>
      <c r="C12950" t="s">
        <v>1331</v>
      </c>
      <c r="G12950" t="s">
        <v>28181</v>
      </c>
      <c r="H12950" t="s">
        <v>14286</v>
      </c>
      <c r="I12950" t="s">
        <v>135</v>
      </c>
      <c r="J12950">
        <v>61108</v>
      </c>
      <c r="K12950">
        <v>5948</v>
      </c>
      <c r="L12950" t="s">
        <v>23</v>
      </c>
      <c r="M12950" t="s">
        <v>28181</v>
      </c>
      <c r="N12950" t="s">
        <v>14286</v>
      </c>
      <c r="O12950" t="s">
        <v>135</v>
      </c>
      <c r="P12950">
        <v>61108</v>
      </c>
      <c r="Q12950">
        <v>5948</v>
      </c>
      <c r="R12950" t="s">
        <v>23</v>
      </c>
      <c r="S12950" s="1" t="s">
        <v>34218</v>
      </c>
    </row>
    <row r="12951" spans="1:19" x14ac:dyDescent="0.25">
      <c r="A12951">
        <v>101455808</v>
      </c>
      <c r="B12951" t="s">
        <v>1878</v>
      </c>
      <c r="C12951" t="s">
        <v>1623</v>
      </c>
      <c r="G12951" t="s">
        <v>28182</v>
      </c>
      <c r="H12951" t="s">
        <v>28183</v>
      </c>
      <c r="I12951" t="s">
        <v>565</v>
      </c>
      <c r="J12951">
        <v>50237</v>
      </c>
      <c r="K12951">
        <v>2211</v>
      </c>
      <c r="L12951" t="s">
        <v>23</v>
      </c>
      <c r="M12951" t="s">
        <v>28182</v>
      </c>
      <c r="N12951" t="s">
        <v>28183</v>
      </c>
      <c r="O12951" t="s">
        <v>565</v>
      </c>
      <c r="P12951">
        <v>50237</v>
      </c>
      <c r="Q12951">
        <v>2211</v>
      </c>
      <c r="R12951" t="s">
        <v>23</v>
      </c>
      <c r="S12951" s="1" t="s">
        <v>34218</v>
      </c>
    </row>
    <row r="12952" spans="1:19" x14ac:dyDescent="0.25">
      <c r="A12952">
        <v>100950463</v>
      </c>
      <c r="B12952" t="s">
        <v>28184</v>
      </c>
      <c r="C12952" t="s">
        <v>1135</v>
      </c>
      <c r="G12952" t="s">
        <v>28185</v>
      </c>
      <c r="H12952" t="s">
        <v>1412</v>
      </c>
      <c r="I12952" t="s">
        <v>52</v>
      </c>
      <c r="J12952">
        <v>32808</v>
      </c>
      <c r="K12952">
        <v>2233</v>
      </c>
      <c r="L12952" t="s">
        <v>23</v>
      </c>
      <c r="M12952" t="s">
        <v>28185</v>
      </c>
      <c r="N12952" t="s">
        <v>1412</v>
      </c>
      <c r="O12952" t="s">
        <v>52</v>
      </c>
      <c r="P12952">
        <v>32808</v>
      </c>
      <c r="Q12952">
        <v>2233</v>
      </c>
      <c r="R12952" t="s">
        <v>23</v>
      </c>
      <c r="S12952" s="1" t="s">
        <v>34218</v>
      </c>
    </row>
    <row r="12953" spans="1:19" x14ac:dyDescent="0.25">
      <c r="A12953">
        <v>101339672</v>
      </c>
      <c r="B12953" t="s">
        <v>1167</v>
      </c>
      <c r="C12953" t="s">
        <v>1873</v>
      </c>
      <c r="G12953" t="s">
        <v>28186</v>
      </c>
      <c r="H12953" t="s">
        <v>3867</v>
      </c>
      <c r="I12953" t="s">
        <v>38</v>
      </c>
      <c r="J12953">
        <v>75061</v>
      </c>
      <c r="K12953">
        <v>9172</v>
      </c>
      <c r="L12953" t="s">
        <v>23</v>
      </c>
      <c r="M12953" t="s">
        <v>28186</v>
      </c>
      <c r="N12953" t="s">
        <v>3867</v>
      </c>
      <c r="O12953" t="s">
        <v>38</v>
      </c>
      <c r="P12953">
        <v>75061</v>
      </c>
      <c r="Q12953">
        <v>9172</v>
      </c>
      <c r="R12953" t="s">
        <v>23</v>
      </c>
      <c r="S12953" s="1" t="s">
        <v>34218</v>
      </c>
    </row>
    <row r="12954" spans="1:19" x14ac:dyDescent="0.25">
      <c r="A12954">
        <v>101152855</v>
      </c>
      <c r="B12954" t="s">
        <v>28187</v>
      </c>
      <c r="C12954" t="s">
        <v>1295</v>
      </c>
      <c r="F12954" t="str">
        <f>"2403140584"</f>
        <v>2403140584</v>
      </c>
      <c r="G12954" t="s">
        <v>28188</v>
      </c>
      <c r="H12954" t="s">
        <v>560</v>
      </c>
      <c r="I12954" t="s">
        <v>148</v>
      </c>
      <c r="J12954">
        <v>20850</v>
      </c>
      <c r="K12954">
        <v>3729</v>
      </c>
      <c r="L12954" t="s">
        <v>23</v>
      </c>
      <c r="M12954" t="s">
        <v>28188</v>
      </c>
      <c r="N12954" t="s">
        <v>560</v>
      </c>
      <c r="O12954" t="s">
        <v>148</v>
      </c>
      <c r="P12954">
        <v>20850</v>
      </c>
      <c r="Q12954">
        <v>3729</v>
      </c>
      <c r="R12954" t="s">
        <v>23</v>
      </c>
      <c r="S12954" s="1" t="s">
        <v>34218</v>
      </c>
    </row>
    <row r="12955" spans="1:19" x14ac:dyDescent="0.25">
      <c r="A12955">
        <v>101449470</v>
      </c>
      <c r="B12955" t="s">
        <v>28189</v>
      </c>
      <c r="C12955" t="s">
        <v>4502</v>
      </c>
      <c r="G12955" t="s">
        <v>28190</v>
      </c>
      <c r="H12955" t="s">
        <v>27</v>
      </c>
      <c r="I12955" t="s">
        <v>28</v>
      </c>
      <c r="J12955">
        <v>30329</v>
      </c>
      <c r="K12955">
        <v>3537</v>
      </c>
      <c r="L12955" t="s">
        <v>23</v>
      </c>
      <c r="M12955" t="s">
        <v>28190</v>
      </c>
      <c r="N12955" t="s">
        <v>27</v>
      </c>
      <c r="O12955" t="s">
        <v>28</v>
      </c>
      <c r="P12955">
        <v>30329</v>
      </c>
      <c r="Q12955">
        <v>3537</v>
      </c>
      <c r="R12955" t="s">
        <v>23</v>
      </c>
      <c r="S12955" s="1" t="s">
        <v>34218</v>
      </c>
    </row>
    <row r="12956" spans="1:19" x14ac:dyDescent="0.25">
      <c r="A12956">
        <v>101444475</v>
      </c>
      <c r="B12956" t="s">
        <v>28191</v>
      </c>
      <c r="C12956" t="s">
        <v>114</v>
      </c>
      <c r="G12956" t="s">
        <v>28192</v>
      </c>
      <c r="H12956" t="s">
        <v>5446</v>
      </c>
      <c r="I12956" t="s">
        <v>255</v>
      </c>
      <c r="J12956">
        <v>22192</v>
      </c>
      <c r="K12956">
        <v>5762</v>
      </c>
      <c r="L12956" t="s">
        <v>23</v>
      </c>
      <c r="M12956" t="s">
        <v>28192</v>
      </c>
      <c r="N12956" t="s">
        <v>5446</v>
      </c>
      <c r="O12956" t="s">
        <v>255</v>
      </c>
      <c r="P12956">
        <v>22192</v>
      </c>
      <c r="Q12956">
        <v>5762</v>
      </c>
      <c r="R12956" t="s">
        <v>23</v>
      </c>
      <c r="S12956" s="1" t="s">
        <v>34218</v>
      </c>
    </row>
    <row r="12957" spans="1:19" x14ac:dyDescent="0.25">
      <c r="A12957">
        <v>101474369</v>
      </c>
      <c r="B12957" t="s">
        <v>4106</v>
      </c>
      <c r="C12957" t="s">
        <v>28193</v>
      </c>
      <c r="G12957" t="s">
        <v>28194</v>
      </c>
      <c r="H12957" t="s">
        <v>174</v>
      </c>
      <c r="I12957" t="s">
        <v>22</v>
      </c>
      <c r="J12957">
        <v>93105</v>
      </c>
      <c r="K12957">
        <v>3754</v>
      </c>
      <c r="L12957" t="s">
        <v>23</v>
      </c>
      <c r="M12957" t="s">
        <v>28194</v>
      </c>
      <c r="N12957" t="s">
        <v>174</v>
      </c>
      <c r="O12957" t="s">
        <v>22</v>
      </c>
      <c r="P12957">
        <v>93105</v>
      </c>
      <c r="Q12957">
        <v>3754</v>
      </c>
      <c r="R12957" t="s">
        <v>23</v>
      </c>
      <c r="S12957" s="1" t="s">
        <v>34218</v>
      </c>
    </row>
    <row r="12958" spans="1:19" x14ac:dyDescent="0.25">
      <c r="A12958">
        <v>101474405</v>
      </c>
      <c r="B12958" t="s">
        <v>28195</v>
      </c>
      <c r="C12958" t="s">
        <v>28196</v>
      </c>
      <c r="G12958" t="s">
        <v>28197</v>
      </c>
      <c r="H12958" t="s">
        <v>28198</v>
      </c>
      <c r="I12958" t="s">
        <v>178</v>
      </c>
      <c r="J12958">
        <v>44054</v>
      </c>
      <c r="K12958">
        <v>66</v>
      </c>
      <c r="L12958" t="s">
        <v>23</v>
      </c>
      <c r="M12958" t="s">
        <v>28197</v>
      </c>
      <c r="N12958" t="s">
        <v>28198</v>
      </c>
      <c r="O12958" t="s">
        <v>178</v>
      </c>
      <c r="P12958">
        <v>44054</v>
      </c>
      <c r="Q12958">
        <v>66</v>
      </c>
      <c r="R12958" t="s">
        <v>23</v>
      </c>
      <c r="S12958" s="1" t="s">
        <v>34218</v>
      </c>
    </row>
    <row r="12959" spans="1:19" x14ac:dyDescent="0.25">
      <c r="A12959">
        <v>101474410</v>
      </c>
      <c r="B12959" t="s">
        <v>16866</v>
      </c>
      <c r="C12959" t="s">
        <v>28199</v>
      </c>
      <c r="G12959" t="s">
        <v>28200</v>
      </c>
      <c r="H12959" t="s">
        <v>28201</v>
      </c>
      <c r="I12959" t="s">
        <v>365</v>
      </c>
      <c r="J12959">
        <v>85123</v>
      </c>
      <c r="K12959">
        <v>869</v>
      </c>
      <c r="L12959" t="s">
        <v>23</v>
      </c>
      <c r="M12959" t="s">
        <v>28200</v>
      </c>
      <c r="N12959" t="s">
        <v>28201</v>
      </c>
      <c r="O12959" t="s">
        <v>365</v>
      </c>
      <c r="P12959">
        <v>85123</v>
      </c>
      <c r="Q12959">
        <v>869</v>
      </c>
      <c r="R12959" t="s">
        <v>23</v>
      </c>
      <c r="S12959" s="1" t="s">
        <v>34218</v>
      </c>
    </row>
    <row r="12960" spans="1:19" x14ac:dyDescent="0.25">
      <c r="A12960">
        <v>101343060</v>
      </c>
      <c r="B12960" t="s">
        <v>28202</v>
      </c>
      <c r="C12960" t="s">
        <v>25876</v>
      </c>
      <c r="G12960" t="s">
        <v>28203</v>
      </c>
      <c r="H12960" t="s">
        <v>976</v>
      </c>
      <c r="I12960" t="s">
        <v>140</v>
      </c>
      <c r="J12960">
        <v>48104</v>
      </c>
      <c r="K12960">
        <v>1987</v>
      </c>
      <c r="L12960" t="s">
        <v>23</v>
      </c>
      <c r="M12960" t="s">
        <v>28203</v>
      </c>
      <c r="N12960" t="s">
        <v>976</v>
      </c>
      <c r="O12960" t="s">
        <v>140</v>
      </c>
      <c r="P12960">
        <v>48104</v>
      </c>
      <c r="Q12960">
        <v>1987</v>
      </c>
      <c r="R12960" t="s">
        <v>23</v>
      </c>
      <c r="S12960" s="1" t="s">
        <v>34218</v>
      </c>
    </row>
    <row r="12961" spans="1:19" x14ac:dyDescent="0.25">
      <c r="A12961">
        <v>101117857</v>
      </c>
      <c r="B12961" t="s">
        <v>7361</v>
      </c>
      <c r="C12961" t="s">
        <v>7799</v>
      </c>
      <c r="G12961" t="s">
        <v>28204</v>
      </c>
      <c r="H12961" t="s">
        <v>1439</v>
      </c>
      <c r="I12961" t="s">
        <v>365</v>
      </c>
      <c r="J12961">
        <v>85712</v>
      </c>
      <c r="K12961">
        <v>3931</v>
      </c>
      <c r="L12961" t="s">
        <v>23</v>
      </c>
      <c r="M12961" t="s">
        <v>28204</v>
      </c>
      <c r="N12961" t="s">
        <v>1439</v>
      </c>
      <c r="O12961" t="s">
        <v>365</v>
      </c>
      <c r="P12961">
        <v>85712</v>
      </c>
      <c r="Q12961">
        <v>3931</v>
      </c>
      <c r="R12961" t="s">
        <v>23</v>
      </c>
      <c r="S12961" s="1" t="s">
        <v>34218</v>
      </c>
    </row>
    <row r="12962" spans="1:19" x14ac:dyDescent="0.25">
      <c r="A12962">
        <v>101415285</v>
      </c>
      <c r="B12962" t="s">
        <v>28205</v>
      </c>
      <c r="C12962" t="s">
        <v>28206</v>
      </c>
      <c r="G12962" t="s">
        <v>28207</v>
      </c>
      <c r="H12962" t="s">
        <v>6664</v>
      </c>
      <c r="I12962" t="s">
        <v>148</v>
      </c>
      <c r="J12962">
        <v>20874</v>
      </c>
      <c r="K12962">
        <v>3838</v>
      </c>
      <c r="L12962" t="s">
        <v>23</v>
      </c>
      <c r="M12962" t="s">
        <v>28207</v>
      </c>
      <c r="N12962" t="s">
        <v>6664</v>
      </c>
      <c r="O12962" t="s">
        <v>148</v>
      </c>
      <c r="P12962">
        <v>20874</v>
      </c>
      <c r="Q12962">
        <v>3838</v>
      </c>
      <c r="R12962" t="s">
        <v>23</v>
      </c>
      <c r="S12962" s="1" t="s">
        <v>34218</v>
      </c>
    </row>
    <row r="12963" spans="1:19" x14ac:dyDescent="0.25">
      <c r="A12963">
        <v>101361870</v>
      </c>
      <c r="B12963" t="s">
        <v>24383</v>
      </c>
      <c r="C12963" t="s">
        <v>432</v>
      </c>
      <c r="G12963" t="s">
        <v>28208</v>
      </c>
      <c r="H12963" t="s">
        <v>20659</v>
      </c>
      <c r="I12963" t="s">
        <v>4652</v>
      </c>
      <c r="J12963">
        <v>57110</v>
      </c>
      <c r="K12963">
        <v>8810</v>
      </c>
      <c r="L12963" t="s">
        <v>23</v>
      </c>
      <c r="M12963" t="s">
        <v>28208</v>
      </c>
      <c r="N12963" t="s">
        <v>20659</v>
      </c>
      <c r="O12963" t="s">
        <v>4652</v>
      </c>
      <c r="P12963">
        <v>57110</v>
      </c>
      <c r="Q12963">
        <v>8810</v>
      </c>
      <c r="R12963" t="s">
        <v>23</v>
      </c>
      <c r="S12963" s="1" t="s">
        <v>34218</v>
      </c>
    </row>
    <row r="12964" spans="1:19" x14ac:dyDescent="0.25">
      <c r="A12964">
        <v>101474816</v>
      </c>
      <c r="B12964" t="s">
        <v>28209</v>
      </c>
      <c r="C12964" t="s">
        <v>102</v>
      </c>
      <c r="G12964" t="s">
        <v>28210</v>
      </c>
      <c r="H12964" t="s">
        <v>28211</v>
      </c>
      <c r="I12964" t="s">
        <v>52</v>
      </c>
      <c r="J12964">
        <v>32730</v>
      </c>
      <c r="K12964">
        <v>2811</v>
      </c>
      <c r="L12964" t="s">
        <v>23</v>
      </c>
      <c r="M12964" t="s">
        <v>28210</v>
      </c>
      <c r="N12964" t="s">
        <v>28211</v>
      </c>
      <c r="O12964" t="s">
        <v>52</v>
      </c>
      <c r="P12964">
        <v>32730</v>
      </c>
      <c r="Q12964">
        <v>2811</v>
      </c>
      <c r="R12964" t="s">
        <v>23</v>
      </c>
      <c r="S12964" s="1" t="s">
        <v>34218</v>
      </c>
    </row>
    <row r="12965" spans="1:19" x14ac:dyDescent="0.25">
      <c r="A12965">
        <v>101480678</v>
      </c>
      <c r="B12965" t="s">
        <v>6060</v>
      </c>
      <c r="C12965" t="s">
        <v>286</v>
      </c>
      <c r="G12965" t="s">
        <v>28212</v>
      </c>
      <c r="H12965" t="s">
        <v>11941</v>
      </c>
      <c r="I12965" t="s">
        <v>250</v>
      </c>
      <c r="J12965">
        <v>7052</v>
      </c>
      <c r="K12965">
        <v>3617</v>
      </c>
      <c r="L12965" t="s">
        <v>23</v>
      </c>
      <c r="M12965" t="s">
        <v>28212</v>
      </c>
      <c r="N12965" t="s">
        <v>11941</v>
      </c>
      <c r="O12965" t="s">
        <v>250</v>
      </c>
      <c r="P12965">
        <v>7052</v>
      </c>
      <c r="Q12965">
        <v>3617</v>
      </c>
      <c r="R12965" t="s">
        <v>23</v>
      </c>
      <c r="S12965" s="1" t="s">
        <v>34218</v>
      </c>
    </row>
    <row r="12966" spans="1:19" x14ac:dyDescent="0.25">
      <c r="A12966">
        <v>101453933</v>
      </c>
      <c r="B12966" t="s">
        <v>28213</v>
      </c>
      <c r="C12966" t="s">
        <v>1239</v>
      </c>
      <c r="G12966" t="s">
        <v>28214</v>
      </c>
      <c r="H12966" t="s">
        <v>1229</v>
      </c>
      <c r="I12966" t="s">
        <v>52</v>
      </c>
      <c r="J12966">
        <v>33576</v>
      </c>
      <c r="K12966">
        <v>4632</v>
      </c>
      <c r="L12966" t="s">
        <v>23</v>
      </c>
      <c r="M12966" t="s">
        <v>28214</v>
      </c>
      <c r="N12966" t="s">
        <v>1229</v>
      </c>
      <c r="O12966" t="s">
        <v>52</v>
      </c>
      <c r="P12966">
        <v>33576</v>
      </c>
      <c r="Q12966">
        <v>4632</v>
      </c>
      <c r="R12966" t="s">
        <v>23</v>
      </c>
      <c r="S12966" s="1" t="s">
        <v>34218</v>
      </c>
    </row>
    <row r="12967" spans="1:19" x14ac:dyDescent="0.25">
      <c r="A12967">
        <v>100922751</v>
      </c>
      <c r="B12967" t="s">
        <v>28215</v>
      </c>
      <c r="C12967" t="s">
        <v>959</v>
      </c>
      <c r="G12967" t="s">
        <v>28216</v>
      </c>
      <c r="H12967" t="s">
        <v>688</v>
      </c>
      <c r="I12967" t="s">
        <v>187</v>
      </c>
      <c r="J12967">
        <v>55901</v>
      </c>
      <c r="K12967">
        <v>3434</v>
      </c>
      <c r="L12967" t="s">
        <v>23</v>
      </c>
      <c r="M12967" t="s">
        <v>28216</v>
      </c>
      <c r="N12967" t="s">
        <v>688</v>
      </c>
      <c r="O12967" t="s">
        <v>187</v>
      </c>
      <c r="P12967">
        <v>55901</v>
      </c>
      <c r="Q12967">
        <v>3434</v>
      </c>
      <c r="R12967" t="s">
        <v>23</v>
      </c>
      <c r="S12967" s="1" t="s">
        <v>34218</v>
      </c>
    </row>
    <row r="12968" spans="1:19" x14ac:dyDescent="0.25">
      <c r="A12968">
        <v>101480683</v>
      </c>
      <c r="B12968" t="s">
        <v>28217</v>
      </c>
      <c r="C12968" t="s">
        <v>1331</v>
      </c>
      <c r="G12968" t="s">
        <v>28218</v>
      </c>
      <c r="H12968" t="s">
        <v>1535</v>
      </c>
      <c r="I12968" t="s">
        <v>22</v>
      </c>
      <c r="J12968">
        <v>94942</v>
      </c>
      <c r="K12968">
        <v>1204</v>
      </c>
      <c r="L12968" t="s">
        <v>23</v>
      </c>
      <c r="M12968" t="s">
        <v>28218</v>
      </c>
      <c r="N12968" t="s">
        <v>1535</v>
      </c>
      <c r="O12968" t="s">
        <v>22</v>
      </c>
      <c r="P12968">
        <v>94942</v>
      </c>
      <c r="Q12968">
        <v>1204</v>
      </c>
      <c r="R12968" t="s">
        <v>23</v>
      </c>
      <c r="S12968" s="1" t="s">
        <v>34218</v>
      </c>
    </row>
    <row r="12969" spans="1:19" x14ac:dyDescent="0.25">
      <c r="A12969">
        <v>101248360</v>
      </c>
      <c r="B12969" t="s">
        <v>14797</v>
      </c>
      <c r="C12969" t="s">
        <v>30</v>
      </c>
      <c r="G12969" t="s">
        <v>28219</v>
      </c>
      <c r="H12969" t="s">
        <v>1361</v>
      </c>
      <c r="I12969" t="s">
        <v>135</v>
      </c>
      <c r="J12969">
        <v>60142</v>
      </c>
      <c r="K12969">
        <v>6504</v>
      </c>
      <c r="L12969" t="s">
        <v>23</v>
      </c>
      <c r="M12969" t="s">
        <v>28219</v>
      </c>
      <c r="N12969" t="s">
        <v>1361</v>
      </c>
      <c r="O12969" t="s">
        <v>135</v>
      </c>
      <c r="P12969">
        <v>60142</v>
      </c>
      <c r="Q12969">
        <v>6504</v>
      </c>
      <c r="R12969" t="s">
        <v>23</v>
      </c>
      <c r="S12969" s="1" t="s">
        <v>34218</v>
      </c>
    </row>
    <row r="12970" spans="1:19" x14ac:dyDescent="0.25">
      <c r="A12970">
        <v>101480689</v>
      </c>
      <c r="B12970" t="s">
        <v>383</v>
      </c>
      <c r="C12970" t="s">
        <v>403</v>
      </c>
      <c r="G12970" t="s">
        <v>28220</v>
      </c>
      <c r="H12970" t="s">
        <v>4932</v>
      </c>
      <c r="I12970" t="s">
        <v>327</v>
      </c>
      <c r="J12970">
        <v>25323</v>
      </c>
      <c r="L12970" t="s">
        <v>23</v>
      </c>
      <c r="M12970" t="s">
        <v>28220</v>
      </c>
      <c r="N12970" t="s">
        <v>4932</v>
      </c>
      <c r="O12970" t="s">
        <v>327</v>
      </c>
      <c r="P12970">
        <v>25323</v>
      </c>
      <c r="R12970" t="s">
        <v>23</v>
      </c>
      <c r="S12970" s="1" t="s">
        <v>34218</v>
      </c>
    </row>
    <row r="12971" spans="1:19" x14ac:dyDescent="0.25">
      <c r="A12971">
        <v>100528266</v>
      </c>
      <c r="B12971" t="s">
        <v>188</v>
      </c>
      <c r="C12971" t="s">
        <v>28221</v>
      </c>
      <c r="G12971" t="s">
        <v>28222</v>
      </c>
      <c r="H12971" t="s">
        <v>5700</v>
      </c>
      <c r="I12971" t="s">
        <v>307</v>
      </c>
      <c r="J12971" t="s">
        <v>28223</v>
      </c>
      <c r="K12971">
        <v>1152</v>
      </c>
      <c r="L12971" t="s">
        <v>23</v>
      </c>
      <c r="M12971" t="s">
        <v>28222</v>
      </c>
      <c r="N12971" t="s">
        <v>5700</v>
      </c>
      <c r="O12971" t="s">
        <v>307</v>
      </c>
      <c r="P12971" t="s">
        <v>28223</v>
      </c>
      <c r="Q12971">
        <v>1152</v>
      </c>
      <c r="R12971" t="s">
        <v>23</v>
      </c>
      <c r="S12971" s="1" t="s">
        <v>34218</v>
      </c>
    </row>
    <row r="12972" spans="1:19" x14ac:dyDescent="0.25">
      <c r="A12972">
        <v>101238187</v>
      </c>
      <c r="B12972" t="s">
        <v>28224</v>
      </c>
      <c r="C12972" t="s">
        <v>4046</v>
      </c>
      <c r="G12972" t="s">
        <v>28225</v>
      </c>
      <c r="H12972" t="s">
        <v>591</v>
      </c>
      <c r="I12972" t="s">
        <v>84</v>
      </c>
      <c r="J12972">
        <v>98225</v>
      </c>
      <c r="K12972">
        <v>7653</v>
      </c>
      <c r="L12972" t="s">
        <v>23</v>
      </c>
      <c r="M12972" t="s">
        <v>28225</v>
      </c>
      <c r="N12972" t="s">
        <v>591</v>
      </c>
      <c r="O12972" t="s">
        <v>84</v>
      </c>
      <c r="P12972">
        <v>98225</v>
      </c>
      <c r="Q12972">
        <v>7653</v>
      </c>
      <c r="R12972" t="s">
        <v>23</v>
      </c>
      <c r="S12972" s="1" t="s">
        <v>34218</v>
      </c>
    </row>
    <row r="12973" spans="1:19" x14ac:dyDescent="0.25">
      <c r="A12973">
        <v>101075827</v>
      </c>
      <c r="B12973" t="s">
        <v>28226</v>
      </c>
      <c r="C12973" t="s">
        <v>40</v>
      </c>
      <c r="G12973" t="s">
        <v>28227</v>
      </c>
      <c r="H12973" t="s">
        <v>840</v>
      </c>
      <c r="I12973" t="s">
        <v>153</v>
      </c>
      <c r="J12973">
        <v>70130</v>
      </c>
      <c r="K12973">
        <v>6702</v>
      </c>
      <c r="L12973" t="s">
        <v>23</v>
      </c>
      <c r="M12973" t="s">
        <v>28227</v>
      </c>
      <c r="N12973" t="s">
        <v>840</v>
      </c>
      <c r="O12973" t="s">
        <v>153</v>
      </c>
      <c r="P12973">
        <v>70130</v>
      </c>
      <c r="Q12973">
        <v>6702</v>
      </c>
      <c r="R12973" t="s">
        <v>23</v>
      </c>
      <c r="S12973" s="1" t="s">
        <v>34218</v>
      </c>
    </row>
    <row r="12974" spans="1:19" x14ac:dyDescent="0.25">
      <c r="A12974">
        <v>100612000</v>
      </c>
      <c r="B12974" t="s">
        <v>28228</v>
      </c>
      <c r="C12974" t="s">
        <v>7569</v>
      </c>
      <c r="G12974" t="s">
        <v>28229</v>
      </c>
      <c r="H12974" t="s">
        <v>1071</v>
      </c>
      <c r="I12974" t="s">
        <v>22</v>
      </c>
      <c r="J12974">
        <v>92091</v>
      </c>
      <c r="L12974" t="s">
        <v>23</v>
      </c>
      <c r="M12974" t="s">
        <v>28229</v>
      </c>
      <c r="N12974" t="s">
        <v>1071</v>
      </c>
      <c r="O12974" t="s">
        <v>22</v>
      </c>
      <c r="P12974">
        <v>92091</v>
      </c>
      <c r="R12974" t="s">
        <v>23</v>
      </c>
      <c r="S12974" s="1" t="s">
        <v>34218</v>
      </c>
    </row>
    <row r="12975" spans="1:19" x14ac:dyDescent="0.25">
      <c r="A12975">
        <v>101480699</v>
      </c>
      <c r="B12975" t="s">
        <v>28230</v>
      </c>
      <c r="C12975" t="s">
        <v>554</v>
      </c>
      <c r="G12975" t="s">
        <v>28231</v>
      </c>
      <c r="H12975" t="s">
        <v>14090</v>
      </c>
      <c r="I12975" t="s">
        <v>135</v>
      </c>
      <c r="J12975">
        <v>60005</v>
      </c>
      <c r="K12975">
        <v>4277</v>
      </c>
      <c r="L12975" t="s">
        <v>23</v>
      </c>
      <c r="M12975" t="s">
        <v>28231</v>
      </c>
      <c r="N12975" t="s">
        <v>14090</v>
      </c>
      <c r="O12975" t="s">
        <v>135</v>
      </c>
      <c r="P12975">
        <v>60005</v>
      </c>
      <c r="Q12975">
        <v>4277</v>
      </c>
      <c r="R12975" t="s">
        <v>23</v>
      </c>
      <c r="S12975" s="1" t="s">
        <v>34218</v>
      </c>
    </row>
    <row r="12976" spans="1:19" x14ac:dyDescent="0.25">
      <c r="A12976">
        <v>101310137</v>
      </c>
      <c r="B12976" t="s">
        <v>9261</v>
      </c>
      <c r="C12976" t="s">
        <v>90</v>
      </c>
      <c r="G12976" t="s">
        <v>28232</v>
      </c>
      <c r="H12976" t="s">
        <v>26075</v>
      </c>
      <c r="I12976" t="s">
        <v>307</v>
      </c>
      <c r="J12976">
        <v>5001</v>
      </c>
      <c r="K12976">
        <v>7086</v>
      </c>
      <c r="L12976" t="s">
        <v>23</v>
      </c>
      <c r="M12976" t="s">
        <v>28232</v>
      </c>
      <c r="N12976" t="s">
        <v>26075</v>
      </c>
      <c r="O12976" t="s">
        <v>307</v>
      </c>
      <c r="P12976">
        <v>5001</v>
      </c>
      <c r="Q12976">
        <v>7086</v>
      </c>
      <c r="R12976" t="s">
        <v>23</v>
      </c>
      <c r="S12976" s="1" t="s">
        <v>34218</v>
      </c>
    </row>
    <row r="12977" spans="1:19" x14ac:dyDescent="0.25">
      <c r="A12977">
        <v>101480705</v>
      </c>
      <c r="B12977" t="s">
        <v>28233</v>
      </c>
      <c r="C12977" t="s">
        <v>28234</v>
      </c>
      <c r="G12977" t="s">
        <v>28235</v>
      </c>
      <c r="H12977" t="s">
        <v>726</v>
      </c>
      <c r="I12977" t="s">
        <v>22</v>
      </c>
      <c r="J12977">
        <v>90405</v>
      </c>
      <c r="L12977" t="s">
        <v>23</v>
      </c>
      <c r="M12977" t="s">
        <v>28235</v>
      </c>
      <c r="N12977" t="s">
        <v>726</v>
      </c>
      <c r="O12977" t="s">
        <v>22</v>
      </c>
      <c r="P12977">
        <v>90405</v>
      </c>
      <c r="R12977" t="s">
        <v>23</v>
      </c>
      <c r="S12977" s="1" t="s">
        <v>34218</v>
      </c>
    </row>
    <row r="12978" spans="1:19" x14ac:dyDescent="0.25">
      <c r="A12978">
        <v>101331534</v>
      </c>
      <c r="B12978" t="s">
        <v>28236</v>
      </c>
      <c r="C12978" t="s">
        <v>28237</v>
      </c>
      <c r="G12978" t="s">
        <v>28238</v>
      </c>
      <c r="H12978" t="s">
        <v>130</v>
      </c>
      <c r="I12978" t="s">
        <v>22</v>
      </c>
      <c r="J12978">
        <v>94110</v>
      </c>
      <c r="K12978">
        <v>1144</v>
      </c>
      <c r="L12978" t="s">
        <v>23</v>
      </c>
      <c r="M12978" t="s">
        <v>28238</v>
      </c>
      <c r="N12978" t="s">
        <v>130</v>
      </c>
      <c r="O12978" t="s">
        <v>22</v>
      </c>
      <c r="P12978">
        <v>94110</v>
      </c>
      <c r="Q12978">
        <v>1144</v>
      </c>
      <c r="R12978" t="s">
        <v>23</v>
      </c>
      <c r="S12978" s="1" t="s">
        <v>34218</v>
      </c>
    </row>
    <row r="12979" spans="1:19" x14ac:dyDescent="0.25">
      <c r="A12979">
        <v>100570179</v>
      </c>
      <c r="B12979" t="s">
        <v>3296</v>
      </c>
      <c r="C12979" t="s">
        <v>1698</v>
      </c>
      <c r="G12979" t="s">
        <v>28239</v>
      </c>
      <c r="H12979" t="s">
        <v>28240</v>
      </c>
      <c r="I12979" t="s">
        <v>84</v>
      </c>
      <c r="J12979">
        <v>98257</v>
      </c>
      <c r="K12979">
        <v>743</v>
      </c>
      <c r="L12979" t="s">
        <v>23</v>
      </c>
      <c r="M12979" t="s">
        <v>28239</v>
      </c>
      <c r="N12979" t="s">
        <v>28240</v>
      </c>
      <c r="O12979" t="s">
        <v>84</v>
      </c>
      <c r="P12979">
        <v>98257</v>
      </c>
      <c r="Q12979">
        <v>743</v>
      </c>
      <c r="R12979" t="s">
        <v>23</v>
      </c>
      <c r="S12979" s="1" t="s">
        <v>34218</v>
      </c>
    </row>
    <row r="12980" spans="1:19" x14ac:dyDescent="0.25">
      <c r="A12980">
        <v>100600971</v>
      </c>
      <c r="B12980" t="s">
        <v>289</v>
      </c>
      <c r="C12980" t="s">
        <v>403</v>
      </c>
      <c r="G12980" t="s">
        <v>28241</v>
      </c>
      <c r="H12980" t="s">
        <v>3372</v>
      </c>
      <c r="I12980" t="s">
        <v>38</v>
      </c>
      <c r="J12980">
        <v>79110</v>
      </c>
      <c r="K12980">
        <v>1218</v>
      </c>
      <c r="L12980" t="s">
        <v>23</v>
      </c>
      <c r="M12980" t="s">
        <v>28241</v>
      </c>
      <c r="N12980" t="s">
        <v>3372</v>
      </c>
      <c r="O12980" t="s">
        <v>38</v>
      </c>
      <c r="P12980">
        <v>79110</v>
      </c>
      <c r="Q12980">
        <v>1218</v>
      </c>
      <c r="R12980" t="s">
        <v>23</v>
      </c>
      <c r="S12980" s="1" t="s">
        <v>34218</v>
      </c>
    </row>
    <row r="12981" spans="1:19" x14ac:dyDescent="0.25">
      <c r="A12981">
        <v>101480720</v>
      </c>
      <c r="B12981" t="s">
        <v>22499</v>
      </c>
      <c r="C12981" t="s">
        <v>28242</v>
      </c>
      <c r="G12981" t="s">
        <v>28243</v>
      </c>
      <c r="H12981" t="s">
        <v>3385</v>
      </c>
      <c r="I12981" t="s">
        <v>236</v>
      </c>
      <c r="J12981">
        <v>2138</v>
      </c>
      <c r="K12981">
        <v>1721</v>
      </c>
      <c r="L12981" t="s">
        <v>23</v>
      </c>
      <c r="M12981" t="s">
        <v>28243</v>
      </c>
      <c r="N12981" t="s">
        <v>3385</v>
      </c>
      <c r="O12981" t="s">
        <v>236</v>
      </c>
      <c r="P12981">
        <v>2138</v>
      </c>
      <c r="Q12981">
        <v>1721</v>
      </c>
      <c r="R12981" t="s">
        <v>23</v>
      </c>
      <c r="S12981" s="1" t="s">
        <v>34218</v>
      </c>
    </row>
    <row r="12982" spans="1:19" x14ac:dyDescent="0.25">
      <c r="A12982">
        <v>100956018</v>
      </c>
      <c r="B12982" t="s">
        <v>28244</v>
      </c>
      <c r="C12982" t="s">
        <v>28245</v>
      </c>
      <c r="G12982" t="s">
        <v>28246</v>
      </c>
      <c r="H12982" t="s">
        <v>28247</v>
      </c>
      <c r="I12982" t="s">
        <v>57</v>
      </c>
      <c r="J12982">
        <v>46901</v>
      </c>
      <c r="K12982">
        <v>2310</v>
      </c>
      <c r="L12982" t="s">
        <v>23</v>
      </c>
      <c r="M12982" t="s">
        <v>28246</v>
      </c>
      <c r="N12982" t="s">
        <v>28247</v>
      </c>
      <c r="O12982" t="s">
        <v>57</v>
      </c>
      <c r="P12982">
        <v>46901</v>
      </c>
      <c r="Q12982">
        <v>2310</v>
      </c>
      <c r="R12982" t="s">
        <v>23</v>
      </c>
      <c r="S12982" s="1" t="s">
        <v>34218</v>
      </c>
    </row>
    <row r="12983" spans="1:19" x14ac:dyDescent="0.25">
      <c r="A12983">
        <v>100936341</v>
      </c>
      <c r="B12983" t="s">
        <v>8983</v>
      </c>
      <c r="C12983" t="s">
        <v>102</v>
      </c>
      <c r="G12983" t="s">
        <v>28248</v>
      </c>
      <c r="H12983" t="s">
        <v>130</v>
      </c>
      <c r="I12983" t="s">
        <v>22</v>
      </c>
      <c r="J12983">
        <v>94127</v>
      </c>
      <c r="K12983">
        <v>2545</v>
      </c>
      <c r="L12983" t="s">
        <v>23</v>
      </c>
      <c r="M12983" t="s">
        <v>28248</v>
      </c>
      <c r="N12983" t="s">
        <v>130</v>
      </c>
      <c r="O12983" t="s">
        <v>22</v>
      </c>
      <c r="P12983">
        <v>94127</v>
      </c>
      <c r="Q12983">
        <v>2545</v>
      </c>
      <c r="R12983" t="s">
        <v>23</v>
      </c>
      <c r="S12983" s="1" t="s">
        <v>34218</v>
      </c>
    </row>
    <row r="12984" spans="1:19" x14ac:dyDescent="0.25">
      <c r="A12984">
        <v>101480726</v>
      </c>
      <c r="B12984" t="s">
        <v>11150</v>
      </c>
      <c r="C12984" t="s">
        <v>4828</v>
      </c>
      <c r="G12984" t="s">
        <v>28249</v>
      </c>
      <c r="H12984" t="s">
        <v>4693</v>
      </c>
      <c r="I12984" t="s">
        <v>52</v>
      </c>
      <c r="J12984">
        <v>33446</v>
      </c>
      <c r="K12984">
        <v>1618</v>
      </c>
      <c r="L12984" t="s">
        <v>23</v>
      </c>
      <c r="M12984" t="s">
        <v>28249</v>
      </c>
      <c r="N12984" t="s">
        <v>4693</v>
      </c>
      <c r="O12984" t="s">
        <v>52</v>
      </c>
      <c r="P12984">
        <v>33446</v>
      </c>
      <c r="Q12984">
        <v>1618</v>
      </c>
      <c r="R12984" t="s">
        <v>23</v>
      </c>
      <c r="S12984" s="1" t="s">
        <v>34218</v>
      </c>
    </row>
    <row r="12985" spans="1:19" x14ac:dyDescent="0.25">
      <c r="A12985">
        <v>101480729</v>
      </c>
      <c r="B12985" t="s">
        <v>28250</v>
      </c>
      <c r="C12985" t="s">
        <v>221</v>
      </c>
      <c r="G12985" t="s">
        <v>28251</v>
      </c>
      <c r="H12985" t="s">
        <v>2060</v>
      </c>
      <c r="I12985" t="s">
        <v>140</v>
      </c>
      <c r="J12985">
        <v>49770</v>
      </c>
      <c r="K12985">
        <v>8229</v>
      </c>
      <c r="L12985" t="s">
        <v>23</v>
      </c>
      <c r="M12985" t="s">
        <v>28251</v>
      </c>
      <c r="N12985" t="s">
        <v>2060</v>
      </c>
      <c r="O12985" t="s">
        <v>140</v>
      </c>
      <c r="P12985">
        <v>49770</v>
      </c>
      <c r="Q12985">
        <v>8229</v>
      </c>
      <c r="R12985" t="s">
        <v>23</v>
      </c>
      <c r="S12985" s="1" t="s">
        <v>34218</v>
      </c>
    </row>
    <row r="12986" spans="1:19" x14ac:dyDescent="0.25">
      <c r="A12986">
        <v>101473201</v>
      </c>
      <c r="B12986" t="s">
        <v>28252</v>
      </c>
      <c r="C12986" t="s">
        <v>64</v>
      </c>
      <c r="G12986" t="s">
        <v>28253</v>
      </c>
      <c r="H12986" t="s">
        <v>37</v>
      </c>
      <c r="I12986" t="s">
        <v>38</v>
      </c>
      <c r="J12986">
        <v>73344</v>
      </c>
      <c r="K12986">
        <v>1</v>
      </c>
      <c r="L12986" t="s">
        <v>23</v>
      </c>
      <c r="M12986" t="s">
        <v>28253</v>
      </c>
      <c r="N12986" t="s">
        <v>37</v>
      </c>
      <c r="O12986" t="s">
        <v>38</v>
      </c>
      <c r="P12986">
        <v>73344</v>
      </c>
      <c r="Q12986">
        <v>1</v>
      </c>
      <c r="R12986" t="s">
        <v>23</v>
      </c>
      <c r="S12986" s="1" t="s">
        <v>34218</v>
      </c>
    </row>
    <row r="12987" spans="1:19" x14ac:dyDescent="0.25">
      <c r="A12987">
        <v>100659418</v>
      </c>
      <c r="B12987" t="s">
        <v>16852</v>
      </c>
      <c r="C12987" t="s">
        <v>1492</v>
      </c>
      <c r="G12987" t="s">
        <v>16854</v>
      </c>
      <c r="H12987" t="s">
        <v>13826</v>
      </c>
      <c r="I12987" t="s">
        <v>255</v>
      </c>
      <c r="J12987">
        <v>23139</v>
      </c>
      <c r="K12987">
        <v>4531</v>
      </c>
      <c r="L12987" t="s">
        <v>23</v>
      </c>
      <c r="M12987" t="s">
        <v>16854</v>
      </c>
      <c r="N12987" t="s">
        <v>13826</v>
      </c>
      <c r="O12987" t="s">
        <v>255</v>
      </c>
      <c r="P12987">
        <v>23139</v>
      </c>
      <c r="Q12987">
        <v>4531</v>
      </c>
      <c r="R12987" t="s">
        <v>23</v>
      </c>
      <c r="S12987" s="1" t="s">
        <v>34218</v>
      </c>
    </row>
    <row r="12988" spans="1:19" x14ac:dyDescent="0.25">
      <c r="A12988">
        <v>101422645</v>
      </c>
      <c r="B12988" t="s">
        <v>9862</v>
      </c>
      <c r="C12988" t="s">
        <v>403</v>
      </c>
      <c r="G12988" t="s">
        <v>28254</v>
      </c>
      <c r="H12988" t="s">
        <v>5198</v>
      </c>
      <c r="I12988" t="s">
        <v>446</v>
      </c>
      <c r="J12988">
        <v>27312</v>
      </c>
      <c r="K12988">
        <v>8689</v>
      </c>
      <c r="L12988" t="s">
        <v>23</v>
      </c>
      <c r="M12988" t="s">
        <v>28254</v>
      </c>
      <c r="N12988" t="s">
        <v>5198</v>
      </c>
      <c r="O12988" t="s">
        <v>446</v>
      </c>
      <c r="P12988">
        <v>27312</v>
      </c>
      <c r="Q12988">
        <v>8689</v>
      </c>
      <c r="R12988" t="s">
        <v>23</v>
      </c>
      <c r="S12988" s="1" t="s">
        <v>34218</v>
      </c>
    </row>
    <row r="12989" spans="1:19" x14ac:dyDescent="0.25">
      <c r="A12989">
        <v>101406376</v>
      </c>
      <c r="B12989" t="s">
        <v>28255</v>
      </c>
      <c r="C12989" t="s">
        <v>5599</v>
      </c>
      <c r="G12989" t="s">
        <v>28256</v>
      </c>
      <c r="H12989" t="s">
        <v>3444</v>
      </c>
      <c r="I12989" t="s">
        <v>117</v>
      </c>
      <c r="J12989">
        <v>10566</v>
      </c>
      <c r="K12989">
        <v>4858</v>
      </c>
      <c r="L12989" t="s">
        <v>23</v>
      </c>
      <c r="M12989" t="s">
        <v>28256</v>
      </c>
      <c r="N12989" t="s">
        <v>3444</v>
      </c>
      <c r="O12989" t="s">
        <v>117</v>
      </c>
      <c r="P12989">
        <v>10566</v>
      </c>
      <c r="Q12989">
        <v>4858</v>
      </c>
      <c r="R12989" t="s">
        <v>23</v>
      </c>
      <c r="S12989" s="1" t="s">
        <v>34218</v>
      </c>
    </row>
    <row r="12990" spans="1:19" x14ac:dyDescent="0.25">
      <c r="A12990">
        <v>100585172</v>
      </c>
      <c r="B12990" t="s">
        <v>28257</v>
      </c>
      <c r="C12990" t="s">
        <v>367</v>
      </c>
      <c r="G12990" t="s">
        <v>28258</v>
      </c>
      <c r="H12990" t="s">
        <v>1579</v>
      </c>
      <c r="I12990" t="s">
        <v>135</v>
      </c>
      <c r="J12990">
        <v>60502</v>
      </c>
      <c r="K12990">
        <v>7308</v>
      </c>
      <c r="L12990" t="s">
        <v>23</v>
      </c>
      <c r="M12990" t="s">
        <v>28258</v>
      </c>
      <c r="N12990" t="s">
        <v>1579</v>
      </c>
      <c r="O12990" t="s">
        <v>135</v>
      </c>
      <c r="P12990">
        <v>60502</v>
      </c>
      <c r="Q12990">
        <v>7308</v>
      </c>
      <c r="R12990" t="s">
        <v>23</v>
      </c>
      <c r="S12990" s="1" t="s">
        <v>34218</v>
      </c>
    </row>
    <row r="12991" spans="1:19" x14ac:dyDescent="0.25">
      <c r="A12991">
        <v>101476603</v>
      </c>
      <c r="B12991" t="s">
        <v>3828</v>
      </c>
      <c r="C12991" t="s">
        <v>25</v>
      </c>
      <c r="G12991" t="s">
        <v>28259</v>
      </c>
      <c r="H12991" t="s">
        <v>10487</v>
      </c>
      <c r="I12991" t="s">
        <v>565</v>
      </c>
      <c r="J12991">
        <v>52402</v>
      </c>
      <c r="K12991">
        <v>1040</v>
      </c>
      <c r="L12991" t="s">
        <v>23</v>
      </c>
      <c r="M12991" t="s">
        <v>28259</v>
      </c>
      <c r="N12991" t="s">
        <v>10487</v>
      </c>
      <c r="O12991" t="s">
        <v>565</v>
      </c>
      <c r="P12991">
        <v>52402</v>
      </c>
      <c r="Q12991">
        <v>1040</v>
      </c>
      <c r="R12991" t="s">
        <v>23</v>
      </c>
      <c r="S12991" s="1" t="s">
        <v>34218</v>
      </c>
    </row>
    <row r="12992" spans="1:19" x14ac:dyDescent="0.25">
      <c r="A12992">
        <v>101480748</v>
      </c>
      <c r="B12992" t="s">
        <v>11551</v>
      </c>
      <c r="C12992" t="s">
        <v>30</v>
      </c>
      <c r="G12992" t="s">
        <v>28260</v>
      </c>
      <c r="H12992" t="s">
        <v>28261</v>
      </c>
      <c r="I12992" t="s">
        <v>140</v>
      </c>
      <c r="J12992">
        <v>49617</v>
      </c>
      <c r="K12992">
        <v>9257</v>
      </c>
      <c r="L12992" t="s">
        <v>23</v>
      </c>
      <c r="M12992" t="s">
        <v>28260</v>
      </c>
      <c r="N12992" t="s">
        <v>28261</v>
      </c>
      <c r="O12992" t="s">
        <v>140</v>
      </c>
      <c r="P12992">
        <v>49617</v>
      </c>
      <c r="Q12992">
        <v>9257</v>
      </c>
      <c r="R12992" t="s">
        <v>23</v>
      </c>
      <c r="S12992" s="1" t="s">
        <v>34218</v>
      </c>
    </row>
    <row r="12993" spans="1:19" x14ac:dyDescent="0.25">
      <c r="A12993">
        <v>101297447</v>
      </c>
      <c r="B12993" t="s">
        <v>28262</v>
      </c>
      <c r="C12993" t="s">
        <v>4302</v>
      </c>
      <c r="G12993" t="s">
        <v>28263</v>
      </c>
      <c r="H12993" t="s">
        <v>2765</v>
      </c>
      <c r="I12993" t="s">
        <v>22</v>
      </c>
      <c r="J12993">
        <v>91342</v>
      </c>
      <c r="K12993">
        <v>6462</v>
      </c>
      <c r="L12993" t="s">
        <v>23</v>
      </c>
      <c r="M12993" t="s">
        <v>28263</v>
      </c>
      <c r="N12993" t="s">
        <v>2765</v>
      </c>
      <c r="O12993" t="s">
        <v>22</v>
      </c>
      <c r="P12993">
        <v>91342</v>
      </c>
      <c r="Q12993">
        <v>6462</v>
      </c>
      <c r="R12993" t="s">
        <v>23</v>
      </c>
      <c r="S12993" s="1" t="s">
        <v>34218</v>
      </c>
    </row>
    <row r="12994" spans="1:19" x14ac:dyDescent="0.25">
      <c r="A12994">
        <v>100683310</v>
      </c>
      <c r="B12994" t="s">
        <v>28264</v>
      </c>
      <c r="C12994" t="s">
        <v>2127</v>
      </c>
      <c r="G12994" t="s">
        <v>28265</v>
      </c>
      <c r="H12994" t="s">
        <v>2724</v>
      </c>
      <c r="I12994" t="s">
        <v>22</v>
      </c>
      <c r="J12994">
        <v>95747</v>
      </c>
      <c r="K12994">
        <v>9069</v>
      </c>
      <c r="L12994" t="s">
        <v>23</v>
      </c>
      <c r="M12994" t="s">
        <v>28265</v>
      </c>
      <c r="N12994" t="s">
        <v>2724</v>
      </c>
      <c r="O12994" t="s">
        <v>22</v>
      </c>
      <c r="P12994">
        <v>95747</v>
      </c>
      <c r="Q12994">
        <v>9069</v>
      </c>
      <c r="R12994" t="s">
        <v>23</v>
      </c>
      <c r="S12994" s="1" t="s">
        <v>34218</v>
      </c>
    </row>
    <row r="12995" spans="1:19" x14ac:dyDescent="0.25">
      <c r="A12995">
        <v>100745768</v>
      </c>
      <c r="B12995" t="s">
        <v>28266</v>
      </c>
      <c r="C12995" t="s">
        <v>12851</v>
      </c>
      <c r="G12995" t="s">
        <v>28267</v>
      </c>
      <c r="H12995" t="s">
        <v>296</v>
      </c>
      <c r="I12995" t="s">
        <v>52</v>
      </c>
      <c r="J12995">
        <v>33771</v>
      </c>
      <c r="K12995">
        <v>2961</v>
      </c>
      <c r="L12995" t="s">
        <v>23</v>
      </c>
      <c r="M12995" t="s">
        <v>28267</v>
      </c>
      <c r="N12995" t="s">
        <v>296</v>
      </c>
      <c r="O12995" t="s">
        <v>52</v>
      </c>
      <c r="P12995">
        <v>33771</v>
      </c>
      <c r="Q12995">
        <v>2961</v>
      </c>
      <c r="R12995" t="s">
        <v>23</v>
      </c>
      <c r="S12995" s="1" t="s">
        <v>34218</v>
      </c>
    </row>
    <row r="12996" spans="1:19" x14ac:dyDescent="0.25">
      <c r="A12996">
        <v>101449698</v>
      </c>
      <c r="B12996" t="s">
        <v>27153</v>
      </c>
      <c r="C12996" t="s">
        <v>102</v>
      </c>
      <c r="G12996" t="s">
        <v>28268</v>
      </c>
      <c r="H12996" t="s">
        <v>1402</v>
      </c>
      <c r="I12996" t="s">
        <v>38</v>
      </c>
      <c r="J12996">
        <v>77018</v>
      </c>
      <c r="K12996">
        <v>4131</v>
      </c>
      <c r="L12996" t="s">
        <v>23</v>
      </c>
      <c r="M12996" t="s">
        <v>28268</v>
      </c>
      <c r="N12996" t="s">
        <v>1402</v>
      </c>
      <c r="O12996" t="s">
        <v>38</v>
      </c>
      <c r="P12996">
        <v>77018</v>
      </c>
      <c r="Q12996">
        <v>4131</v>
      </c>
      <c r="R12996" t="s">
        <v>23</v>
      </c>
      <c r="S12996" s="1" t="s">
        <v>34218</v>
      </c>
    </row>
    <row r="12997" spans="1:19" x14ac:dyDescent="0.25">
      <c r="A12997">
        <v>101421561</v>
      </c>
      <c r="B12997" t="s">
        <v>4212</v>
      </c>
      <c r="C12997" t="s">
        <v>466</v>
      </c>
      <c r="G12997" t="s">
        <v>28269</v>
      </c>
      <c r="H12997" t="s">
        <v>311</v>
      </c>
      <c r="I12997" t="s">
        <v>22</v>
      </c>
      <c r="J12997">
        <v>90814</v>
      </c>
      <c r="K12997">
        <v>2369</v>
      </c>
      <c r="L12997" t="s">
        <v>23</v>
      </c>
      <c r="M12997" t="s">
        <v>28269</v>
      </c>
      <c r="N12997" t="s">
        <v>311</v>
      </c>
      <c r="O12997" t="s">
        <v>22</v>
      </c>
      <c r="P12997">
        <v>90814</v>
      </c>
      <c r="Q12997">
        <v>2369</v>
      </c>
      <c r="R12997" t="s">
        <v>23</v>
      </c>
      <c r="S12997" s="1" t="s">
        <v>34218</v>
      </c>
    </row>
    <row r="12998" spans="1:19" x14ac:dyDescent="0.25">
      <c r="A12998">
        <v>101471423</v>
      </c>
      <c r="B12998" t="s">
        <v>28270</v>
      </c>
      <c r="C12998" t="s">
        <v>28271</v>
      </c>
      <c r="G12998" t="s">
        <v>28272</v>
      </c>
      <c r="H12998" t="s">
        <v>66</v>
      </c>
      <c r="I12998" t="s">
        <v>22</v>
      </c>
      <c r="J12998">
        <v>94708</v>
      </c>
      <c r="K12998">
        <v>2047</v>
      </c>
      <c r="L12998" t="s">
        <v>23</v>
      </c>
      <c r="M12998" t="s">
        <v>28272</v>
      </c>
      <c r="N12998" t="s">
        <v>66</v>
      </c>
      <c r="O12998" t="s">
        <v>22</v>
      </c>
      <c r="P12998">
        <v>94708</v>
      </c>
      <c r="Q12998">
        <v>2047</v>
      </c>
      <c r="R12998" t="s">
        <v>23</v>
      </c>
      <c r="S12998" s="1" t="s">
        <v>34218</v>
      </c>
    </row>
    <row r="12999" spans="1:19" x14ac:dyDescent="0.25">
      <c r="A12999">
        <v>101471424</v>
      </c>
      <c r="B12999" t="s">
        <v>18696</v>
      </c>
      <c r="C12999" t="s">
        <v>8003</v>
      </c>
      <c r="G12999" t="s">
        <v>28273</v>
      </c>
      <c r="H12999" t="s">
        <v>3363</v>
      </c>
      <c r="I12999" t="s">
        <v>33</v>
      </c>
      <c r="J12999">
        <v>15219</v>
      </c>
      <c r="K12999">
        <v>5041</v>
      </c>
      <c r="L12999" t="s">
        <v>23</v>
      </c>
      <c r="M12999" t="s">
        <v>28273</v>
      </c>
      <c r="N12999" t="s">
        <v>3363</v>
      </c>
      <c r="O12999" t="s">
        <v>33</v>
      </c>
      <c r="P12999">
        <v>15219</v>
      </c>
      <c r="Q12999">
        <v>5041</v>
      </c>
      <c r="R12999" t="s">
        <v>23</v>
      </c>
      <c r="S12999" s="1" t="s">
        <v>34218</v>
      </c>
    </row>
    <row r="13000" spans="1:19" x14ac:dyDescent="0.25">
      <c r="A13000">
        <v>101311091</v>
      </c>
      <c r="B13000" t="s">
        <v>28274</v>
      </c>
      <c r="C13000" t="s">
        <v>699</v>
      </c>
      <c r="G13000" t="s">
        <v>28275</v>
      </c>
      <c r="H13000" t="s">
        <v>2296</v>
      </c>
      <c r="I13000" t="s">
        <v>22</v>
      </c>
      <c r="J13000">
        <v>95003</v>
      </c>
      <c r="L13000" t="s">
        <v>23</v>
      </c>
      <c r="M13000" t="s">
        <v>28275</v>
      </c>
      <c r="N13000" t="s">
        <v>2296</v>
      </c>
      <c r="O13000" t="s">
        <v>22</v>
      </c>
      <c r="P13000">
        <v>95003</v>
      </c>
      <c r="R13000" t="s">
        <v>23</v>
      </c>
      <c r="S13000" s="1" t="s">
        <v>34218</v>
      </c>
    </row>
    <row r="13001" spans="1:19" x14ac:dyDescent="0.25">
      <c r="A13001">
        <v>101422568</v>
      </c>
      <c r="B13001" t="s">
        <v>76</v>
      </c>
      <c r="C13001" t="s">
        <v>1027</v>
      </c>
      <c r="G13001" t="s">
        <v>28276</v>
      </c>
      <c r="H13001" t="s">
        <v>3211</v>
      </c>
      <c r="I13001" t="s">
        <v>914</v>
      </c>
      <c r="J13001">
        <v>37814</v>
      </c>
      <c r="L13001" t="s">
        <v>23</v>
      </c>
      <c r="M13001" t="s">
        <v>28276</v>
      </c>
      <c r="N13001" t="s">
        <v>3211</v>
      </c>
      <c r="O13001" t="s">
        <v>914</v>
      </c>
      <c r="P13001">
        <v>37814</v>
      </c>
      <c r="R13001" t="s">
        <v>23</v>
      </c>
      <c r="S13001" s="1" t="s">
        <v>34218</v>
      </c>
    </row>
    <row r="13002" spans="1:19" x14ac:dyDescent="0.25">
      <c r="A13002">
        <v>101422694</v>
      </c>
      <c r="B13002" t="s">
        <v>76</v>
      </c>
      <c r="C13002" t="s">
        <v>1043</v>
      </c>
      <c r="G13002" t="s">
        <v>28277</v>
      </c>
      <c r="H13002" t="s">
        <v>261</v>
      </c>
      <c r="I13002" t="s">
        <v>250</v>
      </c>
      <c r="J13002">
        <v>8525</v>
      </c>
      <c r="K13002">
        <v>1106</v>
      </c>
      <c r="L13002" t="s">
        <v>23</v>
      </c>
      <c r="M13002" t="s">
        <v>28277</v>
      </c>
      <c r="N13002" t="s">
        <v>261</v>
      </c>
      <c r="O13002" t="s">
        <v>250</v>
      </c>
      <c r="P13002">
        <v>8525</v>
      </c>
      <c r="Q13002">
        <v>1106</v>
      </c>
      <c r="R13002" t="s">
        <v>23</v>
      </c>
      <c r="S13002" s="1" t="s">
        <v>34218</v>
      </c>
    </row>
    <row r="13003" spans="1:19" x14ac:dyDescent="0.25">
      <c r="A13003">
        <v>101471464</v>
      </c>
      <c r="B13003" t="s">
        <v>18427</v>
      </c>
      <c r="C13003" t="s">
        <v>274</v>
      </c>
      <c r="G13003" t="s">
        <v>18428</v>
      </c>
      <c r="H13003" t="s">
        <v>13452</v>
      </c>
      <c r="I13003" t="s">
        <v>178</v>
      </c>
      <c r="J13003">
        <v>44870</v>
      </c>
      <c r="K13003">
        <v>1624</v>
      </c>
      <c r="L13003" t="s">
        <v>23</v>
      </c>
      <c r="M13003" t="s">
        <v>18428</v>
      </c>
      <c r="N13003" t="s">
        <v>13452</v>
      </c>
      <c r="O13003" t="s">
        <v>178</v>
      </c>
      <c r="P13003">
        <v>44870</v>
      </c>
      <c r="Q13003">
        <v>1624</v>
      </c>
      <c r="R13003" t="s">
        <v>23</v>
      </c>
      <c r="S13003" s="1" t="s">
        <v>34218</v>
      </c>
    </row>
    <row r="13004" spans="1:19" x14ac:dyDescent="0.25">
      <c r="A13004">
        <v>101471472</v>
      </c>
      <c r="B13004" t="s">
        <v>208</v>
      </c>
      <c r="C13004" t="s">
        <v>217</v>
      </c>
      <c r="G13004" t="s">
        <v>12436</v>
      </c>
      <c r="H13004" t="s">
        <v>27</v>
      </c>
      <c r="I13004" t="s">
        <v>28</v>
      </c>
      <c r="J13004">
        <v>30310</v>
      </c>
      <c r="K13004">
        <v>4933</v>
      </c>
      <c r="L13004" t="s">
        <v>23</v>
      </c>
      <c r="M13004" t="s">
        <v>12436</v>
      </c>
      <c r="N13004" t="s">
        <v>27</v>
      </c>
      <c r="O13004" t="s">
        <v>28</v>
      </c>
      <c r="P13004">
        <v>30310</v>
      </c>
      <c r="Q13004">
        <v>4933</v>
      </c>
      <c r="R13004" t="s">
        <v>23</v>
      </c>
      <c r="S13004" s="1" t="s">
        <v>34218</v>
      </c>
    </row>
    <row r="13005" spans="1:19" x14ac:dyDescent="0.25">
      <c r="A13005">
        <v>101471480</v>
      </c>
      <c r="B13005" t="s">
        <v>28278</v>
      </c>
      <c r="C13005" t="s">
        <v>16551</v>
      </c>
      <c r="G13005" t="s">
        <v>28279</v>
      </c>
      <c r="H13005" t="s">
        <v>1229</v>
      </c>
      <c r="I13005" t="s">
        <v>38</v>
      </c>
      <c r="J13005">
        <v>78211</v>
      </c>
      <c r="K13005">
        <v>3330</v>
      </c>
      <c r="L13005" t="s">
        <v>23</v>
      </c>
      <c r="M13005" t="s">
        <v>28279</v>
      </c>
      <c r="N13005" t="s">
        <v>1229</v>
      </c>
      <c r="O13005" t="s">
        <v>38</v>
      </c>
      <c r="P13005">
        <v>78211</v>
      </c>
      <c r="Q13005">
        <v>3330</v>
      </c>
      <c r="R13005" t="s">
        <v>23</v>
      </c>
      <c r="S13005" s="1" t="s">
        <v>34218</v>
      </c>
    </row>
    <row r="13006" spans="1:19" x14ac:dyDescent="0.25">
      <c r="A13006">
        <v>101230392</v>
      </c>
      <c r="B13006" t="s">
        <v>141</v>
      </c>
      <c r="C13006" t="s">
        <v>1208</v>
      </c>
      <c r="G13006" t="s">
        <v>28280</v>
      </c>
      <c r="H13006" t="s">
        <v>1229</v>
      </c>
      <c r="I13006" t="s">
        <v>38</v>
      </c>
      <c r="J13006">
        <v>78248</v>
      </c>
      <c r="K13006">
        <v>1710</v>
      </c>
      <c r="L13006" t="s">
        <v>23</v>
      </c>
      <c r="M13006" t="s">
        <v>28280</v>
      </c>
      <c r="N13006" t="s">
        <v>1229</v>
      </c>
      <c r="O13006" t="s">
        <v>38</v>
      </c>
      <c r="P13006">
        <v>78248</v>
      </c>
      <c r="Q13006">
        <v>1710</v>
      </c>
      <c r="R13006" t="s">
        <v>23</v>
      </c>
      <c r="S13006" s="1" t="s">
        <v>34218</v>
      </c>
    </row>
    <row r="13007" spans="1:19" x14ac:dyDescent="0.25">
      <c r="A13007">
        <v>101261834</v>
      </c>
      <c r="B13007" t="s">
        <v>28281</v>
      </c>
      <c r="C13007" t="s">
        <v>28282</v>
      </c>
      <c r="G13007" t="s">
        <v>25160</v>
      </c>
      <c r="H13007" t="s">
        <v>13314</v>
      </c>
      <c r="I13007" t="s">
        <v>140</v>
      </c>
      <c r="J13007">
        <v>48081</v>
      </c>
      <c r="L13007" t="s">
        <v>23</v>
      </c>
      <c r="M13007" t="s">
        <v>25160</v>
      </c>
      <c r="N13007" t="s">
        <v>13314</v>
      </c>
      <c r="O13007" t="s">
        <v>140</v>
      </c>
      <c r="P13007">
        <v>48081</v>
      </c>
      <c r="R13007" t="s">
        <v>23</v>
      </c>
      <c r="S13007" s="1" t="s">
        <v>34218</v>
      </c>
    </row>
    <row r="13008" spans="1:19" x14ac:dyDescent="0.25">
      <c r="A13008">
        <v>101471317</v>
      </c>
      <c r="B13008" t="s">
        <v>28283</v>
      </c>
      <c r="C13008" t="s">
        <v>1208</v>
      </c>
      <c r="G13008" t="s">
        <v>28284</v>
      </c>
      <c r="H13008" t="s">
        <v>19194</v>
      </c>
      <c r="I13008" t="s">
        <v>33</v>
      </c>
      <c r="J13008">
        <v>19403</v>
      </c>
      <c r="L13008" t="s">
        <v>23</v>
      </c>
      <c r="M13008" t="s">
        <v>28284</v>
      </c>
      <c r="N13008" t="s">
        <v>19194</v>
      </c>
      <c r="O13008" t="s">
        <v>33</v>
      </c>
      <c r="P13008">
        <v>19403</v>
      </c>
      <c r="R13008" t="s">
        <v>23</v>
      </c>
      <c r="S13008" s="1" t="s">
        <v>34218</v>
      </c>
    </row>
    <row r="13009" spans="1:19" x14ac:dyDescent="0.25">
      <c r="A13009">
        <v>101320145</v>
      </c>
      <c r="B13009" t="s">
        <v>9373</v>
      </c>
      <c r="C13009" t="s">
        <v>585</v>
      </c>
      <c r="G13009" t="s">
        <v>28285</v>
      </c>
      <c r="H13009" t="s">
        <v>235</v>
      </c>
      <c r="I13009" t="s">
        <v>33</v>
      </c>
      <c r="J13009">
        <v>18953</v>
      </c>
      <c r="K13009">
        <v>517</v>
      </c>
      <c r="L13009" t="s">
        <v>23</v>
      </c>
      <c r="M13009" t="s">
        <v>28285</v>
      </c>
      <c r="N13009" t="s">
        <v>235</v>
      </c>
      <c r="O13009" t="s">
        <v>33</v>
      </c>
      <c r="P13009">
        <v>18953</v>
      </c>
      <c r="Q13009">
        <v>517</v>
      </c>
      <c r="R13009" t="s">
        <v>23</v>
      </c>
      <c r="S13009" s="1" t="s">
        <v>34218</v>
      </c>
    </row>
    <row r="13010" spans="1:19" x14ac:dyDescent="0.25">
      <c r="A13010">
        <v>100783695</v>
      </c>
      <c r="B13010" t="s">
        <v>28286</v>
      </c>
      <c r="C13010" t="s">
        <v>5500</v>
      </c>
      <c r="G13010" t="s">
        <v>28287</v>
      </c>
      <c r="H13010" t="s">
        <v>16049</v>
      </c>
      <c r="I13010" t="s">
        <v>140</v>
      </c>
      <c r="J13010">
        <v>48189</v>
      </c>
      <c r="K13010">
        <v>9774</v>
      </c>
      <c r="L13010" t="s">
        <v>23</v>
      </c>
      <c r="M13010" t="s">
        <v>28287</v>
      </c>
      <c r="N13010" t="s">
        <v>16049</v>
      </c>
      <c r="O13010" t="s">
        <v>140</v>
      </c>
      <c r="P13010">
        <v>48189</v>
      </c>
      <c r="Q13010">
        <v>9774</v>
      </c>
      <c r="R13010" t="s">
        <v>23</v>
      </c>
      <c r="S13010" s="1" t="s">
        <v>34218</v>
      </c>
    </row>
    <row r="13011" spans="1:19" x14ac:dyDescent="0.25">
      <c r="A13011">
        <v>101286956</v>
      </c>
      <c r="B13011" t="s">
        <v>29</v>
      </c>
      <c r="C13011" t="s">
        <v>28288</v>
      </c>
      <c r="G13011" t="s">
        <v>28289</v>
      </c>
      <c r="H13011" t="s">
        <v>412</v>
      </c>
      <c r="I13011" t="s">
        <v>117</v>
      </c>
      <c r="J13011">
        <v>11217</v>
      </c>
      <c r="K13011">
        <v>3119</v>
      </c>
      <c r="L13011" t="s">
        <v>23</v>
      </c>
      <c r="M13011" t="s">
        <v>28289</v>
      </c>
      <c r="N13011" t="s">
        <v>412</v>
      </c>
      <c r="O13011" t="s">
        <v>117</v>
      </c>
      <c r="P13011">
        <v>11217</v>
      </c>
      <c r="Q13011">
        <v>3119</v>
      </c>
      <c r="R13011" t="s">
        <v>23</v>
      </c>
      <c r="S13011" s="1" t="s">
        <v>34218</v>
      </c>
    </row>
    <row r="13012" spans="1:19" x14ac:dyDescent="0.25">
      <c r="A13012">
        <v>101296820</v>
      </c>
      <c r="B13012" t="s">
        <v>28290</v>
      </c>
      <c r="C13012" t="s">
        <v>102</v>
      </c>
      <c r="G13012" t="s">
        <v>28291</v>
      </c>
      <c r="H13012" t="s">
        <v>14984</v>
      </c>
      <c r="I13012" t="s">
        <v>52</v>
      </c>
      <c r="J13012">
        <v>32174</v>
      </c>
      <c r="K13012">
        <v>5365</v>
      </c>
      <c r="L13012" t="s">
        <v>23</v>
      </c>
      <c r="M13012" t="s">
        <v>28291</v>
      </c>
      <c r="N13012" t="s">
        <v>14984</v>
      </c>
      <c r="O13012" t="s">
        <v>52</v>
      </c>
      <c r="P13012">
        <v>32174</v>
      </c>
      <c r="Q13012">
        <v>5365</v>
      </c>
      <c r="R13012" t="s">
        <v>23</v>
      </c>
      <c r="S13012" s="1" t="s">
        <v>34218</v>
      </c>
    </row>
    <row r="13013" spans="1:19" x14ac:dyDescent="0.25">
      <c r="A13013">
        <v>101411687</v>
      </c>
      <c r="B13013" t="s">
        <v>497</v>
      </c>
      <c r="C13013" t="s">
        <v>28292</v>
      </c>
      <c r="G13013" t="s">
        <v>28293</v>
      </c>
      <c r="H13013" t="s">
        <v>653</v>
      </c>
      <c r="I13013" t="s">
        <v>117</v>
      </c>
      <c r="J13013">
        <v>10014</v>
      </c>
      <c r="K13013">
        <v>4716</v>
      </c>
      <c r="L13013" t="s">
        <v>23</v>
      </c>
      <c r="M13013" t="s">
        <v>28293</v>
      </c>
      <c r="N13013" t="s">
        <v>653</v>
      </c>
      <c r="O13013" t="s">
        <v>117</v>
      </c>
      <c r="P13013">
        <v>10014</v>
      </c>
      <c r="Q13013">
        <v>4716</v>
      </c>
      <c r="R13013" t="s">
        <v>23</v>
      </c>
      <c r="S13013" s="1" t="s">
        <v>34218</v>
      </c>
    </row>
    <row r="13014" spans="1:19" x14ac:dyDescent="0.25">
      <c r="A13014">
        <v>100895753</v>
      </c>
      <c r="B13014" t="s">
        <v>28294</v>
      </c>
      <c r="C13014" t="s">
        <v>1416</v>
      </c>
      <c r="G13014" t="s">
        <v>28295</v>
      </c>
      <c r="H13014" t="s">
        <v>529</v>
      </c>
      <c r="I13014" t="s">
        <v>178</v>
      </c>
      <c r="J13014">
        <v>45140</v>
      </c>
      <c r="K13014">
        <v>8501</v>
      </c>
      <c r="L13014" t="s">
        <v>23</v>
      </c>
      <c r="M13014" t="s">
        <v>28295</v>
      </c>
      <c r="N13014" t="s">
        <v>529</v>
      </c>
      <c r="O13014" t="s">
        <v>178</v>
      </c>
      <c r="P13014">
        <v>45140</v>
      </c>
      <c r="Q13014">
        <v>8501</v>
      </c>
      <c r="R13014" t="s">
        <v>23</v>
      </c>
      <c r="S13014" s="1" t="s">
        <v>34218</v>
      </c>
    </row>
    <row r="13015" spans="1:19" x14ac:dyDescent="0.25">
      <c r="A13015">
        <v>101399187</v>
      </c>
      <c r="B13015" t="s">
        <v>1007</v>
      </c>
      <c r="C13015" t="s">
        <v>28296</v>
      </c>
      <c r="G13015" t="s">
        <v>22576</v>
      </c>
      <c r="H13015" t="s">
        <v>9211</v>
      </c>
      <c r="I13015" t="s">
        <v>84</v>
      </c>
      <c r="J13015">
        <v>99111</v>
      </c>
      <c r="K13015">
        <v>6</v>
      </c>
      <c r="L13015" t="s">
        <v>23</v>
      </c>
      <c r="M13015" t="s">
        <v>22576</v>
      </c>
      <c r="N13015" t="s">
        <v>9211</v>
      </c>
      <c r="O13015" t="s">
        <v>84</v>
      </c>
      <c r="P13015">
        <v>99111</v>
      </c>
      <c r="Q13015">
        <v>6</v>
      </c>
      <c r="R13015" t="s">
        <v>23</v>
      </c>
      <c r="S13015" s="1" t="s">
        <v>34218</v>
      </c>
    </row>
    <row r="13016" spans="1:19" x14ac:dyDescent="0.25">
      <c r="A13016">
        <v>101321449</v>
      </c>
      <c r="B13016" t="s">
        <v>11582</v>
      </c>
      <c r="C13016" t="s">
        <v>1746</v>
      </c>
      <c r="G13016" t="s">
        <v>28297</v>
      </c>
      <c r="H13016" t="s">
        <v>393</v>
      </c>
      <c r="I13016" t="s">
        <v>71</v>
      </c>
      <c r="J13016">
        <v>80211</v>
      </c>
      <c r="K13016">
        <v>4640</v>
      </c>
      <c r="L13016" t="s">
        <v>23</v>
      </c>
      <c r="M13016" t="s">
        <v>28297</v>
      </c>
      <c r="N13016" t="s">
        <v>393</v>
      </c>
      <c r="O13016" t="s">
        <v>71</v>
      </c>
      <c r="P13016">
        <v>80211</v>
      </c>
      <c r="Q13016">
        <v>4640</v>
      </c>
      <c r="R13016" t="s">
        <v>23</v>
      </c>
      <c r="S13016" s="1" t="s">
        <v>34218</v>
      </c>
    </row>
    <row r="13017" spans="1:19" x14ac:dyDescent="0.25">
      <c r="A13017">
        <v>100599860</v>
      </c>
      <c r="B13017" t="s">
        <v>28298</v>
      </c>
      <c r="C13017" t="s">
        <v>28299</v>
      </c>
      <c r="G13017" t="s">
        <v>28300</v>
      </c>
      <c r="H13017" t="s">
        <v>28301</v>
      </c>
      <c r="I13017" t="s">
        <v>52</v>
      </c>
      <c r="J13017">
        <v>33014</v>
      </c>
      <c r="K13017">
        <v>8121</v>
      </c>
      <c r="L13017" t="s">
        <v>23</v>
      </c>
      <c r="M13017" t="s">
        <v>28300</v>
      </c>
      <c r="N13017" t="s">
        <v>28301</v>
      </c>
      <c r="O13017" t="s">
        <v>52</v>
      </c>
      <c r="P13017">
        <v>33014</v>
      </c>
      <c r="Q13017">
        <v>8121</v>
      </c>
      <c r="R13017" t="s">
        <v>23</v>
      </c>
      <c r="S13017" s="1" t="s">
        <v>34218</v>
      </c>
    </row>
    <row r="13018" spans="1:19" x14ac:dyDescent="0.25">
      <c r="A13018">
        <v>101417182</v>
      </c>
      <c r="B13018" t="s">
        <v>3058</v>
      </c>
      <c r="C13018" t="s">
        <v>123</v>
      </c>
      <c r="G13018" t="s">
        <v>28302</v>
      </c>
      <c r="H13018" t="s">
        <v>2948</v>
      </c>
      <c r="I13018" t="s">
        <v>22</v>
      </c>
      <c r="J13018">
        <v>91910</v>
      </c>
      <c r="K13018">
        <v>3713</v>
      </c>
      <c r="L13018" t="s">
        <v>23</v>
      </c>
      <c r="M13018" t="s">
        <v>28302</v>
      </c>
      <c r="N13018" t="s">
        <v>2948</v>
      </c>
      <c r="O13018" t="s">
        <v>22</v>
      </c>
      <c r="P13018">
        <v>91910</v>
      </c>
      <c r="Q13018">
        <v>3713</v>
      </c>
      <c r="R13018" t="s">
        <v>23</v>
      </c>
      <c r="S13018" s="1" t="s">
        <v>34218</v>
      </c>
    </row>
    <row r="13019" spans="1:19" x14ac:dyDescent="0.25">
      <c r="A13019">
        <v>101425835</v>
      </c>
      <c r="B13019" t="s">
        <v>28303</v>
      </c>
      <c r="C13019" t="s">
        <v>959</v>
      </c>
      <c r="G13019" t="s">
        <v>28304</v>
      </c>
      <c r="H13019" t="s">
        <v>198</v>
      </c>
      <c r="I13019" t="s">
        <v>22</v>
      </c>
      <c r="J13019">
        <v>92128</v>
      </c>
      <c r="K13019">
        <v>1546</v>
      </c>
      <c r="L13019" t="s">
        <v>23</v>
      </c>
      <c r="M13019" t="s">
        <v>28304</v>
      </c>
      <c r="N13019" t="s">
        <v>198</v>
      </c>
      <c r="O13019" t="s">
        <v>22</v>
      </c>
      <c r="P13019">
        <v>92128</v>
      </c>
      <c r="Q13019">
        <v>1546</v>
      </c>
      <c r="R13019" t="s">
        <v>23</v>
      </c>
      <c r="S13019" s="1" t="s">
        <v>34218</v>
      </c>
    </row>
    <row r="13020" spans="1:19" x14ac:dyDescent="0.25">
      <c r="A13020">
        <v>100556002</v>
      </c>
      <c r="B13020" t="s">
        <v>5321</v>
      </c>
      <c r="C13020" t="s">
        <v>22834</v>
      </c>
      <c r="G13020" t="s">
        <v>28305</v>
      </c>
      <c r="H13020" t="s">
        <v>28306</v>
      </c>
      <c r="I13020" t="s">
        <v>1482</v>
      </c>
      <c r="J13020">
        <v>29658</v>
      </c>
      <c r="K13020">
        <v>2110</v>
      </c>
      <c r="L13020" t="s">
        <v>23</v>
      </c>
      <c r="M13020" t="s">
        <v>28305</v>
      </c>
      <c r="N13020" t="s">
        <v>28306</v>
      </c>
      <c r="O13020" t="s">
        <v>1482</v>
      </c>
      <c r="P13020">
        <v>29658</v>
      </c>
      <c r="Q13020">
        <v>2110</v>
      </c>
      <c r="R13020" t="s">
        <v>23</v>
      </c>
      <c r="S13020" s="1" t="s">
        <v>34218</v>
      </c>
    </row>
    <row r="13021" spans="1:19" x14ac:dyDescent="0.25">
      <c r="A13021">
        <v>101455801</v>
      </c>
      <c r="B13021" t="s">
        <v>22182</v>
      </c>
      <c r="C13021" t="s">
        <v>1331</v>
      </c>
      <c r="G13021" t="s">
        <v>28307</v>
      </c>
      <c r="H13021" t="s">
        <v>198</v>
      </c>
      <c r="I13021" t="s">
        <v>22</v>
      </c>
      <c r="J13021">
        <v>92124</v>
      </c>
      <c r="K13021">
        <v>4028</v>
      </c>
      <c r="L13021" t="s">
        <v>23</v>
      </c>
      <c r="M13021" t="s">
        <v>28307</v>
      </c>
      <c r="N13021" t="s">
        <v>198</v>
      </c>
      <c r="O13021" t="s">
        <v>22</v>
      </c>
      <c r="P13021">
        <v>92124</v>
      </c>
      <c r="Q13021">
        <v>4028</v>
      </c>
      <c r="R13021" t="s">
        <v>23</v>
      </c>
      <c r="S13021" s="1" t="s">
        <v>34218</v>
      </c>
    </row>
    <row r="13022" spans="1:19" x14ac:dyDescent="0.25">
      <c r="A13022">
        <v>101455013</v>
      </c>
      <c r="B13022" t="s">
        <v>28308</v>
      </c>
      <c r="C13022" t="s">
        <v>193</v>
      </c>
      <c r="G13022" t="s">
        <v>28309</v>
      </c>
      <c r="H13022" t="s">
        <v>21626</v>
      </c>
      <c r="I13022" t="s">
        <v>52</v>
      </c>
      <c r="J13022">
        <v>32169</v>
      </c>
      <c r="K13022">
        <v>3923</v>
      </c>
      <c r="L13022" t="s">
        <v>23</v>
      </c>
      <c r="M13022" t="s">
        <v>28309</v>
      </c>
      <c r="N13022" t="s">
        <v>21626</v>
      </c>
      <c r="O13022" t="s">
        <v>52</v>
      </c>
      <c r="P13022">
        <v>32169</v>
      </c>
      <c r="Q13022">
        <v>3923</v>
      </c>
      <c r="R13022" t="s">
        <v>23</v>
      </c>
      <c r="S13022" s="1" t="s">
        <v>34218</v>
      </c>
    </row>
    <row r="13023" spans="1:19" x14ac:dyDescent="0.25">
      <c r="A13023">
        <v>101480506</v>
      </c>
      <c r="B13023" t="s">
        <v>16506</v>
      </c>
      <c r="C13023" t="s">
        <v>266</v>
      </c>
      <c r="G13023" t="s">
        <v>28310</v>
      </c>
      <c r="H13023" t="s">
        <v>1889</v>
      </c>
      <c r="I13023" t="s">
        <v>38</v>
      </c>
      <c r="J13023">
        <v>75082</v>
      </c>
      <c r="L13023" t="s">
        <v>23</v>
      </c>
      <c r="M13023" t="s">
        <v>28310</v>
      </c>
      <c r="N13023" t="s">
        <v>1889</v>
      </c>
      <c r="O13023" t="s">
        <v>38</v>
      </c>
      <c r="P13023">
        <v>75082</v>
      </c>
      <c r="R13023" t="s">
        <v>23</v>
      </c>
      <c r="S13023" s="1" t="s">
        <v>34218</v>
      </c>
    </row>
    <row r="13024" spans="1:19" x14ac:dyDescent="0.25">
      <c r="A13024">
        <v>101480508</v>
      </c>
      <c r="B13024" t="s">
        <v>28311</v>
      </c>
      <c r="C13024" t="s">
        <v>9305</v>
      </c>
      <c r="G13024" t="s">
        <v>28312</v>
      </c>
      <c r="H13024" t="s">
        <v>169</v>
      </c>
      <c r="I13024" t="s">
        <v>170</v>
      </c>
      <c r="J13024">
        <v>20032</v>
      </c>
      <c r="K13024">
        <v>6014</v>
      </c>
      <c r="L13024" t="s">
        <v>23</v>
      </c>
      <c r="M13024" t="s">
        <v>28312</v>
      </c>
      <c r="N13024" t="s">
        <v>169</v>
      </c>
      <c r="O13024" t="s">
        <v>170</v>
      </c>
      <c r="P13024">
        <v>20032</v>
      </c>
      <c r="Q13024">
        <v>6014</v>
      </c>
      <c r="R13024" t="s">
        <v>23</v>
      </c>
      <c r="S13024" s="1" t="s">
        <v>34218</v>
      </c>
    </row>
    <row r="13025" spans="1:19" x14ac:dyDescent="0.25">
      <c r="A13025">
        <v>101453061</v>
      </c>
      <c r="B13025" t="s">
        <v>1164</v>
      </c>
      <c r="C13025" t="s">
        <v>28313</v>
      </c>
      <c r="G13025" t="s">
        <v>28314</v>
      </c>
      <c r="H13025" t="s">
        <v>28315</v>
      </c>
      <c r="I13025" t="s">
        <v>2537</v>
      </c>
      <c r="J13025">
        <v>72143</v>
      </c>
      <c r="K13025">
        <v>7032</v>
      </c>
      <c r="L13025" t="s">
        <v>23</v>
      </c>
      <c r="M13025" t="s">
        <v>28314</v>
      </c>
      <c r="N13025" t="s">
        <v>28315</v>
      </c>
      <c r="O13025" t="s">
        <v>2537</v>
      </c>
      <c r="P13025">
        <v>72143</v>
      </c>
      <c r="Q13025">
        <v>7032</v>
      </c>
      <c r="R13025" t="s">
        <v>23</v>
      </c>
      <c r="S13025" s="1" t="s">
        <v>34218</v>
      </c>
    </row>
    <row r="13026" spans="1:19" x14ac:dyDescent="0.25">
      <c r="A13026">
        <v>101480510</v>
      </c>
      <c r="B13026" t="s">
        <v>595</v>
      </c>
      <c r="C13026" t="s">
        <v>10280</v>
      </c>
      <c r="G13026" t="s">
        <v>19481</v>
      </c>
      <c r="H13026" t="s">
        <v>134</v>
      </c>
      <c r="I13026" t="s">
        <v>135</v>
      </c>
      <c r="J13026">
        <v>60613</v>
      </c>
      <c r="K13026">
        <v>1912</v>
      </c>
      <c r="L13026" t="s">
        <v>23</v>
      </c>
      <c r="M13026" t="s">
        <v>19481</v>
      </c>
      <c r="N13026" t="s">
        <v>134</v>
      </c>
      <c r="O13026" t="s">
        <v>135</v>
      </c>
      <c r="P13026">
        <v>60613</v>
      </c>
      <c r="Q13026">
        <v>1912</v>
      </c>
      <c r="R13026" t="s">
        <v>23</v>
      </c>
      <c r="S13026" s="1" t="s">
        <v>34218</v>
      </c>
    </row>
    <row r="13027" spans="1:19" x14ac:dyDescent="0.25">
      <c r="A13027">
        <v>101467209</v>
      </c>
      <c r="B13027" t="s">
        <v>28316</v>
      </c>
      <c r="C13027" t="s">
        <v>1036</v>
      </c>
      <c r="G13027" t="s">
        <v>28317</v>
      </c>
      <c r="H13027" t="s">
        <v>3972</v>
      </c>
      <c r="I13027" t="s">
        <v>140</v>
      </c>
      <c r="J13027">
        <v>48009</v>
      </c>
      <c r="K13027">
        <v>1511</v>
      </c>
      <c r="L13027" t="s">
        <v>23</v>
      </c>
      <c r="M13027" t="s">
        <v>28317</v>
      </c>
      <c r="N13027" t="s">
        <v>3972</v>
      </c>
      <c r="O13027" t="s">
        <v>140</v>
      </c>
      <c r="P13027">
        <v>48009</v>
      </c>
      <c r="Q13027">
        <v>1511</v>
      </c>
      <c r="R13027" t="s">
        <v>23</v>
      </c>
      <c r="S13027" s="1" t="s">
        <v>34218</v>
      </c>
    </row>
    <row r="13028" spans="1:19" x14ac:dyDescent="0.25">
      <c r="A13028">
        <v>101409661</v>
      </c>
      <c r="B13028" t="s">
        <v>28318</v>
      </c>
      <c r="C13028" t="s">
        <v>28319</v>
      </c>
      <c r="G13028" t="s">
        <v>28320</v>
      </c>
      <c r="H13028" t="s">
        <v>28321</v>
      </c>
      <c r="I13028" t="s">
        <v>161</v>
      </c>
      <c r="J13028">
        <v>0</v>
      </c>
      <c r="L13028" t="s">
        <v>23</v>
      </c>
      <c r="M13028" t="s">
        <v>28320</v>
      </c>
      <c r="N13028" t="s">
        <v>28321</v>
      </c>
      <c r="O13028" t="s">
        <v>161</v>
      </c>
      <c r="P13028">
        <v>0</v>
      </c>
      <c r="R13028" t="s">
        <v>23</v>
      </c>
      <c r="S13028" s="1" t="s">
        <v>34218</v>
      </c>
    </row>
    <row r="13029" spans="1:19" x14ac:dyDescent="0.25">
      <c r="A13029">
        <v>101465428</v>
      </c>
      <c r="B13029" t="s">
        <v>28322</v>
      </c>
      <c r="C13029" t="s">
        <v>54</v>
      </c>
      <c r="G13029" t="s">
        <v>28323</v>
      </c>
      <c r="H13029" t="s">
        <v>26053</v>
      </c>
      <c r="I13029" t="s">
        <v>365</v>
      </c>
      <c r="J13029">
        <v>85396</v>
      </c>
      <c r="K13029">
        <v>2277</v>
      </c>
      <c r="L13029" t="s">
        <v>23</v>
      </c>
      <c r="M13029" t="s">
        <v>28323</v>
      </c>
      <c r="N13029" t="s">
        <v>26053</v>
      </c>
      <c r="O13029" t="s">
        <v>365</v>
      </c>
      <c r="P13029">
        <v>85396</v>
      </c>
      <c r="Q13029">
        <v>2277</v>
      </c>
      <c r="R13029" t="s">
        <v>23</v>
      </c>
      <c r="S13029" s="1" t="s">
        <v>34218</v>
      </c>
    </row>
    <row r="13030" spans="1:19" x14ac:dyDescent="0.25">
      <c r="A13030">
        <v>101480518</v>
      </c>
      <c r="B13030" t="s">
        <v>17122</v>
      </c>
      <c r="C13030" t="s">
        <v>2642</v>
      </c>
      <c r="G13030" t="s">
        <v>28324</v>
      </c>
      <c r="H13030" t="s">
        <v>1344</v>
      </c>
      <c r="I13030" t="s">
        <v>984</v>
      </c>
      <c r="J13030">
        <v>96778</v>
      </c>
      <c r="L13030" t="s">
        <v>23</v>
      </c>
      <c r="M13030" t="s">
        <v>28324</v>
      </c>
      <c r="N13030" t="s">
        <v>1344</v>
      </c>
      <c r="O13030" t="s">
        <v>984</v>
      </c>
      <c r="P13030">
        <v>96778</v>
      </c>
      <c r="R13030" t="s">
        <v>23</v>
      </c>
      <c r="S13030" s="1" t="s">
        <v>34218</v>
      </c>
    </row>
    <row r="13031" spans="1:19" x14ac:dyDescent="0.25">
      <c r="A13031">
        <v>101467991</v>
      </c>
      <c r="B13031" t="s">
        <v>1800</v>
      </c>
      <c r="C13031" t="s">
        <v>28325</v>
      </c>
      <c r="G13031" t="s">
        <v>28326</v>
      </c>
      <c r="H13031" t="s">
        <v>169</v>
      </c>
      <c r="I13031" t="s">
        <v>170</v>
      </c>
      <c r="J13031">
        <v>20011</v>
      </c>
      <c r="K13031">
        <v>7922</v>
      </c>
      <c r="L13031" t="s">
        <v>23</v>
      </c>
      <c r="M13031" t="s">
        <v>28326</v>
      </c>
      <c r="N13031" t="s">
        <v>169</v>
      </c>
      <c r="O13031" t="s">
        <v>170</v>
      </c>
      <c r="P13031">
        <v>20011</v>
      </c>
      <c r="Q13031">
        <v>7922</v>
      </c>
      <c r="R13031" t="s">
        <v>23</v>
      </c>
      <c r="S13031" s="1" t="s">
        <v>34218</v>
      </c>
    </row>
    <row r="13032" spans="1:19" x14ac:dyDescent="0.25">
      <c r="A13032">
        <v>101190707</v>
      </c>
      <c r="B13032" t="s">
        <v>28327</v>
      </c>
      <c r="C13032" t="s">
        <v>28328</v>
      </c>
      <c r="G13032" t="s">
        <v>28329</v>
      </c>
      <c r="H13032" t="s">
        <v>10931</v>
      </c>
      <c r="I13032" t="s">
        <v>28</v>
      </c>
      <c r="J13032">
        <v>31406</v>
      </c>
      <c r="K13032">
        <v>6901</v>
      </c>
      <c r="L13032" t="s">
        <v>23</v>
      </c>
      <c r="M13032" t="s">
        <v>28329</v>
      </c>
      <c r="N13032" t="s">
        <v>10931</v>
      </c>
      <c r="O13032" t="s">
        <v>28</v>
      </c>
      <c r="P13032">
        <v>31406</v>
      </c>
      <c r="Q13032">
        <v>6901</v>
      </c>
      <c r="R13032" t="s">
        <v>23</v>
      </c>
      <c r="S13032" s="1" t="s">
        <v>34218</v>
      </c>
    </row>
    <row r="13033" spans="1:19" x14ac:dyDescent="0.25">
      <c r="A13033">
        <v>101480527</v>
      </c>
      <c r="B13033" t="s">
        <v>199</v>
      </c>
      <c r="C13033" t="s">
        <v>4228</v>
      </c>
      <c r="G13033" t="s">
        <v>28330</v>
      </c>
      <c r="H13033" t="s">
        <v>1766</v>
      </c>
      <c r="I13033" t="s">
        <v>22</v>
      </c>
      <c r="J13033">
        <v>94591</v>
      </c>
      <c r="K13033">
        <v>6629</v>
      </c>
      <c r="L13033" t="s">
        <v>23</v>
      </c>
      <c r="M13033" t="s">
        <v>28330</v>
      </c>
      <c r="N13033" t="s">
        <v>1766</v>
      </c>
      <c r="O13033" t="s">
        <v>22</v>
      </c>
      <c r="P13033">
        <v>94591</v>
      </c>
      <c r="Q13033">
        <v>6629</v>
      </c>
      <c r="R13033" t="s">
        <v>23</v>
      </c>
      <c r="S13033" s="1" t="s">
        <v>34218</v>
      </c>
    </row>
    <row r="13034" spans="1:19" x14ac:dyDescent="0.25">
      <c r="A13034">
        <v>101267795</v>
      </c>
      <c r="B13034" t="s">
        <v>28331</v>
      </c>
      <c r="C13034" t="s">
        <v>28332</v>
      </c>
      <c r="G13034" t="s">
        <v>28333</v>
      </c>
      <c r="H13034" t="s">
        <v>761</v>
      </c>
      <c r="I13034" t="s">
        <v>236</v>
      </c>
      <c r="J13034">
        <v>1742</v>
      </c>
      <c r="K13034">
        <v>3180</v>
      </c>
      <c r="L13034" t="s">
        <v>23</v>
      </c>
      <c r="M13034" t="s">
        <v>28333</v>
      </c>
      <c r="N13034" t="s">
        <v>761</v>
      </c>
      <c r="O13034" t="s">
        <v>236</v>
      </c>
      <c r="P13034">
        <v>1742</v>
      </c>
      <c r="Q13034">
        <v>3180</v>
      </c>
      <c r="R13034" t="s">
        <v>23</v>
      </c>
      <c r="S13034" s="1" t="s">
        <v>34218</v>
      </c>
    </row>
    <row r="13035" spans="1:19" x14ac:dyDescent="0.25">
      <c r="A13035">
        <v>101429352</v>
      </c>
      <c r="B13035" t="s">
        <v>18722</v>
      </c>
      <c r="C13035" t="s">
        <v>582</v>
      </c>
      <c r="G13035" t="s">
        <v>28334</v>
      </c>
      <c r="H13035" t="s">
        <v>20348</v>
      </c>
      <c r="I13035" t="s">
        <v>1482</v>
      </c>
      <c r="J13035">
        <v>29036</v>
      </c>
      <c r="K13035">
        <v>7724</v>
      </c>
      <c r="L13035" t="s">
        <v>23</v>
      </c>
      <c r="M13035" t="s">
        <v>28334</v>
      </c>
      <c r="N13035" t="s">
        <v>20348</v>
      </c>
      <c r="O13035" t="s">
        <v>1482</v>
      </c>
      <c r="P13035">
        <v>29036</v>
      </c>
      <c r="Q13035">
        <v>7724</v>
      </c>
      <c r="R13035" t="s">
        <v>23</v>
      </c>
      <c r="S13035" s="1" t="s">
        <v>34218</v>
      </c>
    </row>
    <row r="13036" spans="1:19" x14ac:dyDescent="0.25">
      <c r="A13036">
        <v>101480535</v>
      </c>
      <c r="B13036" t="s">
        <v>4449</v>
      </c>
      <c r="C13036" t="s">
        <v>1208</v>
      </c>
      <c r="G13036" t="s">
        <v>28335</v>
      </c>
      <c r="H13036" t="s">
        <v>913</v>
      </c>
      <c r="I13036" t="s">
        <v>914</v>
      </c>
      <c r="J13036">
        <v>37205</v>
      </c>
      <c r="K13036">
        <v>3319</v>
      </c>
      <c r="L13036" t="s">
        <v>23</v>
      </c>
      <c r="M13036" t="s">
        <v>28335</v>
      </c>
      <c r="N13036" t="s">
        <v>913</v>
      </c>
      <c r="O13036" t="s">
        <v>914</v>
      </c>
      <c r="P13036">
        <v>37205</v>
      </c>
      <c r="Q13036">
        <v>3319</v>
      </c>
      <c r="R13036" t="s">
        <v>23</v>
      </c>
      <c r="S13036" s="1" t="s">
        <v>34218</v>
      </c>
    </row>
    <row r="13037" spans="1:19" x14ac:dyDescent="0.25">
      <c r="A13037">
        <v>100554087</v>
      </c>
      <c r="B13037" t="s">
        <v>23105</v>
      </c>
      <c r="C13037" t="s">
        <v>30</v>
      </c>
      <c r="G13037" t="s">
        <v>28336</v>
      </c>
      <c r="H13037" t="s">
        <v>6685</v>
      </c>
      <c r="I13037" t="s">
        <v>84</v>
      </c>
      <c r="J13037">
        <v>98592</v>
      </c>
      <c r="K13037">
        <v>9402</v>
      </c>
      <c r="L13037" t="s">
        <v>23</v>
      </c>
      <c r="M13037" t="s">
        <v>28336</v>
      </c>
      <c r="N13037" t="s">
        <v>6685</v>
      </c>
      <c r="O13037" t="s">
        <v>84</v>
      </c>
      <c r="P13037">
        <v>98592</v>
      </c>
      <c r="Q13037">
        <v>9402</v>
      </c>
      <c r="R13037" t="s">
        <v>23</v>
      </c>
      <c r="S13037" s="1" t="s">
        <v>34218</v>
      </c>
    </row>
    <row r="13038" spans="1:19" x14ac:dyDescent="0.25">
      <c r="A13038">
        <v>100947072</v>
      </c>
      <c r="B13038" t="s">
        <v>25542</v>
      </c>
      <c r="C13038" t="s">
        <v>30</v>
      </c>
      <c r="G13038" t="s">
        <v>28337</v>
      </c>
      <c r="H13038" t="s">
        <v>299</v>
      </c>
      <c r="I13038" t="s">
        <v>22</v>
      </c>
      <c r="J13038">
        <v>90035</v>
      </c>
      <c r="K13038">
        <v>3459</v>
      </c>
      <c r="L13038" t="s">
        <v>23</v>
      </c>
      <c r="M13038" t="s">
        <v>28337</v>
      </c>
      <c r="N13038" t="s">
        <v>299</v>
      </c>
      <c r="O13038" t="s">
        <v>22</v>
      </c>
      <c r="P13038">
        <v>90035</v>
      </c>
      <c r="Q13038">
        <v>3459</v>
      </c>
      <c r="R13038" t="s">
        <v>23</v>
      </c>
      <c r="S13038" s="1" t="s">
        <v>34218</v>
      </c>
    </row>
    <row r="13039" spans="1:19" x14ac:dyDescent="0.25">
      <c r="A13039">
        <v>101480543</v>
      </c>
      <c r="B13039" t="s">
        <v>4696</v>
      </c>
      <c r="C13039" t="s">
        <v>1274</v>
      </c>
      <c r="G13039" t="s">
        <v>28338</v>
      </c>
      <c r="H13039" t="s">
        <v>4559</v>
      </c>
      <c r="I13039" t="s">
        <v>250</v>
      </c>
      <c r="J13039">
        <v>7928</v>
      </c>
      <c r="K13039">
        <v>1720</v>
      </c>
      <c r="L13039" t="s">
        <v>23</v>
      </c>
      <c r="M13039" t="s">
        <v>28338</v>
      </c>
      <c r="N13039" t="s">
        <v>4559</v>
      </c>
      <c r="O13039" t="s">
        <v>250</v>
      </c>
      <c r="P13039">
        <v>7928</v>
      </c>
      <c r="Q13039">
        <v>1720</v>
      </c>
      <c r="R13039" t="s">
        <v>23</v>
      </c>
      <c r="S13039" s="1" t="s">
        <v>34218</v>
      </c>
    </row>
    <row r="13040" spans="1:19" x14ac:dyDescent="0.25">
      <c r="A13040">
        <v>101233080</v>
      </c>
      <c r="B13040" t="s">
        <v>12977</v>
      </c>
      <c r="C13040" t="s">
        <v>1555</v>
      </c>
      <c r="G13040">
        <v>12901</v>
      </c>
      <c r="H13040" t="s">
        <v>2035</v>
      </c>
      <c r="I13040" t="s">
        <v>117</v>
      </c>
      <c r="J13040">
        <v>12901</v>
      </c>
      <c r="L13040" t="s">
        <v>23</v>
      </c>
      <c r="M13040">
        <v>12901</v>
      </c>
      <c r="N13040" t="s">
        <v>2035</v>
      </c>
      <c r="O13040" t="s">
        <v>117</v>
      </c>
      <c r="P13040">
        <v>12901</v>
      </c>
      <c r="R13040" t="s">
        <v>23</v>
      </c>
      <c r="S13040" s="1" t="s">
        <v>34218</v>
      </c>
    </row>
    <row r="13041" spans="1:19" x14ac:dyDescent="0.25">
      <c r="A13041">
        <v>101441780</v>
      </c>
      <c r="B13041" t="s">
        <v>9862</v>
      </c>
      <c r="C13041" t="s">
        <v>1157</v>
      </c>
      <c r="G13041" t="s">
        <v>28339</v>
      </c>
      <c r="H13041" t="s">
        <v>9689</v>
      </c>
      <c r="I13041" t="s">
        <v>84</v>
      </c>
      <c r="J13041">
        <v>98249</v>
      </c>
      <c r="K13041">
        <v>970</v>
      </c>
      <c r="L13041" t="s">
        <v>23</v>
      </c>
      <c r="M13041" t="s">
        <v>28339</v>
      </c>
      <c r="N13041" t="s">
        <v>9689</v>
      </c>
      <c r="O13041" t="s">
        <v>84</v>
      </c>
      <c r="P13041">
        <v>98249</v>
      </c>
      <c r="Q13041">
        <v>970</v>
      </c>
      <c r="R13041" t="s">
        <v>23</v>
      </c>
      <c r="S13041" s="1" t="s">
        <v>34218</v>
      </c>
    </row>
    <row r="13042" spans="1:19" x14ac:dyDescent="0.25">
      <c r="A13042">
        <v>100615975</v>
      </c>
      <c r="B13042" t="s">
        <v>28340</v>
      </c>
      <c r="C13042" t="s">
        <v>45</v>
      </c>
      <c r="G13042" t="s">
        <v>28341</v>
      </c>
      <c r="H13042" t="s">
        <v>688</v>
      </c>
      <c r="I13042" t="s">
        <v>353</v>
      </c>
      <c r="J13042">
        <v>3867</v>
      </c>
      <c r="K13042">
        <v>4352</v>
      </c>
      <c r="L13042" t="s">
        <v>23</v>
      </c>
      <c r="M13042" t="s">
        <v>28341</v>
      </c>
      <c r="N13042" t="s">
        <v>688</v>
      </c>
      <c r="O13042" t="s">
        <v>353</v>
      </c>
      <c r="P13042">
        <v>3867</v>
      </c>
      <c r="Q13042">
        <v>4352</v>
      </c>
      <c r="R13042" t="s">
        <v>23</v>
      </c>
      <c r="S13042" s="1" t="s">
        <v>34218</v>
      </c>
    </row>
    <row r="13043" spans="1:19" x14ac:dyDescent="0.25">
      <c r="A13043">
        <v>100515471</v>
      </c>
      <c r="B13043" t="s">
        <v>2080</v>
      </c>
      <c r="C13043" t="s">
        <v>2071</v>
      </c>
      <c r="G13043" t="s">
        <v>28342</v>
      </c>
      <c r="H13043" t="s">
        <v>6224</v>
      </c>
      <c r="I13043" t="s">
        <v>914</v>
      </c>
      <c r="J13043">
        <v>37914</v>
      </c>
      <c r="K13043">
        <v>6404</v>
      </c>
      <c r="L13043" t="s">
        <v>23</v>
      </c>
      <c r="M13043" t="s">
        <v>28342</v>
      </c>
      <c r="N13043" t="s">
        <v>6224</v>
      </c>
      <c r="O13043" t="s">
        <v>914</v>
      </c>
      <c r="P13043">
        <v>37914</v>
      </c>
      <c r="Q13043">
        <v>6404</v>
      </c>
      <c r="R13043" t="s">
        <v>23</v>
      </c>
      <c r="S13043" s="1" t="s">
        <v>34218</v>
      </c>
    </row>
    <row r="13044" spans="1:19" x14ac:dyDescent="0.25">
      <c r="A13044">
        <v>101468233</v>
      </c>
      <c r="B13044" t="s">
        <v>28343</v>
      </c>
      <c r="C13044" t="s">
        <v>575</v>
      </c>
      <c r="G13044" t="s">
        <v>28344</v>
      </c>
      <c r="H13044" t="s">
        <v>66</v>
      </c>
      <c r="I13044" t="s">
        <v>22</v>
      </c>
      <c r="J13044">
        <v>94702</v>
      </c>
      <c r="K13044">
        <v>2123</v>
      </c>
      <c r="L13044" t="s">
        <v>23</v>
      </c>
      <c r="M13044" t="s">
        <v>28344</v>
      </c>
      <c r="N13044" t="s">
        <v>66</v>
      </c>
      <c r="O13044" t="s">
        <v>22</v>
      </c>
      <c r="P13044">
        <v>94702</v>
      </c>
      <c r="Q13044">
        <v>2123</v>
      </c>
      <c r="R13044" t="s">
        <v>23</v>
      </c>
      <c r="S13044" s="1" t="s">
        <v>34218</v>
      </c>
    </row>
    <row r="13045" spans="1:19" x14ac:dyDescent="0.25">
      <c r="A13045">
        <v>101450005</v>
      </c>
      <c r="B13045" t="s">
        <v>28345</v>
      </c>
      <c r="C13045" t="s">
        <v>28346</v>
      </c>
      <c r="G13045" t="s">
        <v>28347</v>
      </c>
      <c r="H13045" t="s">
        <v>1531</v>
      </c>
      <c r="I13045" t="s">
        <v>84</v>
      </c>
      <c r="J13045">
        <v>98117</v>
      </c>
      <c r="K13045">
        <v>2515</v>
      </c>
      <c r="L13045" t="s">
        <v>23</v>
      </c>
      <c r="M13045" t="s">
        <v>28347</v>
      </c>
      <c r="N13045" t="s">
        <v>1531</v>
      </c>
      <c r="O13045" t="s">
        <v>84</v>
      </c>
      <c r="P13045">
        <v>98117</v>
      </c>
      <c r="Q13045">
        <v>2515</v>
      </c>
      <c r="R13045" t="s">
        <v>23</v>
      </c>
      <c r="S13045" s="1" t="s">
        <v>34218</v>
      </c>
    </row>
    <row r="13046" spans="1:19" x14ac:dyDescent="0.25">
      <c r="A13046">
        <v>101366588</v>
      </c>
      <c r="B13046" t="s">
        <v>9526</v>
      </c>
      <c r="C13046" t="s">
        <v>28348</v>
      </c>
      <c r="G13046" t="s">
        <v>28349</v>
      </c>
      <c r="H13046" t="s">
        <v>694</v>
      </c>
      <c r="I13046" t="s">
        <v>135</v>
      </c>
      <c r="J13046">
        <v>60563</v>
      </c>
      <c r="K13046">
        <v>1893</v>
      </c>
      <c r="L13046" t="s">
        <v>23</v>
      </c>
      <c r="M13046" t="s">
        <v>28349</v>
      </c>
      <c r="N13046" t="s">
        <v>694</v>
      </c>
      <c r="O13046" t="s">
        <v>135</v>
      </c>
      <c r="P13046">
        <v>60563</v>
      </c>
      <c r="Q13046">
        <v>1893</v>
      </c>
      <c r="R13046" t="s">
        <v>23</v>
      </c>
      <c r="S13046" s="1" t="s">
        <v>34218</v>
      </c>
    </row>
    <row r="13047" spans="1:19" x14ac:dyDescent="0.25">
      <c r="A13047">
        <v>100593242</v>
      </c>
      <c r="B13047" t="s">
        <v>16084</v>
      </c>
      <c r="C13047" t="s">
        <v>3009</v>
      </c>
      <c r="G13047" t="s">
        <v>28350</v>
      </c>
      <c r="H13047" t="s">
        <v>1951</v>
      </c>
      <c r="I13047" t="s">
        <v>236</v>
      </c>
      <c r="J13047">
        <v>1085</v>
      </c>
      <c r="K13047">
        <v>5009</v>
      </c>
      <c r="L13047" t="s">
        <v>23</v>
      </c>
      <c r="M13047" t="s">
        <v>28350</v>
      </c>
      <c r="N13047" t="s">
        <v>1951</v>
      </c>
      <c r="O13047" t="s">
        <v>236</v>
      </c>
      <c r="P13047">
        <v>1085</v>
      </c>
      <c r="Q13047">
        <v>5009</v>
      </c>
      <c r="R13047" t="s">
        <v>23</v>
      </c>
      <c r="S13047" s="1" t="s">
        <v>34218</v>
      </c>
    </row>
    <row r="13048" spans="1:19" x14ac:dyDescent="0.25">
      <c r="A13048">
        <v>101480558</v>
      </c>
      <c r="B13048" t="s">
        <v>28351</v>
      </c>
      <c r="C13048" t="s">
        <v>12846</v>
      </c>
      <c r="G13048" t="s">
        <v>28352</v>
      </c>
      <c r="H13048" t="s">
        <v>21820</v>
      </c>
      <c r="I13048" t="s">
        <v>33</v>
      </c>
      <c r="J13048">
        <v>19002</v>
      </c>
      <c r="K13048">
        <v>4039</v>
      </c>
      <c r="L13048" t="s">
        <v>23</v>
      </c>
      <c r="M13048" t="s">
        <v>28352</v>
      </c>
      <c r="N13048" t="s">
        <v>21820</v>
      </c>
      <c r="O13048" t="s">
        <v>33</v>
      </c>
      <c r="P13048">
        <v>19002</v>
      </c>
      <c r="Q13048">
        <v>4039</v>
      </c>
      <c r="R13048" t="s">
        <v>23</v>
      </c>
      <c r="S13048" s="1" t="s">
        <v>34218</v>
      </c>
    </row>
    <row r="13049" spans="1:19" x14ac:dyDescent="0.25">
      <c r="A13049">
        <v>101361092</v>
      </c>
      <c r="B13049" t="s">
        <v>28353</v>
      </c>
      <c r="C13049" t="s">
        <v>2672</v>
      </c>
      <c r="G13049" t="s">
        <v>28354</v>
      </c>
      <c r="H13049" t="s">
        <v>1873</v>
      </c>
      <c r="I13049" t="s">
        <v>236</v>
      </c>
      <c r="J13049">
        <v>2067</v>
      </c>
      <c r="K13049">
        <v>3314</v>
      </c>
      <c r="L13049" t="s">
        <v>23</v>
      </c>
      <c r="M13049" t="s">
        <v>28354</v>
      </c>
      <c r="N13049" t="s">
        <v>1873</v>
      </c>
      <c r="O13049" t="s">
        <v>236</v>
      </c>
      <c r="P13049">
        <v>2067</v>
      </c>
      <c r="Q13049">
        <v>3314</v>
      </c>
      <c r="R13049" t="s">
        <v>23</v>
      </c>
      <c r="S13049" s="1" t="s">
        <v>34218</v>
      </c>
    </row>
    <row r="13050" spans="1:19" x14ac:dyDescent="0.25">
      <c r="A13050">
        <v>101457938</v>
      </c>
      <c r="B13050" t="s">
        <v>1800</v>
      </c>
      <c r="C13050" t="s">
        <v>13533</v>
      </c>
      <c r="G13050" t="s">
        <v>28355</v>
      </c>
      <c r="H13050" t="s">
        <v>7214</v>
      </c>
      <c r="I13050" t="s">
        <v>2566</v>
      </c>
      <c r="J13050">
        <v>99703</v>
      </c>
      <c r="L13050" t="s">
        <v>23</v>
      </c>
      <c r="M13050" t="s">
        <v>28355</v>
      </c>
      <c r="N13050" t="s">
        <v>7214</v>
      </c>
      <c r="O13050" t="s">
        <v>2566</v>
      </c>
      <c r="P13050">
        <v>99703</v>
      </c>
      <c r="R13050" t="s">
        <v>23</v>
      </c>
      <c r="S13050" s="1" t="s">
        <v>34218</v>
      </c>
    </row>
    <row r="13051" spans="1:19" x14ac:dyDescent="0.25">
      <c r="A13051">
        <v>100745426</v>
      </c>
      <c r="B13051" t="s">
        <v>28356</v>
      </c>
      <c r="C13051" t="s">
        <v>25256</v>
      </c>
      <c r="G13051" t="s">
        <v>28357</v>
      </c>
      <c r="H13051" t="s">
        <v>311</v>
      </c>
      <c r="I13051" t="s">
        <v>22</v>
      </c>
      <c r="J13051">
        <v>90803</v>
      </c>
      <c r="K13051">
        <v>3443</v>
      </c>
      <c r="L13051" t="s">
        <v>23</v>
      </c>
      <c r="M13051" t="s">
        <v>28357</v>
      </c>
      <c r="N13051" t="s">
        <v>311</v>
      </c>
      <c r="O13051" t="s">
        <v>22</v>
      </c>
      <c r="P13051">
        <v>90803</v>
      </c>
      <c r="Q13051">
        <v>3443</v>
      </c>
      <c r="R13051" t="s">
        <v>23</v>
      </c>
      <c r="S13051" s="1" t="s">
        <v>34218</v>
      </c>
    </row>
    <row r="13052" spans="1:19" x14ac:dyDescent="0.25">
      <c r="A13052">
        <v>100770616</v>
      </c>
      <c r="B13052" t="s">
        <v>3535</v>
      </c>
      <c r="C13052" t="s">
        <v>28358</v>
      </c>
      <c r="G13052" t="s">
        <v>28359</v>
      </c>
      <c r="H13052" t="s">
        <v>7195</v>
      </c>
      <c r="I13052" t="s">
        <v>43</v>
      </c>
      <c r="J13052">
        <v>47101</v>
      </c>
      <c r="L13052" t="s">
        <v>23</v>
      </c>
      <c r="M13052" t="s">
        <v>28359</v>
      </c>
      <c r="N13052" t="s">
        <v>7195</v>
      </c>
      <c r="O13052" t="s">
        <v>43</v>
      </c>
      <c r="P13052">
        <v>47101</v>
      </c>
      <c r="R13052" t="s">
        <v>23</v>
      </c>
      <c r="S13052" s="1" t="s">
        <v>34218</v>
      </c>
    </row>
    <row r="13053" spans="1:19" x14ac:dyDescent="0.25">
      <c r="A13053">
        <v>100568582</v>
      </c>
      <c r="B13053" t="s">
        <v>5569</v>
      </c>
      <c r="C13053" t="s">
        <v>846</v>
      </c>
      <c r="G13053" t="s">
        <v>28360</v>
      </c>
      <c r="H13053" t="s">
        <v>28361</v>
      </c>
      <c r="I13053" t="s">
        <v>135</v>
      </c>
      <c r="J13053">
        <v>60546</v>
      </c>
      <c r="K13053">
        <v>1106</v>
      </c>
      <c r="L13053" t="s">
        <v>23</v>
      </c>
      <c r="M13053" t="s">
        <v>28360</v>
      </c>
      <c r="N13053" t="s">
        <v>28361</v>
      </c>
      <c r="O13053" t="s">
        <v>135</v>
      </c>
      <c r="P13053">
        <v>60546</v>
      </c>
      <c r="Q13053">
        <v>1106</v>
      </c>
      <c r="R13053" t="s">
        <v>23</v>
      </c>
      <c r="S13053" s="1" t="s">
        <v>34218</v>
      </c>
    </row>
    <row r="13054" spans="1:19" x14ac:dyDescent="0.25">
      <c r="A13054">
        <v>100962331</v>
      </c>
      <c r="B13054" t="s">
        <v>28362</v>
      </c>
      <c r="C13054" t="s">
        <v>45</v>
      </c>
      <c r="G13054" t="s">
        <v>28363</v>
      </c>
      <c r="H13054" t="s">
        <v>28364</v>
      </c>
      <c r="I13054" t="s">
        <v>52</v>
      </c>
      <c r="J13054">
        <v>34447</v>
      </c>
      <c r="K13054">
        <v>1235</v>
      </c>
      <c r="L13054" t="s">
        <v>23</v>
      </c>
      <c r="M13054" t="s">
        <v>28363</v>
      </c>
      <c r="N13054" t="s">
        <v>28364</v>
      </c>
      <c r="O13054" t="s">
        <v>52</v>
      </c>
      <c r="P13054">
        <v>34447</v>
      </c>
      <c r="Q13054">
        <v>1235</v>
      </c>
      <c r="R13054" t="s">
        <v>23</v>
      </c>
      <c r="S13054" s="1" t="s">
        <v>34218</v>
      </c>
    </row>
    <row r="13055" spans="1:19" x14ac:dyDescent="0.25">
      <c r="A13055">
        <v>101037014</v>
      </c>
      <c r="B13055" t="s">
        <v>1164</v>
      </c>
      <c r="C13055" t="s">
        <v>28365</v>
      </c>
      <c r="G13055" t="s">
        <v>28366</v>
      </c>
      <c r="H13055" t="s">
        <v>299</v>
      </c>
      <c r="I13055" t="s">
        <v>22</v>
      </c>
      <c r="J13055">
        <v>90068</v>
      </c>
      <c r="L13055" t="s">
        <v>23</v>
      </c>
      <c r="M13055" t="s">
        <v>28366</v>
      </c>
      <c r="N13055" t="s">
        <v>299</v>
      </c>
      <c r="O13055" t="s">
        <v>22</v>
      </c>
      <c r="P13055">
        <v>90068</v>
      </c>
      <c r="R13055" t="s">
        <v>23</v>
      </c>
      <c r="S13055" s="1" t="s">
        <v>34218</v>
      </c>
    </row>
    <row r="13056" spans="1:19" x14ac:dyDescent="0.25">
      <c r="A13056">
        <v>101480573</v>
      </c>
      <c r="B13056" t="s">
        <v>23190</v>
      </c>
      <c r="C13056" t="s">
        <v>1859</v>
      </c>
      <c r="G13056" t="s">
        <v>28367</v>
      </c>
      <c r="H13056" t="s">
        <v>28368</v>
      </c>
      <c r="I13056" t="s">
        <v>191</v>
      </c>
      <c r="J13056">
        <v>4627</v>
      </c>
      <c r="K13056">
        <v>3453</v>
      </c>
      <c r="L13056" t="s">
        <v>23</v>
      </c>
      <c r="M13056" t="s">
        <v>28367</v>
      </c>
      <c r="N13056" t="s">
        <v>28368</v>
      </c>
      <c r="O13056" t="s">
        <v>191</v>
      </c>
      <c r="P13056">
        <v>4627</v>
      </c>
      <c r="Q13056">
        <v>3453</v>
      </c>
      <c r="R13056" t="s">
        <v>23</v>
      </c>
      <c r="S13056" s="1" t="s">
        <v>34218</v>
      </c>
    </row>
    <row r="13057" spans="1:19" x14ac:dyDescent="0.25">
      <c r="A13057">
        <v>101402178</v>
      </c>
      <c r="B13057" t="s">
        <v>28369</v>
      </c>
      <c r="C13057" t="s">
        <v>119</v>
      </c>
      <c r="G13057" t="s">
        <v>28370</v>
      </c>
      <c r="H13057" t="s">
        <v>28371</v>
      </c>
      <c r="I13057" t="s">
        <v>1482</v>
      </c>
      <c r="J13057">
        <v>29406</v>
      </c>
      <c r="K13057">
        <v>8002</v>
      </c>
      <c r="L13057" t="s">
        <v>23</v>
      </c>
      <c r="M13057" t="s">
        <v>28370</v>
      </c>
      <c r="N13057" t="s">
        <v>28371</v>
      </c>
      <c r="O13057" t="s">
        <v>1482</v>
      </c>
      <c r="P13057">
        <v>29406</v>
      </c>
      <c r="Q13057">
        <v>8002</v>
      </c>
      <c r="R13057" t="s">
        <v>23</v>
      </c>
      <c r="S13057" s="1" t="s">
        <v>34218</v>
      </c>
    </row>
    <row r="13058" spans="1:19" x14ac:dyDescent="0.25">
      <c r="A13058">
        <v>100934181</v>
      </c>
      <c r="B13058" t="s">
        <v>2653</v>
      </c>
      <c r="C13058" t="s">
        <v>28372</v>
      </c>
      <c r="G13058" t="s">
        <v>28373</v>
      </c>
      <c r="H13058" t="s">
        <v>28374</v>
      </c>
      <c r="I13058" t="s">
        <v>117</v>
      </c>
      <c r="J13058">
        <v>10504</v>
      </c>
      <c r="K13058">
        <v>525</v>
      </c>
      <c r="L13058" t="s">
        <v>23</v>
      </c>
      <c r="M13058" t="s">
        <v>28373</v>
      </c>
      <c r="N13058" t="s">
        <v>28374</v>
      </c>
      <c r="O13058" t="s">
        <v>117</v>
      </c>
      <c r="P13058">
        <v>10504</v>
      </c>
      <c r="Q13058">
        <v>525</v>
      </c>
      <c r="R13058" t="s">
        <v>23</v>
      </c>
      <c r="S13058" s="1" t="s">
        <v>34218</v>
      </c>
    </row>
    <row r="13059" spans="1:19" x14ac:dyDescent="0.25">
      <c r="A13059">
        <v>101054130</v>
      </c>
      <c r="B13059" t="s">
        <v>2656</v>
      </c>
      <c r="C13059" t="s">
        <v>313</v>
      </c>
      <c r="G13059" t="s">
        <v>28375</v>
      </c>
      <c r="H13059" t="s">
        <v>2375</v>
      </c>
      <c r="I13059" t="s">
        <v>100</v>
      </c>
      <c r="J13059">
        <v>53705</v>
      </c>
      <c r="K13059">
        <v>2537</v>
      </c>
      <c r="L13059" t="s">
        <v>23</v>
      </c>
      <c r="M13059" t="s">
        <v>28375</v>
      </c>
      <c r="N13059" t="s">
        <v>2375</v>
      </c>
      <c r="O13059" t="s">
        <v>100</v>
      </c>
      <c r="P13059">
        <v>53705</v>
      </c>
      <c r="Q13059">
        <v>2537</v>
      </c>
      <c r="R13059" t="s">
        <v>23</v>
      </c>
      <c r="S13059" s="1" t="s">
        <v>34218</v>
      </c>
    </row>
    <row r="13060" spans="1:19" x14ac:dyDescent="0.25">
      <c r="A13060">
        <v>101242484</v>
      </c>
      <c r="B13060" t="s">
        <v>28376</v>
      </c>
      <c r="C13060" t="s">
        <v>7624</v>
      </c>
      <c r="G13060" t="s">
        <v>28377</v>
      </c>
      <c r="H13060" t="s">
        <v>6483</v>
      </c>
      <c r="I13060" t="s">
        <v>446</v>
      </c>
      <c r="J13060">
        <v>27596</v>
      </c>
      <c r="K13060">
        <v>2012</v>
      </c>
      <c r="L13060" t="s">
        <v>23</v>
      </c>
      <c r="M13060" t="s">
        <v>28377</v>
      </c>
      <c r="N13060" t="s">
        <v>6483</v>
      </c>
      <c r="O13060" t="s">
        <v>446</v>
      </c>
      <c r="P13060">
        <v>27596</v>
      </c>
      <c r="Q13060">
        <v>2012</v>
      </c>
      <c r="R13060" t="s">
        <v>23</v>
      </c>
      <c r="S13060" s="1" t="s">
        <v>34218</v>
      </c>
    </row>
    <row r="13061" spans="1:19" x14ac:dyDescent="0.25">
      <c r="A13061">
        <v>101426853</v>
      </c>
      <c r="B13061" t="s">
        <v>28378</v>
      </c>
      <c r="C13061" t="s">
        <v>5599</v>
      </c>
      <c r="G13061" t="s">
        <v>28379</v>
      </c>
      <c r="H13061" t="s">
        <v>19910</v>
      </c>
      <c r="I13061" t="s">
        <v>1482</v>
      </c>
      <c r="J13061">
        <v>29302</v>
      </c>
      <c r="L13061" t="s">
        <v>23</v>
      </c>
      <c r="M13061" t="s">
        <v>28379</v>
      </c>
      <c r="N13061" t="s">
        <v>19910</v>
      </c>
      <c r="O13061" t="s">
        <v>1482</v>
      </c>
      <c r="P13061">
        <v>29302</v>
      </c>
      <c r="R13061" t="s">
        <v>23</v>
      </c>
      <c r="S13061" s="1" t="s">
        <v>34218</v>
      </c>
    </row>
    <row r="13062" spans="1:19" x14ac:dyDescent="0.25">
      <c r="A13062">
        <v>101467287</v>
      </c>
      <c r="B13062" t="s">
        <v>1370</v>
      </c>
      <c r="C13062" t="s">
        <v>28380</v>
      </c>
      <c r="G13062" t="s">
        <v>28381</v>
      </c>
      <c r="H13062" t="s">
        <v>5579</v>
      </c>
      <c r="I13062" t="s">
        <v>446</v>
      </c>
      <c r="J13062">
        <v>27127</v>
      </c>
      <c r="K13062">
        <v>9203</v>
      </c>
      <c r="L13062" t="s">
        <v>23</v>
      </c>
      <c r="M13062" t="s">
        <v>28381</v>
      </c>
      <c r="N13062" t="s">
        <v>5579</v>
      </c>
      <c r="O13062" t="s">
        <v>446</v>
      </c>
      <c r="P13062">
        <v>27127</v>
      </c>
      <c r="Q13062">
        <v>9203</v>
      </c>
      <c r="R13062" t="s">
        <v>23</v>
      </c>
      <c r="S13062" s="1" t="s">
        <v>34218</v>
      </c>
    </row>
    <row r="13063" spans="1:19" x14ac:dyDescent="0.25">
      <c r="A13063">
        <v>101322417</v>
      </c>
      <c r="B13063" t="s">
        <v>557</v>
      </c>
      <c r="C13063" t="s">
        <v>6481</v>
      </c>
      <c r="G13063" t="s">
        <v>28382</v>
      </c>
      <c r="H13063" t="s">
        <v>3132</v>
      </c>
      <c r="I13063" t="s">
        <v>22</v>
      </c>
      <c r="J13063">
        <v>92660</v>
      </c>
      <c r="K13063">
        <v>708</v>
      </c>
      <c r="L13063" t="s">
        <v>23</v>
      </c>
      <c r="M13063" t="s">
        <v>28382</v>
      </c>
      <c r="N13063" t="s">
        <v>3132</v>
      </c>
      <c r="O13063" t="s">
        <v>22</v>
      </c>
      <c r="P13063">
        <v>92660</v>
      </c>
      <c r="Q13063">
        <v>708</v>
      </c>
      <c r="R13063" t="s">
        <v>23</v>
      </c>
      <c r="S13063" s="1" t="s">
        <v>34218</v>
      </c>
    </row>
    <row r="13064" spans="1:19" x14ac:dyDescent="0.25">
      <c r="A13064">
        <v>101478366</v>
      </c>
      <c r="B13064" t="s">
        <v>3109</v>
      </c>
      <c r="C13064" t="s">
        <v>3350</v>
      </c>
      <c r="G13064" t="s">
        <v>28383</v>
      </c>
      <c r="H13064" t="s">
        <v>4069</v>
      </c>
      <c r="I13064" t="s">
        <v>71</v>
      </c>
      <c r="J13064">
        <v>80120</v>
      </c>
      <c r="K13064">
        <v>4315</v>
      </c>
      <c r="L13064" t="s">
        <v>23</v>
      </c>
      <c r="M13064" t="s">
        <v>28383</v>
      </c>
      <c r="N13064" t="s">
        <v>4069</v>
      </c>
      <c r="O13064" t="s">
        <v>71</v>
      </c>
      <c r="P13064">
        <v>80120</v>
      </c>
      <c r="Q13064">
        <v>4315</v>
      </c>
      <c r="R13064" t="s">
        <v>23</v>
      </c>
      <c r="S13064" s="1" t="s">
        <v>34218</v>
      </c>
    </row>
    <row r="13065" spans="1:19" x14ac:dyDescent="0.25">
      <c r="A13065">
        <v>100631013</v>
      </c>
      <c r="B13065" t="s">
        <v>1505</v>
      </c>
      <c r="C13065" t="s">
        <v>2653</v>
      </c>
      <c r="G13065" t="s">
        <v>28384</v>
      </c>
      <c r="H13065" t="s">
        <v>12926</v>
      </c>
      <c r="I13065" t="s">
        <v>84</v>
      </c>
      <c r="J13065">
        <v>98271</v>
      </c>
      <c r="K13065">
        <v>8340</v>
      </c>
      <c r="L13065" t="s">
        <v>23</v>
      </c>
      <c r="M13065" t="s">
        <v>28384</v>
      </c>
      <c r="N13065" t="s">
        <v>12926</v>
      </c>
      <c r="O13065" t="s">
        <v>84</v>
      </c>
      <c r="P13065">
        <v>98271</v>
      </c>
      <c r="Q13065">
        <v>8340</v>
      </c>
      <c r="R13065" t="s">
        <v>23</v>
      </c>
      <c r="S13065" s="1" t="s">
        <v>34218</v>
      </c>
    </row>
    <row r="13066" spans="1:19" x14ac:dyDescent="0.25">
      <c r="A13066">
        <v>101473131</v>
      </c>
      <c r="B13066" t="s">
        <v>28385</v>
      </c>
      <c r="C13066" t="s">
        <v>290</v>
      </c>
      <c r="G13066" t="s">
        <v>28386</v>
      </c>
      <c r="H13066" t="s">
        <v>28387</v>
      </c>
      <c r="I13066" t="s">
        <v>38</v>
      </c>
      <c r="J13066">
        <v>77619</v>
      </c>
      <c r="K13066">
        <v>3255</v>
      </c>
      <c r="L13066" t="s">
        <v>23</v>
      </c>
      <c r="M13066" t="s">
        <v>28386</v>
      </c>
      <c r="N13066" t="s">
        <v>28387</v>
      </c>
      <c r="O13066" t="s">
        <v>38</v>
      </c>
      <c r="P13066">
        <v>77619</v>
      </c>
      <c r="Q13066">
        <v>3255</v>
      </c>
      <c r="R13066" t="s">
        <v>23</v>
      </c>
      <c r="S13066" s="1" t="s">
        <v>34218</v>
      </c>
    </row>
    <row r="13067" spans="1:19" x14ac:dyDescent="0.25">
      <c r="A13067">
        <v>100812809</v>
      </c>
      <c r="B13067" t="s">
        <v>28388</v>
      </c>
      <c r="C13067" t="s">
        <v>1050</v>
      </c>
      <c r="G13067" t="s">
        <v>28389</v>
      </c>
      <c r="H13067" t="s">
        <v>25299</v>
      </c>
      <c r="I13067" t="s">
        <v>446</v>
      </c>
      <c r="J13067">
        <v>27948</v>
      </c>
      <c r="K13067">
        <v>8929</v>
      </c>
      <c r="L13067" t="s">
        <v>23</v>
      </c>
      <c r="M13067" t="s">
        <v>28389</v>
      </c>
      <c r="N13067" t="s">
        <v>25299</v>
      </c>
      <c r="O13067" t="s">
        <v>446</v>
      </c>
      <c r="P13067">
        <v>27948</v>
      </c>
      <c r="Q13067">
        <v>8929</v>
      </c>
      <c r="R13067" t="s">
        <v>23</v>
      </c>
      <c r="S13067" s="1" t="s">
        <v>34218</v>
      </c>
    </row>
    <row r="13068" spans="1:19" x14ac:dyDescent="0.25">
      <c r="A13068">
        <v>101426072</v>
      </c>
      <c r="B13068" t="s">
        <v>2080</v>
      </c>
      <c r="C13068" t="s">
        <v>1043</v>
      </c>
      <c r="G13068" t="s">
        <v>28390</v>
      </c>
      <c r="H13068" t="s">
        <v>22199</v>
      </c>
      <c r="I13068" t="s">
        <v>191</v>
      </c>
      <c r="J13068">
        <v>4107</v>
      </c>
      <c r="K13068">
        <v>5107</v>
      </c>
      <c r="L13068" t="s">
        <v>23</v>
      </c>
      <c r="M13068" t="s">
        <v>28390</v>
      </c>
      <c r="N13068" t="s">
        <v>22199</v>
      </c>
      <c r="O13068" t="s">
        <v>191</v>
      </c>
      <c r="P13068">
        <v>4107</v>
      </c>
      <c r="Q13068">
        <v>5107</v>
      </c>
      <c r="R13068" t="s">
        <v>23</v>
      </c>
      <c r="S13068" s="1" t="s">
        <v>34218</v>
      </c>
    </row>
    <row r="13069" spans="1:19" x14ac:dyDescent="0.25">
      <c r="A13069">
        <v>101450510</v>
      </c>
      <c r="B13069" t="s">
        <v>28391</v>
      </c>
      <c r="C13069" t="s">
        <v>1933</v>
      </c>
      <c r="G13069" t="s">
        <v>28392</v>
      </c>
      <c r="H13069" t="s">
        <v>6803</v>
      </c>
      <c r="I13069" t="s">
        <v>191</v>
      </c>
      <c r="J13069">
        <v>4681</v>
      </c>
      <c r="K13069">
        <v>3539</v>
      </c>
      <c r="L13069" t="s">
        <v>23</v>
      </c>
      <c r="M13069" t="s">
        <v>28392</v>
      </c>
      <c r="N13069" t="s">
        <v>6803</v>
      </c>
      <c r="O13069" t="s">
        <v>191</v>
      </c>
      <c r="P13069">
        <v>4681</v>
      </c>
      <c r="Q13069">
        <v>3539</v>
      </c>
      <c r="R13069" t="s">
        <v>23</v>
      </c>
      <c r="S13069" s="1" t="s">
        <v>34218</v>
      </c>
    </row>
    <row r="13070" spans="1:19" x14ac:dyDescent="0.25">
      <c r="A13070">
        <v>101413552</v>
      </c>
      <c r="B13070" t="s">
        <v>28393</v>
      </c>
      <c r="C13070" t="s">
        <v>1327</v>
      </c>
      <c r="G13070" t="s">
        <v>28394</v>
      </c>
      <c r="H13070" t="s">
        <v>108</v>
      </c>
      <c r="I13070" t="s">
        <v>22</v>
      </c>
      <c r="J13070">
        <v>93004</v>
      </c>
      <c r="K13070">
        <v>2492</v>
      </c>
      <c r="L13070" t="s">
        <v>23</v>
      </c>
      <c r="M13070" t="s">
        <v>28394</v>
      </c>
      <c r="N13070" t="s">
        <v>108</v>
      </c>
      <c r="O13070" t="s">
        <v>22</v>
      </c>
      <c r="P13070">
        <v>93004</v>
      </c>
      <c r="Q13070">
        <v>2492</v>
      </c>
      <c r="R13070" t="s">
        <v>23</v>
      </c>
      <c r="S13070" s="1" t="s">
        <v>34218</v>
      </c>
    </row>
    <row r="13071" spans="1:19" x14ac:dyDescent="0.25">
      <c r="A13071">
        <v>101268357</v>
      </c>
      <c r="B13071" t="s">
        <v>3438</v>
      </c>
      <c r="C13071" t="s">
        <v>916</v>
      </c>
      <c r="G13071" t="s">
        <v>28395</v>
      </c>
      <c r="H13071" t="s">
        <v>28396</v>
      </c>
      <c r="I13071" t="s">
        <v>307</v>
      </c>
      <c r="J13071">
        <v>5488</v>
      </c>
      <c r="K13071">
        <v>8115</v>
      </c>
      <c r="L13071" t="s">
        <v>23</v>
      </c>
      <c r="M13071" t="s">
        <v>28395</v>
      </c>
      <c r="N13071" t="s">
        <v>28396</v>
      </c>
      <c r="O13071" t="s">
        <v>307</v>
      </c>
      <c r="P13071">
        <v>5488</v>
      </c>
      <c r="Q13071">
        <v>8115</v>
      </c>
      <c r="R13071" t="s">
        <v>23</v>
      </c>
      <c r="S13071" s="1" t="s">
        <v>34218</v>
      </c>
    </row>
    <row r="13072" spans="1:19" x14ac:dyDescent="0.25">
      <c r="A13072">
        <v>101266337</v>
      </c>
      <c r="B13072" t="s">
        <v>28397</v>
      </c>
      <c r="C13072" t="s">
        <v>403</v>
      </c>
      <c r="F13072" t="str">
        <f>"2313348229"</f>
        <v>2313348229</v>
      </c>
      <c r="G13072" t="s">
        <v>28398</v>
      </c>
      <c r="H13072" t="s">
        <v>12324</v>
      </c>
      <c r="I13072" t="s">
        <v>140</v>
      </c>
      <c r="J13072">
        <v>49664</v>
      </c>
      <c r="K13072">
        <v>9639</v>
      </c>
      <c r="L13072" t="s">
        <v>23</v>
      </c>
      <c r="M13072" t="s">
        <v>28398</v>
      </c>
      <c r="N13072" t="s">
        <v>12324</v>
      </c>
      <c r="O13072" t="s">
        <v>140</v>
      </c>
      <c r="P13072">
        <v>49664</v>
      </c>
      <c r="Q13072">
        <v>9639</v>
      </c>
      <c r="R13072" t="s">
        <v>23</v>
      </c>
      <c r="S13072" s="1" t="s">
        <v>34218</v>
      </c>
    </row>
    <row r="13073" spans="1:19" x14ac:dyDescent="0.25">
      <c r="A13073">
        <v>101266497</v>
      </c>
      <c r="B13073" t="s">
        <v>28399</v>
      </c>
      <c r="C13073" t="s">
        <v>5599</v>
      </c>
      <c r="G13073" t="s">
        <v>28400</v>
      </c>
      <c r="H13073" t="s">
        <v>28011</v>
      </c>
      <c r="I13073" t="s">
        <v>84</v>
      </c>
      <c r="J13073">
        <v>98292</v>
      </c>
      <c r="K13073">
        <v>8981</v>
      </c>
      <c r="L13073" t="s">
        <v>23</v>
      </c>
      <c r="M13073" t="s">
        <v>28400</v>
      </c>
      <c r="N13073" t="s">
        <v>28011</v>
      </c>
      <c r="O13073" t="s">
        <v>84</v>
      </c>
      <c r="P13073">
        <v>98292</v>
      </c>
      <c r="Q13073">
        <v>8981</v>
      </c>
      <c r="R13073" t="s">
        <v>23</v>
      </c>
      <c r="S13073" s="1" t="s">
        <v>34218</v>
      </c>
    </row>
    <row r="13074" spans="1:19" x14ac:dyDescent="0.25">
      <c r="A13074">
        <v>101264083</v>
      </c>
      <c r="B13074" t="s">
        <v>23713</v>
      </c>
      <c r="C13074" t="s">
        <v>119</v>
      </c>
      <c r="G13074" t="s">
        <v>28401</v>
      </c>
      <c r="H13074" t="s">
        <v>227</v>
      </c>
      <c r="I13074" t="s">
        <v>43</v>
      </c>
      <c r="J13074">
        <v>97211</v>
      </c>
      <c r="K13074">
        <v>4515</v>
      </c>
      <c r="L13074" t="s">
        <v>23</v>
      </c>
      <c r="M13074" t="s">
        <v>28401</v>
      </c>
      <c r="N13074" t="s">
        <v>227</v>
      </c>
      <c r="O13074" t="s">
        <v>43</v>
      </c>
      <c r="P13074">
        <v>97211</v>
      </c>
      <c r="Q13074">
        <v>4515</v>
      </c>
      <c r="R13074" t="s">
        <v>23</v>
      </c>
      <c r="S13074" s="1" t="s">
        <v>34218</v>
      </c>
    </row>
    <row r="13075" spans="1:19" x14ac:dyDescent="0.25">
      <c r="A13075">
        <v>101272017</v>
      </c>
      <c r="B13075" t="s">
        <v>28402</v>
      </c>
      <c r="C13075" t="s">
        <v>2642</v>
      </c>
      <c r="G13075" t="s">
        <v>28403</v>
      </c>
      <c r="H13075" t="s">
        <v>28404</v>
      </c>
      <c r="I13075" t="s">
        <v>187</v>
      </c>
      <c r="J13075">
        <v>55311</v>
      </c>
      <c r="K13075">
        <v>2177</v>
      </c>
      <c r="L13075" t="s">
        <v>23</v>
      </c>
      <c r="M13075" t="s">
        <v>28403</v>
      </c>
      <c r="N13075" t="s">
        <v>28404</v>
      </c>
      <c r="O13075" t="s">
        <v>187</v>
      </c>
      <c r="P13075">
        <v>55311</v>
      </c>
      <c r="Q13075">
        <v>2177</v>
      </c>
      <c r="R13075" t="s">
        <v>23</v>
      </c>
      <c r="S13075" s="1" t="s">
        <v>34218</v>
      </c>
    </row>
    <row r="13076" spans="1:19" x14ac:dyDescent="0.25">
      <c r="A13076">
        <v>100551632</v>
      </c>
      <c r="B13076" t="s">
        <v>6384</v>
      </c>
      <c r="C13076" t="s">
        <v>707</v>
      </c>
      <c r="F13076" t="str">
        <f>"7182530808"</f>
        <v>7182530808</v>
      </c>
      <c r="G13076" t="s">
        <v>28405</v>
      </c>
      <c r="H13076" t="s">
        <v>653</v>
      </c>
      <c r="I13076" t="s">
        <v>117</v>
      </c>
      <c r="J13076">
        <v>10019</v>
      </c>
      <c r="L13076" t="s">
        <v>23</v>
      </c>
      <c r="M13076" t="s">
        <v>28405</v>
      </c>
      <c r="N13076" t="s">
        <v>653</v>
      </c>
      <c r="O13076" t="s">
        <v>117</v>
      </c>
      <c r="P13076">
        <v>10019</v>
      </c>
      <c r="R13076" t="s">
        <v>23</v>
      </c>
      <c r="S13076" s="1" t="s">
        <v>34218</v>
      </c>
    </row>
    <row r="13077" spans="1:19" x14ac:dyDescent="0.25">
      <c r="A13077">
        <v>101407059</v>
      </c>
      <c r="B13077" t="s">
        <v>7881</v>
      </c>
      <c r="C13077" t="s">
        <v>2776</v>
      </c>
      <c r="G13077" t="s">
        <v>28406</v>
      </c>
      <c r="H13077" t="s">
        <v>8997</v>
      </c>
      <c r="I13077" t="s">
        <v>662</v>
      </c>
      <c r="J13077" t="s">
        <v>28407</v>
      </c>
      <c r="K13077">
        <v>2312</v>
      </c>
      <c r="L13077" t="s">
        <v>23</v>
      </c>
      <c r="M13077" t="s">
        <v>28406</v>
      </c>
      <c r="N13077" t="s">
        <v>8997</v>
      </c>
      <c r="O13077" t="s">
        <v>662</v>
      </c>
      <c r="P13077" t="s">
        <v>28407</v>
      </c>
      <c r="Q13077">
        <v>2312</v>
      </c>
      <c r="R13077" t="s">
        <v>23</v>
      </c>
      <c r="S13077" s="1" t="s">
        <v>34218</v>
      </c>
    </row>
    <row r="13078" spans="1:19" x14ac:dyDescent="0.25">
      <c r="A13078">
        <v>100838227</v>
      </c>
      <c r="B13078" t="s">
        <v>3287</v>
      </c>
      <c r="C13078" t="s">
        <v>1043</v>
      </c>
      <c r="G13078" t="s">
        <v>28408</v>
      </c>
      <c r="H13078" t="s">
        <v>4632</v>
      </c>
      <c r="I13078" t="s">
        <v>178</v>
      </c>
      <c r="J13078" t="s">
        <v>28409</v>
      </c>
      <c r="K13078">
        <v>3725</v>
      </c>
      <c r="L13078" t="s">
        <v>23</v>
      </c>
      <c r="M13078" t="s">
        <v>28408</v>
      </c>
      <c r="N13078" t="s">
        <v>4632</v>
      </c>
      <c r="O13078" t="s">
        <v>178</v>
      </c>
      <c r="P13078" t="s">
        <v>28409</v>
      </c>
      <c r="Q13078">
        <v>3725</v>
      </c>
      <c r="R13078" t="s">
        <v>23</v>
      </c>
      <c r="S13078" s="1" t="s">
        <v>34218</v>
      </c>
    </row>
    <row r="13079" spans="1:19" x14ac:dyDescent="0.25">
      <c r="A13079">
        <v>101169140</v>
      </c>
      <c r="B13079" t="s">
        <v>28410</v>
      </c>
      <c r="C13079" t="s">
        <v>251</v>
      </c>
      <c r="G13079" t="s">
        <v>28411</v>
      </c>
      <c r="H13079" t="s">
        <v>28412</v>
      </c>
      <c r="I13079" t="s">
        <v>52</v>
      </c>
      <c r="J13079" t="s">
        <v>28413</v>
      </c>
      <c r="K13079">
        <v>6306</v>
      </c>
      <c r="L13079" t="s">
        <v>23</v>
      </c>
      <c r="M13079" t="s">
        <v>28411</v>
      </c>
      <c r="N13079" t="s">
        <v>28412</v>
      </c>
      <c r="O13079" t="s">
        <v>52</v>
      </c>
      <c r="P13079" t="s">
        <v>28413</v>
      </c>
      <c r="Q13079">
        <v>6306</v>
      </c>
      <c r="R13079" t="s">
        <v>23</v>
      </c>
      <c r="S13079" s="1" t="s">
        <v>34218</v>
      </c>
    </row>
    <row r="13080" spans="1:19" x14ac:dyDescent="0.25">
      <c r="A13080">
        <v>101298625</v>
      </c>
      <c r="B13080" t="s">
        <v>21754</v>
      </c>
      <c r="C13080" t="s">
        <v>803</v>
      </c>
      <c r="G13080" t="s">
        <v>28414</v>
      </c>
      <c r="H13080" t="s">
        <v>3485</v>
      </c>
      <c r="I13080" t="s">
        <v>914</v>
      </c>
      <c r="J13080" t="s">
        <v>28415</v>
      </c>
      <c r="K13080">
        <v>2830</v>
      </c>
      <c r="L13080" t="s">
        <v>23</v>
      </c>
      <c r="M13080" t="s">
        <v>28414</v>
      </c>
      <c r="N13080" t="s">
        <v>3485</v>
      </c>
      <c r="O13080" t="s">
        <v>914</v>
      </c>
      <c r="P13080" t="s">
        <v>28415</v>
      </c>
      <c r="Q13080">
        <v>2830</v>
      </c>
      <c r="R13080" t="s">
        <v>23</v>
      </c>
      <c r="S13080" s="1" t="s">
        <v>34218</v>
      </c>
    </row>
    <row r="13081" spans="1:19" x14ac:dyDescent="0.25">
      <c r="A13081">
        <v>101414361</v>
      </c>
      <c r="B13081" t="s">
        <v>28416</v>
      </c>
      <c r="C13081" t="s">
        <v>2411</v>
      </c>
      <c r="G13081" t="s">
        <v>28417</v>
      </c>
      <c r="H13081" t="s">
        <v>28418</v>
      </c>
      <c r="I13081" t="s">
        <v>565</v>
      </c>
      <c r="J13081" t="s">
        <v>28419</v>
      </c>
      <c r="K13081">
        <v>9579</v>
      </c>
      <c r="L13081" t="s">
        <v>23</v>
      </c>
      <c r="M13081" t="s">
        <v>28417</v>
      </c>
      <c r="N13081" t="s">
        <v>28418</v>
      </c>
      <c r="O13081" t="s">
        <v>565</v>
      </c>
      <c r="P13081" t="s">
        <v>28419</v>
      </c>
      <c r="Q13081">
        <v>9579</v>
      </c>
      <c r="R13081" t="s">
        <v>23</v>
      </c>
      <c r="S13081" s="1" t="s">
        <v>34218</v>
      </c>
    </row>
    <row r="13082" spans="1:19" x14ac:dyDescent="0.25">
      <c r="A13082">
        <v>100515684</v>
      </c>
      <c r="B13082" t="s">
        <v>28420</v>
      </c>
      <c r="C13082" t="s">
        <v>54</v>
      </c>
      <c r="G13082" t="s">
        <v>28421</v>
      </c>
      <c r="H13082" t="s">
        <v>4439</v>
      </c>
      <c r="I13082" t="s">
        <v>178</v>
      </c>
      <c r="J13082" t="s">
        <v>28422</v>
      </c>
      <c r="K13082">
        <v>1127</v>
      </c>
      <c r="L13082" t="s">
        <v>23</v>
      </c>
      <c r="M13082" t="s">
        <v>28421</v>
      </c>
      <c r="N13082" t="s">
        <v>4439</v>
      </c>
      <c r="O13082" t="s">
        <v>178</v>
      </c>
      <c r="P13082" t="s">
        <v>28422</v>
      </c>
      <c r="Q13082">
        <v>1127</v>
      </c>
      <c r="R13082" t="s">
        <v>23</v>
      </c>
      <c r="S13082" s="1" t="s">
        <v>34218</v>
      </c>
    </row>
    <row r="13083" spans="1:19" x14ac:dyDescent="0.25">
      <c r="A13083">
        <v>101418528</v>
      </c>
      <c r="B13083" t="s">
        <v>28423</v>
      </c>
      <c r="C13083" t="s">
        <v>2287</v>
      </c>
      <c r="G13083" t="s">
        <v>28424</v>
      </c>
      <c r="H13083" t="s">
        <v>2399</v>
      </c>
      <c r="I13083" t="s">
        <v>71</v>
      </c>
      <c r="J13083" t="s">
        <v>28425</v>
      </c>
      <c r="K13083">
        <v>3119</v>
      </c>
      <c r="L13083" t="s">
        <v>23</v>
      </c>
      <c r="M13083" t="s">
        <v>28424</v>
      </c>
      <c r="N13083" t="s">
        <v>2399</v>
      </c>
      <c r="O13083" t="s">
        <v>71</v>
      </c>
      <c r="P13083" t="s">
        <v>28425</v>
      </c>
      <c r="Q13083">
        <v>3119</v>
      </c>
      <c r="R13083" t="s">
        <v>23</v>
      </c>
      <c r="S13083" s="1" t="s">
        <v>34218</v>
      </c>
    </row>
    <row r="13084" spans="1:19" x14ac:dyDescent="0.25">
      <c r="A13084">
        <v>101310150</v>
      </c>
      <c r="B13084" t="s">
        <v>28426</v>
      </c>
      <c r="C13084" t="s">
        <v>1331</v>
      </c>
      <c r="G13084" t="s">
        <v>28427</v>
      </c>
      <c r="H13084" t="s">
        <v>2514</v>
      </c>
      <c r="I13084" t="s">
        <v>236</v>
      </c>
      <c r="J13084" t="s">
        <v>28428</v>
      </c>
      <c r="K13084">
        <v>1008</v>
      </c>
      <c r="L13084" t="s">
        <v>23</v>
      </c>
      <c r="M13084" t="s">
        <v>28427</v>
      </c>
      <c r="N13084" t="s">
        <v>2514</v>
      </c>
      <c r="O13084" t="s">
        <v>236</v>
      </c>
      <c r="P13084" t="s">
        <v>28428</v>
      </c>
      <c r="Q13084">
        <v>1008</v>
      </c>
      <c r="R13084" t="s">
        <v>23</v>
      </c>
      <c r="S13084" s="1" t="s">
        <v>34218</v>
      </c>
    </row>
    <row r="13085" spans="1:19" x14ac:dyDescent="0.25">
      <c r="A13085">
        <v>101342282</v>
      </c>
      <c r="B13085" t="s">
        <v>24640</v>
      </c>
      <c r="C13085" t="s">
        <v>1327</v>
      </c>
      <c r="G13085" t="s">
        <v>28429</v>
      </c>
      <c r="H13085" t="s">
        <v>1765</v>
      </c>
      <c r="I13085" t="s">
        <v>84</v>
      </c>
      <c r="J13085">
        <v>98513</v>
      </c>
      <c r="L13085" t="s">
        <v>23</v>
      </c>
      <c r="M13085" t="s">
        <v>28429</v>
      </c>
      <c r="N13085" t="s">
        <v>1765</v>
      </c>
      <c r="O13085" t="s">
        <v>84</v>
      </c>
      <c r="P13085">
        <v>98513</v>
      </c>
      <c r="R13085" t="s">
        <v>23</v>
      </c>
      <c r="S13085" s="1" t="s">
        <v>34218</v>
      </c>
    </row>
    <row r="13086" spans="1:19" x14ac:dyDescent="0.25">
      <c r="A13086">
        <v>101415386</v>
      </c>
      <c r="B13086" t="s">
        <v>28430</v>
      </c>
      <c r="C13086" t="s">
        <v>440</v>
      </c>
      <c r="G13086" t="s">
        <v>28431</v>
      </c>
      <c r="H13086" t="s">
        <v>8059</v>
      </c>
      <c r="I13086" t="s">
        <v>100</v>
      </c>
      <c r="J13086" t="s">
        <v>28432</v>
      </c>
      <c r="K13086">
        <v>3318</v>
      </c>
      <c r="L13086" t="s">
        <v>23</v>
      </c>
      <c r="M13086" t="s">
        <v>28431</v>
      </c>
      <c r="N13086" t="s">
        <v>8059</v>
      </c>
      <c r="O13086" t="s">
        <v>100</v>
      </c>
      <c r="P13086" t="s">
        <v>28432</v>
      </c>
      <c r="Q13086">
        <v>3318</v>
      </c>
      <c r="R13086" t="s">
        <v>23</v>
      </c>
      <c r="S13086" s="1" t="s">
        <v>34218</v>
      </c>
    </row>
    <row r="13087" spans="1:19" x14ac:dyDescent="0.25">
      <c r="A13087">
        <v>100642401</v>
      </c>
      <c r="B13087" t="s">
        <v>28433</v>
      </c>
      <c r="C13087" t="s">
        <v>846</v>
      </c>
      <c r="F13087" t="str">
        <f>"5036318083"</f>
        <v>5036318083</v>
      </c>
      <c r="G13087" t="s">
        <v>28434</v>
      </c>
      <c r="H13087" t="s">
        <v>19186</v>
      </c>
      <c r="I13087" t="s">
        <v>43</v>
      </c>
      <c r="J13087" t="s">
        <v>28435</v>
      </c>
      <c r="K13087">
        <v>9440</v>
      </c>
      <c r="L13087" t="s">
        <v>23</v>
      </c>
      <c r="M13087" t="s">
        <v>28434</v>
      </c>
      <c r="N13087" t="s">
        <v>19186</v>
      </c>
      <c r="O13087" t="s">
        <v>43</v>
      </c>
      <c r="P13087" t="s">
        <v>28435</v>
      </c>
      <c r="Q13087">
        <v>9440</v>
      </c>
      <c r="R13087" t="s">
        <v>23</v>
      </c>
      <c r="S13087" s="1" t="s">
        <v>34218</v>
      </c>
    </row>
    <row r="13088" spans="1:19" x14ac:dyDescent="0.25">
      <c r="A13088">
        <v>101419382</v>
      </c>
      <c r="B13088" t="s">
        <v>6757</v>
      </c>
      <c r="C13088" t="s">
        <v>1208</v>
      </c>
      <c r="G13088" t="s">
        <v>28436</v>
      </c>
      <c r="H13088" t="s">
        <v>638</v>
      </c>
      <c r="I13088" t="s">
        <v>639</v>
      </c>
      <c r="J13088" t="s">
        <v>28437</v>
      </c>
      <c r="K13088">
        <v>2540</v>
      </c>
      <c r="L13088" t="s">
        <v>23</v>
      </c>
      <c r="M13088" t="s">
        <v>28436</v>
      </c>
      <c r="N13088" t="s">
        <v>638</v>
      </c>
      <c r="O13088" t="s">
        <v>639</v>
      </c>
      <c r="P13088" t="s">
        <v>28437</v>
      </c>
      <c r="Q13088">
        <v>2540</v>
      </c>
      <c r="R13088" t="s">
        <v>23</v>
      </c>
      <c r="S13088" s="1" t="s">
        <v>34218</v>
      </c>
    </row>
    <row r="13089" spans="1:19" x14ac:dyDescent="0.25">
      <c r="A13089">
        <v>101288052</v>
      </c>
      <c r="B13089" t="s">
        <v>19855</v>
      </c>
      <c r="C13089" t="s">
        <v>308</v>
      </c>
      <c r="G13089" t="s">
        <v>28438</v>
      </c>
      <c r="H13089" t="s">
        <v>5697</v>
      </c>
      <c r="I13089" t="s">
        <v>117</v>
      </c>
      <c r="J13089" t="s">
        <v>28439</v>
      </c>
      <c r="K13089">
        <v>1746</v>
      </c>
      <c r="L13089" t="s">
        <v>23</v>
      </c>
      <c r="M13089" t="s">
        <v>28438</v>
      </c>
      <c r="N13089" t="s">
        <v>5697</v>
      </c>
      <c r="O13089" t="s">
        <v>117</v>
      </c>
      <c r="P13089" t="s">
        <v>28439</v>
      </c>
      <c r="Q13089">
        <v>1746</v>
      </c>
      <c r="R13089" t="s">
        <v>23</v>
      </c>
      <c r="S13089" s="1" t="s">
        <v>34218</v>
      </c>
    </row>
    <row r="13090" spans="1:19" x14ac:dyDescent="0.25">
      <c r="A13090">
        <v>101412558</v>
      </c>
      <c r="B13090" t="s">
        <v>28440</v>
      </c>
      <c r="C13090" t="s">
        <v>1460</v>
      </c>
      <c r="G13090" t="s">
        <v>28441</v>
      </c>
      <c r="H13090" t="s">
        <v>2608</v>
      </c>
      <c r="I13090" t="s">
        <v>22</v>
      </c>
      <c r="J13090" t="s">
        <v>28442</v>
      </c>
      <c r="K13090">
        <v>8506</v>
      </c>
      <c r="L13090" t="s">
        <v>23</v>
      </c>
      <c r="M13090" t="s">
        <v>28441</v>
      </c>
      <c r="N13090" t="s">
        <v>2608</v>
      </c>
      <c r="O13090" t="s">
        <v>22</v>
      </c>
      <c r="P13090" t="s">
        <v>28442</v>
      </c>
      <c r="Q13090">
        <v>8506</v>
      </c>
      <c r="R13090" t="s">
        <v>23</v>
      </c>
      <c r="S13090" s="1" t="s">
        <v>34218</v>
      </c>
    </row>
    <row r="13091" spans="1:19" x14ac:dyDescent="0.25">
      <c r="A13091">
        <v>101281899</v>
      </c>
      <c r="B13091" t="s">
        <v>13373</v>
      </c>
      <c r="C13091" t="s">
        <v>132</v>
      </c>
      <c r="G13091" t="s">
        <v>28443</v>
      </c>
      <c r="H13091" t="s">
        <v>9843</v>
      </c>
      <c r="I13091" t="s">
        <v>236</v>
      </c>
      <c r="J13091" t="s">
        <v>28444</v>
      </c>
      <c r="K13091">
        <v>6413</v>
      </c>
      <c r="L13091" t="s">
        <v>23</v>
      </c>
      <c r="M13091" t="s">
        <v>28443</v>
      </c>
      <c r="N13091" t="s">
        <v>9843</v>
      </c>
      <c r="O13091" t="s">
        <v>236</v>
      </c>
      <c r="P13091" t="s">
        <v>28444</v>
      </c>
      <c r="Q13091">
        <v>6413</v>
      </c>
      <c r="R13091" t="s">
        <v>23</v>
      </c>
      <c r="S13091" s="1" t="s">
        <v>34218</v>
      </c>
    </row>
    <row r="13092" spans="1:19" x14ac:dyDescent="0.25">
      <c r="A13092">
        <v>101419434</v>
      </c>
      <c r="B13092" t="s">
        <v>1919</v>
      </c>
      <c r="C13092" t="s">
        <v>19953</v>
      </c>
      <c r="G13092" t="s">
        <v>28445</v>
      </c>
      <c r="H13092" t="s">
        <v>6273</v>
      </c>
      <c r="I13092" t="s">
        <v>255</v>
      </c>
      <c r="J13092" t="s">
        <v>28446</v>
      </c>
      <c r="K13092">
        <v>2770</v>
      </c>
      <c r="L13092" t="s">
        <v>23</v>
      </c>
      <c r="M13092" t="s">
        <v>28445</v>
      </c>
      <c r="N13092" t="s">
        <v>6273</v>
      </c>
      <c r="O13092" t="s">
        <v>255</v>
      </c>
      <c r="P13092" t="s">
        <v>28446</v>
      </c>
      <c r="Q13092">
        <v>2770</v>
      </c>
      <c r="R13092" t="s">
        <v>23</v>
      </c>
      <c r="S13092" s="1" t="s">
        <v>34218</v>
      </c>
    </row>
    <row r="13093" spans="1:19" x14ac:dyDescent="0.25">
      <c r="A13093">
        <v>101419436</v>
      </c>
      <c r="B13093" t="s">
        <v>28447</v>
      </c>
      <c r="C13093" t="s">
        <v>846</v>
      </c>
      <c r="G13093" t="s">
        <v>28448</v>
      </c>
      <c r="H13093" t="s">
        <v>3385</v>
      </c>
      <c r="I13093" t="s">
        <v>117</v>
      </c>
      <c r="J13093" t="s">
        <v>28449</v>
      </c>
      <c r="K13093">
        <v>1278</v>
      </c>
      <c r="L13093" t="s">
        <v>23</v>
      </c>
      <c r="M13093" t="s">
        <v>28448</v>
      </c>
      <c r="N13093" t="s">
        <v>3385</v>
      </c>
      <c r="O13093" t="s">
        <v>117</v>
      </c>
      <c r="P13093" t="s">
        <v>28449</v>
      </c>
      <c r="Q13093">
        <v>1278</v>
      </c>
      <c r="R13093" t="s">
        <v>23</v>
      </c>
      <c r="S13093" s="1" t="s">
        <v>34218</v>
      </c>
    </row>
    <row r="13094" spans="1:19" x14ac:dyDescent="0.25">
      <c r="A13094">
        <v>101419456</v>
      </c>
      <c r="B13094" t="s">
        <v>2490</v>
      </c>
      <c r="C13094" t="s">
        <v>5500</v>
      </c>
      <c r="G13094" t="s">
        <v>28450</v>
      </c>
      <c r="H13094" t="s">
        <v>2613</v>
      </c>
      <c r="I13094" t="s">
        <v>22</v>
      </c>
      <c r="J13094" t="s">
        <v>28451</v>
      </c>
      <c r="K13094">
        <v>6506</v>
      </c>
      <c r="L13094" t="s">
        <v>23</v>
      </c>
      <c r="M13094" t="s">
        <v>28450</v>
      </c>
      <c r="N13094" t="s">
        <v>2613</v>
      </c>
      <c r="O13094" t="s">
        <v>22</v>
      </c>
      <c r="P13094" t="s">
        <v>28451</v>
      </c>
      <c r="Q13094">
        <v>6506</v>
      </c>
      <c r="R13094" t="s">
        <v>23</v>
      </c>
      <c r="S13094" s="1" t="s">
        <v>34218</v>
      </c>
    </row>
    <row r="13095" spans="1:19" x14ac:dyDescent="0.25">
      <c r="A13095">
        <v>101307211</v>
      </c>
      <c r="B13095" t="s">
        <v>2057</v>
      </c>
      <c r="C13095" t="s">
        <v>40</v>
      </c>
      <c r="G13095" t="s">
        <v>28452</v>
      </c>
      <c r="H13095" t="s">
        <v>12079</v>
      </c>
      <c r="I13095" t="s">
        <v>117</v>
      </c>
      <c r="J13095">
        <v>11570</v>
      </c>
      <c r="K13095">
        <v>1416</v>
      </c>
      <c r="L13095" t="s">
        <v>23</v>
      </c>
      <c r="M13095" t="s">
        <v>28452</v>
      </c>
      <c r="N13095" t="s">
        <v>12079</v>
      </c>
      <c r="O13095" t="s">
        <v>117</v>
      </c>
      <c r="P13095">
        <v>11570</v>
      </c>
      <c r="Q13095">
        <v>1416</v>
      </c>
      <c r="R13095" t="s">
        <v>23</v>
      </c>
      <c r="S13095" s="1" t="s">
        <v>34218</v>
      </c>
    </row>
    <row r="13096" spans="1:19" x14ac:dyDescent="0.25">
      <c r="A13096">
        <v>101312319</v>
      </c>
      <c r="B13096" t="s">
        <v>28453</v>
      </c>
      <c r="C13096" t="s">
        <v>403</v>
      </c>
      <c r="G13096" t="s">
        <v>28454</v>
      </c>
      <c r="H13096" t="s">
        <v>569</v>
      </c>
      <c r="I13096" t="s">
        <v>187</v>
      </c>
      <c r="J13096" t="s">
        <v>28455</v>
      </c>
      <c r="K13096">
        <v>2148</v>
      </c>
      <c r="L13096" t="s">
        <v>23</v>
      </c>
      <c r="M13096" t="s">
        <v>28454</v>
      </c>
      <c r="N13096" t="s">
        <v>569</v>
      </c>
      <c r="O13096" t="s">
        <v>187</v>
      </c>
      <c r="P13096" t="s">
        <v>28455</v>
      </c>
      <c r="Q13096">
        <v>2148</v>
      </c>
      <c r="R13096" t="s">
        <v>23</v>
      </c>
      <c r="S13096" s="1" t="s">
        <v>34218</v>
      </c>
    </row>
    <row r="13097" spans="1:19" x14ac:dyDescent="0.25">
      <c r="A13097">
        <v>101226916</v>
      </c>
      <c r="B13097" t="s">
        <v>28456</v>
      </c>
      <c r="C13097" t="s">
        <v>644</v>
      </c>
      <c r="G13097" t="s">
        <v>28457</v>
      </c>
      <c r="H13097" t="s">
        <v>3635</v>
      </c>
      <c r="I13097" t="s">
        <v>43</v>
      </c>
      <c r="J13097">
        <v>97131</v>
      </c>
      <c r="K13097">
        <v>274</v>
      </c>
      <c r="L13097" t="s">
        <v>23</v>
      </c>
      <c r="M13097" t="s">
        <v>28457</v>
      </c>
      <c r="N13097" t="s">
        <v>3635</v>
      </c>
      <c r="O13097" t="s">
        <v>43</v>
      </c>
      <c r="P13097">
        <v>97131</v>
      </c>
      <c r="Q13097">
        <v>274</v>
      </c>
      <c r="R13097" t="s">
        <v>23</v>
      </c>
      <c r="S13097" s="1" t="s">
        <v>34218</v>
      </c>
    </row>
    <row r="13098" spans="1:19" x14ac:dyDescent="0.25">
      <c r="A13098">
        <v>101324667</v>
      </c>
      <c r="B13098" t="s">
        <v>2417</v>
      </c>
      <c r="C13098" t="s">
        <v>5787</v>
      </c>
      <c r="G13098" t="s">
        <v>28458</v>
      </c>
      <c r="H13098" t="s">
        <v>2144</v>
      </c>
      <c r="I13098" t="s">
        <v>28</v>
      </c>
      <c r="J13098" t="s">
        <v>28459</v>
      </c>
      <c r="K13098">
        <v>4351</v>
      </c>
      <c r="L13098" t="s">
        <v>23</v>
      </c>
      <c r="M13098" t="s">
        <v>28458</v>
      </c>
      <c r="N13098" t="s">
        <v>2144</v>
      </c>
      <c r="O13098" t="s">
        <v>28</v>
      </c>
      <c r="P13098" t="s">
        <v>28459</v>
      </c>
      <c r="Q13098">
        <v>4351</v>
      </c>
      <c r="R13098" t="s">
        <v>23</v>
      </c>
      <c r="S13098" s="1" t="s">
        <v>34218</v>
      </c>
    </row>
    <row r="13099" spans="1:19" x14ac:dyDescent="0.25">
      <c r="A13099">
        <v>101140402</v>
      </c>
      <c r="B13099" t="s">
        <v>5319</v>
      </c>
      <c r="C13099" t="s">
        <v>387</v>
      </c>
      <c r="G13099" t="s">
        <v>28460</v>
      </c>
      <c r="H13099" t="s">
        <v>1479</v>
      </c>
      <c r="I13099" t="s">
        <v>52</v>
      </c>
      <c r="J13099" t="s">
        <v>28461</v>
      </c>
      <c r="K13099">
        <v>6969</v>
      </c>
      <c r="L13099" t="s">
        <v>23</v>
      </c>
      <c r="M13099" t="s">
        <v>28460</v>
      </c>
      <c r="N13099" t="s">
        <v>1479</v>
      </c>
      <c r="O13099" t="s">
        <v>52</v>
      </c>
      <c r="P13099" t="s">
        <v>28461</v>
      </c>
      <c r="Q13099">
        <v>6969</v>
      </c>
      <c r="R13099" t="s">
        <v>23</v>
      </c>
      <c r="S13099" s="1" t="s">
        <v>34218</v>
      </c>
    </row>
    <row r="13100" spans="1:19" x14ac:dyDescent="0.25">
      <c r="A13100">
        <v>101401662</v>
      </c>
      <c r="B13100" t="s">
        <v>28462</v>
      </c>
      <c r="C13100" t="s">
        <v>10916</v>
      </c>
      <c r="G13100" t="s">
        <v>28463</v>
      </c>
      <c r="H13100" t="s">
        <v>9788</v>
      </c>
      <c r="I13100" t="s">
        <v>84</v>
      </c>
      <c r="J13100">
        <v>98604</v>
      </c>
      <c r="K13100">
        <v>9470</v>
      </c>
      <c r="L13100" t="s">
        <v>23</v>
      </c>
      <c r="M13100" t="s">
        <v>28463</v>
      </c>
      <c r="N13100" t="s">
        <v>9788</v>
      </c>
      <c r="O13100" t="s">
        <v>84</v>
      </c>
      <c r="P13100">
        <v>98604</v>
      </c>
      <c r="Q13100">
        <v>9470</v>
      </c>
      <c r="R13100" t="s">
        <v>23</v>
      </c>
      <c r="S13100" s="1" t="s">
        <v>34218</v>
      </c>
    </row>
    <row r="13101" spans="1:19" x14ac:dyDescent="0.25">
      <c r="A13101">
        <v>101420250</v>
      </c>
      <c r="B13101" t="s">
        <v>17276</v>
      </c>
      <c r="C13101" t="s">
        <v>102</v>
      </c>
      <c r="G13101" t="s">
        <v>28464</v>
      </c>
      <c r="H13101" t="s">
        <v>17278</v>
      </c>
      <c r="I13101" t="s">
        <v>365</v>
      </c>
      <c r="J13101">
        <v>85377</v>
      </c>
      <c r="K13101">
        <v>2532</v>
      </c>
      <c r="L13101" t="s">
        <v>23</v>
      </c>
      <c r="M13101" t="s">
        <v>28464</v>
      </c>
      <c r="N13101" t="s">
        <v>17278</v>
      </c>
      <c r="O13101" t="s">
        <v>365</v>
      </c>
      <c r="P13101">
        <v>85377</v>
      </c>
      <c r="Q13101">
        <v>2532</v>
      </c>
      <c r="R13101" t="s">
        <v>23</v>
      </c>
      <c r="S13101" s="1" t="s">
        <v>34218</v>
      </c>
    </row>
    <row r="13102" spans="1:19" x14ac:dyDescent="0.25">
      <c r="A13102">
        <v>101310106</v>
      </c>
      <c r="B13102" t="s">
        <v>28465</v>
      </c>
      <c r="C13102" t="s">
        <v>2849</v>
      </c>
      <c r="G13102" t="s">
        <v>28466</v>
      </c>
      <c r="H13102" t="s">
        <v>134</v>
      </c>
      <c r="I13102" t="s">
        <v>135</v>
      </c>
      <c r="J13102" t="s">
        <v>28467</v>
      </c>
      <c r="K13102">
        <v>5419</v>
      </c>
      <c r="L13102" t="s">
        <v>23</v>
      </c>
      <c r="M13102" t="s">
        <v>28466</v>
      </c>
      <c r="N13102" t="s">
        <v>134</v>
      </c>
      <c r="O13102" t="s">
        <v>135</v>
      </c>
      <c r="P13102" t="s">
        <v>28467</v>
      </c>
      <c r="Q13102">
        <v>5419</v>
      </c>
      <c r="R13102" t="s">
        <v>23</v>
      </c>
      <c r="S13102" s="1" t="s">
        <v>34218</v>
      </c>
    </row>
    <row r="13103" spans="1:19" x14ac:dyDescent="0.25">
      <c r="A13103">
        <v>101061935</v>
      </c>
      <c r="B13103" t="s">
        <v>28023</v>
      </c>
      <c r="C13103" t="s">
        <v>7195</v>
      </c>
      <c r="G13103" t="s">
        <v>28468</v>
      </c>
      <c r="H13103" t="s">
        <v>4066</v>
      </c>
      <c r="I13103" t="s">
        <v>984</v>
      </c>
      <c r="J13103">
        <v>96722</v>
      </c>
      <c r="K13103">
        <v>5312</v>
      </c>
      <c r="L13103" t="s">
        <v>23</v>
      </c>
      <c r="M13103" t="s">
        <v>28468</v>
      </c>
      <c r="N13103" t="s">
        <v>4066</v>
      </c>
      <c r="O13103" t="s">
        <v>984</v>
      </c>
      <c r="P13103">
        <v>96722</v>
      </c>
      <c r="Q13103">
        <v>5312</v>
      </c>
      <c r="R13103" t="s">
        <v>23</v>
      </c>
      <c r="S13103" s="1" t="s">
        <v>34218</v>
      </c>
    </row>
    <row r="13104" spans="1:19" x14ac:dyDescent="0.25">
      <c r="A13104">
        <v>100515350</v>
      </c>
      <c r="B13104" t="s">
        <v>25378</v>
      </c>
      <c r="C13104" t="s">
        <v>9807</v>
      </c>
      <c r="G13104" t="s">
        <v>28469</v>
      </c>
      <c r="H13104" t="s">
        <v>7786</v>
      </c>
      <c r="I13104" t="s">
        <v>250</v>
      </c>
      <c r="J13104">
        <v>7481</v>
      </c>
      <c r="L13104" t="s">
        <v>23</v>
      </c>
      <c r="M13104" t="s">
        <v>28469</v>
      </c>
      <c r="N13104" t="s">
        <v>7786</v>
      </c>
      <c r="O13104" t="s">
        <v>250</v>
      </c>
      <c r="P13104">
        <v>7481</v>
      </c>
      <c r="R13104" t="s">
        <v>23</v>
      </c>
      <c r="S13104" s="1" t="s">
        <v>34218</v>
      </c>
    </row>
    <row r="13105" spans="1:19" x14ac:dyDescent="0.25">
      <c r="A13105">
        <v>101231032</v>
      </c>
      <c r="B13105" t="s">
        <v>28470</v>
      </c>
      <c r="C13105" t="s">
        <v>30</v>
      </c>
      <c r="G13105" t="s">
        <v>28471</v>
      </c>
      <c r="H13105" t="s">
        <v>9271</v>
      </c>
      <c r="I13105" t="s">
        <v>43</v>
      </c>
      <c r="J13105" t="s">
        <v>28472</v>
      </c>
      <c r="K13105">
        <v>9211</v>
      </c>
      <c r="L13105" t="s">
        <v>23</v>
      </c>
      <c r="M13105" t="s">
        <v>28471</v>
      </c>
      <c r="N13105" t="s">
        <v>9271</v>
      </c>
      <c r="O13105" t="s">
        <v>43</v>
      </c>
      <c r="P13105" t="s">
        <v>28472</v>
      </c>
      <c r="Q13105">
        <v>9211</v>
      </c>
      <c r="R13105" t="s">
        <v>23</v>
      </c>
      <c r="S13105" s="1" t="s">
        <v>34218</v>
      </c>
    </row>
    <row r="13106" spans="1:19" x14ac:dyDescent="0.25">
      <c r="A13106">
        <v>101234215</v>
      </c>
      <c r="B13106" t="s">
        <v>4159</v>
      </c>
      <c r="C13106" t="s">
        <v>535</v>
      </c>
      <c r="G13106" t="s">
        <v>28473</v>
      </c>
      <c r="H13106" t="s">
        <v>8491</v>
      </c>
      <c r="I13106" t="s">
        <v>52</v>
      </c>
      <c r="J13106" t="s">
        <v>28474</v>
      </c>
      <c r="K13106">
        <v>1808</v>
      </c>
      <c r="L13106" t="s">
        <v>23</v>
      </c>
      <c r="M13106" t="s">
        <v>28473</v>
      </c>
      <c r="N13106" t="s">
        <v>8491</v>
      </c>
      <c r="O13106" t="s">
        <v>52</v>
      </c>
      <c r="P13106" t="s">
        <v>28474</v>
      </c>
      <c r="Q13106">
        <v>1808</v>
      </c>
      <c r="R13106" t="s">
        <v>23</v>
      </c>
      <c r="S13106" s="1" t="s">
        <v>34218</v>
      </c>
    </row>
    <row r="13107" spans="1:19" x14ac:dyDescent="0.25">
      <c r="A13107">
        <v>100859214</v>
      </c>
      <c r="B13107" t="s">
        <v>6175</v>
      </c>
      <c r="C13107" t="s">
        <v>585</v>
      </c>
      <c r="F13107" t="str">
        <f>"8314260633"</f>
        <v>8314260633</v>
      </c>
      <c r="G13107" t="s">
        <v>28475</v>
      </c>
      <c r="H13107" t="s">
        <v>1293</v>
      </c>
      <c r="I13107" t="s">
        <v>22</v>
      </c>
      <c r="J13107" t="s">
        <v>28476</v>
      </c>
      <c r="K13107">
        <v>2738</v>
      </c>
      <c r="L13107" t="s">
        <v>23</v>
      </c>
      <c r="M13107" t="s">
        <v>28475</v>
      </c>
      <c r="N13107" t="s">
        <v>1293</v>
      </c>
      <c r="O13107" t="s">
        <v>22</v>
      </c>
      <c r="P13107" t="s">
        <v>28476</v>
      </c>
      <c r="Q13107">
        <v>2738</v>
      </c>
      <c r="R13107" t="s">
        <v>23</v>
      </c>
      <c r="S13107" s="1" t="s">
        <v>34218</v>
      </c>
    </row>
    <row r="13108" spans="1:19" x14ac:dyDescent="0.25">
      <c r="A13108">
        <v>101293392</v>
      </c>
      <c r="B13108" t="s">
        <v>10838</v>
      </c>
      <c r="C13108" t="s">
        <v>77</v>
      </c>
      <c r="G13108" t="s">
        <v>28477</v>
      </c>
      <c r="H13108" t="s">
        <v>28478</v>
      </c>
      <c r="I13108" t="s">
        <v>178</v>
      </c>
      <c r="J13108" t="s">
        <v>28479</v>
      </c>
      <c r="K13108">
        <v>1817</v>
      </c>
      <c r="L13108" t="s">
        <v>23</v>
      </c>
      <c r="M13108" t="s">
        <v>28477</v>
      </c>
      <c r="N13108" t="s">
        <v>28478</v>
      </c>
      <c r="O13108" t="s">
        <v>178</v>
      </c>
      <c r="P13108" t="s">
        <v>28479</v>
      </c>
      <c r="Q13108">
        <v>1817</v>
      </c>
      <c r="R13108" t="s">
        <v>23</v>
      </c>
      <c r="S13108" s="1" t="s">
        <v>34218</v>
      </c>
    </row>
    <row r="13109" spans="1:19" x14ac:dyDescent="0.25">
      <c r="A13109">
        <v>100679609</v>
      </c>
      <c r="B13109" t="s">
        <v>7219</v>
      </c>
      <c r="C13109" t="s">
        <v>1363</v>
      </c>
      <c r="G13109" t="s">
        <v>28480</v>
      </c>
      <c r="H13109" t="s">
        <v>2476</v>
      </c>
      <c r="I13109" t="s">
        <v>178</v>
      </c>
      <c r="J13109" t="s">
        <v>28481</v>
      </c>
      <c r="K13109">
        <v>5721</v>
      </c>
      <c r="L13109" t="s">
        <v>23</v>
      </c>
      <c r="M13109" t="s">
        <v>28480</v>
      </c>
      <c r="N13109" t="s">
        <v>2476</v>
      </c>
      <c r="O13109" t="s">
        <v>178</v>
      </c>
      <c r="P13109" t="s">
        <v>28481</v>
      </c>
      <c r="Q13109">
        <v>5721</v>
      </c>
      <c r="R13109" t="s">
        <v>23</v>
      </c>
      <c r="S13109" s="1" t="s">
        <v>34218</v>
      </c>
    </row>
    <row r="13110" spans="1:19" x14ac:dyDescent="0.25">
      <c r="A13110">
        <v>100515778</v>
      </c>
      <c r="B13110" t="s">
        <v>14063</v>
      </c>
      <c r="C13110" t="s">
        <v>1350</v>
      </c>
      <c r="G13110" t="s">
        <v>28482</v>
      </c>
      <c r="H13110" t="s">
        <v>13601</v>
      </c>
      <c r="I13110" t="s">
        <v>140</v>
      </c>
      <c r="J13110" t="s">
        <v>28483</v>
      </c>
      <c r="K13110">
        <v>4004</v>
      </c>
      <c r="L13110" t="s">
        <v>23</v>
      </c>
      <c r="M13110" t="s">
        <v>28482</v>
      </c>
      <c r="N13110" t="s">
        <v>13601</v>
      </c>
      <c r="O13110" t="s">
        <v>140</v>
      </c>
      <c r="P13110" t="s">
        <v>28483</v>
      </c>
      <c r="Q13110">
        <v>4004</v>
      </c>
      <c r="R13110" t="s">
        <v>23</v>
      </c>
      <c r="S13110" s="1" t="s">
        <v>34218</v>
      </c>
    </row>
    <row r="13111" spans="1:19" x14ac:dyDescent="0.25">
      <c r="A13111">
        <v>101477654</v>
      </c>
      <c r="B13111" t="s">
        <v>1330</v>
      </c>
      <c r="C13111" t="s">
        <v>1887</v>
      </c>
      <c r="G13111" t="s">
        <v>28484</v>
      </c>
      <c r="H13111" t="s">
        <v>28404</v>
      </c>
      <c r="I13111" t="s">
        <v>187</v>
      </c>
      <c r="J13111">
        <v>55369</v>
      </c>
      <c r="K13111">
        <v>9270</v>
      </c>
      <c r="L13111" t="s">
        <v>23</v>
      </c>
      <c r="M13111" t="s">
        <v>28484</v>
      </c>
      <c r="N13111" t="s">
        <v>28404</v>
      </c>
      <c r="O13111" t="s">
        <v>187</v>
      </c>
      <c r="P13111">
        <v>55369</v>
      </c>
      <c r="Q13111">
        <v>9270</v>
      </c>
      <c r="R13111" t="s">
        <v>23</v>
      </c>
      <c r="S13111" s="1" t="s">
        <v>34218</v>
      </c>
    </row>
    <row r="13112" spans="1:19" x14ac:dyDescent="0.25">
      <c r="A13112">
        <v>101477686</v>
      </c>
      <c r="B13112" t="s">
        <v>28485</v>
      </c>
      <c r="C13112" t="s">
        <v>1679</v>
      </c>
      <c r="G13112" t="s">
        <v>28486</v>
      </c>
      <c r="H13112" t="s">
        <v>569</v>
      </c>
      <c r="I13112" t="s">
        <v>187</v>
      </c>
      <c r="J13112">
        <v>55449</v>
      </c>
      <c r="K13112">
        <v>4507</v>
      </c>
      <c r="L13112" t="s">
        <v>23</v>
      </c>
      <c r="M13112" t="s">
        <v>28486</v>
      </c>
      <c r="N13112" t="s">
        <v>569</v>
      </c>
      <c r="O13112" t="s">
        <v>187</v>
      </c>
      <c r="P13112">
        <v>55449</v>
      </c>
      <c r="Q13112">
        <v>4507</v>
      </c>
      <c r="R13112" t="s">
        <v>23</v>
      </c>
      <c r="S13112" s="1" t="s">
        <v>34218</v>
      </c>
    </row>
    <row r="13113" spans="1:19" x14ac:dyDescent="0.25">
      <c r="A13113">
        <v>101477737</v>
      </c>
      <c r="B13113" t="s">
        <v>28487</v>
      </c>
      <c r="C13113" t="s">
        <v>1832</v>
      </c>
      <c r="G13113" t="s">
        <v>28488</v>
      </c>
      <c r="H13113" t="s">
        <v>1439</v>
      </c>
      <c r="I13113" t="s">
        <v>365</v>
      </c>
      <c r="J13113">
        <v>85711</v>
      </c>
      <c r="K13113">
        <v>1249</v>
      </c>
      <c r="L13113" t="s">
        <v>23</v>
      </c>
      <c r="M13113" t="s">
        <v>28488</v>
      </c>
      <c r="N13113" t="s">
        <v>1439</v>
      </c>
      <c r="O13113" t="s">
        <v>365</v>
      </c>
      <c r="P13113">
        <v>85711</v>
      </c>
      <c r="Q13113">
        <v>1249</v>
      </c>
      <c r="R13113" t="s">
        <v>23</v>
      </c>
      <c r="S13113" s="1" t="s">
        <v>34218</v>
      </c>
    </row>
    <row r="13114" spans="1:19" x14ac:dyDescent="0.25">
      <c r="A13114">
        <v>101477938</v>
      </c>
      <c r="B13114" t="s">
        <v>3997</v>
      </c>
      <c r="C13114" t="s">
        <v>21001</v>
      </c>
      <c r="G13114" t="s">
        <v>28489</v>
      </c>
      <c r="H13114" t="s">
        <v>5929</v>
      </c>
      <c r="I13114" t="s">
        <v>565</v>
      </c>
      <c r="J13114">
        <v>52806</v>
      </c>
      <c r="K13114">
        <v>1200</v>
      </c>
      <c r="L13114" t="s">
        <v>23</v>
      </c>
      <c r="M13114" t="s">
        <v>28489</v>
      </c>
      <c r="N13114" t="s">
        <v>5929</v>
      </c>
      <c r="O13114" t="s">
        <v>565</v>
      </c>
      <c r="P13114">
        <v>52806</v>
      </c>
      <c r="Q13114">
        <v>1200</v>
      </c>
      <c r="R13114" t="s">
        <v>23</v>
      </c>
      <c r="S13114" s="1" t="s">
        <v>34218</v>
      </c>
    </row>
    <row r="13115" spans="1:19" x14ac:dyDescent="0.25">
      <c r="A13115">
        <v>101478057</v>
      </c>
      <c r="B13115" t="s">
        <v>28490</v>
      </c>
      <c r="C13115" t="s">
        <v>28491</v>
      </c>
      <c r="G13115" t="s">
        <v>28492</v>
      </c>
      <c r="H13115" t="s">
        <v>347</v>
      </c>
      <c r="I13115" t="s">
        <v>348</v>
      </c>
      <c r="J13115">
        <v>83686</v>
      </c>
      <c r="K13115">
        <v>7619</v>
      </c>
      <c r="L13115" t="s">
        <v>23</v>
      </c>
      <c r="M13115" t="s">
        <v>28492</v>
      </c>
      <c r="N13115" t="s">
        <v>347</v>
      </c>
      <c r="O13115" t="s">
        <v>348</v>
      </c>
      <c r="P13115">
        <v>83686</v>
      </c>
      <c r="Q13115">
        <v>7619</v>
      </c>
      <c r="R13115" t="s">
        <v>23</v>
      </c>
      <c r="S13115" s="1" t="s">
        <v>34218</v>
      </c>
    </row>
    <row r="13116" spans="1:19" x14ac:dyDescent="0.25">
      <c r="A13116">
        <v>101478157</v>
      </c>
      <c r="B13116" t="s">
        <v>28493</v>
      </c>
      <c r="C13116" t="s">
        <v>15672</v>
      </c>
      <c r="G13116" t="s">
        <v>28494</v>
      </c>
      <c r="H13116" t="s">
        <v>3766</v>
      </c>
      <c r="I13116" t="s">
        <v>365</v>
      </c>
      <c r="J13116">
        <v>85226</v>
      </c>
      <c r="K13116">
        <v>2752</v>
      </c>
      <c r="L13116" t="s">
        <v>23</v>
      </c>
      <c r="M13116" t="s">
        <v>28494</v>
      </c>
      <c r="N13116" t="s">
        <v>3766</v>
      </c>
      <c r="O13116" t="s">
        <v>365</v>
      </c>
      <c r="P13116">
        <v>85226</v>
      </c>
      <c r="Q13116">
        <v>2752</v>
      </c>
      <c r="R13116" t="s">
        <v>23</v>
      </c>
      <c r="S13116" s="1" t="s">
        <v>34218</v>
      </c>
    </row>
    <row r="13117" spans="1:19" x14ac:dyDescent="0.25">
      <c r="A13117">
        <v>101478223</v>
      </c>
      <c r="B13117" t="s">
        <v>28495</v>
      </c>
      <c r="C13117" t="s">
        <v>4184</v>
      </c>
      <c r="G13117" t="s">
        <v>28496</v>
      </c>
      <c r="H13117" t="s">
        <v>28497</v>
      </c>
      <c r="I13117" t="s">
        <v>140</v>
      </c>
      <c r="J13117">
        <v>48160</v>
      </c>
      <c r="K13117">
        <v>1339</v>
      </c>
      <c r="L13117" t="s">
        <v>23</v>
      </c>
      <c r="M13117" t="s">
        <v>28496</v>
      </c>
      <c r="N13117" t="s">
        <v>28497</v>
      </c>
      <c r="O13117" t="s">
        <v>140</v>
      </c>
      <c r="P13117">
        <v>48160</v>
      </c>
      <c r="Q13117">
        <v>1339</v>
      </c>
      <c r="R13117" t="s">
        <v>23</v>
      </c>
      <c r="S13117" s="1" t="s">
        <v>34218</v>
      </c>
    </row>
    <row r="13118" spans="1:19" x14ac:dyDescent="0.25">
      <c r="A13118">
        <v>101478257</v>
      </c>
      <c r="B13118" t="s">
        <v>247</v>
      </c>
      <c r="C13118" t="s">
        <v>1205</v>
      </c>
      <c r="G13118" t="s">
        <v>28498</v>
      </c>
      <c r="H13118" t="s">
        <v>5801</v>
      </c>
      <c r="I13118" t="s">
        <v>140</v>
      </c>
      <c r="J13118">
        <v>48383</v>
      </c>
      <c r="K13118">
        <v>2632</v>
      </c>
      <c r="L13118" t="s">
        <v>23</v>
      </c>
      <c r="M13118" t="s">
        <v>28498</v>
      </c>
      <c r="N13118" t="s">
        <v>5801</v>
      </c>
      <c r="O13118" t="s">
        <v>140</v>
      </c>
      <c r="P13118">
        <v>48383</v>
      </c>
      <c r="Q13118">
        <v>2632</v>
      </c>
      <c r="R13118" t="s">
        <v>23</v>
      </c>
      <c r="S13118" s="1" t="s">
        <v>34218</v>
      </c>
    </row>
    <row r="13119" spans="1:19" x14ac:dyDescent="0.25">
      <c r="A13119">
        <v>101478321</v>
      </c>
      <c r="B13119" t="s">
        <v>14632</v>
      </c>
      <c r="C13119" t="s">
        <v>1616</v>
      </c>
      <c r="G13119" t="s">
        <v>28499</v>
      </c>
      <c r="H13119" t="s">
        <v>7255</v>
      </c>
      <c r="I13119" t="s">
        <v>140</v>
      </c>
      <c r="J13119">
        <v>49345</v>
      </c>
      <c r="K13119">
        <v>9477</v>
      </c>
      <c r="L13119" t="s">
        <v>23</v>
      </c>
      <c r="M13119" t="s">
        <v>28499</v>
      </c>
      <c r="N13119" t="s">
        <v>7255</v>
      </c>
      <c r="O13119" t="s">
        <v>140</v>
      </c>
      <c r="P13119">
        <v>49345</v>
      </c>
      <c r="Q13119">
        <v>9477</v>
      </c>
      <c r="R13119" t="s">
        <v>23</v>
      </c>
      <c r="S13119" s="1" t="s">
        <v>34218</v>
      </c>
    </row>
    <row r="13120" spans="1:19" x14ac:dyDescent="0.25">
      <c r="A13120">
        <v>101478355</v>
      </c>
      <c r="B13120" t="s">
        <v>28500</v>
      </c>
      <c r="C13120" t="s">
        <v>28501</v>
      </c>
      <c r="G13120" t="s">
        <v>28502</v>
      </c>
      <c r="H13120" t="s">
        <v>1096</v>
      </c>
      <c r="I13120" t="s">
        <v>71</v>
      </c>
      <c r="J13120">
        <v>80027</v>
      </c>
      <c r="K13120">
        <v>2346</v>
      </c>
      <c r="L13120" t="s">
        <v>23</v>
      </c>
      <c r="M13120" t="s">
        <v>28502</v>
      </c>
      <c r="N13120" t="s">
        <v>1096</v>
      </c>
      <c r="O13120" t="s">
        <v>71</v>
      </c>
      <c r="P13120">
        <v>80027</v>
      </c>
      <c r="Q13120">
        <v>2346</v>
      </c>
      <c r="R13120" t="s">
        <v>23</v>
      </c>
      <c r="S13120" s="1" t="s">
        <v>34218</v>
      </c>
    </row>
    <row r="13121" spans="1:19" x14ac:dyDescent="0.25">
      <c r="A13121">
        <v>101256037</v>
      </c>
      <c r="B13121" t="s">
        <v>3828</v>
      </c>
      <c r="C13121" t="s">
        <v>5610</v>
      </c>
      <c r="G13121" t="s">
        <v>28503</v>
      </c>
      <c r="H13121" t="s">
        <v>7103</v>
      </c>
      <c r="I13121" t="s">
        <v>22</v>
      </c>
      <c r="J13121">
        <v>95570</v>
      </c>
      <c r="K13121">
        <v>2036</v>
      </c>
      <c r="L13121" t="s">
        <v>23</v>
      </c>
      <c r="M13121" t="s">
        <v>28503</v>
      </c>
      <c r="N13121" t="s">
        <v>7103</v>
      </c>
      <c r="O13121" t="s">
        <v>22</v>
      </c>
      <c r="P13121">
        <v>95570</v>
      </c>
      <c r="Q13121">
        <v>2036</v>
      </c>
      <c r="R13121" t="s">
        <v>23</v>
      </c>
      <c r="S13121" s="1" t="s">
        <v>34218</v>
      </c>
    </row>
    <row r="13122" spans="1:19" x14ac:dyDescent="0.25">
      <c r="A13122">
        <v>101481225</v>
      </c>
      <c r="B13122" t="s">
        <v>19680</v>
      </c>
      <c r="C13122" t="s">
        <v>30</v>
      </c>
      <c r="G13122" t="s">
        <v>28504</v>
      </c>
      <c r="H13122" t="s">
        <v>10464</v>
      </c>
      <c r="I13122" t="s">
        <v>348</v>
      </c>
      <c r="J13122">
        <v>83815</v>
      </c>
      <c r="K13122">
        <v>9459</v>
      </c>
      <c r="L13122" t="s">
        <v>23</v>
      </c>
      <c r="M13122" t="s">
        <v>28504</v>
      </c>
      <c r="N13122" t="s">
        <v>10464</v>
      </c>
      <c r="O13122" t="s">
        <v>348</v>
      </c>
      <c r="P13122">
        <v>83815</v>
      </c>
      <c r="Q13122">
        <v>9459</v>
      </c>
      <c r="R13122" t="s">
        <v>23</v>
      </c>
      <c r="S13122" s="1" t="s">
        <v>34218</v>
      </c>
    </row>
    <row r="13123" spans="1:19" x14ac:dyDescent="0.25">
      <c r="A13123">
        <v>101481232</v>
      </c>
      <c r="B13123" t="s">
        <v>1795</v>
      </c>
      <c r="C13123" t="s">
        <v>28505</v>
      </c>
      <c r="G13123" t="s">
        <v>28506</v>
      </c>
      <c r="H13123" t="s">
        <v>28507</v>
      </c>
      <c r="I13123" t="s">
        <v>984</v>
      </c>
      <c r="J13123">
        <v>96776</v>
      </c>
      <c r="K13123">
        <v>347</v>
      </c>
      <c r="L13123" t="s">
        <v>23</v>
      </c>
      <c r="M13123" t="s">
        <v>28506</v>
      </c>
      <c r="N13123" t="s">
        <v>28507</v>
      </c>
      <c r="O13123" t="s">
        <v>984</v>
      </c>
      <c r="P13123">
        <v>96776</v>
      </c>
      <c r="Q13123">
        <v>347</v>
      </c>
      <c r="R13123" t="s">
        <v>23</v>
      </c>
      <c r="S13123" s="1" t="s">
        <v>34218</v>
      </c>
    </row>
    <row r="13124" spans="1:19" x14ac:dyDescent="0.25">
      <c r="A13124">
        <v>101449419</v>
      </c>
      <c r="B13124" t="s">
        <v>28508</v>
      </c>
      <c r="C13124" t="s">
        <v>81</v>
      </c>
      <c r="G13124" t="s">
        <v>28509</v>
      </c>
      <c r="H13124" t="s">
        <v>4150</v>
      </c>
      <c r="I13124" t="s">
        <v>135</v>
      </c>
      <c r="J13124">
        <v>61607</v>
      </c>
      <c r="K13124">
        <v>1188</v>
      </c>
      <c r="L13124" t="s">
        <v>23</v>
      </c>
      <c r="M13124" t="s">
        <v>28509</v>
      </c>
      <c r="N13124" t="s">
        <v>4150</v>
      </c>
      <c r="O13124" t="s">
        <v>135</v>
      </c>
      <c r="P13124">
        <v>61607</v>
      </c>
      <c r="Q13124">
        <v>1188</v>
      </c>
      <c r="R13124" t="s">
        <v>23</v>
      </c>
      <c r="S13124" s="1" t="s">
        <v>34218</v>
      </c>
    </row>
    <row r="13125" spans="1:19" x14ac:dyDescent="0.25">
      <c r="A13125">
        <v>101455292</v>
      </c>
      <c r="B13125" t="s">
        <v>3956</v>
      </c>
      <c r="C13125" t="s">
        <v>377</v>
      </c>
      <c r="G13125" t="s">
        <v>28510</v>
      </c>
      <c r="H13125" t="s">
        <v>28511</v>
      </c>
      <c r="I13125" t="s">
        <v>1482</v>
      </c>
      <c r="J13125">
        <v>29482</v>
      </c>
      <c r="K13125">
        <v>464</v>
      </c>
      <c r="L13125" t="s">
        <v>23</v>
      </c>
      <c r="M13125" t="s">
        <v>28510</v>
      </c>
      <c r="N13125" t="s">
        <v>28511</v>
      </c>
      <c r="O13125" t="s">
        <v>1482</v>
      </c>
      <c r="P13125">
        <v>29482</v>
      </c>
      <c r="Q13125">
        <v>464</v>
      </c>
      <c r="R13125" t="s">
        <v>23</v>
      </c>
      <c r="S13125" s="1" t="s">
        <v>34218</v>
      </c>
    </row>
    <row r="13126" spans="1:19" x14ac:dyDescent="0.25">
      <c r="A13126">
        <v>101478474</v>
      </c>
      <c r="B13126" t="s">
        <v>29</v>
      </c>
      <c r="C13126" t="s">
        <v>1818</v>
      </c>
      <c r="G13126" t="s">
        <v>28512</v>
      </c>
      <c r="H13126" t="s">
        <v>1985</v>
      </c>
      <c r="I13126" t="s">
        <v>71</v>
      </c>
      <c r="J13126">
        <v>80904</v>
      </c>
      <c r="K13126">
        <v>3227</v>
      </c>
      <c r="L13126" t="s">
        <v>23</v>
      </c>
      <c r="M13126" t="s">
        <v>28512</v>
      </c>
      <c r="N13126" t="s">
        <v>1985</v>
      </c>
      <c r="O13126" t="s">
        <v>71</v>
      </c>
      <c r="P13126">
        <v>80904</v>
      </c>
      <c r="Q13126">
        <v>3227</v>
      </c>
      <c r="R13126" t="s">
        <v>23</v>
      </c>
      <c r="S13126" s="1" t="s">
        <v>34218</v>
      </c>
    </row>
    <row r="13127" spans="1:19" x14ac:dyDescent="0.25">
      <c r="A13127">
        <v>101478525</v>
      </c>
      <c r="B13127" t="s">
        <v>2074</v>
      </c>
      <c r="C13127" t="s">
        <v>309</v>
      </c>
      <c r="G13127" t="s">
        <v>28513</v>
      </c>
      <c r="H13127" t="s">
        <v>28514</v>
      </c>
      <c r="I13127" t="s">
        <v>38</v>
      </c>
      <c r="J13127">
        <v>77426</v>
      </c>
      <c r="K13127">
        <v>454</v>
      </c>
      <c r="L13127" t="s">
        <v>23</v>
      </c>
      <c r="M13127" t="s">
        <v>28513</v>
      </c>
      <c r="N13127" t="s">
        <v>28514</v>
      </c>
      <c r="O13127" t="s">
        <v>38</v>
      </c>
      <c r="P13127">
        <v>77426</v>
      </c>
      <c r="Q13127">
        <v>454</v>
      </c>
      <c r="R13127" t="s">
        <v>23</v>
      </c>
      <c r="S13127" s="1" t="s">
        <v>34218</v>
      </c>
    </row>
    <row r="13128" spans="1:19" x14ac:dyDescent="0.25">
      <c r="A13128">
        <v>101478906</v>
      </c>
      <c r="B13128" t="s">
        <v>812</v>
      </c>
      <c r="C13128" t="s">
        <v>5283</v>
      </c>
      <c r="G13128" t="s">
        <v>28515</v>
      </c>
      <c r="H13128" t="s">
        <v>227</v>
      </c>
      <c r="I13128" t="s">
        <v>43</v>
      </c>
      <c r="J13128">
        <v>97209</v>
      </c>
      <c r="K13128">
        <v>3465</v>
      </c>
      <c r="L13128" t="s">
        <v>23</v>
      </c>
      <c r="M13128" t="s">
        <v>28515</v>
      </c>
      <c r="N13128" t="s">
        <v>227</v>
      </c>
      <c r="O13128" t="s">
        <v>43</v>
      </c>
      <c r="P13128">
        <v>97209</v>
      </c>
      <c r="Q13128">
        <v>3465</v>
      </c>
      <c r="R13128" t="s">
        <v>23</v>
      </c>
      <c r="S13128" s="1" t="s">
        <v>34218</v>
      </c>
    </row>
    <row r="13129" spans="1:19" x14ac:dyDescent="0.25">
      <c r="A13129">
        <v>101478993</v>
      </c>
      <c r="B13129" t="s">
        <v>28516</v>
      </c>
      <c r="C13129" t="s">
        <v>718</v>
      </c>
      <c r="G13129" t="s">
        <v>28517</v>
      </c>
      <c r="H13129" t="s">
        <v>2069</v>
      </c>
      <c r="I13129" t="s">
        <v>22</v>
      </c>
      <c r="J13129">
        <v>95472</v>
      </c>
      <c r="K13129">
        <v>4021</v>
      </c>
      <c r="L13129" t="s">
        <v>23</v>
      </c>
      <c r="M13129" t="s">
        <v>28517</v>
      </c>
      <c r="N13129" t="s">
        <v>2069</v>
      </c>
      <c r="O13129" t="s">
        <v>22</v>
      </c>
      <c r="P13129">
        <v>95472</v>
      </c>
      <c r="Q13129">
        <v>4021</v>
      </c>
      <c r="R13129" t="s">
        <v>23</v>
      </c>
      <c r="S13129" s="1" t="s">
        <v>34218</v>
      </c>
    </row>
    <row r="13130" spans="1:19" x14ac:dyDescent="0.25">
      <c r="A13130">
        <v>101479225</v>
      </c>
      <c r="B13130" t="s">
        <v>28518</v>
      </c>
      <c r="C13130" t="s">
        <v>28519</v>
      </c>
      <c r="G13130" t="s">
        <v>27320</v>
      </c>
      <c r="H13130" t="s">
        <v>556</v>
      </c>
      <c r="I13130" t="s">
        <v>22</v>
      </c>
      <c r="J13130">
        <v>95018</v>
      </c>
      <c r="K13130">
        <v>9638</v>
      </c>
      <c r="L13130" t="s">
        <v>23</v>
      </c>
      <c r="M13130" t="s">
        <v>27320</v>
      </c>
      <c r="N13130" t="s">
        <v>556</v>
      </c>
      <c r="O13130" t="s">
        <v>22</v>
      </c>
      <c r="P13130">
        <v>95018</v>
      </c>
      <c r="Q13130">
        <v>9638</v>
      </c>
      <c r="R13130" t="s">
        <v>23</v>
      </c>
      <c r="S13130" s="1" t="s">
        <v>34218</v>
      </c>
    </row>
    <row r="13131" spans="1:19" x14ac:dyDescent="0.25">
      <c r="A13131">
        <v>101479327</v>
      </c>
      <c r="B13131" t="s">
        <v>28520</v>
      </c>
      <c r="C13131" t="s">
        <v>3566</v>
      </c>
      <c r="G13131" t="s">
        <v>28521</v>
      </c>
      <c r="H13131" t="s">
        <v>511</v>
      </c>
      <c r="I13131" t="s">
        <v>71</v>
      </c>
      <c r="J13131">
        <v>80516</v>
      </c>
      <c r="K13131">
        <v>6507</v>
      </c>
      <c r="L13131" t="s">
        <v>23</v>
      </c>
      <c r="M13131" t="s">
        <v>28521</v>
      </c>
      <c r="N13131" t="s">
        <v>511</v>
      </c>
      <c r="O13131" t="s">
        <v>71</v>
      </c>
      <c r="P13131">
        <v>80516</v>
      </c>
      <c r="Q13131">
        <v>6507</v>
      </c>
      <c r="R13131" t="s">
        <v>23</v>
      </c>
      <c r="S13131" s="1" t="s">
        <v>34218</v>
      </c>
    </row>
    <row r="13132" spans="1:19" x14ac:dyDescent="0.25">
      <c r="A13132">
        <v>101479374</v>
      </c>
      <c r="B13132" t="s">
        <v>28522</v>
      </c>
      <c r="C13132" t="s">
        <v>200</v>
      </c>
      <c r="G13132" t="s">
        <v>28523</v>
      </c>
      <c r="H13132" t="s">
        <v>2231</v>
      </c>
      <c r="I13132" t="s">
        <v>22</v>
      </c>
      <c r="J13132">
        <v>91207</v>
      </c>
      <c r="K13132">
        <v>1240</v>
      </c>
      <c r="L13132" t="s">
        <v>23</v>
      </c>
      <c r="M13132" t="s">
        <v>28523</v>
      </c>
      <c r="N13132" t="s">
        <v>2231</v>
      </c>
      <c r="O13132" t="s">
        <v>22</v>
      </c>
      <c r="P13132">
        <v>91207</v>
      </c>
      <c r="Q13132">
        <v>1240</v>
      </c>
      <c r="R13132" t="s">
        <v>23</v>
      </c>
      <c r="S13132" s="1" t="s">
        <v>34218</v>
      </c>
    </row>
    <row r="13133" spans="1:19" x14ac:dyDescent="0.25">
      <c r="A13133">
        <v>101291936</v>
      </c>
      <c r="B13133" t="s">
        <v>28524</v>
      </c>
      <c r="C13133" t="s">
        <v>11323</v>
      </c>
      <c r="G13133" t="s">
        <v>28525</v>
      </c>
      <c r="H13133" t="s">
        <v>1126</v>
      </c>
      <c r="I13133" t="s">
        <v>161</v>
      </c>
      <c r="J13133">
        <v>6385</v>
      </c>
      <c r="K13133">
        <v>3903</v>
      </c>
      <c r="L13133" t="s">
        <v>23</v>
      </c>
      <c r="M13133" t="s">
        <v>28525</v>
      </c>
      <c r="N13133" t="s">
        <v>1126</v>
      </c>
      <c r="O13133" t="s">
        <v>161</v>
      </c>
      <c r="P13133">
        <v>6385</v>
      </c>
      <c r="Q13133">
        <v>3903</v>
      </c>
      <c r="R13133" t="s">
        <v>23</v>
      </c>
      <c r="S13133" s="1" t="s">
        <v>34218</v>
      </c>
    </row>
    <row r="13134" spans="1:19" x14ac:dyDescent="0.25">
      <c r="A13134">
        <v>100726799</v>
      </c>
      <c r="B13134" t="s">
        <v>5237</v>
      </c>
      <c r="C13134" t="s">
        <v>2127</v>
      </c>
      <c r="G13134" t="s">
        <v>28526</v>
      </c>
      <c r="H13134" t="s">
        <v>6715</v>
      </c>
      <c r="I13134" t="s">
        <v>38</v>
      </c>
      <c r="J13134">
        <v>78028</v>
      </c>
      <c r="K13134">
        <v>5102</v>
      </c>
      <c r="L13134" t="s">
        <v>23</v>
      </c>
      <c r="M13134" t="s">
        <v>28526</v>
      </c>
      <c r="N13134" t="s">
        <v>6715</v>
      </c>
      <c r="O13134" t="s">
        <v>38</v>
      </c>
      <c r="P13134">
        <v>78028</v>
      </c>
      <c r="Q13134">
        <v>5102</v>
      </c>
      <c r="R13134" t="s">
        <v>23</v>
      </c>
      <c r="S13134" s="1" t="s">
        <v>34218</v>
      </c>
    </row>
    <row r="13135" spans="1:19" x14ac:dyDescent="0.25">
      <c r="A13135">
        <v>101435670</v>
      </c>
      <c r="B13135" t="s">
        <v>10161</v>
      </c>
      <c r="C13135" t="s">
        <v>1374</v>
      </c>
      <c r="G13135" t="s">
        <v>28527</v>
      </c>
      <c r="H13135" t="s">
        <v>380</v>
      </c>
      <c r="I13135" t="s">
        <v>38</v>
      </c>
      <c r="J13135">
        <v>75235</v>
      </c>
      <c r="K13135">
        <v>7482</v>
      </c>
      <c r="L13135" t="s">
        <v>23</v>
      </c>
      <c r="M13135" t="s">
        <v>28527</v>
      </c>
      <c r="N13135" t="s">
        <v>380</v>
      </c>
      <c r="O13135" t="s">
        <v>38</v>
      </c>
      <c r="P13135">
        <v>75235</v>
      </c>
      <c r="Q13135">
        <v>7482</v>
      </c>
      <c r="R13135" t="s">
        <v>23</v>
      </c>
      <c r="S13135" s="1" t="s">
        <v>34218</v>
      </c>
    </row>
    <row r="13136" spans="1:19" x14ac:dyDescent="0.25">
      <c r="A13136">
        <v>101468323</v>
      </c>
      <c r="B13136" t="s">
        <v>19957</v>
      </c>
      <c r="C13136" t="s">
        <v>1176</v>
      </c>
      <c r="G13136" t="s">
        <v>28528</v>
      </c>
      <c r="H13136" t="s">
        <v>1157</v>
      </c>
      <c r="I13136" t="s">
        <v>187</v>
      </c>
      <c r="J13136">
        <v>55792</v>
      </c>
      <c r="K13136">
        <v>8028</v>
      </c>
      <c r="L13136" t="s">
        <v>23</v>
      </c>
      <c r="M13136" t="s">
        <v>28528</v>
      </c>
      <c r="N13136" t="s">
        <v>1157</v>
      </c>
      <c r="O13136" t="s">
        <v>187</v>
      </c>
      <c r="P13136">
        <v>55792</v>
      </c>
      <c r="Q13136">
        <v>8028</v>
      </c>
      <c r="R13136" t="s">
        <v>23</v>
      </c>
      <c r="S13136" s="1" t="s">
        <v>34218</v>
      </c>
    </row>
    <row r="13137" spans="1:19" x14ac:dyDescent="0.25">
      <c r="A13137">
        <v>101465483</v>
      </c>
      <c r="B13137" t="s">
        <v>28529</v>
      </c>
      <c r="C13137" t="s">
        <v>1737</v>
      </c>
      <c r="G13137" t="s">
        <v>28530</v>
      </c>
      <c r="H13137" t="s">
        <v>1863</v>
      </c>
      <c r="I13137" t="s">
        <v>126</v>
      </c>
      <c r="J13137">
        <v>64119</v>
      </c>
      <c r="K13137">
        <v>4051</v>
      </c>
      <c r="L13137" t="s">
        <v>23</v>
      </c>
      <c r="M13137" t="s">
        <v>28530</v>
      </c>
      <c r="N13137" t="s">
        <v>1863</v>
      </c>
      <c r="O13137" t="s">
        <v>126</v>
      </c>
      <c r="P13137">
        <v>64119</v>
      </c>
      <c r="Q13137">
        <v>4051</v>
      </c>
      <c r="R13137" t="s">
        <v>23</v>
      </c>
      <c r="S13137" s="1" t="s">
        <v>34218</v>
      </c>
    </row>
    <row r="13138" spans="1:19" x14ac:dyDescent="0.25">
      <c r="A13138">
        <v>100877610</v>
      </c>
      <c r="B13138" t="s">
        <v>1650</v>
      </c>
      <c r="C13138" t="s">
        <v>40</v>
      </c>
      <c r="G13138" t="s">
        <v>28531</v>
      </c>
      <c r="H13138" t="s">
        <v>1931</v>
      </c>
      <c r="I13138" t="s">
        <v>117</v>
      </c>
      <c r="J13138">
        <v>10930</v>
      </c>
      <c r="K13138">
        <v>3303</v>
      </c>
      <c r="L13138" t="s">
        <v>23</v>
      </c>
      <c r="M13138" t="s">
        <v>28531</v>
      </c>
      <c r="N13138" t="s">
        <v>1931</v>
      </c>
      <c r="O13138" t="s">
        <v>117</v>
      </c>
      <c r="P13138">
        <v>10930</v>
      </c>
      <c r="Q13138">
        <v>3303</v>
      </c>
      <c r="R13138" t="s">
        <v>23</v>
      </c>
      <c r="S13138" s="1" t="s">
        <v>34218</v>
      </c>
    </row>
    <row r="13139" spans="1:19" x14ac:dyDescent="0.25">
      <c r="A13139">
        <v>101325466</v>
      </c>
      <c r="B13139" t="s">
        <v>28532</v>
      </c>
      <c r="C13139" t="s">
        <v>59</v>
      </c>
      <c r="G13139" t="s">
        <v>28533</v>
      </c>
      <c r="H13139" t="s">
        <v>147</v>
      </c>
      <c r="I13139" t="s">
        <v>22</v>
      </c>
      <c r="J13139">
        <v>91106</v>
      </c>
      <c r="K13139">
        <v>4404</v>
      </c>
      <c r="L13139" t="s">
        <v>23</v>
      </c>
      <c r="M13139" t="s">
        <v>28533</v>
      </c>
      <c r="N13139" t="s">
        <v>147</v>
      </c>
      <c r="O13139" t="s">
        <v>22</v>
      </c>
      <c r="P13139">
        <v>91106</v>
      </c>
      <c r="Q13139">
        <v>4404</v>
      </c>
      <c r="R13139" t="s">
        <v>23</v>
      </c>
      <c r="S13139" s="1" t="s">
        <v>34218</v>
      </c>
    </row>
    <row r="13140" spans="1:19" x14ac:dyDescent="0.25">
      <c r="A13140">
        <v>100990311</v>
      </c>
      <c r="B13140" t="s">
        <v>3089</v>
      </c>
      <c r="C13140" t="s">
        <v>3110</v>
      </c>
      <c r="G13140" t="s">
        <v>28534</v>
      </c>
      <c r="H13140" t="s">
        <v>5040</v>
      </c>
      <c r="I13140" t="s">
        <v>241</v>
      </c>
      <c r="J13140">
        <v>66216</v>
      </c>
      <c r="K13140">
        <v>3917</v>
      </c>
      <c r="L13140" t="s">
        <v>23</v>
      </c>
      <c r="M13140" t="s">
        <v>28534</v>
      </c>
      <c r="N13140" t="s">
        <v>5040</v>
      </c>
      <c r="O13140" t="s">
        <v>241</v>
      </c>
      <c r="P13140">
        <v>66216</v>
      </c>
      <c r="Q13140">
        <v>3917</v>
      </c>
      <c r="R13140" t="s">
        <v>23</v>
      </c>
      <c r="S13140" s="1" t="s">
        <v>34218</v>
      </c>
    </row>
    <row r="13141" spans="1:19" x14ac:dyDescent="0.25">
      <c r="A13141">
        <v>101438829</v>
      </c>
      <c r="B13141" t="s">
        <v>28535</v>
      </c>
      <c r="C13141" t="s">
        <v>28536</v>
      </c>
      <c r="G13141" t="s">
        <v>28537</v>
      </c>
      <c r="H13141" t="s">
        <v>2341</v>
      </c>
      <c r="I13141" t="s">
        <v>100</v>
      </c>
      <c r="J13141">
        <v>53081</v>
      </c>
      <c r="K13141">
        <v>6252</v>
      </c>
      <c r="L13141" t="s">
        <v>23</v>
      </c>
      <c r="M13141" t="s">
        <v>28537</v>
      </c>
      <c r="N13141" t="s">
        <v>2341</v>
      </c>
      <c r="O13141" t="s">
        <v>100</v>
      </c>
      <c r="P13141">
        <v>53081</v>
      </c>
      <c r="Q13141">
        <v>6252</v>
      </c>
      <c r="R13141" t="s">
        <v>23</v>
      </c>
      <c r="S13141" s="1" t="s">
        <v>34218</v>
      </c>
    </row>
    <row r="13142" spans="1:19" x14ac:dyDescent="0.25">
      <c r="A13142">
        <v>101451390</v>
      </c>
      <c r="B13142" t="s">
        <v>28538</v>
      </c>
      <c r="C13142" t="s">
        <v>24356</v>
      </c>
      <c r="G13142" t="s">
        <v>28539</v>
      </c>
      <c r="H13142" t="s">
        <v>3270</v>
      </c>
      <c r="I13142" t="s">
        <v>348</v>
      </c>
      <c r="J13142">
        <v>83713</v>
      </c>
      <c r="K13142">
        <v>736</v>
      </c>
      <c r="L13142" t="s">
        <v>23</v>
      </c>
      <c r="M13142" t="s">
        <v>28539</v>
      </c>
      <c r="N13142" t="s">
        <v>3270</v>
      </c>
      <c r="O13142" t="s">
        <v>348</v>
      </c>
      <c r="P13142">
        <v>83713</v>
      </c>
      <c r="Q13142">
        <v>736</v>
      </c>
      <c r="R13142" t="s">
        <v>23</v>
      </c>
      <c r="S13142" s="1" t="s">
        <v>34218</v>
      </c>
    </row>
    <row r="13143" spans="1:19" x14ac:dyDescent="0.25">
      <c r="A13143">
        <v>101118797</v>
      </c>
      <c r="B13143" t="s">
        <v>1717</v>
      </c>
      <c r="C13143" t="s">
        <v>2849</v>
      </c>
      <c r="G13143" t="s">
        <v>28540</v>
      </c>
      <c r="H13143" t="s">
        <v>28541</v>
      </c>
      <c r="I13143" t="s">
        <v>187</v>
      </c>
      <c r="J13143">
        <v>55126</v>
      </c>
      <c r="K13143">
        <v>2163</v>
      </c>
      <c r="L13143" t="s">
        <v>23</v>
      </c>
      <c r="M13143" t="s">
        <v>28540</v>
      </c>
      <c r="N13143" t="s">
        <v>28541</v>
      </c>
      <c r="O13143" t="s">
        <v>187</v>
      </c>
      <c r="P13143">
        <v>55126</v>
      </c>
      <c r="Q13143">
        <v>2163</v>
      </c>
      <c r="R13143" t="s">
        <v>23</v>
      </c>
      <c r="S13143" s="1" t="s">
        <v>34218</v>
      </c>
    </row>
    <row r="13144" spans="1:19" x14ac:dyDescent="0.25">
      <c r="A13144">
        <v>101471582</v>
      </c>
      <c r="B13144" t="s">
        <v>28542</v>
      </c>
      <c r="C13144" t="s">
        <v>2287</v>
      </c>
      <c r="G13144" t="s">
        <v>28543</v>
      </c>
      <c r="H13144" t="s">
        <v>1674</v>
      </c>
      <c r="I13144" t="s">
        <v>22</v>
      </c>
      <c r="J13144">
        <v>91510</v>
      </c>
      <c r="K13144">
        <v>1525</v>
      </c>
      <c r="L13144" t="s">
        <v>23</v>
      </c>
      <c r="M13144" t="s">
        <v>28543</v>
      </c>
      <c r="N13144" t="s">
        <v>1674</v>
      </c>
      <c r="O13144" t="s">
        <v>22</v>
      </c>
      <c r="P13144">
        <v>91510</v>
      </c>
      <c r="Q13144">
        <v>1525</v>
      </c>
      <c r="R13144" t="s">
        <v>23</v>
      </c>
      <c r="S13144" s="1" t="s">
        <v>34218</v>
      </c>
    </row>
    <row r="13145" spans="1:19" x14ac:dyDescent="0.25">
      <c r="A13145">
        <v>101472049</v>
      </c>
      <c r="B13145" t="s">
        <v>28544</v>
      </c>
      <c r="C13145" t="s">
        <v>28545</v>
      </c>
      <c r="G13145" t="s">
        <v>28546</v>
      </c>
      <c r="H13145" t="s">
        <v>130</v>
      </c>
      <c r="I13145" t="s">
        <v>22</v>
      </c>
      <c r="J13145">
        <v>94110</v>
      </c>
      <c r="K13145">
        <v>5563</v>
      </c>
      <c r="L13145" t="s">
        <v>23</v>
      </c>
      <c r="M13145" t="s">
        <v>28546</v>
      </c>
      <c r="N13145" t="s">
        <v>130</v>
      </c>
      <c r="O13145" t="s">
        <v>22</v>
      </c>
      <c r="P13145">
        <v>94110</v>
      </c>
      <c r="Q13145">
        <v>5563</v>
      </c>
      <c r="R13145" t="s">
        <v>23</v>
      </c>
      <c r="S13145" s="1" t="s">
        <v>34218</v>
      </c>
    </row>
    <row r="13146" spans="1:19" x14ac:dyDescent="0.25">
      <c r="A13146">
        <v>101427314</v>
      </c>
      <c r="B13146" t="s">
        <v>28547</v>
      </c>
      <c r="C13146" t="s">
        <v>7195</v>
      </c>
      <c r="G13146" t="s">
        <v>28548</v>
      </c>
      <c r="H13146" t="s">
        <v>653</v>
      </c>
      <c r="I13146" t="s">
        <v>117</v>
      </c>
      <c r="J13146">
        <v>10011</v>
      </c>
      <c r="K13146">
        <v>1524</v>
      </c>
      <c r="L13146" t="s">
        <v>23</v>
      </c>
      <c r="M13146" t="s">
        <v>28548</v>
      </c>
      <c r="N13146" t="s">
        <v>653</v>
      </c>
      <c r="O13146" t="s">
        <v>117</v>
      </c>
      <c r="P13146">
        <v>10011</v>
      </c>
      <c r="Q13146">
        <v>1524</v>
      </c>
      <c r="R13146" t="s">
        <v>23</v>
      </c>
      <c r="S13146" s="1" t="s">
        <v>34218</v>
      </c>
    </row>
    <row r="13147" spans="1:19" x14ac:dyDescent="0.25">
      <c r="A13147">
        <v>101296319</v>
      </c>
      <c r="B13147" t="s">
        <v>28549</v>
      </c>
      <c r="C13147" t="s">
        <v>28550</v>
      </c>
      <c r="G13147" t="s">
        <v>28551</v>
      </c>
      <c r="H13147" t="s">
        <v>10464</v>
      </c>
      <c r="I13147" t="s">
        <v>348</v>
      </c>
      <c r="J13147">
        <v>83814</v>
      </c>
      <c r="K13147">
        <v>77</v>
      </c>
      <c r="L13147" t="s">
        <v>23</v>
      </c>
      <c r="M13147" t="s">
        <v>28551</v>
      </c>
      <c r="N13147" t="s">
        <v>10464</v>
      </c>
      <c r="O13147" t="s">
        <v>348</v>
      </c>
      <c r="P13147">
        <v>83814</v>
      </c>
      <c r="Q13147">
        <v>77</v>
      </c>
      <c r="R13147" t="s">
        <v>23</v>
      </c>
      <c r="S13147" s="1" t="s">
        <v>34218</v>
      </c>
    </row>
    <row r="13148" spans="1:19" x14ac:dyDescent="0.25">
      <c r="A13148">
        <v>101288213</v>
      </c>
      <c r="B13148" t="s">
        <v>28552</v>
      </c>
      <c r="C13148" t="s">
        <v>403</v>
      </c>
      <c r="G13148" t="s">
        <v>28553</v>
      </c>
      <c r="H13148" t="s">
        <v>7018</v>
      </c>
      <c r="I13148" t="s">
        <v>241</v>
      </c>
      <c r="J13148">
        <v>66061</v>
      </c>
      <c r="K13148">
        <v>6002</v>
      </c>
      <c r="L13148" t="s">
        <v>23</v>
      </c>
      <c r="M13148" t="s">
        <v>28553</v>
      </c>
      <c r="N13148" t="s">
        <v>7018</v>
      </c>
      <c r="O13148" t="s">
        <v>241</v>
      </c>
      <c r="P13148">
        <v>66061</v>
      </c>
      <c r="Q13148">
        <v>6002</v>
      </c>
      <c r="R13148" t="s">
        <v>23</v>
      </c>
      <c r="S13148" s="1" t="s">
        <v>34218</v>
      </c>
    </row>
    <row r="13149" spans="1:19" x14ac:dyDescent="0.25">
      <c r="A13149">
        <v>101449597</v>
      </c>
      <c r="B13149" t="s">
        <v>28554</v>
      </c>
      <c r="C13149" t="s">
        <v>3110</v>
      </c>
      <c r="G13149" t="s">
        <v>28555</v>
      </c>
      <c r="H13149" t="s">
        <v>28556</v>
      </c>
      <c r="I13149" t="s">
        <v>250</v>
      </c>
      <c r="J13149">
        <v>8724</v>
      </c>
      <c r="K13149">
        <v>3440</v>
      </c>
      <c r="L13149" t="s">
        <v>23</v>
      </c>
      <c r="M13149" t="s">
        <v>28555</v>
      </c>
      <c r="N13149" t="s">
        <v>28556</v>
      </c>
      <c r="O13149" t="s">
        <v>250</v>
      </c>
      <c r="P13149">
        <v>8724</v>
      </c>
      <c r="Q13149">
        <v>3440</v>
      </c>
      <c r="R13149" t="s">
        <v>23</v>
      </c>
      <c r="S13149" s="1" t="s">
        <v>34218</v>
      </c>
    </row>
    <row r="13150" spans="1:19" x14ac:dyDescent="0.25">
      <c r="A13150">
        <v>100800612</v>
      </c>
      <c r="B13150" t="s">
        <v>28557</v>
      </c>
      <c r="C13150" t="s">
        <v>11569</v>
      </c>
      <c r="G13150" t="s">
        <v>28558</v>
      </c>
      <c r="H13150" t="s">
        <v>28559</v>
      </c>
      <c r="I13150" t="s">
        <v>250</v>
      </c>
      <c r="J13150" t="s">
        <v>28560</v>
      </c>
      <c r="K13150">
        <v>7502</v>
      </c>
      <c r="L13150" t="s">
        <v>23</v>
      </c>
      <c r="M13150" t="s">
        <v>28558</v>
      </c>
      <c r="N13150" t="s">
        <v>28559</v>
      </c>
      <c r="O13150" t="s">
        <v>250</v>
      </c>
      <c r="P13150" t="s">
        <v>28560</v>
      </c>
      <c r="Q13150">
        <v>7502</v>
      </c>
      <c r="R13150" t="s">
        <v>23</v>
      </c>
      <c r="S13150" s="1" t="s">
        <v>34218</v>
      </c>
    </row>
    <row r="13151" spans="1:19" x14ac:dyDescent="0.25">
      <c r="A13151">
        <v>101468030</v>
      </c>
      <c r="B13151" t="s">
        <v>10543</v>
      </c>
      <c r="C13151" t="s">
        <v>123</v>
      </c>
      <c r="G13151" t="s">
        <v>28561</v>
      </c>
      <c r="H13151" t="s">
        <v>357</v>
      </c>
      <c r="I13151" t="s">
        <v>255</v>
      </c>
      <c r="J13151">
        <v>22310</v>
      </c>
      <c r="K13151">
        <v>1340</v>
      </c>
      <c r="L13151" t="s">
        <v>23</v>
      </c>
      <c r="M13151" t="s">
        <v>28561</v>
      </c>
      <c r="N13151" t="s">
        <v>357</v>
      </c>
      <c r="O13151" t="s">
        <v>255</v>
      </c>
      <c r="P13151">
        <v>22310</v>
      </c>
      <c r="Q13151">
        <v>1340</v>
      </c>
      <c r="R13151" t="s">
        <v>23</v>
      </c>
      <c r="S13151" s="1" t="s">
        <v>34218</v>
      </c>
    </row>
    <row r="13152" spans="1:19" x14ac:dyDescent="0.25">
      <c r="A13152">
        <v>101479428</v>
      </c>
      <c r="B13152" t="s">
        <v>3263</v>
      </c>
      <c r="C13152" t="s">
        <v>286</v>
      </c>
      <c r="G13152" t="s">
        <v>28562</v>
      </c>
      <c r="H13152" t="s">
        <v>4162</v>
      </c>
      <c r="I13152" t="s">
        <v>43</v>
      </c>
      <c r="J13152">
        <v>97123</v>
      </c>
      <c r="K13152">
        <v>8681</v>
      </c>
      <c r="L13152" t="s">
        <v>23</v>
      </c>
      <c r="M13152" t="s">
        <v>28562</v>
      </c>
      <c r="N13152" t="s">
        <v>4162</v>
      </c>
      <c r="O13152" t="s">
        <v>43</v>
      </c>
      <c r="P13152">
        <v>97123</v>
      </c>
      <c r="Q13152">
        <v>8681</v>
      </c>
      <c r="R13152" t="s">
        <v>23</v>
      </c>
      <c r="S13152" s="1" t="s">
        <v>34218</v>
      </c>
    </row>
    <row r="13153" spans="1:19" x14ac:dyDescent="0.25">
      <c r="A13153">
        <v>101479509</v>
      </c>
      <c r="B13153" t="s">
        <v>7177</v>
      </c>
      <c r="C13153" t="s">
        <v>387</v>
      </c>
      <c r="G13153" t="s">
        <v>28563</v>
      </c>
      <c r="H13153" t="s">
        <v>130</v>
      </c>
      <c r="I13153" t="s">
        <v>22</v>
      </c>
      <c r="J13153">
        <v>94111</v>
      </c>
      <c r="K13153">
        <v>5318</v>
      </c>
      <c r="L13153" t="s">
        <v>23</v>
      </c>
      <c r="M13153" t="s">
        <v>28563</v>
      </c>
      <c r="N13153" t="s">
        <v>130</v>
      </c>
      <c r="O13153" t="s">
        <v>22</v>
      </c>
      <c r="P13153">
        <v>94111</v>
      </c>
      <c r="Q13153">
        <v>5318</v>
      </c>
      <c r="R13153" t="s">
        <v>23</v>
      </c>
      <c r="S13153" s="1" t="s">
        <v>34218</v>
      </c>
    </row>
    <row r="13154" spans="1:19" x14ac:dyDescent="0.25">
      <c r="A13154">
        <v>101479645</v>
      </c>
      <c r="B13154" t="s">
        <v>6127</v>
      </c>
      <c r="C13154" t="s">
        <v>28564</v>
      </c>
      <c r="G13154" t="s">
        <v>28565</v>
      </c>
      <c r="H13154" t="s">
        <v>461</v>
      </c>
      <c r="I13154" t="s">
        <v>22</v>
      </c>
      <c r="J13154">
        <v>92506</v>
      </c>
      <c r="K13154">
        <v>2820</v>
      </c>
      <c r="L13154" t="s">
        <v>23</v>
      </c>
      <c r="M13154" t="s">
        <v>28565</v>
      </c>
      <c r="N13154" t="s">
        <v>461</v>
      </c>
      <c r="O13154" t="s">
        <v>22</v>
      </c>
      <c r="P13154">
        <v>92506</v>
      </c>
      <c r="Q13154">
        <v>2820</v>
      </c>
      <c r="R13154" t="s">
        <v>23</v>
      </c>
      <c r="S13154" s="1" t="s">
        <v>34218</v>
      </c>
    </row>
    <row r="13155" spans="1:19" x14ac:dyDescent="0.25">
      <c r="A13155">
        <v>101424185</v>
      </c>
      <c r="B13155" t="s">
        <v>28566</v>
      </c>
      <c r="C13155" t="s">
        <v>1865</v>
      </c>
      <c r="G13155" t="s">
        <v>28567</v>
      </c>
      <c r="H13155" t="s">
        <v>198</v>
      </c>
      <c r="I13155" t="s">
        <v>22</v>
      </c>
      <c r="J13155">
        <v>92122</v>
      </c>
      <c r="K13155">
        <v>3826</v>
      </c>
      <c r="L13155" t="s">
        <v>23</v>
      </c>
      <c r="M13155" t="s">
        <v>28567</v>
      </c>
      <c r="N13155" t="s">
        <v>198</v>
      </c>
      <c r="O13155" t="s">
        <v>22</v>
      </c>
      <c r="P13155">
        <v>92122</v>
      </c>
      <c r="Q13155">
        <v>3826</v>
      </c>
      <c r="R13155" t="s">
        <v>23</v>
      </c>
      <c r="S13155" s="1" t="s">
        <v>34218</v>
      </c>
    </row>
    <row r="13156" spans="1:19" x14ac:dyDescent="0.25">
      <c r="A13156">
        <v>101426534</v>
      </c>
      <c r="B13156" t="s">
        <v>28568</v>
      </c>
      <c r="C13156" t="s">
        <v>1078</v>
      </c>
      <c r="G13156" t="s">
        <v>28569</v>
      </c>
      <c r="H13156" t="s">
        <v>1439</v>
      </c>
      <c r="I13156" t="s">
        <v>365</v>
      </c>
      <c r="J13156">
        <v>85745</v>
      </c>
      <c r="K13156">
        <v>9657</v>
      </c>
      <c r="L13156" t="s">
        <v>23</v>
      </c>
      <c r="M13156" t="s">
        <v>28569</v>
      </c>
      <c r="N13156" t="s">
        <v>1439</v>
      </c>
      <c r="O13156" t="s">
        <v>365</v>
      </c>
      <c r="P13156">
        <v>85745</v>
      </c>
      <c r="Q13156">
        <v>9657</v>
      </c>
      <c r="R13156" t="s">
        <v>23</v>
      </c>
      <c r="S13156" s="1" t="s">
        <v>34218</v>
      </c>
    </row>
    <row r="13157" spans="1:19" x14ac:dyDescent="0.25">
      <c r="A13157">
        <v>101435081</v>
      </c>
      <c r="B13157" t="s">
        <v>21116</v>
      </c>
      <c r="C13157" t="s">
        <v>28570</v>
      </c>
      <c r="G13157" t="s">
        <v>28571</v>
      </c>
      <c r="H13157" t="s">
        <v>88</v>
      </c>
      <c r="I13157" t="s">
        <v>22</v>
      </c>
      <c r="J13157">
        <v>94609</v>
      </c>
      <c r="K13157">
        <v>2225</v>
      </c>
      <c r="L13157" t="s">
        <v>23</v>
      </c>
      <c r="M13157" t="s">
        <v>28571</v>
      </c>
      <c r="N13157" t="s">
        <v>88</v>
      </c>
      <c r="O13157" t="s">
        <v>22</v>
      </c>
      <c r="P13157">
        <v>94609</v>
      </c>
      <c r="Q13157">
        <v>2225</v>
      </c>
      <c r="R13157" t="s">
        <v>23</v>
      </c>
      <c r="S13157" s="1" t="s">
        <v>34218</v>
      </c>
    </row>
    <row r="13158" spans="1:19" x14ac:dyDescent="0.25">
      <c r="A13158">
        <v>101472986</v>
      </c>
      <c r="B13158" t="s">
        <v>22133</v>
      </c>
      <c r="C13158" t="s">
        <v>2151</v>
      </c>
      <c r="G13158" t="s">
        <v>28572</v>
      </c>
      <c r="H13158" t="s">
        <v>1280</v>
      </c>
      <c r="I13158" t="s">
        <v>22</v>
      </c>
      <c r="J13158">
        <v>93950</v>
      </c>
      <c r="K13158">
        <v>4405</v>
      </c>
      <c r="L13158" t="s">
        <v>23</v>
      </c>
      <c r="M13158" t="s">
        <v>28572</v>
      </c>
      <c r="N13158" t="s">
        <v>1280</v>
      </c>
      <c r="O13158" t="s">
        <v>22</v>
      </c>
      <c r="P13158">
        <v>93950</v>
      </c>
      <c r="Q13158">
        <v>4405</v>
      </c>
      <c r="R13158" t="s">
        <v>23</v>
      </c>
      <c r="S13158" s="1" t="s">
        <v>34218</v>
      </c>
    </row>
    <row r="13159" spans="1:19" x14ac:dyDescent="0.25">
      <c r="A13159">
        <v>101451443</v>
      </c>
      <c r="B13159" t="s">
        <v>28573</v>
      </c>
      <c r="C13159" t="s">
        <v>3747</v>
      </c>
      <c r="G13159" t="s">
        <v>28574</v>
      </c>
      <c r="H13159" t="s">
        <v>2218</v>
      </c>
      <c r="I13159" t="s">
        <v>161</v>
      </c>
      <c r="J13159">
        <v>6604</v>
      </c>
      <c r="K13159">
        <v>5842</v>
      </c>
      <c r="L13159" t="s">
        <v>23</v>
      </c>
      <c r="M13159" t="s">
        <v>28574</v>
      </c>
      <c r="N13159" t="s">
        <v>2218</v>
      </c>
      <c r="O13159" t="s">
        <v>161</v>
      </c>
      <c r="P13159">
        <v>6604</v>
      </c>
      <c r="Q13159">
        <v>5842</v>
      </c>
      <c r="R13159" t="s">
        <v>23</v>
      </c>
      <c r="S13159" s="1" t="s">
        <v>34218</v>
      </c>
    </row>
    <row r="13160" spans="1:19" x14ac:dyDescent="0.25">
      <c r="A13160">
        <v>101298645</v>
      </c>
      <c r="B13160" t="s">
        <v>4018</v>
      </c>
      <c r="C13160" t="s">
        <v>2653</v>
      </c>
      <c r="G13160" t="s">
        <v>26850</v>
      </c>
      <c r="H13160" t="s">
        <v>3256</v>
      </c>
      <c r="I13160" t="s">
        <v>28</v>
      </c>
      <c r="J13160">
        <v>30228</v>
      </c>
      <c r="K13160">
        <v>363</v>
      </c>
      <c r="L13160" t="s">
        <v>23</v>
      </c>
      <c r="M13160" t="s">
        <v>26850</v>
      </c>
      <c r="N13160" t="s">
        <v>3256</v>
      </c>
      <c r="O13160" t="s">
        <v>28</v>
      </c>
      <c r="P13160">
        <v>30228</v>
      </c>
      <c r="Q13160">
        <v>363</v>
      </c>
      <c r="R13160" t="s">
        <v>23</v>
      </c>
      <c r="S13160" s="1" t="s">
        <v>34218</v>
      </c>
    </row>
    <row r="13161" spans="1:19" x14ac:dyDescent="0.25">
      <c r="A13161">
        <v>101365477</v>
      </c>
      <c r="B13161" t="s">
        <v>26542</v>
      </c>
      <c r="C13161" t="s">
        <v>1153</v>
      </c>
      <c r="G13161" t="s">
        <v>28575</v>
      </c>
      <c r="H13161" t="s">
        <v>2473</v>
      </c>
      <c r="I13161" t="s">
        <v>178</v>
      </c>
      <c r="J13161">
        <v>44149</v>
      </c>
      <c r="K13161">
        <v>1068</v>
      </c>
      <c r="L13161" t="s">
        <v>23</v>
      </c>
      <c r="M13161" t="s">
        <v>28575</v>
      </c>
      <c r="N13161" t="s">
        <v>2473</v>
      </c>
      <c r="O13161" t="s">
        <v>178</v>
      </c>
      <c r="P13161">
        <v>44149</v>
      </c>
      <c r="Q13161">
        <v>1068</v>
      </c>
      <c r="R13161" t="s">
        <v>23</v>
      </c>
      <c r="S13161" s="1" t="s">
        <v>34218</v>
      </c>
    </row>
    <row r="13162" spans="1:19" x14ac:dyDescent="0.25">
      <c r="A13162">
        <v>101447816</v>
      </c>
      <c r="B13162" t="s">
        <v>28576</v>
      </c>
      <c r="C13162" t="s">
        <v>158</v>
      </c>
      <c r="G13162" t="s">
        <v>28577</v>
      </c>
      <c r="H13162" t="s">
        <v>2191</v>
      </c>
      <c r="I13162" t="s">
        <v>22</v>
      </c>
      <c r="J13162">
        <v>91224</v>
      </c>
      <c r="K13162">
        <v>674</v>
      </c>
      <c r="L13162" t="s">
        <v>23</v>
      </c>
      <c r="M13162" t="s">
        <v>28577</v>
      </c>
      <c r="N13162" t="s">
        <v>2191</v>
      </c>
      <c r="O13162" t="s">
        <v>22</v>
      </c>
      <c r="P13162">
        <v>91224</v>
      </c>
      <c r="Q13162">
        <v>674</v>
      </c>
      <c r="R13162" t="s">
        <v>23</v>
      </c>
      <c r="S13162" s="1" t="s">
        <v>34218</v>
      </c>
    </row>
    <row r="13163" spans="1:19" x14ac:dyDescent="0.25">
      <c r="A13163">
        <v>101223499</v>
      </c>
      <c r="B13163" t="s">
        <v>28578</v>
      </c>
      <c r="C13163" t="s">
        <v>2518</v>
      </c>
      <c r="H13163" t="s">
        <v>299</v>
      </c>
      <c r="I13163" t="s">
        <v>22</v>
      </c>
      <c r="J13163">
        <v>90026</v>
      </c>
      <c r="L13163" t="s">
        <v>23</v>
      </c>
      <c r="N13163" t="s">
        <v>299</v>
      </c>
      <c r="O13163" t="s">
        <v>22</v>
      </c>
      <c r="P13163">
        <v>90026</v>
      </c>
      <c r="R13163" t="s">
        <v>23</v>
      </c>
      <c r="S13163" s="1" t="s">
        <v>34218</v>
      </c>
    </row>
    <row r="13164" spans="1:19" x14ac:dyDescent="0.25">
      <c r="A13164">
        <v>100581576</v>
      </c>
      <c r="B13164" t="s">
        <v>3946</v>
      </c>
      <c r="C13164" t="s">
        <v>155</v>
      </c>
      <c r="G13164" t="s">
        <v>28579</v>
      </c>
      <c r="H13164" t="s">
        <v>19202</v>
      </c>
      <c r="I13164" t="s">
        <v>365</v>
      </c>
      <c r="J13164">
        <v>85122</v>
      </c>
      <c r="K13164">
        <v>4284</v>
      </c>
      <c r="L13164" t="s">
        <v>23</v>
      </c>
      <c r="M13164" t="s">
        <v>28579</v>
      </c>
      <c r="N13164" t="s">
        <v>19202</v>
      </c>
      <c r="O13164" t="s">
        <v>365</v>
      </c>
      <c r="P13164">
        <v>85122</v>
      </c>
      <c r="Q13164">
        <v>4284</v>
      </c>
      <c r="R13164" t="s">
        <v>23</v>
      </c>
      <c r="S13164" s="1" t="s">
        <v>34218</v>
      </c>
    </row>
    <row r="13165" spans="1:19" x14ac:dyDescent="0.25">
      <c r="A13165">
        <v>101130877</v>
      </c>
      <c r="B13165" t="s">
        <v>28580</v>
      </c>
      <c r="C13165" t="s">
        <v>1669</v>
      </c>
      <c r="G13165" t="s">
        <v>28581</v>
      </c>
      <c r="H13165" t="s">
        <v>1439</v>
      </c>
      <c r="I13165" t="s">
        <v>365</v>
      </c>
      <c r="J13165">
        <v>85743</v>
      </c>
      <c r="K13165">
        <v>8787</v>
      </c>
      <c r="L13165" t="s">
        <v>23</v>
      </c>
      <c r="M13165" t="s">
        <v>28581</v>
      </c>
      <c r="N13165" t="s">
        <v>1439</v>
      </c>
      <c r="O13165" t="s">
        <v>365</v>
      </c>
      <c r="P13165">
        <v>85743</v>
      </c>
      <c r="Q13165">
        <v>8787</v>
      </c>
      <c r="R13165" t="s">
        <v>23</v>
      </c>
      <c r="S13165" s="1" t="s">
        <v>34218</v>
      </c>
    </row>
    <row r="13166" spans="1:19" x14ac:dyDescent="0.25">
      <c r="A13166">
        <v>101453957</v>
      </c>
      <c r="B13166" t="s">
        <v>28582</v>
      </c>
      <c r="C13166" t="s">
        <v>535</v>
      </c>
      <c r="G13166" t="s">
        <v>28583</v>
      </c>
      <c r="H13166" t="s">
        <v>1261</v>
      </c>
      <c r="I13166" t="s">
        <v>22</v>
      </c>
      <c r="J13166">
        <v>95501</v>
      </c>
      <c r="K13166">
        <v>5626</v>
      </c>
      <c r="L13166" t="s">
        <v>23</v>
      </c>
      <c r="M13166" t="s">
        <v>28583</v>
      </c>
      <c r="N13166" t="s">
        <v>1261</v>
      </c>
      <c r="O13166" t="s">
        <v>22</v>
      </c>
      <c r="P13166">
        <v>95501</v>
      </c>
      <c r="Q13166">
        <v>5626</v>
      </c>
      <c r="R13166" t="s">
        <v>23</v>
      </c>
      <c r="S13166" s="1" t="s">
        <v>34218</v>
      </c>
    </row>
    <row r="13167" spans="1:19" x14ac:dyDescent="0.25">
      <c r="A13167">
        <v>101472169</v>
      </c>
      <c r="B13167" t="s">
        <v>28584</v>
      </c>
      <c r="C13167" t="s">
        <v>25</v>
      </c>
      <c r="G13167" t="s">
        <v>28585</v>
      </c>
      <c r="H13167" t="s">
        <v>12392</v>
      </c>
      <c r="I13167" t="s">
        <v>22</v>
      </c>
      <c r="J13167">
        <v>94019</v>
      </c>
      <c r="K13167">
        <v>1632</v>
      </c>
      <c r="L13167" t="s">
        <v>23</v>
      </c>
      <c r="M13167" t="s">
        <v>28585</v>
      </c>
      <c r="N13167" t="s">
        <v>12392</v>
      </c>
      <c r="O13167" t="s">
        <v>22</v>
      </c>
      <c r="P13167">
        <v>94019</v>
      </c>
      <c r="Q13167">
        <v>1632</v>
      </c>
      <c r="R13167" t="s">
        <v>23</v>
      </c>
      <c r="S13167" s="1" t="s">
        <v>34218</v>
      </c>
    </row>
    <row r="13168" spans="1:19" x14ac:dyDescent="0.25">
      <c r="A13168">
        <v>101449465</v>
      </c>
      <c r="B13168" t="s">
        <v>28586</v>
      </c>
      <c r="C13168" t="s">
        <v>535</v>
      </c>
      <c r="G13168" t="s">
        <v>28587</v>
      </c>
      <c r="H13168" t="s">
        <v>2359</v>
      </c>
      <c r="I13168" t="s">
        <v>22</v>
      </c>
      <c r="J13168">
        <v>92672</v>
      </c>
      <c r="K13168">
        <v>5285</v>
      </c>
      <c r="L13168" t="s">
        <v>23</v>
      </c>
      <c r="M13168" t="s">
        <v>28587</v>
      </c>
      <c r="N13168" t="s">
        <v>2359</v>
      </c>
      <c r="O13168" t="s">
        <v>22</v>
      </c>
      <c r="P13168">
        <v>92672</v>
      </c>
      <c r="Q13168">
        <v>5285</v>
      </c>
      <c r="R13168" t="s">
        <v>23</v>
      </c>
      <c r="S13168" s="1" t="s">
        <v>34218</v>
      </c>
    </row>
    <row r="13169" spans="1:19" x14ac:dyDescent="0.25">
      <c r="A13169">
        <v>100880954</v>
      </c>
      <c r="B13169" t="s">
        <v>12478</v>
      </c>
      <c r="C13169" t="s">
        <v>535</v>
      </c>
      <c r="G13169" t="s">
        <v>28588</v>
      </c>
      <c r="H13169" t="s">
        <v>4495</v>
      </c>
      <c r="I13169" t="s">
        <v>22</v>
      </c>
      <c r="J13169">
        <v>91020</v>
      </c>
      <c r="K13169">
        <v>1643</v>
      </c>
      <c r="L13169" t="s">
        <v>23</v>
      </c>
      <c r="M13169" t="s">
        <v>28588</v>
      </c>
      <c r="N13169" t="s">
        <v>4495</v>
      </c>
      <c r="O13169" t="s">
        <v>22</v>
      </c>
      <c r="P13169">
        <v>91020</v>
      </c>
      <c r="Q13169">
        <v>1643</v>
      </c>
      <c r="R13169" t="s">
        <v>23</v>
      </c>
      <c r="S13169" s="1" t="s">
        <v>34218</v>
      </c>
    </row>
    <row r="13170" spans="1:19" x14ac:dyDescent="0.25">
      <c r="A13170">
        <v>101451334</v>
      </c>
      <c r="B13170" t="s">
        <v>2637</v>
      </c>
      <c r="C13170" t="s">
        <v>313</v>
      </c>
      <c r="G13170" t="s">
        <v>28589</v>
      </c>
      <c r="H13170" t="s">
        <v>17160</v>
      </c>
      <c r="I13170" t="s">
        <v>22</v>
      </c>
      <c r="J13170">
        <v>96067</v>
      </c>
      <c r="K13170">
        <v>9045</v>
      </c>
      <c r="L13170" t="s">
        <v>23</v>
      </c>
      <c r="M13170" t="s">
        <v>28589</v>
      </c>
      <c r="N13170" t="s">
        <v>17160</v>
      </c>
      <c r="O13170" t="s">
        <v>22</v>
      </c>
      <c r="P13170">
        <v>96067</v>
      </c>
      <c r="Q13170">
        <v>9045</v>
      </c>
      <c r="R13170" t="s">
        <v>23</v>
      </c>
      <c r="S13170" s="1" t="s">
        <v>34218</v>
      </c>
    </row>
    <row r="13171" spans="1:19" x14ac:dyDescent="0.25">
      <c r="A13171">
        <v>101452345</v>
      </c>
      <c r="B13171" t="s">
        <v>14351</v>
      </c>
      <c r="C13171" t="s">
        <v>14352</v>
      </c>
      <c r="G13171" t="s">
        <v>14353</v>
      </c>
      <c r="H13171" t="s">
        <v>14354</v>
      </c>
      <c r="I13171" t="s">
        <v>117</v>
      </c>
      <c r="J13171">
        <v>13361</v>
      </c>
      <c r="K13171">
        <v>36</v>
      </c>
      <c r="L13171" t="s">
        <v>23</v>
      </c>
      <c r="M13171" t="s">
        <v>14353</v>
      </c>
      <c r="N13171" t="s">
        <v>14354</v>
      </c>
      <c r="O13171" t="s">
        <v>117</v>
      </c>
      <c r="P13171">
        <v>13361</v>
      </c>
      <c r="Q13171">
        <v>36</v>
      </c>
      <c r="R13171" t="s">
        <v>23</v>
      </c>
      <c r="S13171" s="1" t="s">
        <v>34218</v>
      </c>
    </row>
    <row r="13172" spans="1:19" x14ac:dyDescent="0.25">
      <c r="A13172">
        <v>100695483</v>
      </c>
      <c r="B13172" t="s">
        <v>1370</v>
      </c>
      <c r="C13172" t="s">
        <v>2518</v>
      </c>
      <c r="F13172" t="str">
        <f>"7203449122"</f>
        <v>7203449122</v>
      </c>
      <c r="G13172" t="s">
        <v>28590</v>
      </c>
      <c r="H13172" t="s">
        <v>17585</v>
      </c>
      <c r="I13172" t="s">
        <v>71</v>
      </c>
      <c r="J13172">
        <v>80129</v>
      </c>
      <c r="K13172">
        <v>5462</v>
      </c>
      <c r="L13172" t="s">
        <v>23</v>
      </c>
      <c r="M13172" t="s">
        <v>28590</v>
      </c>
      <c r="N13172" t="s">
        <v>17585</v>
      </c>
      <c r="O13172" t="s">
        <v>71</v>
      </c>
      <c r="P13172">
        <v>80129</v>
      </c>
      <c r="Q13172">
        <v>5462</v>
      </c>
      <c r="R13172" t="s">
        <v>23</v>
      </c>
      <c r="S13172" s="1" t="s">
        <v>34218</v>
      </c>
    </row>
    <row r="13173" spans="1:19" x14ac:dyDescent="0.25">
      <c r="A13173">
        <v>101474346</v>
      </c>
      <c r="B13173" t="s">
        <v>1970</v>
      </c>
      <c r="C13173" t="s">
        <v>172</v>
      </c>
      <c r="G13173" t="s">
        <v>28591</v>
      </c>
      <c r="H13173" t="s">
        <v>9225</v>
      </c>
      <c r="I13173" t="s">
        <v>914</v>
      </c>
      <c r="J13173">
        <v>37771</v>
      </c>
      <c r="K13173">
        <v>7795</v>
      </c>
      <c r="L13173" t="s">
        <v>23</v>
      </c>
      <c r="M13173" t="s">
        <v>28591</v>
      </c>
      <c r="N13173" t="s">
        <v>9225</v>
      </c>
      <c r="O13173" t="s">
        <v>914</v>
      </c>
      <c r="P13173">
        <v>37771</v>
      </c>
      <c r="Q13173">
        <v>7795</v>
      </c>
      <c r="R13173" t="s">
        <v>23</v>
      </c>
      <c r="S13173" s="1" t="s">
        <v>34218</v>
      </c>
    </row>
    <row r="13174" spans="1:19" x14ac:dyDescent="0.25">
      <c r="A13174">
        <v>101260319</v>
      </c>
      <c r="B13174" t="s">
        <v>28592</v>
      </c>
      <c r="C13174" t="s">
        <v>208</v>
      </c>
      <c r="G13174" t="s">
        <v>28593</v>
      </c>
      <c r="H13174" t="s">
        <v>814</v>
      </c>
      <c r="I13174" t="s">
        <v>662</v>
      </c>
      <c r="J13174">
        <v>2842</v>
      </c>
      <c r="L13174" t="s">
        <v>23</v>
      </c>
      <c r="M13174" t="s">
        <v>28593</v>
      </c>
      <c r="N13174" t="s">
        <v>814</v>
      </c>
      <c r="O13174" t="s">
        <v>662</v>
      </c>
      <c r="P13174">
        <v>2842</v>
      </c>
      <c r="R13174" t="s">
        <v>23</v>
      </c>
      <c r="S13174" s="1" t="s">
        <v>34218</v>
      </c>
    </row>
    <row r="13175" spans="1:19" x14ac:dyDescent="0.25">
      <c r="A13175">
        <v>101276624</v>
      </c>
      <c r="B13175" t="s">
        <v>21561</v>
      </c>
      <c r="C13175" t="s">
        <v>11904</v>
      </c>
      <c r="G13175" t="s">
        <v>28594</v>
      </c>
      <c r="H13175" t="s">
        <v>299</v>
      </c>
      <c r="I13175" t="s">
        <v>22</v>
      </c>
      <c r="J13175">
        <v>90028</v>
      </c>
      <c r="K13175">
        <v>5410</v>
      </c>
      <c r="L13175" t="s">
        <v>23</v>
      </c>
      <c r="M13175" t="s">
        <v>28594</v>
      </c>
      <c r="N13175" t="s">
        <v>299</v>
      </c>
      <c r="O13175" t="s">
        <v>22</v>
      </c>
      <c r="P13175">
        <v>90028</v>
      </c>
      <c r="Q13175">
        <v>5410</v>
      </c>
      <c r="R13175" t="s">
        <v>23</v>
      </c>
      <c r="S13175" s="1" t="s">
        <v>34218</v>
      </c>
    </row>
    <row r="13176" spans="1:19" x14ac:dyDescent="0.25">
      <c r="A13176">
        <v>101480571</v>
      </c>
      <c r="B13176" t="s">
        <v>9079</v>
      </c>
      <c r="C13176" t="s">
        <v>2497</v>
      </c>
      <c r="G13176" t="s">
        <v>28595</v>
      </c>
      <c r="H13176" t="s">
        <v>169</v>
      </c>
      <c r="I13176" t="s">
        <v>170</v>
      </c>
      <c r="J13176">
        <v>20002</v>
      </c>
      <c r="L13176" t="s">
        <v>23</v>
      </c>
      <c r="M13176" t="s">
        <v>28595</v>
      </c>
      <c r="N13176" t="s">
        <v>169</v>
      </c>
      <c r="O13176" t="s">
        <v>170</v>
      </c>
      <c r="P13176">
        <v>20002</v>
      </c>
      <c r="R13176" t="s">
        <v>23</v>
      </c>
      <c r="S13176" s="1" t="s">
        <v>34218</v>
      </c>
    </row>
    <row r="13177" spans="1:19" x14ac:dyDescent="0.25">
      <c r="A13177">
        <v>101383927</v>
      </c>
      <c r="B13177" t="s">
        <v>4173</v>
      </c>
      <c r="C13177" t="s">
        <v>274</v>
      </c>
      <c r="G13177" t="s">
        <v>28596</v>
      </c>
      <c r="H13177" t="s">
        <v>8296</v>
      </c>
      <c r="I13177" t="s">
        <v>984</v>
      </c>
      <c r="J13177">
        <v>96753</v>
      </c>
      <c r="K13177">
        <v>8614</v>
      </c>
      <c r="L13177" t="s">
        <v>23</v>
      </c>
      <c r="M13177" t="s">
        <v>28596</v>
      </c>
      <c r="N13177" t="s">
        <v>8296</v>
      </c>
      <c r="O13177" t="s">
        <v>984</v>
      </c>
      <c r="P13177">
        <v>96753</v>
      </c>
      <c r="Q13177">
        <v>8614</v>
      </c>
      <c r="R13177" t="s">
        <v>23</v>
      </c>
      <c r="S13177" s="1" t="s">
        <v>34218</v>
      </c>
    </row>
    <row r="13178" spans="1:19" x14ac:dyDescent="0.25">
      <c r="A13178">
        <v>101471248</v>
      </c>
      <c r="B13178" t="s">
        <v>28597</v>
      </c>
      <c r="C13178" t="s">
        <v>28598</v>
      </c>
      <c r="G13178" t="s">
        <v>28599</v>
      </c>
      <c r="H13178" t="s">
        <v>595</v>
      </c>
      <c r="I13178" t="s">
        <v>22</v>
      </c>
      <c r="J13178">
        <v>94555</v>
      </c>
      <c r="K13178">
        <v>2907</v>
      </c>
      <c r="L13178" t="s">
        <v>23</v>
      </c>
      <c r="M13178" t="s">
        <v>28599</v>
      </c>
      <c r="N13178" t="s">
        <v>595</v>
      </c>
      <c r="O13178" t="s">
        <v>22</v>
      </c>
      <c r="P13178">
        <v>94555</v>
      </c>
      <c r="Q13178">
        <v>2907</v>
      </c>
      <c r="R13178" t="s">
        <v>23</v>
      </c>
      <c r="S13178" s="1" t="s">
        <v>34218</v>
      </c>
    </row>
    <row r="13179" spans="1:19" x14ac:dyDescent="0.25">
      <c r="A13179">
        <v>100983926</v>
      </c>
      <c r="B13179" t="s">
        <v>28600</v>
      </c>
      <c r="C13179" t="s">
        <v>787</v>
      </c>
      <c r="G13179" t="s">
        <v>28601</v>
      </c>
      <c r="H13179" t="s">
        <v>3972</v>
      </c>
      <c r="I13179" t="s">
        <v>1387</v>
      </c>
      <c r="J13179">
        <v>35235</v>
      </c>
      <c r="K13179">
        <v>2961</v>
      </c>
      <c r="L13179" t="s">
        <v>23</v>
      </c>
      <c r="M13179" t="s">
        <v>28601</v>
      </c>
      <c r="N13179" t="s">
        <v>3972</v>
      </c>
      <c r="O13179" t="s">
        <v>1387</v>
      </c>
      <c r="P13179">
        <v>35235</v>
      </c>
      <c r="Q13179">
        <v>2961</v>
      </c>
      <c r="R13179" t="s">
        <v>23</v>
      </c>
      <c r="S13179" s="1" t="s">
        <v>34218</v>
      </c>
    </row>
    <row r="13180" spans="1:19" x14ac:dyDescent="0.25">
      <c r="A13180">
        <v>101472216</v>
      </c>
      <c r="B13180" t="s">
        <v>4388</v>
      </c>
      <c r="C13180" t="s">
        <v>28602</v>
      </c>
      <c r="G13180" t="s">
        <v>28603</v>
      </c>
      <c r="H13180" t="s">
        <v>11842</v>
      </c>
      <c r="I13180" t="s">
        <v>57</v>
      </c>
      <c r="J13180">
        <v>46142</v>
      </c>
      <c r="K13180">
        <v>7721</v>
      </c>
      <c r="L13180" t="s">
        <v>23</v>
      </c>
      <c r="M13180" t="s">
        <v>28603</v>
      </c>
      <c r="N13180" t="s">
        <v>11842</v>
      </c>
      <c r="O13180" t="s">
        <v>57</v>
      </c>
      <c r="P13180">
        <v>46142</v>
      </c>
      <c r="Q13180">
        <v>7721</v>
      </c>
      <c r="R13180" t="s">
        <v>23</v>
      </c>
      <c r="S13180" s="1" t="s">
        <v>34218</v>
      </c>
    </row>
    <row r="13181" spans="1:19" x14ac:dyDescent="0.25">
      <c r="A13181">
        <v>101474423</v>
      </c>
      <c r="B13181" t="s">
        <v>24001</v>
      </c>
      <c r="C13181" t="s">
        <v>28604</v>
      </c>
      <c r="G13181" t="s">
        <v>24003</v>
      </c>
      <c r="H13181" t="s">
        <v>17783</v>
      </c>
      <c r="I13181" t="s">
        <v>148</v>
      </c>
      <c r="J13181">
        <v>20912</v>
      </c>
      <c r="K13181">
        <v>6235</v>
      </c>
      <c r="L13181" t="s">
        <v>23</v>
      </c>
      <c r="M13181" t="s">
        <v>24003</v>
      </c>
      <c r="N13181" t="s">
        <v>17783</v>
      </c>
      <c r="O13181" t="s">
        <v>148</v>
      </c>
      <c r="P13181">
        <v>20912</v>
      </c>
      <c r="Q13181">
        <v>6235</v>
      </c>
      <c r="R13181" t="s">
        <v>23</v>
      </c>
      <c r="S13181" s="1" t="s">
        <v>34218</v>
      </c>
    </row>
    <row r="13182" spans="1:19" x14ac:dyDescent="0.25">
      <c r="A13182">
        <v>101474057</v>
      </c>
      <c r="B13182" t="s">
        <v>1220</v>
      </c>
      <c r="C13182" t="s">
        <v>12846</v>
      </c>
      <c r="G13182" t="s">
        <v>28605</v>
      </c>
      <c r="H13182" t="s">
        <v>2875</v>
      </c>
      <c r="I13182" t="s">
        <v>135</v>
      </c>
      <c r="J13182">
        <v>60031</v>
      </c>
      <c r="K13182">
        <v>1579</v>
      </c>
      <c r="L13182" t="s">
        <v>23</v>
      </c>
      <c r="M13182" t="s">
        <v>28605</v>
      </c>
      <c r="N13182" t="s">
        <v>2875</v>
      </c>
      <c r="O13182" t="s">
        <v>135</v>
      </c>
      <c r="P13182">
        <v>60031</v>
      </c>
      <c r="Q13182">
        <v>1579</v>
      </c>
      <c r="R13182" t="s">
        <v>23</v>
      </c>
      <c r="S13182" s="1" t="s">
        <v>34218</v>
      </c>
    </row>
    <row r="13183" spans="1:19" x14ac:dyDescent="0.25">
      <c r="A13183">
        <v>101300137</v>
      </c>
      <c r="B13183" t="s">
        <v>28606</v>
      </c>
      <c r="C13183" t="s">
        <v>1616</v>
      </c>
      <c r="G13183" t="s">
        <v>28607</v>
      </c>
      <c r="H13183" t="s">
        <v>2701</v>
      </c>
      <c r="I13183" t="s">
        <v>914</v>
      </c>
      <c r="J13183">
        <v>37064</v>
      </c>
      <c r="K13183">
        <v>4758</v>
      </c>
      <c r="L13183" t="s">
        <v>23</v>
      </c>
      <c r="M13183" t="s">
        <v>28607</v>
      </c>
      <c r="N13183" t="s">
        <v>2701</v>
      </c>
      <c r="O13183" t="s">
        <v>914</v>
      </c>
      <c r="P13183">
        <v>37064</v>
      </c>
      <c r="Q13183">
        <v>4758</v>
      </c>
      <c r="R13183" t="s">
        <v>23</v>
      </c>
      <c r="S13183" s="1" t="s">
        <v>34218</v>
      </c>
    </row>
    <row r="13184" spans="1:19" x14ac:dyDescent="0.25">
      <c r="A13184">
        <v>101428907</v>
      </c>
      <c r="B13184" t="s">
        <v>3650</v>
      </c>
      <c r="C13184" t="s">
        <v>286</v>
      </c>
      <c r="G13184" t="s">
        <v>7292</v>
      </c>
      <c r="H13184" t="s">
        <v>198</v>
      </c>
      <c r="I13184" t="s">
        <v>22</v>
      </c>
      <c r="J13184">
        <v>92116</v>
      </c>
      <c r="K13184">
        <v>4841</v>
      </c>
      <c r="L13184" t="s">
        <v>23</v>
      </c>
      <c r="M13184" t="s">
        <v>7292</v>
      </c>
      <c r="N13184" t="s">
        <v>198</v>
      </c>
      <c r="O13184" t="s">
        <v>22</v>
      </c>
      <c r="P13184">
        <v>92116</v>
      </c>
      <c r="Q13184">
        <v>4841</v>
      </c>
      <c r="R13184" t="s">
        <v>23</v>
      </c>
      <c r="S13184" s="1" t="s">
        <v>34218</v>
      </c>
    </row>
    <row r="13185" spans="1:19" x14ac:dyDescent="0.25">
      <c r="A13185">
        <v>101009937</v>
      </c>
      <c r="B13185" t="s">
        <v>28608</v>
      </c>
      <c r="C13185" t="s">
        <v>1306</v>
      </c>
      <c r="G13185" t="s">
        <v>28609</v>
      </c>
      <c r="H13185" t="s">
        <v>88</v>
      </c>
      <c r="I13185" t="s">
        <v>22</v>
      </c>
      <c r="J13185">
        <v>94610</v>
      </c>
      <c r="K13185">
        <v>3855</v>
      </c>
      <c r="L13185" t="s">
        <v>23</v>
      </c>
      <c r="M13185" t="s">
        <v>28609</v>
      </c>
      <c r="N13185" t="s">
        <v>88</v>
      </c>
      <c r="O13185" t="s">
        <v>22</v>
      </c>
      <c r="P13185">
        <v>94610</v>
      </c>
      <c r="Q13185">
        <v>3855</v>
      </c>
      <c r="R13185" t="s">
        <v>23</v>
      </c>
      <c r="S13185" s="1" t="s">
        <v>34218</v>
      </c>
    </row>
    <row r="13186" spans="1:19" x14ac:dyDescent="0.25">
      <c r="A13186">
        <v>101275085</v>
      </c>
      <c r="B13186" t="s">
        <v>4477</v>
      </c>
      <c r="C13186" t="s">
        <v>1374</v>
      </c>
      <c r="G13186" t="s">
        <v>28610</v>
      </c>
      <c r="H13186" t="s">
        <v>1571</v>
      </c>
      <c r="I13186" t="s">
        <v>1226</v>
      </c>
      <c r="J13186">
        <v>39501</v>
      </c>
      <c r="K13186">
        <v>1325</v>
      </c>
      <c r="L13186" t="s">
        <v>23</v>
      </c>
      <c r="M13186" t="s">
        <v>28610</v>
      </c>
      <c r="N13186" t="s">
        <v>1571</v>
      </c>
      <c r="O13186" t="s">
        <v>1226</v>
      </c>
      <c r="P13186">
        <v>39501</v>
      </c>
      <c r="Q13186">
        <v>1325</v>
      </c>
      <c r="R13186" t="s">
        <v>23</v>
      </c>
      <c r="S13186" s="1" t="s">
        <v>34218</v>
      </c>
    </row>
    <row r="13187" spans="1:19" x14ac:dyDescent="0.25">
      <c r="A13187">
        <v>100515906</v>
      </c>
      <c r="B13187" t="s">
        <v>23561</v>
      </c>
      <c r="C13187" t="s">
        <v>440</v>
      </c>
      <c r="G13187" t="s">
        <v>28611</v>
      </c>
      <c r="H13187" t="s">
        <v>28612</v>
      </c>
      <c r="I13187" t="s">
        <v>241</v>
      </c>
      <c r="J13187">
        <v>67470</v>
      </c>
      <c r="K13187">
        <v>8506</v>
      </c>
      <c r="L13187" t="s">
        <v>23</v>
      </c>
      <c r="M13187" t="s">
        <v>28611</v>
      </c>
      <c r="N13187" t="s">
        <v>28612</v>
      </c>
      <c r="O13187" t="s">
        <v>241</v>
      </c>
      <c r="P13187">
        <v>67470</v>
      </c>
      <c r="Q13187">
        <v>8506</v>
      </c>
      <c r="R13187" t="s">
        <v>23</v>
      </c>
      <c r="S13187" s="1" t="s">
        <v>34218</v>
      </c>
    </row>
    <row r="13188" spans="1:19" x14ac:dyDescent="0.25">
      <c r="A13188">
        <v>101455751</v>
      </c>
      <c r="B13188" t="s">
        <v>28613</v>
      </c>
      <c r="C13188" t="s">
        <v>3670</v>
      </c>
      <c r="G13188" t="s">
        <v>28614</v>
      </c>
      <c r="H13188" t="s">
        <v>15670</v>
      </c>
      <c r="I13188" t="s">
        <v>71</v>
      </c>
      <c r="J13188">
        <v>80106</v>
      </c>
      <c r="K13188">
        <v>9234</v>
      </c>
      <c r="L13188" t="s">
        <v>23</v>
      </c>
      <c r="M13188" t="s">
        <v>28614</v>
      </c>
      <c r="N13188" t="s">
        <v>15670</v>
      </c>
      <c r="O13188" t="s">
        <v>71</v>
      </c>
      <c r="P13188">
        <v>80106</v>
      </c>
      <c r="Q13188">
        <v>9234</v>
      </c>
      <c r="R13188" t="s">
        <v>23</v>
      </c>
      <c r="S13188" s="1" t="s">
        <v>34218</v>
      </c>
    </row>
    <row r="13189" spans="1:19" x14ac:dyDescent="0.25">
      <c r="A13189">
        <v>101419477</v>
      </c>
      <c r="B13189" t="s">
        <v>3011</v>
      </c>
      <c r="C13189" t="s">
        <v>7844</v>
      </c>
      <c r="G13189" t="s">
        <v>28615</v>
      </c>
      <c r="H13189" t="s">
        <v>28616</v>
      </c>
      <c r="I13189" t="s">
        <v>236</v>
      </c>
      <c r="J13189" t="s">
        <v>28617</v>
      </c>
      <c r="K13189">
        <v>408</v>
      </c>
      <c r="L13189" t="s">
        <v>23</v>
      </c>
      <c r="M13189" t="s">
        <v>28615</v>
      </c>
      <c r="N13189" t="s">
        <v>28616</v>
      </c>
      <c r="O13189" t="s">
        <v>236</v>
      </c>
      <c r="P13189" t="s">
        <v>28617</v>
      </c>
      <c r="Q13189">
        <v>408</v>
      </c>
      <c r="R13189" t="s">
        <v>23</v>
      </c>
      <c r="S13189" s="1" t="s">
        <v>34218</v>
      </c>
    </row>
    <row r="13190" spans="1:19" x14ac:dyDescent="0.25">
      <c r="A13190">
        <v>101451759</v>
      </c>
      <c r="B13190" t="s">
        <v>28618</v>
      </c>
      <c r="C13190" t="s">
        <v>4284</v>
      </c>
      <c r="G13190" t="s">
        <v>28619</v>
      </c>
      <c r="H13190" t="s">
        <v>6929</v>
      </c>
      <c r="I13190" t="s">
        <v>52</v>
      </c>
      <c r="J13190">
        <v>33898</v>
      </c>
      <c r="K13190">
        <v>6608</v>
      </c>
      <c r="L13190" t="s">
        <v>23</v>
      </c>
      <c r="M13190" t="s">
        <v>28619</v>
      </c>
      <c r="N13190" t="s">
        <v>6929</v>
      </c>
      <c r="O13190" t="s">
        <v>52</v>
      </c>
      <c r="P13190">
        <v>33898</v>
      </c>
      <c r="Q13190">
        <v>6608</v>
      </c>
      <c r="R13190" t="s">
        <v>23</v>
      </c>
      <c r="S13190" s="1" t="s">
        <v>34218</v>
      </c>
    </row>
    <row r="13191" spans="1:19" x14ac:dyDescent="0.25">
      <c r="A13191">
        <v>100713506</v>
      </c>
      <c r="B13191" t="s">
        <v>28620</v>
      </c>
      <c r="C13191" t="s">
        <v>155</v>
      </c>
      <c r="F13191" t="str">
        <f>"2126915301"</f>
        <v>2126915301</v>
      </c>
      <c r="G13191" t="s">
        <v>28621</v>
      </c>
      <c r="H13191" t="s">
        <v>653</v>
      </c>
      <c r="I13191" t="s">
        <v>117</v>
      </c>
      <c r="J13191">
        <v>10011</v>
      </c>
      <c r="K13191">
        <v>2435</v>
      </c>
      <c r="L13191" t="s">
        <v>23</v>
      </c>
      <c r="M13191" t="s">
        <v>28621</v>
      </c>
      <c r="N13191" t="s">
        <v>653</v>
      </c>
      <c r="O13191" t="s">
        <v>117</v>
      </c>
      <c r="P13191">
        <v>10011</v>
      </c>
      <c r="Q13191">
        <v>2435</v>
      </c>
      <c r="R13191" t="s">
        <v>23</v>
      </c>
      <c r="S13191" s="1" t="s">
        <v>34218</v>
      </c>
    </row>
    <row r="13192" spans="1:19" x14ac:dyDescent="0.25">
      <c r="A13192">
        <v>101451825</v>
      </c>
      <c r="B13192" t="s">
        <v>28294</v>
      </c>
      <c r="C13192" t="s">
        <v>959</v>
      </c>
      <c r="G13192" t="s">
        <v>28622</v>
      </c>
      <c r="H13192" t="s">
        <v>16160</v>
      </c>
      <c r="I13192" t="s">
        <v>22</v>
      </c>
      <c r="J13192">
        <v>95470</v>
      </c>
      <c r="K13192">
        <v>75</v>
      </c>
      <c r="L13192" t="s">
        <v>23</v>
      </c>
      <c r="M13192" t="s">
        <v>28622</v>
      </c>
      <c r="N13192" t="s">
        <v>16160</v>
      </c>
      <c r="O13192" t="s">
        <v>22</v>
      </c>
      <c r="P13192">
        <v>95470</v>
      </c>
      <c r="Q13192">
        <v>75</v>
      </c>
      <c r="R13192" t="s">
        <v>23</v>
      </c>
      <c r="S13192" s="1" t="s">
        <v>34218</v>
      </c>
    </row>
    <row r="13193" spans="1:19" x14ac:dyDescent="0.25">
      <c r="A13193">
        <v>101447344</v>
      </c>
      <c r="B13193" t="s">
        <v>6044</v>
      </c>
      <c r="C13193" t="s">
        <v>7445</v>
      </c>
      <c r="G13193" t="s">
        <v>6045</v>
      </c>
      <c r="H13193" t="s">
        <v>6046</v>
      </c>
      <c r="I13193" t="s">
        <v>126</v>
      </c>
      <c r="J13193">
        <v>65026</v>
      </c>
      <c r="K13193">
        <v>4875</v>
      </c>
      <c r="L13193" t="s">
        <v>23</v>
      </c>
      <c r="M13193" t="s">
        <v>6045</v>
      </c>
      <c r="N13193" t="s">
        <v>6046</v>
      </c>
      <c r="O13193" t="s">
        <v>126</v>
      </c>
      <c r="P13193">
        <v>65026</v>
      </c>
      <c r="Q13193">
        <v>4875</v>
      </c>
      <c r="R13193" t="s">
        <v>23</v>
      </c>
      <c r="S13193" s="1" t="s">
        <v>34218</v>
      </c>
    </row>
    <row r="13194" spans="1:19" x14ac:dyDescent="0.25">
      <c r="A13194">
        <v>101405433</v>
      </c>
      <c r="B13194" t="s">
        <v>9723</v>
      </c>
      <c r="C13194" t="s">
        <v>274</v>
      </c>
      <c r="G13194" t="s">
        <v>28623</v>
      </c>
      <c r="H13194" t="s">
        <v>198</v>
      </c>
      <c r="I13194" t="s">
        <v>22</v>
      </c>
      <c r="J13194">
        <v>92103</v>
      </c>
      <c r="K13194">
        <v>6063</v>
      </c>
      <c r="L13194" t="s">
        <v>23</v>
      </c>
      <c r="M13194" t="s">
        <v>28623</v>
      </c>
      <c r="N13194" t="s">
        <v>198</v>
      </c>
      <c r="O13194" t="s">
        <v>22</v>
      </c>
      <c r="P13194">
        <v>92103</v>
      </c>
      <c r="Q13194">
        <v>6063</v>
      </c>
      <c r="R13194" t="s">
        <v>23</v>
      </c>
      <c r="S13194" s="1" t="s">
        <v>34218</v>
      </c>
    </row>
    <row r="13195" spans="1:19" x14ac:dyDescent="0.25">
      <c r="A13195">
        <v>101216992</v>
      </c>
      <c r="B13195" t="s">
        <v>28624</v>
      </c>
      <c r="C13195" t="s">
        <v>403</v>
      </c>
      <c r="G13195" t="s">
        <v>28625</v>
      </c>
      <c r="H13195" t="s">
        <v>18319</v>
      </c>
      <c r="I13195" t="s">
        <v>117</v>
      </c>
      <c r="J13195">
        <v>11374</v>
      </c>
      <c r="K13195">
        <v>2734</v>
      </c>
      <c r="L13195" t="s">
        <v>23</v>
      </c>
      <c r="M13195" t="s">
        <v>28625</v>
      </c>
      <c r="N13195" t="s">
        <v>18319</v>
      </c>
      <c r="O13195" t="s">
        <v>117</v>
      </c>
      <c r="P13195">
        <v>11374</v>
      </c>
      <c r="Q13195">
        <v>2734</v>
      </c>
      <c r="R13195" t="s">
        <v>23</v>
      </c>
      <c r="S13195" s="1" t="s">
        <v>34218</v>
      </c>
    </row>
    <row r="13196" spans="1:19" x14ac:dyDescent="0.25">
      <c r="A13196">
        <v>101308689</v>
      </c>
      <c r="B13196" t="s">
        <v>28626</v>
      </c>
      <c r="C13196" t="s">
        <v>6153</v>
      </c>
      <c r="G13196" t="s">
        <v>28627</v>
      </c>
      <c r="H13196" t="s">
        <v>2023</v>
      </c>
      <c r="I13196" t="s">
        <v>43</v>
      </c>
      <c r="J13196">
        <v>97004</v>
      </c>
      <c r="K13196">
        <v>9783</v>
      </c>
      <c r="L13196" t="s">
        <v>23</v>
      </c>
      <c r="M13196" t="s">
        <v>28627</v>
      </c>
      <c r="N13196" t="s">
        <v>2023</v>
      </c>
      <c r="O13196" t="s">
        <v>43</v>
      </c>
      <c r="P13196">
        <v>97004</v>
      </c>
      <c r="Q13196">
        <v>9783</v>
      </c>
      <c r="R13196" t="s">
        <v>23</v>
      </c>
      <c r="S13196" s="1" t="s">
        <v>34218</v>
      </c>
    </row>
    <row r="13197" spans="1:19" x14ac:dyDescent="0.25">
      <c r="A13197">
        <v>101420515</v>
      </c>
      <c r="B13197" t="s">
        <v>28628</v>
      </c>
      <c r="C13197" t="s">
        <v>874</v>
      </c>
      <c r="G13197" t="s">
        <v>28629</v>
      </c>
      <c r="H13197" t="s">
        <v>5367</v>
      </c>
      <c r="I13197" t="s">
        <v>140</v>
      </c>
      <c r="J13197">
        <v>48659</v>
      </c>
      <c r="K13197">
        <v>9432</v>
      </c>
      <c r="L13197" t="s">
        <v>23</v>
      </c>
      <c r="M13197" t="s">
        <v>28629</v>
      </c>
      <c r="N13197" t="s">
        <v>5367</v>
      </c>
      <c r="O13197" t="s">
        <v>140</v>
      </c>
      <c r="P13197">
        <v>48659</v>
      </c>
      <c r="Q13197">
        <v>9432</v>
      </c>
      <c r="R13197" t="s">
        <v>23</v>
      </c>
      <c r="S13197" s="1" t="s">
        <v>34218</v>
      </c>
    </row>
    <row r="13198" spans="1:19" x14ac:dyDescent="0.25">
      <c r="A13198">
        <v>101467218</v>
      </c>
      <c r="B13198" t="s">
        <v>28630</v>
      </c>
      <c r="C13198" t="s">
        <v>699</v>
      </c>
      <c r="G13198" t="s">
        <v>28631</v>
      </c>
      <c r="H13198" t="s">
        <v>3091</v>
      </c>
      <c r="I13198" t="s">
        <v>22</v>
      </c>
      <c r="J13198">
        <v>90245</v>
      </c>
      <c r="K13198">
        <v>3116</v>
      </c>
      <c r="L13198" t="s">
        <v>23</v>
      </c>
      <c r="M13198" t="s">
        <v>28631</v>
      </c>
      <c r="N13198" t="s">
        <v>3091</v>
      </c>
      <c r="O13198" t="s">
        <v>22</v>
      </c>
      <c r="P13198">
        <v>90245</v>
      </c>
      <c r="Q13198">
        <v>3116</v>
      </c>
      <c r="R13198" t="s">
        <v>23</v>
      </c>
      <c r="S13198" s="1" t="s">
        <v>34218</v>
      </c>
    </row>
    <row r="13199" spans="1:19" x14ac:dyDescent="0.25">
      <c r="A13199">
        <v>101480597</v>
      </c>
      <c r="B13199" t="s">
        <v>7808</v>
      </c>
      <c r="C13199" t="s">
        <v>102</v>
      </c>
      <c r="G13199" t="s">
        <v>28632</v>
      </c>
      <c r="H13199" t="s">
        <v>7810</v>
      </c>
      <c r="I13199" t="s">
        <v>33</v>
      </c>
      <c r="J13199">
        <v>19020</v>
      </c>
      <c r="K13199">
        <v>1706</v>
      </c>
      <c r="L13199" t="s">
        <v>23</v>
      </c>
      <c r="M13199" t="s">
        <v>28632</v>
      </c>
      <c r="N13199" t="s">
        <v>7810</v>
      </c>
      <c r="O13199" t="s">
        <v>33</v>
      </c>
      <c r="P13199">
        <v>19020</v>
      </c>
      <c r="Q13199">
        <v>1706</v>
      </c>
      <c r="R13199" t="s">
        <v>23</v>
      </c>
      <c r="S13199" s="1" t="s">
        <v>34218</v>
      </c>
    </row>
    <row r="13200" spans="1:19" x14ac:dyDescent="0.25">
      <c r="A13200">
        <v>101480600</v>
      </c>
      <c r="B13200" t="s">
        <v>28633</v>
      </c>
      <c r="C13200" t="s">
        <v>513</v>
      </c>
      <c r="G13200" t="s">
        <v>12445</v>
      </c>
      <c r="H13200" t="s">
        <v>23524</v>
      </c>
      <c r="I13200" t="s">
        <v>84</v>
      </c>
      <c r="J13200">
        <v>98370</v>
      </c>
      <c r="K13200">
        <v>48</v>
      </c>
      <c r="L13200" t="s">
        <v>23</v>
      </c>
      <c r="M13200" t="s">
        <v>12445</v>
      </c>
      <c r="N13200" t="s">
        <v>23524</v>
      </c>
      <c r="O13200" t="s">
        <v>84</v>
      </c>
      <c r="P13200">
        <v>98370</v>
      </c>
      <c r="Q13200">
        <v>48</v>
      </c>
      <c r="R13200" t="s">
        <v>23</v>
      </c>
      <c r="S13200" s="1" t="s">
        <v>34218</v>
      </c>
    </row>
    <row r="13201" spans="1:19" x14ac:dyDescent="0.25">
      <c r="A13201">
        <v>100656900</v>
      </c>
      <c r="B13201" t="s">
        <v>28634</v>
      </c>
      <c r="C13201" t="s">
        <v>4488</v>
      </c>
      <c r="G13201" t="s">
        <v>28635</v>
      </c>
      <c r="H13201" t="s">
        <v>25504</v>
      </c>
      <c r="I13201" t="s">
        <v>71</v>
      </c>
      <c r="J13201">
        <v>80487</v>
      </c>
      <c r="K13201">
        <v>9075</v>
      </c>
      <c r="L13201" t="s">
        <v>23</v>
      </c>
      <c r="M13201" t="s">
        <v>28635</v>
      </c>
      <c r="N13201" t="s">
        <v>25504</v>
      </c>
      <c r="O13201" t="s">
        <v>71</v>
      </c>
      <c r="P13201">
        <v>80487</v>
      </c>
      <c r="Q13201">
        <v>9075</v>
      </c>
      <c r="R13201" t="s">
        <v>23</v>
      </c>
      <c r="S13201" s="1" t="s">
        <v>34218</v>
      </c>
    </row>
    <row r="13202" spans="1:19" x14ac:dyDescent="0.25">
      <c r="A13202">
        <v>101420776</v>
      </c>
      <c r="B13202" t="s">
        <v>276</v>
      </c>
      <c r="C13202" t="s">
        <v>28636</v>
      </c>
      <c r="G13202" t="s">
        <v>28637</v>
      </c>
      <c r="H13202" t="s">
        <v>28638</v>
      </c>
      <c r="I13202" t="s">
        <v>117</v>
      </c>
      <c r="J13202">
        <v>12409</v>
      </c>
      <c r="K13202">
        <v>5619</v>
      </c>
      <c r="L13202" t="s">
        <v>23</v>
      </c>
      <c r="M13202" t="s">
        <v>28637</v>
      </c>
      <c r="N13202" t="s">
        <v>28638</v>
      </c>
      <c r="O13202" t="s">
        <v>117</v>
      </c>
      <c r="P13202">
        <v>12409</v>
      </c>
      <c r="Q13202">
        <v>5619</v>
      </c>
      <c r="R13202" t="s">
        <v>23</v>
      </c>
      <c r="S13202" s="1" t="s">
        <v>34218</v>
      </c>
    </row>
    <row r="13203" spans="1:19" x14ac:dyDescent="0.25">
      <c r="A13203">
        <v>101455241</v>
      </c>
      <c r="B13203" t="s">
        <v>3705</v>
      </c>
      <c r="C13203" t="s">
        <v>479</v>
      </c>
      <c r="G13203" t="s">
        <v>28639</v>
      </c>
      <c r="H13203" t="s">
        <v>28640</v>
      </c>
      <c r="I13203" t="s">
        <v>250</v>
      </c>
      <c r="J13203">
        <v>7514</v>
      </c>
      <c r="K13203">
        <v>1079</v>
      </c>
      <c r="L13203" t="s">
        <v>23</v>
      </c>
      <c r="M13203" t="s">
        <v>28639</v>
      </c>
      <c r="N13203" t="s">
        <v>28640</v>
      </c>
      <c r="O13203" t="s">
        <v>250</v>
      </c>
      <c r="P13203">
        <v>7514</v>
      </c>
      <c r="Q13203">
        <v>1079</v>
      </c>
      <c r="R13203" t="s">
        <v>23</v>
      </c>
      <c r="S13203" s="1" t="s">
        <v>34218</v>
      </c>
    </row>
    <row r="13204" spans="1:19" x14ac:dyDescent="0.25">
      <c r="A13204">
        <v>101437630</v>
      </c>
      <c r="B13204" t="s">
        <v>28641</v>
      </c>
      <c r="C13204" t="s">
        <v>28642</v>
      </c>
      <c r="G13204" t="s">
        <v>18761</v>
      </c>
      <c r="H13204" t="s">
        <v>1318</v>
      </c>
      <c r="I13204" t="s">
        <v>22</v>
      </c>
      <c r="J13204">
        <v>94597</v>
      </c>
      <c r="L13204" t="s">
        <v>23</v>
      </c>
      <c r="M13204" t="s">
        <v>18761</v>
      </c>
      <c r="N13204" t="s">
        <v>1318</v>
      </c>
      <c r="O13204" t="s">
        <v>22</v>
      </c>
      <c r="P13204">
        <v>94597</v>
      </c>
      <c r="R13204" t="s">
        <v>23</v>
      </c>
      <c r="S13204" s="1" t="s">
        <v>34218</v>
      </c>
    </row>
    <row r="13205" spans="1:19" x14ac:dyDescent="0.25">
      <c r="A13205">
        <v>101480614</v>
      </c>
      <c r="B13205" t="s">
        <v>24345</v>
      </c>
      <c r="C13205" t="s">
        <v>2232</v>
      </c>
      <c r="G13205" t="s">
        <v>28643</v>
      </c>
      <c r="H13205" t="s">
        <v>5413</v>
      </c>
      <c r="I13205" t="s">
        <v>187</v>
      </c>
      <c r="J13205">
        <v>55024</v>
      </c>
      <c r="L13205" t="s">
        <v>23</v>
      </c>
      <c r="M13205" t="s">
        <v>28643</v>
      </c>
      <c r="N13205" t="s">
        <v>5413</v>
      </c>
      <c r="O13205" t="s">
        <v>187</v>
      </c>
      <c r="P13205">
        <v>55024</v>
      </c>
      <c r="R13205" t="s">
        <v>23</v>
      </c>
      <c r="S13205" s="1" t="s">
        <v>34218</v>
      </c>
    </row>
    <row r="13206" spans="1:19" x14ac:dyDescent="0.25">
      <c r="A13206">
        <v>101450339</v>
      </c>
      <c r="B13206" t="s">
        <v>12712</v>
      </c>
      <c r="C13206" t="s">
        <v>903</v>
      </c>
      <c r="G13206" t="s">
        <v>28644</v>
      </c>
      <c r="H13206" t="s">
        <v>1452</v>
      </c>
      <c r="I13206" t="s">
        <v>43</v>
      </c>
      <c r="J13206">
        <v>97405</v>
      </c>
      <c r="K13206">
        <v>6016</v>
      </c>
      <c r="L13206" t="s">
        <v>23</v>
      </c>
      <c r="M13206" t="s">
        <v>28644</v>
      </c>
      <c r="N13206" t="s">
        <v>1452</v>
      </c>
      <c r="O13206" t="s">
        <v>43</v>
      </c>
      <c r="P13206">
        <v>97405</v>
      </c>
      <c r="Q13206">
        <v>6016</v>
      </c>
      <c r="R13206" t="s">
        <v>23</v>
      </c>
      <c r="S13206" s="1" t="s">
        <v>34218</v>
      </c>
    </row>
    <row r="13207" spans="1:19" x14ac:dyDescent="0.25">
      <c r="A13207">
        <v>101480616</v>
      </c>
      <c r="B13207" t="s">
        <v>28645</v>
      </c>
      <c r="C13207" t="s">
        <v>1117</v>
      </c>
      <c r="G13207" t="s">
        <v>28646</v>
      </c>
      <c r="H13207" t="s">
        <v>75</v>
      </c>
      <c r="I13207" t="s">
        <v>22</v>
      </c>
      <c r="J13207">
        <v>94558</v>
      </c>
      <c r="K13207">
        <v>2305</v>
      </c>
      <c r="L13207" t="s">
        <v>23</v>
      </c>
      <c r="M13207" t="s">
        <v>28646</v>
      </c>
      <c r="N13207" t="s">
        <v>75</v>
      </c>
      <c r="O13207" t="s">
        <v>22</v>
      </c>
      <c r="P13207">
        <v>94558</v>
      </c>
      <c r="Q13207">
        <v>2305</v>
      </c>
      <c r="R13207" t="s">
        <v>23</v>
      </c>
      <c r="S13207" s="1" t="s">
        <v>34218</v>
      </c>
    </row>
    <row r="13208" spans="1:19" x14ac:dyDescent="0.25">
      <c r="A13208">
        <v>100763448</v>
      </c>
      <c r="B13208" t="s">
        <v>1124</v>
      </c>
      <c r="C13208" t="s">
        <v>28647</v>
      </c>
      <c r="G13208" t="s">
        <v>28648</v>
      </c>
      <c r="H13208" t="s">
        <v>2468</v>
      </c>
      <c r="I13208" t="s">
        <v>22</v>
      </c>
      <c r="J13208">
        <v>92083</v>
      </c>
      <c r="K13208">
        <v>8016</v>
      </c>
      <c r="L13208" t="s">
        <v>23</v>
      </c>
      <c r="M13208" t="s">
        <v>28648</v>
      </c>
      <c r="N13208" t="s">
        <v>2468</v>
      </c>
      <c r="O13208" t="s">
        <v>22</v>
      </c>
      <c r="P13208">
        <v>92083</v>
      </c>
      <c r="Q13208">
        <v>8016</v>
      </c>
      <c r="R13208" t="s">
        <v>23</v>
      </c>
      <c r="S13208" s="1" t="s">
        <v>34218</v>
      </c>
    </row>
    <row r="13209" spans="1:19" x14ac:dyDescent="0.25">
      <c r="A13209">
        <v>101480619</v>
      </c>
      <c r="B13209" t="s">
        <v>28649</v>
      </c>
      <c r="C13209" t="s">
        <v>22464</v>
      </c>
      <c r="G13209" t="s">
        <v>6493</v>
      </c>
      <c r="H13209" t="s">
        <v>6494</v>
      </c>
      <c r="I13209" t="s">
        <v>236</v>
      </c>
      <c r="J13209">
        <v>2720</v>
      </c>
      <c r="K13209">
        <v>2066</v>
      </c>
      <c r="L13209" t="s">
        <v>23</v>
      </c>
      <c r="M13209" t="s">
        <v>6493</v>
      </c>
      <c r="N13209" t="s">
        <v>6494</v>
      </c>
      <c r="O13209" t="s">
        <v>236</v>
      </c>
      <c r="P13209">
        <v>2720</v>
      </c>
      <c r="Q13209">
        <v>2066</v>
      </c>
      <c r="R13209" t="s">
        <v>23</v>
      </c>
      <c r="S13209" s="1" t="s">
        <v>34218</v>
      </c>
    </row>
    <row r="13210" spans="1:19" x14ac:dyDescent="0.25">
      <c r="A13210">
        <v>101477854</v>
      </c>
      <c r="B13210" t="s">
        <v>2253</v>
      </c>
      <c r="C13210" t="s">
        <v>403</v>
      </c>
      <c r="G13210" t="s">
        <v>28650</v>
      </c>
      <c r="H13210" t="s">
        <v>10227</v>
      </c>
      <c r="I13210" t="s">
        <v>140</v>
      </c>
      <c r="J13210">
        <v>49440</v>
      </c>
      <c r="L13210" t="s">
        <v>23</v>
      </c>
      <c r="M13210" t="s">
        <v>28650</v>
      </c>
      <c r="N13210" t="s">
        <v>10227</v>
      </c>
      <c r="O13210" t="s">
        <v>140</v>
      </c>
      <c r="P13210">
        <v>49440</v>
      </c>
      <c r="R13210" t="s">
        <v>23</v>
      </c>
      <c r="S13210" s="1" t="s">
        <v>34218</v>
      </c>
    </row>
    <row r="13211" spans="1:19" x14ac:dyDescent="0.25">
      <c r="A13211">
        <v>100671503</v>
      </c>
      <c r="B13211" t="s">
        <v>28651</v>
      </c>
      <c r="C13211" t="s">
        <v>1327</v>
      </c>
      <c r="G13211" t="s">
        <v>28652</v>
      </c>
      <c r="H13211" t="s">
        <v>5998</v>
      </c>
      <c r="I13211" t="s">
        <v>914</v>
      </c>
      <c r="J13211">
        <v>38108</v>
      </c>
      <c r="K13211">
        <v>1607</v>
      </c>
      <c r="L13211" t="s">
        <v>23</v>
      </c>
      <c r="M13211" t="s">
        <v>28652</v>
      </c>
      <c r="N13211" t="s">
        <v>5998</v>
      </c>
      <c r="O13211" t="s">
        <v>914</v>
      </c>
      <c r="P13211">
        <v>38108</v>
      </c>
      <c r="Q13211">
        <v>1607</v>
      </c>
      <c r="R13211" t="s">
        <v>23</v>
      </c>
      <c r="S13211" s="1" t="s">
        <v>34218</v>
      </c>
    </row>
    <row r="13212" spans="1:19" x14ac:dyDescent="0.25">
      <c r="A13212">
        <v>101453625</v>
      </c>
      <c r="B13212" t="s">
        <v>16979</v>
      </c>
      <c r="C13212" t="s">
        <v>8241</v>
      </c>
      <c r="G13212" t="s">
        <v>28653</v>
      </c>
      <c r="H13212" t="s">
        <v>28371</v>
      </c>
      <c r="I13212" t="s">
        <v>1482</v>
      </c>
      <c r="J13212">
        <v>29406</v>
      </c>
      <c r="K13212">
        <v>9106</v>
      </c>
      <c r="L13212" t="s">
        <v>23</v>
      </c>
      <c r="M13212" t="s">
        <v>28653</v>
      </c>
      <c r="N13212" t="s">
        <v>28371</v>
      </c>
      <c r="O13212" t="s">
        <v>1482</v>
      </c>
      <c r="P13212">
        <v>29406</v>
      </c>
      <c r="Q13212">
        <v>9106</v>
      </c>
      <c r="R13212" t="s">
        <v>23</v>
      </c>
      <c r="S13212" s="1" t="s">
        <v>34218</v>
      </c>
    </row>
    <row r="13213" spans="1:19" x14ac:dyDescent="0.25">
      <c r="A13213">
        <v>101452124</v>
      </c>
      <c r="B13213" t="s">
        <v>28654</v>
      </c>
      <c r="C13213" t="s">
        <v>1487</v>
      </c>
      <c r="G13213" t="s">
        <v>28655</v>
      </c>
      <c r="H13213" t="s">
        <v>28656</v>
      </c>
      <c r="I13213" t="s">
        <v>38</v>
      </c>
      <c r="J13213">
        <v>75189</v>
      </c>
      <c r="K13213">
        <v>6765</v>
      </c>
      <c r="L13213" t="s">
        <v>23</v>
      </c>
      <c r="M13213" t="s">
        <v>28655</v>
      </c>
      <c r="N13213" t="s">
        <v>28656</v>
      </c>
      <c r="O13213" t="s">
        <v>38</v>
      </c>
      <c r="P13213">
        <v>75189</v>
      </c>
      <c r="Q13213">
        <v>6765</v>
      </c>
      <c r="R13213" t="s">
        <v>23</v>
      </c>
      <c r="S13213" s="1" t="s">
        <v>34218</v>
      </c>
    </row>
    <row r="13214" spans="1:19" x14ac:dyDescent="0.25">
      <c r="A13214">
        <v>101433163</v>
      </c>
      <c r="B13214" t="s">
        <v>20421</v>
      </c>
      <c r="C13214" t="s">
        <v>90</v>
      </c>
      <c r="G13214" t="s">
        <v>28657</v>
      </c>
      <c r="H13214" t="s">
        <v>3169</v>
      </c>
      <c r="I13214" t="s">
        <v>84</v>
      </c>
      <c r="J13214">
        <v>98406</v>
      </c>
      <c r="K13214">
        <v>4821</v>
      </c>
      <c r="L13214" t="s">
        <v>23</v>
      </c>
      <c r="M13214" t="s">
        <v>28657</v>
      </c>
      <c r="N13214" t="s">
        <v>3169</v>
      </c>
      <c r="O13214" t="s">
        <v>84</v>
      </c>
      <c r="P13214">
        <v>98406</v>
      </c>
      <c r="Q13214">
        <v>4821</v>
      </c>
      <c r="R13214" t="s">
        <v>23</v>
      </c>
      <c r="S13214" s="1" t="s">
        <v>34218</v>
      </c>
    </row>
    <row r="13215" spans="1:19" x14ac:dyDescent="0.25">
      <c r="A13215">
        <v>101472221</v>
      </c>
      <c r="B13215" t="s">
        <v>1622</v>
      </c>
      <c r="C13215" t="s">
        <v>1331</v>
      </c>
      <c r="G13215" t="s">
        <v>28658</v>
      </c>
      <c r="H13215" t="s">
        <v>28659</v>
      </c>
      <c r="I13215" t="s">
        <v>28</v>
      </c>
      <c r="J13215">
        <v>30354</v>
      </c>
      <c r="K13215">
        <v>1419</v>
      </c>
      <c r="L13215" t="s">
        <v>23</v>
      </c>
      <c r="M13215" t="s">
        <v>28658</v>
      </c>
      <c r="N13215" t="s">
        <v>28659</v>
      </c>
      <c r="O13215" t="s">
        <v>28</v>
      </c>
      <c r="P13215">
        <v>30354</v>
      </c>
      <c r="Q13215">
        <v>1419</v>
      </c>
      <c r="R13215" t="s">
        <v>23</v>
      </c>
      <c r="S13215" s="1" t="s">
        <v>34218</v>
      </c>
    </row>
    <row r="13216" spans="1:19" x14ac:dyDescent="0.25">
      <c r="A13216">
        <v>101076428</v>
      </c>
      <c r="B13216" t="s">
        <v>28660</v>
      </c>
      <c r="C13216" t="s">
        <v>28661</v>
      </c>
      <c r="G13216" t="s">
        <v>28662</v>
      </c>
      <c r="H13216" t="s">
        <v>393</v>
      </c>
      <c r="I13216" t="s">
        <v>71</v>
      </c>
      <c r="J13216">
        <v>80210</v>
      </c>
      <c r="K13216">
        <v>2824</v>
      </c>
      <c r="L13216" t="s">
        <v>23</v>
      </c>
      <c r="M13216" t="s">
        <v>28662</v>
      </c>
      <c r="N13216" t="s">
        <v>393</v>
      </c>
      <c r="O13216" t="s">
        <v>71</v>
      </c>
      <c r="P13216">
        <v>80210</v>
      </c>
      <c r="Q13216">
        <v>2824</v>
      </c>
      <c r="R13216" t="s">
        <v>23</v>
      </c>
      <c r="S13216" s="1" t="s">
        <v>34218</v>
      </c>
    </row>
    <row r="13217" spans="1:19" x14ac:dyDescent="0.25">
      <c r="A13217">
        <v>100897361</v>
      </c>
      <c r="B13217" t="s">
        <v>383</v>
      </c>
      <c r="C13217" t="s">
        <v>894</v>
      </c>
      <c r="G13217" t="s">
        <v>28663</v>
      </c>
      <c r="H13217" t="s">
        <v>10759</v>
      </c>
      <c r="I13217" t="s">
        <v>1097</v>
      </c>
      <c r="J13217">
        <v>40383</v>
      </c>
      <c r="K13217">
        <v>1116</v>
      </c>
      <c r="L13217" t="s">
        <v>23</v>
      </c>
      <c r="M13217" t="s">
        <v>28663</v>
      </c>
      <c r="N13217" t="s">
        <v>10759</v>
      </c>
      <c r="O13217" t="s">
        <v>1097</v>
      </c>
      <c r="P13217">
        <v>40383</v>
      </c>
      <c r="Q13217">
        <v>1116</v>
      </c>
      <c r="R13217" t="s">
        <v>23</v>
      </c>
      <c r="S13217" s="1" t="s">
        <v>34218</v>
      </c>
    </row>
    <row r="13218" spans="1:19" x14ac:dyDescent="0.25">
      <c r="A13218">
        <v>101409617</v>
      </c>
      <c r="B13218" t="s">
        <v>28664</v>
      </c>
      <c r="C13218" t="s">
        <v>294</v>
      </c>
      <c r="G13218" t="s">
        <v>28665</v>
      </c>
      <c r="H13218" t="s">
        <v>8280</v>
      </c>
      <c r="I13218" t="s">
        <v>236</v>
      </c>
      <c r="J13218">
        <v>2421</v>
      </c>
      <c r="K13218">
        <v>6327</v>
      </c>
      <c r="L13218" t="s">
        <v>23</v>
      </c>
      <c r="M13218" t="s">
        <v>28665</v>
      </c>
      <c r="N13218" t="s">
        <v>8280</v>
      </c>
      <c r="O13218" t="s">
        <v>236</v>
      </c>
      <c r="P13218">
        <v>2421</v>
      </c>
      <c r="Q13218">
        <v>6327</v>
      </c>
      <c r="R13218" t="s">
        <v>23</v>
      </c>
      <c r="S13218" s="1" t="s">
        <v>34218</v>
      </c>
    </row>
    <row r="13219" spans="1:19" x14ac:dyDescent="0.25">
      <c r="A13219">
        <v>101323649</v>
      </c>
      <c r="B13219" t="s">
        <v>28666</v>
      </c>
      <c r="C13219" t="s">
        <v>1363</v>
      </c>
      <c r="G13219" t="s">
        <v>28667</v>
      </c>
      <c r="H13219" t="s">
        <v>28668</v>
      </c>
      <c r="I13219" t="s">
        <v>100</v>
      </c>
      <c r="J13219">
        <v>53217</v>
      </c>
      <c r="K13219">
        <v>3614</v>
      </c>
      <c r="L13219" t="s">
        <v>23</v>
      </c>
      <c r="M13219" t="s">
        <v>28667</v>
      </c>
      <c r="N13219" t="s">
        <v>28668</v>
      </c>
      <c r="O13219" t="s">
        <v>100</v>
      </c>
      <c r="P13219">
        <v>53217</v>
      </c>
      <c r="Q13219">
        <v>3614</v>
      </c>
      <c r="R13219" t="s">
        <v>23</v>
      </c>
      <c r="S13219" s="1" t="s">
        <v>34218</v>
      </c>
    </row>
    <row r="13220" spans="1:19" x14ac:dyDescent="0.25">
      <c r="A13220">
        <v>100906736</v>
      </c>
      <c r="B13220" t="s">
        <v>28669</v>
      </c>
      <c r="C13220" t="s">
        <v>1598</v>
      </c>
      <c r="G13220" t="s">
        <v>28670</v>
      </c>
      <c r="H13220" t="s">
        <v>4199</v>
      </c>
      <c r="I13220" t="s">
        <v>57</v>
      </c>
      <c r="J13220">
        <v>47905</v>
      </c>
      <c r="K13220">
        <v>5590</v>
      </c>
      <c r="L13220" t="s">
        <v>23</v>
      </c>
      <c r="M13220" t="s">
        <v>28670</v>
      </c>
      <c r="N13220" t="s">
        <v>4199</v>
      </c>
      <c r="O13220" t="s">
        <v>57</v>
      </c>
      <c r="P13220">
        <v>47905</v>
      </c>
      <c r="Q13220">
        <v>5590</v>
      </c>
      <c r="R13220" t="s">
        <v>23</v>
      </c>
      <c r="S13220" s="1" t="s">
        <v>34218</v>
      </c>
    </row>
    <row r="13221" spans="1:19" x14ac:dyDescent="0.25">
      <c r="A13221">
        <v>101314861</v>
      </c>
      <c r="B13221" t="s">
        <v>28671</v>
      </c>
      <c r="C13221" t="s">
        <v>1027</v>
      </c>
      <c r="G13221" t="s">
        <v>28672</v>
      </c>
      <c r="H13221" t="s">
        <v>130</v>
      </c>
      <c r="I13221" t="s">
        <v>22</v>
      </c>
      <c r="J13221">
        <v>94132</v>
      </c>
      <c r="K13221">
        <v>3040</v>
      </c>
      <c r="L13221" t="s">
        <v>23</v>
      </c>
      <c r="M13221" t="s">
        <v>28672</v>
      </c>
      <c r="N13221" t="s">
        <v>130</v>
      </c>
      <c r="O13221" t="s">
        <v>22</v>
      </c>
      <c r="P13221">
        <v>94132</v>
      </c>
      <c r="Q13221">
        <v>3040</v>
      </c>
      <c r="R13221" t="s">
        <v>23</v>
      </c>
      <c r="S13221" s="1" t="s">
        <v>34218</v>
      </c>
    </row>
    <row r="13222" spans="1:19" x14ac:dyDescent="0.25">
      <c r="A13222">
        <v>101412137</v>
      </c>
      <c r="B13222" t="s">
        <v>28673</v>
      </c>
      <c r="C13222" t="s">
        <v>17721</v>
      </c>
      <c r="G13222" t="s">
        <v>28674</v>
      </c>
      <c r="H13222" t="s">
        <v>28675</v>
      </c>
      <c r="I13222" t="s">
        <v>33</v>
      </c>
      <c r="J13222">
        <v>19046</v>
      </c>
      <c r="L13222" t="s">
        <v>23</v>
      </c>
      <c r="M13222" t="s">
        <v>28674</v>
      </c>
      <c r="N13222" t="s">
        <v>28675</v>
      </c>
      <c r="O13222" t="s">
        <v>33</v>
      </c>
      <c r="P13222">
        <v>19046</v>
      </c>
      <c r="R13222" t="s">
        <v>23</v>
      </c>
      <c r="S13222" s="1" t="s">
        <v>34218</v>
      </c>
    </row>
    <row r="13223" spans="1:19" x14ac:dyDescent="0.25">
      <c r="A13223">
        <v>101450926</v>
      </c>
      <c r="B13223" t="s">
        <v>28676</v>
      </c>
      <c r="C13223" t="s">
        <v>5347</v>
      </c>
      <c r="G13223" t="s">
        <v>28677</v>
      </c>
      <c r="H13223" t="s">
        <v>23858</v>
      </c>
      <c r="I13223" t="s">
        <v>702</v>
      </c>
      <c r="J13223">
        <v>89406</v>
      </c>
      <c r="K13223">
        <v>4303</v>
      </c>
      <c r="L13223" t="s">
        <v>23</v>
      </c>
      <c r="M13223" t="s">
        <v>28677</v>
      </c>
      <c r="N13223" t="s">
        <v>23858</v>
      </c>
      <c r="O13223" t="s">
        <v>702</v>
      </c>
      <c r="P13223">
        <v>89406</v>
      </c>
      <c r="Q13223">
        <v>4303</v>
      </c>
      <c r="R13223" t="s">
        <v>23</v>
      </c>
      <c r="S13223" s="1" t="s">
        <v>34218</v>
      </c>
    </row>
    <row r="13224" spans="1:19" x14ac:dyDescent="0.25">
      <c r="A13224">
        <v>101407473</v>
      </c>
      <c r="B13224" t="s">
        <v>216</v>
      </c>
      <c r="C13224" t="s">
        <v>4956</v>
      </c>
      <c r="G13224" t="s">
        <v>28678</v>
      </c>
      <c r="H13224" t="s">
        <v>28679</v>
      </c>
      <c r="I13224" t="s">
        <v>52</v>
      </c>
      <c r="J13224">
        <v>33952</v>
      </c>
      <c r="K13224">
        <v>4515</v>
      </c>
      <c r="L13224" t="s">
        <v>23</v>
      </c>
      <c r="M13224" t="s">
        <v>28678</v>
      </c>
      <c r="N13224" t="s">
        <v>28679</v>
      </c>
      <c r="O13224" t="s">
        <v>52</v>
      </c>
      <c r="P13224">
        <v>33952</v>
      </c>
      <c r="Q13224">
        <v>4515</v>
      </c>
      <c r="R13224" t="s">
        <v>23</v>
      </c>
      <c r="S13224" s="1" t="s">
        <v>34218</v>
      </c>
    </row>
    <row r="13225" spans="1:19" x14ac:dyDescent="0.25">
      <c r="A13225">
        <v>101444561</v>
      </c>
      <c r="B13225" t="s">
        <v>28680</v>
      </c>
      <c r="C13225" t="s">
        <v>90</v>
      </c>
      <c r="G13225" t="s">
        <v>2710</v>
      </c>
      <c r="H13225" t="s">
        <v>2711</v>
      </c>
      <c r="I13225" t="s">
        <v>236</v>
      </c>
      <c r="J13225">
        <v>1832</v>
      </c>
      <c r="K13225">
        <v>4738</v>
      </c>
      <c r="L13225" t="s">
        <v>23</v>
      </c>
      <c r="M13225" t="s">
        <v>2710</v>
      </c>
      <c r="N13225" t="s">
        <v>2711</v>
      </c>
      <c r="O13225" t="s">
        <v>236</v>
      </c>
      <c r="P13225">
        <v>1832</v>
      </c>
      <c r="Q13225">
        <v>4738</v>
      </c>
      <c r="R13225" t="s">
        <v>23</v>
      </c>
      <c r="S13225" s="1" t="s">
        <v>34218</v>
      </c>
    </row>
    <row r="13226" spans="1:19" x14ac:dyDescent="0.25">
      <c r="A13226">
        <v>101346376</v>
      </c>
      <c r="B13226" t="s">
        <v>28681</v>
      </c>
      <c r="C13226" t="s">
        <v>10045</v>
      </c>
      <c r="G13226" t="s">
        <v>28682</v>
      </c>
      <c r="H13226" t="s">
        <v>10035</v>
      </c>
      <c r="I13226" t="s">
        <v>33</v>
      </c>
      <c r="J13226">
        <v>19348</v>
      </c>
      <c r="L13226" t="s">
        <v>23</v>
      </c>
      <c r="M13226" t="s">
        <v>28682</v>
      </c>
      <c r="N13226" t="s">
        <v>10035</v>
      </c>
      <c r="O13226" t="s">
        <v>33</v>
      </c>
      <c r="P13226">
        <v>19348</v>
      </c>
      <c r="R13226" t="s">
        <v>23</v>
      </c>
      <c r="S13226" s="1" t="s">
        <v>34218</v>
      </c>
    </row>
    <row r="13227" spans="1:19" x14ac:dyDescent="0.25">
      <c r="A13227">
        <v>101403090</v>
      </c>
      <c r="B13227" t="s">
        <v>1800</v>
      </c>
      <c r="C13227" t="s">
        <v>28683</v>
      </c>
      <c r="G13227" t="s">
        <v>28684</v>
      </c>
      <c r="H13227" t="s">
        <v>6091</v>
      </c>
      <c r="I13227" t="s">
        <v>1097</v>
      </c>
      <c r="J13227">
        <v>41216</v>
      </c>
      <c r="K13227">
        <v>8754</v>
      </c>
      <c r="L13227" t="s">
        <v>23</v>
      </c>
      <c r="M13227" t="s">
        <v>28684</v>
      </c>
      <c r="N13227" t="s">
        <v>6091</v>
      </c>
      <c r="O13227" t="s">
        <v>1097</v>
      </c>
      <c r="P13227">
        <v>41216</v>
      </c>
      <c r="Q13227">
        <v>8754</v>
      </c>
      <c r="R13227" t="s">
        <v>23</v>
      </c>
      <c r="S13227" s="1" t="s">
        <v>34218</v>
      </c>
    </row>
    <row r="13228" spans="1:19" x14ac:dyDescent="0.25">
      <c r="A13228">
        <v>101127772</v>
      </c>
      <c r="B13228" t="s">
        <v>11714</v>
      </c>
      <c r="C13228" t="s">
        <v>49</v>
      </c>
      <c r="G13228" t="s">
        <v>28685</v>
      </c>
      <c r="H13228" t="s">
        <v>4114</v>
      </c>
      <c r="I13228" t="s">
        <v>117</v>
      </c>
      <c r="J13228">
        <v>12345</v>
      </c>
      <c r="K13228">
        <v>1</v>
      </c>
      <c r="L13228" t="s">
        <v>23</v>
      </c>
      <c r="M13228" t="s">
        <v>28685</v>
      </c>
      <c r="N13228" t="s">
        <v>4114</v>
      </c>
      <c r="O13228" t="s">
        <v>117</v>
      </c>
      <c r="P13228">
        <v>12345</v>
      </c>
      <c r="Q13228">
        <v>1</v>
      </c>
      <c r="R13228" t="s">
        <v>23</v>
      </c>
      <c r="S13228" s="1" t="s">
        <v>34218</v>
      </c>
    </row>
    <row r="13229" spans="1:19" x14ac:dyDescent="0.25">
      <c r="A13229">
        <v>101467304</v>
      </c>
      <c r="B13229" t="s">
        <v>4343</v>
      </c>
      <c r="C13229" t="s">
        <v>4982</v>
      </c>
      <c r="G13229" t="s">
        <v>28686</v>
      </c>
      <c r="H13229" t="s">
        <v>3198</v>
      </c>
      <c r="I13229" t="s">
        <v>22</v>
      </c>
      <c r="J13229">
        <v>94523</v>
      </c>
      <c r="K13229">
        <v>3007</v>
      </c>
      <c r="L13229" t="s">
        <v>23</v>
      </c>
      <c r="M13229" t="s">
        <v>28686</v>
      </c>
      <c r="N13229" t="s">
        <v>3198</v>
      </c>
      <c r="O13229" t="s">
        <v>22</v>
      </c>
      <c r="P13229">
        <v>94523</v>
      </c>
      <c r="Q13229">
        <v>3007</v>
      </c>
      <c r="R13229" t="s">
        <v>23</v>
      </c>
      <c r="S13229" s="1" t="s">
        <v>34218</v>
      </c>
    </row>
    <row r="13230" spans="1:19" x14ac:dyDescent="0.25">
      <c r="A13230">
        <v>101249249</v>
      </c>
      <c r="B13230" t="s">
        <v>28687</v>
      </c>
      <c r="C13230" t="s">
        <v>4488</v>
      </c>
      <c r="G13230" t="s">
        <v>28688</v>
      </c>
      <c r="H13230" t="s">
        <v>2514</v>
      </c>
      <c r="I13230" t="s">
        <v>236</v>
      </c>
      <c r="J13230">
        <v>2130</v>
      </c>
      <c r="K13230">
        <v>1838</v>
      </c>
      <c r="L13230" t="s">
        <v>23</v>
      </c>
      <c r="M13230" t="s">
        <v>28688</v>
      </c>
      <c r="N13230" t="s">
        <v>2514</v>
      </c>
      <c r="O13230" t="s">
        <v>236</v>
      </c>
      <c r="P13230">
        <v>2130</v>
      </c>
      <c r="Q13230">
        <v>1838</v>
      </c>
      <c r="R13230" t="s">
        <v>23</v>
      </c>
      <c r="S13230" s="1" t="s">
        <v>34218</v>
      </c>
    </row>
    <row r="13231" spans="1:19" x14ac:dyDescent="0.25">
      <c r="A13231">
        <v>101107192</v>
      </c>
      <c r="B13231" t="s">
        <v>28689</v>
      </c>
      <c r="C13231" t="s">
        <v>252</v>
      </c>
      <c r="G13231" t="s">
        <v>28690</v>
      </c>
      <c r="H13231" t="s">
        <v>12744</v>
      </c>
      <c r="I13231" t="s">
        <v>365</v>
      </c>
      <c r="J13231">
        <v>85372</v>
      </c>
      <c r="K13231">
        <v>1192</v>
      </c>
      <c r="L13231" t="s">
        <v>23</v>
      </c>
      <c r="M13231" t="s">
        <v>28690</v>
      </c>
      <c r="N13231" t="s">
        <v>12744</v>
      </c>
      <c r="O13231" t="s">
        <v>365</v>
      </c>
      <c r="P13231">
        <v>85372</v>
      </c>
      <c r="Q13231">
        <v>1192</v>
      </c>
      <c r="R13231" t="s">
        <v>23</v>
      </c>
      <c r="S13231" s="1" t="s">
        <v>34218</v>
      </c>
    </row>
    <row r="13232" spans="1:19" x14ac:dyDescent="0.25">
      <c r="A13232">
        <v>101300534</v>
      </c>
      <c r="B13232" t="s">
        <v>6147</v>
      </c>
      <c r="C13232" t="s">
        <v>28691</v>
      </c>
      <c r="G13232" t="s">
        <v>28692</v>
      </c>
      <c r="H13232" t="s">
        <v>1857</v>
      </c>
      <c r="I13232" t="s">
        <v>702</v>
      </c>
      <c r="J13232">
        <v>89523</v>
      </c>
      <c r="K13232">
        <v>2717</v>
      </c>
      <c r="L13232" t="s">
        <v>23</v>
      </c>
      <c r="M13232" t="s">
        <v>28692</v>
      </c>
      <c r="N13232" t="s">
        <v>1857</v>
      </c>
      <c r="O13232" t="s">
        <v>702</v>
      </c>
      <c r="P13232">
        <v>89523</v>
      </c>
      <c r="Q13232">
        <v>2717</v>
      </c>
      <c r="R13232" t="s">
        <v>23</v>
      </c>
      <c r="S13232" s="1" t="s">
        <v>34218</v>
      </c>
    </row>
    <row r="13233" spans="1:19" x14ac:dyDescent="0.25">
      <c r="A13233">
        <v>101449578</v>
      </c>
      <c r="B13233" t="s">
        <v>2294</v>
      </c>
      <c r="C13233" t="s">
        <v>286</v>
      </c>
      <c r="G13233" t="s">
        <v>18727</v>
      </c>
      <c r="H13233" t="s">
        <v>15174</v>
      </c>
      <c r="I13233" t="s">
        <v>1387</v>
      </c>
      <c r="J13233">
        <v>35124</v>
      </c>
      <c r="K13233">
        <v>4336</v>
      </c>
      <c r="L13233" t="s">
        <v>23</v>
      </c>
      <c r="M13233" t="s">
        <v>18727</v>
      </c>
      <c r="N13233" t="s">
        <v>15174</v>
      </c>
      <c r="O13233" t="s">
        <v>1387</v>
      </c>
      <c r="P13233">
        <v>35124</v>
      </c>
      <c r="Q13233">
        <v>4336</v>
      </c>
      <c r="R13233" t="s">
        <v>23</v>
      </c>
      <c r="S13233" s="1" t="s">
        <v>34218</v>
      </c>
    </row>
    <row r="13234" spans="1:19" x14ac:dyDescent="0.25">
      <c r="A13234">
        <v>101449705</v>
      </c>
      <c r="B13234" t="s">
        <v>377</v>
      </c>
      <c r="C13234" t="s">
        <v>180</v>
      </c>
      <c r="G13234" t="s">
        <v>28693</v>
      </c>
      <c r="H13234" t="s">
        <v>2391</v>
      </c>
      <c r="I13234" t="s">
        <v>43</v>
      </c>
      <c r="J13234">
        <v>97701</v>
      </c>
      <c r="L13234" t="s">
        <v>23</v>
      </c>
      <c r="M13234" t="s">
        <v>28693</v>
      </c>
      <c r="N13234" t="s">
        <v>2391</v>
      </c>
      <c r="O13234" t="s">
        <v>43</v>
      </c>
      <c r="P13234">
        <v>97701</v>
      </c>
      <c r="R13234" t="s">
        <v>23</v>
      </c>
      <c r="S13234" s="1" t="s">
        <v>34218</v>
      </c>
    </row>
    <row r="13235" spans="1:19" x14ac:dyDescent="0.25">
      <c r="A13235">
        <v>101464564</v>
      </c>
      <c r="B13235" t="s">
        <v>28694</v>
      </c>
      <c r="C13235" t="s">
        <v>1452</v>
      </c>
      <c r="G13235" t="s">
        <v>28695</v>
      </c>
      <c r="H13235" t="s">
        <v>23679</v>
      </c>
      <c r="I13235" t="s">
        <v>135</v>
      </c>
      <c r="J13235">
        <v>60016</v>
      </c>
      <c r="K13235">
        <v>6437</v>
      </c>
      <c r="L13235" t="s">
        <v>23</v>
      </c>
      <c r="M13235" t="s">
        <v>28695</v>
      </c>
      <c r="N13235" t="s">
        <v>23679</v>
      </c>
      <c r="O13235" t="s">
        <v>135</v>
      </c>
      <c r="P13235">
        <v>60016</v>
      </c>
      <c r="Q13235">
        <v>6437</v>
      </c>
      <c r="R13235" t="s">
        <v>23</v>
      </c>
      <c r="S13235" s="1" t="s">
        <v>34218</v>
      </c>
    </row>
    <row r="13236" spans="1:19" x14ac:dyDescent="0.25">
      <c r="A13236">
        <v>101464565</v>
      </c>
      <c r="B13236" t="s">
        <v>6658</v>
      </c>
      <c r="C13236" t="s">
        <v>2506</v>
      </c>
      <c r="G13236" t="s">
        <v>28696</v>
      </c>
      <c r="H13236" t="s">
        <v>1531</v>
      </c>
      <c r="I13236" t="s">
        <v>84</v>
      </c>
      <c r="J13236">
        <v>98168</v>
      </c>
      <c r="K13236">
        <v>1346</v>
      </c>
      <c r="L13236" t="s">
        <v>23</v>
      </c>
      <c r="M13236" t="s">
        <v>28696</v>
      </c>
      <c r="N13236" t="s">
        <v>1531</v>
      </c>
      <c r="O13236" t="s">
        <v>84</v>
      </c>
      <c r="P13236">
        <v>98168</v>
      </c>
      <c r="Q13236">
        <v>1346</v>
      </c>
      <c r="R13236" t="s">
        <v>23</v>
      </c>
      <c r="S13236" s="1" t="s">
        <v>34218</v>
      </c>
    </row>
    <row r="13237" spans="1:19" x14ac:dyDescent="0.25">
      <c r="A13237">
        <v>101480636</v>
      </c>
      <c r="B13237" t="s">
        <v>1859</v>
      </c>
      <c r="C13237" t="s">
        <v>14094</v>
      </c>
      <c r="G13237" t="s">
        <v>28697</v>
      </c>
      <c r="H13237" t="s">
        <v>130</v>
      </c>
      <c r="I13237" t="s">
        <v>22</v>
      </c>
      <c r="J13237">
        <v>94133</v>
      </c>
      <c r="K13237">
        <v>2468</v>
      </c>
      <c r="L13237" t="s">
        <v>23</v>
      </c>
      <c r="M13237" t="s">
        <v>28697</v>
      </c>
      <c r="N13237" t="s">
        <v>130</v>
      </c>
      <c r="O13237" t="s">
        <v>22</v>
      </c>
      <c r="P13237">
        <v>94133</v>
      </c>
      <c r="Q13237">
        <v>2468</v>
      </c>
      <c r="R13237" t="s">
        <v>23</v>
      </c>
      <c r="S13237" s="1" t="s">
        <v>34218</v>
      </c>
    </row>
    <row r="13238" spans="1:19" x14ac:dyDescent="0.25">
      <c r="A13238">
        <v>101424187</v>
      </c>
      <c r="B13238" t="s">
        <v>23527</v>
      </c>
      <c r="C13238" t="s">
        <v>40</v>
      </c>
      <c r="G13238">
        <v>7572014466</v>
      </c>
      <c r="H13238" t="s">
        <v>2367</v>
      </c>
      <c r="I13238" t="s">
        <v>255</v>
      </c>
      <c r="J13238">
        <v>23517</v>
      </c>
      <c r="L13238" t="s">
        <v>23</v>
      </c>
      <c r="M13238">
        <v>7572014466</v>
      </c>
      <c r="N13238" t="s">
        <v>2367</v>
      </c>
      <c r="O13238" t="s">
        <v>255</v>
      </c>
      <c r="P13238">
        <v>23517</v>
      </c>
      <c r="R13238" t="s">
        <v>23</v>
      </c>
      <c r="S13238" s="1" t="s">
        <v>34218</v>
      </c>
    </row>
    <row r="13239" spans="1:19" x14ac:dyDescent="0.25">
      <c r="A13239">
        <v>101327225</v>
      </c>
      <c r="B13239" t="s">
        <v>14165</v>
      </c>
      <c r="C13239" t="s">
        <v>1120</v>
      </c>
      <c r="G13239" t="s">
        <v>25395</v>
      </c>
      <c r="H13239" t="s">
        <v>5413</v>
      </c>
      <c r="I13239" t="s">
        <v>187</v>
      </c>
      <c r="J13239">
        <v>55024</v>
      </c>
      <c r="K13239">
        <v>8460</v>
      </c>
      <c r="L13239" t="s">
        <v>23</v>
      </c>
      <c r="M13239" t="s">
        <v>25395</v>
      </c>
      <c r="N13239" t="s">
        <v>5413</v>
      </c>
      <c r="O13239" t="s">
        <v>187</v>
      </c>
      <c r="P13239">
        <v>55024</v>
      </c>
      <c r="Q13239">
        <v>8460</v>
      </c>
      <c r="R13239" t="s">
        <v>23</v>
      </c>
      <c r="S13239" s="1" t="s">
        <v>34218</v>
      </c>
    </row>
    <row r="13240" spans="1:19" x14ac:dyDescent="0.25">
      <c r="A13240">
        <v>101206068</v>
      </c>
      <c r="B13240" t="s">
        <v>320</v>
      </c>
      <c r="C13240" t="s">
        <v>2044</v>
      </c>
      <c r="G13240" t="s">
        <v>28698</v>
      </c>
      <c r="H13240" t="s">
        <v>2662</v>
      </c>
      <c r="I13240" t="s">
        <v>100</v>
      </c>
      <c r="J13240">
        <v>53189</v>
      </c>
      <c r="K13240">
        <v>9719</v>
      </c>
      <c r="L13240" t="s">
        <v>23</v>
      </c>
      <c r="M13240" t="s">
        <v>28698</v>
      </c>
      <c r="N13240" t="s">
        <v>2662</v>
      </c>
      <c r="O13240" t="s">
        <v>100</v>
      </c>
      <c r="P13240">
        <v>53189</v>
      </c>
      <c r="Q13240">
        <v>9719</v>
      </c>
      <c r="R13240" t="s">
        <v>23</v>
      </c>
      <c r="S13240" s="1" t="s">
        <v>34218</v>
      </c>
    </row>
    <row r="13241" spans="1:19" x14ac:dyDescent="0.25">
      <c r="A13241">
        <v>101347926</v>
      </c>
      <c r="B13241" t="s">
        <v>11936</v>
      </c>
      <c r="C13241" t="s">
        <v>25</v>
      </c>
      <c r="G13241" t="s">
        <v>28699</v>
      </c>
      <c r="H13241" t="s">
        <v>10578</v>
      </c>
      <c r="I13241" t="s">
        <v>52</v>
      </c>
      <c r="J13241">
        <v>33441</v>
      </c>
      <c r="L13241" t="s">
        <v>23</v>
      </c>
      <c r="M13241" t="s">
        <v>28699</v>
      </c>
      <c r="N13241" t="s">
        <v>10578</v>
      </c>
      <c r="O13241" t="s">
        <v>52</v>
      </c>
      <c r="P13241">
        <v>33441</v>
      </c>
      <c r="R13241" t="s">
        <v>23</v>
      </c>
      <c r="S13241" s="1" t="s">
        <v>34218</v>
      </c>
    </row>
    <row r="13242" spans="1:19" x14ac:dyDescent="0.25">
      <c r="A13242">
        <v>101005169</v>
      </c>
      <c r="B13242" t="s">
        <v>28700</v>
      </c>
      <c r="C13242" t="s">
        <v>123</v>
      </c>
      <c r="G13242" t="s">
        <v>28701</v>
      </c>
      <c r="H13242" t="s">
        <v>1845</v>
      </c>
      <c r="I13242" t="s">
        <v>161</v>
      </c>
      <c r="J13242" t="s">
        <v>28702</v>
      </c>
      <c r="K13242">
        <v>2581</v>
      </c>
      <c r="L13242" t="s">
        <v>23</v>
      </c>
      <c r="M13242" t="s">
        <v>28701</v>
      </c>
      <c r="N13242" t="s">
        <v>1845</v>
      </c>
      <c r="O13242" t="s">
        <v>161</v>
      </c>
      <c r="P13242" t="s">
        <v>28702</v>
      </c>
      <c r="Q13242">
        <v>2581</v>
      </c>
      <c r="R13242" t="s">
        <v>23</v>
      </c>
      <c r="S13242" s="1" t="s">
        <v>34218</v>
      </c>
    </row>
    <row r="13243" spans="1:19" x14ac:dyDescent="0.25">
      <c r="A13243">
        <v>101298952</v>
      </c>
      <c r="B13243" t="s">
        <v>1415</v>
      </c>
      <c r="C13243" t="s">
        <v>1616</v>
      </c>
      <c r="G13243" t="s">
        <v>28703</v>
      </c>
      <c r="H13243" t="s">
        <v>28704</v>
      </c>
      <c r="I13243" t="s">
        <v>52</v>
      </c>
      <c r="J13243" t="s">
        <v>28705</v>
      </c>
      <c r="K13243">
        <v>2543</v>
      </c>
      <c r="L13243" t="s">
        <v>23</v>
      </c>
      <c r="M13243" t="s">
        <v>28703</v>
      </c>
      <c r="N13243" t="s">
        <v>28704</v>
      </c>
      <c r="O13243" t="s">
        <v>52</v>
      </c>
      <c r="P13243" t="s">
        <v>28705</v>
      </c>
      <c r="Q13243">
        <v>2543</v>
      </c>
      <c r="R13243" t="s">
        <v>23</v>
      </c>
      <c r="S13243" s="1" t="s">
        <v>34218</v>
      </c>
    </row>
    <row r="13244" spans="1:19" x14ac:dyDescent="0.25">
      <c r="A13244">
        <v>101289717</v>
      </c>
      <c r="B13244" t="s">
        <v>25243</v>
      </c>
      <c r="C13244" t="s">
        <v>2180</v>
      </c>
      <c r="G13244" t="s">
        <v>28706</v>
      </c>
      <c r="H13244" t="s">
        <v>445</v>
      </c>
      <c r="I13244" t="s">
        <v>446</v>
      </c>
      <c r="J13244" t="s">
        <v>28707</v>
      </c>
      <c r="K13244">
        <v>4410</v>
      </c>
      <c r="L13244" t="s">
        <v>23</v>
      </c>
      <c r="M13244" t="s">
        <v>28706</v>
      </c>
      <c r="N13244" t="s">
        <v>445</v>
      </c>
      <c r="O13244" t="s">
        <v>446</v>
      </c>
      <c r="P13244" t="s">
        <v>28707</v>
      </c>
      <c r="Q13244">
        <v>4410</v>
      </c>
      <c r="R13244" t="s">
        <v>23</v>
      </c>
      <c r="S13244" s="1" t="s">
        <v>34218</v>
      </c>
    </row>
    <row r="13245" spans="1:19" x14ac:dyDescent="0.25">
      <c r="A13245">
        <v>100714111</v>
      </c>
      <c r="B13245" t="s">
        <v>1925</v>
      </c>
      <c r="C13245" t="s">
        <v>2127</v>
      </c>
      <c r="G13245" t="s">
        <v>28708</v>
      </c>
      <c r="H13245" t="s">
        <v>1456</v>
      </c>
      <c r="I13245" t="s">
        <v>84</v>
      </c>
      <c r="J13245" t="s">
        <v>28709</v>
      </c>
      <c r="K13245">
        <v>4184</v>
      </c>
      <c r="L13245" t="s">
        <v>23</v>
      </c>
      <c r="M13245" t="s">
        <v>28708</v>
      </c>
      <c r="N13245" t="s">
        <v>1456</v>
      </c>
      <c r="O13245" t="s">
        <v>84</v>
      </c>
      <c r="P13245" t="s">
        <v>28709</v>
      </c>
      <c r="Q13245">
        <v>4184</v>
      </c>
      <c r="R13245" t="s">
        <v>23</v>
      </c>
      <c r="S13245" s="1" t="s">
        <v>34218</v>
      </c>
    </row>
    <row r="13246" spans="1:19" x14ac:dyDescent="0.25">
      <c r="A13246">
        <v>101178952</v>
      </c>
      <c r="B13246" t="s">
        <v>28710</v>
      </c>
      <c r="C13246" t="s">
        <v>12927</v>
      </c>
      <c r="G13246" t="s">
        <v>28711</v>
      </c>
      <c r="H13246" t="s">
        <v>602</v>
      </c>
      <c r="I13246" t="s">
        <v>148</v>
      </c>
      <c r="J13246" t="s">
        <v>28712</v>
      </c>
      <c r="K13246">
        <v>9509</v>
      </c>
      <c r="L13246" t="s">
        <v>23</v>
      </c>
      <c r="M13246" t="s">
        <v>28711</v>
      </c>
      <c r="N13246" t="s">
        <v>602</v>
      </c>
      <c r="O13246" t="s">
        <v>148</v>
      </c>
      <c r="P13246" t="s">
        <v>28712</v>
      </c>
      <c r="Q13246">
        <v>9509</v>
      </c>
      <c r="R13246" t="s">
        <v>23</v>
      </c>
      <c r="S13246" s="1" t="s">
        <v>34218</v>
      </c>
    </row>
    <row r="13247" spans="1:19" x14ac:dyDescent="0.25">
      <c r="A13247">
        <v>100970530</v>
      </c>
      <c r="B13247" t="s">
        <v>28713</v>
      </c>
      <c r="C13247" t="s">
        <v>102</v>
      </c>
      <c r="G13247" t="s">
        <v>28714</v>
      </c>
      <c r="H13247" t="s">
        <v>186</v>
      </c>
      <c r="I13247" t="s">
        <v>187</v>
      </c>
      <c r="J13247" t="s">
        <v>28715</v>
      </c>
      <c r="K13247">
        <v>6435</v>
      </c>
      <c r="L13247" t="s">
        <v>23</v>
      </c>
      <c r="M13247" t="s">
        <v>28714</v>
      </c>
      <c r="N13247" t="s">
        <v>186</v>
      </c>
      <c r="O13247" t="s">
        <v>187</v>
      </c>
      <c r="P13247" t="s">
        <v>28715</v>
      </c>
      <c r="Q13247">
        <v>6435</v>
      </c>
      <c r="R13247" t="s">
        <v>23</v>
      </c>
      <c r="S13247" s="1" t="s">
        <v>34218</v>
      </c>
    </row>
    <row r="13248" spans="1:19" x14ac:dyDescent="0.25">
      <c r="A13248">
        <v>101022882</v>
      </c>
      <c r="B13248" t="s">
        <v>744</v>
      </c>
      <c r="C13248" t="s">
        <v>6279</v>
      </c>
      <c r="G13248" t="s">
        <v>28716</v>
      </c>
      <c r="H13248" t="s">
        <v>625</v>
      </c>
      <c r="I13248" t="s">
        <v>365</v>
      </c>
      <c r="J13248" t="s">
        <v>28717</v>
      </c>
      <c r="K13248">
        <v>8838</v>
      </c>
      <c r="L13248" t="s">
        <v>23</v>
      </c>
      <c r="M13248" t="s">
        <v>28716</v>
      </c>
      <c r="N13248" t="s">
        <v>625</v>
      </c>
      <c r="O13248" t="s">
        <v>365</v>
      </c>
      <c r="P13248" t="s">
        <v>28717</v>
      </c>
      <c r="Q13248">
        <v>8838</v>
      </c>
      <c r="R13248" t="s">
        <v>23</v>
      </c>
      <c r="S13248" s="1" t="s">
        <v>34218</v>
      </c>
    </row>
    <row r="13249" spans="1:19" x14ac:dyDescent="0.25">
      <c r="A13249">
        <v>101443444</v>
      </c>
      <c r="B13249" t="s">
        <v>28718</v>
      </c>
      <c r="C13249" t="s">
        <v>535</v>
      </c>
      <c r="G13249" t="s">
        <v>28719</v>
      </c>
      <c r="H13249" t="s">
        <v>1716</v>
      </c>
      <c r="I13249" t="s">
        <v>38</v>
      </c>
      <c r="J13249" t="s">
        <v>28720</v>
      </c>
      <c r="K13249">
        <v>7402</v>
      </c>
      <c r="L13249" t="s">
        <v>23</v>
      </c>
      <c r="M13249" t="s">
        <v>28719</v>
      </c>
      <c r="N13249" t="s">
        <v>1716</v>
      </c>
      <c r="O13249" t="s">
        <v>38</v>
      </c>
      <c r="P13249" t="s">
        <v>28720</v>
      </c>
      <c r="Q13249">
        <v>7402</v>
      </c>
      <c r="R13249" t="s">
        <v>23</v>
      </c>
      <c r="S13249" s="1" t="s">
        <v>34218</v>
      </c>
    </row>
    <row r="13250" spans="1:19" x14ac:dyDescent="0.25">
      <c r="A13250">
        <v>101424344</v>
      </c>
      <c r="B13250" t="s">
        <v>28721</v>
      </c>
      <c r="C13250" t="s">
        <v>28722</v>
      </c>
      <c r="G13250" t="s">
        <v>28723</v>
      </c>
      <c r="H13250" t="s">
        <v>11379</v>
      </c>
      <c r="I13250" t="s">
        <v>2566</v>
      </c>
      <c r="J13250" t="s">
        <v>28724</v>
      </c>
      <c r="K13250">
        <v>3772</v>
      </c>
      <c r="L13250" t="s">
        <v>23</v>
      </c>
      <c r="M13250" t="s">
        <v>28723</v>
      </c>
      <c r="N13250" t="s">
        <v>11379</v>
      </c>
      <c r="O13250" t="s">
        <v>2566</v>
      </c>
      <c r="P13250" t="s">
        <v>28724</v>
      </c>
      <c r="Q13250">
        <v>3772</v>
      </c>
      <c r="R13250" t="s">
        <v>23</v>
      </c>
      <c r="S13250" s="1" t="s">
        <v>34218</v>
      </c>
    </row>
    <row r="13251" spans="1:19" x14ac:dyDescent="0.25">
      <c r="A13251">
        <v>101434690</v>
      </c>
      <c r="B13251" t="s">
        <v>28725</v>
      </c>
      <c r="C13251" t="s">
        <v>123</v>
      </c>
      <c r="G13251" t="s">
        <v>28726</v>
      </c>
      <c r="H13251" t="s">
        <v>17731</v>
      </c>
      <c r="I13251" t="s">
        <v>22</v>
      </c>
      <c r="J13251" t="s">
        <v>28727</v>
      </c>
      <c r="K13251">
        <v>4845</v>
      </c>
      <c r="L13251" t="s">
        <v>23</v>
      </c>
      <c r="M13251" t="s">
        <v>28726</v>
      </c>
      <c r="N13251" t="s">
        <v>17731</v>
      </c>
      <c r="O13251" t="s">
        <v>22</v>
      </c>
      <c r="P13251" t="s">
        <v>28727</v>
      </c>
      <c r="Q13251">
        <v>4845</v>
      </c>
      <c r="R13251" t="s">
        <v>23</v>
      </c>
      <c r="S13251" s="1" t="s">
        <v>34218</v>
      </c>
    </row>
    <row r="13252" spans="1:19" x14ac:dyDescent="0.25">
      <c r="A13252">
        <v>100640902</v>
      </c>
      <c r="B13252" t="s">
        <v>28728</v>
      </c>
      <c r="C13252" t="s">
        <v>1828</v>
      </c>
      <c r="G13252" t="s">
        <v>28729</v>
      </c>
      <c r="H13252" t="s">
        <v>1390</v>
      </c>
      <c r="I13252" t="s">
        <v>135</v>
      </c>
      <c r="J13252">
        <v>62221</v>
      </c>
      <c r="K13252">
        <v>3133</v>
      </c>
      <c r="L13252" t="s">
        <v>23</v>
      </c>
      <c r="M13252" t="s">
        <v>28729</v>
      </c>
      <c r="N13252" t="s">
        <v>1390</v>
      </c>
      <c r="O13252" t="s">
        <v>135</v>
      </c>
      <c r="P13252">
        <v>62221</v>
      </c>
      <c r="Q13252">
        <v>3133</v>
      </c>
      <c r="R13252" t="s">
        <v>23</v>
      </c>
      <c r="S13252" s="1" t="s">
        <v>34218</v>
      </c>
    </row>
    <row r="13253" spans="1:19" x14ac:dyDescent="0.25">
      <c r="A13253">
        <v>101291451</v>
      </c>
      <c r="B13253" t="s">
        <v>28730</v>
      </c>
      <c r="C13253" t="s">
        <v>1107</v>
      </c>
      <c r="G13253" t="s">
        <v>28731</v>
      </c>
      <c r="H13253" t="s">
        <v>2769</v>
      </c>
      <c r="I13253" t="s">
        <v>52</v>
      </c>
      <c r="J13253" t="s">
        <v>28732</v>
      </c>
      <c r="K13253">
        <v>7732</v>
      </c>
      <c r="L13253" t="s">
        <v>23</v>
      </c>
      <c r="M13253" t="s">
        <v>28731</v>
      </c>
      <c r="N13253" t="s">
        <v>2769</v>
      </c>
      <c r="O13253" t="s">
        <v>52</v>
      </c>
      <c r="P13253" t="s">
        <v>28732</v>
      </c>
      <c r="Q13253">
        <v>7732</v>
      </c>
      <c r="R13253" t="s">
        <v>23</v>
      </c>
      <c r="S13253" s="1" t="s">
        <v>34218</v>
      </c>
    </row>
    <row r="13254" spans="1:19" x14ac:dyDescent="0.25">
      <c r="A13254">
        <v>101009935</v>
      </c>
      <c r="B13254" t="s">
        <v>28733</v>
      </c>
      <c r="C13254" t="s">
        <v>5420</v>
      </c>
      <c r="G13254" t="s">
        <v>28734</v>
      </c>
      <c r="H13254" t="s">
        <v>3373</v>
      </c>
      <c r="I13254" t="s">
        <v>178</v>
      </c>
      <c r="J13254" t="s">
        <v>28735</v>
      </c>
      <c r="K13254">
        <v>3670</v>
      </c>
      <c r="L13254" t="s">
        <v>23</v>
      </c>
      <c r="M13254" t="s">
        <v>28734</v>
      </c>
      <c r="N13254" t="s">
        <v>3373</v>
      </c>
      <c r="O13254" t="s">
        <v>178</v>
      </c>
      <c r="P13254" t="s">
        <v>28735</v>
      </c>
      <c r="Q13254">
        <v>3670</v>
      </c>
      <c r="R13254" t="s">
        <v>23</v>
      </c>
      <c r="S13254" s="1" t="s">
        <v>34218</v>
      </c>
    </row>
    <row r="13255" spans="1:19" x14ac:dyDescent="0.25">
      <c r="A13255">
        <v>101235578</v>
      </c>
      <c r="B13255" t="s">
        <v>28736</v>
      </c>
      <c r="C13255" t="s">
        <v>613</v>
      </c>
      <c r="G13255" t="s">
        <v>28737</v>
      </c>
      <c r="H13255" t="s">
        <v>9846</v>
      </c>
      <c r="I13255" t="s">
        <v>1387</v>
      </c>
      <c r="J13255" t="s">
        <v>28738</v>
      </c>
      <c r="K13255">
        <v>8575</v>
      </c>
      <c r="L13255" t="s">
        <v>23</v>
      </c>
      <c r="M13255" t="s">
        <v>28737</v>
      </c>
      <c r="N13255" t="s">
        <v>9846</v>
      </c>
      <c r="O13255" t="s">
        <v>1387</v>
      </c>
      <c r="P13255" t="s">
        <v>28738</v>
      </c>
      <c r="Q13255">
        <v>8575</v>
      </c>
      <c r="R13255" t="s">
        <v>23</v>
      </c>
      <c r="S13255" s="1" t="s">
        <v>34218</v>
      </c>
    </row>
    <row r="13256" spans="1:19" x14ac:dyDescent="0.25">
      <c r="A13256">
        <v>101421903</v>
      </c>
      <c r="B13256" t="s">
        <v>28739</v>
      </c>
      <c r="C13256" t="s">
        <v>1703</v>
      </c>
      <c r="G13256" t="s">
        <v>28740</v>
      </c>
      <c r="H13256" t="s">
        <v>761</v>
      </c>
      <c r="I13256" t="s">
        <v>22</v>
      </c>
      <c r="J13256" t="s">
        <v>28741</v>
      </c>
      <c r="K13256">
        <v>3973</v>
      </c>
      <c r="L13256" t="s">
        <v>23</v>
      </c>
      <c r="M13256" t="s">
        <v>28740</v>
      </c>
      <c r="N13256" t="s">
        <v>761</v>
      </c>
      <c r="O13256" t="s">
        <v>22</v>
      </c>
      <c r="P13256" t="s">
        <v>28741</v>
      </c>
      <c r="Q13256">
        <v>3973</v>
      </c>
      <c r="R13256" t="s">
        <v>23</v>
      </c>
      <c r="S13256" s="1" t="s">
        <v>34218</v>
      </c>
    </row>
    <row r="13257" spans="1:19" x14ac:dyDescent="0.25">
      <c r="A13257">
        <v>101362983</v>
      </c>
      <c r="B13257" t="s">
        <v>28742</v>
      </c>
      <c r="C13257" t="s">
        <v>28743</v>
      </c>
      <c r="G13257" t="s">
        <v>28744</v>
      </c>
      <c r="H13257" t="s">
        <v>4098</v>
      </c>
      <c r="I13257" t="s">
        <v>71</v>
      </c>
      <c r="J13257" t="s">
        <v>28745</v>
      </c>
      <c r="K13257">
        <v>7816</v>
      </c>
      <c r="L13257" t="s">
        <v>23</v>
      </c>
      <c r="M13257" t="s">
        <v>28744</v>
      </c>
      <c r="N13257" t="s">
        <v>4098</v>
      </c>
      <c r="O13257" t="s">
        <v>71</v>
      </c>
      <c r="P13257" t="s">
        <v>28745</v>
      </c>
      <c r="Q13257">
        <v>7816</v>
      </c>
      <c r="R13257" t="s">
        <v>23</v>
      </c>
      <c r="S13257" s="1" t="s">
        <v>34218</v>
      </c>
    </row>
    <row r="13258" spans="1:19" x14ac:dyDescent="0.25">
      <c r="A13258">
        <v>101125048</v>
      </c>
      <c r="B13258" t="s">
        <v>28746</v>
      </c>
      <c r="C13258" t="s">
        <v>838</v>
      </c>
      <c r="G13258" t="s">
        <v>28747</v>
      </c>
      <c r="H13258" t="s">
        <v>653</v>
      </c>
      <c r="I13258" t="s">
        <v>117</v>
      </c>
      <c r="J13258" t="s">
        <v>28748</v>
      </c>
      <c r="K13258">
        <v>491</v>
      </c>
      <c r="L13258" t="s">
        <v>23</v>
      </c>
      <c r="M13258" t="s">
        <v>28747</v>
      </c>
      <c r="N13258" t="s">
        <v>653</v>
      </c>
      <c r="O13258" t="s">
        <v>117</v>
      </c>
      <c r="P13258" t="s">
        <v>28748</v>
      </c>
      <c r="Q13258">
        <v>491</v>
      </c>
      <c r="R13258" t="s">
        <v>23</v>
      </c>
      <c r="S13258" s="1" t="s">
        <v>34218</v>
      </c>
    </row>
    <row r="13259" spans="1:19" x14ac:dyDescent="0.25">
      <c r="A13259">
        <v>101235501</v>
      </c>
      <c r="B13259" t="s">
        <v>4376</v>
      </c>
      <c r="C13259" t="s">
        <v>1306</v>
      </c>
      <c r="G13259" t="s">
        <v>28749</v>
      </c>
      <c r="H13259" t="s">
        <v>10043</v>
      </c>
      <c r="I13259" t="s">
        <v>2537</v>
      </c>
      <c r="J13259" t="s">
        <v>28750</v>
      </c>
      <c r="K13259">
        <v>4450</v>
      </c>
      <c r="L13259" t="s">
        <v>23</v>
      </c>
      <c r="M13259" t="s">
        <v>28749</v>
      </c>
      <c r="N13259" t="s">
        <v>10043</v>
      </c>
      <c r="O13259" t="s">
        <v>2537</v>
      </c>
      <c r="P13259" t="s">
        <v>28750</v>
      </c>
      <c r="Q13259">
        <v>4450</v>
      </c>
      <c r="R13259" t="s">
        <v>23</v>
      </c>
      <c r="S13259" s="1" t="s">
        <v>34218</v>
      </c>
    </row>
    <row r="13260" spans="1:19" x14ac:dyDescent="0.25">
      <c r="A13260">
        <v>101443489</v>
      </c>
      <c r="B13260" t="s">
        <v>28751</v>
      </c>
      <c r="C13260" t="s">
        <v>1120</v>
      </c>
      <c r="G13260" t="s">
        <v>28752</v>
      </c>
      <c r="H13260" t="s">
        <v>130</v>
      </c>
      <c r="I13260" t="s">
        <v>22</v>
      </c>
      <c r="J13260" t="s">
        <v>28753</v>
      </c>
      <c r="K13260">
        <v>3367</v>
      </c>
      <c r="L13260" t="s">
        <v>23</v>
      </c>
      <c r="M13260" t="s">
        <v>28752</v>
      </c>
      <c r="N13260" t="s">
        <v>130</v>
      </c>
      <c r="O13260" t="s">
        <v>22</v>
      </c>
      <c r="P13260" t="s">
        <v>28753</v>
      </c>
      <c r="Q13260">
        <v>3367</v>
      </c>
      <c r="R13260" t="s">
        <v>23</v>
      </c>
      <c r="S13260" s="1" t="s">
        <v>34218</v>
      </c>
    </row>
    <row r="13261" spans="1:19" x14ac:dyDescent="0.25">
      <c r="A13261">
        <v>101305425</v>
      </c>
      <c r="B13261" t="s">
        <v>24309</v>
      </c>
      <c r="C13261" t="s">
        <v>305</v>
      </c>
      <c r="G13261" t="s">
        <v>28754</v>
      </c>
      <c r="H13261" t="s">
        <v>4005</v>
      </c>
      <c r="I13261" t="s">
        <v>117</v>
      </c>
      <c r="J13261" t="s">
        <v>28755</v>
      </c>
      <c r="K13261">
        <v>9711</v>
      </c>
      <c r="L13261" t="s">
        <v>23</v>
      </c>
      <c r="M13261" t="s">
        <v>28754</v>
      </c>
      <c r="N13261" t="s">
        <v>4005</v>
      </c>
      <c r="O13261" t="s">
        <v>117</v>
      </c>
      <c r="P13261" t="s">
        <v>28755</v>
      </c>
      <c r="Q13261">
        <v>9711</v>
      </c>
      <c r="R13261" t="s">
        <v>23</v>
      </c>
      <c r="S13261" s="1" t="s">
        <v>34218</v>
      </c>
    </row>
    <row r="13262" spans="1:19" x14ac:dyDescent="0.25">
      <c r="A13262">
        <v>101325162</v>
      </c>
      <c r="B13262" t="s">
        <v>28303</v>
      </c>
      <c r="C13262" t="s">
        <v>123</v>
      </c>
      <c r="F13262" t="str">
        <f>"7089211243"</f>
        <v>7089211243</v>
      </c>
      <c r="G13262" t="s">
        <v>28756</v>
      </c>
      <c r="H13262" t="s">
        <v>4646</v>
      </c>
      <c r="I13262" t="s">
        <v>1097</v>
      </c>
      <c r="J13262" t="s">
        <v>28757</v>
      </c>
      <c r="K13262">
        <v>6507</v>
      </c>
      <c r="L13262" t="s">
        <v>23</v>
      </c>
      <c r="M13262" t="s">
        <v>28756</v>
      </c>
      <c r="N13262" t="s">
        <v>4646</v>
      </c>
      <c r="O13262" t="s">
        <v>1097</v>
      </c>
      <c r="P13262" t="s">
        <v>28757</v>
      </c>
      <c r="Q13262">
        <v>6507</v>
      </c>
      <c r="R13262" t="s">
        <v>23</v>
      </c>
      <c r="S13262" s="1" t="s">
        <v>34218</v>
      </c>
    </row>
    <row r="13263" spans="1:19" x14ac:dyDescent="0.25">
      <c r="A13263">
        <v>101343293</v>
      </c>
      <c r="B13263" t="s">
        <v>3109</v>
      </c>
      <c r="C13263" t="s">
        <v>1161</v>
      </c>
      <c r="G13263" t="s">
        <v>28758</v>
      </c>
      <c r="H13263" t="s">
        <v>3105</v>
      </c>
      <c r="I13263" t="s">
        <v>84</v>
      </c>
      <c r="J13263" t="s">
        <v>28759</v>
      </c>
      <c r="K13263">
        <v>9471</v>
      </c>
      <c r="L13263" t="s">
        <v>23</v>
      </c>
      <c r="M13263" t="s">
        <v>28758</v>
      </c>
      <c r="N13263" t="s">
        <v>3105</v>
      </c>
      <c r="O13263" t="s">
        <v>84</v>
      </c>
      <c r="P13263" t="s">
        <v>28759</v>
      </c>
      <c r="Q13263">
        <v>9471</v>
      </c>
      <c r="R13263" t="s">
        <v>23</v>
      </c>
      <c r="S13263" s="1" t="s">
        <v>34218</v>
      </c>
    </row>
    <row r="13264" spans="1:19" x14ac:dyDescent="0.25">
      <c r="A13264">
        <v>101042918</v>
      </c>
      <c r="B13264" t="s">
        <v>8334</v>
      </c>
      <c r="C13264" t="s">
        <v>24534</v>
      </c>
      <c r="G13264" t="s">
        <v>28760</v>
      </c>
      <c r="H13264" t="s">
        <v>28761</v>
      </c>
      <c r="I13264" t="s">
        <v>84</v>
      </c>
      <c r="J13264" t="s">
        <v>28762</v>
      </c>
      <c r="K13264">
        <v>9478</v>
      </c>
      <c r="L13264" t="s">
        <v>23</v>
      </c>
      <c r="M13264" t="s">
        <v>28760</v>
      </c>
      <c r="N13264" t="s">
        <v>28761</v>
      </c>
      <c r="O13264" t="s">
        <v>84</v>
      </c>
      <c r="P13264" t="s">
        <v>28762</v>
      </c>
      <c r="Q13264">
        <v>9478</v>
      </c>
      <c r="R13264" t="s">
        <v>23</v>
      </c>
      <c r="S13264" s="1" t="s">
        <v>34218</v>
      </c>
    </row>
    <row r="13265" spans="1:19" x14ac:dyDescent="0.25">
      <c r="A13265">
        <v>101318141</v>
      </c>
      <c r="B13265" t="s">
        <v>5562</v>
      </c>
      <c r="C13265" t="s">
        <v>1036</v>
      </c>
      <c r="G13265" t="s">
        <v>28763</v>
      </c>
      <c r="H13265" t="s">
        <v>625</v>
      </c>
      <c r="I13265" t="s">
        <v>365</v>
      </c>
      <c r="J13265" t="s">
        <v>28764</v>
      </c>
      <c r="K13265">
        <v>3944</v>
      </c>
      <c r="L13265" t="s">
        <v>23</v>
      </c>
      <c r="M13265" t="s">
        <v>28763</v>
      </c>
      <c r="N13265" t="s">
        <v>625</v>
      </c>
      <c r="O13265" t="s">
        <v>365</v>
      </c>
      <c r="P13265" t="s">
        <v>28764</v>
      </c>
      <c r="Q13265">
        <v>3944</v>
      </c>
      <c r="R13265" t="s">
        <v>23</v>
      </c>
      <c r="S13265" s="1" t="s">
        <v>34218</v>
      </c>
    </row>
    <row r="13266" spans="1:19" x14ac:dyDescent="0.25">
      <c r="A13266">
        <v>101349205</v>
      </c>
      <c r="B13266" t="s">
        <v>28765</v>
      </c>
      <c r="C13266" t="s">
        <v>158</v>
      </c>
      <c r="G13266" t="s">
        <v>28766</v>
      </c>
      <c r="H13266" t="s">
        <v>26053</v>
      </c>
      <c r="I13266" t="s">
        <v>365</v>
      </c>
      <c r="J13266" t="s">
        <v>28767</v>
      </c>
      <c r="K13266">
        <v>7977</v>
      </c>
      <c r="L13266" t="s">
        <v>23</v>
      </c>
      <c r="M13266" t="s">
        <v>28766</v>
      </c>
      <c r="N13266" t="s">
        <v>26053</v>
      </c>
      <c r="O13266" t="s">
        <v>365</v>
      </c>
      <c r="P13266" t="s">
        <v>28767</v>
      </c>
      <c r="Q13266">
        <v>7977</v>
      </c>
      <c r="R13266" t="s">
        <v>23</v>
      </c>
      <c r="S13266" s="1" t="s">
        <v>34218</v>
      </c>
    </row>
    <row r="13267" spans="1:19" x14ac:dyDescent="0.25">
      <c r="A13267">
        <v>101443349</v>
      </c>
      <c r="B13267" t="s">
        <v>7325</v>
      </c>
      <c r="C13267" t="s">
        <v>410</v>
      </c>
      <c r="G13267" t="s">
        <v>28768</v>
      </c>
      <c r="H13267" t="s">
        <v>4235</v>
      </c>
      <c r="I13267" t="s">
        <v>984</v>
      </c>
      <c r="J13267" t="s">
        <v>28769</v>
      </c>
      <c r="K13267">
        <v>5158</v>
      </c>
      <c r="L13267" t="s">
        <v>23</v>
      </c>
      <c r="M13267" t="s">
        <v>28768</v>
      </c>
      <c r="N13267" t="s">
        <v>4235</v>
      </c>
      <c r="O13267" t="s">
        <v>984</v>
      </c>
      <c r="P13267" t="s">
        <v>28769</v>
      </c>
      <c r="Q13267">
        <v>5158</v>
      </c>
      <c r="R13267" t="s">
        <v>23</v>
      </c>
      <c r="S13267" s="1" t="s">
        <v>34218</v>
      </c>
    </row>
    <row r="13268" spans="1:19" x14ac:dyDescent="0.25">
      <c r="A13268">
        <v>100544172</v>
      </c>
      <c r="B13268" t="s">
        <v>1710</v>
      </c>
      <c r="C13268" t="s">
        <v>1955</v>
      </c>
      <c r="G13268" t="s">
        <v>28770</v>
      </c>
      <c r="H13268" t="s">
        <v>423</v>
      </c>
      <c r="I13268" t="s">
        <v>71</v>
      </c>
      <c r="J13268" t="s">
        <v>28771</v>
      </c>
      <c r="K13268">
        <v>7247</v>
      </c>
      <c r="L13268" t="s">
        <v>23</v>
      </c>
      <c r="M13268" t="s">
        <v>28770</v>
      </c>
      <c r="N13268" t="s">
        <v>423</v>
      </c>
      <c r="O13268" t="s">
        <v>71</v>
      </c>
      <c r="P13268" t="s">
        <v>28771</v>
      </c>
      <c r="Q13268">
        <v>7247</v>
      </c>
      <c r="R13268" t="s">
        <v>23</v>
      </c>
      <c r="S13268" s="1" t="s">
        <v>34218</v>
      </c>
    </row>
    <row r="13269" spans="1:19" x14ac:dyDescent="0.25">
      <c r="A13269">
        <v>101337464</v>
      </c>
      <c r="B13269" t="s">
        <v>28772</v>
      </c>
      <c r="C13269" t="s">
        <v>2248</v>
      </c>
      <c r="G13269" t="s">
        <v>28773</v>
      </c>
      <c r="H13269" t="s">
        <v>1250</v>
      </c>
      <c r="I13269" t="s">
        <v>52</v>
      </c>
      <c r="J13269" t="s">
        <v>28774</v>
      </c>
      <c r="K13269">
        <v>9310</v>
      </c>
      <c r="L13269" t="s">
        <v>23</v>
      </c>
      <c r="M13269" t="s">
        <v>28773</v>
      </c>
      <c r="N13269" t="s">
        <v>1250</v>
      </c>
      <c r="O13269" t="s">
        <v>52</v>
      </c>
      <c r="P13269" t="s">
        <v>28774</v>
      </c>
      <c r="Q13269">
        <v>9310</v>
      </c>
      <c r="R13269" t="s">
        <v>23</v>
      </c>
      <c r="S13269" s="1" t="s">
        <v>34218</v>
      </c>
    </row>
    <row r="13270" spans="1:19" x14ac:dyDescent="0.25">
      <c r="A13270">
        <v>101294183</v>
      </c>
      <c r="B13270" t="s">
        <v>28640</v>
      </c>
      <c r="C13270" t="s">
        <v>699</v>
      </c>
      <c r="G13270" t="s">
        <v>28775</v>
      </c>
      <c r="H13270" t="s">
        <v>1405</v>
      </c>
      <c r="I13270" t="s">
        <v>187</v>
      </c>
      <c r="J13270" t="s">
        <v>28776</v>
      </c>
      <c r="K13270">
        <v>8120</v>
      </c>
      <c r="L13270" t="s">
        <v>23</v>
      </c>
      <c r="M13270" t="s">
        <v>28775</v>
      </c>
      <c r="N13270" t="s">
        <v>1405</v>
      </c>
      <c r="O13270" t="s">
        <v>187</v>
      </c>
      <c r="P13270" t="s">
        <v>28776</v>
      </c>
      <c r="Q13270">
        <v>8120</v>
      </c>
      <c r="R13270" t="s">
        <v>23</v>
      </c>
      <c r="S13270" s="1" t="s">
        <v>34218</v>
      </c>
    </row>
    <row r="13271" spans="1:19" x14ac:dyDescent="0.25">
      <c r="A13271">
        <v>101289160</v>
      </c>
      <c r="B13271" t="s">
        <v>1662</v>
      </c>
      <c r="C13271" t="s">
        <v>1374</v>
      </c>
      <c r="G13271" t="s">
        <v>28777</v>
      </c>
      <c r="H13271" t="s">
        <v>15104</v>
      </c>
      <c r="I13271" t="s">
        <v>33</v>
      </c>
      <c r="J13271">
        <v>15666</v>
      </c>
      <c r="L13271" t="s">
        <v>23</v>
      </c>
      <c r="M13271" t="s">
        <v>28777</v>
      </c>
      <c r="N13271" t="s">
        <v>15104</v>
      </c>
      <c r="O13271" t="s">
        <v>33</v>
      </c>
      <c r="P13271">
        <v>15666</v>
      </c>
      <c r="R13271" t="s">
        <v>23</v>
      </c>
      <c r="S13271" s="1" t="s">
        <v>34218</v>
      </c>
    </row>
    <row r="13272" spans="1:19" x14ac:dyDescent="0.25">
      <c r="A13272">
        <v>101405470</v>
      </c>
      <c r="B13272" t="s">
        <v>28778</v>
      </c>
      <c r="C13272" t="s">
        <v>123</v>
      </c>
      <c r="G13272" t="s">
        <v>28779</v>
      </c>
      <c r="H13272" t="s">
        <v>4220</v>
      </c>
      <c r="I13272" t="s">
        <v>914</v>
      </c>
      <c r="J13272" t="s">
        <v>28780</v>
      </c>
      <c r="K13272">
        <v>7420</v>
      </c>
      <c r="L13272" t="s">
        <v>23</v>
      </c>
      <c r="M13272" t="s">
        <v>28779</v>
      </c>
      <c r="N13272" t="s">
        <v>4220</v>
      </c>
      <c r="O13272" t="s">
        <v>914</v>
      </c>
      <c r="P13272" t="s">
        <v>28780</v>
      </c>
      <c r="Q13272">
        <v>7420</v>
      </c>
      <c r="R13272" t="s">
        <v>23</v>
      </c>
      <c r="S13272" s="1" t="s">
        <v>34218</v>
      </c>
    </row>
    <row r="13273" spans="1:19" x14ac:dyDescent="0.25">
      <c r="A13273">
        <v>100938815</v>
      </c>
      <c r="B13273" t="s">
        <v>4301</v>
      </c>
      <c r="C13273" t="s">
        <v>3442</v>
      </c>
      <c r="G13273" t="s">
        <v>28781</v>
      </c>
      <c r="H13273" t="s">
        <v>28782</v>
      </c>
      <c r="I13273" t="s">
        <v>255</v>
      </c>
      <c r="J13273" t="s">
        <v>28783</v>
      </c>
      <c r="K13273">
        <v>6139</v>
      </c>
      <c r="L13273" t="s">
        <v>23</v>
      </c>
      <c r="M13273" t="s">
        <v>28781</v>
      </c>
      <c r="N13273" t="s">
        <v>28782</v>
      </c>
      <c r="O13273" t="s">
        <v>255</v>
      </c>
      <c r="P13273" t="s">
        <v>28783</v>
      </c>
      <c r="Q13273">
        <v>6139</v>
      </c>
      <c r="R13273" t="s">
        <v>23</v>
      </c>
      <c r="S13273" s="1" t="s">
        <v>34218</v>
      </c>
    </row>
    <row r="13274" spans="1:19" x14ac:dyDescent="0.25">
      <c r="A13274">
        <v>101231613</v>
      </c>
      <c r="B13274" t="s">
        <v>105</v>
      </c>
      <c r="C13274" t="s">
        <v>1212</v>
      </c>
      <c r="G13274" t="s">
        <v>28784</v>
      </c>
      <c r="H13274" t="s">
        <v>1126</v>
      </c>
      <c r="I13274" t="s">
        <v>100</v>
      </c>
      <c r="J13274">
        <v>53185</v>
      </c>
      <c r="K13274">
        <v>3357</v>
      </c>
      <c r="L13274" t="s">
        <v>23</v>
      </c>
      <c r="M13274" t="s">
        <v>28784</v>
      </c>
      <c r="N13274" t="s">
        <v>1126</v>
      </c>
      <c r="O13274" t="s">
        <v>100</v>
      </c>
      <c r="P13274">
        <v>53185</v>
      </c>
      <c r="Q13274">
        <v>3357</v>
      </c>
      <c r="R13274" t="s">
        <v>23</v>
      </c>
      <c r="S13274" s="1" t="s">
        <v>34218</v>
      </c>
    </row>
    <row r="13275" spans="1:19" x14ac:dyDescent="0.25">
      <c r="A13275">
        <v>101325168</v>
      </c>
      <c r="B13275" t="s">
        <v>401</v>
      </c>
      <c r="C13275" t="s">
        <v>123</v>
      </c>
      <c r="G13275" t="s">
        <v>28785</v>
      </c>
      <c r="H13275" t="s">
        <v>1863</v>
      </c>
      <c r="I13275" t="s">
        <v>241</v>
      </c>
      <c r="J13275">
        <v>66103</v>
      </c>
      <c r="K13275">
        <v>3666</v>
      </c>
      <c r="L13275" t="s">
        <v>23</v>
      </c>
      <c r="M13275" t="s">
        <v>28785</v>
      </c>
      <c r="N13275" t="s">
        <v>1863</v>
      </c>
      <c r="O13275" t="s">
        <v>241</v>
      </c>
      <c r="P13275">
        <v>66103</v>
      </c>
      <c r="Q13275">
        <v>3666</v>
      </c>
      <c r="R13275" t="s">
        <v>23</v>
      </c>
      <c r="S13275" s="1" t="s">
        <v>34218</v>
      </c>
    </row>
    <row r="13276" spans="1:19" x14ac:dyDescent="0.25">
      <c r="A13276">
        <v>101467867</v>
      </c>
      <c r="B13276" t="s">
        <v>1069</v>
      </c>
      <c r="C13276" t="s">
        <v>28786</v>
      </c>
      <c r="G13276" t="s">
        <v>28787</v>
      </c>
      <c r="H13276" t="s">
        <v>88</v>
      </c>
      <c r="I13276" t="s">
        <v>22</v>
      </c>
      <c r="J13276">
        <v>94610</v>
      </c>
      <c r="K13276">
        <v>2803</v>
      </c>
      <c r="L13276" t="s">
        <v>23</v>
      </c>
      <c r="M13276" t="s">
        <v>28787</v>
      </c>
      <c r="N13276" t="s">
        <v>88</v>
      </c>
      <c r="O13276" t="s">
        <v>22</v>
      </c>
      <c r="P13276">
        <v>94610</v>
      </c>
      <c r="Q13276">
        <v>2803</v>
      </c>
      <c r="R13276" t="s">
        <v>23</v>
      </c>
      <c r="S13276" s="1" t="s">
        <v>34218</v>
      </c>
    </row>
    <row r="13277" spans="1:19" x14ac:dyDescent="0.25">
      <c r="A13277">
        <v>101470231</v>
      </c>
      <c r="B13277" t="s">
        <v>28788</v>
      </c>
      <c r="C13277" t="s">
        <v>350</v>
      </c>
      <c r="G13277" t="s">
        <v>28789</v>
      </c>
      <c r="H13277" t="s">
        <v>8986</v>
      </c>
      <c r="I13277" t="s">
        <v>22</v>
      </c>
      <c r="J13277">
        <v>94566</v>
      </c>
      <c r="K13277">
        <v>7821</v>
      </c>
      <c r="L13277" t="s">
        <v>23</v>
      </c>
      <c r="M13277" t="s">
        <v>28789</v>
      </c>
      <c r="N13277" t="s">
        <v>8986</v>
      </c>
      <c r="O13277" t="s">
        <v>22</v>
      </c>
      <c r="P13277">
        <v>94566</v>
      </c>
      <c r="Q13277">
        <v>7821</v>
      </c>
      <c r="R13277" t="s">
        <v>23</v>
      </c>
      <c r="S13277" s="1" t="s">
        <v>34218</v>
      </c>
    </row>
    <row r="13278" spans="1:19" x14ac:dyDescent="0.25">
      <c r="A13278">
        <v>101234162</v>
      </c>
      <c r="B13278" t="s">
        <v>8262</v>
      </c>
      <c r="C13278" t="s">
        <v>1124</v>
      </c>
      <c r="G13278" t="s">
        <v>28790</v>
      </c>
      <c r="H13278" t="s">
        <v>726</v>
      </c>
      <c r="I13278" t="s">
        <v>22</v>
      </c>
      <c r="J13278">
        <v>90402</v>
      </c>
      <c r="K13278">
        <v>2212</v>
      </c>
      <c r="L13278" t="s">
        <v>23</v>
      </c>
      <c r="M13278" t="s">
        <v>28790</v>
      </c>
      <c r="N13278" t="s">
        <v>726</v>
      </c>
      <c r="O13278" t="s">
        <v>22</v>
      </c>
      <c r="P13278">
        <v>90402</v>
      </c>
      <c r="Q13278">
        <v>2212</v>
      </c>
      <c r="R13278" t="s">
        <v>23</v>
      </c>
      <c r="S13278" s="1" t="s">
        <v>34218</v>
      </c>
    </row>
    <row r="13279" spans="1:19" x14ac:dyDescent="0.25">
      <c r="A13279">
        <v>101481159</v>
      </c>
      <c r="B13279" t="s">
        <v>8024</v>
      </c>
      <c r="C13279" t="s">
        <v>1588</v>
      </c>
      <c r="G13279" t="s">
        <v>28791</v>
      </c>
      <c r="H13279" t="s">
        <v>5838</v>
      </c>
      <c r="I13279" t="s">
        <v>914</v>
      </c>
      <c r="J13279">
        <v>37405</v>
      </c>
      <c r="K13279">
        <v>1768</v>
      </c>
      <c r="L13279" t="s">
        <v>23</v>
      </c>
      <c r="M13279" t="s">
        <v>28791</v>
      </c>
      <c r="N13279" t="s">
        <v>5838</v>
      </c>
      <c r="O13279" t="s">
        <v>914</v>
      </c>
      <c r="P13279">
        <v>37405</v>
      </c>
      <c r="Q13279">
        <v>1768</v>
      </c>
      <c r="R13279" t="s">
        <v>23</v>
      </c>
      <c r="S13279" s="1" t="s">
        <v>34218</v>
      </c>
    </row>
    <row r="13280" spans="1:19" x14ac:dyDescent="0.25">
      <c r="A13280">
        <v>101481161</v>
      </c>
      <c r="B13280" t="s">
        <v>28792</v>
      </c>
      <c r="C13280" t="s">
        <v>158</v>
      </c>
      <c r="G13280" t="s">
        <v>28793</v>
      </c>
      <c r="H13280" t="s">
        <v>5950</v>
      </c>
      <c r="I13280" t="s">
        <v>33</v>
      </c>
      <c r="J13280">
        <v>15237</v>
      </c>
      <c r="K13280">
        <v>2054</v>
      </c>
      <c r="L13280" t="s">
        <v>23</v>
      </c>
      <c r="M13280" t="s">
        <v>28793</v>
      </c>
      <c r="N13280" t="s">
        <v>5950</v>
      </c>
      <c r="O13280" t="s">
        <v>33</v>
      </c>
      <c r="P13280">
        <v>15237</v>
      </c>
      <c r="Q13280">
        <v>2054</v>
      </c>
      <c r="R13280" t="s">
        <v>23</v>
      </c>
      <c r="S13280" s="1" t="s">
        <v>34218</v>
      </c>
    </row>
    <row r="13281" spans="1:19" x14ac:dyDescent="0.25">
      <c r="A13281">
        <v>101481176</v>
      </c>
      <c r="B13281" t="s">
        <v>28794</v>
      </c>
      <c r="C13281" t="s">
        <v>1714</v>
      </c>
      <c r="G13281" t="s">
        <v>28795</v>
      </c>
      <c r="H13281" t="s">
        <v>653</v>
      </c>
      <c r="I13281" t="s">
        <v>117</v>
      </c>
      <c r="J13281">
        <v>10002</v>
      </c>
      <c r="K13281">
        <v>1171</v>
      </c>
      <c r="L13281" t="s">
        <v>23</v>
      </c>
      <c r="M13281" t="s">
        <v>28795</v>
      </c>
      <c r="N13281" t="s">
        <v>653</v>
      </c>
      <c r="O13281" t="s">
        <v>117</v>
      </c>
      <c r="P13281">
        <v>10002</v>
      </c>
      <c r="Q13281">
        <v>1171</v>
      </c>
      <c r="R13281" t="s">
        <v>23</v>
      </c>
      <c r="S13281" s="1" t="s">
        <v>34218</v>
      </c>
    </row>
    <row r="13282" spans="1:19" x14ac:dyDescent="0.25">
      <c r="A13282">
        <v>101474774</v>
      </c>
      <c r="B13282" t="s">
        <v>24170</v>
      </c>
      <c r="C13282" t="s">
        <v>90</v>
      </c>
      <c r="G13282" t="s">
        <v>28796</v>
      </c>
      <c r="H13282" t="s">
        <v>4400</v>
      </c>
      <c r="I13282" t="s">
        <v>117</v>
      </c>
      <c r="J13282">
        <v>10701</v>
      </c>
      <c r="K13282">
        <v>5011</v>
      </c>
      <c r="L13282" t="s">
        <v>23</v>
      </c>
      <c r="M13282" t="s">
        <v>28796</v>
      </c>
      <c r="N13282" t="s">
        <v>4400</v>
      </c>
      <c r="O13282" t="s">
        <v>117</v>
      </c>
      <c r="P13282">
        <v>10701</v>
      </c>
      <c r="Q13282">
        <v>5011</v>
      </c>
      <c r="R13282" t="s">
        <v>23</v>
      </c>
      <c r="S13282" s="1" t="s">
        <v>34218</v>
      </c>
    </row>
    <row r="13283" spans="1:19" x14ac:dyDescent="0.25">
      <c r="A13283">
        <v>101474823</v>
      </c>
      <c r="B13283" t="s">
        <v>28797</v>
      </c>
      <c r="C13283" t="s">
        <v>119</v>
      </c>
      <c r="G13283" t="s">
        <v>28798</v>
      </c>
      <c r="H13283" t="s">
        <v>28799</v>
      </c>
      <c r="I13283" t="s">
        <v>52</v>
      </c>
      <c r="J13283">
        <v>32738</v>
      </c>
      <c r="K13283">
        <v>9785</v>
      </c>
      <c r="L13283" t="s">
        <v>23</v>
      </c>
      <c r="M13283" t="s">
        <v>28798</v>
      </c>
      <c r="N13283" t="s">
        <v>28799</v>
      </c>
      <c r="O13283" t="s">
        <v>52</v>
      </c>
      <c r="P13283">
        <v>32738</v>
      </c>
      <c r="Q13283">
        <v>9785</v>
      </c>
      <c r="R13283" t="s">
        <v>23</v>
      </c>
      <c r="S13283" s="1" t="s">
        <v>34218</v>
      </c>
    </row>
    <row r="13284" spans="1:19" x14ac:dyDescent="0.25">
      <c r="A13284">
        <v>101355177</v>
      </c>
      <c r="B13284" t="s">
        <v>19644</v>
      </c>
      <c r="C13284" t="s">
        <v>378</v>
      </c>
      <c r="G13284" t="s">
        <v>28800</v>
      </c>
      <c r="H13284" t="s">
        <v>7125</v>
      </c>
      <c r="I13284" t="s">
        <v>1482</v>
      </c>
      <c r="J13284">
        <v>29708</v>
      </c>
      <c r="K13284">
        <v>7213</v>
      </c>
      <c r="L13284" t="s">
        <v>23</v>
      </c>
      <c r="M13284" t="s">
        <v>28800</v>
      </c>
      <c r="N13284" t="s">
        <v>7125</v>
      </c>
      <c r="O13284" t="s">
        <v>1482</v>
      </c>
      <c r="P13284">
        <v>29708</v>
      </c>
      <c r="Q13284">
        <v>7213</v>
      </c>
      <c r="R13284" t="s">
        <v>23</v>
      </c>
      <c r="S13284" s="1" t="s">
        <v>34218</v>
      </c>
    </row>
    <row r="13285" spans="1:19" x14ac:dyDescent="0.25">
      <c r="A13285">
        <v>101270445</v>
      </c>
      <c r="B13285" t="s">
        <v>12827</v>
      </c>
      <c r="C13285" t="s">
        <v>440</v>
      </c>
      <c r="G13285" t="s">
        <v>28801</v>
      </c>
      <c r="H13285" t="s">
        <v>1531</v>
      </c>
      <c r="I13285" t="s">
        <v>84</v>
      </c>
      <c r="J13285">
        <v>98144</v>
      </c>
      <c r="L13285" t="s">
        <v>23</v>
      </c>
      <c r="M13285" t="s">
        <v>28801</v>
      </c>
      <c r="N13285" t="s">
        <v>1531</v>
      </c>
      <c r="O13285" t="s">
        <v>84</v>
      </c>
      <c r="P13285">
        <v>98144</v>
      </c>
      <c r="R13285" t="s">
        <v>23</v>
      </c>
      <c r="S13285" s="1" t="s">
        <v>34218</v>
      </c>
    </row>
    <row r="13286" spans="1:19" x14ac:dyDescent="0.25">
      <c r="A13286">
        <v>101254641</v>
      </c>
      <c r="B13286" t="s">
        <v>28802</v>
      </c>
      <c r="C13286" t="s">
        <v>1027</v>
      </c>
      <c r="G13286" t="s">
        <v>28803</v>
      </c>
      <c r="H13286" t="s">
        <v>16938</v>
      </c>
      <c r="I13286" t="s">
        <v>38</v>
      </c>
      <c r="J13286">
        <v>76051</v>
      </c>
      <c r="K13286">
        <v>3159</v>
      </c>
      <c r="L13286" t="s">
        <v>23</v>
      </c>
      <c r="M13286" t="s">
        <v>28803</v>
      </c>
      <c r="N13286" t="s">
        <v>16938</v>
      </c>
      <c r="O13286" t="s">
        <v>38</v>
      </c>
      <c r="P13286">
        <v>76051</v>
      </c>
      <c r="Q13286">
        <v>3159</v>
      </c>
      <c r="R13286" t="s">
        <v>23</v>
      </c>
      <c r="S13286" s="1" t="s">
        <v>34218</v>
      </c>
    </row>
    <row r="13287" spans="1:19" x14ac:dyDescent="0.25">
      <c r="A13287">
        <v>101437571</v>
      </c>
      <c r="B13287" t="s">
        <v>28804</v>
      </c>
      <c r="C13287" t="s">
        <v>114</v>
      </c>
      <c r="G13287" t="s">
        <v>28805</v>
      </c>
      <c r="H13287" t="s">
        <v>1698</v>
      </c>
      <c r="I13287" t="s">
        <v>38</v>
      </c>
      <c r="J13287">
        <v>75002</v>
      </c>
      <c r="L13287" t="s">
        <v>23</v>
      </c>
      <c r="M13287" t="s">
        <v>28805</v>
      </c>
      <c r="N13287" t="s">
        <v>1698</v>
      </c>
      <c r="O13287" t="s">
        <v>38</v>
      </c>
      <c r="P13287">
        <v>75002</v>
      </c>
      <c r="R13287" t="s">
        <v>23</v>
      </c>
      <c r="S13287" s="1" t="s">
        <v>34218</v>
      </c>
    </row>
    <row r="13288" spans="1:19" x14ac:dyDescent="0.25">
      <c r="A13288">
        <v>101195377</v>
      </c>
      <c r="B13288" t="s">
        <v>28806</v>
      </c>
      <c r="C13288" t="s">
        <v>894</v>
      </c>
      <c r="G13288" t="s">
        <v>28807</v>
      </c>
      <c r="H13288" t="s">
        <v>6250</v>
      </c>
      <c r="I13288" t="s">
        <v>161</v>
      </c>
      <c r="J13288">
        <v>6880</v>
      </c>
      <c r="L13288" t="s">
        <v>23</v>
      </c>
      <c r="M13288" t="s">
        <v>28807</v>
      </c>
      <c r="N13288" t="s">
        <v>6250</v>
      </c>
      <c r="O13288" t="s">
        <v>161</v>
      </c>
      <c r="P13288">
        <v>6880</v>
      </c>
      <c r="R13288" t="s">
        <v>23</v>
      </c>
      <c r="S13288" s="1" t="s">
        <v>34218</v>
      </c>
    </row>
    <row r="13289" spans="1:19" x14ac:dyDescent="0.25">
      <c r="A13289">
        <v>100998731</v>
      </c>
      <c r="B13289" t="s">
        <v>2238</v>
      </c>
      <c r="C13289" t="s">
        <v>10045</v>
      </c>
      <c r="G13289" t="s">
        <v>28808</v>
      </c>
      <c r="H13289" t="s">
        <v>7505</v>
      </c>
      <c r="I13289" t="s">
        <v>84</v>
      </c>
      <c r="J13289">
        <v>98110</v>
      </c>
      <c r="K13289">
        <v>6209</v>
      </c>
      <c r="L13289" t="s">
        <v>23</v>
      </c>
      <c r="M13289" t="s">
        <v>28808</v>
      </c>
      <c r="N13289" t="s">
        <v>7505</v>
      </c>
      <c r="O13289" t="s">
        <v>84</v>
      </c>
      <c r="P13289">
        <v>98110</v>
      </c>
      <c r="Q13289">
        <v>6209</v>
      </c>
      <c r="R13289" t="s">
        <v>23</v>
      </c>
      <c r="S13289" s="1" t="s">
        <v>34218</v>
      </c>
    </row>
    <row r="13290" spans="1:19" x14ac:dyDescent="0.25">
      <c r="A13290">
        <v>101056272</v>
      </c>
      <c r="B13290" t="s">
        <v>28809</v>
      </c>
      <c r="C13290" t="s">
        <v>119</v>
      </c>
      <c r="G13290" t="s">
        <v>28810</v>
      </c>
      <c r="H13290" t="s">
        <v>8046</v>
      </c>
      <c r="I13290" t="s">
        <v>178</v>
      </c>
      <c r="J13290">
        <v>44118</v>
      </c>
      <c r="K13290">
        <v>1536</v>
      </c>
      <c r="L13290" t="s">
        <v>23</v>
      </c>
      <c r="M13290" t="s">
        <v>28810</v>
      </c>
      <c r="N13290" t="s">
        <v>8046</v>
      </c>
      <c r="O13290" t="s">
        <v>178</v>
      </c>
      <c r="P13290">
        <v>44118</v>
      </c>
      <c r="Q13290">
        <v>1536</v>
      </c>
      <c r="R13290" t="s">
        <v>23</v>
      </c>
      <c r="S13290" s="1" t="s">
        <v>34218</v>
      </c>
    </row>
    <row r="13291" spans="1:19" x14ac:dyDescent="0.25">
      <c r="A13291">
        <v>101452920</v>
      </c>
      <c r="B13291" t="s">
        <v>20866</v>
      </c>
      <c r="C13291" t="s">
        <v>12846</v>
      </c>
      <c r="G13291" t="s">
        <v>28811</v>
      </c>
      <c r="H13291" t="s">
        <v>1985</v>
      </c>
      <c r="I13291" t="s">
        <v>71</v>
      </c>
      <c r="J13291">
        <v>80909</v>
      </c>
      <c r="K13291">
        <v>1524</v>
      </c>
      <c r="L13291" t="s">
        <v>23</v>
      </c>
      <c r="M13291" t="s">
        <v>28811</v>
      </c>
      <c r="N13291" t="s">
        <v>1985</v>
      </c>
      <c r="O13291" t="s">
        <v>71</v>
      </c>
      <c r="P13291">
        <v>80909</v>
      </c>
      <c r="Q13291">
        <v>1524</v>
      </c>
      <c r="R13291" t="s">
        <v>23</v>
      </c>
      <c r="S13291" s="1" t="s">
        <v>34218</v>
      </c>
    </row>
    <row r="13292" spans="1:19" x14ac:dyDescent="0.25">
      <c r="A13292">
        <v>101465776</v>
      </c>
      <c r="B13292" t="s">
        <v>7626</v>
      </c>
      <c r="C13292" t="s">
        <v>2343</v>
      </c>
      <c r="G13292" t="s">
        <v>28812</v>
      </c>
      <c r="H13292" t="s">
        <v>311</v>
      </c>
      <c r="I13292" t="s">
        <v>22</v>
      </c>
      <c r="J13292">
        <v>90804</v>
      </c>
      <c r="K13292">
        <v>4914</v>
      </c>
      <c r="L13292" t="s">
        <v>23</v>
      </c>
      <c r="M13292" t="s">
        <v>28812</v>
      </c>
      <c r="N13292" t="s">
        <v>311</v>
      </c>
      <c r="O13292" t="s">
        <v>22</v>
      </c>
      <c r="P13292">
        <v>90804</v>
      </c>
      <c r="Q13292">
        <v>4914</v>
      </c>
      <c r="R13292" t="s">
        <v>23</v>
      </c>
      <c r="S13292" s="1" t="s">
        <v>34218</v>
      </c>
    </row>
    <row r="13293" spans="1:19" x14ac:dyDescent="0.25">
      <c r="A13293">
        <v>101265582</v>
      </c>
      <c r="B13293" t="s">
        <v>1187</v>
      </c>
      <c r="C13293" t="s">
        <v>2603</v>
      </c>
      <c r="G13293" t="s">
        <v>28813</v>
      </c>
      <c r="H13293" t="s">
        <v>6735</v>
      </c>
      <c r="I13293" t="s">
        <v>236</v>
      </c>
      <c r="J13293">
        <v>1966</v>
      </c>
      <c r="L13293" t="s">
        <v>23</v>
      </c>
      <c r="M13293" t="s">
        <v>28813</v>
      </c>
      <c r="N13293" t="s">
        <v>6735</v>
      </c>
      <c r="O13293" t="s">
        <v>236</v>
      </c>
      <c r="P13293">
        <v>1966</v>
      </c>
      <c r="R13293" t="s">
        <v>23</v>
      </c>
      <c r="S13293" s="1" t="s">
        <v>34218</v>
      </c>
    </row>
    <row r="13294" spans="1:19" x14ac:dyDescent="0.25">
      <c r="A13294">
        <v>101352026</v>
      </c>
      <c r="B13294" t="s">
        <v>28814</v>
      </c>
      <c r="C13294" t="s">
        <v>3909</v>
      </c>
      <c r="G13294" t="s">
        <v>28815</v>
      </c>
      <c r="H13294" t="s">
        <v>4570</v>
      </c>
      <c r="I13294" t="s">
        <v>22</v>
      </c>
      <c r="J13294">
        <v>90291</v>
      </c>
      <c r="K13294">
        <v>2806</v>
      </c>
      <c r="L13294" t="s">
        <v>23</v>
      </c>
      <c r="M13294" t="s">
        <v>28815</v>
      </c>
      <c r="N13294" t="s">
        <v>4570</v>
      </c>
      <c r="O13294" t="s">
        <v>22</v>
      </c>
      <c r="P13294">
        <v>90291</v>
      </c>
      <c r="Q13294">
        <v>2806</v>
      </c>
      <c r="R13294" t="s">
        <v>23</v>
      </c>
      <c r="S13294" s="1" t="s">
        <v>34218</v>
      </c>
    </row>
    <row r="13295" spans="1:19" x14ac:dyDescent="0.25">
      <c r="A13295">
        <v>100921536</v>
      </c>
      <c r="B13295" t="s">
        <v>28816</v>
      </c>
      <c r="C13295" t="s">
        <v>286</v>
      </c>
      <c r="G13295" t="s">
        <v>28817</v>
      </c>
      <c r="H13295" t="s">
        <v>19008</v>
      </c>
      <c r="I13295" t="s">
        <v>33</v>
      </c>
      <c r="J13295">
        <v>17522</v>
      </c>
      <c r="K13295">
        <v>2814</v>
      </c>
      <c r="L13295" t="s">
        <v>23</v>
      </c>
      <c r="M13295" t="s">
        <v>28817</v>
      </c>
      <c r="N13295" t="s">
        <v>19008</v>
      </c>
      <c r="O13295" t="s">
        <v>33</v>
      </c>
      <c r="P13295">
        <v>17522</v>
      </c>
      <c r="Q13295">
        <v>2814</v>
      </c>
      <c r="R13295" t="s">
        <v>23</v>
      </c>
      <c r="S13295" s="1" t="s">
        <v>34218</v>
      </c>
    </row>
    <row r="13296" spans="1:19" x14ac:dyDescent="0.25">
      <c r="A13296">
        <v>101045566</v>
      </c>
      <c r="B13296" t="s">
        <v>17841</v>
      </c>
      <c r="C13296" t="s">
        <v>2127</v>
      </c>
      <c r="G13296" t="s">
        <v>17842</v>
      </c>
      <c r="H13296" t="s">
        <v>17294</v>
      </c>
      <c r="I13296" t="s">
        <v>236</v>
      </c>
      <c r="J13296">
        <v>2131</v>
      </c>
      <c r="K13296">
        <v>1430</v>
      </c>
      <c r="L13296" t="s">
        <v>23</v>
      </c>
      <c r="M13296" t="s">
        <v>17842</v>
      </c>
      <c r="N13296" t="s">
        <v>17294</v>
      </c>
      <c r="O13296" t="s">
        <v>236</v>
      </c>
      <c r="P13296">
        <v>2131</v>
      </c>
      <c r="Q13296">
        <v>1430</v>
      </c>
      <c r="R13296" t="s">
        <v>23</v>
      </c>
      <c r="S13296" s="1" t="s">
        <v>34218</v>
      </c>
    </row>
    <row r="13297" spans="1:19" x14ac:dyDescent="0.25">
      <c r="A13297">
        <v>101432188</v>
      </c>
      <c r="B13297" t="s">
        <v>4962</v>
      </c>
      <c r="C13297" t="s">
        <v>1239</v>
      </c>
      <c r="G13297" t="s">
        <v>28818</v>
      </c>
      <c r="H13297" t="s">
        <v>3859</v>
      </c>
      <c r="I13297" t="s">
        <v>57</v>
      </c>
      <c r="J13297">
        <v>47424</v>
      </c>
      <c r="K13297">
        <v>7002</v>
      </c>
      <c r="L13297" t="s">
        <v>23</v>
      </c>
      <c r="M13297" t="s">
        <v>28818</v>
      </c>
      <c r="N13297" t="s">
        <v>3859</v>
      </c>
      <c r="O13297" t="s">
        <v>57</v>
      </c>
      <c r="P13297">
        <v>47424</v>
      </c>
      <c r="Q13297">
        <v>7002</v>
      </c>
      <c r="R13297" t="s">
        <v>23</v>
      </c>
      <c r="S13297" s="1" t="s">
        <v>34218</v>
      </c>
    </row>
    <row r="13298" spans="1:19" x14ac:dyDescent="0.25">
      <c r="A13298">
        <v>101468520</v>
      </c>
      <c r="B13298" t="s">
        <v>18619</v>
      </c>
      <c r="C13298" t="s">
        <v>1484</v>
      </c>
      <c r="G13298" t="s">
        <v>28819</v>
      </c>
      <c r="H13298" t="s">
        <v>1748</v>
      </c>
      <c r="I13298" t="s">
        <v>307</v>
      </c>
      <c r="J13298">
        <v>5250</v>
      </c>
      <c r="K13298">
        <v>8518</v>
      </c>
      <c r="L13298" t="s">
        <v>23</v>
      </c>
      <c r="M13298" t="s">
        <v>28819</v>
      </c>
      <c r="N13298" t="s">
        <v>1748</v>
      </c>
      <c r="O13298" t="s">
        <v>307</v>
      </c>
      <c r="P13298">
        <v>5250</v>
      </c>
      <c r="Q13298">
        <v>8518</v>
      </c>
      <c r="R13298" t="s">
        <v>23</v>
      </c>
      <c r="S13298" s="1" t="s">
        <v>34218</v>
      </c>
    </row>
    <row r="13299" spans="1:19" x14ac:dyDescent="0.25">
      <c r="A13299">
        <v>101470153</v>
      </c>
      <c r="B13299" t="s">
        <v>28820</v>
      </c>
      <c r="C13299" t="s">
        <v>3643</v>
      </c>
      <c r="G13299" t="s">
        <v>28821</v>
      </c>
      <c r="H13299" t="s">
        <v>471</v>
      </c>
      <c r="I13299" t="s">
        <v>365</v>
      </c>
      <c r="J13299">
        <v>85260</v>
      </c>
      <c r="L13299" t="s">
        <v>23</v>
      </c>
      <c r="M13299" t="s">
        <v>28821</v>
      </c>
      <c r="N13299" t="s">
        <v>471</v>
      </c>
      <c r="O13299" t="s">
        <v>365</v>
      </c>
      <c r="P13299">
        <v>85260</v>
      </c>
      <c r="R13299" t="s">
        <v>23</v>
      </c>
      <c r="S13299" s="1" t="s">
        <v>34218</v>
      </c>
    </row>
    <row r="13300" spans="1:19" x14ac:dyDescent="0.25">
      <c r="A13300">
        <v>100664850</v>
      </c>
      <c r="B13300" t="s">
        <v>28822</v>
      </c>
      <c r="C13300" t="s">
        <v>28823</v>
      </c>
      <c r="G13300" t="s">
        <v>28824</v>
      </c>
      <c r="H13300" t="s">
        <v>1628</v>
      </c>
      <c r="I13300" t="s">
        <v>1000</v>
      </c>
      <c r="J13300">
        <v>59047</v>
      </c>
      <c r="K13300">
        <v>8702</v>
      </c>
      <c r="L13300" t="s">
        <v>23</v>
      </c>
      <c r="M13300" t="s">
        <v>28824</v>
      </c>
      <c r="N13300" t="s">
        <v>1628</v>
      </c>
      <c r="O13300" t="s">
        <v>1000</v>
      </c>
      <c r="P13300">
        <v>59047</v>
      </c>
      <c r="Q13300">
        <v>8702</v>
      </c>
      <c r="R13300" t="s">
        <v>23</v>
      </c>
      <c r="S13300" s="1" t="s">
        <v>34218</v>
      </c>
    </row>
    <row r="13301" spans="1:19" x14ac:dyDescent="0.25">
      <c r="A13301">
        <v>101466280</v>
      </c>
      <c r="B13301" t="s">
        <v>15794</v>
      </c>
      <c r="C13301" t="s">
        <v>1444</v>
      </c>
      <c r="G13301" t="s">
        <v>28825</v>
      </c>
      <c r="H13301" t="s">
        <v>7886</v>
      </c>
      <c r="I13301" t="s">
        <v>178</v>
      </c>
      <c r="J13301">
        <v>44313</v>
      </c>
      <c r="K13301">
        <v>5062</v>
      </c>
      <c r="L13301" t="s">
        <v>23</v>
      </c>
      <c r="M13301" t="s">
        <v>28825</v>
      </c>
      <c r="N13301" t="s">
        <v>7886</v>
      </c>
      <c r="O13301" t="s">
        <v>178</v>
      </c>
      <c r="P13301">
        <v>44313</v>
      </c>
      <c r="Q13301">
        <v>5062</v>
      </c>
      <c r="R13301" t="s">
        <v>23</v>
      </c>
      <c r="S13301" s="1" t="s">
        <v>34218</v>
      </c>
    </row>
    <row r="13302" spans="1:19" x14ac:dyDescent="0.25">
      <c r="A13302">
        <v>101431351</v>
      </c>
      <c r="B13302" t="s">
        <v>28826</v>
      </c>
      <c r="C13302" t="s">
        <v>959</v>
      </c>
      <c r="G13302" t="s">
        <v>28827</v>
      </c>
      <c r="H13302" t="s">
        <v>13826</v>
      </c>
      <c r="I13302" t="s">
        <v>255</v>
      </c>
      <c r="J13302">
        <v>23139</v>
      </c>
      <c r="K13302">
        <v>6917</v>
      </c>
      <c r="L13302" t="s">
        <v>23</v>
      </c>
      <c r="M13302" t="s">
        <v>28827</v>
      </c>
      <c r="N13302" t="s">
        <v>13826</v>
      </c>
      <c r="O13302" t="s">
        <v>255</v>
      </c>
      <c r="P13302">
        <v>23139</v>
      </c>
      <c r="Q13302">
        <v>6917</v>
      </c>
      <c r="R13302" t="s">
        <v>23</v>
      </c>
      <c r="S13302" s="1" t="s">
        <v>34218</v>
      </c>
    </row>
    <row r="13303" spans="1:19" x14ac:dyDescent="0.25">
      <c r="A13303">
        <v>101238973</v>
      </c>
      <c r="B13303" t="s">
        <v>5057</v>
      </c>
      <c r="C13303" t="s">
        <v>1703</v>
      </c>
      <c r="G13303" t="s">
        <v>28828</v>
      </c>
      <c r="H13303" t="s">
        <v>28829</v>
      </c>
      <c r="I13303" t="s">
        <v>43</v>
      </c>
      <c r="J13303">
        <v>97707</v>
      </c>
      <c r="L13303" t="s">
        <v>23</v>
      </c>
      <c r="M13303" t="s">
        <v>28828</v>
      </c>
      <c r="N13303" t="s">
        <v>28829</v>
      </c>
      <c r="O13303" t="s">
        <v>43</v>
      </c>
      <c r="P13303">
        <v>97707</v>
      </c>
      <c r="R13303" t="s">
        <v>23</v>
      </c>
      <c r="S13303" s="1" t="s">
        <v>34218</v>
      </c>
    </row>
    <row r="13304" spans="1:19" x14ac:dyDescent="0.25">
      <c r="A13304">
        <v>101450337</v>
      </c>
      <c r="B13304" t="s">
        <v>28830</v>
      </c>
      <c r="C13304" t="s">
        <v>155</v>
      </c>
      <c r="G13304" t="s">
        <v>28831</v>
      </c>
      <c r="H13304" t="s">
        <v>1625</v>
      </c>
      <c r="I13304" t="s">
        <v>702</v>
      </c>
      <c r="J13304">
        <v>89012</v>
      </c>
      <c r="K13304">
        <v>3257</v>
      </c>
      <c r="L13304" t="s">
        <v>23</v>
      </c>
      <c r="M13304" t="s">
        <v>28831</v>
      </c>
      <c r="N13304" t="s">
        <v>1625</v>
      </c>
      <c r="O13304" t="s">
        <v>702</v>
      </c>
      <c r="P13304">
        <v>89012</v>
      </c>
      <c r="Q13304">
        <v>3257</v>
      </c>
      <c r="R13304" t="s">
        <v>23</v>
      </c>
      <c r="S13304" s="1" t="s">
        <v>34218</v>
      </c>
    </row>
    <row r="13305" spans="1:19" x14ac:dyDescent="0.25">
      <c r="A13305">
        <v>101473808</v>
      </c>
      <c r="B13305" t="s">
        <v>28832</v>
      </c>
      <c r="C13305" t="s">
        <v>406</v>
      </c>
      <c r="G13305" t="s">
        <v>28833</v>
      </c>
      <c r="H13305" t="s">
        <v>12744</v>
      </c>
      <c r="I13305" t="s">
        <v>365</v>
      </c>
      <c r="J13305">
        <v>85351</v>
      </c>
      <c r="K13305">
        <v>4831</v>
      </c>
      <c r="L13305" t="s">
        <v>23</v>
      </c>
      <c r="M13305" t="s">
        <v>28833</v>
      </c>
      <c r="N13305" t="s">
        <v>12744</v>
      </c>
      <c r="O13305" t="s">
        <v>365</v>
      </c>
      <c r="P13305">
        <v>85351</v>
      </c>
      <c r="Q13305">
        <v>4831</v>
      </c>
      <c r="R13305" t="s">
        <v>23</v>
      </c>
      <c r="S13305" s="1" t="s">
        <v>34218</v>
      </c>
    </row>
    <row r="13306" spans="1:19" x14ac:dyDescent="0.25">
      <c r="A13306">
        <v>101423304</v>
      </c>
      <c r="B13306" t="s">
        <v>1204</v>
      </c>
      <c r="C13306" t="s">
        <v>1205</v>
      </c>
      <c r="G13306" t="s">
        <v>28834</v>
      </c>
      <c r="H13306" t="s">
        <v>6973</v>
      </c>
      <c r="I13306" t="s">
        <v>2566</v>
      </c>
      <c r="J13306">
        <v>99835</v>
      </c>
      <c r="K13306">
        <v>9552</v>
      </c>
      <c r="L13306" t="s">
        <v>23</v>
      </c>
      <c r="M13306" t="s">
        <v>28834</v>
      </c>
      <c r="N13306" t="s">
        <v>6973</v>
      </c>
      <c r="O13306" t="s">
        <v>2566</v>
      </c>
      <c r="P13306">
        <v>99835</v>
      </c>
      <c r="Q13306">
        <v>9552</v>
      </c>
      <c r="R13306" t="s">
        <v>23</v>
      </c>
      <c r="S13306" s="1" t="s">
        <v>34218</v>
      </c>
    </row>
    <row r="13307" spans="1:19" x14ac:dyDescent="0.25">
      <c r="A13307">
        <v>100820948</v>
      </c>
      <c r="B13307" t="s">
        <v>28835</v>
      </c>
      <c r="C13307" t="s">
        <v>2127</v>
      </c>
      <c r="G13307" t="s">
        <v>28836</v>
      </c>
      <c r="H13307" t="s">
        <v>4091</v>
      </c>
      <c r="I13307" t="s">
        <v>84</v>
      </c>
      <c r="J13307">
        <v>98155</v>
      </c>
      <c r="K13307">
        <v>1567</v>
      </c>
      <c r="L13307" t="s">
        <v>23</v>
      </c>
      <c r="M13307" t="s">
        <v>28836</v>
      </c>
      <c r="N13307" t="s">
        <v>4091</v>
      </c>
      <c r="O13307" t="s">
        <v>84</v>
      </c>
      <c r="P13307">
        <v>98155</v>
      </c>
      <c r="Q13307">
        <v>1567</v>
      </c>
      <c r="R13307" t="s">
        <v>23</v>
      </c>
      <c r="S13307" s="1" t="s">
        <v>34218</v>
      </c>
    </row>
    <row r="13308" spans="1:19" x14ac:dyDescent="0.25">
      <c r="A13308">
        <v>101474392</v>
      </c>
      <c r="B13308" t="s">
        <v>5180</v>
      </c>
      <c r="C13308" t="s">
        <v>403</v>
      </c>
      <c r="G13308" t="s">
        <v>28837</v>
      </c>
      <c r="H13308" t="s">
        <v>653</v>
      </c>
      <c r="I13308" t="s">
        <v>117</v>
      </c>
      <c r="J13308">
        <v>10128</v>
      </c>
      <c r="K13308">
        <v>144</v>
      </c>
      <c r="L13308" t="s">
        <v>23</v>
      </c>
      <c r="M13308" t="s">
        <v>28837</v>
      </c>
      <c r="N13308" t="s">
        <v>653</v>
      </c>
      <c r="O13308" t="s">
        <v>117</v>
      </c>
      <c r="P13308">
        <v>10128</v>
      </c>
      <c r="Q13308">
        <v>144</v>
      </c>
      <c r="R13308" t="s">
        <v>23</v>
      </c>
      <c r="S13308" s="1" t="s">
        <v>34218</v>
      </c>
    </row>
    <row r="13309" spans="1:19" x14ac:dyDescent="0.25">
      <c r="A13309">
        <v>101151731</v>
      </c>
      <c r="B13309" t="s">
        <v>11506</v>
      </c>
      <c r="C13309" t="s">
        <v>28838</v>
      </c>
      <c r="G13309" t="s">
        <v>28839</v>
      </c>
      <c r="H13309" t="s">
        <v>3466</v>
      </c>
      <c r="I13309" t="s">
        <v>22</v>
      </c>
      <c r="J13309">
        <v>94805</v>
      </c>
      <c r="K13309">
        <v>1225</v>
      </c>
      <c r="L13309" t="s">
        <v>23</v>
      </c>
      <c r="M13309" t="s">
        <v>28839</v>
      </c>
      <c r="N13309" t="s">
        <v>3466</v>
      </c>
      <c r="O13309" t="s">
        <v>22</v>
      </c>
      <c r="P13309">
        <v>94805</v>
      </c>
      <c r="Q13309">
        <v>1225</v>
      </c>
      <c r="R13309" t="s">
        <v>23</v>
      </c>
      <c r="S13309" s="1" t="s">
        <v>34218</v>
      </c>
    </row>
    <row r="13310" spans="1:19" x14ac:dyDescent="0.25">
      <c r="A13310">
        <v>101473950</v>
      </c>
      <c r="B13310" t="s">
        <v>247</v>
      </c>
      <c r="C13310" t="s">
        <v>1698</v>
      </c>
      <c r="G13310" t="s">
        <v>28840</v>
      </c>
      <c r="H13310" t="s">
        <v>28841</v>
      </c>
      <c r="I13310" t="s">
        <v>38</v>
      </c>
      <c r="J13310">
        <v>78577</v>
      </c>
      <c r="K13310">
        <v>5106</v>
      </c>
      <c r="L13310" t="s">
        <v>23</v>
      </c>
      <c r="M13310" t="s">
        <v>28840</v>
      </c>
      <c r="N13310" t="s">
        <v>28841</v>
      </c>
      <c r="O13310" t="s">
        <v>38</v>
      </c>
      <c r="P13310">
        <v>78577</v>
      </c>
      <c r="Q13310">
        <v>5106</v>
      </c>
      <c r="R13310" t="s">
        <v>23</v>
      </c>
      <c r="S13310" s="1" t="s">
        <v>34218</v>
      </c>
    </row>
    <row r="13311" spans="1:19" x14ac:dyDescent="0.25">
      <c r="A13311">
        <v>101450789</v>
      </c>
      <c r="B13311" t="s">
        <v>16866</v>
      </c>
      <c r="C13311" t="s">
        <v>2515</v>
      </c>
      <c r="G13311" t="s">
        <v>28842</v>
      </c>
      <c r="H13311" t="s">
        <v>28201</v>
      </c>
      <c r="I13311" t="s">
        <v>365</v>
      </c>
      <c r="J13311">
        <v>85123</v>
      </c>
      <c r="L13311" t="s">
        <v>23</v>
      </c>
      <c r="M13311" t="s">
        <v>28842</v>
      </c>
      <c r="N13311" t="s">
        <v>28201</v>
      </c>
      <c r="O13311" t="s">
        <v>365</v>
      </c>
      <c r="P13311">
        <v>85123</v>
      </c>
      <c r="R13311" t="s">
        <v>23</v>
      </c>
      <c r="S13311" s="1" t="s">
        <v>34218</v>
      </c>
    </row>
    <row r="13312" spans="1:19" x14ac:dyDescent="0.25">
      <c r="A13312">
        <v>101284832</v>
      </c>
      <c r="B13312" t="s">
        <v>1505</v>
      </c>
      <c r="C13312" t="s">
        <v>90</v>
      </c>
      <c r="G13312" t="s">
        <v>28843</v>
      </c>
      <c r="H13312" t="s">
        <v>1376</v>
      </c>
      <c r="I13312" t="s">
        <v>140</v>
      </c>
      <c r="J13312">
        <v>48367</v>
      </c>
      <c r="K13312">
        <v>1803</v>
      </c>
      <c r="L13312" t="s">
        <v>23</v>
      </c>
      <c r="M13312" t="s">
        <v>28843</v>
      </c>
      <c r="N13312" t="s">
        <v>1376</v>
      </c>
      <c r="O13312" t="s">
        <v>140</v>
      </c>
      <c r="P13312">
        <v>48367</v>
      </c>
      <c r="Q13312">
        <v>1803</v>
      </c>
      <c r="R13312" t="s">
        <v>23</v>
      </c>
      <c r="S13312" s="1" t="s">
        <v>34218</v>
      </c>
    </row>
    <row r="13313" spans="1:19" x14ac:dyDescent="0.25">
      <c r="A13313">
        <v>101472624</v>
      </c>
      <c r="B13313" t="s">
        <v>28844</v>
      </c>
      <c r="C13313" t="s">
        <v>22056</v>
      </c>
      <c r="G13313" t="s">
        <v>28845</v>
      </c>
      <c r="H13313" t="s">
        <v>7595</v>
      </c>
      <c r="I13313" t="s">
        <v>52</v>
      </c>
      <c r="J13313">
        <v>34689</v>
      </c>
      <c r="K13313">
        <v>3911</v>
      </c>
      <c r="L13313" t="s">
        <v>23</v>
      </c>
      <c r="M13313" t="s">
        <v>28845</v>
      </c>
      <c r="N13313" t="s">
        <v>7595</v>
      </c>
      <c r="O13313" t="s">
        <v>52</v>
      </c>
      <c r="P13313">
        <v>34689</v>
      </c>
      <c r="Q13313">
        <v>3911</v>
      </c>
      <c r="R13313" t="s">
        <v>23</v>
      </c>
      <c r="S13313" s="1" t="s">
        <v>34218</v>
      </c>
    </row>
    <row r="13314" spans="1:19" x14ac:dyDescent="0.25">
      <c r="A13314">
        <v>100524454</v>
      </c>
      <c r="B13314" t="s">
        <v>28846</v>
      </c>
      <c r="C13314" t="s">
        <v>193</v>
      </c>
      <c r="G13314" t="s">
        <v>28847</v>
      </c>
      <c r="H13314" t="s">
        <v>2396</v>
      </c>
      <c r="I13314" t="s">
        <v>52</v>
      </c>
      <c r="J13314" t="s">
        <v>28848</v>
      </c>
      <c r="K13314">
        <v>6644</v>
      </c>
      <c r="L13314" t="s">
        <v>23</v>
      </c>
      <c r="M13314" t="s">
        <v>28847</v>
      </c>
      <c r="N13314" t="s">
        <v>2396</v>
      </c>
      <c r="O13314" t="s">
        <v>52</v>
      </c>
      <c r="P13314" t="s">
        <v>28848</v>
      </c>
      <c r="Q13314">
        <v>6644</v>
      </c>
      <c r="R13314" t="s">
        <v>23</v>
      </c>
      <c r="S13314" s="1" t="s">
        <v>34218</v>
      </c>
    </row>
    <row r="13315" spans="1:19" x14ac:dyDescent="0.25">
      <c r="A13315">
        <v>101473074</v>
      </c>
      <c r="B13315" t="s">
        <v>28849</v>
      </c>
      <c r="C13315" t="s">
        <v>123</v>
      </c>
      <c r="G13315" t="s">
        <v>28850</v>
      </c>
      <c r="H13315" t="s">
        <v>5675</v>
      </c>
      <c r="I13315" t="s">
        <v>33</v>
      </c>
      <c r="J13315">
        <v>16801</v>
      </c>
      <c r="K13315">
        <v>4926</v>
      </c>
      <c r="L13315" t="s">
        <v>23</v>
      </c>
      <c r="M13315" t="s">
        <v>28850</v>
      </c>
      <c r="N13315" t="s">
        <v>5675</v>
      </c>
      <c r="O13315" t="s">
        <v>33</v>
      </c>
      <c r="P13315">
        <v>16801</v>
      </c>
      <c r="Q13315">
        <v>4926</v>
      </c>
      <c r="R13315" t="s">
        <v>23</v>
      </c>
      <c r="S13315" s="1" t="s">
        <v>34218</v>
      </c>
    </row>
    <row r="13316" spans="1:19" x14ac:dyDescent="0.25">
      <c r="A13316">
        <v>101479820</v>
      </c>
      <c r="B13316" t="s">
        <v>28851</v>
      </c>
      <c r="C13316" t="s">
        <v>30</v>
      </c>
      <c r="G13316" t="s">
        <v>28852</v>
      </c>
      <c r="H13316" t="s">
        <v>1273</v>
      </c>
      <c r="I13316" t="s">
        <v>52</v>
      </c>
      <c r="J13316">
        <v>32137</v>
      </c>
      <c r="K13316">
        <v>8004</v>
      </c>
      <c r="L13316" t="s">
        <v>23</v>
      </c>
      <c r="M13316" t="s">
        <v>28852</v>
      </c>
      <c r="N13316" t="s">
        <v>1273</v>
      </c>
      <c r="O13316" t="s">
        <v>52</v>
      </c>
      <c r="P13316">
        <v>32137</v>
      </c>
      <c r="Q13316">
        <v>8004</v>
      </c>
      <c r="R13316" t="s">
        <v>23</v>
      </c>
      <c r="S13316" s="1" t="s">
        <v>34218</v>
      </c>
    </row>
    <row r="13317" spans="1:19" x14ac:dyDescent="0.25">
      <c r="A13317">
        <v>101480653</v>
      </c>
      <c r="B13317" t="s">
        <v>28853</v>
      </c>
      <c r="C13317" t="s">
        <v>28854</v>
      </c>
      <c r="G13317" t="s">
        <v>28855</v>
      </c>
      <c r="H13317" t="s">
        <v>423</v>
      </c>
      <c r="I13317" t="s">
        <v>71</v>
      </c>
      <c r="J13317">
        <v>80301</v>
      </c>
      <c r="K13317">
        <v>3028</v>
      </c>
      <c r="L13317" t="s">
        <v>23</v>
      </c>
      <c r="M13317" t="s">
        <v>28855</v>
      </c>
      <c r="N13317" t="s">
        <v>423</v>
      </c>
      <c r="O13317" t="s">
        <v>71</v>
      </c>
      <c r="P13317">
        <v>80301</v>
      </c>
      <c r="Q13317">
        <v>3028</v>
      </c>
      <c r="R13317" t="s">
        <v>23</v>
      </c>
      <c r="S13317" s="1" t="s">
        <v>34218</v>
      </c>
    </row>
    <row r="13318" spans="1:19" x14ac:dyDescent="0.25">
      <c r="A13318">
        <v>100978445</v>
      </c>
      <c r="B13318" t="s">
        <v>28856</v>
      </c>
      <c r="C13318" t="s">
        <v>6917</v>
      </c>
      <c r="G13318" t="s">
        <v>28857</v>
      </c>
      <c r="H13318" t="s">
        <v>147</v>
      </c>
      <c r="I13318" t="s">
        <v>38</v>
      </c>
      <c r="J13318">
        <v>77501</v>
      </c>
      <c r="L13318" t="s">
        <v>23</v>
      </c>
      <c r="M13318" t="s">
        <v>28857</v>
      </c>
      <c r="N13318" t="s">
        <v>147</v>
      </c>
      <c r="O13318" t="s">
        <v>38</v>
      </c>
      <c r="P13318">
        <v>77501</v>
      </c>
      <c r="R13318" t="s">
        <v>23</v>
      </c>
      <c r="S13318" s="1" t="s">
        <v>34218</v>
      </c>
    </row>
    <row r="13319" spans="1:19" x14ac:dyDescent="0.25">
      <c r="A13319">
        <v>101406982</v>
      </c>
      <c r="B13319" t="s">
        <v>557</v>
      </c>
      <c r="C13319" t="s">
        <v>28858</v>
      </c>
      <c r="G13319" t="s">
        <v>28859</v>
      </c>
      <c r="H13319" t="s">
        <v>13596</v>
      </c>
      <c r="I13319" t="s">
        <v>28</v>
      </c>
      <c r="J13319">
        <v>30152</v>
      </c>
      <c r="K13319">
        <v>4423</v>
      </c>
      <c r="L13319" t="s">
        <v>23</v>
      </c>
      <c r="M13319" t="s">
        <v>28859</v>
      </c>
      <c r="N13319" t="s">
        <v>13596</v>
      </c>
      <c r="O13319" t="s">
        <v>28</v>
      </c>
      <c r="P13319">
        <v>30152</v>
      </c>
      <c r="Q13319">
        <v>4423</v>
      </c>
      <c r="R13319" t="s">
        <v>23</v>
      </c>
      <c r="S13319" s="1" t="s">
        <v>34218</v>
      </c>
    </row>
    <row r="13320" spans="1:19" x14ac:dyDescent="0.25">
      <c r="A13320">
        <v>101249289</v>
      </c>
      <c r="B13320" t="s">
        <v>28860</v>
      </c>
      <c r="C13320" t="s">
        <v>1939</v>
      </c>
      <c r="G13320" t="s">
        <v>28861</v>
      </c>
      <c r="H13320" t="s">
        <v>650</v>
      </c>
      <c r="I13320" t="s">
        <v>22</v>
      </c>
      <c r="J13320">
        <v>95827</v>
      </c>
      <c r="K13320">
        <v>1132</v>
      </c>
      <c r="L13320" t="s">
        <v>23</v>
      </c>
      <c r="M13320" t="s">
        <v>28861</v>
      </c>
      <c r="N13320" t="s">
        <v>650</v>
      </c>
      <c r="O13320" t="s">
        <v>22</v>
      </c>
      <c r="P13320">
        <v>95827</v>
      </c>
      <c r="Q13320">
        <v>1132</v>
      </c>
      <c r="R13320" t="s">
        <v>23</v>
      </c>
      <c r="S13320" s="1" t="s">
        <v>34218</v>
      </c>
    </row>
    <row r="13321" spans="1:19" x14ac:dyDescent="0.25">
      <c r="A13321">
        <v>101471732</v>
      </c>
      <c r="B13321" t="s">
        <v>27328</v>
      </c>
      <c r="C13321" t="s">
        <v>2343</v>
      </c>
      <c r="G13321" t="s">
        <v>27329</v>
      </c>
      <c r="H13321" t="s">
        <v>1439</v>
      </c>
      <c r="I13321" t="s">
        <v>365</v>
      </c>
      <c r="J13321">
        <v>85750</v>
      </c>
      <c r="K13321">
        <v>2123</v>
      </c>
      <c r="L13321" t="s">
        <v>23</v>
      </c>
      <c r="M13321" t="s">
        <v>27329</v>
      </c>
      <c r="N13321" t="s">
        <v>1439</v>
      </c>
      <c r="O13321" t="s">
        <v>365</v>
      </c>
      <c r="P13321">
        <v>85750</v>
      </c>
      <c r="Q13321">
        <v>2123</v>
      </c>
      <c r="R13321" t="s">
        <v>23</v>
      </c>
      <c r="S13321" s="1" t="s">
        <v>34218</v>
      </c>
    </row>
    <row r="13322" spans="1:19" x14ac:dyDescent="0.25">
      <c r="A13322">
        <v>101423276</v>
      </c>
      <c r="B13322" t="s">
        <v>28862</v>
      </c>
      <c r="C13322" t="s">
        <v>7667</v>
      </c>
      <c r="G13322" t="s">
        <v>28863</v>
      </c>
      <c r="H13322" t="s">
        <v>28864</v>
      </c>
      <c r="I13322" t="s">
        <v>33</v>
      </c>
      <c r="J13322">
        <v>16213</v>
      </c>
      <c r="L13322" t="s">
        <v>23</v>
      </c>
      <c r="M13322" t="s">
        <v>28863</v>
      </c>
      <c r="N13322" t="s">
        <v>28864</v>
      </c>
      <c r="O13322" t="s">
        <v>33</v>
      </c>
      <c r="P13322">
        <v>16213</v>
      </c>
      <c r="R13322" t="s">
        <v>23</v>
      </c>
      <c r="S13322" s="1" t="s">
        <v>34218</v>
      </c>
    </row>
    <row r="13323" spans="1:19" x14ac:dyDescent="0.25">
      <c r="A13323">
        <v>101424141</v>
      </c>
      <c r="B13323" t="s">
        <v>1335</v>
      </c>
      <c r="C13323" t="s">
        <v>4587</v>
      </c>
      <c r="G13323" t="s">
        <v>28865</v>
      </c>
      <c r="H13323" t="s">
        <v>6637</v>
      </c>
      <c r="I13323" t="s">
        <v>236</v>
      </c>
      <c r="J13323">
        <v>1776</v>
      </c>
      <c r="K13323">
        <v>2015</v>
      </c>
      <c r="L13323" t="s">
        <v>23</v>
      </c>
      <c r="M13323" t="s">
        <v>28865</v>
      </c>
      <c r="N13323" t="s">
        <v>6637</v>
      </c>
      <c r="O13323" t="s">
        <v>236</v>
      </c>
      <c r="P13323">
        <v>1776</v>
      </c>
      <c r="Q13323">
        <v>2015</v>
      </c>
      <c r="R13323" t="s">
        <v>23</v>
      </c>
      <c r="S13323" s="1" t="s">
        <v>34218</v>
      </c>
    </row>
    <row r="13324" spans="1:19" x14ac:dyDescent="0.25">
      <c r="A13324">
        <v>100863900</v>
      </c>
      <c r="B13324" t="s">
        <v>28866</v>
      </c>
      <c r="C13324" t="s">
        <v>28867</v>
      </c>
      <c r="G13324" t="s">
        <v>28868</v>
      </c>
      <c r="H13324" t="s">
        <v>9697</v>
      </c>
      <c r="I13324" t="s">
        <v>52</v>
      </c>
      <c r="J13324">
        <v>34680</v>
      </c>
      <c r="K13324">
        <v>73</v>
      </c>
      <c r="L13324" t="s">
        <v>23</v>
      </c>
      <c r="M13324" t="s">
        <v>28868</v>
      </c>
      <c r="N13324" t="s">
        <v>9697</v>
      </c>
      <c r="O13324" t="s">
        <v>52</v>
      </c>
      <c r="P13324">
        <v>34680</v>
      </c>
      <c r="Q13324">
        <v>73</v>
      </c>
      <c r="R13324" t="s">
        <v>23</v>
      </c>
      <c r="S13324" s="1" t="s">
        <v>34218</v>
      </c>
    </row>
    <row r="13325" spans="1:19" x14ac:dyDescent="0.25">
      <c r="A13325">
        <v>101297445</v>
      </c>
      <c r="B13325" t="s">
        <v>28869</v>
      </c>
      <c r="C13325" t="s">
        <v>49</v>
      </c>
      <c r="G13325" t="s">
        <v>28870</v>
      </c>
      <c r="H13325" t="s">
        <v>130</v>
      </c>
      <c r="I13325" t="s">
        <v>22</v>
      </c>
      <c r="J13325">
        <v>94124</v>
      </c>
      <c r="L13325" t="s">
        <v>23</v>
      </c>
      <c r="M13325" t="s">
        <v>28870</v>
      </c>
      <c r="N13325" t="s">
        <v>130</v>
      </c>
      <c r="O13325" t="s">
        <v>22</v>
      </c>
      <c r="P13325">
        <v>94124</v>
      </c>
      <c r="R13325" t="s">
        <v>23</v>
      </c>
      <c r="S13325" s="1" t="s">
        <v>34218</v>
      </c>
    </row>
    <row r="13326" spans="1:19" x14ac:dyDescent="0.25">
      <c r="A13326">
        <v>101480660</v>
      </c>
      <c r="B13326" t="s">
        <v>28871</v>
      </c>
      <c r="C13326" t="s">
        <v>123</v>
      </c>
      <c r="G13326" t="s">
        <v>28872</v>
      </c>
      <c r="H13326" t="s">
        <v>17382</v>
      </c>
      <c r="I13326" t="s">
        <v>117</v>
      </c>
      <c r="J13326">
        <v>14468</v>
      </c>
      <c r="K13326">
        <v>9200</v>
      </c>
      <c r="L13326" t="s">
        <v>23</v>
      </c>
      <c r="M13326" t="s">
        <v>28872</v>
      </c>
      <c r="N13326" t="s">
        <v>17382</v>
      </c>
      <c r="O13326" t="s">
        <v>117</v>
      </c>
      <c r="P13326">
        <v>14468</v>
      </c>
      <c r="Q13326">
        <v>9200</v>
      </c>
      <c r="R13326" t="s">
        <v>23</v>
      </c>
      <c r="S13326" s="1" t="s">
        <v>34218</v>
      </c>
    </row>
    <row r="13327" spans="1:19" x14ac:dyDescent="0.25">
      <c r="A13327">
        <v>101478173</v>
      </c>
      <c r="B13327" t="s">
        <v>28873</v>
      </c>
      <c r="C13327" t="s">
        <v>28874</v>
      </c>
      <c r="G13327" t="s">
        <v>28875</v>
      </c>
      <c r="H13327" t="s">
        <v>6321</v>
      </c>
      <c r="I13327" t="s">
        <v>57</v>
      </c>
      <c r="J13327">
        <v>47630</v>
      </c>
      <c r="K13327">
        <v>1170</v>
      </c>
      <c r="L13327" t="s">
        <v>23</v>
      </c>
      <c r="M13327" t="s">
        <v>28875</v>
      </c>
      <c r="N13327" t="s">
        <v>6321</v>
      </c>
      <c r="O13327" t="s">
        <v>57</v>
      </c>
      <c r="P13327">
        <v>47630</v>
      </c>
      <c r="Q13327">
        <v>1170</v>
      </c>
      <c r="R13327" t="s">
        <v>23</v>
      </c>
      <c r="S13327" s="1" t="s">
        <v>34218</v>
      </c>
    </row>
    <row r="13328" spans="1:19" x14ac:dyDescent="0.25">
      <c r="A13328">
        <v>101034230</v>
      </c>
      <c r="B13328" t="s">
        <v>28876</v>
      </c>
      <c r="C13328" t="s">
        <v>3482</v>
      </c>
      <c r="G13328" t="s">
        <v>28877</v>
      </c>
      <c r="H13328" t="s">
        <v>638</v>
      </c>
      <c r="I13328" t="s">
        <v>639</v>
      </c>
      <c r="J13328">
        <v>87107</v>
      </c>
      <c r="K13328">
        <v>1347</v>
      </c>
      <c r="L13328" t="s">
        <v>23</v>
      </c>
      <c r="M13328" t="s">
        <v>28877</v>
      </c>
      <c r="N13328" t="s">
        <v>638</v>
      </c>
      <c r="O13328" t="s">
        <v>639</v>
      </c>
      <c r="P13328">
        <v>87107</v>
      </c>
      <c r="Q13328">
        <v>1347</v>
      </c>
      <c r="R13328" t="s">
        <v>23</v>
      </c>
      <c r="S13328" s="1" t="s">
        <v>34218</v>
      </c>
    </row>
    <row r="13329" spans="1:19" x14ac:dyDescent="0.25">
      <c r="A13329">
        <v>101480665</v>
      </c>
      <c r="B13329" t="s">
        <v>28878</v>
      </c>
      <c r="C13329" t="s">
        <v>18280</v>
      </c>
      <c r="G13329" t="s">
        <v>28879</v>
      </c>
      <c r="H13329" t="s">
        <v>12146</v>
      </c>
      <c r="I13329" t="s">
        <v>52</v>
      </c>
      <c r="J13329">
        <v>32751</v>
      </c>
      <c r="K13329">
        <v>4219</v>
      </c>
      <c r="L13329" t="s">
        <v>23</v>
      </c>
      <c r="M13329" t="s">
        <v>28879</v>
      </c>
      <c r="N13329" t="s">
        <v>12146</v>
      </c>
      <c r="O13329" t="s">
        <v>52</v>
      </c>
      <c r="P13329">
        <v>32751</v>
      </c>
      <c r="Q13329">
        <v>4219</v>
      </c>
      <c r="R13329" t="s">
        <v>23</v>
      </c>
      <c r="S13329" s="1" t="s">
        <v>34218</v>
      </c>
    </row>
    <row r="13330" spans="1:19" x14ac:dyDescent="0.25">
      <c r="A13330">
        <v>101078872</v>
      </c>
      <c r="B13330" t="s">
        <v>17622</v>
      </c>
      <c r="C13330" t="s">
        <v>3350</v>
      </c>
      <c r="G13330" t="s">
        <v>17624</v>
      </c>
      <c r="H13330" t="s">
        <v>125</v>
      </c>
      <c r="I13330" t="s">
        <v>126</v>
      </c>
      <c r="J13330">
        <v>63116</v>
      </c>
      <c r="K13330">
        <v>4807</v>
      </c>
      <c r="L13330" t="s">
        <v>23</v>
      </c>
      <c r="M13330" t="s">
        <v>17624</v>
      </c>
      <c r="N13330" t="s">
        <v>125</v>
      </c>
      <c r="O13330" t="s">
        <v>126</v>
      </c>
      <c r="P13330">
        <v>63116</v>
      </c>
      <c r="Q13330">
        <v>4807</v>
      </c>
      <c r="R13330" t="s">
        <v>23</v>
      </c>
      <c r="S13330" s="1" t="s">
        <v>34218</v>
      </c>
    </row>
    <row r="13331" spans="1:19" x14ac:dyDescent="0.25">
      <c r="A13331">
        <v>101480671</v>
      </c>
      <c r="B13331" t="s">
        <v>744</v>
      </c>
      <c r="C13331" t="s">
        <v>155</v>
      </c>
      <c r="G13331" t="s">
        <v>28880</v>
      </c>
      <c r="H13331" t="s">
        <v>28881</v>
      </c>
      <c r="I13331" t="s">
        <v>52</v>
      </c>
      <c r="J13331">
        <v>33040</v>
      </c>
      <c r="K13331">
        <v>3916</v>
      </c>
      <c r="L13331" t="s">
        <v>23</v>
      </c>
      <c r="M13331" t="s">
        <v>28880</v>
      </c>
      <c r="N13331" t="s">
        <v>28881</v>
      </c>
      <c r="O13331" t="s">
        <v>52</v>
      </c>
      <c r="P13331">
        <v>33040</v>
      </c>
      <c r="Q13331">
        <v>3916</v>
      </c>
      <c r="R13331" t="s">
        <v>23</v>
      </c>
      <c r="S13331" s="1" t="s">
        <v>34218</v>
      </c>
    </row>
    <row r="13332" spans="1:19" x14ac:dyDescent="0.25">
      <c r="A13332">
        <v>101475714</v>
      </c>
      <c r="B13332" t="s">
        <v>1690</v>
      </c>
      <c r="C13332" t="s">
        <v>2127</v>
      </c>
      <c r="G13332" t="s">
        <v>28882</v>
      </c>
      <c r="H13332" t="s">
        <v>526</v>
      </c>
      <c r="I13332" t="s">
        <v>33</v>
      </c>
      <c r="J13332">
        <v>17331</v>
      </c>
      <c r="K13332">
        <v>9360</v>
      </c>
      <c r="L13332" t="s">
        <v>23</v>
      </c>
      <c r="M13332" t="s">
        <v>28882</v>
      </c>
      <c r="N13332" t="s">
        <v>526</v>
      </c>
      <c r="O13332" t="s">
        <v>33</v>
      </c>
      <c r="P13332">
        <v>17331</v>
      </c>
      <c r="Q13332">
        <v>9360</v>
      </c>
      <c r="R13332" t="s">
        <v>23</v>
      </c>
      <c r="S13332" s="1" t="s">
        <v>34218</v>
      </c>
    </row>
    <row r="13333" spans="1:19" x14ac:dyDescent="0.25">
      <c r="A13333">
        <v>101272696</v>
      </c>
      <c r="B13333" t="s">
        <v>1525</v>
      </c>
      <c r="C13333" t="s">
        <v>1773</v>
      </c>
      <c r="G13333" t="s">
        <v>28883</v>
      </c>
      <c r="H13333" t="s">
        <v>569</v>
      </c>
      <c r="I13333" t="s">
        <v>187</v>
      </c>
      <c r="J13333">
        <v>55424</v>
      </c>
      <c r="K13333">
        <v>1314</v>
      </c>
      <c r="L13333" t="s">
        <v>23</v>
      </c>
      <c r="M13333" t="s">
        <v>28883</v>
      </c>
      <c r="N13333" t="s">
        <v>569</v>
      </c>
      <c r="O13333" t="s">
        <v>187</v>
      </c>
      <c r="P13333">
        <v>55424</v>
      </c>
      <c r="Q13333">
        <v>1314</v>
      </c>
      <c r="R13333" t="s">
        <v>23</v>
      </c>
      <c r="S13333" s="1" t="s">
        <v>34218</v>
      </c>
    </row>
    <row r="13334" spans="1:19" x14ac:dyDescent="0.25">
      <c r="A13334">
        <v>101444491</v>
      </c>
      <c r="B13334" t="s">
        <v>3545</v>
      </c>
      <c r="C13334" t="s">
        <v>2515</v>
      </c>
      <c r="G13334" t="s">
        <v>28884</v>
      </c>
      <c r="H13334" t="s">
        <v>6050</v>
      </c>
      <c r="I13334" t="s">
        <v>22</v>
      </c>
      <c r="J13334">
        <v>91745</v>
      </c>
      <c r="K13334">
        <v>5637</v>
      </c>
      <c r="L13334" t="s">
        <v>23</v>
      </c>
      <c r="M13334" t="s">
        <v>28884</v>
      </c>
      <c r="N13334" t="s">
        <v>6050</v>
      </c>
      <c r="O13334" t="s">
        <v>22</v>
      </c>
      <c r="P13334">
        <v>91745</v>
      </c>
      <c r="Q13334">
        <v>5637</v>
      </c>
      <c r="R13334" t="s">
        <v>23</v>
      </c>
      <c r="S13334" s="1" t="s">
        <v>34218</v>
      </c>
    </row>
    <row r="13335" spans="1:19" x14ac:dyDescent="0.25">
      <c r="A13335">
        <v>101480679</v>
      </c>
      <c r="B13335" t="s">
        <v>28885</v>
      </c>
      <c r="C13335" t="s">
        <v>522</v>
      </c>
      <c r="G13335" t="s">
        <v>28886</v>
      </c>
      <c r="H13335" t="s">
        <v>28887</v>
      </c>
      <c r="I13335" t="s">
        <v>33</v>
      </c>
      <c r="J13335">
        <v>17036</v>
      </c>
      <c r="K13335">
        <v>9211</v>
      </c>
      <c r="L13335" t="s">
        <v>23</v>
      </c>
      <c r="M13335" t="s">
        <v>28886</v>
      </c>
      <c r="N13335" t="s">
        <v>28887</v>
      </c>
      <c r="O13335" t="s">
        <v>33</v>
      </c>
      <c r="P13335">
        <v>17036</v>
      </c>
      <c r="Q13335">
        <v>9211</v>
      </c>
      <c r="R13335" t="s">
        <v>23</v>
      </c>
      <c r="S13335" s="1" t="s">
        <v>34218</v>
      </c>
    </row>
    <row r="13336" spans="1:19" x14ac:dyDescent="0.25">
      <c r="A13336">
        <v>101473621</v>
      </c>
      <c r="B13336" t="s">
        <v>28888</v>
      </c>
      <c r="C13336" t="s">
        <v>1030</v>
      </c>
      <c r="G13336" t="s">
        <v>28889</v>
      </c>
      <c r="H13336" t="s">
        <v>28890</v>
      </c>
      <c r="I13336" t="s">
        <v>236</v>
      </c>
      <c r="J13336">
        <v>1940</v>
      </c>
      <c r="K13336">
        <v>1607</v>
      </c>
      <c r="L13336" t="s">
        <v>23</v>
      </c>
      <c r="M13336" t="s">
        <v>28889</v>
      </c>
      <c r="N13336" t="s">
        <v>28890</v>
      </c>
      <c r="O13336" t="s">
        <v>236</v>
      </c>
      <c r="P13336">
        <v>1940</v>
      </c>
      <c r="Q13336">
        <v>1607</v>
      </c>
      <c r="R13336" t="s">
        <v>23</v>
      </c>
      <c r="S13336" s="1" t="s">
        <v>34218</v>
      </c>
    </row>
    <row r="13337" spans="1:19" x14ac:dyDescent="0.25">
      <c r="A13337">
        <v>101480682</v>
      </c>
      <c r="B13337" t="s">
        <v>1746</v>
      </c>
      <c r="C13337" t="s">
        <v>644</v>
      </c>
      <c r="G13337" t="s">
        <v>28891</v>
      </c>
      <c r="H13337" t="s">
        <v>6512</v>
      </c>
      <c r="I13337" t="s">
        <v>255</v>
      </c>
      <c r="J13337">
        <v>24014</v>
      </c>
      <c r="K13337">
        <v>3325</v>
      </c>
      <c r="L13337" t="s">
        <v>23</v>
      </c>
      <c r="M13337" t="s">
        <v>28891</v>
      </c>
      <c r="N13337" t="s">
        <v>6512</v>
      </c>
      <c r="O13337" t="s">
        <v>255</v>
      </c>
      <c r="P13337">
        <v>24014</v>
      </c>
      <c r="Q13337">
        <v>3325</v>
      </c>
      <c r="R13337" t="s">
        <v>23</v>
      </c>
      <c r="S13337" s="1" t="s">
        <v>34218</v>
      </c>
    </row>
    <row r="13338" spans="1:19" x14ac:dyDescent="0.25">
      <c r="A13338">
        <v>101356435</v>
      </c>
      <c r="B13338" t="s">
        <v>24962</v>
      </c>
      <c r="C13338" t="s">
        <v>247</v>
      </c>
      <c r="G13338" t="s">
        <v>28892</v>
      </c>
      <c r="H13338" t="s">
        <v>108</v>
      </c>
      <c r="I13338" t="s">
        <v>22</v>
      </c>
      <c r="J13338">
        <v>93003</v>
      </c>
      <c r="K13338">
        <v>4535</v>
      </c>
      <c r="L13338" t="s">
        <v>23</v>
      </c>
      <c r="M13338" t="s">
        <v>28892</v>
      </c>
      <c r="N13338" t="s">
        <v>108</v>
      </c>
      <c r="O13338" t="s">
        <v>22</v>
      </c>
      <c r="P13338">
        <v>93003</v>
      </c>
      <c r="Q13338">
        <v>4535</v>
      </c>
      <c r="R13338" t="s">
        <v>23</v>
      </c>
      <c r="S13338" s="1" t="s">
        <v>34218</v>
      </c>
    </row>
    <row r="13339" spans="1:19" x14ac:dyDescent="0.25">
      <c r="A13339">
        <v>100702227</v>
      </c>
      <c r="B13339" t="s">
        <v>28893</v>
      </c>
      <c r="C13339" t="s">
        <v>3951</v>
      </c>
      <c r="G13339" t="s">
        <v>28894</v>
      </c>
      <c r="H13339" t="s">
        <v>2086</v>
      </c>
      <c r="I13339" t="s">
        <v>178</v>
      </c>
      <c r="J13339">
        <v>45243</v>
      </c>
      <c r="K13339">
        <v>2323</v>
      </c>
      <c r="L13339" t="s">
        <v>23</v>
      </c>
      <c r="M13339" t="s">
        <v>28894</v>
      </c>
      <c r="N13339" t="s">
        <v>2086</v>
      </c>
      <c r="O13339" t="s">
        <v>178</v>
      </c>
      <c r="P13339">
        <v>45243</v>
      </c>
      <c r="Q13339">
        <v>2323</v>
      </c>
      <c r="R13339" t="s">
        <v>23</v>
      </c>
      <c r="S13339" s="1" t="s">
        <v>34218</v>
      </c>
    </row>
    <row r="13340" spans="1:19" x14ac:dyDescent="0.25">
      <c r="A13340">
        <v>101480688</v>
      </c>
      <c r="B13340" t="s">
        <v>3193</v>
      </c>
      <c r="C13340" t="s">
        <v>3704</v>
      </c>
      <c r="G13340" t="s">
        <v>3706</v>
      </c>
      <c r="H13340" t="s">
        <v>3707</v>
      </c>
      <c r="I13340" t="s">
        <v>148</v>
      </c>
      <c r="J13340">
        <v>20895</v>
      </c>
      <c r="K13340">
        <v>1531</v>
      </c>
      <c r="L13340" t="s">
        <v>23</v>
      </c>
      <c r="M13340" t="s">
        <v>3706</v>
      </c>
      <c r="N13340" t="s">
        <v>3707</v>
      </c>
      <c r="O13340" t="s">
        <v>148</v>
      </c>
      <c r="P13340">
        <v>20895</v>
      </c>
      <c r="Q13340">
        <v>1531</v>
      </c>
      <c r="R13340" t="s">
        <v>23</v>
      </c>
      <c r="S13340" s="1" t="s">
        <v>34218</v>
      </c>
    </row>
    <row r="13341" spans="1:19" x14ac:dyDescent="0.25">
      <c r="A13341">
        <v>101480691</v>
      </c>
      <c r="B13341" t="s">
        <v>24315</v>
      </c>
      <c r="C13341" t="s">
        <v>428</v>
      </c>
      <c r="G13341" t="s">
        <v>24316</v>
      </c>
      <c r="H13341" t="s">
        <v>5683</v>
      </c>
      <c r="I13341" t="s">
        <v>52</v>
      </c>
      <c r="J13341">
        <v>32927</v>
      </c>
      <c r="K13341">
        <v>3913</v>
      </c>
      <c r="L13341" t="s">
        <v>23</v>
      </c>
      <c r="M13341" t="s">
        <v>24316</v>
      </c>
      <c r="N13341" t="s">
        <v>5683</v>
      </c>
      <c r="O13341" t="s">
        <v>52</v>
      </c>
      <c r="P13341">
        <v>32927</v>
      </c>
      <c r="Q13341">
        <v>3913</v>
      </c>
      <c r="R13341" t="s">
        <v>23</v>
      </c>
      <c r="S13341" s="1" t="s">
        <v>34218</v>
      </c>
    </row>
    <row r="13342" spans="1:19" x14ac:dyDescent="0.25">
      <c r="A13342">
        <v>101474843</v>
      </c>
      <c r="B13342" t="s">
        <v>24315</v>
      </c>
      <c r="C13342" t="s">
        <v>1444</v>
      </c>
      <c r="G13342" t="s">
        <v>24316</v>
      </c>
      <c r="H13342" t="s">
        <v>5683</v>
      </c>
      <c r="I13342" t="s">
        <v>52</v>
      </c>
      <c r="J13342">
        <v>32927</v>
      </c>
      <c r="K13342">
        <v>3913</v>
      </c>
      <c r="L13342" t="s">
        <v>23</v>
      </c>
      <c r="M13342" t="s">
        <v>24316</v>
      </c>
      <c r="N13342" t="s">
        <v>5683</v>
      </c>
      <c r="O13342" t="s">
        <v>52</v>
      </c>
      <c r="P13342">
        <v>32927</v>
      </c>
      <c r="Q13342">
        <v>3913</v>
      </c>
      <c r="R13342" t="s">
        <v>23</v>
      </c>
      <c r="S13342" s="1" t="s">
        <v>34218</v>
      </c>
    </row>
    <row r="13343" spans="1:19" x14ac:dyDescent="0.25">
      <c r="A13343">
        <v>100919684</v>
      </c>
      <c r="B13343" t="s">
        <v>28895</v>
      </c>
      <c r="C13343" t="s">
        <v>2127</v>
      </c>
      <c r="G13343" t="s">
        <v>28896</v>
      </c>
      <c r="H13343" t="s">
        <v>1765</v>
      </c>
      <c r="I13343" t="s">
        <v>84</v>
      </c>
      <c r="J13343">
        <v>98501</v>
      </c>
      <c r="K13343">
        <v>5942</v>
      </c>
      <c r="L13343" t="s">
        <v>23</v>
      </c>
      <c r="M13343" t="s">
        <v>28896</v>
      </c>
      <c r="N13343" t="s">
        <v>1765</v>
      </c>
      <c r="O13343" t="s">
        <v>84</v>
      </c>
      <c r="P13343">
        <v>98501</v>
      </c>
      <c r="Q13343">
        <v>5942</v>
      </c>
      <c r="R13343" t="s">
        <v>23</v>
      </c>
      <c r="S13343" s="1" t="s">
        <v>34218</v>
      </c>
    </row>
    <row r="13344" spans="1:19" x14ac:dyDescent="0.25">
      <c r="A13344">
        <v>101480696</v>
      </c>
      <c r="B13344" t="s">
        <v>28897</v>
      </c>
      <c r="C13344" t="s">
        <v>4228</v>
      </c>
      <c r="G13344" t="s">
        <v>28898</v>
      </c>
      <c r="H13344" t="s">
        <v>1477</v>
      </c>
      <c r="I13344" t="s">
        <v>84</v>
      </c>
      <c r="J13344">
        <v>98056</v>
      </c>
      <c r="K13344">
        <v>1522</v>
      </c>
      <c r="L13344" t="s">
        <v>23</v>
      </c>
      <c r="M13344" t="s">
        <v>28898</v>
      </c>
      <c r="N13344" t="s">
        <v>1477</v>
      </c>
      <c r="O13344" t="s">
        <v>84</v>
      </c>
      <c r="P13344">
        <v>98056</v>
      </c>
      <c r="Q13344">
        <v>1522</v>
      </c>
      <c r="R13344" t="s">
        <v>23</v>
      </c>
      <c r="S13344" s="1" t="s">
        <v>34218</v>
      </c>
    </row>
    <row r="13345" spans="1:19" x14ac:dyDescent="0.25">
      <c r="A13345">
        <v>101480700</v>
      </c>
      <c r="B13345" t="s">
        <v>28899</v>
      </c>
      <c r="C13345" t="s">
        <v>3357</v>
      </c>
      <c r="G13345" t="s">
        <v>28900</v>
      </c>
      <c r="H13345" t="s">
        <v>18319</v>
      </c>
      <c r="I13345" t="s">
        <v>117</v>
      </c>
      <c r="J13345">
        <v>11374</v>
      </c>
      <c r="K13345">
        <v>1204</v>
      </c>
      <c r="L13345" t="s">
        <v>23</v>
      </c>
      <c r="M13345" t="s">
        <v>28900</v>
      </c>
      <c r="N13345" t="s">
        <v>18319</v>
      </c>
      <c r="O13345" t="s">
        <v>117</v>
      </c>
      <c r="P13345">
        <v>11374</v>
      </c>
      <c r="Q13345">
        <v>1204</v>
      </c>
      <c r="R13345" t="s">
        <v>23</v>
      </c>
      <c r="S13345" s="1" t="s">
        <v>34218</v>
      </c>
    </row>
    <row r="13346" spans="1:19" x14ac:dyDescent="0.25">
      <c r="A13346">
        <v>101454487</v>
      </c>
      <c r="B13346" t="s">
        <v>28901</v>
      </c>
      <c r="C13346" t="s">
        <v>158</v>
      </c>
      <c r="G13346" t="s">
        <v>28902</v>
      </c>
      <c r="H13346" t="s">
        <v>653</v>
      </c>
      <c r="I13346" t="s">
        <v>117</v>
      </c>
      <c r="J13346">
        <v>10011</v>
      </c>
      <c r="K13346">
        <v>1607</v>
      </c>
      <c r="L13346" t="s">
        <v>23</v>
      </c>
      <c r="M13346" t="s">
        <v>28902</v>
      </c>
      <c r="N13346" t="s">
        <v>653</v>
      </c>
      <c r="O13346" t="s">
        <v>117</v>
      </c>
      <c r="P13346">
        <v>10011</v>
      </c>
      <c r="Q13346">
        <v>1607</v>
      </c>
      <c r="R13346" t="s">
        <v>23</v>
      </c>
      <c r="S13346" s="1" t="s">
        <v>34218</v>
      </c>
    </row>
    <row r="13347" spans="1:19" x14ac:dyDescent="0.25">
      <c r="A13347">
        <v>101479801</v>
      </c>
      <c r="B13347" t="s">
        <v>10938</v>
      </c>
      <c r="C13347" t="s">
        <v>11558</v>
      </c>
      <c r="G13347" t="s">
        <v>28903</v>
      </c>
      <c r="H13347" t="s">
        <v>28904</v>
      </c>
      <c r="I13347" t="s">
        <v>446</v>
      </c>
      <c r="J13347">
        <v>28125</v>
      </c>
      <c r="K13347">
        <v>7721</v>
      </c>
      <c r="L13347" t="s">
        <v>23</v>
      </c>
      <c r="M13347" t="s">
        <v>28903</v>
      </c>
      <c r="N13347" t="s">
        <v>28904</v>
      </c>
      <c r="O13347" t="s">
        <v>446</v>
      </c>
      <c r="P13347">
        <v>28125</v>
      </c>
      <c r="Q13347">
        <v>7721</v>
      </c>
      <c r="R13347" t="s">
        <v>23</v>
      </c>
      <c r="S13347" s="1" t="s">
        <v>34218</v>
      </c>
    </row>
    <row r="13348" spans="1:19" x14ac:dyDescent="0.25">
      <c r="A13348">
        <v>101323229</v>
      </c>
      <c r="B13348" t="s">
        <v>28905</v>
      </c>
      <c r="C13348" t="s">
        <v>28906</v>
      </c>
      <c r="G13348" t="s">
        <v>28907</v>
      </c>
      <c r="H13348" t="s">
        <v>28908</v>
      </c>
      <c r="I13348" t="s">
        <v>43</v>
      </c>
      <c r="J13348">
        <v>91058</v>
      </c>
      <c r="L13348" t="s">
        <v>23</v>
      </c>
      <c r="M13348" t="s">
        <v>28907</v>
      </c>
      <c r="N13348" t="s">
        <v>28908</v>
      </c>
      <c r="O13348" t="s">
        <v>43</v>
      </c>
      <c r="P13348">
        <v>91058</v>
      </c>
      <c r="R13348" t="s">
        <v>23</v>
      </c>
      <c r="S13348" s="1" t="s">
        <v>34218</v>
      </c>
    </row>
    <row r="13349" spans="1:19" x14ac:dyDescent="0.25">
      <c r="A13349">
        <v>101354141</v>
      </c>
      <c r="B13349" t="s">
        <v>28909</v>
      </c>
      <c r="C13349" t="s">
        <v>30</v>
      </c>
      <c r="G13349" t="s">
        <v>28910</v>
      </c>
      <c r="H13349" t="s">
        <v>1765</v>
      </c>
      <c r="I13349" t="s">
        <v>84</v>
      </c>
      <c r="J13349">
        <v>98506</v>
      </c>
      <c r="K13349">
        <v>4632</v>
      </c>
      <c r="L13349" t="s">
        <v>23</v>
      </c>
      <c r="M13349" t="s">
        <v>28910</v>
      </c>
      <c r="N13349" t="s">
        <v>1765</v>
      </c>
      <c r="O13349" t="s">
        <v>84</v>
      </c>
      <c r="P13349">
        <v>98506</v>
      </c>
      <c r="Q13349">
        <v>4632</v>
      </c>
      <c r="R13349" t="s">
        <v>23</v>
      </c>
      <c r="S13349" s="1" t="s">
        <v>34218</v>
      </c>
    </row>
    <row r="13350" spans="1:19" x14ac:dyDescent="0.25">
      <c r="A13350">
        <v>101480712</v>
      </c>
      <c r="B13350" t="s">
        <v>28911</v>
      </c>
      <c r="C13350" t="s">
        <v>582</v>
      </c>
      <c r="G13350" t="s">
        <v>28912</v>
      </c>
      <c r="H13350" t="s">
        <v>1508</v>
      </c>
      <c r="I13350" t="s">
        <v>84</v>
      </c>
      <c r="J13350">
        <v>98020</v>
      </c>
      <c r="K13350">
        <v>4634</v>
      </c>
      <c r="L13350" t="s">
        <v>23</v>
      </c>
      <c r="M13350" t="s">
        <v>28912</v>
      </c>
      <c r="N13350" t="s">
        <v>1508</v>
      </c>
      <c r="O13350" t="s">
        <v>84</v>
      </c>
      <c r="P13350">
        <v>98020</v>
      </c>
      <c r="Q13350">
        <v>4634</v>
      </c>
      <c r="R13350" t="s">
        <v>23</v>
      </c>
      <c r="S13350" s="1" t="s">
        <v>34218</v>
      </c>
    </row>
    <row r="13351" spans="1:19" x14ac:dyDescent="0.25">
      <c r="A13351">
        <v>101223142</v>
      </c>
      <c r="B13351" t="s">
        <v>17689</v>
      </c>
      <c r="C13351" t="s">
        <v>266</v>
      </c>
      <c r="G13351" t="s">
        <v>28913</v>
      </c>
      <c r="H13351" t="s">
        <v>66</v>
      </c>
      <c r="I13351" t="s">
        <v>22</v>
      </c>
      <c r="J13351">
        <v>94708</v>
      </c>
      <c r="K13351">
        <v>1830</v>
      </c>
      <c r="L13351" t="s">
        <v>23</v>
      </c>
      <c r="M13351" t="s">
        <v>28913</v>
      </c>
      <c r="N13351" t="s">
        <v>66</v>
      </c>
      <c r="O13351" t="s">
        <v>22</v>
      </c>
      <c r="P13351">
        <v>94708</v>
      </c>
      <c r="Q13351">
        <v>1830</v>
      </c>
      <c r="R13351" t="s">
        <v>23</v>
      </c>
      <c r="S13351" s="1" t="s">
        <v>34218</v>
      </c>
    </row>
    <row r="13352" spans="1:19" x14ac:dyDescent="0.25">
      <c r="A13352">
        <v>101480716</v>
      </c>
      <c r="B13352" t="s">
        <v>6681</v>
      </c>
      <c r="C13352" t="s">
        <v>535</v>
      </c>
      <c r="G13352" t="s">
        <v>28914</v>
      </c>
      <c r="H13352" t="s">
        <v>1531</v>
      </c>
      <c r="I13352" t="s">
        <v>84</v>
      </c>
      <c r="J13352">
        <v>98107</v>
      </c>
      <c r="K13352">
        <v>2857</v>
      </c>
      <c r="L13352" t="s">
        <v>23</v>
      </c>
      <c r="M13352" t="s">
        <v>28914</v>
      </c>
      <c r="N13352" t="s">
        <v>1531</v>
      </c>
      <c r="O13352" t="s">
        <v>84</v>
      </c>
      <c r="P13352">
        <v>98107</v>
      </c>
      <c r="Q13352">
        <v>2857</v>
      </c>
      <c r="R13352" t="s">
        <v>23</v>
      </c>
      <c r="S13352" s="1" t="s">
        <v>34218</v>
      </c>
    </row>
    <row r="13353" spans="1:19" x14ac:dyDescent="0.25">
      <c r="A13353">
        <v>101480717</v>
      </c>
      <c r="B13353" t="s">
        <v>28915</v>
      </c>
      <c r="C13353" t="s">
        <v>28916</v>
      </c>
      <c r="G13353" t="s">
        <v>28917</v>
      </c>
      <c r="H13353" t="s">
        <v>125</v>
      </c>
      <c r="I13353" t="s">
        <v>126</v>
      </c>
      <c r="J13353">
        <v>63125</v>
      </c>
      <c r="K13353">
        <v>1419</v>
      </c>
      <c r="L13353" t="s">
        <v>23</v>
      </c>
      <c r="M13353" t="s">
        <v>28917</v>
      </c>
      <c r="N13353" t="s">
        <v>125</v>
      </c>
      <c r="O13353" t="s">
        <v>126</v>
      </c>
      <c r="P13353">
        <v>63125</v>
      </c>
      <c r="Q13353">
        <v>1419</v>
      </c>
      <c r="R13353" t="s">
        <v>23</v>
      </c>
      <c r="S13353" s="1" t="s">
        <v>34218</v>
      </c>
    </row>
    <row r="13354" spans="1:19" x14ac:dyDescent="0.25">
      <c r="A13354">
        <v>101480719</v>
      </c>
      <c r="B13354" t="s">
        <v>21266</v>
      </c>
      <c r="C13354" t="s">
        <v>1327</v>
      </c>
      <c r="G13354" t="s">
        <v>28918</v>
      </c>
      <c r="H13354" t="s">
        <v>6937</v>
      </c>
      <c r="I13354" t="s">
        <v>22</v>
      </c>
      <c r="J13354">
        <v>90254</v>
      </c>
      <c r="K13354">
        <v>2150</v>
      </c>
      <c r="L13354" t="s">
        <v>23</v>
      </c>
      <c r="M13354" t="s">
        <v>28918</v>
      </c>
      <c r="N13354" t="s">
        <v>6937</v>
      </c>
      <c r="O13354" t="s">
        <v>22</v>
      </c>
      <c r="P13354">
        <v>90254</v>
      </c>
      <c r="Q13354">
        <v>2150</v>
      </c>
      <c r="R13354" t="s">
        <v>23</v>
      </c>
      <c r="S13354" s="1" t="s">
        <v>34218</v>
      </c>
    </row>
    <row r="13355" spans="1:19" x14ac:dyDescent="0.25">
      <c r="A13355">
        <v>101024550</v>
      </c>
      <c r="B13355" t="s">
        <v>21864</v>
      </c>
      <c r="C13355" t="s">
        <v>5711</v>
      </c>
      <c r="G13355" t="s">
        <v>28919</v>
      </c>
      <c r="H13355" t="s">
        <v>28920</v>
      </c>
      <c r="I13355" t="s">
        <v>250</v>
      </c>
      <c r="J13355">
        <v>7712</v>
      </c>
      <c r="L13355" t="s">
        <v>23</v>
      </c>
      <c r="M13355" t="s">
        <v>28919</v>
      </c>
      <c r="N13355" t="s">
        <v>28920</v>
      </c>
      <c r="O13355" t="s">
        <v>250</v>
      </c>
      <c r="P13355">
        <v>7712</v>
      </c>
      <c r="R13355" t="s">
        <v>23</v>
      </c>
      <c r="S13355" s="1" t="s">
        <v>34218</v>
      </c>
    </row>
    <row r="13356" spans="1:19" x14ac:dyDescent="0.25">
      <c r="A13356">
        <v>101449778</v>
      </c>
      <c r="B13356" t="s">
        <v>2176</v>
      </c>
      <c r="C13356" t="s">
        <v>155</v>
      </c>
      <c r="G13356" t="s">
        <v>28921</v>
      </c>
      <c r="H13356" t="s">
        <v>5975</v>
      </c>
      <c r="I13356" t="s">
        <v>255</v>
      </c>
      <c r="J13356">
        <v>23116</v>
      </c>
      <c r="K13356">
        <v>2971</v>
      </c>
      <c r="L13356" t="s">
        <v>23</v>
      </c>
      <c r="M13356" t="s">
        <v>28921</v>
      </c>
      <c r="N13356" t="s">
        <v>5975</v>
      </c>
      <c r="O13356" t="s">
        <v>255</v>
      </c>
      <c r="P13356">
        <v>23116</v>
      </c>
      <c r="Q13356">
        <v>2971</v>
      </c>
      <c r="R13356" t="s">
        <v>23</v>
      </c>
      <c r="S13356" s="1" t="s">
        <v>34218</v>
      </c>
    </row>
    <row r="13357" spans="1:19" x14ac:dyDescent="0.25">
      <c r="A13357">
        <v>101324612</v>
      </c>
      <c r="B13357" t="s">
        <v>28922</v>
      </c>
      <c r="C13357" t="s">
        <v>2518</v>
      </c>
      <c r="G13357" t="s">
        <v>28923</v>
      </c>
      <c r="H13357" t="s">
        <v>5629</v>
      </c>
      <c r="I13357" t="s">
        <v>100</v>
      </c>
      <c r="J13357">
        <v>53589</v>
      </c>
      <c r="K13357">
        <v>5429</v>
      </c>
      <c r="L13357" t="s">
        <v>23</v>
      </c>
      <c r="M13357" t="s">
        <v>28923</v>
      </c>
      <c r="N13357" t="s">
        <v>5629</v>
      </c>
      <c r="O13357" t="s">
        <v>100</v>
      </c>
      <c r="P13357">
        <v>53589</v>
      </c>
      <c r="Q13357">
        <v>5429</v>
      </c>
      <c r="R13357" t="s">
        <v>23</v>
      </c>
      <c r="S13357" s="1" t="s">
        <v>34218</v>
      </c>
    </row>
    <row r="13358" spans="1:19" x14ac:dyDescent="0.25">
      <c r="A13358">
        <v>100786875</v>
      </c>
      <c r="B13358" t="s">
        <v>28924</v>
      </c>
      <c r="C13358" t="s">
        <v>2127</v>
      </c>
      <c r="G13358" t="s">
        <v>28925</v>
      </c>
      <c r="H13358" t="s">
        <v>16157</v>
      </c>
      <c r="I13358" t="s">
        <v>178</v>
      </c>
      <c r="J13358">
        <v>44231</v>
      </c>
      <c r="K13358">
        <v>9653</v>
      </c>
      <c r="L13358" t="s">
        <v>23</v>
      </c>
      <c r="M13358" t="s">
        <v>28925</v>
      </c>
      <c r="N13358" t="s">
        <v>16157</v>
      </c>
      <c r="O13358" t="s">
        <v>178</v>
      </c>
      <c r="P13358">
        <v>44231</v>
      </c>
      <c r="Q13358">
        <v>9653</v>
      </c>
      <c r="R13358" t="s">
        <v>23</v>
      </c>
      <c r="S13358" s="1" t="s">
        <v>34218</v>
      </c>
    </row>
    <row r="13359" spans="1:19" x14ac:dyDescent="0.25">
      <c r="A13359">
        <v>101328312</v>
      </c>
      <c r="B13359" t="s">
        <v>28926</v>
      </c>
      <c r="C13359" t="s">
        <v>1773</v>
      </c>
      <c r="G13359" t="s">
        <v>28927</v>
      </c>
      <c r="H13359" t="s">
        <v>1402</v>
      </c>
      <c r="I13359" t="s">
        <v>38</v>
      </c>
      <c r="J13359">
        <v>77030</v>
      </c>
      <c r="K13359">
        <v>4217</v>
      </c>
      <c r="L13359" t="s">
        <v>23</v>
      </c>
      <c r="M13359" t="s">
        <v>28927</v>
      </c>
      <c r="N13359" t="s">
        <v>1402</v>
      </c>
      <c r="O13359" t="s">
        <v>38</v>
      </c>
      <c r="P13359">
        <v>77030</v>
      </c>
      <c r="Q13359">
        <v>4217</v>
      </c>
      <c r="R13359" t="s">
        <v>23</v>
      </c>
      <c r="S13359" s="1" t="s">
        <v>34218</v>
      </c>
    </row>
    <row r="13360" spans="1:19" x14ac:dyDescent="0.25">
      <c r="A13360">
        <v>101480734</v>
      </c>
      <c r="B13360" t="s">
        <v>4972</v>
      </c>
      <c r="C13360" t="s">
        <v>403</v>
      </c>
      <c r="G13360" t="s">
        <v>4974</v>
      </c>
      <c r="H13360" t="s">
        <v>2468</v>
      </c>
      <c r="I13360" t="s">
        <v>22</v>
      </c>
      <c r="J13360">
        <v>92083</v>
      </c>
      <c r="K13360">
        <v>4727</v>
      </c>
      <c r="L13360" t="s">
        <v>23</v>
      </c>
      <c r="M13360" t="s">
        <v>4974</v>
      </c>
      <c r="N13360" t="s">
        <v>2468</v>
      </c>
      <c r="O13360" t="s">
        <v>22</v>
      </c>
      <c r="P13360">
        <v>92083</v>
      </c>
      <c r="Q13360">
        <v>4727</v>
      </c>
      <c r="R13360" t="s">
        <v>23</v>
      </c>
      <c r="S13360" s="1" t="s">
        <v>34218</v>
      </c>
    </row>
    <row r="13361" spans="1:19" x14ac:dyDescent="0.25">
      <c r="A13361">
        <v>101480742</v>
      </c>
      <c r="B13361" t="s">
        <v>28928</v>
      </c>
      <c r="C13361" t="s">
        <v>28929</v>
      </c>
      <c r="G13361" t="s">
        <v>28930</v>
      </c>
      <c r="H13361" t="s">
        <v>2208</v>
      </c>
      <c r="I13361" t="s">
        <v>135</v>
      </c>
      <c r="J13361">
        <v>60014</v>
      </c>
      <c r="L13361" t="s">
        <v>23</v>
      </c>
      <c r="M13361" t="s">
        <v>28930</v>
      </c>
      <c r="N13361" t="s">
        <v>2208</v>
      </c>
      <c r="O13361" t="s">
        <v>135</v>
      </c>
      <c r="P13361">
        <v>60014</v>
      </c>
      <c r="R13361" t="s">
        <v>23</v>
      </c>
      <c r="S13361" s="1" t="s">
        <v>34218</v>
      </c>
    </row>
    <row r="13362" spans="1:19" x14ac:dyDescent="0.25">
      <c r="A13362">
        <v>101480743</v>
      </c>
      <c r="B13362" t="s">
        <v>28931</v>
      </c>
      <c r="C13362" t="s">
        <v>4136</v>
      </c>
      <c r="G13362" t="s">
        <v>26466</v>
      </c>
      <c r="H13362" t="s">
        <v>746</v>
      </c>
      <c r="I13362" t="s">
        <v>100</v>
      </c>
      <c r="J13362">
        <v>53176</v>
      </c>
      <c r="K13362">
        <v>35</v>
      </c>
      <c r="L13362" t="s">
        <v>23</v>
      </c>
      <c r="M13362" t="s">
        <v>26466</v>
      </c>
      <c r="N13362" t="s">
        <v>746</v>
      </c>
      <c r="O13362" t="s">
        <v>100</v>
      </c>
      <c r="P13362">
        <v>53176</v>
      </c>
      <c r="Q13362">
        <v>35</v>
      </c>
      <c r="R13362" t="s">
        <v>23</v>
      </c>
      <c r="S13362" s="1" t="s">
        <v>34218</v>
      </c>
    </row>
    <row r="13363" spans="1:19" x14ac:dyDescent="0.25">
      <c r="A13363">
        <v>101480747</v>
      </c>
      <c r="B13363" t="s">
        <v>3138</v>
      </c>
      <c r="C13363" t="s">
        <v>28932</v>
      </c>
      <c r="G13363" t="s">
        <v>28933</v>
      </c>
      <c r="H13363" t="s">
        <v>4128</v>
      </c>
      <c r="I13363" t="s">
        <v>236</v>
      </c>
      <c r="J13363">
        <v>1011</v>
      </c>
      <c r="K13363">
        <v>9681</v>
      </c>
      <c r="L13363" t="s">
        <v>23</v>
      </c>
      <c r="M13363" t="s">
        <v>28933</v>
      </c>
      <c r="N13363" t="s">
        <v>4128</v>
      </c>
      <c r="O13363" t="s">
        <v>236</v>
      </c>
      <c r="P13363">
        <v>1011</v>
      </c>
      <c r="Q13363">
        <v>9681</v>
      </c>
      <c r="R13363" t="s">
        <v>23</v>
      </c>
      <c r="S13363" s="1" t="s">
        <v>34218</v>
      </c>
    </row>
    <row r="13364" spans="1:19" x14ac:dyDescent="0.25">
      <c r="A13364">
        <v>100926028</v>
      </c>
      <c r="B13364" t="s">
        <v>28934</v>
      </c>
      <c r="C13364" t="s">
        <v>2453</v>
      </c>
      <c r="G13364" t="s">
        <v>28935</v>
      </c>
      <c r="H13364" t="s">
        <v>177</v>
      </c>
      <c r="I13364" t="s">
        <v>43</v>
      </c>
      <c r="J13364">
        <v>97520</v>
      </c>
      <c r="K13364">
        <v>9145</v>
      </c>
      <c r="L13364" t="s">
        <v>23</v>
      </c>
      <c r="M13364" t="s">
        <v>28935</v>
      </c>
      <c r="N13364" t="s">
        <v>177</v>
      </c>
      <c r="O13364" t="s">
        <v>43</v>
      </c>
      <c r="P13364">
        <v>97520</v>
      </c>
      <c r="Q13364">
        <v>9145</v>
      </c>
      <c r="R13364" t="s">
        <v>23</v>
      </c>
      <c r="S13364" s="1" t="s">
        <v>34218</v>
      </c>
    </row>
    <row r="13365" spans="1:19" x14ac:dyDescent="0.25">
      <c r="A13365">
        <v>101431243</v>
      </c>
      <c r="B13365" t="s">
        <v>28936</v>
      </c>
      <c r="C13365" t="s">
        <v>5091</v>
      </c>
      <c r="G13365" t="s">
        <v>28937</v>
      </c>
      <c r="H13365" t="s">
        <v>28938</v>
      </c>
      <c r="I13365" t="s">
        <v>22</v>
      </c>
      <c r="J13365">
        <v>90274</v>
      </c>
      <c r="K13365">
        <v>3964</v>
      </c>
      <c r="L13365" t="s">
        <v>23</v>
      </c>
      <c r="M13365" t="s">
        <v>28937</v>
      </c>
      <c r="N13365" t="s">
        <v>28938</v>
      </c>
      <c r="O13365" t="s">
        <v>22</v>
      </c>
      <c r="P13365">
        <v>90274</v>
      </c>
      <c r="Q13365">
        <v>3964</v>
      </c>
      <c r="R13365" t="s">
        <v>23</v>
      </c>
      <c r="S13365" s="1" t="s">
        <v>34218</v>
      </c>
    </row>
    <row r="13366" spans="1:19" x14ac:dyDescent="0.25">
      <c r="A13366">
        <v>101423214</v>
      </c>
      <c r="B13366" t="s">
        <v>2151</v>
      </c>
      <c r="C13366" t="s">
        <v>1444</v>
      </c>
      <c r="G13366" t="s">
        <v>28939</v>
      </c>
      <c r="H13366" t="s">
        <v>2375</v>
      </c>
      <c r="I13366" t="s">
        <v>100</v>
      </c>
      <c r="J13366">
        <v>53711</v>
      </c>
      <c r="K13366">
        <v>1081</v>
      </c>
      <c r="L13366" t="s">
        <v>23</v>
      </c>
      <c r="M13366" t="s">
        <v>28939</v>
      </c>
      <c r="N13366" t="s">
        <v>2375</v>
      </c>
      <c r="O13366" t="s">
        <v>100</v>
      </c>
      <c r="P13366">
        <v>53711</v>
      </c>
      <c r="Q13366">
        <v>1081</v>
      </c>
      <c r="R13366" t="s">
        <v>23</v>
      </c>
      <c r="S13366" s="1" t="s">
        <v>34218</v>
      </c>
    </row>
    <row r="13367" spans="1:19" x14ac:dyDescent="0.25">
      <c r="A13367">
        <v>101427216</v>
      </c>
      <c r="B13367" t="s">
        <v>28940</v>
      </c>
      <c r="C13367" t="s">
        <v>49</v>
      </c>
      <c r="G13367" t="s">
        <v>28941</v>
      </c>
      <c r="H13367" t="s">
        <v>88</v>
      </c>
      <c r="I13367" t="s">
        <v>22</v>
      </c>
      <c r="J13367">
        <v>94606</v>
      </c>
      <c r="K13367">
        <v>1257</v>
      </c>
      <c r="L13367" t="s">
        <v>23</v>
      </c>
      <c r="M13367" t="s">
        <v>28941</v>
      </c>
      <c r="N13367" t="s">
        <v>88</v>
      </c>
      <c r="O13367" t="s">
        <v>22</v>
      </c>
      <c r="P13367">
        <v>94606</v>
      </c>
      <c r="Q13367">
        <v>1257</v>
      </c>
      <c r="R13367" t="s">
        <v>23</v>
      </c>
      <c r="S13367" s="1" t="s">
        <v>34218</v>
      </c>
    </row>
    <row r="13368" spans="1:19" x14ac:dyDescent="0.25">
      <c r="A13368">
        <v>101409706</v>
      </c>
      <c r="B13368" t="s">
        <v>28942</v>
      </c>
      <c r="C13368" t="s">
        <v>2329</v>
      </c>
      <c r="G13368" t="s">
        <v>28943</v>
      </c>
      <c r="H13368" t="s">
        <v>4267</v>
      </c>
      <c r="I13368" t="s">
        <v>22</v>
      </c>
      <c r="J13368">
        <v>92688</v>
      </c>
      <c r="K13368">
        <v>1341</v>
      </c>
      <c r="L13368" t="s">
        <v>23</v>
      </c>
      <c r="M13368" t="s">
        <v>28943</v>
      </c>
      <c r="N13368" t="s">
        <v>4267</v>
      </c>
      <c r="O13368" t="s">
        <v>22</v>
      </c>
      <c r="P13368">
        <v>92688</v>
      </c>
      <c r="Q13368">
        <v>1341</v>
      </c>
      <c r="R13368" t="s">
        <v>23</v>
      </c>
      <c r="S13368" s="1" t="s">
        <v>34218</v>
      </c>
    </row>
    <row r="13369" spans="1:19" x14ac:dyDescent="0.25">
      <c r="A13369">
        <v>101452129</v>
      </c>
      <c r="B13369" t="s">
        <v>9442</v>
      </c>
      <c r="C13369" t="s">
        <v>2568</v>
      </c>
      <c r="G13369" t="s">
        <v>28944</v>
      </c>
      <c r="H13369" t="s">
        <v>1105</v>
      </c>
      <c r="I13369" t="s">
        <v>117</v>
      </c>
      <c r="J13369">
        <v>10471</v>
      </c>
      <c r="K13369">
        <v>3519</v>
      </c>
      <c r="L13369" t="s">
        <v>23</v>
      </c>
      <c r="M13369" t="s">
        <v>28944</v>
      </c>
      <c r="N13369" t="s">
        <v>1105</v>
      </c>
      <c r="O13369" t="s">
        <v>117</v>
      </c>
      <c r="P13369">
        <v>10471</v>
      </c>
      <c r="Q13369">
        <v>3519</v>
      </c>
      <c r="R13369" t="s">
        <v>23</v>
      </c>
      <c r="S13369" s="1" t="s">
        <v>34218</v>
      </c>
    </row>
    <row r="13370" spans="1:19" x14ac:dyDescent="0.25">
      <c r="A13370">
        <v>101260371</v>
      </c>
      <c r="B13370" t="s">
        <v>1135</v>
      </c>
      <c r="C13370" t="s">
        <v>19953</v>
      </c>
      <c r="G13370" t="s">
        <v>28945</v>
      </c>
      <c r="H13370" t="s">
        <v>533</v>
      </c>
      <c r="I13370" t="s">
        <v>140</v>
      </c>
      <c r="J13370">
        <v>49022</v>
      </c>
      <c r="K13370">
        <v>7122</v>
      </c>
      <c r="L13370" t="s">
        <v>23</v>
      </c>
      <c r="M13370" t="s">
        <v>28945</v>
      </c>
      <c r="N13370" t="s">
        <v>533</v>
      </c>
      <c r="O13370" t="s">
        <v>140</v>
      </c>
      <c r="P13370">
        <v>49022</v>
      </c>
      <c r="Q13370">
        <v>7122</v>
      </c>
      <c r="R13370" t="s">
        <v>23</v>
      </c>
      <c r="S13370" s="1" t="s">
        <v>34218</v>
      </c>
    </row>
    <row r="13371" spans="1:19" x14ac:dyDescent="0.25">
      <c r="A13371">
        <v>101334496</v>
      </c>
      <c r="B13371" t="s">
        <v>276</v>
      </c>
      <c r="C13371" t="s">
        <v>28946</v>
      </c>
      <c r="G13371" t="s">
        <v>28947</v>
      </c>
      <c r="H13371" t="s">
        <v>5070</v>
      </c>
      <c r="I13371" t="s">
        <v>84</v>
      </c>
      <c r="J13371">
        <v>98684</v>
      </c>
      <c r="K13371">
        <v>7910</v>
      </c>
      <c r="L13371" t="s">
        <v>23</v>
      </c>
      <c r="M13371" t="s">
        <v>28947</v>
      </c>
      <c r="N13371" t="s">
        <v>5070</v>
      </c>
      <c r="O13371" t="s">
        <v>84</v>
      </c>
      <c r="P13371">
        <v>98684</v>
      </c>
      <c r="Q13371">
        <v>7910</v>
      </c>
      <c r="R13371" t="s">
        <v>23</v>
      </c>
      <c r="S13371" s="1" t="s">
        <v>34218</v>
      </c>
    </row>
    <row r="13372" spans="1:19" x14ac:dyDescent="0.25">
      <c r="A13372">
        <v>101422708</v>
      </c>
      <c r="B13372" t="s">
        <v>5610</v>
      </c>
      <c r="C13372" t="s">
        <v>728</v>
      </c>
      <c r="G13372" t="s">
        <v>28948</v>
      </c>
      <c r="H13372" t="s">
        <v>1396</v>
      </c>
      <c r="I13372" t="s">
        <v>191</v>
      </c>
      <c r="J13372">
        <v>4210</v>
      </c>
      <c r="K13372">
        <v>9652</v>
      </c>
      <c r="L13372" t="s">
        <v>23</v>
      </c>
      <c r="M13372" t="s">
        <v>28948</v>
      </c>
      <c r="N13372" t="s">
        <v>1396</v>
      </c>
      <c r="O13372" t="s">
        <v>191</v>
      </c>
      <c r="P13372">
        <v>4210</v>
      </c>
      <c r="Q13372">
        <v>9652</v>
      </c>
      <c r="R13372" t="s">
        <v>23</v>
      </c>
      <c r="S13372" s="1" t="s">
        <v>34218</v>
      </c>
    </row>
    <row r="13373" spans="1:19" x14ac:dyDescent="0.25">
      <c r="A13373">
        <v>101307820</v>
      </c>
      <c r="B13373" t="s">
        <v>7480</v>
      </c>
      <c r="C13373" t="s">
        <v>575</v>
      </c>
      <c r="G13373" t="s">
        <v>28949</v>
      </c>
      <c r="H13373" t="s">
        <v>7628</v>
      </c>
      <c r="I13373" t="s">
        <v>117</v>
      </c>
      <c r="J13373">
        <v>11357</v>
      </c>
      <c r="K13373">
        <v>3307</v>
      </c>
      <c r="L13373" t="s">
        <v>23</v>
      </c>
      <c r="M13373" t="s">
        <v>28949</v>
      </c>
      <c r="N13373" t="s">
        <v>7628</v>
      </c>
      <c r="O13373" t="s">
        <v>117</v>
      </c>
      <c r="P13373">
        <v>11357</v>
      </c>
      <c r="Q13373">
        <v>3307</v>
      </c>
      <c r="R13373" t="s">
        <v>23</v>
      </c>
      <c r="S13373" s="1" t="s">
        <v>34218</v>
      </c>
    </row>
    <row r="13374" spans="1:19" x14ac:dyDescent="0.25">
      <c r="A13374">
        <v>101023321</v>
      </c>
      <c r="B13374" t="s">
        <v>2376</v>
      </c>
      <c r="C13374" t="s">
        <v>24013</v>
      </c>
      <c r="G13374" t="s">
        <v>28950</v>
      </c>
      <c r="H13374" t="s">
        <v>7357</v>
      </c>
      <c r="I13374" t="s">
        <v>161</v>
      </c>
      <c r="J13374">
        <v>6062</v>
      </c>
      <c r="K13374">
        <v>1925</v>
      </c>
      <c r="L13374" t="s">
        <v>23</v>
      </c>
      <c r="M13374" t="s">
        <v>28950</v>
      </c>
      <c r="N13374" t="s">
        <v>7357</v>
      </c>
      <c r="O13374" t="s">
        <v>161</v>
      </c>
      <c r="P13374">
        <v>6062</v>
      </c>
      <c r="Q13374">
        <v>1925</v>
      </c>
      <c r="R13374" t="s">
        <v>23</v>
      </c>
      <c r="S13374" s="1" t="s">
        <v>34218</v>
      </c>
    </row>
    <row r="13375" spans="1:19" x14ac:dyDescent="0.25">
      <c r="A13375">
        <v>101277951</v>
      </c>
      <c r="B13375" t="s">
        <v>28951</v>
      </c>
      <c r="C13375" t="s">
        <v>403</v>
      </c>
      <c r="G13375" t="s">
        <v>28952</v>
      </c>
      <c r="H13375" t="s">
        <v>775</v>
      </c>
      <c r="I13375" t="s">
        <v>22</v>
      </c>
      <c r="J13375">
        <v>95076</v>
      </c>
      <c r="K13375">
        <v>320</v>
      </c>
      <c r="L13375" t="s">
        <v>23</v>
      </c>
      <c r="M13375" t="s">
        <v>28952</v>
      </c>
      <c r="N13375" t="s">
        <v>775</v>
      </c>
      <c r="O13375" t="s">
        <v>22</v>
      </c>
      <c r="P13375">
        <v>95076</v>
      </c>
      <c r="Q13375">
        <v>320</v>
      </c>
      <c r="R13375" t="s">
        <v>23</v>
      </c>
      <c r="S13375" s="1" t="s">
        <v>34218</v>
      </c>
    </row>
    <row r="13376" spans="1:19" x14ac:dyDescent="0.25">
      <c r="A13376">
        <v>101473240</v>
      </c>
      <c r="B13376" t="s">
        <v>28953</v>
      </c>
      <c r="C13376" t="s">
        <v>1865</v>
      </c>
      <c r="G13376" t="s">
        <v>28954</v>
      </c>
      <c r="H13376" t="s">
        <v>7846</v>
      </c>
      <c r="I13376" t="s">
        <v>22</v>
      </c>
      <c r="J13376">
        <v>95482</v>
      </c>
      <c r="K13376">
        <v>9418</v>
      </c>
      <c r="L13376" t="s">
        <v>23</v>
      </c>
      <c r="M13376" t="s">
        <v>28954</v>
      </c>
      <c r="N13376" t="s">
        <v>7846</v>
      </c>
      <c r="O13376" t="s">
        <v>22</v>
      </c>
      <c r="P13376">
        <v>95482</v>
      </c>
      <c r="Q13376">
        <v>9418</v>
      </c>
      <c r="R13376" t="s">
        <v>23</v>
      </c>
      <c r="S13376" s="1" t="s">
        <v>34218</v>
      </c>
    </row>
    <row r="13377" spans="1:19" x14ac:dyDescent="0.25">
      <c r="A13377">
        <v>101473943</v>
      </c>
      <c r="B13377" t="s">
        <v>28955</v>
      </c>
      <c r="C13377" t="s">
        <v>25</v>
      </c>
      <c r="G13377" t="s">
        <v>28956</v>
      </c>
      <c r="H13377" t="s">
        <v>28957</v>
      </c>
      <c r="I13377" t="s">
        <v>22</v>
      </c>
      <c r="J13377">
        <v>92243</v>
      </c>
      <c r="K13377">
        <v>2127</v>
      </c>
      <c r="L13377" t="s">
        <v>23</v>
      </c>
      <c r="M13377" t="s">
        <v>28956</v>
      </c>
      <c r="N13377" t="s">
        <v>28957</v>
      </c>
      <c r="O13377" t="s">
        <v>22</v>
      </c>
      <c r="P13377">
        <v>92243</v>
      </c>
      <c r="Q13377">
        <v>2127</v>
      </c>
      <c r="R13377" t="s">
        <v>23</v>
      </c>
      <c r="S13377" s="1" t="s">
        <v>34218</v>
      </c>
    </row>
    <row r="13378" spans="1:19" x14ac:dyDescent="0.25">
      <c r="A13378">
        <v>101420624</v>
      </c>
      <c r="B13378" t="s">
        <v>8306</v>
      </c>
      <c r="C13378" t="s">
        <v>23401</v>
      </c>
      <c r="G13378" t="s">
        <v>28958</v>
      </c>
      <c r="H13378" t="s">
        <v>28959</v>
      </c>
      <c r="I13378" t="s">
        <v>22</v>
      </c>
      <c r="J13378">
        <v>95672</v>
      </c>
      <c r="K13378">
        <v>9411</v>
      </c>
      <c r="L13378" t="s">
        <v>23</v>
      </c>
      <c r="M13378" t="s">
        <v>28958</v>
      </c>
      <c r="N13378" t="s">
        <v>28959</v>
      </c>
      <c r="O13378" t="s">
        <v>22</v>
      </c>
      <c r="P13378">
        <v>95672</v>
      </c>
      <c r="Q13378">
        <v>9411</v>
      </c>
      <c r="R13378" t="s">
        <v>23</v>
      </c>
      <c r="S13378" s="1" t="s">
        <v>34218</v>
      </c>
    </row>
    <row r="13379" spans="1:19" x14ac:dyDescent="0.25">
      <c r="A13379">
        <v>101264258</v>
      </c>
      <c r="B13379" t="s">
        <v>28960</v>
      </c>
      <c r="C13379" t="s">
        <v>14463</v>
      </c>
      <c r="H13379" t="s">
        <v>7886</v>
      </c>
      <c r="I13379" t="s">
        <v>178</v>
      </c>
      <c r="J13379">
        <v>44310</v>
      </c>
      <c r="L13379" t="s">
        <v>2310</v>
      </c>
      <c r="N13379" t="s">
        <v>7886</v>
      </c>
      <c r="O13379" t="s">
        <v>178</v>
      </c>
      <c r="P13379">
        <v>44310</v>
      </c>
      <c r="R13379" t="s">
        <v>2310</v>
      </c>
      <c r="S13379" s="1" t="s">
        <v>34218</v>
      </c>
    </row>
    <row r="13380" spans="1:19" x14ac:dyDescent="0.25">
      <c r="A13380">
        <v>101454820</v>
      </c>
      <c r="B13380" t="s">
        <v>28961</v>
      </c>
      <c r="C13380" t="s">
        <v>8154</v>
      </c>
      <c r="G13380" t="s">
        <v>28962</v>
      </c>
      <c r="H13380" t="s">
        <v>22338</v>
      </c>
      <c r="I13380" t="s">
        <v>236</v>
      </c>
      <c r="J13380">
        <v>2119</v>
      </c>
      <c r="K13380">
        <v>1426</v>
      </c>
      <c r="L13380" t="s">
        <v>23</v>
      </c>
      <c r="M13380" t="s">
        <v>28962</v>
      </c>
      <c r="N13380" t="s">
        <v>22338</v>
      </c>
      <c r="O13380" t="s">
        <v>236</v>
      </c>
      <c r="P13380">
        <v>2119</v>
      </c>
      <c r="Q13380">
        <v>1426</v>
      </c>
      <c r="R13380" t="s">
        <v>23</v>
      </c>
      <c r="S13380" s="1" t="s">
        <v>34218</v>
      </c>
    </row>
    <row r="13381" spans="1:19" x14ac:dyDescent="0.25">
      <c r="A13381">
        <v>101290653</v>
      </c>
      <c r="B13381" t="s">
        <v>28963</v>
      </c>
      <c r="C13381" t="s">
        <v>28964</v>
      </c>
      <c r="G13381" t="s">
        <v>28965</v>
      </c>
      <c r="H13381" t="s">
        <v>28966</v>
      </c>
      <c r="I13381" t="s">
        <v>1387</v>
      </c>
      <c r="J13381">
        <v>35173</v>
      </c>
      <c r="K13381">
        <v>3835</v>
      </c>
      <c r="L13381" t="s">
        <v>23</v>
      </c>
      <c r="M13381" t="s">
        <v>28965</v>
      </c>
      <c r="N13381" t="s">
        <v>28966</v>
      </c>
      <c r="O13381" t="s">
        <v>1387</v>
      </c>
      <c r="P13381">
        <v>35173</v>
      </c>
      <c r="Q13381">
        <v>3835</v>
      </c>
      <c r="R13381" t="s">
        <v>23</v>
      </c>
      <c r="S13381" s="1" t="s">
        <v>34218</v>
      </c>
    </row>
    <row r="13382" spans="1:19" x14ac:dyDescent="0.25">
      <c r="A13382">
        <v>100617315</v>
      </c>
      <c r="B13382" t="s">
        <v>557</v>
      </c>
      <c r="C13382" t="s">
        <v>28967</v>
      </c>
      <c r="G13382" t="s">
        <v>28968</v>
      </c>
      <c r="H13382" t="s">
        <v>685</v>
      </c>
      <c r="I13382" t="s">
        <v>57</v>
      </c>
      <c r="J13382">
        <v>47401</v>
      </c>
      <c r="K13382">
        <v>8725</v>
      </c>
      <c r="L13382" t="s">
        <v>23</v>
      </c>
      <c r="M13382" t="s">
        <v>28968</v>
      </c>
      <c r="N13382" t="s">
        <v>685</v>
      </c>
      <c r="O13382" t="s">
        <v>57</v>
      </c>
      <c r="P13382">
        <v>47401</v>
      </c>
      <c r="Q13382">
        <v>8725</v>
      </c>
      <c r="R13382" t="s">
        <v>23</v>
      </c>
      <c r="S13382" s="1" t="s">
        <v>34218</v>
      </c>
    </row>
    <row r="13383" spans="1:19" x14ac:dyDescent="0.25">
      <c r="A13383">
        <v>101391215</v>
      </c>
      <c r="B13383" t="s">
        <v>199</v>
      </c>
      <c r="C13383" t="s">
        <v>6531</v>
      </c>
      <c r="G13383" t="s">
        <v>28969</v>
      </c>
      <c r="H13383" t="s">
        <v>1130</v>
      </c>
      <c r="I13383" t="s">
        <v>22</v>
      </c>
      <c r="J13383">
        <v>92399</v>
      </c>
      <c r="K13383">
        <v>2958</v>
      </c>
      <c r="L13383" t="s">
        <v>23</v>
      </c>
      <c r="M13383" t="s">
        <v>28969</v>
      </c>
      <c r="N13383" t="s">
        <v>1130</v>
      </c>
      <c r="O13383" t="s">
        <v>22</v>
      </c>
      <c r="P13383">
        <v>92399</v>
      </c>
      <c r="Q13383">
        <v>2958</v>
      </c>
      <c r="R13383" t="s">
        <v>23</v>
      </c>
      <c r="S13383" s="1" t="s">
        <v>34218</v>
      </c>
    </row>
    <row r="13384" spans="1:19" x14ac:dyDescent="0.25">
      <c r="A13384">
        <v>101453544</v>
      </c>
      <c r="B13384" t="s">
        <v>21627</v>
      </c>
      <c r="C13384" t="s">
        <v>28970</v>
      </c>
      <c r="G13384" t="s">
        <v>28971</v>
      </c>
      <c r="H13384" t="s">
        <v>569</v>
      </c>
      <c r="I13384" t="s">
        <v>187</v>
      </c>
      <c r="J13384">
        <v>55421</v>
      </c>
      <c r="K13384">
        <v>3073</v>
      </c>
      <c r="L13384" t="s">
        <v>23</v>
      </c>
      <c r="M13384" t="s">
        <v>28971</v>
      </c>
      <c r="N13384" t="s">
        <v>569</v>
      </c>
      <c r="O13384" t="s">
        <v>187</v>
      </c>
      <c r="P13384">
        <v>55421</v>
      </c>
      <c r="Q13384">
        <v>3073</v>
      </c>
      <c r="R13384" t="s">
        <v>23</v>
      </c>
      <c r="S13384" s="1" t="s">
        <v>34218</v>
      </c>
    </row>
    <row r="13385" spans="1:19" x14ac:dyDescent="0.25">
      <c r="A13385">
        <v>101267783</v>
      </c>
      <c r="B13385" t="s">
        <v>28972</v>
      </c>
      <c r="C13385" t="s">
        <v>2870</v>
      </c>
      <c r="G13385" t="s">
        <v>28973</v>
      </c>
      <c r="H13385" t="s">
        <v>573</v>
      </c>
      <c r="I13385" t="s">
        <v>33</v>
      </c>
      <c r="J13385">
        <v>19122</v>
      </c>
      <c r="K13385">
        <v>4413</v>
      </c>
      <c r="L13385" t="s">
        <v>23</v>
      </c>
      <c r="M13385" t="s">
        <v>28973</v>
      </c>
      <c r="N13385" t="s">
        <v>573</v>
      </c>
      <c r="O13385" t="s">
        <v>33</v>
      </c>
      <c r="P13385">
        <v>19122</v>
      </c>
      <c r="Q13385">
        <v>4413</v>
      </c>
      <c r="R13385" t="s">
        <v>23</v>
      </c>
      <c r="S13385" s="1" t="s">
        <v>34218</v>
      </c>
    </row>
    <row r="13386" spans="1:19" x14ac:dyDescent="0.25">
      <c r="A13386">
        <v>101422638</v>
      </c>
      <c r="B13386" t="s">
        <v>5612</v>
      </c>
      <c r="C13386" t="s">
        <v>2127</v>
      </c>
      <c r="G13386" t="s">
        <v>28974</v>
      </c>
      <c r="H13386" t="s">
        <v>3884</v>
      </c>
      <c r="I13386" t="s">
        <v>84</v>
      </c>
      <c r="J13386">
        <v>98260</v>
      </c>
      <c r="K13386">
        <v>9208</v>
      </c>
      <c r="L13386" t="s">
        <v>23</v>
      </c>
      <c r="M13386" t="s">
        <v>28974</v>
      </c>
      <c r="N13386" t="s">
        <v>3884</v>
      </c>
      <c r="O13386" t="s">
        <v>84</v>
      </c>
      <c r="P13386">
        <v>98260</v>
      </c>
      <c r="Q13386">
        <v>9208</v>
      </c>
      <c r="R13386" t="s">
        <v>23</v>
      </c>
      <c r="S13386" s="1" t="s">
        <v>34218</v>
      </c>
    </row>
    <row r="13387" spans="1:19" x14ac:dyDescent="0.25">
      <c r="A13387">
        <v>101353199</v>
      </c>
      <c r="B13387" t="s">
        <v>28975</v>
      </c>
      <c r="C13387" t="s">
        <v>3854</v>
      </c>
      <c r="G13387" t="s">
        <v>28976</v>
      </c>
      <c r="H13387" t="s">
        <v>28977</v>
      </c>
      <c r="I13387" t="s">
        <v>52</v>
      </c>
      <c r="J13387">
        <v>32615</v>
      </c>
      <c r="K13387">
        <v>8580</v>
      </c>
      <c r="L13387" t="s">
        <v>23</v>
      </c>
      <c r="M13387" t="s">
        <v>28976</v>
      </c>
      <c r="N13387" t="s">
        <v>28977</v>
      </c>
      <c r="O13387" t="s">
        <v>52</v>
      </c>
      <c r="P13387">
        <v>32615</v>
      </c>
      <c r="Q13387">
        <v>8580</v>
      </c>
      <c r="R13387" t="s">
        <v>23</v>
      </c>
      <c r="S13387" s="1" t="s">
        <v>34218</v>
      </c>
    </row>
    <row r="13388" spans="1:19" x14ac:dyDescent="0.25">
      <c r="A13388">
        <v>101480772</v>
      </c>
      <c r="B13388" t="s">
        <v>28978</v>
      </c>
      <c r="C13388" t="s">
        <v>3393</v>
      </c>
      <c r="G13388" t="s">
        <v>28979</v>
      </c>
      <c r="H13388" t="s">
        <v>653</v>
      </c>
      <c r="I13388" t="s">
        <v>117</v>
      </c>
      <c r="J13388">
        <v>10036</v>
      </c>
      <c r="K13388">
        <v>3917</v>
      </c>
      <c r="L13388" t="s">
        <v>23</v>
      </c>
      <c r="M13388" t="s">
        <v>28979</v>
      </c>
      <c r="N13388" t="s">
        <v>653</v>
      </c>
      <c r="O13388" t="s">
        <v>117</v>
      </c>
      <c r="P13388">
        <v>10036</v>
      </c>
      <c r="Q13388">
        <v>3917</v>
      </c>
      <c r="R13388" t="s">
        <v>23</v>
      </c>
      <c r="S13388" s="1" t="s">
        <v>34218</v>
      </c>
    </row>
    <row r="13389" spans="1:19" x14ac:dyDescent="0.25">
      <c r="A13389">
        <v>101466552</v>
      </c>
      <c r="B13389" t="s">
        <v>8669</v>
      </c>
      <c r="C13389" t="s">
        <v>1043</v>
      </c>
      <c r="G13389" t="s">
        <v>28980</v>
      </c>
      <c r="H13389" t="s">
        <v>23989</v>
      </c>
      <c r="I13389" t="s">
        <v>22</v>
      </c>
      <c r="J13389">
        <v>92284</v>
      </c>
      <c r="K13389">
        <v>4313</v>
      </c>
      <c r="L13389" t="s">
        <v>23</v>
      </c>
      <c r="M13389" t="s">
        <v>28980</v>
      </c>
      <c r="N13389" t="s">
        <v>23989</v>
      </c>
      <c r="O13389" t="s">
        <v>22</v>
      </c>
      <c r="P13389">
        <v>92284</v>
      </c>
      <c r="Q13389">
        <v>4313</v>
      </c>
      <c r="R13389" t="s">
        <v>23</v>
      </c>
      <c r="S13389" s="1" t="s">
        <v>34218</v>
      </c>
    </row>
    <row r="13390" spans="1:19" x14ac:dyDescent="0.25">
      <c r="A13390">
        <v>101277495</v>
      </c>
      <c r="B13390" t="s">
        <v>12791</v>
      </c>
      <c r="C13390" t="s">
        <v>22931</v>
      </c>
      <c r="G13390" t="s">
        <v>28981</v>
      </c>
      <c r="H13390" t="s">
        <v>7018</v>
      </c>
      <c r="I13390" t="s">
        <v>241</v>
      </c>
      <c r="J13390">
        <v>66062</v>
      </c>
      <c r="K13390">
        <v>6561</v>
      </c>
      <c r="L13390" t="s">
        <v>23</v>
      </c>
      <c r="M13390" t="s">
        <v>28981</v>
      </c>
      <c r="N13390" t="s">
        <v>7018</v>
      </c>
      <c r="O13390" t="s">
        <v>241</v>
      </c>
      <c r="P13390">
        <v>66062</v>
      </c>
      <c r="Q13390">
        <v>6561</v>
      </c>
      <c r="R13390" t="s">
        <v>23</v>
      </c>
      <c r="S13390" s="1" t="s">
        <v>34218</v>
      </c>
    </row>
    <row r="13391" spans="1:19" x14ac:dyDescent="0.25">
      <c r="A13391">
        <v>101480777</v>
      </c>
      <c r="B13391" t="s">
        <v>7568</v>
      </c>
      <c r="C13391" t="s">
        <v>2463</v>
      </c>
      <c r="G13391" t="s">
        <v>28982</v>
      </c>
      <c r="H13391" t="s">
        <v>3571</v>
      </c>
      <c r="I13391" t="s">
        <v>62</v>
      </c>
      <c r="J13391">
        <v>74075</v>
      </c>
      <c r="K13391">
        <v>8585</v>
      </c>
      <c r="L13391" t="s">
        <v>23</v>
      </c>
      <c r="M13391" t="s">
        <v>28982</v>
      </c>
      <c r="N13391" t="s">
        <v>3571</v>
      </c>
      <c r="O13391" t="s">
        <v>62</v>
      </c>
      <c r="P13391">
        <v>74075</v>
      </c>
      <c r="Q13391">
        <v>8585</v>
      </c>
      <c r="R13391" t="s">
        <v>23</v>
      </c>
      <c r="S13391" s="1" t="s">
        <v>34218</v>
      </c>
    </row>
    <row r="13392" spans="1:19" x14ac:dyDescent="0.25">
      <c r="A13392">
        <v>100515756</v>
      </c>
      <c r="B13392" t="s">
        <v>28983</v>
      </c>
      <c r="C13392" t="s">
        <v>266</v>
      </c>
      <c r="G13392" t="s">
        <v>28984</v>
      </c>
      <c r="H13392" t="s">
        <v>7838</v>
      </c>
      <c r="I13392" t="s">
        <v>7839</v>
      </c>
      <c r="J13392">
        <v>58103</v>
      </c>
      <c r="K13392">
        <v>6038</v>
      </c>
      <c r="L13392" t="s">
        <v>23</v>
      </c>
      <c r="M13392" t="s">
        <v>28984</v>
      </c>
      <c r="N13392" t="s">
        <v>7838</v>
      </c>
      <c r="O13392" t="s">
        <v>7839</v>
      </c>
      <c r="P13392">
        <v>58103</v>
      </c>
      <c r="Q13392">
        <v>6038</v>
      </c>
      <c r="R13392" t="s">
        <v>23</v>
      </c>
      <c r="S13392" s="1" t="s">
        <v>34218</v>
      </c>
    </row>
    <row r="13393" spans="1:19" x14ac:dyDescent="0.25">
      <c r="A13393">
        <v>100987328</v>
      </c>
      <c r="B13393" t="s">
        <v>28985</v>
      </c>
      <c r="C13393" t="s">
        <v>1036</v>
      </c>
      <c r="G13393" t="s">
        <v>28986</v>
      </c>
      <c r="H13393" t="s">
        <v>28987</v>
      </c>
      <c r="I13393" t="s">
        <v>332</v>
      </c>
      <c r="J13393">
        <v>84128</v>
      </c>
      <c r="K13393">
        <v>1235</v>
      </c>
      <c r="L13393" t="s">
        <v>23</v>
      </c>
      <c r="M13393" t="s">
        <v>28986</v>
      </c>
      <c r="N13393" t="s">
        <v>28987</v>
      </c>
      <c r="O13393" t="s">
        <v>332</v>
      </c>
      <c r="P13393">
        <v>84128</v>
      </c>
      <c r="Q13393">
        <v>1235</v>
      </c>
      <c r="R13393" t="s">
        <v>23</v>
      </c>
      <c r="S13393" s="1" t="s">
        <v>34218</v>
      </c>
    </row>
    <row r="13394" spans="1:19" x14ac:dyDescent="0.25">
      <c r="A13394">
        <v>101386361</v>
      </c>
      <c r="B13394" t="s">
        <v>28988</v>
      </c>
      <c r="C13394" t="s">
        <v>28989</v>
      </c>
      <c r="G13394" t="s">
        <v>28990</v>
      </c>
      <c r="H13394" t="s">
        <v>25085</v>
      </c>
      <c r="I13394" t="s">
        <v>1226</v>
      </c>
      <c r="J13394">
        <v>39666</v>
      </c>
      <c r="K13394">
        <v>7429</v>
      </c>
      <c r="L13394" t="s">
        <v>23</v>
      </c>
      <c r="M13394" t="s">
        <v>28990</v>
      </c>
      <c r="N13394" t="s">
        <v>25085</v>
      </c>
      <c r="O13394" t="s">
        <v>1226</v>
      </c>
      <c r="P13394">
        <v>39666</v>
      </c>
      <c r="Q13394">
        <v>7429</v>
      </c>
      <c r="R13394" t="s">
        <v>23</v>
      </c>
      <c r="S13394" s="1" t="s">
        <v>34218</v>
      </c>
    </row>
    <row r="13395" spans="1:19" x14ac:dyDescent="0.25">
      <c r="A13395">
        <v>101468397</v>
      </c>
      <c r="B13395" t="s">
        <v>16120</v>
      </c>
      <c r="C13395" t="s">
        <v>10596</v>
      </c>
      <c r="G13395" t="s">
        <v>28991</v>
      </c>
      <c r="H13395" t="s">
        <v>28992</v>
      </c>
      <c r="I13395" t="s">
        <v>2537</v>
      </c>
      <c r="J13395">
        <v>72543</v>
      </c>
      <c r="K13395">
        <v>1152</v>
      </c>
      <c r="L13395" t="s">
        <v>23</v>
      </c>
      <c r="M13395" t="s">
        <v>28991</v>
      </c>
      <c r="N13395" t="s">
        <v>28992</v>
      </c>
      <c r="O13395" t="s">
        <v>2537</v>
      </c>
      <c r="P13395">
        <v>72543</v>
      </c>
      <c r="Q13395">
        <v>1152</v>
      </c>
      <c r="R13395" t="s">
        <v>23</v>
      </c>
      <c r="S13395" s="1" t="s">
        <v>34218</v>
      </c>
    </row>
    <row r="13396" spans="1:19" x14ac:dyDescent="0.25">
      <c r="A13396">
        <v>101315367</v>
      </c>
      <c r="B13396" t="s">
        <v>16461</v>
      </c>
      <c r="C13396" t="s">
        <v>3643</v>
      </c>
      <c r="G13396" t="s">
        <v>28993</v>
      </c>
      <c r="H13396" t="s">
        <v>1261</v>
      </c>
      <c r="I13396" t="s">
        <v>22</v>
      </c>
      <c r="J13396">
        <v>95503</v>
      </c>
      <c r="K13396">
        <v>9419</v>
      </c>
      <c r="L13396" t="s">
        <v>23</v>
      </c>
      <c r="M13396" t="s">
        <v>28993</v>
      </c>
      <c r="N13396" t="s">
        <v>1261</v>
      </c>
      <c r="O13396" t="s">
        <v>22</v>
      </c>
      <c r="P13396">
        <v>95503</v>
      </c>
      <c r="Q13396">
        <v>9419</v>
      </c>
      <c r="R13396" t="s">
        <v>23</v>
      </c>
      <c r="S13396" s="1" t="s">
        <v>34218</v>
      </c>
    </row>
    <row r="13397" spans="1:19" x14ac:dyDescent="0.25">
      <c r="A13397">
        <v>101480161</v>
      </c>
      <c r="B13397" t="s">
        <v>28994</v>
      </c>
      <c r="C13397" t="s">
        <v>2180</v>
      </c>
      <c r="G13397" t="s">
        <v>28995</v>
      </c>
      <c r="H13397" t="s">
        <v>28996</v>
      </c>
      <c r="I13397" t="s">
        <v>236</v>
      </c>
      <c r="J13397">
        <v>1093</v>
      </c>
      <c r="L13397" t="s">
        <v>23</v>
      </c>
      <c r="M13397" t="s">
        <v>28995</v>
      </c>
      <c r="N13397" t="s">
        <v>28996</v>
      </c>
      <c r="O13397" t="s">
        <v>236</v>
      </c>
      <c r="P13397">
        <v>1093</v>
      </c>
      <c r="R13397" t="s">
        <v>23</v>
      </c>
      <c r="S13397" s="1" t="s">
        <v>34218</v>
      </c>
    </row>
    <row r="13398" spans="1:19" x14ac:dyDescent="0.25">
      <c r="A13398">
        <v>101480795</v>
      </c>
      <c r="B13398" t="s">
        <v>28215</v>
      </c>
      <c r="C13398" t="s">
        <v>1506</v>
      </c>
      <c r="G13398" t="s">
        <v>28997</v>
      </c>
      <c r="H13398" t="s">
        <v>2499</v>
      </c>
      <c r="I13398" t="s">
        <v>22</v>
      </c>
      <c r="J13398">
        <v>94920</v>
      </c>
      <c r="K13398">
        <v>1452</v>
      </c>
      <c r="L13398" t="s">
        <v>23</v>
      </c>
      <c r="M13398" t="s">
        <v>28997</v>
      </c>
      <c r="N13398" t="s">
        <v>2499</v>
      </c>
      <c r="O13398" t="s">
        <v>22</v>
      </c>
      <c r="P13398">
        <v>94920</v>
      </c>
      <c r="Q13398">
        <v>1452</v>
      </c>
      <c r="R13398" t="s">
        <v>23</v>
      </c>
      <c r="S13398" s="1" t="s">
        <v>34218</v>
      </c>
    </row>
    <row r="13399" spans="1:19" x14ac:dyDescent="0.25">
      <c r="A13399">
        <v>101452400</v>
      </c>
      <c r="B13399" t="s">
        <v>7179</v>
      </c>
      <c r="C13399" t="s">
        <v>155</v>
      </c>
      <c r="G13399" t="s">
        <v>28998</v>
      </c>
      <c r="H13399" t="s">
        <v>28999</v>
      </c>
      <c r="I13399" t="s">
        <v>22</v>
      </c>
      <c r="J13399">
        <v>93240</v>
      </c>
      <c r="K13399">
        <v>797</v>
      </c>
      <c r="L13399" t="s">
        <v>23</v>
      </c>
      <c r="M13399" t="s">
        <v>28998</v>
      </c>
      <c r="N13399" t="s">
        <v>28999</v>
      </c>
      <c r="O13399" t="s">
        <v>22</v>
      </c>
      <c r="P13399">
        <v>93240</v>
      </c>
      <c r="Q13399">
        <v>797</v>
      </c>
      <c r="R13399" t="s">
        <v>23</v>
      </c>
      <c r="S13399" s="1" t="s">
        <v>34218</v>
      </c>
    </row>
    <row r="13400" spans="1:19" x14ac:dyDescent="0.25">
      <c r="A13400">
        <v>101477653</v>
      </c>
      <c r="B13400" t="s">
        <v>826</v>
      </c>
      <c r="C13400" t="s">
        <v>894</v>
      </c>
      <c r="G13400" t="s">
        <v>29000</v>
      </c>
      <c r="H13400" t="s">
        <v>14549</v>
      </c>
      <c r="I13400" t="s">
        <v>187</v>
      </c>
      <c r="J13400">
        <v>55340</v>
      </c>
      <c r="K13400">
        <v>9451</v>
      </c>
      <c r="L13400" t="s">
        <v>23</v>
      </c>
      <c r="M13400" t="s">
        <v>29000</v>
      </c>
      <c r="N13400" t="s">
        <v>14549</v>
      </c>
      <c r="O13400" t="s">
        <v>187</v>
      </c>
      <c r="P13400">
        <v>55340</v>
      </c>
      <c r="Q13400">
        <v>9451</v>
      </c>
      <c r="R13400" t="s">
        <v>23</v>
      </c>
      <c r="S13400" s="1" t="s">
        <v>34218</v>
      </c>
    </row>
    <row r="13401" spans="1:19" x14ac:dyDescent="0.25">
      <c r="A13401">
        <v>101365653</v>
      </c>
      <c r="B13401" t="s">
        <v>29001</v>
      </c>
      <c r="C13401" t="s">
        <v>5507</v>
      </c>
      <c r="G13401" t="s">
        <v>29002</v>
      </c>
      <c r="H13401" t="s">
        <v>1600</v>
      </c>
      <c r="I13401" t="s">
        <v>28</v>
      </c>
      <c r="J13401">
        <v>30068</v>
      </c>
      <c r="K13401">
        <v>4154</v>
      </c>
      <c r="L13401" t="s">
        <v>23</v>
      </c>
      <c r="M13401" t="s">
        <v>29002</v>
      </c>
      <c r="N13401" t="s">
        <v>1600</v>
      </c>
      <c r="O13401" t="s">
        <v>28</v>
      </c>
      <c r="P13401">
        <v>30068</v>
      </c>
      <c r="Q13401">
        <v>4154</v>
      </c>
      <c r="R13401" t="s">
        <v>23</v>
      </c>
      <c r="S13401" s="1" t="s">
        <v>34218</v>
      </c>
    </row>
    <row r="13402" spans="1:19" x14ac:dyDescent="0.25">
      <c r="A13402">
        <v>101480806</v>
      </c>
      <c r="B13402" t="s">
        <v>29</v>
      </c>
      <c r="C13402" t="s">
        <v>2180</v>
      </c>
      <c r="G13402" t="s">
        <v>29003</v>
      </c>
      <c r="H13402" t="s">
        <v>4742</v>
      </c>
      <c r="I13402" t="s">
        <v>38</v>
      </c>
      <c r="J13402">
        <v>75915</v>
      </c>
      <c r="K13402">
        <v>2908</v>
      </c>
      <c r="L13402" t="s">
        <v>23</v>
      </c>
      <c r="M13402" t="s">
        <v>29003</v>
      </c>
      <c r="N13402" t="s">
        <v>4742</v>
      </c>
      <c r="O13402" t="s">
        <v>38</v>
      </c>
      <c r="P13402">
        <v>75915</v>
      </c>
      <c r="Q13402">
        <v>2908</v>
      </c>
      <c r="R13402" t="s">
        <v>23</v>
      </c>
      <c r="S13402" s="1" t="s">
        <v>34218</v>
      </c>
    </row>
    <row r="13403" spans="1:19" x14ac:dyDescent="0.25">
      <c r="A13403">
        <v>101448502</v>
      </c>
      <c r="B13403" t="s">
        <v>966</v>
      </c>
      <c r="C13403" t="s">
        <v>167</v>
      </c>
      <c r="G13403" t="s">
        <v>29004</v>
      </c>
      <c r="H13403" t="s">
        <v>4033</v>
      </c>
      <c r="I13403" t="s">
        <v>250</v>
      </c>
      <c r="J13403">
        <v>8817</v>
      </c>
      <c r="K13403">
        <v>4519</v>
      </c>
      <c r="L13403" t="s">
        <v>23</v>
      </c>
      <c r="M13403" t="s">
        <v>29004</v>
      </c>
      <c r="N13403" t="s">
        <v>4033</v>
      </c>
      <c r="O13403" t="s">
        <v>250</v>
      </c>
      <c r="P13403">
        <v>8817</v>
      </c>
      <c r="Q13403">
        <v>4519</v>
      </c>
      <c r="R13403" t="s">
        <v>23</v>
      </c>
      <c r="S13403" s="1" t="s">
        <v>34218</v>
      </c>
    </row>
    <row r="13404" spans="1:19" x14ac:dyDescent="0.25">
      <c r="A13404">
        <v>100625009</v>
      </c>
      <c r="B13404" t="s">
        <v>3946</v>
      </c>
      <c r="C13404" t="s">
        <v>123</v>
      </c>
      <c r="G13404" t="s">
        <v>12389</v>
      </c>
      <c r="H13404" t="s">
        <v>5908</v>
      </c>
      <c r="I13404" t="s">
        <v>52</v>
      </c>
      <c r="J13404">
        <v>32967</v>
      </c>
      <c r="K13404">
        <v>6839</v>
      </c>
      <c r="L13404" t="s">
        <v>23</v>
      </c>
      <c r="M13404" t="s">
        <v>12389</v>
      </c>
      <c r="N13404" t="s">
        <v>5908</v>
      </c>
      <c r="O13404" t="s">
        <v>52</v>
      </c>
      <c r="P13404">
        <v>32967</v>
      </c>
      <c r="Q13404">
        <v>6839</v>
      </c>
      <c r="R13404" t="s">
        <v>23</v>
      </c>
      <c r="S13404" s="1" t="s">
        <v>34218</v>
      </c>
    </row>
    <row r="13405" spans="1:19" x14ac:dyDescent="0.25">
      <c r="A13405">
        <v>101255056</v>
      </c>
      <c r="B13405" t="s">
        <v>521</v>
      </c>
      <c r="C13405" t="s">
        <v>1616</v>
      </c>
      <c r="G13405" t="s">
        <v>29005</v>
      </c>
      <c r="H13405" t="s">
        <v>29006</v>
      </c>
      <c r="I13405" t="s">
        <v>84</v>
      </c>
      <c r="J13405">
        <v>98466</v>
      </c>
      <c r="K13405">
        <v>7507</v>
      </c>
      <c r="L13405" t="s">
        <v>23</v>
      </c>
      <c r="M13405" t="s">
        <v>29005</v>
      </c>
      <c r="N13405" t="s">
        <v>29006</v>
      </c>
      <c r="O13405" t="s">
        <v>84</v>
      </c>
      <c r="P13405">
        <v>98466</v>
      </c>
      <c r="Q13405">
        <v>7507</v>
      </c>
      <c r="R13405" t="s">
        <v>23</v>
      </c>
      <c r="S13405" s="1" t="s">
        <v>34218</v>
      </c>
    </row>
    <row r="13406" spans="1:19" x14ac:dyDescent="0.25">
      <c r="A13406">
        <v>101480814</v>
      </c>
      <c r="B13406" t="s">
        <v>8564</v>
      </c>
      <c r="C13406" t="s">
        <v>2193</v>
      </c>
      <c r="G13406" t="s">
        <v>8565</v>
      </c>
      <c r="H13406" t="s">
        <v>2948</v>
      </c>
      <c r="I13406" t="s">
        <v>22</v>
      </c>
      <c r="J13406">
        <v>91910</v>
      </c>
      <c r="K13406">
        <v>2709</v>
      </c>
      <c r="L13406" t="s">
        <v>23</v>
      </c>
      <c r="M13406" t="s">
        <v>8565</v>
      </c>
      <c r="N13406" t="s">
        <v>2948</v>
      </c>
      <c r="O13406" t="s">
        <v>22</v>
      </c>
      <c r="P13406">
        <v>91910</v>
      </c>
      <c r="Q13406">
        <v>2709</v>
      </c>
      <c r="R13406" t="s">
        <v>23</v>
      </c>
      <c r="S13406" s="1" t="s">
        <v>34218</v>
      </c>
    </row>
    <row r="13407" spans="1:19" x14ac:dyDescent="0.25">
      <c r="A13407">
        <v>101329475</v>
      </c>
      <c r="B13407" t="s">
        <v>29007</v>
      </c>
      <c r="C13407" t="s">
        <v>29008</v>
      </c>
      <c r="G13407" t="s">
        <v>29009</v>
      </c>
      <c r="H13407" t="s">
        <v>481</v>
      </c>
      <c r="I13407" t="s">
        <v>22</v>
      </c>
      <c r="J13407">
        <v>95112</v>
      </c>
      <c r="K13407">
        <v>7801</v>
      </c>
      <c r="L13407" t="s">
        <v>23</v>
      </c>
      <c r="M13407" t="s">
        <v>29009</v>
      </c>
      <c r="N13407" t="s">
        <v>481</v>
      </c>
      <c r="O13407" t="s">
        <v>22</v>
      </c>
      <c r="P13407">
        <v>95112</v>
      </c>
      <c r="Q13407">
        <v>7801</v>
      </c>
      <c r="R13407" t="s">
        <v>23</v>
      </c>
      <c r="S13407" s="1" t="s">
        <v>34218</v>
      </c>
    </row>
    <row r="13408" spans="1:19" x14ac:dyDescent="0.25">
      <c r="A13408">
        <v>101480817</v>
      </c>
      <c r="B13408" t="s">
        <v>27545</v>
      </c>
      <c r="C13408" t="s">
        <v>90</v>
      </c>
      <c r="G13408" t="s">
        <v>29010</v>
      </c>
      <c r="H13408" t="s">
        <v>1863</v>
      </c>
      <c r="I13408" t="s">
        <v>126</v>
      </c>
      <c r="J13408">
        <v>64133</v>
      </c>
      <c r="K13408">
        <v>3570</v>
      </c>
      <c r="L13408" t="s">
        <v>23</v>
      </c>
      <c r="M13408" t="s">
        <v>29010</v>
      </c>
      <c r="N13408" t="s">
        <v>1863</v>
      </c>
      <c r="O13408" t="s">
        <v>126</v>
      </c>
      <c r="P13408">
        <v>64133</v>
      </c>
      <c r="Q13408">
        <v>3570</v>
      </c>
      <c r="R13408" t="s">
        <v>23</v>
      </c>
      <c r="S13408" s="1" t="s">
        <v>34218</v>
      </c>
    </row>
    <row r="13409" spans="1:19" x14ac:dyDescent="0.25">
      <c r="A13409">
        <v>101103433</v>
      </c>
      <c r="B13409" t="s">
        <v>2376</v>
      </c>
      <c r="C13409" t="s">
        <v>1470</v>
      </c>
      <c r="G13409" t="s">
        <v>29011</v>
      </c>
      <c r="H13409" t="s">
        <v>15765</v>
      </c>
      <c r="I13409" t="s">
        <v>84</v>
      </c>
      <c r="J13409">
        <v>98277</v>
      </c>
      <c r="K13409">
        <v>3121</v>
      </c>
      <c r="L13409" t="s">
        <v>23</v>
      </c>
      <c r="M13409" t="s">
        <v>29011</v>
      </c>
      <c r="N13409" t="s">
        <v>15765</v>
      </c>
      <c r="O13409" t="s">
        <v>84</v>
      </c>
      <c r="P13409">
        <v>98277</v>
      </c>
      <c r="Q13409">
        <v>3121</v>
      </c>
      <c r="R13409" t="s">
        <v>23</v>
      </c>
      <c r="S13409" s="1" t="s">
        <v>34218</v>
      </c>
    </row>
    <row r="13410" spans="1:19" x14ac:dyDescent="0.25">
      <c r="A13410">
        <v>101448621</v>
      </c>
      <c r="B13410" t="s">
        <v>29012</v>
      </c>
      <c r="C13410" t="s">
        <v>22931</v>
      </c>
      <c r="G13410" t="s">
        <v>230</v>
      </c>
      <c r="H13410" t="s">
        <v>29013</v>
      </c>
      <c r="I13410" t="s">
        <v>1000</v>
      </c>
      <c r="J13410">
        <v>59066</v>
      </c>
      <c r="K13410">
        <v>184</v>
      </c>
      <c r="L13410" t="s">
        <v>23</v>
      </c>
      <c r="M13410" t="s">
        <v>230</v>
      </c>
      <c r="N13410" t="s">
        <v>29013</v>
      </c>
      <c r="O13410" t="s">
        <v>1000</v>
      </c>
      <c r="P13410">
        <v>59066</v>
      </c>
      <c r="Q13410">
        <v>184</v>
      </c>
      <c r="R13410" t="s">
        <v>23</v>
      </c>
      <c r="S13410" s="1" t="s">
        <v>34218</v>
      </c>
    </row>
    <row r="13411" spans="1:19" x14ac:dyDescent="0.25">
      <c r="A13411">
        <v>101479067</v>
      </c>
      <c r="B13411" t="s">
        <v>25675</v>
      </c>
      <c r="C13411" t="s">
        <v>158</v>
      </c>
      <c r="G13411" t="s">
        <v>29014</v>
      </c>
      <c r="H13411" t="s">
        <v>29015</v>
      </c>
      <c r="I13411" t="s">
        <v>22</v>
      </c>
      <c r="J13411">
        <v>95720</v>
      </c>
      <c r="L13411" t="s">
        <v>23</v>
      </c>
      <c r="M13411" t="s">
        <v>29014</v>
      </c>
      <c r="N13411" t="s">
        <v>29015</v>
      </c>
      <c r="O13411" t="s">
        <v>22</v>
      </c>
      <c r="P13411">
        <v>95720</v>
      </c>
      <c r="R13411" t="s">
        <v>23</v>
      </c>
      <c r="S13411" s="1" t="s">
        <v>34218</v>
      </c>
    </row>
    <row r="13412" spans="1:19" x14ac:dyDescent="0.25">
      <c r="A13412">
        <v>100717656</v>
      </c>
      <c r="B13412" t="s">
        <v>29016</v>
      </c>
      <c r="C13412" t="s">
        <v>26945</v>
      </c>
      <c r="G13412" t="s">
        <v>29017</v>
      </c>
      <c r="H13412" t="s">
        <v>11980</v>
      </c>
      <c r="I13412" t="s">
        <v>43</v>
      </c>
      <c r="J13412">
        <v>97540</v>
      </c>
      <c r="K13412">
        <v>9739</v>
      </c>
      <c r="L13412" t="s">
        <v>23</v>
      </c>
      <c r="M13412" t="s">
        <v>29017</v>
      </c>
      <c r="N13412" t="s">
        <v>11980</v>
      </c>
      <c r="O13412" t="s">
        <v>43</v>
      </c>
      <c r="P13412">
        <v>97540</v>
      </c>
      <c r="Q13412">
        <v>9739</v>
      </c>
      <c r="R13412" t="s">
        <v>23</v>
      </c>
      <c r="S13412" s="1" t="s">
        <v>34218</v>
      </c>
    </row>
    <row r="13413" spans="1:19" x14ac:dyDescent="0.25">
      <c r="A13413">
        <v>101480836</v>
      </c>
      <c r="B13413" t="s">
        <v>9646</v>
      </c>
      <c r="C13413" t="s">
        <v>180</v>
      </c>
      <c r="G13413" t="s">
        <v>29018</v>
      </c>
      <c r="H13413" t="s">
        <v>4105</v>
      </c>
      <c r="I13413" t="s">
        <v>117</v>
      </c>
      <c r="J13413">
        <v>11375</v>
      </c>
      <c r="K13413">
        <v>3266</v>
      </c>
      <c r="L13413" t="s">
        <v>23</v>
      </c>
      <c r="M13413" t="s">
        <v>29018</v>
      </c>
      <c r="N13413" t="s">
        <v>4105</v>
      </c>
      <c r="O13413" t="s">
        <v>117</v>
      </c>
      <c r="P13413">
        <v>11375</v>
      </c>
      <c r="Q13413">
        <v>3266</v>
      </c>
      <c r="R13413" t="s">
        <v>23</v>
      </c>
      <c r="S13413" s="1" t="s">
        <v>34218</v>
      </c>
    </row>
    <row r="13414" spans="1:19" x14ac:dyDescent="0.25">
      <c r="A13414">
        <v>101173367</v>
      </c>
      <c r="B13414" t="s">
        <v>4562</v>
      </c>
      <c r="C13414" t="s">
        <v>2368</v>
      </c>
      <c r="G13414" t="s">
        <v>29019</v>
      </c>
      <c r="H13414" t="s">
        <v>29020</v>
      </c>
      <c r="I13414" t="s">
        <v>914</v>
      </c>
      <c r="J13414">
        <v>37340</v>
      </c>
      <c r="K13414">
        <v>5030</v>
      </c>
      <c r="L13414" t="s">
        <v>23</v>
      </c>
      <c r="M13414" t="s">
        <v>29019</v>
      </c>
      <c r="N13414" t="s">
        <v>29020</v>
      </c>
      <c r="O13414" t="s">
        <v>914</v>
      </c>
      <c r="P13414">
        <v>37340</v>
      </c>
      <c r="Q13414">
        <v>5030</v>
      </c>
      <c r="R13414" t="s">
        <v>23</v>
      </c>
      <c r="S13414" s="1" t="s">
        <v>34218</v>
      </c>
    </row>
    <row r="13415" spans="1:19" x14ac:dyDescent="0.25">
      <c r="A13415">
        <v>101358672</v>
      </c>
      <c r="B13415" t="s">
        <v>29021</v>
      </c>
      <c r="C13415" t="s">
        <v>29022</v>
      </c>
      <c r="G13415" t="s">
        <v>29023</v>
      </c>
      <c r="H13415" t="s">
        <v>4611</v>
      </c>
      <c r="I13415" t="s">
        <v>135</v>
      </c>
      <c r="J13415">
        <v>60137</v>
      </c>
      <c r="K13415">
        <v>7418</v>
      </c>
      <c r="L13415" t="s">
        <v>23</v>
      </c>
      <c r="M13415" t="s">
        <v>29023</v>
      </c>
      <c r="N13415" t="s">
        <v>4611</v>
      </c>
      <c r="O13415" t="s">
        <v>135</v>
      </c>
      <c r="P13415">
        <v>60137</v>
      </c>
      <c r="Q13415">
        <v>7418</v>
      </c>
      <c r="R13415" t="s">
        <v>23</v>
      </c>
      <c r="S13415" s="1" t="s">
        <v>34218</v>
      </c>
    </row>
    <row r="13416" spans="1:19" x14ac:dyDescent="0.25">
      <c r="A13416">
        <v>101428257</v>
      </c>
      <c r="B13416" t="s">
        <v>29024</v>
      </c>
      <c r="C13416" t="s">
        <v>8451</v>
      </c>
      <c r="G13416" t="s">
        <v>29025</v>
      </c>
      <c r="H13416" t="s">
        <v>207</v>
      </c>
      <c r="I13416" t="s">
        <v>22</v>
      </c>
      <c r="J13416">
        <v>93720</v>
      </c>
      <c r="K13416">
        <v>2804</v>
      </c>
      <c r="L13416" t="s">
        <v>23</v>
      </c>
      <c r="M13416" t="s">
        <v>29025</v>
      </c>
      <c r="N13416" t="s">
        <v>207</v>
      </c>
      <c r="O13416" t="s">
        <v>22</v>
      </c>
      <c r="P13416">
        <v>93720</v>
      </c>
      <c r="Q13416">
        <v>2804</v>
      </c>
      <c r="R13416" t="s">
        <v>23</v>
      </c>
      <c r="S13416" s="1" t="s">
        <v>34218</v>
      </c>
    </row>
    <row r="13417" spans="1:19" x14ac:dyDescent="0.25">
      <c r="A13417">
        <v>101436766</v>
      </c>
      <c r="B13417" t="s">
        <v>29026</v>
      </c>
      <c r="C13417" t="s">
        <v>1027</v>
      </c>
      <c r="G13417" t="s">
        <v>29027</v>
      </c>
      <c r="H13417" t="s">
        <v>2684</v>
      </c>
      <c r="I13417" t="s">
        <v>22</v>
      </c>
      <c r="J13417">
        <v>94903</v>
      </c>
      <c r="K13417">
        <v>1339</v>
      </c>
      <c r="L13417" t="s">
        <v>23</v>
      </c>
      <c r="M13417" t="s">
        <v>29027</v>
      </c>
      <c r="N13417" t="s">
        <v>2684</v>
      </c>
      <c r="O13417" t="s">
        <v>22</v>
      </c>
      <c r="P13417">
        <v>94903</v>
      </c>
      <c r="Q13417">
        <v>1339</v>
      </c>
      <c r="R13417" t="s">
        <v>23</v>
      </c>
      <c r="S13417" s="1" t="s">
        <v>34218</v>
      </c>
    </row>
    <row r="13418" spans="1:19" x14ac:dyDescent="0.25">
      <c r="A13418">
        <v>101298517</v>
      </c>
      <c r="B13418" t="s">
        <v>29028</v>
      </c>
      <c r="C13418" t="s">
        <v>382</v>
      </c>
      <c r="G13418" t="s">
        <v>29029</v>
      </c>
      <c r="H13418" t="s">
        <v>3162</v>
      </c>
      <c r="I13418" t="s">
        <v>187</v>
      </c>
      <c r="J13418">
        <v>56301</v>
      </c>
      <c r="K13418">
        <v>8942</v>
      </c>
      <c r="L13418" t="s">
        <v>23</v>
      </c>
      <c r="M13418" t="s">
        <v>29029</v>
      </c>
      <c r="N13418" t="s">
        <v>3162</v>
      </c>
      <c r="O13418" t="s">
        <v>187</v>
      </c>
      <c r="P13418">
        <v>56301</v>
      </c>
      <c r="Q13418">
        <v>8942</v>
      </c>
      <c r="R13418" t="s">
        <v>23</v>
      </c>
      <c r="S13418" s="1" t="s">
        <v>34218</v>
      </c>
    </row>
    <row r="13419" spans="1:19" x14ac:dyDescent="0.25">
      <c r="A13419">
        <v>101443567</v>
      </c>
      <c r="B13419" t="s">
        <v>3625</v>
      </c>
      <c r="C13419" t="s">
        <v>1298</v>
      </c>
      <c r="G13419" t="s">
        <v>29030</v>
      </c>
      <c r="H13419" t="s">
        <v>18425</v>
      </c>
      <c r="I13419" t="s">
        <v>33</v>
      </c>
      <c r="J13419">
        <v>17011</v>
      </c>
      <c r="K13419">
        <v>6748</v>
      </c>
      <c r="L13419" t="s">
        <v>23</v>
      </c>
      <c r="M13419" t="s">
        <v>29030</v>
      </c>
      <c r="N13419" t="s">
        <v>18425</v>
      </c>
      <c r="O13419" t="s">
        <v>33</v>
      </c>
      <c r="P13419">
        <v>17011</v>
      </c>
      <c r="Q13419">
        <v>6748</v>
      </c>
      <c r="R13419" t="s">
        <v>23</v>
      </c>
      <c r="S13419" s="1" t="s">
        <v>34218</v>
      </c>
    </row>
    <row r="13420" spans="1:19" x14ac:dyDescent="0.25">
      <c r="A13420">
        <v>101422782</v>
      </c>
      <c r="B13420" t="s">
        <v>20922</v>
      </c>
      <c r="C13420" t="s">
        <v>6203</v>
      </c>
      <c r="G13420" t="s">
        <v>29031</v>
      </c>
      <c r="H13420" t="s">
        <v>29032</v>
      </c>
      <c r="I13420" t="s">
        <v>100</v>
      </c>
      <c r="J13420">
        <v>53217</v>
      </c>
      <c r="K13420">
        <v>2052</v>
      </c>
      <c r="L13420" t="s">
        <v>23</v>
      </c>
      <c r="M13420" t="s">
        <v>29031</v>
      </c>
      <c r="N13420" t="s">
        <v>29032</v>
      </c>
      <c r="O13420" t="s">
        <v>100</v>
      </c>
      <c r="P13420">
        <v>53217</v>
      </c>
      <c r="Q13420">
        <v>2052</v>
      </c>
      <c r="R13420" t="s">
        <v>23</v>
      </c>
      <c r="S13420" s="1" t="s">
        <v>34218</v>
      </c>
    </row>
    <row r="13421" spans="1:19" x14ac:dyDescent="0.25">
      <c r="A13421">
        <v>101224787</v>
      </c>
      <c r="B13421" t="s">
        <v>1007</v>
      </c>
      <c r="C13421" t="s">
        <v>3442</v>
      </c>
      <c r="G13421" t="s">
        <v>29033</v>
      </c>
      <c r="H13421" t="s">
        <v>29034</v>
      </c>
      <c r="I13421" t="s">
        <v>22</v>
      </c>
      <c r="J13421">
        <v>95307</v>
      </c>
      <c r="K13421">
        <v>4102</v>
      </c>
      <c r="L13421" t="s">
        <v>23</v>
      </c>
      <c r="M13421" t="s">
        <v>29033</v>
      </c>
      <c r="N13421" t="s">
        <v>29034</v>
      </c>
      <c r="O13421" t="s">
        <v>22</v>
      </c>
      <c r="P13421">
        <v>95307</v>
      </c>
      <c r="Q13421">
        <v>4102</v>
      </c>
      <c r="R13421" t="s">
        <v>23</v>
      </c>
      <c r="S13421" s="1" t="s">
        <v>34218</v>
      </c>
    </row>
    <row r="13422" spans="1:19" x14ac:dyDescent="0.25">
      <c r="A13422">
        <v>101426500</v>
      </c>
      <c r="B13422" t="s">
        <v>6462</v>
      </c>
      <c r="C13422" t="s">
        <v>13429</v>
      </c>
      <c r="G13422" t="s">
        <v>29035</v>
      </c>
      <c r="H13422" t="s">
        <v>653</v>
      </c>
      <c r="I13422" t="s">
        <v>117</v>
      </c>
      <c r="J13422">
        <v>10002</v>
      </c>
      <c r="K13422">
        <v>2061</v>
      </c>
      <c r="L13422" t="s">
        <v>23</v>
      </c>
      <c r="M13422" t="s">
        <v>29035</v>
      </c>
      <c r="N13422" t="s">
        <v>653</v>
      </c>
      <c r="O13422" t="s">
        <v>117</v>
      </c>
      <c r="P13422">
        <v>10002</v>
      </c>
      <c r="Q13422">
        <v>2061</v>
      </c>
      <c r="R13422" t="s">
        <v>23</v>
      </c>
      <c r="S13422" s="1" t="s">
        <v>34218</v>
      </c>
    </row>
    <row r="13423" spans="1:19" x14ac:dyDescent="0.25">
      <c r="A13423">
        <v>101436883</v>
      </c>
      <c r="B13423" t="s">
        <v>1297</v>
      </c>
      <c r="C13423" t="s">
        <v>1658</v>
      </c>
      <c r="G13423" t="s">
        <v>29036</v>
      </c>
      <c r="H13423" t="s">
        <v>653</v>
      </c>
      <c r="I13423" t="s">
        <v>117</v>
      </c>
      <c r="J13423">
        <v>10021</v>
      </c>
      <c r="K13423">
        <v>2421</v>
      </c>
      <c r="L13423" t="s">
        <v>23</v>
      </c>
      <c r="M13423" t="s">
        <v>29036</v>
      </c>
      <c r="N13423" t="s">
        <v>653</v>
      </c>
      <c r="O13423" t="s">
        <v>117</v>
      </c>
      <c r="P13423">
        <v>10021</v>
      </c>
      <c r="Q13423">
        <v>2421</v>
      </c>
      <c r="R13423" t="s">
        <v>23</v>
      </c>
      <c r="S13423" s="1" t="s">
        <v>34218</v>
      </c>
    </row>
    <row r="13424" spans="1:19" x14ac:dyDescent="0.25">
      <c r="A13424">
        <v>101297161</v>
      </c>
      <c r="B13424" t="s">
        <v>29037</v>
      </c>
      <c r="C13424" t="s">
        <v>29038</v>
      </c>
      <c r="G13424" t="s">
        <v>29039</v>
      </c>
      <c r="H13424" t="s">
        <v>4223</v>
      </c>
      <c r="I13424" t="s">
        <v>565</v>
      </c>
      <c r="J13424">
        <v>52001</v>
      </c>
      <c r="K13424">
        <v>3903</v>
      </c>
      <c r="L13424" t="s">
        <v>23</v>
      </c>
      <c r="M13424" t="s">
        <v>29039</v>
      </c>
      <c r="N13424" t="s">
        <v>4223</v>
      </c>
      <c r="O13424" t="s">
        <v>565</v>
      </c>
      <c r="P13424">
        <v>52001</v>
      </c>
      <c r="Q13424">
        <v>3903</v>
      </c>
      <c r="R13424" t="s">
        <v>23</v>
      </c>
      <c r="S13424" s="1" t="s">
        <v>34218</v>
      </c>
    </row>
    <row r="13425" spans="1:19" x14ac:dyDescent="0.25">
      <c r="A13425">
        <v>100922555</v>
      </c>
      <c r="B13425" t="s">
        <v>2531</v>
      </c>
      <c r="C13425" t="s">
        <v>579</v>
      </c>
      <c r="G13425" t="s">
        <v>29040</v>
      </c>
      <c r="H13425" t="s">
        <v>2319</v>
      </c>
      <c r="I13425" t="s">
        <v>117</v>
      </c>
      <c r="J13425">
        <v>10314</v>
      </c>
      <c r="K13425">
        <v>7582</v>
      </c>
      <c r="L13425" t="s">
        <v>23</v>
      </c>
      <c r="M13425" t="s">
        <v>29040</v>
      </c>
      <c r="N13425" t="s">
        <v>2319</v>
      </c>
      <c r="O13425" t="s">
        <v>117</v>
      </c>
      <c r="P13425">
        <v>10314</v>
      </c>
      <c r="Q13425">
        <v>7582</v>
      </c>
      <c r="R13425" t="s">
        <v>23</v>
      </c>
      <c r="S13425" s="1" t="s">
        <v>34218</v>
      </c>
    </row>
    <row r="13426" spans="1:19" x14ac:dyDescent="0.25">
      <c r="A13426">
        <v>101083271</v>
      </c>
      <c r="B13426" t="s">
        <v>7236</v>
      </c>
      <c r="C13426" t="s">
        <v>29041</v>
      </c>
      <c r="G13426" t="s">
        <v>7238</v>
      </c>
      <c r="H13426" t="s">
        <v>202</v>
      </c>
      <c r="I13426" t="s">
        <v>187</v>
      </c>
      <c r="J13426">
        <v>55313</v>
      </c>
      <c r="K13426">
        <v>2418</v>
      </c>
      <c r="L13426" t="s">
        <v>23</v>
      </c>
      <c r="M13426" t="s">
        <v>7238</v>
      </c>
      <c r="N13426" t="s">
        <v>202</v>
      </c>
      <c r="O13426" t="s">
        <v>187</v>
      </c>
      <c r="P13426">
        <v>55313</v>
      </c>
      <c r="Q13426">
        <v>2418</v>
      </c>
      <c r="R13426" t="s">
        <v>23</v>
      </c>
      <c r="S13426" s="1" t="s">
        <v>34218</v>
      </c>
    </row>
    <row r="13427" spans="1:19" x14ac:dyDescent="0.25">
      <c r="A13427">
        <v>101285647</v>
      </c>
      <c r="B13427" t="s">
        <v>29042</v>
      </c>
      <c r="C13427" t="s">
        <v>305</v>
      </c>
      <c r="G13427" t="s">
        <v>29043</v>
      </c>
      <c r="H13427" t="s">
        <v>1377</v>
      </c>
      <c r="I13427" t="s">
        <v>117</v>
      </c>
      <c r="J13427">
        <v>11967</v>
      </c>
      <c r="K13427">
        <v>2205</v>
      </c>
      <c r="L13427" t="s">
        <v>23</v>
      </c>
      <c r="M13427" t="s">
        <v>29043</v>
      </c>
      <c r="N13427" t="s">
        <v>1377</v>
      </c>
      <c r="O13427" t="s">
        <v>117</v>
      </c>
      <c r="P13427">
        <v>11967</v>
      </c>
      <c r="Q13427">
        <v>2205</v>
      </c>
      <c r="R13427" t="s">
        <v>23</v>
      </c>
      <c r="S13427" s="1" t="s">
        <v>34218</v>
      </c>
    </row>
    <row r="13428" spans="1:19" x14ac:dyDescent="0.25">
      <c r="A13428">
        <v>101456326</v>
      </c>
      <c r="B13428" t="s">
        <v>5477</v>
      </c>
      <c r="C13428" t="s">
        <v>205</v>
      </c>
      <c r="G13428" t="s">
        <v>29044</v>
      </c>
      <c r="H13428" t="s">
        <v>29045</v>
      </c>
      <c r="I13428" t="s">
        <v>446</v>
      </c>
      <c r="J13428">
        <v>28513</v>
      </c>
      <c r="K13428">
        <v>7539</v>
      </c>
      <c r="L13428" t="s">
        <v>23</v>
      </c>
      <c r="M13428" t="s">
        <v>29044</v>
      </c>
      <c r="N13428" t="s">
        <v>29045</v>
      </c>
      <c r="O13428" t="s">
        <v>446</v>
      </c>
      <c r="P13428">
        <v>28513</v>
      </c>
      <c r="Q13428">
        <v>7539</v>
      </c>
      <c r="R13428" t="s">
        <v>23</v>
      </c>
      <c r="S13428" s="1" t="s">
        <v>34218</v>
      </c>
    </row>
    <row r="13429" spans="1:19" x14ac:dyDescent="0.25">
      <c r="A13429">
        <v>101265619</v>
      </c>
      <c r="B13429" t="s">
        <v>29046</v>
      </c>
      <c r="C13429" t="s">
        <v>3110</v>
      </c>
      <c r="G13429" t="s">
        <v>29047</v>
      </c>
      <c r="H13429" t="s">
        <v>1412</v>
      </c>
      <c r="I13429" t="s">
        <v>52</v>
      </c>
      <c r="J13429">
        <v>32810</v>
      </c>
      <c r="K13429">
        <v>6086</v>
      </c>
      <c r="L13429" t="s">
        <v>23</v>
      </c>
      <c r="M13429" t="s">
        <v>29047</v>
      </c>
      <c r="N13429" t="s">
        <v>1412</v>
      </c>
      <c r="O13429" t="s">
        <v>52</v>
      </c>
      <c r="P13429">
        <v>32810</v>
      </c>
      <c r="Q13429">
        <v>6086</v>
      </c>
      <c r="R13429" t="s">
        <v>23</v>
      </c>
      <c r="S13429" s="1" t="s">
        <v>34218</v>
      </c>
    </row>
    <row r="13430" spans="1:19" x14ac:dyDescent="0.25">
      <c r="A13430">
        <v>101413629</v>
      </c>
      <c r="B13430" t="s">
        <v>22133</v>
      </c>
      <c r="C13430" t="s">
        <v>2916</v>
      </c>
      <c r="G13430" t="s">
        <v>29048</v>
      </c>
      <c r="H13430" t="s">
        <v>4512</v>
      </c>
      <c r="I13430" t="s">
        <v>148</v>
      </c>
      <c r="J13430">
        <v>21702</v>
      </c>
      <c r="K13430">
        <v>4055</v>
      </c>
      <c r="L13430" t="s">
        <v>23</v>
      </c>
      <c r="M13430" t="s">
        <v>29048</v>
      </c>
      <c r="N13430" t="s">
        <v>4512</v>
      </c>
      <c r="O13430" t="s">
        <v>148</v>
      </c>
      <c r="P13430">
        <v>21702</v>
      </c>
      <c r="Q13430">
        <v>4055</v>
      </c>
      <c r="R13430" t="s">
        <v>23</v>
      </c>
      <c r="S13430" s="1" t="s">
        <v>34218</v>
      </c>
    </row>
    <row r="13431" spans="1:19" x14ac:dyDescent="0.25">
      <c r="A13431">
        <v>101303598</v>
      </c>
      <c r="B13431" t="s">
        <v>5478</v>
      </c>
      <c r="C13431" t="s">
        <v>1327</v>
      </c>
      <c r="G13431" t="s">
        <v>29049</v>
      </c>
      <c r="H13431" t="s">
        <v>29050</v>
      </c>
      <c r="I13431" t="s">
        <v>52</v>
      </c>
      <c r="J13431">
        <v>33066</v>
      </c>
      <c r="K13431">
        <v>2112</v>
      </c>
      <c r="L13431" t="s">
        <v>23</v>
      </c>
      <c r="M13431" t="s">
        <v>29049</v>
      </c>
      <c r="N13431" t="s">
        <v>29050</v>
      </c>
      <c r="O13431" t="s">
        <v>52</v>
      </c>
      <c r="P13431">
        <v>33066</v>
      </c>
      <c r="Q13431">
        <v>2112</v>
      </c>
      <c r="R13431" t="s">
        <v>23</v>
      </c>
      <c r="S13431" s="1" t="s">
        <v>34218</v>
      </c>
    </row>
    <row r="13432" spans="1:19" x14ac:dyDescent="0.25">
      <c r="A13432">
        <v>101317912</v>
      </c>
      <c r="B13432" t="s">
        <v>29051</v>
      </c>
      <c r="C13432" t="s">
        <v>1205</v>
      </c>
      <c r="G13432" t="s">
        <v>29052</v>
      </c>
      <c r="H13432" t="s">
        <v>12692</v>
      </c>
      <c r="I13432" t="s">
        <v>28</v>
      </c>
      <c r="J13432">
        <v>30004</v>
      </c>
      <c r="K13432">
        <v>4247</v>
      </c>
      <c r="L13432" t="s">
        <v>23</v>
      </c>
      <c r="M13432" t="s">
        <v>29052</v>
      </c>
      <c r="N13432" t="s">
        <v>12692</v>
      </c>
      <c r="O13432" t="s">
        <v>28</v>
      </c>
      <c r="P13432">
        <v>30004</v>
      </c>
      <c r="Q13432">
        <v>4247</v>
      </c>
      <c r="R13432" t="s">
        <v>23</v>
      </c>
      <c r="S13432" s="1" t="s">
        <v>34218</v>
      </c>
    </row>
    <row r="13433" spans="1:19" x14ac:dyDescent="0.25">
      <c r="A13433">
        <v>101249809</v>
      </c>
      <c r="B13433" t="s">
        <v>29053</v>
      </c>
      <c r="C13433" t="s">
        <v>29054</v>
      </c>
      <c r="G13433" t="s">
        <v>29055</v>
      </c>
      <c r="H13433" t="s">
        <v>29056</v>
      </c>
      <c r="I13433" t="s">
        <v>353</v>
      </c>
      <c r="J13433">
        <v>3225</v>
      </c>
      <c r="K13433">
        <v>3923</v>
      </c>
      <c r="L13433" t="s">
        <v>23</v>
      </c>
      <c r="M13433" t="s">
        <v>29055</v>
      </c>
      <c r="N13433" t="s">
        <v>29056</v>
      </c>
      <c r="O13433" t="s">
        <v>353</v>
      </c>
      <c r="P13433">
        <v>3225</v>
      </c>
      <c r="Q13433">
        <v>3923</v>
      </c>
      <c r="R13433" t="s">
        <v>23</v>
      </c>
      <c r="S13433" s="1" t="s">
        <v>34218</v>
      </c>
    </row>
    <row r="13434" spans="1:19" x14ac:dyDescent="0.25">
      <c r="A13434">
        <v>101431642</v>
      </c>
      <c r="B13434" t="s">
        <v>1164</v>
      </c>
      <c r="C13434" t="s">
        <v>1573</v>
      </c>
      <c r="G13434" t="s">
        <v>29057</v>
      </c>
      <c r="H13434" t="s">
        <v>685</v>
      </c>
      <c r="I13434" t="s">
        <v>57</v>
      </c>
      <c r="J13434">
        <v>47403</v>
      </c>
      <c r="K13434">
        <v>4689</v>
      </c>
      <c r="L13434" t="s">
        <v>23</v>
      </c>
      <c r="M13434" t="s">
        <v>29057</v>
      </c>
      <c r="N13434" t="s">
        <v>685</v>
      </c>
      <c r="O13434" t="s">
        <v>57</v>
      </c>
      <c r="P13434">
        <v>47403</v>
      </c>
      <c r="Q13434">
        <v>4689</v>
      </c>
      <c r="R13434" t="s">
        <v>23</v>
      </c>
      <c r="S13434" s="1" t="s">
        <v>34218</v>
      </c>
    </row>
    <row r="13435" spans="1:19" x14ac:dyDescent="0.25">
      <c r="A13435">
        <v>101242759</v>
      </c>
      <c r="B13435" t="s">
        <v>9834</v>
      </c>
      <c r="C13435" t="s">
        <v>1298</v>
      </c>
      <c r="G13435" t="s">
        <v>29058</v>
      </c>
      <c r="H13435" t="s">
        <v>299</v>
      </c>
      <c r="I13435" t="s">
        <v>22</v>
      </c>
      <c r="J13435">
        <v>90064</v>
      </c>
      <c r="K13435">
        <v>3208</v>
      </c>
      <c r="L13435" t="s">
        <v>23</v>
      </c>
      <c r="M13435" t="s">
        <v>29058</v>
      </c>
      <c r="N13435" t="s">
        <v>299</v>
      </c>
      <c r="O13435" t="s">
        <v>22</v>
      </c>
      <c r="P13435">
        <v>90064</v>
      </c>
      <c r="Q13435">
        <v>3208</v>
      </c>
      <c r="R13435" t="s">
        <v>23</v>
      </c>
      <c r="S13435" s="1" t="s">
        <v>34218</v>
      </c>
    </row>
    <row r="13436" spans="1:19" x14ac:dyDescent="0.25">
      <c r="A13436">
        <v>101246495</v>
      </c>
      <c r="B13436" t="s">
        <v>29059</v>
      </c>
      <c r="C13436" t="s">
        <v>20361</v>
      </c>
      <c r="G13436" t="s">
        <v>29060</v>
      </c>
      <c r="H13436" t="s">
        <v>21861</v>
      </c>
      <c r="I13436" t="s">
        <v>135</v>
      </c>
      <c r="J13436">
        <v>62035</v>
      </c>
      <c r="K13436">
        <v>2891</v>
      </c>
      <c r="L13436" t="s">
        <v>23</v>
      </c>
      <c r="M13436" t="s">
        <v>29060</v>
      </c>
      <c r="N13436" t="s">
        <v>21861</v>
      </c>
      <c r="O13436" t="s">
        <v>135</v>
      </c>
      <c r="P13436">
        <v>62035</v>
      </c>
      <c r="Q13436">
        <v>2891</v>
      </c>
      <c r="R13436" t="s">
        <v>23</v>
      </c>
      <c r="S13436" s="1" t="s">
        <v>34218</v>
      </c>
    </row>
    <row r="13437" spans="1:19" x14ac:dyDescent="0.25">
      <c r="A13437">
        <v>100840147</v>
      </c>
      <c r="B13437" t="s">
        <v>29061</v>
      </c>
      <c r="C13437" t="s">
        <v>554</v>
      </c>
      <c r="G13437" t="s">
        <v>29062</v>
      </c>
      <c r="H13437" t="s">
        <v>10515</v>
      </c>
      <c r="I13437" t="s">
        <v>327</v>
      </c>
      <c r="J13437">
        <v>25951</v>
      </c>
      <c r="K13437">
        <v>5141</v>
      </c>
      <c r="L13437" t="s">
        <v>23</v>
      </c>
      <c r="M13437" t="s">
        <v>29062</v>
      </c>
      <c r="N13437" t="s">
        <v>10515</v>
      </c>
      <c r="O13437" t="s">
        <v>327</v>
      </c>
      <c r="P13437">
        <v>25951</v>
      </c>
      <c r="Q13437">
        <v>5141</v>
      </c>
      <c r="R13437" t="s">
        <v>23</v>
      </c>
      <c r="S13437" s="1" t="s">
        <v>34218</v>
      </c>
    </row>
    <row r="13438" spans="1:19" x14ac:dyDescent="0.25">
      <c r="A13438">
        <v>100715478</v>
      </c>
      <c r="B13438" t="s">
        <v>29063</v>
      </c>
      <c r="C13438" t="s">
        <v>575</v>
      </c>
      <c r="G13438" t="s">
        <v>29064</v>
      </c>
      <c r="H13438" t="s">
        <v>10093</v>
      </c>
      <c r="I13438" t="s">
        <v>84</v>
      </c>
      <c r="J13438">
        <v>98382</v>
      </c>
      <c r="K13438">
        <v>3608</v>
      </c>
      <c r="L13438" t="s">
        <v>23</v>
      </c>
      <c r="M13438" t="s">
        <v>29064</v>
      </c>
      <c r="N13438" t="s">
        <v>10093</v>
      </c>
      <c r="O13438" t="s">
        <v>84</v>
      </c>
      <c r="P13438">
        <v>98382</v>
      </c>
      <c r="Q13438">
        <v>3608</v>
      </c>
      <c r="R13438" t="s">
        <v>23</v>
      </c>
      <c r="S13438" s="1" t="s">
        <v>34218</v>
      </c>
    </row>
    <row r="13439" spans="1:19" x14ac:dyDescent="0.25">
      <c r="A13439">
        <v>101456522</v>
      </c>
      <c r="B13439" t="s">
        <v>7708</v>
      </c>
      <c r="C13439" t="s">
        <v>7764</v>
      </c>
      <c r="G13439" t="s">
        <v>29065</v>
      </c>
      <c r="H13439" t="s">
        <v>4519</v>
      </c>
      <c r="I13439" t="s">
        <v>148</v>
      </c>
      <c r="J13439">
        <v>20744</v>
      </c>
      <c r="K13439">
        <v>6013</v>
      </c>
      <c r="L13439" t="s">
        <v>23</v>
      </c>
      <c r="M13439" t="s">
        <v>29065</v>
      </c>
      <c r="N13439" t="s">
        <v>4519</v>
      </c>
      <c r="O13439" t="s">
        <v>148</v>
      </c>
      <c r="P13439">
        <v>20744</v>
      </c>
      <c r="Q13439">
        <v>6013</v>
      </c>
      <c r="R13439" t="s">
        <v>23</v>
      </c>
      <c r="S13439" s="1" t="s">
        <v>34218</v>
      </c>
    </row>
    <row r="13440" spans="1:19" x14ac:dyDescent="0.25">
      <c r="A13440">
        <v>101396871</v>
      </c>
      <c r="B13440" t="s">
        <v>29066</v>
      </c>
      <c r="C13440" t="s">
        <v>26443</v>
      </c>
      <c r="G13440" t="s">
        <v>29067</v>
      </c>
      <c r="H13440" t="s">
        <v>10686</v>
      </c>
      <c r="I13440" t="s">
        <v>914</v>
      </c>
      <c r="J13440">
        <v>38558</v>
      </c>
      <c r="K13440">
        <v>6805</v>
      </c>
      <c r="L13440" t="s">
        <v>23</v>
      </c>
      <c r="M13440" t="s">
        <v>29067</v>
      </c>
      <c r="N13440" t="s">
        <v>10686</v>
      </c>
      <c r="O13440" t="s">
        <v>914</v>
      </c>
      <c r="P13440">
        <v>38558</v>
      </c>
      <c r="Q13440">
        <v>6805</v>
      </c>
      <c r="R13440" t="s">
        <v>23</v>
      </c>
      <c r="S13440" s="1" t="s">
        <v>34218</v>
      </c>
    </row>
    <row r="13441" spans="1:19" x14ac:dyDescent="0.25">
      <c r="A13441">
        <v>101330261</v>
      </c>
      <c r="B13441" t="s">
        <v>29068</v>
      </c>
      <c r="C13441" t="s">
        <v>4228</v>
      </c>
      <c r="G13441" t="s">
        <v>29069</v>
      </c>
      <c r="H13441" t="s">
        <v>29070</v>
      </c>
      <c r="I13441" t="s">
        <v>140</v>
      </c>
      <c r="J13441">
        <v>49862</v>
      </c>
      <c r="K13441">
        <v>8990</v>
      </c>
      <c r="L13441" t="s">
        <v>23</v>
      </c>
      <c r="M13441" t="s">
        <v>29069</v>
      </c>
      <c r="N13441" t="s">
        <v>29070</v>
      </c>
      <c r="O13441" t="s">
        <v>140</v>
      </c>
      <c r="P13441">
        <v>49862</v>
      </c>
      <c r="Q13441">
        <v>8990</v>
      </c>
      <c r="R13441" t="s">
        <v>23</v>
      </c>
      <c r="S13441" s="1" t="s">
        <v>34218</v>
      </c>
    </row>
    <row r="13442" spans="1:19" x14ac:dyDescent="0.25">
      <c r="A13442">
        <v>100785162</v>
      </c>
      <c r="B13442" t="s">
        <v>6257</v>
      </c>
      <c r="C13442" t="s">
        <v>29071</v>
      </c>
      <c r="G13442" t="s">
        <v>29072</v>
      </c>
      <c r="H13442" t="s">
        <v>10374</v>
      </c>
      <c r="I13442" t="s">
        <v>187</v>
      </c>
      <c r="J13442">
        <v>55447</v>
      </c>
      <c r="K13442">
        <v>3544</v>
      </c>
      <c r="L13442" t="s">
        <v>23</v>
      </c>
      <c r="M13442" t="s">
        <v>29072</v>
      </c>
      <c r="N13442" t="s">
        <v>10374</v>
      </c>
      <c r="O13442" t="s">
        <v>187</v>
      </c>
      <c r="P13442">
        <v>55447</v>
      </c>
      <c r="Q13442">
        <v>3544</v>
      </c>
      <c r="R13442" t="s">
        <v>23</v>
      </c>
      <c r="S13442" s="1" t="s">
        <v>34218</v>
      </c>
    </row>
    <row r="13443" spans="1:19" x14ac:dyDescent="0.25">
      <c r="A13443">
        <v>100793972</v>
      </c>
      <c r="B13443" t="s">
        <v>12511</v>
      </c>
      <c r="C13443" t="s">
        <v>123</v>
      </c>
      <c r="F13443" t="str">
        <f>"4014197210"</f>
        <v>4014197210</v>
      </c>
      <c r="G13443" t="s">
        <v>29073</v>
      </c>
      <c r="H13443" t="s">
        <v>8997</v>
      </c>
      <c r="I13443" t="s">
        <v>662</v>
      </c>
      <c r="J13443">
        <v>2904</v>
      </c>
      <c r="K13443">
        <v>2237</v>
      </c>
      <c r="L13443" t="s">
        <v>23</v>
      </c>
      <c r="M13443" t="s">
        <v>29073</v>
      </c>
      <c r="N13443" t="s">
        <v>8997</v>
      </c>
      <c r="O13443" t="s">
        <v>662</v>
      </c>
      <c r="P13443">
        <v>2904</v>
      </c>
      <c r="Q13443">
        <v>2237</v>
      </c>
      <c r="R13443" t="s">
        <v>23</v>
      </c>
      <c r="S13443" s="1" t="s">
        <v>34218</v>
      </c>
    </row>
    <row r="13444" spans="1:19" x14ac:dyDescent="0.25">
      <c r="A13444">
        <v>101480749</v>
      </c>
      <c r="B13444" t="s">
        <v>29074</v>
      </c>
      <c r="C13444" t="s">
        <v>13249</v>
      </c>
      <c r="G13444" t="s">
        <v>29075</v>
      </c>
      <c r="H13444" t="s">
        <v>393</v>
      </c>
      <c r="I13444" t="s">
        <v>71</v>
      </c>
      <c r="J13444">
        <v>80238</v>
      </c>
      <c r="K13444">
        <v>2960</v>
      </c>
      <c r="L13444" t="s">
        <v>23</v>
      </c>
      <c r="M13444" t="s">
        <v>29075</v>
      </c>
      <c r="N13444" t="s">
        <v>393</v>
      </c>
      <c r="O13444" t="s">
        <v>71</v>
      </c>
      <c r="P13444">
        <v>80238</v>
      </c>
      <c r="Q13444">
        <v>2960</v>
      </c>
      <c r="R13444" t="s">
        <v>23</v>
      </c>
      <c r="S13444" s="1" t="s">
        <v>34218</v>
      </c>
    </row>
    <row r="13445" spans="1:19" x14ac:dyDescent="0.25">
      <c r="A13445">
        <v>101480757</v>
      </c>
      <c r="B13445" t="s">
        <v>3373</v>
      </c>
      <c r="C13445" t="s">
        <v>5868</v>
      </c>
      <c r="G13445" t="s">
        <v>29076</v>
      </c>
      <c r="H13445" t="s">
        <v>29077</v>
      </c>
      <c r="I13445" t="s">
        <v>71</v>
      </c>
      <c r="J13445">
        <v>80449</v>
      </c>
      <c r="K13445">
        <v>5012</v>
      </c>
      <c r="L13445" t="s">
        <v>23</v>
      </c>
      <c r="M13445" t="s">
        <v>29076</v>
      </c>
      <c r="N13445" t="s">
        <v>29077</v>
      </c>
      <c r="O13445" t="s">
        <v>71</v>
      </c>
      <c r="P13445">
        <v>80449</v>
      </c>
      <c r="Q13445">
        <v>5012</v>
      </c>
      <c r="R13445" t="s">
        <v>23</v>
      </c>
      <c r="S13445" s="1" t="s">
        <v>34218</v>
      </c>
    </row>
    <row r="13446" spans="1:19" x14ac:dyDescent="0.25">
      <c r="A13446">
        <v>101480758</v>
      </c>
      <c r="B13446" t="s">
        <v>29078</v>
      </c>
      <c r="C13446" t="s">
        <v>29079</v>
      </c>
      <c r="G13446" t="s">
        <v>29080</v>
      </c>
      <c r="H13446" t="s">
        <v>7045</v>
      </c>
      <c r="I13446" t="s">
        <v>140</v>
      </c>
      <c r="J13446">
        <v>48198</v>
      </c>
      <c r="K13446">
        <v>3150</v>
      </c>
      <c r="L13446" t="s">
        <v>23</v>
      </c>
      <c r="M13446" t="s">
        <v>29080</v>
      </c>
      <c r="N13446" t="s">
        <v>7045</v>
      </c>
      <c r="O13446" t="s">
        <v>140</v>
      </c>
      <c r="P13446">
        <v>48198</v>
      </c>
      <c r="Q13446">
        <v>3150</v>
      </c>
      <c r="R13446" t="s">
        <v>23</v>
      </c>
      <c r="S13446" s="1" t="s">
        <v>34218</v>
      </c>
    </row>
    <row r="13447" spans="1:19" x14ac:dyDescent="0.25">
      <c r="A13447">
        <v>101352346</v>
      </c>
      <c r="B13447" t="s">
        <v>29081</v>
      </c>
      <c r="C13447" t="s">
        <v>1602</v>
      </c>
      <c r="G13447" t="s">
        <v>29082</v>
      </c>
      <c r="H13447" t="s">
        <v>29083</v>
      </c>
      <c r="I13447" t="s">
        <v>43</v>
      </c>
      <c r="J13447">
        <v>77192</v>
      </c>
      <c r="L13447" t="s">
        <v>23</v>
      </c>
      <c r="M13447" t="s">
        <v>29082</v>
      </c>
      <c r="N13447" t="s">
        <v>29083</v>
      </c>
      <c r="O13447" t="s">
        <v>43</v>
      </c>
      <c r="P13447">
        <v>77192</v>
      </c>
      <c r="R13447" t="s">
        <v>23</v>
      </c>
      <c r="S13447" s="1" t="s">
        <v>34218</v>
      </c>
    </row>
    <row r="13448" spans="1:19" x14ac:dyDescent="0.25">
      <c r="A13448">
        <v>101480764</v>
      </c>
      <c r="B13448" t="s">
        <v>29084</v>
      </c>
      <c r="C13448" t="s">
        <v>119</v>
      </c>
      <c r="G13448" t="s">
        <v>28268</v>
      </c>
      <c r="H13448" t="s">
        <v>1402</v>
      </c>
      <c r="I13448" t="s">
        <v>38</v>
      </c>
      <c r="J13448">
        <v>77018</v>
      </c>
      <c r="K13448">
        <v>4131</v>
      </c>
      <c r="L13448" t="s">
        <v>23</v>
      </c>
      <c r="M13448" t="s">
        <v>28268</v>
      </c>
      <c r="N13448" t="s">
        <v>1402</v>
      </c>
      <c r="O13448" t="s">
        <v>38</v>
      </c>
      <c r="P13448">
        <v>77018</v>
      </c>
      <c r="Q13448">
        <v>4131</v>
      </c>
      <c r="R13448" t="s">
        <v>23</v>
      </c>
      <c r="S13448" s="1" t="s">
        <v>34218</v>
      </c>
    </row>
    <row r="13449" spans="1:19" x14ac:dyDescent="0.25">
      <c r="A13449">
        <v>101471412</v>
      </c>
      <c r="B13449" t="s">
        <v>11099</v>
      </c>
      <c r="C13449" t="s">
        <v>313</v>
      </c>
      <c r="G13449" t="s">
        <v>29085</v>
      </c>
      <c r="H13449" t="s">
        <v>28478</v>
      </c>
      <c r="I13449" t="s">
        <v>178</v>
      </c>
      <c r="J13449">
        <v>44321</v>
      </c>
      <c r="K13449">
        <v>2974</v>
      </c>
      <c r="L13449" t="s">
        <v>23</v>
      </c>
      <c r="M13449" t="s">
        <v>29085</v>
      </c>
      <c r="N13449" t="s">
        <v>28478</v>
      </c>
      <c r="O13449" t="s">
        <v>178</v>
      </c>
      <c r="P13449">
        <v>44321</v>
      </c>
      <c r="Q13449">
        <v>2974</v>
      </c>
      <c r="R13449" t="s">
        <v>23</v>
      </c>
      <c r="S13449" s="1" t="s">
        <v>34218</v>
      </c>
    </row>
    <row r="13450" spans="1:19" x14ac:dyDescent="0.25">
      <c r="A13450">
        <v>100883455</v>
      </c>
      <c r="B13450" t="s">
        <v>29086</v>
      </c>
      <c r="C13450" t="s">
        <v>247</v>
      </c>
      <c r="G13450" t="s">
        <v>29087</v>
      </c>
      <c r="H13450" t="s">
        <v>9347</v>
      </c>
      <c r="I13450" t="s">
        <v>1482</v>
      </c>
      <c r="J13450">
        <v>29730</v>
      </c>
      <c r="K13450">
        <v>7322</v>
      </c>
      <c r="L13450" t="s">
        <v>23</v>
      </c>
      <c r="M13450" t="s">
        <v>29087</v>
      </c>
      <c r="N13450" t="s">
        <v>9347</v>
      </c>
      <c r="O13450" t="s">
        <v>1482</v>
      </c>
      <c r="P13450">
        <v>29730</v>
      </c>
      <c r="Q13450">
        <v>7322</v>
      </c>
      <c r="R13450" t="s">
        <v>23</v>
      </c>
      <c r="S13450" s="1" t="s">
        <v>34218</v>
      </c>
    </row>
    <row r="13451" spans="1:19" x14ac:dyDescent="0.25">
      <c r="A13451">
        <v>101067803</v>
      </c>
      <c r="B13451" t="s">
        <v>29088</v>
      </c>
      <c r="C13451" t="s">
        <v>29089</v>
      </c>
      <c r="G13451" t="s">
        <v>29090</v>
      </c>
      <c r="H13451" t="s">
        <v>1748</v>
      </c>
      <c r="I13451" t="s">
        <v>255</v>
      </c>
      <c r="J13451">
        <v>22206</v>
      </c>
      <c r="K13451">
        <v>3210</v>
      </c>
      <c r="L13451" t="s">
        <v>23</v>
      </c>
      <c r="M13451" t="s">
        <v>29090</v>
      </c>
      <c r="N13451" t="s">
        <v>1748</v>
      </c>
      <c r="O13451" t="s">
        <v>255</v>
      </c>
      <c r="P13451">
        <v>22206</v>
      </c>
      <c r="Q13451">
        <v>3210</v>
      </c>
      <c r="R13451" t="s">
        <v>23</v>
      </c>
      <c r="S13451" s="1" t="s">
        <v>34218</v>
      </c>
    </row>
    <row r="13452" spans="1:19" x14ac:dyDescent="0.25">
      <c r="A13452">
        <v>101450112</v>
      </c>
      <c r="B13452" t="s">
        <v>29091</v>
      </c>
      <c r="C13452" t="s">
        <v>1542</v>
      </c>
      <c r="G13452" t="s">
        <v>29092</v>
      </c>
      <c r="H13452" t="s">
        <v>9762</v>
      </c>
      <c r="I13452" t="s">
        <v>22</v>
      </c>
      <c r="J13452">
        <v>92823</v>
      </c>
      <c r="K13452">
        <v>6438</v>
      </c>
      <c r="L13452" t="s">
        <v>23</v>
      </c>
      <c r="M13452" t="s">
        <v>29092</v>
      </c>
      <c r="N13452" t="s">
        <v>9762</v>
      </c>
      <c r="O13452" t="s">
        <v>22</v>
      </c>
      <c r="P13452">
        <v>92823</v>
      </c>
      <c r="Q13452">
        <v>6438</v>
      </c>
      <c r="R13452" t="s">
        <v>23</v>
      </c>
      <c r="S13452" s="1" t="s">
        <v>34218</v>
      </c>
    </row>
    <row r="13453" spans="1:19" x14ac:dyDescent="0.25">
      <c r="A13453">
        <v>101156152</v>
      </c>
      <c r="B13453" t="s">
        <v>29093</v>
      </c>
      <c r="C13453" t="s">
        <v>29094</v>
      </c>
      <c r="G13453" t="s">
        <v>29095</v>
      </c>
      <c r="H13453" t="s">
        <v>29096</v>
      </c>
      <c r="I13453" t="s">
        <v>148</v>
      </c>
      <c r="J13453">
        <v>21022</v>
      </c>
      <c r="L13453" t="s">
        <v>23</v>
      </c>
      <c r="M13453" t="s">
        <v>29095</v>
      </c>
      <c r="N13453" t="s">
        <v>29096</v>
      </c>
      <c r="O13453" t="s">
        <v>148</v>
      </c>
      <c r="P13453">
        <v>21022</v>
      </c>
      <c r="R13453" t="s">
        <v>23</v>
      </c>
      <c r="S13453" s="1" t="s">
        <v>34218</v>
      </c>
    </row>
    <row r="13454" spans="1:19" x14ac:dyDescent="0.25">
      <c r="A13454">
        <v>101471155</v>
      </c>
      <c r="B13454" t="s">
        <v>29097</v>
      </c>
      <c r="C13454" t="s">
        <v>1714</v>
      </c>
      <c r="G13454" t="s">
        <v>29098</v>
      </c>
      <c r="H13454" t="s">
        <v>4932</v>
      </c>
      <c r="I13454" t="s">
        <v>1482</v>
      </c>
      <c r="J13454">
        <v>29492</v>
      </c>
      <c r="L13454" t="s">
        <v>23</v>
      </c>
      <c r="M13454" t="s">
        <v>29098</v>
      </c>
      <c r="N13454" t="s">
        <v>4932</v>
      </c>
      <c r="O13454" t="s">
        <v>1482</v>
      </c>
      <c r="P13454">
        <v>29492</v>
      </c>
      <c r="R13454" t="s">
        <v>23</v>
      </c>
      <c r="S13454" s="1" t="s">
        <v>34218</v>
      </c>
    </row>
    <row r="13455" spans="1:19" x14ac:dyDescent="0.25">
      <c r="A13455">
        <v>101458032</v>
      </c>
      <c r="B13455" t="s">
        <v>18359</v>
      </c>
      <c r="C13455" t="s">
        <v>2127</v>
      </c>
      <c r="G13455" t="s">
        <v>29099</v>
      </c>
      <c r="H13455" t="s">
        <v>5413</v>
      </c>
      <c r="I13455" t="s">
        <v>140</v>
      </c>
      <c r="J13455">
        <v>48334</v>
      </c>
      <c r="L13455" t="s">
        <v>23</v>
      </c>
      <c r="M13455" t="s">
        <v>29099</v>
      </c>
      <c r="N13455" t="s">
        <v>5413</v>
      </c>
      <c r="O13455" t="s">
        <v>140</v>
      </c>
      <c r="P13455">
        <v>48334</v>
      </c>
      <c r="R13455" t="s">
        <v>23</v>
      </c>
      <c r="S13455" s="1" t="s">
        <v>34218</v>
      </c>
    </row>
    <row r="13456" spans="1:19" x14ac:dyDescent="0.25">
      <c r="A13456">
        <v>100598473</v>
      </c>
      <c r="B13456" t="s">
        <v>9807</v>
      </c>
      <c r="C13456" t="s">
        <v>3590</v>
      </c>
      <c r="G13456" t="s">
        <v>29100</v>
      </c>
      <c r="H13456" t="s">
        <v>10619</v>
      </c>
      <c r="I13456" t="s">
        <v>84</v>
      </c>
      <c r="J13456">
        <v>98133</v>
      </c>
      <c r="K13456">
        <v>3032</v>
      </c>
      <c r="L13456" t="s">
        <v>23</v>
      </c>
      <c r="M13456" t="s">
        <v>29100</v>
      </c>
      <c r="N13456" t="s">
        <v>10619</v>
      </c>
      <c r="O13456" t="s">
        <v>84</v>
      </c>
      <c r="P13456">
        <v>98133</v>
      </c>
      <c r="Q13456">
        <v>3032</v>
      </c>
      <c r="R13456" t="s">
        <v>23</v>
      </c>
      <c r="S13456" s="1" t="s">
        <v>34218</v>
      </c>
    </row>
    <row r="13457" spans="1:19" x14ac:dyDescent="0.25">
      <c r="A13457">
        <v>101001912</v>
      </c>
      <c r="B13457" t="s">
        <v>744</v>
      </c>
      <c r="C13457" t="s">
        <v>209</v>
      </c>
      <c r="G13457" t="s">
        <v>29101</v>
      </c>
      <c r="H13457" t="s">
        <v>10101</v>
      </c>
      <c r="I13457" t="s">
        <v>52</v>
      </c>
      <c r="J13457">
        <v>33993</v>
      </c>
      <c r="K13457">
        <v>3526</v>
      </c>
      <c r="L13457" t="s">
        <v>23</v>
      </c>
      <c r="M13457" t="s">
        <v>29101</v>
      </c>
      <c r="N13457" t="s">
        <v>10101</v>
      </c>
      <c r="O13457" t="s">
        <v>52</v>
      </c>
      <c r="P13457">
        <v>33993</v>
      </c>
      <c r="Q13457">
        <v>3526</v>
      </c>
      <c r="R13457" t="s">
        <v>23</v>
      </c>
      <c r="S13457" s="1" t="s">
        <v>34218</v>
      </c>
    </row>
    <row r="13458" spans="1:19" x14ac:dyDescent="0.25">
      <c r="A13458">
        <v>101260832</v>
      </c>
      <c r="B13458" t="s">
        <v>13533</v>
      </c>
      <c r="C13458" t="s">
        <v>158</v>
      </c>
      <c r="G13458" t="s">
        <v>29102</v>
      </c>
      <c r="H13458" t="s">
        <v>227</v>
      </c>
      <c r="I13458" t="s">
        <v>43</v>
      </c>
      <c r="J13458">
        <v>97222</v>
      </c>
      <c r="L13458" t="s">
        <v>23</v>
      </c>
      <c r="M13458" t="s">
        <v>29102</v>
      </c>
      <c r="N13458" t="s">
        <v>227</v>
      </c>
      <c r="O13458" t="s">
        <v>43</v>
      </c>
      <c r="P13458">
        <v>97222</v>
      </c>
      <c r="R13458" t="s">
        <v>23</v>
      </c>
      <c r="S13458" s="1" t="s">
        <v>34218</v>
      </c>
    </row>
    <row r="13459" spans="1:19" x14ac:dyDescent="0.25">
      <c r="A13459">
        <v>101474558</v>
      </c>
      <c r="B13459" t="s">
        <v>1831</v>
      </c>
      <c r="C13459" t="s">
        <v>4587</v>
      </c>
      <c r="G13459" t="s">
        <v>29103</v>
      </c>
      <c r="H13459" t="s">
        <v>10464</v>
      </c>
      <c r="I13459" t="s">
        <v>348</v>
      </c>
      <c r="J13459">
        <v>83815</v>
      </c>
      <c r="K13459">
        <v>9131</v>
      </c>
      <c r="L13459" t="s">
        <v>23</v>
      </c>
      <c r="M13459" t="s">
        <v>29103</v>
      </c>
      <c r="N13459" t="s">
        <v>10464</v>
      </c>
      <c r="O13459" t="s">
        <v>348</v>
      </c>
      <c r="P13459">
        <v>83815</v>
      </c>
      <c r="Q13459">
        <v>9131</v>
      </c>
      <c r="R13459" t="s">
        <v>23</v>
      </c>
      <c r="S13459" s="1" t="s">
        <v>34218</v>
      </c>
    </row>
    <row r="13460" spans="1:19" x14ac:dyDescent="0.25">
      <c r="A13460">
        <v>101474581</v>
      </c>
      <c r="B13460" t="s">
        <v>1554</v>
      </c>
      <c r="C13460" t="s">
        <v>29104</v>
      </c>
      <c r="G13460" t="s">
        <v>29105</v>
      </c>
      <c r="H13460" t="s">
        <v>6525</v>
      </c>
      <c r="I13460" t="s">
        <v>702</v>
      </c>
      <c r="J13460">
        <v>89048</v>
      </c>
      <c r="K13460">
        <v>4667</v>
      </c>
      <c r="L13460" t="s">
        <v>23</v>
      </c>
      <c r="M13460" t="s">
        <v>29105</v>
      </c>
      <c r="N13460" t="s">
        <v>6525</v>
      </c>
      <c r="O13460" t="s">
        <v>702</v>
      </c>
      <c r="P13460">
        <v>89048</v>
      </c>
      <c r="Q13460">
        <v>4667</v>
      </c>
      <c r="R13460" t="s">
        <v>23</v>
      </c>
      <c r="S13460" s="1" t="s">
        <v>34218</v>
      </c>
    </row>
    <row r="13461" spans="1:19" x14ac:dyDescent="0.25">
      <c r="A13461">
        <v>101439369</v>
      </c>
      <c r="B13461" t="s">
        <v>29106</v>
      </c>
      <c r="C13461" t="s">
        <v>225</v>
      </c>
      <c r="G13461" t="s">
        <v>29107</v>
      </c>
      <c r="H13461" t="s">
        <v>2175</v>
      </c>
      <c r="I13461" t="s">
        <v>71</v>
      </c>
      <c r="J13461">
        <v>80113</v>
      </c>
      <c r="K13461">
        <v>3707</v>
      </c>
      <c r="L13461" t="s">
        <v>23</v>
      </c>
      <c r="M13461" t="s">
        <v>29107</v>
      </c>
      <c r="N13461" t="s">
        <v>2175</v>
      </c>
      <c r="O13461" t="s">
        <v>71</v>
      </c>
      <c r="P13461">
        <v>80113</v>
      </c>
      <c r="Q13461">
        <v>3707</v>
      </c>
      <c r="R13461" t="s">
        <v>23</v>
      </c>
      <c r="S13461" s="1" t="s">
        <v>34218</v>
      </c>
    </row>
    <row r="13462" spans="1:19" x14ac:dyDescent="0.25">
      <c r="A13462">
        <v>100541959</v>
      </c>
      <c r="B13462" t="s">
        <v>744</v>
      </c>
      <c r="C13462" t="s">
        <v>5196</v>
      </c>
      <c r="G13462" t="s">
        <v>29108</v>
      </c>
      <c r="H13462" t="s">
        <v>1283</v>
      </c>
      <c r="I13462" t="s">
        <v>22</v>
      </c>
      <c r="J13462">
        <v>93923</v>
      </c>
      <c r="L13462" t="s">
        <v>23</v>
      </c>
      <c r="M13462" t="s">
        <v>29108</v>
      </c>
      <c r="N13462" t="s">
        <v>1283</v>
      </c>
      <c r="O13462" t="s">
        <v>22</v>
      </c>
      <c r="P13462">
        <v>93923</v>
      </c>
      <c r="R13462" t="s">
        <v>23</v>
      </c>
      <c r="S13462" s="1" t="s">
        <v>34218</v>
      </c>
    </row>
    <row r="13463" spans="1:19" x14ac:dyDescent="0.25">
      <c r="A13463">
        <v>101474657</v>
      </c>
      <c r="B13463" t="s">
        <v>22898</v>
      </c>
      <c r="C13463" t="s">
        <v>1463</v>
      </c>
      <c r="G13463" t="s">
        <v>29109</v>
      </c>
      <c r="H13463" t="s">
        <v>653</v>
      </c>
      <c r="I13463" t="s">
        <v>117</v>
      </c>
      <c r="J13463">
        <v>10002</v>
      </c>
      <c r="K13463">
        <v>3002</v>
      </c>
      <c r="L13463" t="s">
        <v>23</v>
      </c>
      <c r="M13463" t="s">
        <v>29109</v>
      </c>
      <c r="N13463" t="s">
        <v>653</v>
      </c>
      <c r="O13463" t="s">
        <v>117</v>
      </c>
      <c r="P13463">
        <v>10002</v>
      </c>
      <c r="Q13463">
        <v>3002</v>
      </c>
      <c r="R13463" t="s">
        <v>23</v>
      </c>
      <c r="S13463" s="1" t="s">
        <v>34218</v>
      </c>
    </row>
    <row r="13464" spans="1:19" x14ac:dyDescent="0.25">
      <c r="A13464">
        <v>101472285</v>
      </c>
      <c r="B13464" t="s">
        <v>26146</v>
      </c>
      <c r="C13464" t="s">
        <v>15672</v>
      </c>
      <c r="G13464" t="s">
        <v>29110</v>
      </c>
      <c r="H13464" t="s">
        <v>6378</v>
      </c>
      <c r="I13464" t="s">
        <v>84</v>
      </c>
      <c r="J13464">
        <v>98563</v>
      </c>
      <c r="K13464">
        <v>3411</v>
      </c>
      <c r="L13464" t="s">
        <v>23</v>
      </c>
      <c r="M13464" t="s">
        <v>29110</v>
      </c>
      <c r="N13464" t="s">
        <v>6378</v>
      </c>
      <c r="O13464" t="s">
        <v>84</v>
      </c>
      <c r="P13464">
        <v>98563</v>
      </c>
      <c r="Q13464">
        <v>3411</v>
      </c>
      <c r="R13464" t="s">
        <v>23</v>
      </c>
      <c r="S13464" s="1" t="s">
        <v>34218</v>
      </c>
    </row>
    <row r="13465" spans="1:19" x14ac:dyDescent="0.25">
      <c r="A13465">
        <v>101429090</v>
      </c>
      <c r="B13465" t="s">
        <v>29111</v>
      </c>
      <c r="C13465" t="s">
        <v>16657</v>
      </c>
      <c r="G13465" t="s">
        <v>29112</v>
      </c>
      <c r="H13465" t="s">
        <v>2582</v>
      </c>
      <c r="I13465" t="s">
        <v>84</v>
      </c>
      <c r="J13465">
        <v>98335</v>
      </c>
      <c r="K13465">
        <v>7324</v>
      </c>
      <c r="L13465" t="s">
        <v>23</v>
      </c>
      <c r="M13465" t="s">
        <v>29112</v>
      </c>
      <c r="N13465" t="s">
        <v>2582</v>
      </c>
      <c r="O13465" t="s">
        <v>84</v>
      </c>
      <c r="P13465">
        <v>98335</v>
      </c>
      <c r="Q13465">
        <v>7324</v>
      </c>
      <c r="R13465" t="s">
        <v>23</v>
      </c>
      <c r="S13465" s="1" t="s">
        <v>34218</v>
      </c>
    </row>
    <row r="13466" spans="1:19" x14ac:dyDescent="0.25">
      <c r="A13466">
        <v>100788939</v>
      </c>
      <c r="B13466" t="s">
        <v>29113</v>
      </c>
      <c r="C13466" t="s">
        <v>29114</v>
      </c>
      <c r="G13466" t="s">
        <v>29115</v>
      </c>
      <c r="H13466" t="s">
        <v>1019</v>
      </c>
      <c r="I13466" t="s">
        <v>84</v>
      </c>
      <c r="J13466">
        <v>98034</v>
      </c>
      <c r="K13466">
        <v>1522</v>
      </c>
      <c r="L13466" t="s">
        <v>23</v>
      </c>
      <c r="M13466" t="s">
        <v>29115</v>
      </c>
      <c r="N13466" t="s">
        <v>1019</v>
      </c>
      <c r="O13466" t="s">
        <v>84</v>
      </c>
      <c r="P13466">
        <v>98034</v>
      </c>
      <c r="Q13466">
        <v>1522</v>
      </c>
      <c r="R13466" t="s">
        <v>23</v>
      </c>
      <c r="S13466" s="1" t="s">
        <v>34218</v>
      </c>
    </row>
    <row r="13467" spans="1:19" x14ac:dyDescent="0.25">
      <c r="A13467">
        <v>100977888</v>
      </c>
      <c r="B13467" t="s">
        <v>3346</v>
      </c>
      <c r="C13467" t="s">
        <v>1306</v>
      </c>
      <c r="F13467" t="str">
        <f>"5188538614"</f>
        <v>5188538614</v>
      </c>
      <c r="G13467" t="s">
        <v>29116</v>
      </c>
      <c r="H13467" t="s">
        <v>6265</v>
      </c>
      <c r="I13467" t="s">
        <v>117</v>
      </c>
      <c r="J13467">
        <v>12068</v>
      </c>
      <c r="L13467" t="s">
        <v>23</v>
      </c>
      <c r="M13467" t="s">
        <v>29116</v>
      </c>
      <c r="N13467" t="s">
        <v>6265</v>
      </c>
      <c r="O13467" t="s">
        <v>117</v>
      </c>
      <c r="P13467">
        <v>12068</v>
      </c>
      <c r="R13467" t="s">
        <v>23</v>
      </c>
      <c r="S13467" s="1" t="s">
        <v>34218</v>
      </c>
    </row>
    <row r="13468" spans="1:19" x14ac:dyDescent="0.25">
      <c r="A13468">
        <v>100605971</v>
      </c>
      <c r="B13468" t="s">
        <v>3109</v>
      </c>
      <c r="C13468" t="s">
        <v>1374</v>
      </c>
      <c r="G13468" t="s">
        <v>29117</v>
      </c>
      <c r="H13468" t="s">
        <v>2110</v>
      </c>
      <c r="I13468" t="s">
        <v>22</v>
      </c>
      <c r="J13468">
        <v>95490</v>
      </c>
      <c r="K13468">
        <v>3310</v>
      </c>
      <c r="L13468" t="s">
        <v>23</v>
      </c>
      <c r="M13468" t="s">
        <v>29117</v>
      </c>
      <c r="N13468" t="s">
        <v>2110</v>
      </c>
      <c r="O13468" t="s">
        <v>22</v>
      </c>
      <c r="P13468">
        <v>95490</v>
      </c>
      <c r="Q13468">
        <v>3310</v>
      </c>
      <c r="R13468" t="s">
        <v>23</v>
      </c>
      <c r="S13468" s="1" t="s">
        <v>34218</v>
      </c>
    </row>
    <row r="13469" spans="1:19" x14ac:dyDescent="0.25">
      <c r="A13469">
        <v>101464651</v>
      </c>
      <c r="B13469" t="s">
        <v>29118</v>
      </c>
      <c r="C13469" t="s">
        <v>4488</v>
      </c>
      <c r="G13469" t="s">
        <v>29119</v>
      </c>
      <c r="H13469" t="s">
        <v>2910</v>
      </c>
      <c r="I13469" t="s">
        <v>52</v>
      </c>
      <c r="J13469">
        <v>34238</v>
      </c>
      <c r="K13469">
        <v>4501</v>
      </c>
      <c r="L13469" t="s">
        <v>23</v>
      </c>
      <c r="M13469" t="s">
        <v>29119</v>
      </c>
      <c r="N13469" t="s">
        <v>2910</v>
      </c>
      <c r="O13469" t="s">
        <v>52</v>
      </c>
      <c r="P13469">
        <v>34238</v>
      </c>
      <c r="Q13469">
        <v>4501</v>
      </c>
      <c r="R13469" t="s">
        <v>23</v>
      </c>
      <c r="S13469" s="1" t="s">
        <v>34218</v>
      </c>
    </row>
    <row r="13470" spans="1:19" x14ac:dyDescent="0.25">
      <c r="A13470">
        <v>101441991</v>
      </c>
      <c r="B13470" t="s">
        <v>11551</v>
      </c>
      <c r="C13470" t="s">
        <v>8144</v>
      </c>
      <c r="G13470" t="s">
        <v>29120</v>
      </c>
      <c r="H13470" t="s">
        <v>1229</v>
      </c>
      <c r="I13470" t="s">
        <v>38</v>
      </c>
      <c r="J13470">
        <v>78239</v>
      </c>
      <c r="K13470">
        <v>3515</v>
      </c>
      <c r="L13470" t="s">
        <v>23</v>
      </c>
      <c r="M13470" t="s">
        <v>29120</v>
      </c>
      <c r="N13470" t="s">
        <v>1229</v>
      </c>
      <c r="O13470" t="s">
        <v>38</v>
      </c>
      <c r="P13470">
        <v>78239</v>
      </c>
      <c r="Q13470">
        <v>3515</v>
      </c>
      <c r="R13470" t="s">
        <v>23</v>
      </c>
      <c r="S13470" s="1" t="s">
        <v>34218</v>
      </c>
    </row>
    <row r="13471" spans="1:19" x14ac:dyDescent="0.25">
      <c r="A13471">
        <v>100936628</v>
      </c>
      <c r="B13471" t="s">
        <v>29121</v>
      </c>
      <c r="C13471" t="s">
        <v>867</v>
      </c>
      <c r="G13471" t="s">
        <v>29122</v>
      </c>
      <c r="H13471" t="s">
        <v>3466</v>
      </c>
      <c r="I13471" t="s">
        <v>57</v>
      </c>
      <c r="J13471">
        <v>47374</v>
      </c>
      <c r="K13471">
        <v>1904</v>
      </c>
      <c r="L13471" t="s">
        <v>23</v>
      </c>
      <c r="M13471" t="s">
        <v>29122</v>
      </c>
      <c r="N13471" t="s">
        <v>3466</v>
      </c>
      <c r="O13471" t="s">
        <v>57</v>
      </c>
      <c r="P13471">
        <v>47374</v>
      </c>
      <c r="Q13471">
        <v>1904</v>
      </c>
      <c r="R13471" t="s">
        <v>23</v>
      </c>
      <c r="S13471" s="1" t="s">
        <v>34218</v>
      </c>
    </row>
    <row r="13472" spans="1:19" x14ac:dyDescent="0.25">
      <c r="A13472">
        <v>101432641</v>
      </c>
      <c r="B13472" t="s">
        <v>1007</v>
      </c>
      <c r="C13472" t="s">
        <v>613</v>
      </c>
      <c r="G13472" t="s">
        <v>29123</v>
      </c>
      <c r="H13472" t="s">
        <v>7360</v>
      </c>
      <c r="I13472" t="s">
        <v>135</v>
      </c>
      <c r="J13472">
        <v>60093</v>
      </c>
      <c r="K13472">
        <v>1794</v>
      </c>
      <c r="L13472" t="s">
        <v>23</v>
      </c>
      <c r="M13472" t="s">
        <v>29123</v>
      </c>
      <c r="N13472" t="s">
        <v>7360</v>
      </c>
      <c r="O13472" t="s">
        <v>135</v>
      </c>
      <c r="P13472">
        <v>60093</v>
      </c>
      <c r="Q13472">
        <v>1794</v>
      </c>
      <c r="R13472" t="s">
        <v>23</v>
      </c>
      <c r="S13472" s="1" t="s">
        <v>34218</v>
      </c>
    </row>
    <row r="13473" spans="1:19" x14ac:dyDescent="0.25">
      <c r="A13473">
        <v>101317978</v>
      </c>
      <c r="B13473" t="s">
        <v>29124</v>
      </c>
      <c r="C13473" t="s">
        <v>180</v>
      </c>
      <c r="G13473" t="s">
        <v>29125</v>
      </c>
      <c r="H13473" t="s">
        <v>4611</v>
      </c>
      <c r="I13473" t="s">
        <v>135</v>
      </c>
      <c r="J13473">
        <v>60137</v>
      </c>
      <c r="K13473">
        <v>7006</v>
      </c>
      <c r="L13473" t="s">
        <v>23</v>
      </c>
      <c r="M13473" t="s">
        <v>29125</v>
      </c>
      <c r="N13473" t="s">
        <v>4611</v>
      </c>
      <c r="O13473" t="s">
        <v>135</v>
      </c>
      <c r="P13473">
        <v>60137</v>
      </c>
      <c r="Q13473">
        <v>7006</v>
      </c>
      <c r="R13473" t="s">
        <v>23</v>
      </c>
      <c r="S13473" s="1" t="s">
        <v>34218</v>
      </c>
    </row>
    <row r="13474" spans="1:19" x14ac:dyDescent="0.25">
      <c r="A13474">
        <v>101222157</v>
      </c>
      <c r="B13474" t="s">
        <v>29126</v>
      </c>
      <c r="C13474" t="s">
        <v>2762</v>
      </c>
      <c r="G13474" t="s">
        <v>29127</v>
      </c>
      <c r="H13474" t="s">
        <v>1405</v>
      </c>
      <c r="I13474" t="s">
        <v>187</v>
      </c>
      <c r="J13474">
        <v>55116</v>
      </c>
      <c r="K13474">
        <v>1670</v>
      </c>
      <c r="L13474" t="s">
        <v>23</v>
      </c>
      <c r="M13474" t="s">
        <v>29127</v>
      </c>
      <c r="N13474" t="s">
        <v>1405</v>
      </c>
      <c r="O13474" t="s">
        <v>187</v>
      </c>
      <c r="P13474">
        <v>55116</v>
      </c>
      <c r="Q13474">
        <v>1670</v>
      </c>
      <c r="R13474" t="s">
        <v>23</v>
      </c>
      <c r="S13474" s="1" t="s">
        <v>34218</v>
      </c>
    </row>
    <row r="13475" spans="1:19" x14ac:dyDescent="0.25">
      <c r="A13475">
        <v>100847305</v>
      </c>
      <c r="B13475" t="s">
        <v>29128</v>
      </c>
      <c r="C13475" t="s">
        <v>90</v>
      </c>
      <c r="G13475" t="s">
        <v>29129</v>
      </c>
      <c r="H13475" t="s">
        <v>2039</v>
      </c>
      <c r="I13475" t="s">
        <v>1482</v>
      </c>
      <c r="J13475">
        <v>29464</v>
      </c>
      <c r="K13475">
        <v>9476</v>
      </c>
      <c r="L13475" t="s">
        <v>23</v>
      </c>
      <c r="M13475" t="s">
        <v>29129</v>
      </c>
      <c r="N13475" t="s">
        <v>2039</v>
      </c>
      <c r="O13475" t="s">
        <v>1482</v>
      </c>
      <c r="P13475">
        <v>29464</v>
      </c>
      <c r="Q13475">
        <v>9476</v>
      </c>
      <c r="R13475" t="s">
        <v>23</v>
      </c>
      <c r="S13475" s="1" t="s">
        <v>34218</v>
      </c>
    </row>
    <row r="13476" spans="1:19" x14ac:dyDescent="0.25">
      <c r="A13476">
        <v>101284903</v>
      </c>
      <c r="B13476" t="s">
        <v>20222</v>
      </c>
      <c r="C13476" t="s">
        <v>1859</v>
      </c>
      <c r="G13476" t="s">
        <v>29130</v>
      </c>
      <c r="H13476" t="s">
        <v>227</v>
      </c>
      <c r="I13476" t="s">
        <v>43</v>
      </c>
      <c r="J13476">
        <v>97210</v>
      </c>
      <c r="K13476">
        <v>1033</v>
      </c>
      <c r="L13476" t="s">
        <v>23</v>
      </c>
      <c r="M13476" t="s">
        <v>29130</v>
      </c>
      <c r="N13476" t="s">
        <v>227</v>
      </c>
      <c r="O13476" t="s">
        <v>43</v>
      </c>
      <c r="P13476">
        <v>97210</v>
      </c>
      <c r="Q13476">
        <v>1033</v>
      </c>
      <c r="R13476" t="s">
        <v>23</v>
      </c>
      <c r="S13476" s="1" t="s">
        <v>34218</v>
      </c>
    </row>
    <row r="13477" spans="1:19" x14ac:dyDescent="0.25">
      <c r="A13477">
        <v>101428040</v>
      </c>
      <c r="B13477" t="s">
        <v>4356</v>
      </c>
      <c r="C13477" t="s">
        <v>3376</v>
      </c>
      <c r="G13477" t="s">
        <v>29131</v>
      </c>
      <c r="H13477" t="s">
        <v>746</v>
      </c>
      <c r="I13477" t="s">
        <v>43</v>
      </c>
      <c r="J13477">
        <v>97477</v>
      </c>
      <c r="K13477">
        <v>5509</v>
      </c>
      <c r="L13477" t="s">
        <v>23</v>
      </c>
      <c r="M13477" t="s">
        <v>29131</v>
      </c>
      <c r="N13477" t="s">
        <v>746</v>
      </c>
      <c r="O13477" t="s">
        <v>43</v>
      </c>
      <c r="P13477">
        <v>97477</v>
      </c>
      <c r="Q13477">
        <v>5509</v>
      </c>
      <c r="R13477" t="s">
        <v>23</v>
      </c>
      <c r="S13477" s="1" t="s">
        <v>34218</v>
      </c>
    </row>
    <row r="13478" spans="1:19" x14ac:dyDescent="0.25">
      <c r="A13478">
        <v>101288266</v>
      </c>
      <c r="B13478" t="s">
        <v>303</v>
      </c>
      <c r="C13478" t="s">
        <v>350</v>
      </c>
      <c r="G13478" t="s">
        <v>29132</v>
      </c>
      <c r="H13478" t="s">
        <v>2086</v>
      </c>
      <c r="I13478" t="s">
        <v>178</v>
      </c>
      <c r="J13478">
        <v>45229</v>
      </c>
      <c r="K13478">
        <v>1111</v>
      </c>
      <c r="L13478" t="s">
        <v>23</v>
      </c>
      <c r="M13478" t="s">
        <v>29132</v>
      </c>
      <c r="N13478" t="s">
        <v>2086</v>
      </c>
      <c r="O13478" t="s">
        <v>178</v>
      </c>
      <c r="P13478">
        <v>45229</v>
      </c>
      <c r="Q13478">
        <v>1111</v>
      </c>
      <c r="R13478" t="s">
        <v>23</v>
      </c>
      <c r="S13478" s="1" t="s">
        <v>34218</v>
      </c>
    </row>
    <row r="13479" spans="1:19" x14ac:dyDescent="0.25">
      <c r="A13479">
        <v>101427963</v>
      </c>
      <c r="B13479" t="s">
        <v>29133</v>
      </c>
      <c r="C13479" t="s">
        <v>432</v>
      </c>
      <c r="G13479" t="s">
        <v>29134</v>
      </c>
      <c r="H13479" t="s">
        <v>29135</v>
      </c>
      <c r="I13479" t="s">
        <v>307</v>
      </c>
      <c r="J13479">
        <v>5255</v>
      </c>
      <c r="K13479">
        <v>9453</v>
      </c>
      <c r="L13479" t="s">
        <v>23</v>
      </c>
      <c r="M13479" t="s">
        <v>29134</v>
      </c>
      <c r="N13479" t="s">
        <v>29135</v>
      </c>
      <c r="O13479" t="s">
        <v>307</v>
      </c>
      <c r="P13479">
        <v>5255</v>
      </c>
      <c r="Q13479">
        <v>9453</v>
      </c>
      <c r="R13479" t="s">
        <v>23</v>
      </c>
      <c r="S13479" s="1" t="s">
        <v>34218</v>
      </c>
    </row>
    <row r="13480" spans="1:19" x14ac:dyDescent="0.25">
      <c r="A13480">
        <v>100968647</v>
      </c>
      <c r="B13480" t="s">
        <v>3077</v>
      </c>
      <c r="C13480" t="s">
        <v>29136</v>
      </c>
      <c r="G13480" t="s">
        <v>29137</v>
      </c>
      <c r="H13480" t="s">
        <v>1052</v>
      </c>
      <c r="I13480" t="s">
        <v>117</v>
      </c>
      <c r="J13480">
        <v>12203</v>
      </c>
      <c r="K13480">
        <v>1523</v>
      </c>
      <c r="L13480" t="s">
        <v>23</v>
      </c>
      <c r="M13480" t="s">
        <v>29137</v>
      </c>
      <c r="N13480" t="s">
        <v>1052</v>
      </c>
      <c r="O13480" t="s">
        <v>117</v>
      </c>
      <c r="P13480">
        <v>12203</v>
      </c>
      <c r="Q13480">
        <v>1523</v>
      </c>
      <c r="R13480" t="s">
        <v>23</v>
      </c>
      <c r="S13480" s="1" t="s">
        <v>34218</v>
      </c>
    </row>
    <row r="13481" spans="1:19" x14ac:dyDescent="0.25">
      <c r="A13481">
        <v>101468597</v>
      </c>
      <c r="B13481" t="s">
        <v>29138</v>
      </c>
      <c r="C13481" t="s">
        <v>959</v>
      </c>
      <c r="G13481" t="s">
        <v>29139</v>
      </c>
      <c r="H13481" t="s">
        <v>24524</v>
      </c>
      <c r="I13481" t="s">
        <v>140</v>
      </c>
      <c r="J13481">
        <v>48324</v>
      </c>
      <c r="K13481">
        <v>2847</v>
      </c>
      <c r="L13481" t="s">
        <v>23</v>
      </c>
      <c r="M13481" t="s">
        <v>29139</v>
      </c>
      <c r="N13481" t="s">
        <v>24524</v>
      </c>
      <c r="O13481" t="s">
        <v>140</v>
      </c>
      <c r="P13481">
        <v>48324</v>
      </c>
      <c r="Q13481">
        <v>2847</v>
      </c>
      <c r="R13481" t="s">
        <v>23</v>
      </c>
      <c r="S13481" s="1" t="s">
        <v>34218</v>
      </c>
    </row>
    <row r="13482" spans="1:19" x14ac:dyDescent="0.25">
      <c r="A13482">
        <v>101466463</v>
      </c>
      <c r="B13482" t="s">
        <v>29140</v>
      </c>
      <c r="C13482" t="s">
        <v>7058</v>
      </c>
      <c r="G13482" t="s">
        <v>29141</v>
      </c>
      <c r="H13482" t="s">
        <v>976</v>
      </c>
      <c r="I13482" t="s">
        <v>140</v>
      </c>
      <c r="J13482">
        <v>48103</v>
      </c>
      <c r="K13482">
        <v>4467</v>
      </c>
      <c r="L13482" t="s">
        <v>23</v>
      </c>
      <c r="M13482" t="s">
        <v>29141</v>
      </c>
      <c r="N13482" t="s">
        <v>976</v>
      </c>
      <c r="O13482" t="s">
        <v>140</v>
      </c>
      <c r="P13482">
        <v>48103</v>
      </c>
      <c r="Q13482">
        <v>4467</v>
      </c>
      <c r="R13482" t="s">
        <v>23</v>
      </c>
      <c r="S13482" s="1" t="s">
        <v>34218</v>
      </c>
    </row>
    <row r="13483" spans="1:19" x14ac:dyDescent="0.25">
      <c r="A13483">
        <v>101468618</v>
      </c>
      <c r="B13483" t="s">
        <v>9471</v>
      </c>
      <c r="C13483" t="s">
        <v>479</v>
      </c>
      <c r="G13483" t="s">
        <v>29142</v>
      </c>
      <c r="H13483" t="s">
        <v>5070</v>
      </c>
      <c r="I13483" t="s">
        <v>84</v>
      </c>
      <c r="J13483">
        <v>98684</v>
      </c>
      <c r="K13483">
        <v>8234</v>
      </c>
      <c r="L13483" t="s">
        <v>23</v>
      </c>
      <c r="M13483" t="s">
        <v>29142</v>
      </c>
      <c r="N13483" t="s">
        <v>5070</v>
      </c>
      <c r="O13483" t="s">
        <v>84</v>
      </c>
      <c r="P13483">
        <v>98684</v>
      </c>
      <c r="Q13483">
        <v>8234</v>
      </c>
      <c r="R13483" t="s">
        <v>23</v>
      </c>
      <c r="S13483" s="1" t="s">
        <v>34218</v>
      </c>
    </row>
    <row r="13484" spans="1:19" x14ac:dyDescent="0.25">
      <c r="A13484">
        <v>101434883</v>
      </c>
      <c r="B13484" t="s">
        <v>5156</v>
      </c>
      <c r="C13484" t="s">
        <v>838</v>
      </c>
      <c r="G13484">
        <v>48336</v>
      </c>
      <c r="H13484" t="s">
        <v>5413</v>
      </c>
      <c r="I13484" t="s">
        <v>140</v>
      </c>
      <c r="J13484">
        <v>48336</v>
      </c>
      <c r="L13484" t="s">
        <v>23</v>
      </c>
      <c r="M13484">
        <v>48336</v>
      </c>
      <c r="N13484" t="s">
        <v>5413</v>
      </c>
      <c r="O13484" t="s">
        <v>140</v>
      </c>
      <c r="P13484">
        <v>48336</v>
      </c>
      <c r="R13484" t="s">
        <v>23</v>
      </c>
      <c r="S13484" s="1" t="s">
        <v>34218</v>
      </c>
    </row>
    <row r="13485" spans="1:19" x14ac:dyDescent="0.25">
      <c r="A13485">
        <v>101472946</v>
      </c>
      <c r="B13485" t="s">
        <v>29143</v>
      </c>
      <c r="C13485" t="s">
        <v>846</v>
      </c>
      <c r="G13485" t="s">
        <v>29144</v>
      </c>
      <c r="H13485" t="s">
        <v>682</v>
      </c>
      <c r="I13485" t="s">
        <v>365</v>
      </c>
      <c r="J13485">
        <v>85015</v>
      </c>
      <c r="K13485">
        <v>6156</v>
      </c>
      <c r="L13485" t="s">
        <v>23</v>
      </c>
      <c r="M13485" t="s">
        <v>29144</v>
      </c>
      <c r="N13485" t="s">
        <v>682</v>
      </c>
      <c r="O13485" t="s">
        <v>365</v>
      </c>
      <c r="P13485">
        <v>85015</v>
      </c>
      <c r="Q13485">
        <v>6156</v>
      </c>
      <c r="R13485" t="s">
        <v>23</v>
      </c>
      <c r="S13485" s="1" t="s">
        <v>34218</v>
      </c>
    </row>
    <row r="13486" spans="1:19" x14ac:dyDescent="0.25">
      <c r="A13486">
        <v>101472950</v>
      </c>
      <c r="B13486" t="s">
        <v>29145</v>
      </c>
      <c r="C13486" t="s">
        <v>25341</v>
      </c>
      <c r="G13486" t="s">
        <v>14397</v>
      </c>
      <c r="H13486" t="s">
        <v>37</v>
      </c>
      <c r="I13486" t="s">
        <v>38</v>
      </c>
      <c r="J13486">
        <v>78759</v>
      </c>
      <c r="K13486">
        <v>7178</v>
      </c>
      <c r="L13486" t="s">
        <v>23</v>
      </c>
      <c r="M13486" t="s">
        <v>14397</v>
      </c>
      <c r="N13486" t="s">
        <v>37</v>
      </c>
      <c r="O13486" t="s">
        <v>38</v>
      </c>
      <c r="P13486">
        <v>78759</v>
      </c>
      <c r="Q13486">
        <v>7178</v>
      </c>
      <c r="R13486" t="s">
        <v>23</v>
      </c>
      <c r="S13486" s="1" t="s">
        <v>34218</v>
      </c>
    </row>
    <row r="13487" spans="1:19" x14ac:dyDescent="0.25">
      <c r="A13487">
        <v>101242415</v>
      </c>
      <c r="B13487" t="s">
        <v>6147</v>
      </c>
      <c r="C13487" t="s">
        <v>29146</v>
      </c>
      <c r="G13487" t="s">
        <v>29147</v>
      </c>
      <c r="H13487" t="s">
        <v>3129</v>
      </c>
      <c r="I13487" t="s">
        <v>84</v>
      </c>
      <c r="J13487">
        <v>99224</v>
      </c>
      <c r="K13487">
        <v>8242</v>
      </c>
      <c r="L13487" t="s">
        <v>23</v>
      </c>
      <c r="M13487" t="s">
        <v>29147</v>
      </c>
      <c r="N13487" t="s">
        <v>3129</v>
      </c>
      <c r="O13487" t="s">
        <v>84</v>
      </c>
      <c r="P13487">
        <v>99224</v>
      </c>
      <c r="Q13487">
        <v>8242</v>
      </c>
      <c r="R13487" t="s">
        <v>23</v>
      </c>
      <c r="S13487" s="1" t="s">
        <v>34218</v>
      </c>
    </row>
    <row r="13488" spans="1:19" x14ac:dyDescent="0.25">
      <c r="A13488">
        <v>101358345</v>
      </c>
      <c r="B13488" t="s">
        <v>402</v>
      </c>
      <c r="C13488" t="s">
        <v>6315</v>
      </c>
      <c r="G13488" t="s">
        <v>29148</v>
      </c>
      <c r="H13488" t="s">
        <v>75</v>
      </c>
      <c r="I13488" t="s">
        <v>22</v>
      </c>
      <c r="J13488">
        <v>94558</v>
      </c>
      <c r="K13488">
        <v>5430</v>
      </c>
      <c r="L13488" t="s">
        <v>23</v>
      </c>
      <c r="M13488" t="s">
        <v>29148</v>
      </c>
      <c r="N13488" t="s">
        <v>75</v>
      </c>
      <c r="O13488" t="s">
        <v>22</v>
      </c>
      <c r="P13488">
        <v>94558</v>
      </c>
      <c r="Q13488">
        <v>5430</v>
      </c>
      <c r="R13488" t="s">
        <v>23</v>
      </c>
      <c r="S13488" s="1" t="s">
        <v>34218</v>
      </c>
    </row>
    <row r="13489" spans="1:19" x14ac:dyDescent="0.25">
      <c r="A13489">
        <v>101480656</v>
      </c>
      <c r="B13489" t="s">
        <v>5610</v>
      </c>
      <c r="C13489" t="s">
        <v>4956</v>
      </c>
      <c r="G13489" t="s">
        <v>29149</v>
      </c>
      <c r="H13489" t="s">
        <v>1531</v>
      </c>
      <c r="I13489" t="s">
        <v>84</v>
      </c>
      <c r="J13489">
        <v>98103</v>
      </c>
      <c r="L13489" t="s">
        <v>23</v>
      </c>
      <c r="M13489" t="s">
        <v>29149</v>
      </c>
      <c r="N13489" t="s">
        <v>1531</v>
      </c>
      <c r="O13489" t="s">
        <v>84</v>
      </c>
      <c r="P13489">
        <v>98103</v>
      </c>
      <c r="R13489" t="s">
        <v>23</v>
      </c>
      <c r="S13489" s="1" t="s">
        <v>34218</v>
      </c>
    </row>
    <row r="13490" spans="1:19" x14ac:dyDescent="0.25">
      <c r="A13490">
        <v>100902947</v>
      </c>
      <c r="B13490" t="s">
        <v>7787</v>
      </c>
      <c r="C13490" t="s">
        <v>890</v>
      </c>
      <c r="G13490" t="s">
        <v>29150</v>
      </c>
      <c r="H13490" t="s">
        <v>17455</v>
      </c>
      <c r="I13490" t="s">
        <v>255</v>
      </c>
      <c r="J13490">
        <v>22644</v>
      </c>
      <c r="K13490">
        <v>2163</v>
      </c>
      <c r="L13490" t="s">
        <v>23</v>
      </c>
      <c r="M13490" t="s">
        <v>29150</v>
      </c>
      <c r="N13490" t="s">
        <v>17455</v>
      </c>
      <c r="O13490" t="s">
        <v>255</v>
      </c>
      <c r="P13490">
        <v>22644</v>
      </c>
      <c r="Q13490">
        <v>2163</v>
      </c>
      <c r="R13490" t="s">
        <v>23</v>
      </c>
      <c r="S13490" s="1" t="s">
        <v>34218</v>
      </c>
    </row>
    <row r="13491" spans="1:19" x14ac:dyDescent="0.25">
      <c r="A13491">
        <v>101480661</v>
      </c>
      <c r="B13491" t="s">
        <v>10596</v>
      </c>
      <c r="C13491" t="s">
        <v>2916</v>
      </c>
      <c r="G13491" t="s">
        <v>29151</v>
      </c>
      <c r="H13491" t="s">
        <v>2319</v>
      </c>
      <c r="I13491" t="s">
        <v>117</v>
      </c>
      <c r="J13491">
        <v>10305</v>
      </c>
      <c r="K13491">
        <v>3609</v>
      </c>
      <c r="L13491" t="s">
        <v>23</v>
      </c>
      <c r="M13491" t="s">
        <v>29151</v>
      </c>
      <c r="N13491" t="s">
        <v>2319</v>
      </c>
      <c r="O13491" t="s">
        <v>117</v>
      </c>
      <c r="P13491">
        <v>10305</v>
      </c>
      <c r="Q13491">
        <v>3609</v>
      </c>
      <c r="R13491" t="s">
        <v>23</v>
      </c>
      <c r="S13491" s="1" t="s">
        <v>34218</v>
      </c>
    </row>
    <row r="13492" spans="1:19" x14ac:dyDescent="0.25">
      <c r="A13492">
        <v>101446495</v>
      </c>
      <c r="B13492" t="s">
        <v>10785</v>
      </c>
      <c r="C13492" t="s">
        <v>4982</v>
      </c>
      <c r="G13492" t="s">
        <v>29152</v>
      </c>
      <c r="H13492" t="s">
        <v>12838</v>
      </c>
      <c r="I13492" t="s">
        <v>1097</v>
      </c>
      <c r="J13492">
        <v>40403</v>
      </c>
      <c r="K13492">
        <v>9590</v>
      </c>
      <c r="L13492" t="s">
        <v>23</v>
      </c>
      <c r="M13492" t="s">
        <v>29152</v>
      </c>
      <c r="N13492" t="s">
        <v>12838</v>
      </c>
      <c r="O13492" t="s">
        <v>1097</v>
      </c>
      <c r="P13492">
        <v>40403</v>
      </c>
      <c r="Q13492">
        <v>9590</v>
      </c>
      <c r="R13492" t="s">
        <v>23</v>
      </c>
      <c r="S13492" s="1" t="s">
        <v>34218</v>
      </c>
    </row>
    <row r="13493" spans="1:19" x14ac:dyDescent="0.25">
      <c r="A13493">
        <v>101431819</v>
      </c>
      <c r="B13493" t="s">
        <v>29153</v>
      </c>
      <c r="C13493" t="s">
        <v>274</v>
      </c>
      <c r="G13493" t="s">
        <v>29154</v>
      </c>
      <c r="H13493" t="s">
        <v>29155</v>
      </c>
      <c r="I13493" t="s">
        <v>1482</v>
      </c>
      <c r="J13493">
        <v>29429</v>
      </c>
      <c r="L13493" t="s">
        <v>23</v>
      </c>
      <c r="M13493" t="s">
        <v>29154</v>
      </c>
      <c r="N13493" t="s">
        <v>29155</v>
      </c>
      <c r="O13493" t="s">
        <v>1482</v>
      </c>
      <c r="P13493">
        <v>29429</v>
      </c>
      <c r="R13493" t="s">
        <v>23</v>
      </c>
      <c r="S13493" s="1" t="s">
        <v>34218</v>
      </c>
    </row>
    <row r="13494" spans="1:19" x14ac:dyDescent="0.25">
      <c r="A13494">
        <v>101480673</v>
      </c>
      <c r="B13494" t="s">
        <v>3956</v>
      </c>
      <c r="C13494" t="s">
        <v>233</v>
      </c>
      <c r="G13494" t="s">
        <v>29156</v>
      </c>
      <c r="H13494" t="s">
        <v>2399</v>
      </c>
      <c r="I13494" t="s">
        <v>71</v>
      </c>
      <c r="J13494">
        <v>80525</v>
      </c>
      <c r="K13494">
        <v>1200</v>
      </c>
      <c r="L13494" t="s">
        <v>23</v>
      </c>
      <c r="M13494" t="s">
        <v>29156</v>
      </c>
      <c r="N13494" t="s">
        <v>2399</v>
      </c>
      <c r="O13494" t="s">
        <v>71</v>
      </c>
      <c r="P13494">
        <v>80525</v>
      </c>
      <c r="Q13494">
        <v>1200</v>
      </c>
      <c r="R13494" t="s">
        <v>23</v>
      </c>
      <c r="S13494" s="1" t="s">
        <v>34218</v>
      </c>
    </row>
    <row r="13495" spans="1:19" x14ac:dyDescent="0.25">
      <c r="A13495">
        <v>101231519</v>
      </c>
      <c r="B13495" t="s">
        <v>1581</v>
      </c>
      <c r="C13495" t="s">
        <v>1398</v>
      </c>
      <c r="G13495" t="s">
        <v>29157</v>
      </c>
      <c r="H13495" t="s">
        <v>1900</v>
      </c>
      <c r="I13495" t="s">
        <v>153</v>
      </c>
      <c r="J13495">
        <v>70809</v>
      </c>
      <c r="K13495">
        <v>1404</v>
      </c>
      <c r="L13495" t="s">
        <v>23</v>
      </c>
      <c r="M13495" t="s">
        <v>29157</v>
      </c>
      <c r="N13495" t="s">
        <v>1900</v>
      </c>
      <c r="O13495" t="s">
        <v>153</v>
      </c>
      <c r="P13495">
        <v>70809</v>
      </c>
      <c r="Q13495">
        <v>1404</v>
      </c>
      <c r="R13495" t="s">
        <v>23</v>
      </c>
      <c r="S13495" s="1" t="s">
        <v>34218</v>
      </c>
    </row>
    <row r="13496" spans="1:19" x14ac:dyDescent="0.25">
      <c r="A13496">
        <v>100704061</v>
      </c>
      <c r="B13496" t="s">
        <v>29158</v>
      </c>
      <c r="C13496" t="s">
        <v>29159</v>
      </c>
      <c r="G13496" t="s">
        <v>29160</v>
      </c>
      <c r="H13496" t="s">
        <v>11591</v>
      </c>
      <c r="I13496" t="s">
        <v>250</v>
      </c>
      <c r="J13496">
        <v>8068</v>
      </c>
      <c r="K13496">
        <v>1214</v>
      </c>
      <c r="L13496" t="s">
        <v>23</v>
      </c>
      <c r="M13496" t="s">
        <v>29160</v>
      </c>
      <c r="N13496" t="s">
        <v>11591</v>
      </c>
      <c r="O13496" t="s">
        <v>250</v>
      </c>
      <c r="P13496">
        <v>8068</v>
      </c>
      <c r="Q13496">
        <v>1214</v>
      </c>
      <c r="R13496" t="s">
        <v>23</v>
      </c>
      <c r="S13496" s="1" t="s">
        <v>34218</v>
      </c>
    </row>
    <row r="13497" spans="1:19" x14ac:dyDescent="0.25">
      <c r="A13497">
        <v>101051394</v>
      </c>
      <c r="B13497" t="s">
        <v>29161</v>
      </c>
      <c r="C13497" t="s">
        <v>4630</v>
      </c>
      <c r="G13497" t="s">
        <v>29162</v>
      </c>
      <c r="H13497" t="s">
        <v>29163</v>
      </c>
      <c r="I13497" t="s">
        <v>250</v>
      </c>
      <c r="J13497">
        <v>7045</v>
      </c>
      <c r="L13497" t="s">
        <v>23</v>
      </c>
      <c r="M13497" t="s">
        <v>29162</v>
      </c>
      <c r="N13497" t="s">
        <v>29163</v>
      </c>
      <c r="O13497" t="s">
        <v>250</v>
      </c>
      <c r="P13497">
        <v>7045</v>
      </c>
      <c r="R13497" t="s">
        <v>23</v>
      </c>
      <c r="S13497" s="1" t="s">
        <v>34218</v>
      </c>
    </row>
    <row r="13498" spans="1:19" x14ac:dyDescent="0.25">
      <c r="A13498">
        <v>101451568</v>
      </c>
      <c r="B13498" t="s">
        <v>29164</v>
      </c>
      <c r="C13498" t="s">
        <v>81</v>
      </c>
      <c r="G13498" t="s">
        <v>29165</v>
      </c>
      <c r="H13498" t="s">
        <v>746</v>
      </c>
      <c r="I13498" t="s">
        <v>126</v>
      </c>
      <c r="J13498">
        <v>65810</v>
      </c>
      <c r="K13498">
        <v>2376</v>
      </c>
      <c r="L13498" t="s">
        <v>23</v>
      </c>
      <c r="M13498" t="s">
        <v>29165</v>
      </c>
      <c r="N13498" t="s">
        <v>746</v>
      </c>
      <c r="O13498" t="s">
        <v>126</v>
      </c>
      <c r="P13498">
        <v>65810</v>
      </c>
      <c r="Q13498">
        <v>2376</v>
      </c>
      <c r="R13498" t="s">
        <v>23</v>
      </c>
      <c r="S13498" s="1" t="s">
        <v>34218</v>
      </c>
    </row>
    <row r="13499" spans="1:19" x14ac:dyDescent="0.25">
      <c r="A13499">
        <v>101473197</v>
      </c>
      <c r="B13499" t="s">
        <v>29166</v>
      </c>
      <c r="C13499" t="s">
        <v>613</v>
      </c>
      <c r="G13499" t="s">
        <v>29167</v>
      </c>
      <c r="H13499" t="s">
        <v>4114</v>
      </c>
      <c r="I13499" t="s">
        <v>117</v>
      </c>
      <c r="J13499">
        <v>12308</v>
      </c>
      <c r="K13499">
        <v>1502</v>
      </c>
      <c r="L13499" t="s">
        <v>23</v>
      </c>
      <c r="M13499" t="s">
        <v>29167</v>
      </c>
      <c r="N13499" t="s">
        <v>4114</v>
      </c>
      <c r="O13499" t="s">
        <v>117</v>
      </c>
      <c r="P13499">
        <v>12308</v>
      </c>
      <c r="Q13499">
        <v>1502</v>
      </c>
      <c r="R13499" t="s">
        <v>23</v>
      </c>
      <c r="S13499" s="1" t="s">
        <v>34218</v>
      </c>
    </row>
    <row r="13500" spans="1:19" x14ac:dyDescent="0.25">
      <c r="A13500">
        <v>101480692</v>
      </c>
      <c r="B13500" t="s">
        <v>2802</v>
      </c>
      <c r="C13500" t="s">
        <v>1298</v>
      </c>
      <c r="G13500" t="s">
        <v>29168</v>
      </c>
      <c r="H13500" t="s">
        <v>29169</v>
      </c>
      <c r="I13500" t="s">
        <v>135</v>
      </c>
      <c r="J13500">
        <v>60406</v>
      </c>
      <c r="K13500">
        <v>1058</v>
      </c>
      <c r="L13500" t="s">
        <v>23</v>
      </c>
      <c r="M13500" t="s">
        <v>29168</v>
      </c>
      <c r="N13500" t="s">
        <v>29169</v>
      </c>
      <c r="O13500" t="s">
        <v>135</v>
      </c>
      <c r="P13500">
        <v>60406</v>
      </c>
      <c r="Q13500">
        <v>1058</v>
      </c>
      <c r="R13500" t="s">
        <v>23</v>
      </c>
      <c r="S13500" s="1" t="s">
        <v>34218</v>
      </c>
    </row>
    <row r="13501" spans="1:19" x14ac:dyDescent="0.25">
      <c r="A13501">
        <v>101018239</v>
      </c>
      <c r="B13501" t="s">
        <v>980</v>
      </c>
      <c r="C13501" t="s">
        <v>1157</v>
      </c>
      <c r="G13501" t="s">
        <v>29170</v>
      </c>
      <c r="H13501" t="s">
        <v>569</v>
      </c>
      <c r="I13501" t="s">
        <v>187</v>
      </c>
      <c r="J13501">
        <v>55417</v>
      </c>
      <c r="K13501">
        <v>1028</v>
      </c>
      <c r="L13501" t="s">
        <v>23</v>
      </c>
      <c r="M13501" t="s">
        <v>29170</v>
      </c>
      <c r="N13501" t="s">
        <v>569</v>
      </c>
      <c r="O13501" t="s">
        <v>187</v>
      </c>
      <c r="P13501">
        <v>55417</v>
      </c>
      <c r="Q13501">
        <v>1028</v>
      </c>
      <c r="R13501" t="s">
        <v>23</v>
      </c>
      <c r="S13501" s="1" t="s">
        <v>34218</v>
      </c>
    </row>
    <row r="13502" spans="1:19" x14ac:dyDescent="0.25">
      <c r="A13502">
        <v>101353092</v>
      </c>
      <c r="B13502" t="s">
        <v>29171</v>
      </c>
      <c r="C13502" t="s">
        <v>29172</v>
      </c>
      <c r="G13502" t="s">
        <v>29173</v>
      </c>
      <c r="H13502" t="s">
        <v>1614</v>
      </c>
      <c r="I13502" t="s">
        <v>22</v>
      </c>
      <c r="J13502">
        <v>92056</v>
      </c>
      <c r="K13502">
        <v>3764</v>
      </c>
      <c r="L13502" t="s">
        <v>23</v>
      </c>
      <c r="M13502" t="s">
        <v>29173</v>
      </c>
      <c r="N13502" t="s">
        <v>1614</v>
      </c>
      <c r="O13502" t="s">
        <v>22</v>
      </c>
      <c r="P13502">
        <v>92056</v>
      </c>
      <c r="Q13502">
        <v>3764</v>
      </c>
      <c r="R13502" t="s">
        <v>23</v>
      </c>
      <c r="S13502" s="1" t="s">
        <v>34218</v>
      </c>
    </row>
    <row r="13503" spans="1:19" x14ac:dyDescent="0.25">
      <c r="A13503">
        <v>100854131</v>
      </c>
      <c r="B13503" t="s">
        <v>29174</v>
      </c>
      <c r="C13503" t="s">
        <v>305</v>
      </c>
      <c r="G13503" t="s">
        <v>29175</v>
      </c>
      <c r="H13503" t="s">
        <v>2319</v>
      </c>
      <c r="I13503" t="s">
        <v>117</v>
      </c>
      <c r="J13503">
        <v>10312</v>
      </c>
      <c r="K13503">
        <v>6608</v>
      </c>
      <c r="L13503" t="s">
        <v>23</v>
      </c>
      <c r="M13503" t="s">
        <v>29175</v>
      </c>
      <c r="N13503" t="s">
        <v>2319</v>
      </c>
      <c r="O13503" t="s">
        <v>117</v>
      </c>
      <c r="P13503">
        <v>10312</v>
      </c>
      <c r="Q13503">
        <v>6608</v>
      </c>
      <c r="R13503" t="s">
        <v>23</v>
      </c>
      <c r="S13503" s="1" t="s">
        <v>34218</v>
      </c>
    </row>
    <row r="13504" spans="1:19" x14ac:dyDescent="0.25">
      <c r="A13504">
        <v>101433954</v>
      </c>
      <c r="B13504" t="s">
        <v>247</v>
      </c>
      <c r="C13504" t="s">
        <v>1773</v>
      </c>
      <c r="G13504" t="s">
        <v>29176</v>
      </c>
      <c r="H13504" t="s">
        <v>104</v>
      </c>
      <c r="I13504" t="s">
        <v>22</v>
      </c>
      <c r="J13504">
        <v>92064</v>
      </c>
      <c r="K13504">
        <v>4782</v>
      </c>
      <c r="L13504" t="s">
        <v>23</v>
      </c>
      <c r="M13504" t="s">
        <v>29176</v>
      </c>
      <c r="N13504" t="s">
        <v>104</v>
      </c>
      <c r="O13504" t="s">
        <v>22</v>
      </c>
      <c r="P13504">
        <v>92064</v>
      </c>
      <c r="Q13504">
        <v>4782</v>
      </c>
      <c r="R13504" t="s">
        <v>23</v>
      </c>
      <c r="S13504" s="1" t="s">
        <v>34218</v>
      </c>
    </row>
    <row r="13505" spans="1:19" x14ac:dyDescent="0.25">
      <c r="A13505">
        <v>100537782</v>
      </c>
      <c r="B13505" t="s">
        <v>29177</v>
      </c>
      <c r="C13505" t="s">
        <v>4188</v>
      </c>
      <c r="G13505" t="s">
        <v>29178</v>
      </c>
      <c r="H13505" t="s">
        <v>174</v>
      </c>
      <c r="I13505" t="s">
        <v>22</v>
      </c>
      <c r="J13505">
        <v>93101</v>
      </c>
      <c r="K13505">
        <v>4927</v>
      </c>
      <c r="L13505" t="s">
        <v>23</v>
      </c>
      <c r="M13505" t="s">
        <v>29178</v>
      </c>
      <c r="N13505" t="s">
        <v>174</v>
      </c>
      <c r="O13505" t="s">
        <v>22</v>
      </c>
      <c r="P13505">
        <v>93101</v>
      </c>
      <c r="Q13505">
        <v>4927</v>
      </c>
      <c r="R13505" t="s">
        <v>23</v>
      </c>
      <c r="S13505" s="1" t="s">
        <v>34218</v>
      </c>
    </row>
    <row r="13506" spans="1:19" x14ac:dyDescent="0.25">
      <c r="A13506">
        <v>101419254</v>
      </c>
      <c r="B13506" t="s">
        <v>29179</v>
      </c>
      <c r="C13506" t="s">
        <v>6375</v>
      </c>
      <c r="H13506" t="s">
        <v>29180</v>
      </c>
      <c r="I13506" t="s">
        <v>332</v>
      </c>
      <c r="J13506">
        <v>80417</v>
      </c>
      <c r="L13506" t="s">
        <v>23</v>
      </c>
      <c r="N13506" t="s">
        <v>29180</v>
      </c>
      <c r="O13506" t="s">
        <v>332</v>
      </c>
      <c r="P13506">
        <v>80417</v>
      </c>
      <c r="R13506" t="s">
        <v>23</v>
      </c>
      <c r="S13506" s="1" t="s">
        <v>34218</v>
      </c>
    </row>
    <row r="13507" spans="1:19" x14ac:dyDescent="0.25">
      <c r="A13507">
        <v>101321985</v>
      </c>
      <c r="B13507" t="s">
        <v>29181</v>
      </c>
      <c r="C13507" t="s">
        <v>1623</v>
      </c>
      <c r="G13507" t="s">
        <v>29182</v>
      </c>
      <c r="H13507" t="s">
        <v>88</v>
      </c>
      <c r="I13507" t="s">
        <v>22</v>
      </c>
      <c r="J13507">
        <v>94618</v>
      </c>
      <c r="K13507">
        <v>1217</v>
      </c>
      <c r="L13507" t="s">
        <v>23</v>
      </c>
      <c r="M13507" t="s">
        <v>29182</v>
      </c>
      <c r="N13507" t="s">
        <v>88</v>
      </c>
      <c r="O13507" t="s">
        <v>22</v>
      </c>
      <c r="P13507">
        <v>94618</v>
      </c>
      <c r="Q13507">
        <v>1217</v>
      </c>
      <c r="R13507" t="s">
        <v>23</v>
      </c>
      <c r="S13507" s="1" t="s">
        <v>34218</v>
      </c>
    </row>
    <row r="13508" spans="1:19" x14ac:dyDescent="0.25">
      <c r="A13508">
        <v>101453554</v>
      </c>
      <c r="B13508" t="s">
        <v>29183</v>
      </c>
      <c r="C13508" t="s">
        <v>1714</v>
      </c>
      <c r="G13508" t="s">
        <v>29184</v>
      </c>
      <c r="H13508" t="s">
        <v>9309</v>
      </c>
      <c r="I13508" t="s">
        <v>22</v>
      </c>
      <c r="J13508">
        <v>94551</v>
      </c>
      <c r="K13508">
        <v>7103</v>
      </c>
      <c r="L13508" t="s">
        <v>23</v>
      </c>
      <c r="M13508" t="s">
        <v>29184</v>
      </c>
      <c r="N13508" t="s">
        <v>9309</v>
      </c>
      <c r="O13508" t="s">
        <v>22</v>
      </c>
      <c r="P13508">
        <v>94551</v>
      </c>
      <c r="Q13508">
        <v>7103</v>
      </c>
      <c r="R13508" t="s">
        <v>23</v>
      </c>
      <c r="S13508" s="1" t="s">
        <v>34218</v>
      </c>
    </row>
    <row r="13509" spans="1:19" x14ac:dyDescent="0.25">
      <c r="A13509">
        <v>101349421</v>
      </c>
      <c r="B13509" t="s">
        <v>29185</v>
      </c>
      <c r="C13509" t="s">
        <v>247</v>
      </c>
      <c r="G13509" t="s">
        <v>29186</v>
      </c>
      <c r="H13509" t="s">
        <v>4481</v>
      </c>
      <c r="I13509" t="s">
        <v>22</v>
      </c>
      <c r="J13509">
        <v>94531</v>
      </c>
      <c r="K13509">
        <v>8546</v>
      </c>
      <c r="L13509" t="s">
        <v>23</v>
      </c>
      <c r="M13509" t="s">
        <v>29186</v>
      </c>
      <c r="N13509" t="s">
        <v>4481</v>
      </c>
      <c r="O13509" t="s">
        <v>22</v>
      </c>
      <c r="P13509">
        <v>94531</v>
      </c>
      <c r="Q13509">
        <v>8546</v>
      </c>
      <c r="R13509" t="s">
        <v>23</v>
      </c>
      <c r="S13509" s="1" t="s">
        <v>34218</v>
      </c>
    </row>
    <row r="13510" spans="1:19" x14ac:dyDescent="0.25">
      <c r="A13510">
        <v>100625898</v>
      </c>
      <c r="B13510" t="s">
        <v>1800</v>
      </c>
      <c r="C13510" t="s">
        <v>2758</v>
      </c>
      <c r="G13510" t="s">
        <v>29187</v>
      </c>
      <c r="H13510" t="s">
        <v>19782</v>
      </c>
      <c r="I13510" t="s">
        <v>22</v>
      </c>
      <c r="J13510">
        <v>90265</v>
      </c>
      <c r="K13510">
        <v>4838</v>
      </c>
      <c r="L13510" t="s">
        <v>23</v>
      </c>
      <c r="M13510" t="s">
        <v>29187</v>
      </c>
      <c r="N13510" t="s">
        <v>19782</v>
      </c>
      <c r="O13510" t="s">
        <v>22</v>
      </c>
      <c r="P13510">
        <v>90265</v>
      </c>
      <c r="Q13510">
        <v>4838</v>
      </c>
      <c r="R13510" t="s">
        <v>23</v>
      </c>
      <c r="S13510" s="1" t="s">
        <v>34218</v>
      </c>
    </row>
    <row r="13511" spans="1:19" x14ac:dyDescent="0.25">
      <c r="A13511">
        <v>100794742</v>
      </c>
      <c r="B13511" t="s">
        <v>29188</v>
      </c>
      <c r="C13511" t="s">
        <v>1598</v>
      </c>
      <c r="G13511" t="s">
        <v>29189</v>
      </c>
      <c r="H13511" t="s">
        <v>8215</v>
      </c>
      <c r="I13511" t="s">
        <v>22</v>
      </c>
      <c r="J13511">
        <v>92040</v>
      </c>
      <c r="K13511">
        <v>1573</v>
      </c>
      <c r="L13511" t="s">
        <v>23</v>
      </c>
      <c r="M13511" t="s">
        <v>29189</v>
      </c>
      <c r="N13511" t="s">
        <v>8215</v>
      </c>
      <c r="O13511" t="s">
        <v>22</v>
      </c>
      <c r="P13511">
        <v>92040</v>
      </c>
      <c r="Q13511">
        <v>1573</v>
      </c>
      <c r="R13511" t="s">
        <v>23</v>
      </c>
      <c r="S13511" s="1" t="s">
        <v>34218</v>
      </c>
    </row>
    <row r="13512" spans="1:19" x14ac:dyDescent="0.25">
      <c r="A13512">
        <v>100521003</v>
      </c>
      <c r="B13512" t="s">
        <v>29190</v>
      </c>
      <c r="C13512" t="s">
        <v>7022</v>
      </c>
      <c r="G13512" t="s">
        <v>29191</v>
      </c>
      <c r="H13512" t="s">
        <v>11303</v>
      </c>
      <c r="I13512" t="s">
        <v>33</v>
      </c>
      <c r="J13512">
        <v>18210</v>
      </c>
      <c r="K13512">
        <v>3618</v>
      </c>
      <c r="L13512" t="s">
        <v>23</v>
      </c>
      <c r="M13512" t="s">
        <v>29191</v>
      </c>
      <c r="N13512" t="s">
        <v>11303</v>
      </c>
      <c r="O13512" t="s">
        <v>33</v>
      </c>
      <c r="P13512">
        <v>18210</v>
      </c>
      <c r="Q13512">
        <v>3618</v>
      </c>
      <c r="R13512" t="s">
        <v>23</v>
      </c>
      <c r="S13512" s="1" t="s">
        <v>34218</v>
      </c>
    </row>
    <row r="13513" spans="1:19" x14ac:dyDescent="0.25">
      <c r="A13513">
        <v>101301341</v>
      </c>
      <c r="B13513" t="s">
        <v>13340</v>
      </c>
      <c r="C13513" t="s">
        <v>648</v>
      </c>
      <c r="G13513" t="s">
        <v>29192</v>
      </c>
      <c r="H13513" t="s">
        <v>3183</v>
      </c>
      <c r="I13513" t="s">
        <v>178</v>
      </c>
      <c r="J13513">
        <v>45469</v>
      </c>
      <c r="K13513">
        <v>1</v>
      </c>
      <c r="L13513" t="s">
        <v>23</v>
      </c>
      <c r="M13513" t="s">
        <v>29192</v>
      </c>
      <c r="N13513" t="s">
        <v>3183</v>
      </c>
      <c r="O13513" t="s">
        <v>178</v>
      </c>
      <c r="P13513">
        <v>45469</v>
      </c>
      <c r="Q13513">
        <v>1</v>
      </c>
      <c r="R13513" t="s">
        <v>23</v>
      </c>
      <c r="S13513" s="1" t="s">
        <v>34218</v>
      </c>
    </row>
    <row r="13514" spans="1:19" x14ac:dyDescent="0.25">
      <c r="A13514">
        <v>101296033</v>
      </c>
      <c r="B13514" t="s">
        <v>1581</v>
      </c>
      <c r="C13514" t="s">
        <v>29193</v>
      </c>
      <c r="G13514" t="s">
        <v>29194</v>
      </c>
      <c r="H13514" t="s">
        <v>1084</v>
      </c>
      <c r="I13514" t="s">
        <v>22</v>
      </c>
      <c r="J13514">
        <v>94044</v>
      </c>
      <c r="K13514">
        <v>3618</v>
      </c>
      <c r="L13514" t="s">
        <v>23</v>
      </c>
      <c r="M13514" t="s">
        <v>29194</v>
      </c>
      <c r="N13514" t="s">
        <v>1084</v>
      </c>
      <c r="O13514" t="s">
        <v>22</v>
      </c>
      <c r="P13514">
        <v>94044</v>
      </c>
      <c r="Q13514">
        <v>3618</v>
      </c>
      <c r="R13514" t="s">
        <v>23</v>
      </c>
      <c r="S13514" s="1" t="s">
        <v>34218</v>
      </c>
    </row>
    <row r="13515" spans="1:19" x14ac:dyDescent="0.25">
      <c r="A13515">
        <v>101470720</v>
      </c>
      <c r="B13515" t="s">
        <v>29195</v>
      </c>
      <c r="C13515" t="s">
        <v>1463</v>
      </c>
      <c r="G13515" t="s">
        <v>29196</v>
      </c>
      <c r="H13515" t="s">
        <v>2020</v>
      </c>
      <c r="I13515" t="s">
        <v>100</v>
      </c>
      <c r="J13515">
        <v>54915</v>
      </c>
      <c r="K13515">
        <v>1880</v>
      </c>
      <c r="L13515" t="s">
        <v>23</v>
      </c>
      <c r="M13515" t="s">
        <v>29196</v>
      </c>
      <c r="N13515" t="s">
        <v>2020</v>
      </c>
      <c r="O13515" t="s">
        <v>100</v>
      </c>
      <c r="P13515">
        <v>54915</v>
      </c>
      <c r="Q13515">
        <v>1880</v>
      </c>
      <c r="R13515" t="s">
        <v>23</v>
      </c>
      <c r="S13515" s="1" t="s">
        <v>34218</v>
      </c>
    </row>
    <row r="13516" spans="1:19" x14ac:dyDescent="0.25">
      <c r="A13516">
        <v>101429048</v>
      </c>
      <c r="B13516" t="s">
        <v>5505</v>
      </c>
      <c r="C13516" t="s">
        <v>731</v>
      </c>
      <c r="G13516" t="s">
        <v>29197</v>
      </c>
      <c r="H13516" t="s">
        <v>29198</v>
      </c>
      <c r="I13516" t="s">
        <v>140</v>
      </c>
      <c r="J13516">
        <v>48165</v>
      </c>
      <c r="K13516">
        <v>8909</v>
      </c>
      <c r="L13516" t="s">
        <v>23</v>
      </c>
      <c r="M13516" t="s">
        <v>29197</v>
      </c>
      <c r="N13516" t="s">
        <v>29198</v>
      </c>
      <c r="O13516" t="s">
        <v>140</v>
      </c>
      <c r="P13516">
        <v>48165</v>
      </c>
      <c r="Q13516">
        <v>8909</v>
      </c>
      <c r="R13516" t="s">
        <v>23</v>
      </c>
      <c r="S13516" s="1" t="s">
        <v>34218</v>
      </c>
    </row>
    <row r="13517" spans="1:19" x14ac:dyDescent="0.25">
      <c r="A13517">
        <v>100755022</v>
      </c>
      <c r="B13517" t="s">
        <v>29199</v>
      </c>
      <c r="C13517" t="s">
        <v>535</v>
      </c>
      <c r="G13517" t="s">
        <v>29200</v>
      </c>
      <c r="H13517" t="s">
        <v>3568</v>
      </c>
      <c r="I13517" t="s">
        <v>100</v>
      </c>
      <c r="J13517">
        <v>53095</v>
      </c>
      <c r="K13517">
        <v>3904</v>
      </c>
      <c r="L13517" t="s">
        <v>23</v>
      </c>
      <c r="M13517" t="s">
        <v>29200</v>
      </c>
      <c r="N13517" t="s">
        <v>3568</v>
      </c>
      <c r="O13517" t="s">
        <v>100</v>
      </c>
      <c r="P13517">
        <v>53095</v>
      </c>
      <c r="Q13517">
        <v>3904</v>
      </c>
      <c r="R13517" t="s">
        <v>23</v>
      </c>
      <c r="S13517" s="1" t="s">
        <v>34218</v>
      </c>
    </row>
    <row r="13518" spans="1:19" x14ac:dyDescent="0.25">
      <c r="A13518">
        <v>101456120</v>
      </c>
      <c r="B13518" t="s">
        <v>29201</v>
      </c>
      <c r="C13518" t="s">
        <v>158</v>
      </c>
      <c r="G13518" t="s">
        <v>29202</v>
      </c>
      <c r="H13518" t="s">
        <v>2438</v>
      </c>
      <c r="I13518" t="s">
        <v>117</v>
      </c>
      <c r="J13518">
        <v>11566</v>
      </c>
      <c r="K13518">
        <v>4834</v>
      </c>
      <c r="L13518" t="s">
        <v>23</v>
      </c>
      <c r="M13518" t="s">
        <v>29202</v>
      </c>
      <c r="N13518" t="s">
        <v>2438</v>
      </c>
      <c r="O13518" t="s">
        <v>117</v>
      </c>
      <c r="P13518">
        <v>11566</v>
      </c>
      <c r="Q13518">
        <v>4834</v>
      </c>
      <c r="R13518" t="s">
        <v>23</v>
      </c>
      <c r="S13518" s="1" t="s">
        <v>34218</v>
      </c>
    </row>
    <row r="13519" spans="1:19" x14ac:dyDescent="0.25">
      <c r="A13519">
        <v>100645732</v>
      </c>
      <c r="B13519" t="s">
        <v>1807</v>
      </c>
      <c r="C13519" t="s">
        <v>329</v>
      </c>
      <c r="G13519" t="s">
        <v>29203</v>
      </c>
      <c r="H13519" t="s">
        <v>2335</v>
      </c>
      <c r="I13519" t="s">
        <v>22</v>
      </c>
      <c r="J13519">
        <v>92618</v>
      </c>
      <c r="K13519">
        <v>3715</v>
      </c>
      <c r="L13519" t="s">
        <v>23</v>
      </c>
      <c r="M13519" t="s">
        <v>29203</v>
      </c>
      <c r="N13519" t="s">
        <v>2335</v>
      </c>
      <c r="O13519" t="s">
        <v>22</v>
      </c>
      <c r="P13519">
        <v>92618</v>
      </c>
      <c r="Q13519">
        <v>3715</v>
      </c>
      <c r="R13519" t="s">
        <v>23</v>
      </c>
      <c r="S13519" s="1" t="s">
        <v>34218</v>
      </c>
    </row>
    <row r="13520" spans="1:19" x14ac:dyDescent="0.25">
      <c r="A13520">
        <v>101435751</v>
      </c>
      <c r="B13520" t="s">
        <v>29204</v>
      </c>
      <c r="C13520" t="s">
        <v>29089</v>
      </c>
      <c r="G13520" t="s">
        <v>29205</v>
      </c>
      <c r="H13520" t="s">
        <v>2969</v>
      </c>
      <c r="I13520" t="s">
        <v>117</v>
      </c>
      <c r="J13520">
        <v>13027</v>
      </c>
      <c r="K13520">
        <v>9046</v>
      </c>
      <c r="L13520" t="s">
        <v>23</v>
      </c>
      <c r="M13520" t="s">
        <v>29205</v>
      </c>
      <c r="N13520" t="s">
        <v>2969</v>
      </c>
      <c r="O13520" t="s">
        <v>117</v>
      </c>
      <c r="P13520">
        <v>13027</v>
      </c>
      <c r="Q13520">
        <v>9046</v>
      </c>
      <c r="R13520" t="s">
        <v>23</v>
      </c>
      <c r="S13520" s="1" t="s">
        <v>34218</v>
      </c>
    </row>
    <row r="13521" spans="1:19" x14ac:dyDescent="0.25">
      <c r="A13521">
        <v>101112853</v>
      </c>
      <c r="B13521" t="s">
        <v>29206</v>
      </c>
      <c r="C13521" t="s">
        <v>29207</v>
      </c>
      <c r="G13521" t="s">
        <v>29208</v>
      </c>
      <c r="H13521" t="s">
        <v>29209</v>
      </c>
      <c r="I13521" t="s">
        <v>22</v>
      </c>
      <c r="J13521">
        <v>94528</v>
      </c>
      <c r="L13521" t="s">
        <v>23</v>
      </c>
      <c r="M13521" t="s">
        <v>29208</v>
      </c>
      <c r="N13521" t="s">
        <v>29209</v>
      </c>
      <c r="O13521" t="s">
        <v>22</v>
      </c>
      <c r="P13521">
        <v>94528</v>
      </c>
      <c r="R13521" t="s">
        <v>23</v>
      </c>
      <c r="S13521" s="1" t="s">
        <v>34218</v>
      </c>
    </row>
    <row r="13522" spans="1:19" x14ac:dyDescent="0.25">
      <c r="A13522">
        <v>101421700</v>
      </c>
      <c r="B13522" t="s">
        <v>3625</v>
      </c>
      <c r="C13522" t="s">
        <v>2653</v>
      </c>
      <c r="G13522" t="s">
        <v>29210</v>
      </c>
      <c r="H13522" t="s">
        <v>4932</v>
      </c>
      <c r="I13522" t="s">
        <v>135</v>
      </c>
      <c r="J13522">
        <v>61920</v>
      </c>
      <c r="K13522">
        <v>9018</v>
      </c>
      <c r="L13522" t="s">
        <v>23</v>
      </c>
      <c r="M13522" t="s">
        <v>29210</v>
      </c>
      <c r="N13522" t="s">
        <v>4932</v>
      </c>
      <c r="O13522" t="s">
        <v>135</v>
      </c>
      <c r="P13522">
        <v>61920</v>
      </c>
      <c r="Q13522">
        <v>9018</v>
      </c>
      <c r="R13522" t="s">
        <v>23</v>
      </c>
      <c r="S13522" s="1" t="s">
        <v>34218</v>
      </c>
    </row>
    <row r="13523" spans="1:19" x14ac:dyDescent="0.25">
      <c r="A13523">
        <v>101440258</v>
      </c>
      <c r="B13523" t="s">
        <v>7818</v>
      </c>
      <c r="C13523" t="s">
        <v>172</v>
      </c>
      <c r="G13523" t="s">
        <v>29211</v>
      </c>
      <c r="H13523" t="s">
        <v>5700</v>
      </c>
      <c r="I13523" t="s">
        <v>28</v>
      </c>
      <c r="J13523">
        <v>30188</v>
      </c>
      <c r="K13523">
        <v>1786</v>
      </c>
      <c r="L13523" t="s">
        <v>23</v>
      </c>
      <c r="M13523" t="s">
        <v>29211</v>
      </c>
      <c r="N13523" t="s">
        <v>5700</v>
      </c>
      <c r="O13523" t="s">
        <v>28</v>
      </c>
      <c r="P13523">
        <v>30188</v>
      </c>
      <c r="Q13523">
        <v>1786</v>
      </c>
      <c r="R13523" t="s">
        <v>23</v>
      </c>
      <c r="S13523" s="1" t="s">
        <v>34218</v>
      </c>
    </row>
    <row r="13524" spans="1:19" x14ac:dyDescent="0.25">
      <c r="A13524">
        <v>101480766</v>
      </c>
      <c r="B13524" t="s">
        <v>29212</v>
      </c>
      <c r="C13524" t="s">
        <v>11232</v>
      </c>
      <c r="G13524" t="s">
        <v>29213</v>
      </c>
      <c r="H13524" t="s">
        <v>29214</v>
      </c>
      <c r="I13524" t="s">
        <v>117</v>
      </c>
      <c r="J13524">
        <v>10526</v>
      </c>
      <c r="K13524">
        <v>1130</v>
      </c>
      <c r="L13524" t="s">
        <v>23</v>
      </c>
      <c r="M13524" t="s">
        <v>29213</v>
      </c>
      <c r="N13524" t="s">
        <v>29214</v>
      </c>
      <c r="O13524" t="s">
        <v>117</v>
      </c>
      <c r="P13524">
        <v>10526</v>
      </c>
      <c r="Q13524">
        <v>1130</v>
      </c>
      <c r="R13524" t="s">
        <v>23</v>
      </c>
      <c r="S13524" s="1" t="s">
        <v>34218</v>
      </c>
    </row>
    <row r="13525" spans="1:19" x14ac:dyDescent="0.25">
      <c r="A13525">
        <v>101480769</v>
      </c>
      <c r="B13525" t="s">
        <v>289</v>
      </c>
      <c r="C13525" t="s">
        <v>6169</v>
      </c>
      <c r="G13525" t="s">
        <v>29215</v>
      </c>
      <c r="H13525" t="s">
        <v>299</v>
      </c>
      <c r="I13525" t="s">
        <v>22</v>
      </c>
      <c r="J13525">
        <v>90065</v>
      </c>
      <c r="K13525">
        <v>3321</v>
      </c>
      <c r="L13525" t="s">
        <v>23</v>
      </c>
      <c r="M13525" t="s">
        <v>29215</v>
      </c>
      <c r="N13525" t="s">
        <v>299</v>
      </c>
      <c r="O13525" t="s">
        <v>22</v>
      </c>
      <c r="P13525">
        <v>90065</v>
      </c>
      <c r="Q13525">
        <v>3321</v>
      </c>
      <c r="R13525" t="s">
        <v>23</v>
      </c>
      <c r="S13525" s="1" t="s">
        <v>34218</v>
      </c>
    </row>
    <row r="13526" spans="1:19" x14ac:dyDescent="0.25">
      <c r="A13526">
        <v>101475504</v>
      </c>
      <c r="B13526" t="s">
        <v>3857</v>
      </c>
      <c r="C13526" t="s">
        <v>123</v>
      </c>
      <c r="G13526" t="s">
        <v>29216</v>
      </c>
      <c r="H13526" t="s">
        <v>11274</v>
      </c>
      <c r="I13526" t="s">
        <v>255</v>
      </c>
      <c r="J13526">
        <v>20186</v>
      </c>
      <c r="K13526">
        <v>3253</v>
      </c>
      <c r="L13526" t="s">
        <v>23</v>
      </c>
      <c r="M13526" t="s">
        <v>29216</v>
      </c>
      <c r="N13526" t="s">
        <v>11274</v>
      </c>
      <c r="O13526" t="s">
        <v>255</v>
      </c>
      <c r="P13526">
        <v>20186</v>
      </c>
      <c r="Q13526">
        <v>3253</v>
      </c>
      <c r="R13526" t="s">
        <v>23</v>
      </c>
      <c r="S13526" s="1" t="s">
        <v>34218</v>
      </c>
    </row>
    <row r="13527" spans="1:19" x14ac:dyDescent="0.25">
      <c r="A13527">
        <v>101480776</v>
      </c>
      <c r="B13527" t="s">
        <v>3011</v>
      </c>
      <c r="C13527" t="s">
        <v>199</v>
      </c>
      <c r="G13527" t="s">
        <v>29217</v>
      </c>
      <c r="H13527" t="s">
        <v>1402</v>
      </c>
      <c r="I13527" t="s">
        <v>38</v>
      </c>
      <c r="J13527">
        <v>77007</v>
      </c>
      <c r="K13527">
        <v>3049</v>
      </c>
      <c r="L13527" t="s">
        <v>23</v>
      </c>
      <c r="M13527" t="s">
        <v>29217</v>
      </c>
      <c r="N13527" t="s">
        <v>1402</v>
      </c>
      <c r="O13527" t="s">
        <v>38</v>
      </c>
      <c r="P13527">
        <v>77007</v>
      </c>
      <c r="Q13527">
        <v>3049</v>
      </c>
      <c r="R13527" t="s">
        <v>23</v>
      </c>
      <c r="S13527" s="1" t="s">
        <v>34218</v>
      </c>
    </row>
    <row r="13528" spans="1:19" x14ac:dyDescent="0.25">
      <c r="A13528">
        <v>101473641</v>
      </c>
      <c r="B13528" t="s">
        <v>29218</v>
      </c>
      <c r="C13528" t="s">
        <v>382</v>
      </c>
      <c r="G13528" t="s">
        <v>29219</v>
      </c>
      <c r="H13528" t="s">
        <v>207</v>
      </c>
      <c r="I13528" t="s">
        <v>22</v>
      </c>
      <c r="J13528">
        <v>93720</v>
      </c>
      <c r="K13528">
        <v>4049</v>
      </c>
      <c r="L13528" t="s">
        <v>23</v>
      </c>
      <c r="M13528" t="s">
        <v>29219</v>
      </c>
      <c r="N13528" t="s">
        <v>207</v>
      </c>
      <c r="O13528" t="s">
        <v>22</v>
      </c>
      <c r="P13528">
        <v>93720</v>
      </c>
      <c r="Q13528">
        <v>4049</v>
      </c>
      <c r="R13528" t="s">
        <v>23</v>
      </c>
      <c r="S13528" s="1" t="s">
        <v>34218</v>
      </c>
    </row>
    <row r="13529" spans="1:19" x14ac:dyDescent="0.25">
      <c r="A13529">
        <v>101336224</v>
      </c>
      <c r="B13529" t="s">
        <v>199</v>
      </c>
      <c r="C13529" t="s">
        <v>1398</v>
      </c>
      <c r="G13529" t="s">
        <v>29220</v>
      </c>
      <c r="H13529" t="s">
        <v>2250</v>
      </c>
      <c r="I13529" t="s">
        <v>148</v>
      </c>
      <c r="J13529">
        <v>21401</v>
      </c>
      <c r="K13529">
        <v>2265</v>
      </c>
      <c r="L13529" t="s">
        <v>23</v>
      </c>
      <c r="M13529" t="s">
        <v>29220</v>
      </c>
      <c r="N13529" t="s">
        <v>2250</v>
      </c>
      <c r="O13529" t="s">
        <v>148</v>
      </c>
      <c r="P13529">
        <v>21401</v>
      </c>
      <c r="Q13529">
        <v>2265</v>
      </c>
      <c r="R13529" t="s">
        <v>23</v>
      </c>
      <c r="S13529" s="1" t="s">
        <v>34218</v>
      </c>
    </row>
    <row r="13530" spans="1:19" x14ac:dyDescent="0.25">
      <c r="A13530">
        <v>101284943</v>
      </c>
      <c r="B13530" t="s">
        <v>27343</v>
      </c>
      <c r="C13530" t="s">
        <v>29221</v>
      </c>
      <c r="G13530" t="s">
        <v>29222</v>
      </c>
      <c r="H13530" t="s">
        <v>16912</v>
      </c>
      <c r="I13530" t="s">
        <v>43</v>
      </c>
      <c r="J13530">
        <v>97068</v>
      </c>
      <c r="K13530">
        <v>4124</v>
      </c>
      <c r="L13530" t="s">
        <v>23</v>
      </c>
      <c r="M13530" t="s">
        <v>29222</v>
      </c>
      <c r="N13530" t="s">
        <v>16912</v>
      </c>
      <c r="O13530" t="s">
        <v>43</v>
      </c>
      <c r="P13530">
        <v>97068</v>
      </c>
      <c r="Q13530">
        <v>4124</v>
      </c>
      <c r="R13530" t="s">
        <v>23</v>
      </c>
      <c r="S13530" s="1" t="s">
        <v>34218</v>
      </c>
    </row>
    <row r="13531" spans="1:19" x14ac:dyDescent="0.25">
      <c r="A13531">
        <v>101474036</v>
      </c>
      <c r="B13531" t="s">
        <v>17022</v>
      </c>
      <c r="C13531" t="s">
        <v>644</v>
      </c>
      <c r="G13531" t="s">
        <v>17023</v>
      </c>
      <c r="H13531" t="s">
        <v>11229</v>
      </c>
      <c r="I13531" t="s">
        <v>236</v>
      </c>
      <c r="J13531">
        <v>2356</v>
      </c>
      <c r="K13531">
        <v>1307</v>
      </c>
      <c r="L13531" t="s">
        <v>23</v>
      </c>
      <c r="M13531" t="s">
        <v>17023</v>
      </c>
      <c r="N13531" t="s">
        <v>11229</v>
      </c>
      <c r="O13531" t="s">
        <v>236</v>
      </c>
      <c r="P13531">
        <v>2356</v>
      </c>
      <c r="Q13531">
        <v>1307</v>
      </c>
      <c r="R13531" t="s">
        <v>23</v>
      </c>
      <c r="S13531" s="1" t="s">
        <v>34218</v>
      </c>
    </row>
    <row r="13532" spans="1:19" x14ac:dyDescent="0.25">
      <c r="A13532">
        <v>101418842</v>
      </c>
      <c r="B13532" t="s">
        <v>29223</v>
      </c>
      <c r="C13532" t="s">
        <v>2653</v>
      </c>
      <c r="G13532" t="s">
        <v>29224</v>
      </c>
      <c r="H13532" t="s">
        <v>29225</v>
      </c>
      <c r="I13532" t="s">
        <v>43</v>
      </c>
      <c r="J13532">
        <v>3000</v>
      </c>
      <c r="L13532" t="s">
        <v>23</v>
      </c>
      <c r="M13532" t="s">
        <v>29224</v>
      </c>
      <c r="N13532" t="s">
        <v>29225</v>
      </c>
      <c r="O13532" t="s">
        <v>43</v>
      </c>
      <c r="P13532">
        <v>3000</v>
      </c>
      <c r="R13532" t="s">
        <v>23</v>
      </c>
      <c r="S13532" s="1" t="s">
        <v>34218</v>
      </c>
    </row>
    <row r="13533" spans="1:19" x14ac:dyDescent="0.25">
      <c r="A13533">
        <v>101450382</v>
      </c>
      <c r="B13533" t="s">
        <v>3974</v>
      </c>
      <c r="C13533" t="s">
        <v>644</v>
      </c>
      <c r="G13533" t="s">
        <v>29226</v>
      </c>
      <c r="H13533" t="s">
        <v>1863</v>
      </c>
      <c r="I13533" t="s">
        <v>126</v>
      </c>
      <c r="J13533">
        <v>64137</v>
      </c>
      <c r="K13533">
        <v>2312</v>
      </c>
      <c r="L13533" t="s">
        <v>23</v>
      </c>
      <c r="M13533" t="s">
        <v>29226</v>
      </c>
      <c r="N13533" t="s">
        <v>1863</v>
      </c>
      <c r="O13533" t="s">
        <v>126</v>
      </c>
      <c r="P13533">
        <v>64137</v>
      </c>
      <c r="Q13533">
        <v>2312</v>
      </c>
      <c r="R13533" t="s">
        <v>23</v>
      </c>
      <c r="S13533" s="1" t="s">
        <v>34218</v>
      </c>
    </row>
    <row r="13534" spans="1:19" x14ac:dyDescent="0.25">
      <c r="A13534">
        <v>101480793</v>
      </c>
      <c r="B13534" t="s">
        <v>205</v>
      </c>
      <c r="C13534" t="s">
        <v>16338</v>
      </c>
      <c r="G13534" t="s">
        <v>29227</v>
      </c>
      <c r="H13534" t="s">
        <v>12392</v>
      </c>
      <c r="I13534" t="s">
        <v>22</v>
      </c>
      <c r="J13534">
        <v>94019</v>
      </c>
      <c r="K13534">
        <v>2128</v>
      </c>
      <c r="L13534" t="s">
        <v>23</v>
      </c>
      <c r="M13534" t="s">
        <v>29227</v>
      </c>
      <c r="N13534" t="s">
        <v>12392</v>
      </c>
      <c r="O13534" t="s">
        <v>22</v>
      </c>
      <c r="P13534">
        <v>94019</v>
      </c>
      <c r="Q13534">
        <v>2128</v>
      </c>
      <c r="R13534" t="s">
        <v>23</v>
      </c>
      <c r="S13534" s="1" t="s">
        <v>34218</v>
      </c>
    </row>
    <row r="13535" spans="1:19" x14ac:dyDescent="0.25">
      <c r="A13535">
        <v>101480185</v>
      </c>
      <c r="B13535" t="s">
        <v>29228</v>
      </c>
      <c r="C13535" t="s">
        <v>29229</v>
      </c>
      <c r="G13535" t="s">
        <v>13195</v>
      </c>
      <c r="H13535" t="s">
        <v>29135</v>
      </c>
      <c r="I13535" t="s">
        <v>307</v>
      </c>
      <c r="J13535">
        <v>5255</v>
      </c>
      <c r="K13535">
        <v>725</v>
      </c>
      <c r="L13535" t="s">
        <v>23</v>
      </c>
      <c r="M13535" t="s">
        <v>13195</v>
      </c>
      <c r="N13535" t="s">
        <v>29135</v>
      </c>
      <c r="O13535" t="s">
        <v>307</v>
      </c>
      <c r="P13535">
        <v>5255</v>
      </c>
      <c r="Q13535">
        <v>725</v>
      </c>
      <c r="R13535" t="s">
        <v>23</v>
      </c>
      <c r="S13535" s="1" t="s">
        <v>34218</v>
      </c>
    </row>
    <row r="13536" spans="1:19" x14ac:dyDescent="0.25">
      <c r="A13536">
        <v>101480797</v>
      </c>
      <c r="B13536" t="s">
        <v>29230</v>
      </c>
      <c r="C13536" t="s">
        <v>9199</v>
      </c>
      <c r="G13536" t="s">
        <v>29231</v>
      </c>
      <c r="H13536" t="s">
        <v>29232</v>
      </c>
      <c r="I13536" t="s">
        <v>126</v>
      </c>
      <c r="J13536">
        <v>63021</v>
      </c>
      <c r="K13536">
        <v>4640</v>
      </c>
      <c r="L13536" t="s">
        <v>23</v>
      </c>
      <c r="M13536" t="s">
        <v>29231</v>
      </c>
      <c r="N13536" t="s">
        <v>29232</v>
      </c>
      <c r="O13536" t="s">
        <v>126</v>
      </c>
      <c r="P13536">
        <v>63021</v>
      </c>
      <c r="Q13536">
        <v>4640</v>
      </c>
      <c r="R13536" t="s">
        <v>23</v>
      </c>
      <c r="S13536" s="1" t="s">
        <v>34218</v>
      </c>
    </row>
    <row r="13537" spans="1:19" x14ac:dyDescent="0.25">
      <c r="A13537">
        <v>100675164</v>
      </c>
      <c r="B13537" t="s">
        <v>29233</v>
      </c>
      <c r="C13537" t="s">
        <v>49</v>
      </c>
      <c r="G13537" t="s">
        <v>29234</v>
      </c>
      <c r="H13537" t="s">
        <v>3473</v>
      </c>
      <c r="I13537" t="s">
        <v>161</v>
      </c>
      <c r="J13537">
        <v>6040</v>
      </c>
      <c r="K13537">
        <v>4530</v>
      </c>
      <c r="L13537" t="s">
        <v>23</v>
      </c>
      <c r="M13537" t="s">
        <v>29234</v>
      </c>
      <c r="N13537" t="s">
        <v>3473</v>
      </c>
      <c r="O13537" t="s">
        <v>161</v>
      </c>
      <c r="P13537">
        <v>6040</v>
      </c>
      <c r="Q13537">
        <v>4530</v>
      </c>
      <c r="R13537" t="s">
        <v>23</v>
      </c>
      <c r="S13537" s="1" t="s">
        <v>34218</v>
      </c>
    </row>
    <row r="13538" spans="1:19" x14ac:dyDescent="0.25">
      <c r="A13538">
        <v>100829817</v>
      </c>
      <c r="B13538" t="s">
        <v>29235</v>
      </c>
      <c r="C13538" t="s">
        <v>4969</v>
      </c>
      <c r="G13538" t="s">
        <v>29236</v>
      </c>
      <c r="H13538" t="s">
        <v>134</v>
      </c>
      <c r="I13538" t="s">
        <v>135</v>
      </c>
      <c r="J13538">
        <v>60605</v>
      </c>
      <c r="K13538">
        <v>2000</v>
      </c>
      <c r="L13538" t="s">
        <v>23</v>
      </c>
      <c r="M13538" t="s">
        <v>29236</v>
      </c>
      <c r="N13538" t="s">
        <v>134</v>
      </c>
      <c r="O13538" t="s">
        <v>135</v>
      </c>
      <c r="P13538">
        <v>60605</v>
      </c>
      <c r="Q13538">
        <v>2000</v>
      </c>
      <c r="R13538" t="s">
        <v>23</v>
      </c>
      <c r="S13538" s="1" t="s">
        <v>34218</v>
      </c>
    </row>
    <row r="13539" spans="1:19" x14ac:dyDescent="0.25">
      <c r="A13539">
        <v>101466558</v>
      </c>
      <c r="B13539" t="s">
        <v>93</v>
      </c>
      <c r="C13539" t="s">
        <v>399</v>
      </c>
      <c r="G13539" t="s">
        <v>29237</v>
      </c>
      <c r="H13539" t="s">
        <v>29238</v>
      </c>
      <c r="I13539" t="s">
        <v>33</v>
      </c>
      <c r="J13539">
        <v>18076</v>
      </c>
      <c r="K13539">
        <v>1305</v>
      </c>
      <c r="L13539" t="s">
        <v>23</v>
      </c>
      <c r="M13539" t="s">
        <v>29237</v>
      </c>
      <c r="N13539" t="s">
        <v>29238</v>
      </c>
      <c r="O13539" t="s">
        <v>33</v>
      </c>
      <c r="P13539">
        <v>18076</v>
      </c>
      <c r="Q13539">
        <v>1305</v>
      </c>
      <c r="R13539" t="s">
        <v>23</v>
      </c>
      <c r="S13539" s="1" t="s">
        <v>34218</v>
      </c>
    </row>
    <row r="13540" spans="1:19" x14ac:dyDescent="0.25">
      <c r="A13540">
        <v>101480807</v>
      </c>
      <c r="B13540" t="s">
        <v>29239</v>
      </c>
      <c r="C13540" t="s">
        <v>29240</v>
      </c>
      <c r="G13540" t="s">
        <v>29241</v>
      </c>
      <c r="H13540" t="s">
        <v>6685</v>
      </c>
      <c r="I13540" t="s">
        <v>250</v>
      </c>
      <c r="J13540">
        <v>7083</v>
      </c>
      <c r="K13540">
        <v>5266</v>
      </c>
      <c r="L13540" t="s">
        <v>23</v>
      </c>
      <c r="M13540" t="s">
        <v>29241</v>
      </c>
      <c r="N13540" t="s">
        <v>6685</v>
      </c>
      <c r="O13540" t="s">
        <v>250</v>
      </c>
      <c r="P13540">
        <v>7083</v>
      </c>
      <c r="Q13540">
        <v>5266</v>
      </c>
      <c r="R13540" t="s">
        <v>23</v>
      </c>
      <c r="S13540" s="1" t="s">
        <v>34218</v>
      </c>
    </row>
    <row r="13541" spans="1:19" x14ac:dyDescent="0.25">
      <c r="A13541">
        <v>101229927</v>
      </c>
      <c r="B13541" t="s">
        <v>29242</v>
      </c>
      <c r="C13541" t="s">
        <v>1241</v>
      </c>
      <c r="G13541" t="s">
        <v>29243</v>
      </c>
      <c r="H13541" t="s">
        <v>7838</v>
      </c>
      <c r="I13541" t="s">
        <v>7839</v>
      </c>
      <c r="J13541">
        <v>58102</v>
      </c>
      <c r="K13541">
        <v>1451</v>
      </c>
      <c r="L13541" t="s">
        <v>23</v>
      </c>
      <c r="M13541" t="s">
        <v>29243</v>
      </c>
      <c r="N13541" t="s">
        <v>7838</v>
      </c>
      <c r="O13541" t="s">
        <v>7839</v>
      </c>
      <c r="P13541">
        <v>58102</v>
      </c>
      <c r="Q13541">
        <v>1451</v>
      </c>
      <c r="R13541" t="s">
        <v>23</v>
      </c>
      <c r="S13541" s="1" t="s">
        <v>34218</v>
      </c>
    </row>
    <row r="13542" spans="1:19" x14ac:dyDescent="0.25">
      <c r="A13542">
        <v>101473602</v>
      </c>
      <c r="B13542" t="s">
        <v>9522</v>
      </c>
      <c r="C13542" t="s">
        <v>3453</v>
      </c>
      <c r="G13542" t="s">
        <v>29244</v>
      </c>
      <c r="H13542" t="s">
        <v>1531</v>
      </c>
      <c r="I13542" t="s">
        <v>84</v>
      </c>
      <c r="J13542">
        <v>98122</v>
      </c>
      <c r="K13542">
        <v>3854</v>
      </c>
      <c r="L13542" t="s">
        <v>23</v>
      </c>
      <c r="M13542" t="s">
        <v>29244</v>
      </c>
      <c r="N13542" t="s">
        <v>1531</v>
      </c>
      <c r="O13542" t="s">
        <v>84</v>
      </c>
      <c r="P13542">
        <v>98122</v>
      </c>
      <c r="Q13542">
        <v>3854</v>
      </c>
      <c r="R13542" t="s">
        <v>23</v>
      </c>
      <c r="S13542" s="1" t="s">
        <v>34218</v>
      </c>
    </row>
    <row r="13543" spans="1:19" x14ac:dyDescent="0.25">
      <c r="A13543">
        <v>100618530</v>
      </c>
      <c r="B13543" t="s">
        <v>29245</v>
      </c>
      <c r="C13543" t="s">
        <v>208</v>
      </c>
      <c r="G13543" t="s">
        <v>29246</v>
      </c>
      <c r="H13543" t="s">
        <v>29247</v>
      </c>
      <c r="I13543" t="s">
        <v>52</v>
      </c>
      <c r="J13543">
        <v>34429</v>
      </c>
      <c r="K13543">
        <v>5388</v>
      </c>
      <c r="L13543" t="s">
        <v>23</v>
      </c>
      <c r="M13543" t="s">
        <v>29246</v>
      </c>
      <c r="N13543" t="s">
        <v>29247</v>
      </c>
      <c r="O13543" t="s">
        <v>52</v>
      </c>
      <c r="P13543">
        <v>34429</v>
      </c>
      <c r="Q13543">
        <v>5388</v>
      </c>
      <c r="R13543" t="s">
        <v>23</v>
      </c>
      <c r="S13543" s="1" t="s">
        <v>34218</v>
      </c>
    </row>
    <row r="13544" spans="1:19" x14ac:dyDescent="0.25">
      <c r="A13544">
        <v>101308239</v>
      </c>
      <c r="B13544" t="s">
        <v>3240</v>
      </c>
      <c r="C13544" t="s">
        <v>29248</v>
      </c>
      <c r="G13544" t="s">
        <v>29249</v>
      </c>
      <c r="H13544" t="s">
        <v>3984</v>
      </c>
      <c r="I13544" t="s">
        <v>22</v>
      </c>
      <c r="J13544">
        <v>94507</v>
      </c>
      <c r="K13544">
        <v>1813</v>
      </c>
      <c r="L13544" t="s">
        <v>23</v>
      </c>
      <c r="M13544" t="s">
        <v>29249</v>
      </c>
      <c r="N13544" t="s">
        <v>3984</v>
      </c>
      <c r="O13544" t="s">
        <v>22</v>
      </c>
      <c r="P13544">
        <v>94507</v>
      </c>
      <c r="Q13544">
        <v>1813</v>
      </c>
      <c r="R13544" t="s">
        <v>23</v>
      </c>
      <c r="S13544" s="1" t="s">
        <v>34218</v>
      </c>
    </row>
    <row r="13545" spans="1:19" x14ac:dyDescent="0.25">
      <c r="A13545">
        <v>101385179</v>
      </c>
      <c r="B13545" t="s">
        <v>276</v>
      </c>
      <c r="C13545" t="s">
        <v>29250</v>
      </c>
      <c r="G13545" t="s">
        <v>29251</v>
      </c>
      <c r="H13545" t="s">
        <v>202</v>
      </c>
      <c r="I13545" t="s">
        <v>117</v>
      </c>
      <c r="J13545">
        <v>14208</v>
      </c>
      <c r="K13545">
        <v>1237</v>
      </c>
      <c r="L13545" t="s">
        <v>23</v>
      </c>
      <c r="M13545" t="s">
        <v>29251</v>
      </c>
      <c r="N13545" t="s">
        <v>202</v>
      </c>
      <c r="O13545" t="s">
        <v>117</v>
      </c>
      <c r="P13545">
        <v>14208</v>
      </c>
      <c r="Q13545">
        <v>1237</v>
      </c>
      <c r="R13545" t="s">
        <v>23</v>
      </c>
      <c r="S13545" s="1" t="s">
        <v>34218</v>
      </c>
    </row>
    <row r="13546" spans="1:19" x14ac:dyDescent="0.25">
      <c r="A13546">
        <v>101480825</v>
      </c>
      <c r="B13546" t="s">
        <v>4949</v>
      </c>
      <c r="C13546" t="s">
        <v>3609</v>
      </c>
      <c r="G13546" t="s">
        <v>29252</v>
      </c>
      <c r="H13546" t="s">
        <v>17261</v>
      </c>
      <c r="I13546" t="s">
        <v>100</v>
      </c>
      <c r="J13546">
        <v>54449</v>
      </c>
      <c r="L13546" t="s">
        <v>23</v>
      </c>
      <c r="M13546" t="s">
        <v>29252</v>
      </c>
      <c r="N13546" t="s">
        <v>17261</v>
      </c>
      <c r="O13546" t="s">
        <v>100</v>
      </c>
      <c r="P13546">
        <v>54449</v>
      </c>
      <c r="R13546" t="s">
        <v>23</v>
      </c>
      <c r="S13546" s="1" t="s">
        <v>34218</v>
      </c>
    </row>
    <row r="13547" spans="1:19" x14ac:dyDescent="0.25">
      <c r="A13547">
        <v>100972704</v>
      </c>
      <c r="B13547" t="s">
        <v>29253</v>
      </c>
      <c r="C13547" t="s">
        <v>2127</v>
      </c>
      <c r="G13547" t="s">
        <v>29254</v>
      </c>
      <c r="H13547" t="s">
        <v>389</v>
      </c>
      <c r="I13547" t="s">
        <v>100</v>
      </c>
      <c r="J13547">
        <v>53211</v>
      </c>
      <c r="K13547">
        <v>3305</v>
      </c>
      <c r="L13547" t="s">
        <v>23</v>
      </c>
      <c r="M13547" t="s">
        <v>29254</v>
      </c>
      <c r="N13547" t="s">
        <v>389</v>
      </c>
      <c r="O13547" t="s">
        <v>100</v>
      </c>
      <c r="P13547">
        <v>53211</v>
      </c>
      <c r="Q13547">
        <v>3305</v>
      </c>
      <c r="R13547" t="s">
        <v>23</v>
      </c>
      <c r="S13547" s="1" t="s">
        <v>34218</v>
      </c>
    </row>
    <row r="13548" spans="1:19" x14ac:dyDescent="0.25">
      <c r="A13548">
        <v>101299893</v>
      </c>
      <c r="B13548" t="s">
        <v>29255</v>
      </c>
      <c r="C13548" t="s">
        <v>68</v>
      </c>
      <c r="G13548" t="s">
        <v>29256</v>
      </c>
      <c r="H13548" t="s">
        <v>434</v>
      </c>
      <c r="I13548" t="s">
        <v>22</v>
      </c>
      <c r="J13548">
        <v>92651</v>
      </c>
      <c r="K13548">
        <v>3031</v>
      </c>
      <c r="L13548" t="s">
        <v>23</v>
      </c>
      <c r="M13548" t="s">
        <v>29256</v>
      </c>
      <c r="N13548" t="s">
        <v>434</v>
      </c>
      <c r="O13548" t="s">
        <v>22</v>
      </c>
      <c r="P13548">
        <v>92651</v>
      </c>
      <c r="Q13548">
        <v>3031</v>
      </c>
      <c r="R13548" t="s">
        <v>23</v>
      </c>
      <c r="S13548" s="1" t="s">
        <v>34218</v>
      </c>
    </row>
    <row r="13549" spans="1:19" x14ac:dyDescent="0.25">
      <c r="A13549">
        <v>101288891</v>
      </c>
      <c r="B13549" t="s">
        <v>18138</v>
      </c>
      <c r="C13549" t="s">
        <v>1859</v>
      </c>
      <c r="G13549" t="s">
        <v>29257</v>
      </c>
      <c r="H13549" t="s">
        <v>3214</v>
      </c>
      <c r="I13549" t="s">
        <v>22</v>
      </c>
      <c r="J13549">
        <v>91360</v>
      </c>
      <c r="K13549">
        <v>1128</v>
      </c>
      <c r="L13549" t="s">
        <v>23</v>
      </c>
      <c r="M13549" t="s">
        <v>29257</v>
      </c>
      <c r="N13549" t="s">
        <v>3214</v>
      </c>
      <c r="O13549" t="s">
        <v>22</v>
      </c>
      <c r="P13549">
        <v>91360</v>
      </c>
      <c r="Q13549">
        <v>1128</v>
      </c>
      <c r="R13549" t="s">
        <v>23</v>
      </c>
      <c r="S13549" s="1" t="s">
        <v>34218</v>
      </c>
    </row>
    <row r="13550" spans="1:19" x14ac:dyDescent="0.25">
      <c r="A13550">
        <v>101465107</v>
      </c>
      <c r="B13550" t="s">
        <v>29258</v>
      </c>
      <c r="C13550" t="s">
        <v>1069</v>
      </c>
      <c r="G13550" t="s">
        <v>29259</v>
      </c>
      <c r="H13550" t="s">
        <v>29260</v>
      </c>
      <c r="I13550" t="s">
        <v>241</v>
      </c>
      <c r="J13550">
        <v>66048</v>
      </c>
      <c r="L13550" t="s">
        <v>23</v>
      </c>
      <c r="M13550" t="s">
        <v>29259</v>
      </c>
      <c r="N13550" t="s">
        <v>29260</v>
      </c>
      <c r="O13550" t="s">
        <v>241</v>
      </c>
      <c r="P13550">
        <v>66048</v>
      </c>
      <c r="R13550" t="s">
        <v>23</v>
      </c>
      <c r="S13550" s="1" t="s">
        <v>34218</v>
      </c>
    </row>
    <row r="13551" spans="1:19" x14ac:dyDescent="0.25">
      <c r="A13551">
        <v>100784705</v>
      </c>
      <c r="B13551" t="s">
        <v>29261</v>
      </c>
      <c r="C13551" t="s">
        <v>17769</v>
      </c>
      <c r="G13551" t="s">
        <v>29262</v>
      </c>
      <c r="H13551" t="s">
        <v>1618</v>
      </c>
      <c r="I13551" t="s">
        <v>327</v>
      </c>
      <c r="J13551">
        <v>25427</v>
      </c>
      <c r="K13551">
        <v>7283</v>
      </c>
      <c r="L13551" t="s">
        <v>23</v>
      </c>
      <c r="M13551" t="s">
        <v>29262</v>
      </c>
      <c r="N13551" t="s">
        <v>1618</v>
      </c>
      <c r="O13551" t="s">
        <v>327</v>
      </c>
      <c r="P13551">
        <v>25427</v>
      </c>
      <c r="Q13551">
        <v>7283</v>
      </c>
      <c r="R13551" t="s">
        <v>23</v>
      </c>
      <c r="S13551" s="1" t="s">
        <v>34218</v>
      </c>
    </row>
    <row r="13552" spans="1:19" x14ac:dyDescent="0.25">
      <c r="A13552">
        <v>101373103</v>
      </c>
      <c r="B13552" t="s">
        <v>1933</v>
      </c>
      <c r="C13552" t="s">
        <v>5110</v>
      </c>
      <c r="G13552" t="s">
        <v>29263</v>
      </c>
      <c r="H13552" t="s">
        <v>10707</v>
      </c>
      <c r="I13552" t="s">
        <v>191</v>
      </c>
      <c r="J13552">
        <v>4345</v>
      </c>
      <c r="K13552">
        <v>6421</v>
      </c>
      <c r="L13552" t="s">
        <v>23</v>
      </c>
      <c r="M13552" t="s">
        <v>29263</v>
      </c>
      <c r="N13552" t="s">
        <v>10707</v>
      </c>
      <c r="O13552" t="s">
        <v>191</v>
      </c>
      <c r="P13552">
        <v>4345</v>
      </c>
      <c r="Q13552">
        <v>6421</v>
      </c>
      <c r="R13552" t="s">
        <v>23</v>
      </c>
      <c r="S13552" s="1" t="s">
        <v>34218</v>
      </c>
    </row>
    <row r="13553" spans="1:19" x14ac:dyDescent="0.25">
      <c r="A13553">
        <v>101349322</v>
      </c>
      <c r="B13553" t="s">
        <v>557</v>
      </c>
      <c r="C13553" t="s">
        <v>102</v>
      </c>
      <c r="G13553" t="s">
        <v>29264</v>
      </c>
      <c r="H13553" t="s">
        <v>22604</v>
      </c>
      <c r="I13553" t="s">
        <v>38</v>
      </c>
      <c r="J13553">
        <v>79704</v>
      </c>
      <c r="L13553" t="s">
        <v>23</v>
      </c>
      <c r="M13553" t="s">
        <v>29264</v>
      </c>
      <c r="N13553" t="s">
        <v>22604</v>
      </c>
      <c r="O13553" t="s">
        <v>38</v>
      </c>
      <c r="P13553">
        <v>79704</v>
      </c>
      <c r="R13553" t="s">
        <v>23</v>
      </c>
      <c r="S13553" s="1" t="s">
        <v>34218</v>
      </c>
    </row>
    <row r="13554" spans="1:19" x14ac:dyDescent="0.25">
      <c r="A13554">
        <v>100994558</v>
      </c>
      <c r="B13554" t="s">
        <v>29265</v>
      </c>
      <c r="C13554" t="s">
        <v>29266</v>
      </c>
      <c r="G13554" t="s">
        <v>29267</v>
      </c>
      <c r="H13554" t="s">
        <v>5089</v>
      </c>
      <c r="I13554" t="s">
        <v>446</v>
      </c>
      <c r="J13554">
        <v>28714</v>
      </c>
      <c r="L13554" t="s">
        <v>23</v>
      </c>
      <c r="M13554" t="s">
        <v>29267</v>
      </c>
      <c r="N13554" t="s">
        <v>5089</v>
      </c>
      <c r="O13554" t="s">
        <v>446</v>
      </c>
      <c r="P13554">
        <v>28714</v>
      </c>
      <c r="R13554" t="s">
        <v>23</v>
      </c>
      <c r="S13554" s="1" t="s">
        <v>34218</v>
      </c>
    </row>
    <row r="13555" spans="1:19" x14ac:dyDescent="0.25">
      <c r="A13555">
        <v>101480711</v>
      </c>
      <c r="B13555" t="s">
        <v>22152</v>
      </c>
      <c r="C13555" t="s">
        <v>40</v>
      </c>
      <c r="G13555" t="s">
        <v>29268</v>
      </c>
      <c r="H13555" t="s">
        <v>3466</v>
      </c>
      <c r="I13555" t="s">
        <v>22</v>
      </c>
      <c r="J13555">
        <v>94805</v>
      </c>
      <c r="K13555">
        <v>2026</v>
      </c>
      <c r="L13555" t="s">
        <v>23</v>
      </c>
      <c r="M13555" t="s">
        <v>29268</v>
      </c>
      <c r="N13555" t="s">
        <v>3466</v>
      </c>
      <c r="O13555" t="s">
        <v>22</v>
      </c>
      <c r="P13555">
        <v>94805</v>
      </c>
      <c r="Q13555">
        <v>2026</v>
      </c>
      <c r="R13555" t="s">
        <v>23</v>
      </c>
      <c r="S13555" s="1" t="s">
        <v>34218</v>
      </c>
    </row>
    <row r="13556" spans="1:19" x14ac:dyDescent="0.25">
      <c r="A13556">
        <v>101298705</v>
      </c>
      <c r="B13556" t="s">
        <v>29269</v>
      </c>
      <c r="C13556" t="s">
        <v>1463</v>
      </c>
      <c r="G13556" t="s">
        <v>29270</v>
      </c>
      <c r="H13556" t="s">
        <v>1041</v>
      </c>
      <c r="I13556" t="s">
        <v>38</v>
      </c>
      <c r="J13556">
        <v>76201</v>
      </c>
      <c r="K13556">
        <v>1708</v>
      </c>
      <c r="L13556" t="s">
        <v>23</v>
      </c>
      <c r="M13556" t="s">
        <v>29270</v>
      </c>
      <c r="N13556" t="s">
        <v>1041</v>
      </c>
      <c r="O13556" t="s">
        <v>38</v>
      </c>
      <c r="P13556">
        <v>76201</v>
      </c>
      <c r="Q13556">
        <v>1708</v>
      </c>
      <c r="R13556" t="s">
        <v>23</v>
      </c>
      <c r="S13556" s="1" t="s">
        <v>34218</v>
      </c>
    </row>
    <row r="13557" spans="1:19" x14ac:dyDescent="0.25">
      <c r="A13557">
        <v>101480714</v>
      </c>
      <c r="B13557" t="s">
        <v>29271</v>
      </c>
      <c r="C13557" t="s">
        <v>582</v>
      </c>
      <c r="G13557" t="s">
        <v>29272</v>
      </c>
      <c r="H13557" t="s">
        <v>27</v>
      </c>
      <c r="I13557" t="s">
        <v>28</v>
      </c>
      <c r="J13557">
        <v>30340</v>
      </c>
      <c r="K13557">
        <v>4479</v>
      </c>
      <c r="L13557" t="s">
        <v>23</v>
      </c>
      <c r="M13557" t="s">
        <v>29272</v>
      </c>
      <c r="N13557" t="s">
        <v>27</v>
      </c>
      <c r="O13557" t="s">
        <v>28</v>
      </c>
      <c r="P13557">
        <v>30340</v>
      </c>
      <c r="Q13557">
        <v>4479</v>
      </c>
      <c r="R13557" t="s">
        <v>23</v>
      </c>
      <c r="S13557" s="1" t="s">
        <v>34218</v>
      </c>
    </row>
    <row r="13558" spans="1:19" x14ac:dyDescent="0.25">
      <c r="A13558">
        <v>100783196</v>
      </c>
      <c r="B13558" t="s">
        <v>29273</v>
      </c>
      <c r="C13558" t="s">
        <v>1992</v>
      </c>
      <c r="G13558" t="s">
        <v>29274</v>
      </c>
      <c r="H13558" t="s">
        <v>15682</v>
      </c>
      <c r="I13558" t="s">
        <v>22</v>
      </c>
      <c r="J13558">
        <v>91321</v>
      </c>
      <c r="L13558" t="s">
        <v>23</v>
      </c>
      <c r="M13558" t="s">
        <v>29274</v>
      </c>
      <c r="N13558" t="s">
        <v>15682</v>
      </c>
      <c r="O13558" t="s">
        <v>22</v>
      </c>
      <c r="P13558">
        <v>91321</v>
      </c>
      <c r="R13558" t="s">
        <v>23</v>
      </c>
      <c r="S13558" s="1" t="s">
        <v>34218</v>
      </c>
    </row>
    <row r="13559" spans="1:19" x14ac:dyDescent="0.25">
      <c r="A13559">
        <v>100869778</v>
      </c>
      <c r="B13559" t="s">
        <v>29275</v>
      </c>
      <c r="C13559" t="s">
        <v>20825</v>
      </c>
      <c r="G13559" t="s">
        <v>29276</v>
      </c>
      <c r="H13559" t="s">
        <v>29277</v>
      </c>
      <c r="I13559" t="s">
        <v>27974</v>
      </c>
      <c r="J13559">
        <v>7672</v>
      </c>
      <c r="L13559" t="s">
        <v>23</v>
      </c>
      <c r="M13559" t="s">
        <v>29276</v>
      </c>
      <c r="N13559" t="s">
        <v>29277</v>
      </c>
      <c r="O13559" t="s">
        <v>27974</v>
      </c>
      <c r="P13559">
        <v>7672</v>
      </c>
      <c r="R13559" t="s">
        <v>23</v>
      </c>
      <c r="S13559" s="1" t="s">
        <v>34218</v>
      </c>
    </row>
    <row r="13560" spans="1:19" x14ac:dyDescent="0.25">
      <c r="A13560">
        <v>101480725</v>
      </c>
      <c r="B13560" t="s">
        <v>29278</v>
      </c>
      <c r="C13560" t="s">
        <v>29279</v>
      </c>
      <c r="G13560" t="s">
        <v>29280</v>
      </c>
      <c r="H13560" t="s">
        <v>3274</v>
      </c>
      <c r="I13560" t="s">
        <v>62</v>
      </c>
      <c r="J13560">
        <v>73013</v>
      </c>
      <c r="K13560">
        <v>5936</v>
      </c>
      <c r="L13560" t="s">
        <v>23</v>
      </c>
      <c r="M13560" t="s">
        <v>29280</v>
      </c>
      <c r="N13560" t="s">
        <v>3274</v>
      </c>
      <c r="O13560" t="s">
        <v>62</v>
      </c>
      <c r="P13560">
        <v>73013</v>
      </c>
      <c r="Q13560">
        <v>5936</v>
      </c>
      <c r="R13560" t="s">
        <v>23</v>
      </c>
      <c r="S13560" s="1" t="s">
        <v>34218</v>
      </c>
    </row>
    <row r="13561" spans="1:19" x14ac:dyDescent="0.25">
      <c r="A13561">
        <v>101433836</v>
      </c>
      <c r="B13561" t="s">
        <v>29281</v>
      </c>
      <c r="C13561" t="s">
        <v>575</v>
      </c>
      <c r="G13561" t="s">
        <v>29282</v>
      </c>
      <c r="H13561" t="s">
        <v>13843</v>
      </c>
      <c r="I13561" t="s">
        <v>161</v>
      </c>
      <c r="J13561">
        <v>6418</v>
      </c>
      <c r="K13561">
        <v>2091</v>
      </c>
      <c r="L13561" t="s">
        <v>23</v>
      </c>
      <c r="M13561" t="s">
        <v>29282</v>
      </c>
      <c r="N13561" t="s">
        <v>13843</v>
      </c>
      <c r="O13561" t="s">
        <v>161</v>
      </c>
      <c r="P13561">
        <v>6418</v>
      </c>
      <c r="Q13561">
        <v>2091</v>
      </c>
      <c r="R13561" t="s">
        <v>23</v>
      </c>
      <c r="S13561" s="1" t="s">
        <v>34218</v>
      </c>
    </row>
    <row r="13562" spans="1:19" x14ac:dyDescent="0.25">
      <c r="A13562">
        <v>101335338</v>
      </c>
      <c r="B13562" t="s">
        <v>18548</v>
      </c>
      <c r="C13562" t="s">
        <v>30</v>
      </c>
      <c r="G13562" t="s">
        <v>29283</v>
      </c>
      <c r="H13562" t="s">
        <v>2434</v>
      </c>
      <c r="I13562" t="s">
        <v>161</v>
      </c>
      <c r="J13562">
        <v>6515</v>
      </c>
      <c r="K13562">
        <v>2402</v>
      </c>
      <c r="L13562" t="s">
        <v>23</v>
      </c>
      <c r="M13562" t="s">
        <v>29283</v>
      </c>
      <c r="N13562" t="s">
        <v>2434</v>
      </c>
      <c r="O13562" t="s">
        <v>161</v>
      </c>
      <c r="P13562">
        <v>6515</v>
      </c>
      <c r="Q13562">
        <v>2402</v>
      </c>
      <c r="R13562" t="s">
        <v>23</v>
      </c>
      <c r="S13562" s="1" t="s">
        <v>34218</v>
      </c>
    </row>
    <row r="13563" spans="1:19" x14ac:dyDescent="0.25">
      <c r="A13563">
        <v>100702272</v>
      </c>
      <c r="B13563" t="s">
        <v>29284</v>
      </c>
      <c r="C13563" t="s">
        <v>2127</v>
      </c>
      <c r="G13563" t="s">
        <v>29285</v>
      </c>
      <c r="H13563" t="s">
        <v>7045</v>
      </c>
      <c r="I13563" t="s">
        <v>140</v>
      </c>
      <c r="J13563">
        <v>48197</v>
      </c>
      <c r="L13563" t="s">
        <v>23</v>
      </c>
      <c r="M13563" t="s">
        <v>29285</v>
      </c>
      <c r="N13563" t="s">
        <v>7045</v>
      </c>
      <c r="O13563" t="s">
        <v>140</v>
      </c>
      <c r="P13563">
        <v>48197</v>
      </c>
      <c r="R13563" t="s">
        <v>23</v>
      </c>
      <c r="S13563" s="1" t="s">
        <v>34218</v>
      </c>
    </row>
    <row r="13564" spans="1:19" x14ac:dyDescent="0.25">
      <c r="A13564">
        <v>101480730</v>
      </c>
      <c r="B13564" t="s">
        <v>2457</v>
      </c>
      <c r="C13564" t="s">
        <v>155</v>
      </c>
      <c r="G13564" t="s">
        <v>29286</v>
      </c>
      <c r="H13564" t="s">
        <v>7693</v>
      </c>
      <c r="I13564" t="s">
        <v>446</v>
      </c>
      <c r="J13564">
        <v>28753</v>
      </c>
      <c r="K13564">
        <v>6434</v>
      </c>
      <c r="L13564" t="s">
        <v>23</v>
      </c>
      <c r="M13564" t="s">
        <v>29286</v>
      </c>
      <c r="N13564" t="s">
        <v>7693</v>
      </c>
      <c r="O13564" t="s">
        <v>446</v>
      </c>
      <c r="P13564">
        <v>28753</v>
      </c>
      <c r="Q13564">
        <v>6434</v>
      </c>
      <c r="R13564" t="s">
        <v>23</v>
      </c>
      <c r="S13564" s="1" t="s">
        <v>34218</v>
      </c>
    </row>
    <row r="13565" spans="1:19" x14ac:dyDescent="0.25">
      <c r="A13565">
        <v>101358335</v>
      </c>
      <c r="B13565" t="s">
        <v>29287</v>
      </c>
      <c r="C13565" t="s">
        <v>7620</v>
      </c>
      <c r="G13565" t="s">
        <v>29288</v>
      </c>
      <c r="H13565" t="s">
        <v>29289</v>
      </c>
      <c r="I13565" t="s">
        <v>117</v>
      </c>
      <c r="J13565">
        <v>13132</v>
      </c>
      <c r="K13565">
        <v>3280</v>
      </c>
      <c r="L13565" t="s">
        <v>23</v>
      </c>
      <c r="M13565" t="s">
        <v>29288</v>
      </c>
      <c r="N13565" t="s">
        <v>29289</v>
      </c>
      <c r="O13565" t="s">
        <v>117</v>
      </c>
      <c r="P13565">
        <v>13132</v>
      </c>
      <c r="Q13565">
        <v>3280</v>
      </c>
      <c r="R13565" t="s">
        <v>23</v>
      </c>
      <c r="S13565" s="1" t="s">
        <v>34218</v>
      </c>
    </row>
    <row r="13566" spans="1:19" x14ac:dyDescent="0.25">
      <c r="A13566">
        <v>101268452</v>
      </c>
      <c r="B13566" t="s">
        <v>29290</v>
      </c>
      <c r="C13566" t="s">
        <v>123</v>
      </c>
      <c r="G13566" t="s">
        <v>29291</v>
      </c>
      <c r="H13566" t="s">
        <v>37</v>
      </c>
      <c r="I13566" t="s">
        <v>38</v>
      </c>
      <c r="J13566">
        <v>78704</v>
      </c>
      <c r="K13566">
        <v>7141</v>
      </c>
      <c r="L13566" t="s">
        <v>23</v>
      </c>
      <c r="M13566" t="s">
        <v>29291</v>
      </c>
      <c r="N13566" t="s">
        <v>37</v>
      </c>
      <c r="O13566" t="s">
        <v>38</v>
      </c>
      <c r="P13566">
        <v>78704</v>
      </c>
      <c r="Q13566">
        <v>7141</v>
      </c>
      <c r="R13566" t="s">
        <v>23</v>
      </c>
      <c r="S13566" s="1" t="s">
        <v>34218</v>
      </c>
    </row>
    <row r="13567" spans="1:19" x14ac:dyDescent="0.25">
      <c r="A13567">
        <v>101480741</v>
      </c>
      <c r="B13567" t="s">
        <v>6530</v>
      </c>
      <c r="C13567" t="s">
        <v>403</v>
      </c>
      <c r="G13567" t="s">
        <v>29292</v>
      </c>
      <c r="H13567" t="s">
        <v>29293</v>
      </c>
      <c r="I13567" t="s">
        <v>117</v>
      </c>
      <c r="J13567">
        <v>12721</v>
      </c>
      <c r="K13567">
        <v>4336</v>
      </c>
      <c r="L13567" t="s">
        <v>23</v>
      </c>
      <c r="M13567" t="s">
        <v>29292</v>
      </c>
      <c r="N13567" t="s">
        <v>29293</v>
      </c>
      <c r="O13567" t="s">
        <v>117</v>
      </c>
      <c r="P13567">
        <v>12721</v>
      </c>
      <c r="Q13567">
        <v>4336</v>
      </c>
      <c r="R13567" t="s">
        <v>23</v>
      </c>
      <c r="S13567" s="1" t="s">
        <v>34218</v>
      </c>
    </row>
    <row r="13568" spans="1:19" x14ac:dyDescent="0.25">
      <c r="A13568">
        <v>101470956</v>
      </c>
      <c r="B13568" t="s">
        <v>29294</v>
      </c>
      <c r="C13568" t="s">
        <v>29295</v>
      </c>
      <c r="G13568" t="s">
        <v>29296</v>
      </c>
      <c r="H13568" t="s">
        <v>1957</v>
      </c>
      <c r="I13568" t="s">
        <v>100</v>
      </c>
      <c r="J13568">
        <v>53711</v>
      </c>
      <c r="K13568">
        <v>7424</v>
      </c>
      <c r="L13568" t="s">
        <v>23</v>
      </c>
      <c r="M13568" t="s">
        <v>29296</v>
      </c>
      <c r="N13568" t="s">
        <v>1957</v>
      </c>
      <c r="O13568" t="s">
        <v>100</v>
      </c>
      <c r="P13568">
        <v>53711</v>
      </c>
      <c r="Q13568">
        <v>7424</v>
      </c>
      <c r="R13568" t="s">
        <v>23</v>
      </c>
      <c r="S13568" s="1" t="s">
        <v>34218</v>
      </c>
    </row>
    <row r="13569" spans="1:19" x14ac:dyDescent="0.25">
      <c r="A13569">
        <v>101263164</v>
      </c>
      <c r="B13569" t="s">
        <v>14920</v>
      </c>
      <c r="C13569" t="s">
        <v>648</v>
      </c>
      <c r="G13569" t="s">
        <v>29297</v>
      </c>
      <c r="H13569" t="s">
        <v>1390</v>
      </c>
      <c r="I13569" t="s">
        <v>135</v>
      </c>
      <c r="J13569">
        <v>62223</v>
      </c>
      <c r="K13569">
        <v>1868</v>
      </c>
      <c r="L13569" t="s">
        <v>23</v>
      </c>
      <c r="M13569" t="s">
        <v>29297</v>
      </c>
      <c r="N13569" t="s">
        <v>1390</v>
      </c>
      <c r="O13569" t="s">
        <v>135</v>
      </c>
      <c r="P13569">
        <v>62223</v>
      </c>
      <c r="Q13569">
        <v>1868</v>
      </c>
      <c r="R13569" t="s">
        <v>23</v>
      </c>
      <c r="S13569" s="1" t="s">
        <v>34218</v>
      </c>
    </row>
    <row r="13570" spans="1:19" x14ac:dyDescent="0.25">
      <c r="A13570">
        <v>101480752</v>
      </c>
      <c r="B13570" t="s">
        <v>4139</v>
      </c>
      <c r="C13570" t="s">
        <v>209</v>
      </c>
      <c r="G13570" t="s">
        <v>29298</v>
      </c>
      <c r="H13570" t="s">
        <v>1405</v>
      </c>
      <c r="I13570" t="s">
        <v>187</v>
      </c>
      <c r="J13570">
        <v>55124</v>
      </c>
      <c r="K13570">
        <v>8057</v>
      </c>
      <c r="L13570" t="s">
        <v>23</v>
      </c>
      <c r="M13570" t="s">
        <v>29298</v>
      </c>
      <c r="N13570" t="s">
        <v>1405</v>
      </c>
      <c r="O13570" t="s">
        <v>187</v>
      </c>
      <c r="P13570">
        <v>55124</v>
      </c>
      <c r="Q13570">
        <v>8057</v>
      </c>
      <c r="R13570" t="s">
        <v>23</v>
      </c>
      <c r="S13570" s="1" t="s">
        <v>34218</v>
      </c>
    </row>
    <row r="13571" spans="1:19" x14ac:dyDescent="0.25">
      <c r="A13571">
        <v>101480756</v>
      </c>
      <c r="B13571" t="s">
        <v>29299</v>
      </c>
      <c r="C13571" t="s">
        <v>600</v>
      </c>
      <c r="G13571" t="s">
        <v>29300</v>
      </c>
      <c r="H13571" t="s">
        <v>299</v>
      </c>
      <c r="I13571" t="s">
        <v>22</v>
      </c>
      <c r="J13571">
        <v>90039</v>
      </c>
      <c r="K13571">
        <v>1614</v>
      </c>
      <c r="L13571" t="s">
        <v>23</v>
      </c>
      <c r="M13571" t="s">
        <v>29300</v>
      </c>
      <c r="N13571" t="s">
        <v>299</v>
      </c>
      <c r="O13571" t="s">
        <v>22</v>
      </c>
      <c r="P13571">
        <v>90039</v>
      </c>
      <c r="Q13571">
        <v>1614</v>
      </c>
      <c r="R13571" t="s">
        <v>23</v>
      </c>
      <c r="S13571" s="1" t="s">
        <v>34218</v>
      </c>
    </row>
    <row r="13572" spans="1:19" x14ac:dyDescent="0.25">
      <c r="A13572">
        <v>101467387</v>
      </c>
      <c r="B13572" t="s">
        <v>29301</v>
      </c>
      <c r="C13572" t="s">
        <v>1487</v>
      </c>
      <c r="G13572" t="s">
        <v>29302</v>
      </c>
      <c r="H13572" t="s">
        <v>11455</v>
      </c>
      <c r="I13572" t="s">
        <v>71</v>
      </c>
      <c r="J13572">
        <v>81201</v>
      </c>
      <c r="K13572">
        <v>9483</v>
      </c>
      <c r="L13572" t="s">
        <v>23</v>
      </c>
      <c r="M13572" t="s">
        <v>29302</v>
      </c>
      <c r="N13572" t="s">
        <v>11455</v>
      </c>
      <c r="O13572" t="s">
        <v>71</v>
      </c>
      <c r="P13572">
        <v>81201</v>
      </c>
      <c r="Q13572">
        <v>9483</v>
      </c>
      <c r="R13572" t="s">
        <v>23</v>
      </c>
      <c r="S13572" s="1" t="s">
        <v>34218</v>
      </c>
    </row>
    <row r="13573" spans="1:19" x14ac:dyDescent="0.25">
      <c r="A13573">
        <v>101480763</v>
      </c>
      <c r="B13573" t="s">
        <v>350</v>
      </c>
      <c r="C13573" t="s">
        <v>166</v>
      </c>
      <c r="G13573" t="s">
        <v>29303</v>
      </c>
      <c r="H13573" t="s">
        <v>227</v>
      </c>
      <c r="I13573" t="s">
        <v>191</v>
      </c>
      <c r="J13573">
        <v>4103</v>
      </c>
      <c r="K13573">
        <v>2562</v>
      </c>
      <c r="L13573" t="s">
        <v>23</v>
      </c>
      <c r="M13573" t="s">
        <v>29303</v>
      </c>
      <c r="N13573" t="s">
        <v>227</v>
      </c>
      <c r="O13573" t="s">
        <v>191</v>
      </c>
      <c r="P13573">
        <v>4103</v>
      </c>
      <c r="Q13573">
        <v>2562</v>
      </c>
      <c r="R13573" t="s">
        <v>23</v>
      </c>
      <c r="S13573" s="1" t="s">
        <v>34218</v>
      </c>
    </row>
    <row r="13574" spans="1:19" x14ac:dyDescent="0.25">
      <c r="A13574">
        <v>101471418</v>
      </c>
      <c r="B13574" t="s">
        <v>2891</v>
      </c>
      <c r="C13574" t="s">
        <v>1679</v>
      </c>
      <c r="G13574" t="s">
        <v>29304</v>
      </c>
      <c r="H13574" t="s">
        <v>20613</v>
      </c>
      <c r="I13574" t="s">
        <v>135</v>
      </c>
      <c r="J13574">
        <v>60453</v>
      </c>
      <c r="K13574">
        <v>3066</v>
      </c>
      <c r="L13574" t="s">
        <v>23</v>
      </c>
      <c r="M13574" t="s">
        <v>29304</v>
      </c>
      <c r="N13574" t="s">
        <v>20613</v>
      </c>
      <c r="O13574" t="s">
        <v>135</v>
      </c>
      <c r="P13574">
        <v>60453</v>
      </c>
      <c r="Q13574">
        <v>3066</v>
      </c>
      <c r="R13574" t="s">
        <v>23</v>
      </c>
      <c r="S13574" s="1" t="s">
        <v>34218</v>
      </c>
    </row>
    <row r="13575" spans="1:19" x14ac:dyDescent="0.25">
      <c r="A13575">
        <v>101285548</v>
      </c>
      <c r="B13575" t="s">
        <v>29305</v>
      </c>
      <c r="C13575" t="s">
        <v>1632</v>
      </c>
      <c r="G13575" t="s">
        <v>29306</v>
      </c>
      <c r="H13575" t="s">
        <v>9544</v>
      </c>
      <c r="I13575" t="s">
        <v>148</v>
      </c>
      <c r="J13575">
        <v>20815</v>
      </c>
      <c r="K13575">
        <v>5413</v>
      </c>
      <c r="L13575" t="s">
        <v>23</v>
      </c>
      <c r="M13575" t="s">
        <v>29306</v>
      </c>
      <c r="N13575" t="s">
        <v>9544</v>
      </c>
      <c r="O13575" t="s">
        <v>148</v>
      </c>
      <c r="P13575">
        <v>20815</v>
      </c>
      <c r="Q13575">
        <v>5413</v>
      </c>
      <c r="R13575" t="s">
        <v>23</v>
      </c>
      <c r="S13575" s="1" t="s">
        <v>34218</v>
      </c>
    </row>
    <row r="13576" spans="1:19" x14ac:dyDescent="0.25">
      <c r="A13576">
        <v>101467476</v>
      </c>
      <c r="B13576" t="s">
        <v>144</v>
      </c>
      <c r="C13576" t="s">
        <v>4318</v>
      </c>
      <c r="G13576" t="s">
        <v>29307</v>
      </c>
      <c r="H13576" t="s">
        <v>1096</v>
      </c>
      <c r="I13576" t="s">
        <v>1097</v>
      </c>
      <c r="J13576">
        <v>40215</v>
      </c>
      <c r="K13576">
        <v>2418</v>
      </c>
      <c r="L13576" t="s">
        <v>23</v>
      </c>
      <c r="M13576" t="s">
        <v>29307</v>
      </c>
      <c r="N13576" t="s">
        <v>1096</v>
      </c>
      <c r="O13576" t="s">
        <v>1097</v>
      </c>
      <c r="P13576">
        <v>40215</v>
      </c>
      <c r="Q13576">
        <v>2418</v>
      </c>
      <c r="R13576" t="s">
        <v>23</v>
      </c>
      <c r="S13576" s="1" t="s">
        <v>34218</v>
      </c>
    </row>
    <row r="13577" spans="1:19" x14ac:dyDescent="0.25">
      <c r="A13577">
        <v>101347502</v>
      </c>
      <c r="B13577" t="s">
        <v>29308</v>
      </c>
      <c r="C13577" t="s">
        <v>2603</v>
      </c>
      <c r="G13577" t="s">
        <v>29309</v>
      </c>
      <c r="H13577" t="s">
        <v>653</v>
      </c>
      <c r="I13577" t="s">
        <v>117</v>
      </c>
      <c r="J13577">
        <v>10023</v>
      </c>
      <c r="L13577" t="s">
        <v>23</v>
      </c>
      <c r="M13577" t="s">
        <v>29309</v>
      </c>
      <c r="N13577" t="s">
        <v>653</v>
      </c>
      <c r="O13577" t="s">
        <v>117</v>
      </c>
      <c r="P13577">
        <v>10023</v>
      </c>
      <c r="R13577" t="s">
        <v>23</v>
      </c>
      <c r="S13577" s="1" t="s">
        <v>34218</v>
      </c>
    </row>
    <row r="13578" spans="1:19" x14ac:dyDescent="0.25">
      <c r="A13578">
        <v>101474526</v>
      </c>
      <c r="B13578" t="s">
        <v>29310</v>
      </c>
      <c r="C13578" t="s">
        <v>252</v>
      </c>
      <c r="G13578" t="s">
        <v>29311</v>
      </c>
      <c r="H13578" t="s">
        <v>2640</v>
      </c>
      <c r="I13578" t="s">
        <v>52</v>
      </c>
      <c r="J13578">
        <v>33434</v>
      </c>
      <c r="K13578">
        <v>3079</v>
      </c>
      <c r="L13578" t="s">
        <v>23</v>
      </c>
      <c r="M13578" t="s">
        <v>29311</v>
      </c>
      <c r="N13578" t="s">
        <v>2640</v>
      </c>
      <c r="O13578" t="s">
        <v>52</v>
      </c>
      <c r="P13578">
        <v>33434</v>
      </c>
      <c r="Q13578">
        <v>3079</v>
      </c>
      <c r="R13578" t="s">
        <v>23</v>
      </c>
      <c r="S13578" s="1" t="s">
        <v>34218</v>
      </c>
    </row>
    <row r="13579" spans="1:19" x14ac:dyDescent="0.25">
      <c r="A13579">
        <v>101474530</v>
      </c>
      <c r="B13579" t="s">
        <v>13205</v>
      </c>
      <c r="C13579" t="s">
        <v>29312</v>
      </c>
      <c r="G13579" t="s">
        <v>29313</v>
      </c>
      <c r="H13579" t="s">
        <v>11811</v>
      </c>
      <c r="I13579" t="s">
        <v>38</v>
      </c>
      <c r="J13579">
        <v>79510</v>
      </c>
      <c r="K13579">
        <v>5769</v>
      </c>
      <c r="L13579" t="s">
        <v>23</v>
      </c>
      <c r="M13579" t="s">
        <v>29313</v>
      </c>
      <c r="N13579" t="s">
        <v>11811</v>
      </c>
      <c r="O13579" t="s">
        <v>38</v>
      </c>
      <c r="P13579">
        <v>79510</v>
      </c>
      <c r="Q13579">
        <v>5769</v>
      </c>
      <c r="R13579" t="s">
        <v>23</v>
      </c>
      <c r="S13579" s="1" t="s">
        <v>34218</v>
      </c>
    </row>
    <row r="13580" spans="1:19" x14ac:dyDescent="0.25">
      <c r="A13580">
        <v>101452965</v>
      </c>
      <c r="B13580" t="s">
        <v>29314</v>
      </c>
      <c r="C13580" t="s">
        <v>229</v>
      </c>
      <c r="G13580" t="s">
        <v>29315</v>
      </c>
      <c r="H13580" t="s">
        <v>412</v>
      </c>
      <c r="I13580" t="s">
        <v>117</v>
      </c>
      <c r="J13580">
        <v>11206</v>
      </c>
      <c r="K13580">
        <v>3872</v>
      </c>
      <c r="L13580" t="s">
        <v>23</v>
      </c>
      <c r="M13580" t="s">
        <v>29315</v>
      </c>
      <c r="N13580" t="s">
        <v>412</v>
      </c>
      <c r="O13580" t="s">
        <v>117</v>
      </c>
      <c r="P13580">
        <v>11206</v>
      </c>
      <c r="Q13580">
        <v>3872</v>
      </c>
      <c r="R13580" t="s">
        <v>23</v>
      </c>
      <c r="S13580" s="1" t="s">
        <v>34218</v>
      </c>
    </row>
    <row r="13581" spans="1:19" x14ac:dyDescent="0.25">
      <c r="A13581">
        <v>101472709</v>
      </c>
      <c r="B13581" t="s">
        <v>16135</v>
      </c>
      <c r="C13581" t="s">
        <v>498</v>
      </c>
      <c r="G13581" t="s">
        <v>29316</v>
      </c>
      <c r="H13581" t="s">
        <v>20096</v>
      </c>
      <c r="I13581" t="s">
        <v>140</v>
      </c>
      <c r="J13581">
        <v>48185</v>
      </c>
      <c r="K13581">
        <v>8519</v>
      </c>
      <c r="L13581" t="s">
        <v>23</v>
      </c>
      <c r="M13581" t="s">
        <v>29316</v>
      </c>
      <c r="N13581" t="s">
        <v>20096</v>
      </c>
      <c r="O13581" t="s">
        <v>140</v>
      </c>
      <c r="P13581">
        <v>48185</v>
      </c>
      <c r="Q13581">
        <v>8519</v>
      </c>
      <c r="R13581" t="s">
        <v>23</v>
      </c>
      <c r="S13581" s="1" t="s">
        <v>34218</v>
      </c>
    </row>
    <row r="13582" spans="1:19" x14ac:dyDescent="0.25">
      <c r="A13582">
        <v>101437839</v>
      </c>
      <c r="B13582" t="s">
        <v>4284</v>
      </c>
      <c r="C13582" t="s">
        <v>12846</v>
      </c>
      <c r="G13582" t="s">
        <v>29317</v>
      </c>
      <c r="H13582" t="s">
        <v>28497</v>
      </c>
      <c r="I13582" t="s">
        <v>140</v>
      </c>
      <c r="J13582">
        <v>48160</v>
      </c>
      <c r="K13582">
        <v>9243</v>
      </c>
      <c r="L13582" t="s">
        <v>23</v>
      </c>
      <c r="M13582" t="s">
        <v>29317</v>
      </c>
      <c r="N13582" t="s">
        <v>28497</v>
      </c>
      <c r="O13582" t="s">
        <v>140</v>
      </c>
      <c r="P13582">
        <v>48160</v>
      </c>
      <c r="Q13582">
        <v>9243</v>
      </c>
      <c r="R13582" t="s">
        <v>23</v>
      </c>
      <c r="S13582" s="1" t="s">
        <v>34218</v>
      </c>
    </row>
    <row r="13583" spans="1:19" x14ac:dyDescent="0.25">
      <c r="A13583">
        <v>101474610</v>
      </c>
      <c r="B13583" t="s">
        <v>29318</v>
      </c>
      <c r="C13583" t="s">
        <v>29319</v>
      </c>
      <c r="G13583" t="s">
        <v>29320</v>
      </c>
      <c r="H13583" t="s">
        <v>29321</v>
      </c>
      <c r="I13583" t="s">
        <v>33</v>
      </c>
      <c r="J13583">
        <v>18614</v>
      </c>
      <c r="L13583" t="s">
        <v>23</v>
      </c>
      <c r="M13583" t="s">
        <v>29320</v>
      </c>
      <c r="N13583" t="s">
        <v>29321</v>
      </c>
      <c r="O13583" t="s">
        <v>33</v>
      </c>
      <c r="P13583">
        <v>18614</v>
      </c>
      <c r="R13583" t="s">
        <v>23</v>
      </c>
      <c r="S13583" s="1" t="s">
        <v>34218</v>
      </c>
    </row>
    <row r="13584" spans="1:19" x14ac:dyDescent="0.25">
      <c r="A13584">
        <v>101277907</v>
      </c>
      <c r="B13584" t="s">
        <v>29322</v>
      </c>
      <c r="C13584" t="s">
        <v>3993</v>
      </c>
      <c r="G13584" t="s">
        <v>29323</v>
      </c>
      <c r="H13584" t="s">
        <v>653</v>
      </c>
      <c r="I13584" t="s">
        <v>117</v>
      </c>
      <c r="J13584">
        <v>10025</v>
      </c>
      <c r="K13584">
        <v>3322</v>
      </c>
      <c r="L13584" t="s">
        <v>23</v>
      </c>
      <c r="M13584" t="s">
        <v>29323</v>
      </c>
      <c r="N13584" t="s">
        <v>653</v>
      </c>
      <c r="O13584" t="s">
        <v>117</v>
      </c>
      <c r="P13584">
        <v>10025</v>
      </c>
      <c r="Q13584">
        <v>3322</v>
      </c>
      <c r="R13584" t="s">
        <v>23</v>
      </c>
      <c r="S13584" s="1" t="s">
        <v>34218</v>
      </c>
    </row>
    <row r="13585" spans="1:19" x14ac:dyDescent="0.25">
      <c r="A13585">
        <v>101284321</v>
      </c>
      <c r="B13585" t="s">
        <v>29324</v>
      </c>
      <c r="C13585" t="s">
        <v>6997</v>
      </c>
      <c r="G13585" t="s">
        <v>29325</v>
      </c>
      <c r="H13585" t="s">
        <v>13717</v>
      </c>
      <c r="I13585" t="s">
        <v>117</v>
      </c>
      <c r="J13585">
        <v>12866</v>
      </c>
      <c r="K13585">
        <v>607</v>
      </c>
      <c r="L13585" t="s">
        <v>23</v>
      </c>
      <c r="M13585" t="s">
        <v>29325</v>
      </c>
      <c r="N13585" t="s">
        <v>13717</v>
      </c>
      <c r="O13585" t="s">
        <v>117</v>
      </c>
      <c r="P13585">
        <v>12866</v>
      </c>
      <c r="Q13585">
        <v>607</v>
      </c>
      <c r="R13585" t="s">
        <v>23</v>
      </c>
      <c r="S13585" s="1" t="s">
        <v>34218</v>
      </c>
    </row>
    <row r="13586" spans="1:19" x14ac:dyDescent="0.25">
      <c r="A13586">
        <v>100700626</v>
      </c>
      <c r="B13586" t="s">
        <v>29326</v>
      </c>
      <c r="C13586" t="s">
        <v>29327</v>
      </c>
      <c r="G13586" t="s">
        <v>29328</v>
      </c>
      <c r="H13586" t="s">
        <v>3385</v>
      </c>
      <c r="I13586" t="s">
        <v>148</v>
      </c>
      <c r="J13586">
        <v>21613</v>
      </c>
      <c r="L13586" t="s">
        <v>23</v>
      </c>
      <c r="M13586" t="s">
        <v>29328</v>
      </c>
      <c r="N13586" t="s">
        <v>3385</v>
      </c>
      <c r="O13586" t="s">
        <v>148</v>
      </c>
      <c r="P13586">
        <v>21613</v>
      </c>
      <c r="R13586" t="s">
        <v>23</v>
      </c>
      <c r="S13586" s="1" t="s">
        <v>34218</v>
      </c>
    </row>
    <row r="13587" spans="1:19" x14ac:dyDescent="0.25">
      <c r="A13587">
        <v>101225572</v>
      </c>
      <c r="B13587" t="s">
        <v>29329</v>
      </c>
      <c r="C13587" t="s">
        <v>102</v>
      </c>
      <c r="G13587" t="s">
        <v>29330</v>
      </c>
      <c r="H13587" t="s">
        <v>1787</v>
      </c>
      <c r="I13587" t="s">
        <v>702</v>
      </c>
      <c r="J13587">
        <v>89108</v>
      </c>
      <c r="K13587">
        <v>4810</v>
      </c>
      <c r="L13587" t="s">
        <v>23</v>
      </c>
      <c r="M13587" t="s">
        <v>29330</v>
      </c>
      <c r="N13587" t="s">
        <v>1787</v>
      </c>
      <c r="O13587" t="s">
        <v>702</v>
      </c>
      <c r="P13587">
        <v>89108</v>
      </c>
      <c r="Q13587">
        <v>4810</v>
      </c>
      <c r="R13587" t="s">
        <v>23</v>
      </c>
      <c r="S13587" s="1" t="s">
        <v>34218</v>
      </c>
    </row>
    <row r="13588" spans="1:19" x14ac:dyDescent="0.25">
      <c r="A13588">
        <v>101166656</v>
      </c>
      <c r="B13588" t="s">
        <v>29331</v>
      </c>
      <c r="C13588" t="s">
        <v>49</v>
      </c>
      <c r="G13588" t="s">
        <v>29332</v>
      </c>
      <c r="H13588" t="s">
        <v>4196</v>
      </c>
      <c r="I13588" t="s">
        <v>33</v>
      </c>
      <c r="J13588">
        <v>15005</v>
      </c>
      <c r="K13588">
        <v>2004</v>
      </c>
      <c r="L13588" t="s">
        <v>23</v>
      </c>
      <c r="M13588" t="s">
        <v>29332</v>
      </c>
      <c r="N13588" t="s">
        <v>4196</v>
      </c>
      <c r="O13588" t="s">
        <v>33</v>
      </c>
      <c r="P13588">
        <v>15005</v>
      </c>
      <c r="Q13588">
        <v>2004</v>
      </c>
      <c r="R13588" t="s">
        <v>23</v>
      </c>
      <c r="S13588" s="1" t="s">
        <v>34218</v>
      </c>
    </row>
    <row r="13589" spans="1:19" x14ac:dyDescent="0.25">
      <c r="A13589">
        <v>101319089</v>
      </c>
      <c r="B13589" t="s">
        <v>1745</v>
      </c>
      <c r="C13589" t="s">
        <v>10543</v>
      </c>
      <c r="G13589" t="s">
        <v>29333</v>
      </c>
      <c r="H13589" t="s">
        <v>1538</v>
      </c>
      <c r="I13589" t="s">
        <v>22</v>
      </c>
      <c r="J13589">
        <v>91403</v>
      </c>
      <c r="K13589">
        <v>3769</v>
      </c>
      <c r="L13589" t="s">
        <v>23</v>
      </c>
      <c r="M13589" t="s">
        <v>29333</v>
      </c>
      <c r="N13589" t="s">
        <v>1538</v>
      </c>
      <c r="O13589" t="s">
        <v>22</v>
      </c>
      <c r="P13589">
        <v>91403</v>
      </c>
      <c r="Q13589">
        <v>3769</v>
      </c>
      <c r="R13589" t="s">
        <v>23</v>
      </c>
      <c r="S13589" s="1" t="s">
        <v>34218</v>
      </c>
    </row>
    <row r="13590" spans="1:19" x14ac:dyDescent="0.25">
      <c r="A13590">
        <v>101464607</v>
      </c>
      <c r="B13590" t="s">
        <v>29334</v>
      </c>
      <c r="C13590" t="s">
        <v>29335</v>
      </c>
      <c r="G13590" t="s">
        <v>29336</v>
      </c>
      <c r="H13590" t="s">
        <v>3847</v>
      </c>
      <c r="I13590" t="s">
        <v>22</v>
      </c>
      <c r="J13590">
        <v>92648</v>
      </c>
      <c r="K13590">
        <v>1644</v>
      </c>
      <c r="L13590" t="s">
        <v>23</v>
      </c>
      <c r="M13590" t="s">
        <v>29336</v>
      </c>
      <c r="N13590" t="s">
        <v>3847</v>
      </c>
      <c r="O13590" t="s">
        <v>22</v>
      </c>
      <c r="P13590">
        <v>92648</v>
      </c>
      <c r="Q13590">
        <v>1644</v>
      </c>
      <c r="R13590" t="s">
        <v>23</v>
      </c>
      <c r="S13590" s="1" t="s">
        <v>34218</v>
      </c>
    </row>
    <row r="13591" spans="1:19" x14ac:dyDescent="0.25">
      <c r="A13591">
        <v>101439382</v>
      </c>
      <c r="B13591" t="s">
        <v>29337</v>
      </c>
      <c r="C13591" t="s">
        <v>718</v>
      </c>
      <c r="G13591" t="s">
        <v>29338</v>
      </c>
      <c r="H13591" t="s">
        <v>22146</v>
      </c>
      <c r="I13591" t="s">
        <v>1226</v>
      </c>
      <c r="J13591">
        <v>38671</v>
      </c>
      <c r="K13591">
        <v>3733</v>
      </c>
      <c r="L13591" t="s">
        <v>23</v>
      </c>
      <c r="M13591" t="s">
        <v>29338</v>
      </c>
      <c r="N13591" t="s">
        <v>22146</v>
      </c>
      <c r="O13591" t="s">
        <v>1226</v>
      </c>
      <c r="P13591">
        <v>38671</v>
      </c>
      <c r="Q13591">
        <v>3733</v>
      </c>
      <c r="R13591" t="s">
        <v>23</v>
      </c>
      <c r="S13591" s="1" t="s">
        <v>34218</v>
      </c>
    </row>
    <row r="13592" spans="1:19" x14ac:dyDescent="0.25">
      <c r="A13592">
        <v>101464738</v>
      </c>
      <c r="B13592" t="s">
        <v>29339</v>
      </c>
      <c r="C13592" t="s">
        <v>19</v>
      </c>
      <c r="G13592" t="s">
        <v>29340</v>
      </c>
      <c r="H13592" t="s">
        <v>7355</v>
      </c>
      <c r="I13592" t="s">
        <v>52</v>
      </c>
      <c r="J13592">
        <v>32708</v>
      </c>
      <c r="K13592">
        <v>2237</v>
      </c>
      <c r="L13592" t="s">
        <v>23</v>
      </c>
      <c r="M13592" t="s">
        <v>29340</v>
      </c>
      <c r="N13592" t="s">
        <v>7355</v>
      </c>
      <c r="O13592" t="s">
        <v>52</v>
      </c>
      <c r="P13592">
        <v>32708</v>
      </c>
      <c r="Q13592">
        <v>2237</v>
      </c>
      <c r="R13592" t="s">
        <v>23</v>
      </c>
      <c r="S13592" s="1" t="s">
        <v>34218</v>
      </c>
    </row>
    <row r="13593" spans="1:19" x14ac:dyDescent="0.25">
      <c r="A13593">
        <v>101279796</v>
      </c>
      <c r="B13593" t="s">
        <v>3457</v>
      </c>
      <c r="C13593" t="s">
        <v>40</v>
      </c>
      <c r="G13593" t="s">
        <v>29341</v>
      </c>
      <c r="H13593" t="s">
        <v>9867</v>
      </c>
      <c r="I13593" t="s">
        <v>38</v>
      </c>
      <c r="J13593">
        <v>75098</v>
      </c>
      <c r="K13593">
        <v>6925</v>
      </c>
      <c r="L13593" t="s">
        <v>23</v>
      </c>
      <c r="M13593" t="s">
        <v>29341</v>
      </c>
      <c r="N13593" t="s">
        <v>9867</v>
      </c>
      <c r="O13593" t="s">
        <v>38</v>
      </c>
      <c r="P13593">
        <v>75098</v>
      </c>
      <c r="Q13593">
        <v>6925</v>
      </c>
      <c r="R13593" t="s">
        <v>23</v>
      </c>
      <c r="S13593" s="1" t="s">
        <v>34218</v>
      </c>
    </row>
    <row r="13594" spans="1:19" x14ac:dyDescent="0.25">
      <c r="A13594">
        <v>101427118</v>
      </c>
      <c r="B13594" t="s">
        <v>19644</v>
      </c>
      <c r="C13594" t="s">
        <v>718</v>
      </c>
      <c r="G13594" t="s">
        <v>29342</v>
      </c>
      <c r="H13594" t="s">
        <v>556</v>
      </c>
      <c r="I13594" t="s">
        <v>2310</v>
      </c>
      <c r="J13594">
        <v>19943</v>
      </c>
      <c r="K13594">
        <v>6924</v>
      </c>
      <c r="L13594" t="s">
        <v>23</v>
      </c>
      <c r="M13594" t="s">
        <v>29342</v>
      </c>
      <c r="N13594" t="s">
        <v>556</v>
      </c>
      <c r="O13594" t="s">
        <v>2310</v>
      </c>
      <c r="P13594">
        <v>19943</v>
      </c>
      <c r="Q13594">
        <v>6924</v>
      </c>
      <c r="R13594" t="s">
        <v>23</v>
      </c>
      <c r="S13594" s="1" t="s">
        <v>34218</v>
      </c>
    </row>
    <row r="13595" spans="1:19" x14ac:dyDescent="0.25">
      <c r="A13595">
        <v>101265621</v>
      </c>
      <c r="B13595" t="s">
        <v>2637</v>
      </c>
      <c r="C13595" t="s">
        <v>2642</v>
      </c>
      <c r="G13595" t="s">
        <v>29343</v>
      </c>
      <c r="H13595" t="s">
        <v>415</v>
      </c>
      <c r="I13595" t="s">
        <v>178</v>
      </c>
      <c r="J13595">
        <v>43085</v>
      </c>
      <c r="K13595">
        <v>2906</v>
      </c>
      <c r="L13595" t="s">
        <v>23</v>
      </c>
      <c r="M13595" t="s">
        <v>29343</v>
      </c>
      <c r="N13595" t="s">
        <v>415</v>
      </c>
      <c r="O13595" t="s">
        <v>178</v>
      </c>
      <c r="P13595">
        <v>43085</v>
      </c>
      <c r="Q13595">
        <v>2906</v>
      </c>
      <c r="R13595" t="s">
        <v>23</v>
      </c>
      <c r="S13595" s="1" t="s">
        <v>34218</v>
      </c>
    </row>
    <row r="13596" spans="1:19" x14ac:dyDescent="0.25">
      <c r="A13596">
        <v>101431440</v>
      </c>
      <c r="B13596" t="s">
        <v>9834</v>
      </c>
      <c r="C13596" t="s">
        <v>9405</v>
      </c>
      <c r="G13596" t="s">
        <v>29344</v>
      </c>
      <c r="H13596" t="s">
        <v>2266</v>
      </c>
      <c r="I13596" t="s">
        <v>178</v>
      </c>
      <c r="J13596">
        <v>44240</v>
      </c>
      <c r="K13596">
        <v>2628</v>
      </c>
      <c r="L13596" t="s">
        <v>23</v>
      </c>
      <c r="M13596" t="s">
        <v>29344</v>
      </c>
      <c r="N13596" t="s">
        <v>2266</v>
      </c>
      <c r="O13596" t="s">
        <v>178</v>
      </c>
      <c r="P13596">
        <v>44240</v>
      </c>
      <c r="Q13596">
        <v>2628</v>
      </c>
      <c r="R13596" t="s">
        <v>23</v>
      </c>
      <c r="S13596" s="1" t="s">
        <v>34218</v>
      </c>
    </row>
    <row r="13597" spans="1:19" x14ac:dyDescent="0.25">
      <c r="A13597">
        <v>101432302</v>
      </c>
      <c r="B13597" t="s">
        <v>1726</v>
      </c>
      <c r="C13597" t="s">
        <v>313</v>
      </c>
      <c r="G13597" t="s">
        <v>29345</v>
      </c>
      <c r="H13597" t="s">
        <v>2136</v>
      </c>
      <c r="I13597" t="s">
        <v>117</v>
      </c>
      <c r="J13597">
        <v>12603</v>
      </c>
      <c r="K13597">
        <v>1748</v>
      </c>
      <c r="L13597" t="s">
        <v>23</v>
      </c>
      <c r="M13597" t="s">
        <v>29345</v>
      </c>
      <c r="N13597" t="s">
        <v>2136</v>
      </c>
      <c r="O13597" t="s">
        <v>117</v>
      </c>
      <c r="P13597">
        <v>12603</v>
      </c>
      <c r="Q13597">
        <v>1748</v>
      </c>
      <c r="R13597" t="s">
        <v>23</v>
      </c>
      <c r="S13597" s="1" t="s">
        <v>34218</v>
      </c>
    </row>
    <row r="13598" spans="1:19" x14ac:dyDescent="0.25">
      <c r="A13598">
        <v>101432036</v>
      </c>
      <c r="B13598" t="s">
        <v>29346</v>
      </c>
      <c r="C13598" t="s">
        <v>4966</v>
      </c>
      <c r="G13598" t="s">
        <v>29347</v>
      </c>
      <c r="H13598" t="s">
        <v>1674</v>
      </c>
      <c r="I13598" t="s">
        <v>22</v>
      </c>
      <c r="J13598">
        <v>91506</v>
      </c>
      <c r="K13598">
        <v>2743</v>
      </c>
      <c r="L13598" t="s">
        <v>23</v>
      </c>
      <c r="M13598" t="s">
        <v>29347</v>
      </c>
      <c r="N13598" t="s">
        <v>1674</v>
      </c>
      <c r="O13598" t="s">
        <v>22</v>
      </c>
      <c r="P13598">
        <v>91506</v>
      </c>
      <c r="Q13598">
        <v>2743</v>
      </c>
      <c r="R13598" t="s">
        <v>23</v>
      </c>
      <c r="S13598" s="1" t="s">
        <v>34218</v>
      </c>
    </row>
    <row r="13599" spans="1:19" x14ac:dyDescent="0.25">
      <c r="A13599">
        <v>101419862</v>
      </c>
      <c r="B13599" t="s">
        <v>1800</v>
      </c>
      <c r="C13599" t="s">
        <v>2762</v>
      </c>
      <c r="G13599" t="s">
        <v>29348</v>
      </c>
      <c r="H13599" t="s">
        <v>6492</v>
      </c>
      <c r="I13599" t="s">
        <v>161</v>
      </c>
      <c r="J13599">
        <v>6907</v>
      </c>
      <c r="K13599">
        <v>1649</v>
      </c>
      <c r="L13599" t="s">
        <v>23</v>
      </c>
      <c r="M13599" t="s">
        <v>29348</v>
      </c>
      <c r="N13599" t="s">
        <v>6492</v>
      </c>
      <c r="O13599" t="s">
        <v>161</v>
      </c>
      <c r="P13599">
        <v>6907</v>
      </c>
      <c r="Q13599">
        <v>1649</v>
      </c>
      <c r="R13599" t="s">
        <v>23</v>
      </c>
      <c r="S13599" s="1" t="s">
        <v>34218</v>
      </c>
    </row>
    <row r="13600" spans="1:19" x14ac:dyDescent="0.25">
      <c r="A13600">
        <v>101223489</v>
      </c>
      <c r="B13600" t="s">
        <v>29349</v>
      </c>
      <c r="C13600" t="s">
        <v>2463</v>
      </c>
      <c r="G13600" t="s">
        <v>29350</v>
      </c>
      <c r="H13600" t="s">
        <v>9751</v>
      </c>
      <c r="I13600" t="s">
        <v>9752</v>
      </c>
      <c r="J13600">
        <v>918</v>
      </c>
      <c r="L13600" t="s">
        <v>23</v>
      </c>
      <c r="M13600" t="s">
        <v>29350</v>
      </c>
      <c r="N13600" t="s">
        <v>9751</v>
      </c>
      <c r="O13600" t="s">
        <v>9752</v>
      </c>
      <c r="P13600">
        <v>918</v>
      </c>
      <c r="R13600" t="s">
        <v>23</v>
      </c>
      <c r="S13600" s="1" t="s">
        <v>34218</v>
      </c>
    </row>
    <row r="13601" spans="1:19" x14ac:dyDescent="0.25">
      <c r="A13601">
        <v>101246646</v>
      </c>
      <c r="B13601" t="s">
        <v>3956</v>
      </c>
      <c r="C13601" t="s">
        <v>294</v>
      </c>
      <c r="G13601" t="s">
        <v>29351</v>
      </c>
      <c r="H13601" t="s">
        <v>28119</v>
      </c>
      <c r="I13601" t="s">
        <v>43</v>
      </c>
      <c r="J13601">
        <v>41481</v>
      </c>
      <c r="L13601" t="s">
        <v>23</v>
      </c>
      <c r="M13601" t="s">
        <v>29351</v>
      </c>
      <c r="N13601" t="s">
        <v>28119</v>
      </c>
      <c r="O13601" t="s">
        <v>43</v>
      </c>
      <c r="P13601">
        <v>41481</v>
      </c>
      <c r="R13601" t="s">
        <v>23</v>
      </c>
      <c r="S13601" s="1" t="s">
        <v>34218</v>
      </c>
    </row>
    <row r="13602" spans="1:19" x14ac:dyDescent="0.25">
      <c r="A13602">
        <v>100843811</v>
      </c>
      <c r="B13602" t="s">
        <v>29352</v>
      </c>
      <c r="C13602" t="s">
        <v>699</v>
      </c>
      <c r="G13602" t="s">
        <v>29353</v>
      </c>
      <c r="H13602" t="s">
        <v>3455</v>
      </c>
      <c r="I13602" t="s">
        <v>84</v>
      </c>
      <c r="J13602">
        <v>98366</v>
      </c>
      <c r="K13602">
        <v>8071</v>
      </c>
      <c r="L13602" t="s">
        <v>23</v>
      </c>
      <c r="M13602" t="s">
        <v>29353</v>
      </c>
      <c r="N13602" t="s">
        <v>3455</v>
      </c>
      <c r="O13602" t="s">
        <v>84</v>
      </c>
      <c r="P13602">
        <v>98366</v>
      </c>
      <c r="Q13602">
        <v>8071</v>
      </c>
      <c r="R13602" t="s">
        <v>23</v>
      </c>
      <c r="S13602" s="1" t="s">
        <v>34218</v>
      </c>
    </row>
    <row r="13603" spans="1:19" x14ac:dyDescent="0.25">
      <c r="A13603">
        <v>101472999</v>
      </c>
      <c r="B13603" t="s">
        <v>29354</v>
      </c>
      <c r="C13603" t="s">
        <v>498</v>
      </c>
      <c r="G13603" t="s">
        <v>29355</v>
      </c>
      <c r="H13603" t="s">
        <v>20421</v>
      </c>
      <c r="I13603" t="s">
        <v>348</v>
      </c>
      <c r="J13603">
        <v>83854</v>
      </c>
      <c r="K13603">
        <v>5611</v>
      </c>
      <c r="L13603" t="s">
        <v>23</v>
      </c>
      <c r="M13603" t="s">
        <v>29355</v>
      </c>
      <c r="N13603" t="s">
        <v>20421</v>
      </c>
      <c r="O13603" t="s">
        <v>348</v>
      </c>
      <c r="P13603">
        <v>83854</v>
      </c>
      <c r="Q13603">
        <v>5611</v>
      </c>
      <c r="R13603" t="s">
        <v>23</v>
      </c>
      <c r="S13603" s="1" t="s">
        <v>34218</v>
      </c>
    </row>
    <row r="13604" spans="1:19" x14ac:dyDescent="0.25">
      <c r="A13604">
        <v>101427036</v>
      </c>
      <c r="B13604" t="s">
        <v>706</v>
      </c>
      <c r="C13604" t="s">
        <v>1873</v>
      </c>
      <c r="G13604" t="s">
        <v>29356</v>
      </c>
      <c r="H13604" t="s">
        <v>6400</v>
      </c>
      <c r="I13604" t="s">
        <v>57</v>
      </c>
      <c r="J13604">
        <v>46118</v>
      </c>
      <c r="K13604">
        <v>9375</v>
      </c>
      <c r="L13604" t="s">
        <v>23</v>
      </c>
      <c r="M13604" t="s">
        <v>29356</v>
      </c>
      <c r="N13604" t="s">
        <v>6400</v>
      </c>
      <c r="O13604" t="s">
        <v>57</v>
      </c>
      <c r="P13604">
        <v>46118</v>
      </c>
      <c r="Q13604">
        <v>9375</v>
      </c>
      <c r="R13604" t="s">
        <v>23</v>
      </c>
      <c r="S13604" s="1" t="s">
        <v>34218</v>
      </c>
    </row>
    <row r="13605" spans="1:19" x14ac:dyDescent="0.25">
      <c r="A13605">
        <v>100904752</v>
      </c>
      <c r="B13605" t="s">
        <v>119</v>
      </c>
      <c r="C13605" t="s">
        <v>29357</v>
      </c>
      <c r="G13605" t="s">
        <v>29358</v>
      </c>
      <c r="H13605" t="s">
        <v>29359</v>
      </c>
      <c r="I13605" t="s">
        <v>191</v>
      </c>
      <c r="J13605">
        <v>4268</v>
      </c>
      <c r="K13605">
        <v>5001</v>
      </c>
      <c r="L13605" t="s">
        <v>23</v>
      </c>
      <c r="M13605" t="s">
        <v>29358</v>
      </c>
      <c r="N13605" t="s">
        <v>29359</v>
      </c>
      <c r="O13605" t="s">
        <v>191</v>
      </c>
      <c r="P13605">
        <v>4268</v>
      </c>
      <c r="Q13605">
        <v>5001</v>
      </c>
      <c r="R13605" t="s">
        <v>23</v>
      </c>
      <c r="S13605" s="1" t="s">
        <v>34218</v>
      </c>
    </row>
    <row r="13606" spans="1:19" x14ac:dyDescent="0.25">
      <c r="A13606">
        <v>101316567</v>
      </c>
      <c r="B13606" t="s">
        <v>1164</v>
      </c>
      <c r="C13606" t="s">
        <v>19</v>
      </c>
      <c r="G13606" t="s">
        <v>29360</v>
      </c>
      <c r="H13606" t="s">
        <v>4062</v>
      </c>
      <c r="I13606" t="s">
        <v>52</v>
      </c>
      <c r="J13606">
        <v>32570</v>
      </c>
      <c r="K13606">
        <v>4023</v>
      </c>
      <c r="L13606" t="s">
        <v>23</v>
      </c>
      <c r="M13606" t="s">
        <v>29360</v>
      </c>
      <c r="N13606" t="s">
        <v>4062</v>
      </c>
      <c r="O13606" t="s">
        <v>52</v>
      </c>
      <c r="P13606">
        <v>32570</v>
      </c>
      <c r="Q13606">
        <v>4023</v>
      </c>
      <c r="R13606" t="s">
        <v>23</v>
      </c>
      <c r="S13606" s="1" t="s">
        <v>34218</v>
      </c>
    </row>
    <row r="13607" spans="1:19" x14ac:dyDescent="0.25">
      <c r="A13607">
        <v>101268332</v>
      </c>
      <c r="B13607" t="s">
        <v>29361</v>
      </c>
      <c r="C13607" t="s">
        <v>5719</v>
      </c>
      <c r="G13607" t="s">
        <v>29362</v>
      </c>
      <c r="H13607" t="s">
        <v>29363</v>
      </c>
      <c r="I13607" t="s">
        <v>446</v>
      </c>
      <c r="J13607">
        <v>28043</v>
      </c>
      <c r="K13607">
        <v>3020</v>
      </c>
      <c r="L13607" t="s">
        <v>23</v>
      </c>
      <c r="M13607" t="s">
        <v>29362</v>
      </c>
      <c r="N13607" t="s">
        <v>29363</v>
      </c>
      <c r="O13607" t="s">
        <v>446</v>
      </c>
      <c r="P13607">
        <v>28043</v>
      </c>
      <c r="Q13607">
        <v>3020</v>
      </c>
      <c r="R13607" t="s">
        <v>23</v>
      </c>
      <c r="S13607" s="1" t="s">
        <v>34218</v>
      </c>
    </row>
    <row r="13608" spans="1:19" x14ac:dyDescent="0.25">
      <c r="A13608">
        <v>101426774</v>
      </c>
      <c r="B13608" t="s">
        <v>29364</v>
      </c>
      <c r="C13608" t="s">
        <v>305</v>
      </c>
      <c r="G13608" t="s">
        <v>29365</v>
      </c>
      <c r="H13608" t="s">
        <v>6881</v>
      </c>
      <c r="I13608" t="s">
        <v>52</v>
      </c>
      <c r="J13608">
        <v>33062</v>
      </c>
      <c r="K13608">
        <v>3133</v>
      </c>
      <c r="L13608" t="s">
        <v>23</v>
      </c>
      <c r="M13608" t="s">
        <v>29365</v>
      </c>
      <c r="N13608" t="s">
        <v>6881</v>
      </c>
      <c r="O13608" t="s">
        <v>52</v>
      </c>
      <c r="P13608">
        <v>33062</v>
      </c>
      <c r="Q13608">
        <v>3133</v>
      </c>
      <c r="R13608" t="s">
        <v>23</v>
      </c>
      <c r="S13608" s="1" t="s">
        <v>34218</v>
      </c>
    </row>
    <row r="13609" spans="1:19" x14ac:dyDescent="0.25">
      <c r="A13609">
        <v>101456500</v>
      </c>
      <c r="B13609" t="s">
        <v>5122</v>
      </c>
      <c r="C13609" t="s">
        <v>787</v>
      </c>
      <c r="G13609" t="s">
        <v>29366</v>
      </c>
      <c r="H13609" t="s">
        <v>29367</v>
      </c>
      <c r="I13609" t="s">
        <v>117</v>
      </c>
      <c r="J13609">
        <v>12839</v>
      </c>
      <c r="K13609">
        <v>2684</v>
      </c>
      <c r="L13609" t="s">
        <v>23</v>
      </c>
      <c r="M13609" t="s">
        <v>29366</v>
      </c>
      <c r="N13609" t="s">
        <v>29367</v>
      </c>
      <c r="O13609" t="s">
        <v>117</v>
      </c>
      <c r="P13609">
        <v>12839</v>
      </c>
      <c r="Q13609">
        <v>2684</v>
      </c>
      <c r="R13609" t="s">
        <v>23</v>
      </c>
      <c r="S13609" s="1" t="s">
        <v>34218</v>
      </c>
    </row>
    <row r="13610" spans="1:19" x14ac:dyDescent="0.25">
      <c r="A13610">
        <v>100775567</v>
      </c>
      <c r="B13610" t="s">
        <v>20922</v>
      </c>
      <c r="C13610" t="s">
        <v>158</v>
      </c>
      <c r="G13610" t="s">
        <v>29368</v>
      </c>
      <c r="H13610" t="s">
        <v>2724</v>
      </c>
      <c r="I13610" t="s">
        <v>22</v>
      </c>
      <c r="J13610">
        <v>95661</v>
      </c>
      <c r="K13610">
        <v>3840</v>
      </c>
      <c r="L13610" t="s">
        <v>23</v>
      </c>
      <c r="M13610" t="s">
        <v>29368</v>
      </c>
      <c r="N13610" t="s">
        <v>2724</v>
      </c>
      <c r="O13610" t="s">
        <v>22</v>
      </c>
      <c r="P13610">
        <v>95661</v>
      </c>
      <c r="Q13610">
        <v>3840</v>
      </c>
      <c r="R13610" t="s">
        <v>23</v>
      </c>
      <c r="S13610" s="1" t="s">
        <v>34218</v>
      </c>
    </row>
    <row r="13611" spans="1:19" x14ac:dyDescent="0.25">
      <c r="A13611">
        <v>101456524</v>
      </c>
      <c r="B13611" t="s">
        <v>29369</v>
      </c>
      <c r="C13611" t="s">
        <v>2287</v>
      </c>
      <c r="G13611" t="s">
        <v>29370</v>
      </c>
      <c r="H13611" t="s">
        <v>15322</v>
      </c>
      <c r="I13611" t="s">
        <v>250</v>
      </c>
      <c r="J13611">
        <v>8043</v>
      </c>
      <c r="K13611">
        <v>2957</v>
      </c>
      <c r="L13611" t="s">
        <v>23</v>
      </c>
      <c r="M13611" t="s">
        <v>29370</v>
      </c>
      <c r="N13611" t="s">
        <v>15322</v>
      </c>
      <c r="O13611" t="s">
        <v>250</v>
      </c>
      <c r="P13611">
        <v>8043</v>
      </c>
      <c r="Q13611">
        <v>2957</v>
      </c>
      <c r="R13611" t="s">
        <v>23</v>
      </c>
      <c r="S13611" s="1" t="s">
        <v>34218</v>
      </c>
    </row>
    <row r="13612" spans="1:19" x14ac:dyDescent="0.25">
      <c r="A13612">
        <v>101428614</v>
      </c>
      <c r="B13612" t="s">
        <v>29371</v>
      </c>
      <c r="C13612" t="s">
        <v>15768</v>
      </c>
      <c r="G13612" t="s">
        <v>29372</v>
      </c>
      <c r="H13612" t="s">
        <v>3268</v>
      </c>
      <c r="I13612" t="s">
        <v>161</v>
      </c>
      <c r="J13612">
        <v>6517</v>
      </c>
      <c r="K13612">
        <v>2842</v>
      </c>
      <c r="L13612" t="s">
        <v>23</v>
      </c>
      <c r="M13612" t="s">
        <v>29372</v>
      </c>
      <c r="N13612" t="s">
        <v>3268</v>
      </c>
      <c r="O13612" t="s">
        <v>161</v>
      </c>
      <c r="P13612">
        <v>6517</v>
      </c>
      <c r="Q13612">
        <v>2842</v>
      </c>
      <c r="R13612" t="s">
        <v>23</v>
      </c>
      <c r="S13612" s="1" t="s">
        <v>34218</v>
      </c>
    </row>
    <row r="13613" spans="1:19" x14ac:dyDescent="0.25">
      <c r="A13613">
        <v>101456558</v>
      </c>
      <c r="B13613" t="s">
        <v>29373</v>
      </c>
      <c r="C13613" t="s">
        <v>3670</v>
      </c>
      <c r="G13613" t="s">
        <v>29374</v>
      </c>
      <c r="H13613" t="s">
        <v>6589</v>
      </c>
      <c r="I13613" t="s">
        <v>365</v>
      </c>
      <c r="J13613">
        <v>85340</v>
      </c>
      <c r="K13613">
        <v>6119</v>
      </c>
      <c r="L13613" t="s">
        <v>23</v>
      </c>
      <c r="M13613" t="s">
        <v>29374</v>
      </c>
      <c r="N13613" t="s">
        <v>6589</v>
      </c>
      <c r="O13613" t="s">
        <v>365</v>
      </c>
      <c r="P13613">
        <v>85340</v>
      </c>
      <c r="Q13613">
        <v>6119</v>
      </c>
      <c r="R13613" t="s">
        <v>23</v>
      </c>
      <c r="S13613" s="1" t="s">
        <v>34218</v>
      </c>
    </row>
    <row r="13614" spans="1:19" x14ac:dyDescent="0.25">
      <c r="A13614">
        <v>101440286</v>
      </c>
      <c r="B13614" t="s">
        <v>29375</v>
      </c>
      <c r="C13614" t="s">
        <v>29376</v>
      </c>
      <c r="G13614" t="s">
        <v>29377</v>
      </c>
      <c r="H13614" t="s">
        <v>1333</v>
      </c>
      <c r="I13614" t="s">
        <v>446</v>
      </c>
      <c r="J13614">
        <v>28601</v>
      </c>
      <c r="K13614">
        <v>7928</v>
      </c>
      <c r="L13614" t="s">
        <v>23</v>
      </c>
      <c r="M13614" t="s">
        <v>29377</v>
      </c>
      <c r="N13614" t="s">
        <v>1333</v>
      </c>
      <c r="O13614" t="s">
        <v>446</v>
      </c>
      <c r="P13614">
        <v>28601</v>
      </c>
      <c r="Q13614">
        <v>7928</v>
      </c>
      <c r="R13614" t="s">
        <v>23</v>
      </c>
      <c r="S13614" s="1" t="s">
        <v>34218</v>
      </c>
    </row>
    <row r="13615" spans="1:19" x14ac:dyDescent="0.25">
      <c r="A13615">
        <v>101428478</v>
      </c>
      <c r="B13615" t="s">
        <v>29378</v>
      </c>
      <c r="C13615" t="s">
        <v>2518</v>
      </c>
      <c r="G13615" t="s">
        <v>29379</v>
      </c>
      <c r="H13615" t="s">
        <v>3089</v>
      </c>
      <c r="I13615" t="s">
        <v>203</v>
      </c>
      <c r="J13615">
        <v>83014</v>
      </c>
      <c r="K13615">
        <v>9174</v>
      </c>
      <c r="L13615" t="s">
        <v>23</v>
      </c>
      <c r="M13615" t="s">
        <v>29379</v>
      </c>
      <c r="N13615" t="s">
        <v>3089</v>
      </c>
      <c r="O13615" t="s">
        <v>203</v>
      </c>
      <c r="P13615">
        <v>83014</v>
      </c>
      <c r="Q13615">
        <v>9174</v>
      </c>
      <c r="R13615" t="s">
        <v>23</v>
      </c>
      <c r="S13615" s="1" t="s">
        <v>34218</v>
      </c>
    </row>
    <row r="13616" spans="1:19" x14ac:dyDescent="0.25">
      <c r="A13616">
        <v>101266967</v>
      </c>
      <c r="B13616" t="s">
        <v>29380</v>
      </c>
      <c r="C13616" t="s">
        <v>531</v>
      </c>
      <c r="G13616" t="s">
        <v>29381</v>
      </c>
      <c r="H13616" t="s">
        <v>4632</v>
      </c>
      <c r="I13616" t="s">
        <v>178</v>
      </c>
      <c r="J13616">
        <v>43220</v>
      </c>
      <c r="K13616">
        <v>4309</v>
      </c>
      <c r="L13616" t="s">
        <v>23</v>
      </c>
      <c r="M13616" t="s">
        <v>29381</v>
      </c>
      <c r="N13616" t="s">
        <v>4632</v>
      </c>
      <c r="O13616" t="s">
        <v>178</v>
      </c>
      <c r="P13616">
        <v>43220</v>
      </c>
      <c r="Q13616">
        <v>4309</v>
      </c>
      <c r="R13616" t="s">
        <v>23</v>
      </c>
      <c r="S13616" s="1" t="s">
        <v>34218</v>
      </c>
    </row>
    <row r="13617" spans="1:19" x14ac:dyDescent="0.25">
      <c r="A13617">
        <v>101287142</v>
      </c>
      <c r="B13617" t="s">
        <v>29382</v>
      </c>
      <c r="C13617" t="s">
        <v>1835</v>
      </c>
      <c r="G13617" t="s">
        <v>29383</v>
      </c>
      <c r="H13617" t="s">
        <v>5742</v>
      </c>
      <c r="I13617" t="s">
        <v>250</v>
      </c>
      <c r="J13617">
        <v>8753</v>
      </c>
      <c r="K13617">
        <v>5601</v>
      </c>
      <c r="L13617" t="s">
        <v>23</v>
      </c>
      <c r="M13617" t="s">
        <v>29383</v>
      </c>
      <c r="N13617" t="s">
        <v>5742</v>
      </c>
      <c r="O13617" t="s">
        <v>250</v>
      </c>
      <c r="P13617">
        <v>8753</v>
      </c>
      <c r="Q13617">
        <v>5601</v>
      </c>
      <c r="R13617" t="s">
        <v>23</v>
      </c>
      <c r="S13617" s="1" t="s">
        <v>34218</v>
      </c>
    </row>
    <row r="13618" spans="1:19" x14ac:dyDescent="0.25">
      <c r="A13618">
        <v>101277881</v>
      </c>
      <c r="B13618" t="s">
        <v>29384</v>
      </c>
      <c r="C13618" t="s">
        <v>367</v>
      </c>
      <c r="G13618" t="s">
        <v>29385</v>
      </c>
      <c r="H13618" t="s">
        <v>3485</v>
      </c>
      <c r="I13618" t="s">
        <v>914</v>
      </c>
      <c r="J13618">
        <v>37615</v>
      </c>
      <c r="K13618">
        <v>2840</v>
      </c>
      <c r="L13618" t="s">
        <v>23</v>
      </c>
      <c r="M13618" t="s">
        <v>29385</v>
      </c>
      <c r="N13618" t="s">
        <v>3485</v>
      </c>
      <c r="O13618" t="s">
        <v>914</v>
      </c>
      <c r="P13618">
        <v>37615</v>
      </c>
      <c r="Q13618">
        <v>2840</v>
      </c>
      <c r="R13618" t="s">
        <v>23</v>
      </c>
      <c r="S13618" s="1" t="s">
        <v>34218</v>
      </c>
    </row>
    <row r="13619" spans="1:19" x14ac:dyDescent="0.25">
      <c r="A13619">
        <v>101309781</v>
      </c>
      <c r="B13619" t="s">
        <v>17071</v>
      </c>
      <c r="C13619" t="s">
        <v>29386</v>
      </c>
      <c r="G13619" t="s">
        <v>29387</v>
      </c>
      <c r="H13619" t="s">
        <v>17585</v>
      </c>
      <c r="I13619" t="s">
        <v>71</v>
      </c>
      <c r="J13619">
        <v>80126</v>
      </c>
      <c r="K13619">
        <v>4008</v>
      </c>
      <c r="L13619" t="s">
        <v>23</v>
      </c>
      <c r="M13619" t="s">
        <v>29387</v>
      </c>
      <c r="N13619" t="s">
        <v>17585</v>
      </c>
      <c r="O13619" t="s">
        <v>71</v>
      </c>
      <c r="P13619">
        <v>80126</v>
      </c>
      <c r="Q13619">
        <v>4008</v>
      </c>
      <c r="R13619" t="s">
        <v>23</v>
      </c>
      <c r="S13619" s="1" t="s">
        <v>34218</v>
      </c>
    </row>
    <row r="13620" spans="1:19" x14ac:dyDescent="0.25">
      <c r="A13620">
        <v>100979618</v>
      </c>
      <c r="B13620" t="s">
        <v>29388</v>
      </c>
      <c r="C13620" t="s">
        <v>554</v>
      </c>
      <c r="G13620" t="s">
        <v>29389</v>
      </c>
      <c r="H13620" t="s">
        <v>29390</v>
      </c>
      <c r="I13620" t="s">
        <v>33</v>
      </c>
      <c r="J13620">
        <v>17350</v>
      </c>
      <c r="K13620">
        <v>6103</v>
      </c>
      <c r="L13620" t="s">
        <v>23</v>
      </c>
      <c r="M13620" t="s">
        <v>29389</v>
      </c>
      <c r="N13620" t="s">
        <v>29390</v>
      </c>
      <c r="O13620" t="s">
        <v>33</v>
      </c>
      <c r="P13620">
        <v>17350</v>
      </c>
      <c r="Q13620">
        <v>6103</v>
      </c>
      <c r="R13620" t="s">
        <v>23</v>
      </c>
      <c r="S13620" s="1" t="s">
        <v>34218</v>
      </c>
    </row>
    <row r="13621" spans="1:19" x14ac:dyDescent="0.25">
      <c r="A13621">
        <v>101251078</v>
      </c>
      <c r="B13621" t="s">
        <v>29391</v>
      </c>
      <c r="C13621" t="s">
        <v>309</v>
      </c>
      <c r="G13621" t="s">
        <v>29392</v>
      </c>
      <c r="H13621" t="s">
        <v>10093</v>
      </c>
      <c r="I13621" t="s">
        <v>84</v>
      </c>
      <c r="J13621">
        <v>98382</v>
      </c>
      <c r="K13621">
        <v>8513</v>
      </c>
      <c r="L13621" t="s">
        <v>23</v>
      </c>
      <c r="M13621" t="s">
        <v>29392</v>
      </c>
      <c r="N13621" t="s">
        <v>10093</v>
      </c>
      <c r="O13621" t="s">
        <v>84</v>
      </c>
      <c r="P13621">
        <v>98382</v>
      </c>
      <c r="Q13621">
        <v>8513</v>
      </c>
      <c r="R13621" t="s">
        <v>23</v>
      </c>
      <c r="S13621" s="1" t="s">
        <v>34218</v>
      </c>
    </row>
    <row r="13622" spans="1:19" x14ac:dyDescent="0.25">
      <c r="A13622">
        <v>101255091</v>
      </c>
      <c r="B13622" t="s">
        <v>2689</v>
      </c>
      <c r="C13622" t="s">
        <v>29393</v>
      </c>
      <c r="G13622" t="s">
        <v>29394</v>
      </c>
      <c r="H13622" t="s">
        <v>29395</v>
      </c>
      <c r="I13622" t="s">
        <v>1097</v>
      </c>
      <c r="J13622">
        <v>41824</v>
      </c>
      <c r="K13622">
        <v>8950</v>
      </c>
      <c r="L13622" t="s">
        <v>23</v>
      </c>
      <c r="M13622" t="s">
        <v>29394</v>
      </c>
      <c r="N13622" t="s">
        <v>29395</v>
      </c>
      <c r="O13622" t="s">
        <v>1097</v>
      </c>
      <c r="P13622">
        <v>41824</v>
      </c>
      <c r="Q13622">
        <v>8950</v>
      </c>
      <c r="R13622" t="s">
        <v>23</v>
      </c>
      <c r="S13622" s="1" t="s">
        <v>34218</v>
      </c>
    </row>
    <row r="13623" spans="1:19" x14ac:dyDescent="0.25">
      <c r="A13623">
        <v>101028979</v>
      </c>
      <c r="B13623" t="s">
        <v>4902</v>
      </c>
      <c r="C13623" t="s">
        <v>29396</v>
      </c>
      <c r="G13623" t="s">
        <v>29397</v>
      </c>
      <c r="H13623" t="s">
        <v>227</v>
      </c>
      <c r="I13623" t="s">
        <v>191</v>
      </c>
      <c r="J13623">
        <v>4102</v>
      </c>
      <c r="K13623">
        <v>3439</v>
      </c>
      <c r="L13623" t="s">
        <v>23</v>
      </c>
      <c r="M13623" t="s">
        <v>29397</v>
      </c>
      <c r="N13623" t="s">
        <v>227</v>
      </c>
      <c r="O13623" t="s">
        <v>191</v>
      </c>
      <c r="P13623">
        <v>4102</v>
      </c>
      <c r="Q13623">
        <v>3439</v>
      </c>
      <c r="R13623" t="s">
        <v>23</v>
      </c>
      <c r="S13623" s="1" t="s">
        <v>34218</v>
      </c>
    </row>
    <row r="13624" spans="1:19" x14ac:dyDescent="0.25">
      <c r="A13624">
        <v>101448298</v>
      </c>
      <c r="B13624" t="s">
        <v>3927</v>
      </c>
      <c r="C13624" t="s">
        <v>1623</v>
      </c>
      <c r="G13624" t="s">
        <v>29398</v>
      </c>
      <c r="H13624" t="s">
        <v>29399</v>
      </c>
      <c r="I13624" t="s">
        <v>135</v>
      </c>
      <c r="J13624">
        <v>61489</v>
      </c>
      <c r="K13624">
        <v>9463</v>
      </c>
      <c r="L13624" t="s">
        <v>23</v>
      </c>
      <c r="M13624" t="s">
        <v>29398</v>
      </c>
      <c r="N13624" t="s">
        <v>29399</v>
      </c>
      <c r="O13624" t="s">
        <v>135</v>
      </c>
      <c r="P13624">
        <v>61489</v>
      </c>
      <c r="Q13624">
        <v>9463</v>
      </c>
      <c r="R13624" t="s">
        <v>23</v>
      </c>
      <c r="S13624" s="1" t="s">
        <v>34218</v>
      </c>
    </row>
    <row r="13625" spans="1:19" x14ac:dyDescent="0.25">
      <c r="A13625">
        <v>101465721</v>
      </c>
      <c r="B13625" t="s">
        <v>29400</v>
      </c>
      <c r="C13625" t="s">
        <v>483</v>
      </c>
      <c r="G13625" t="s">
        <v>29401</v>
      </c>
      <c r="H13625" t="s">
        <v>21298</v>
      </c>
      <c r="I13625" t="s">
        <v>52</v>
      </c>
      <c r="J13625">
        <v>34652</v>
      </c>
      <c r="K13625">
        <v>2332</v>
      </c>
      <c r="L13625" t="s">
        <v>23</v>
      </c>
      <c r="M13625" t="s">
        <v>29401</v>
      </c>
      <c r="N13625" t="s">
        <v>21298</v>
      </c>
      <c r="O13625" t="s">
        <v>52</v>
      </c>
      <c r="P13625">
        <v>34652</v>
      </c>
      <c r="Q13625">
        <v>2332</v>
      </c>
      <c r="R13625" t="s">
        <v>23</v>
      </c>
      <c r="S13625" s="1" t="s">
        <v>34218</v>
      </c>
    </row>
    <row r="13626" spans="1:19" x14ac:dyDescent="0.25">
      <c r="A13626">
        <v>101426810</v>
      </c>
      <c r="B13626" t="s">
        <v>29402</v>
      </c>
      <c r="C13626" t="s">
        <v>20355</v>
      </c>
      <c r="G13626" t="s">
        <v>29403</v>
      </c>
      <c r="H13626" t="s">
        <v>2802</v>
      </c>
      <c r="I13626" t="s">
        <v>241</v>
      </c>
      <c r="J13626">
        <v>66044</v>
      </c>
      <c r="L13626" t="s">
        <v>23</v>
      </c>
      <c r="M13626" t="s">
        <v>29403</v>
      </c>
      <c r="N13626" t="s">
        <v>2802</v>
      </c>
      <c r="O13626" t="s">
        <v>241</v>
      </c>
      <c r="P13626">
        <v>66044</v>
      </c>
      <c r="R13626" t="s">
        <v>23</v>
      </c>
      <c r="S13626" s="1" t="s">
        <v>34218</v>
      </c>
    </row>
    <row r="13627" spans="1:19" x14ac:dyDescent="0.25">
      <c r="A13627">
        <v>100527820</v>
      </c>
      <c r="B13627" t="s">
        <v>29404</v>
      </c>
      <c r="C13627" t="s">
        <v>1467</v>
      </c>
      <c r="G13627" t="s">
        <v>29405</v>
      </c>
      <c r="H13627" t="s">
        <v>9357</v>
      </c>
      <c r="I13627" t="s">
        <v>1226</v>
      </c>
      <c r="J13627">
        <v>39759</v>
      </c>
      <c r="K13627">
        <v>3624</v>
      </c>
      <c r="L13627" t="s">
        <v>23</v>
      </c>
      <c r="M13627" t="s">
        <v>29405</v>
      </c>
      <c r="N13627" t="s">
        <v>9357</v>
      </c>
      <c r="O13627" t="s">
        <v>1226</v>
      </c>
      <c r="P13627">
        <v>39759</v>
      </c>
      <c r="Q13627">
        <v>3624</v>
      </c>
      <c r="R13627" t="s">
        <v>23</v>
      </c>
      <c r="S13627" s="1" t="s">
        <v>34218</v>
      </c>
    </row>
    <row r="13628" spans="1:19" x14ac:dyDescent="0.25">
      <c r="A13628">
        <v>101467656</v>
      </c>
      <c r="B13628" t="s">
        <v>12478</v>
      </c>
      <c r="C13628" t="s">
        <v>17838</v>
      </c>
      <c r="G13628" t="s">
        <v>29406</v>
      </c>
      <c r="H13628" t="s">
        <v>11241</v>
      </c>
      <c r="I13628" t="s">
        <v>33</v>
      </c>
      <c r="J13628">
        <v>15317</v>
      </c>
      <c r="K13628">
        <v>2788</v>
      </c>
      <c r="L13628" t="s">
        <v>23</v>
      </c>
      <c r="M13628" t="s">
        <v>29406</v>
      </c>
      <c r="N13628" t="s">
        <v>11241</v>
      </c>
      <c r="O13628" t="s">
        <v>33</v>
      </c>
      <c r="P13628">
        <v>15317</v>
      </c>
      <c r="Q13628">
        <v>2788</v>
      </c>
      <c r="R13628" t="s">
        <v>23</v>
      </c>
      <c r="S13628" s="1" t="s">
        <v>34218</v>
      </c>
    </row>
    <row r="13629" spans="1:19" x14ac:dyDescent="0.25">
      <c r="A13629">
        <v>100593025</v>
      </c>
      <c r="B13629" t="s">
        <v>3705</v>
      </c>
      <c r="C13629" t="s">
        <v>3590</v>
      </c>
      <c r="G13629" t="s">
        <v>29407</v>
      </c>
      <c r="H13629" t="s">
        <v>29408</v>
      </c>
      <c r="I13629" t="s">
        <v>22</v>
      </c>
      <c r="J13629">
        <v>96148</v>
      </c>
      <c r="L13629" t="s">
        <v>23</v>
      </c>
      <c r="M13629" t="s">
        <v>29407</v>
      </c>
      <c r="N13629" t="s">
        <v>29408</v>
      </c>
      <c r="O13629" t="s">
        <v>22</v>
      </c>
      <c r="P13629">
        <v>96148</v>
      </c>
      <c r="R13629" t="s">
        <v>23</v>
      </c>
      <c r="S13629" s="1" t="s">
        <v>34218</v>
      </c>
    </row>
    <row r="13630" spans="1:19" x14ac:dyDescent="0.25">
      <c r="A13630">
        <v>101468670</v>
      </c>
      <c r="B13630" t="s">
        <v>7225</v>
      </c>
      <c r="C13630" t="s">
        <v>2173</v>
      </c>
      <c r="G13630" t="s">
        <v>29409</v>
      </c>
      <c r="H13630" t="s">
        <v>9693</v>
      </c>
      <c r="I13630" t="s">
        <v>33</v>
      </c>
      <c r="J13630">
        <v>19462</v>
      </c>
      <c r="K13630">
        <v>2105</v>
      </c>
      <c r="L13630" t="s">
        <v>23</v>
      </c>
      <c r="M13630" t="s">
        <v>29409</v>
      </c>
      <c r="N13630" t="s">
        <v>9693</v>
      </c>
      <c r="O13630" t="s">
        <v>33</v>
      </c>
      <c r="P13630">
        <v>19462</v>
      </c>
      <c r="Q13630">
        <v>2105</v>
      </c>
      <c r="R13630" t="s">
        <v>23</v>
      </c>
      <c r="S13630" s="1" t="s">
        <v>34218</v>
      </c>
    </row>
    <row r="13631" spans="1:19" x14ac:dyDescent="0.25">
      <c r="A13631">
        <v>101201023</v>
      </c>
      <c r="B13631" t="s">
        <v>29410</v>
      </c>
      <c r="C13631" t="s">
        <v>1036</v>
      </c>
      <c r="G13631" t="s">
        <v>29411</v>
      </c>
      <c r="H13631" t="s">
        <v>29412</v>
      </c>
      <c r="I13631" t="s">
        <v>33</v>
      </c>
      <c r="J13631">
        <v>19026</v>
      </c>
      <c r="K13631">
        <v>4210</v>
      </c>
      <c r="L13631" t="s">
        <v>23</v>
      </c>
      <c r="M13631" t="s">
        <v>29411</v>
      </c>
      <c r="N13631" t="s">
        <v>29412</v>
      </c>
      <c r="O13631" t="s">
        <v>33</v>
      </c>
      <c r="P13631">
        <v>19026</v>
      </c>
      <c r="Q13631">
        <v>4210</v>
      </c>
      <c r="R13631" t="s">
        <v>23</v>
      </c>
      <c r="S13631" s="1" t="s">
        <v>34218</v>
      </c>
    </row>
    <row r="13632" spans="1:19" x14ac:dyDescent="0.25">
      <c r="A13632">
        <v>101249764</v>
      </c>
      <c r="B13632" t="s">
        <v>29413</v>
      </c>
      <c r="C13632" t="s">
        <v>252</v>
      </c>
      <c r="G13632" t="s">
        <v>29414</v>
      </c>
      <c r="H13632" t="s">
        <v>1748</v>
      </c>
      <c r="I13632" t="s">
        <v>84</v>
      </c>
      <c r="J13632">
        <v>98223</v>
      </c>
      <c r="K13632">
        <v>8110</v>
      </c>
      <c r="L13632" t="s">
        <v>23</v>
      </c>
      <c r="M13632" t="s">
        <v>29414</v>
      </c>
      <c r="N13632" t="s">
        <v>1748</v>
      </c>
      <c r="O13632" t="s">
        <v>84</v>
      </c>
      <c r="P13632">
        <v>98223</v>
      </c>
      <c r="Q13632">
        <v>8110</v>
      </c>
      <c r="R13632" t="s">
        <v>23</v>
      </c>
      <c r="S13632" s="1" t="s">
        <v>34218</v>
      </c>
    </row>
    <row r="13633" spans="1:19" x14ac:dyDescent="0.25">
      <c r="A13633">
        <v>100625604</v>
      </c>
      <c r="B13633" t="s">
        <v>29415</v>
      </c>
      <c r="C13633" t="s">
        <v>1374</v>
      </c>
      <c r="G13633" t="s">
        <v>29416</v>
      </c>
      <c r="H13633" t="s">
        <v>1579</v>
      </c>
      <c r="I13633" t="s">
        <v>71</v>
      </c>
      <c r="J13633">
        <v>80016</v>
      </c>
      <c r="K13633">
        <v>1186</v>
      </c>
      <c r="L13633" t="s">
        <v>23</v>
      </c>
      <c r="M13633" t="s">
        <v>29416</v>
      </c>
      <c r="N13633" t="s">
        <v>1579</v>
      </c>
      <c r="O13633" t="s">
        <v>71</v>
      </c>
      <c r="P13633">
        <v>80016</v>
      </c>
      <c r="Q13633">
        <v>1186</v>
      </c>
      <c r="R13633" t="s">
        <v>23</v>
      </c>
      <c r="S13633" s="1" t="s">
        <v>34218</v>
      </c>
    </row>
    <row r="13634" spans="1:19" x14ac:dyDescent="0.25">
      <c r="A13634">
        <v>101274701</v>
      </c>
      <c r="B13634" t="s">
        <v>5137</v>
      </c>
      <c r="C13634" t="s">
        <v>29417</v>
      </c>
      <c r="G13634" t="s">
        <v>29418</v>
      </c>
      <c r="H13634" t="s">
        <v>134</v>
      </c>
      <c r="I13634" t="s">
        <v>135</v>
      </c>
      <c r="J13634">
        <v>60611</v>
      </c>
      <c r="K13634">
        <v>4104</v>
      </c>
      <c r="L13634" t="s">
        <v>23</v>
      </c>
      <c r="M13634" t="s">
        <v>29418</v>
      </c>
      <c r="N13634" t="s">
        <v>134</v>
      </c>
      <c r="O13634" t="s">
        <v>135</v>
      </c>
      <c r="P13634">
        <v>60611</v>
      </c>
      <c r="Q13634">
        <v>4104</v>
      </c>
      <c r="R13634" t="s">
        <v>23</v>
      </c>
      <c r="S13634" s="1" t="s">
        <v>34218</v>
      </c>
    </row>
    <row r="13635" spans="1:19" x14ac:dyDescent="0.25">
      <c r="A13635">
        <v>100534096</v>
      </c>
      <c r="B13635" t="s">
        <v>29419</v>
      </c>
      <c r="C13635" t="s">
        <v>4587</v>
      </c>
      <c r="G13635" t="s">
        <v>29420</v>
      </c>
      <c r="H13635" t="s">
        <v>2020</v>
      </c>
      <c r="I13635" t="s">
        <v>100</v>
      </c>
      <c r="J13635">
        <v>54911</v>
      </c>
      <c r="L13635" t="s">
        <v>23</v>
      </c>
      <c r="M13635" t="s">
        <v>29420</v>
      </c>
      <c r="N13635" t="s">
        <v>2020</v>
      </c>
      <c r="O13635" t="s">
        <v>100</v>
      </c>
      <c r="P13635">
        <v>54911</v>
      </c>
      <c r="R13635" t="s">
        <v>23</v>
      </c>
      <c r="S13635" s="1" t="s">
        <v>34218</v>
      </c>
    </row>
    <row r="13636" spans="1:19" x14ac:dyDescent="0.25">
      <c r="A13636">
        <v>101310178</v>
      </c>
      <c r="B13636" t="s">
        <v>1164</v>
      </c>
      <c r="C13636" t="s">
        <v>1069</v>
      </c>
      <c r="G13636" t="s">
        <v>29421</v>
      </c>
      <c r="H13636" t="s">
        <v>3268</v>
      </c>
      <c r="I13636" t="s">
        <v>161</v>
      </c>
      <c r="J13636">
        <v>6517</v>
      </c>
      <c r="K13636">
        <v>1330</v>
      </c>
      <c r="L13636" t="s">
        <v>23</v>
      </c>
      <c r="M13636" t="s">
        <v>29421</v>
      </c>
      <c r="N13636" t="s">
        <v>3268</v>
      </c>
      <c r="O13636" t="s">
        <v>161</v>
      </c>
      <c r="P13636">
        <v>6517</v>
      </c>
      <c r="Q13636">
        <v>1330</v>
      </c>
      <c r="R13636" t="s">
        <v>23</v>
      </c>
      <c r="S13636" s="1" t="s">
        <v>34218</v>
      </c>
    </row>
    <row r="13637" spans="1:19" x14ac:dyDescent="0.25">
      <c r="A13637">
        <v>100862284</v>
      </c>
      <c r="B13637" t="s">
        <v>29422</v>
      </c>
      <c r="C13637" t="s">
        <v>1036</v>
      </c>
      <c r="F13637" t="str">
        <f>"4073400398"</f>
        <v>4073400398</v>
      </c>
      <c r="G13637" t="s">
        <v>29423</v>
      </c>
      <c r="H13637" t="s">
        <v>1911</v>
      </c>
      <c r="I13637" t="s">
        <v>52</v>
      </c>
      <c r="J13637">
        <v>32771</v>
      </c>
      <c r="K13637">
        <v>8526</v>
      </c>
      <c r="L13637" t="s">
        <v>23</v>
      </c>
      <c r="M13637" t="s">
        <v>29423</v>
      </c>
      <c r="N13637" t="s">
        <v>1911</v>
      </c>
      <c r="O13637" t="s">
        <v>52</v>
      </c>
      <c r="P13637">
        <v>32771</v>
      </c>
      <c r="Q13637">
        <v>8526</v>
      </c>
      <c r="R13637" t="s">
        <v>23</v>
      </c>
      <c r="S13637" s="1" t="s">
        <v>34218</v>
      </c>
    </row>
    <row r="13638" spans="1:19" x14ac:dyDescent="0.25">
      <c r="A13638">
        <v>100603767</v>
      </c>
      <c r="B13638" t="s">
        <v>29424</v>
      </c>
      <c r="C13638" t="s">
        <v>24909</v>
      </c>
      <c r="G13638" t="s">
        <v>29425</v>
      </c>
      <c r="H13638" t="s">
        <v>13036</v>
      </c>
      <c r="I13638" t="s">
        <v>2566</v>
      </c>
      <c r="J13638">
        <v>99686</v>
      </c>
      <c r="L13638" t="s">
        <v>23</v>
      </c>
      <c r="M13638" t="s">
        <v>29425</v>
      </c>
      <c r="N13638" t="s">
        <v>13036</v>
      </c>
      <c r="O13638" t="s">
        <v>2566</v>
      </c>
      <c r="P13638">
        <v>99686</v>
      </c>
      <c r="R13638" t="s">
        <v>23</v>
      </c>
      <c r="S13638" s="1" t="s">
        <v>34218</v>
      </c>
    </row>
    <row r="13639" spans="1:19" x14ac:dyDescent="0.25">
      <c r="A13639">
        <v>101118246</v>
      </c>
      <c r="B13639" t="s">
        <v>29426</v>
      </c>
      <c r="C13639" t="s">
        <v>1153</v>
      </c>
      <c r="G13639" t="s">
        <v>29427</v>
      </c>
      <c r="H13639" t="s">
        <v>1283</v>
      </c>
      <c r="I13639" t="s">
        <v>22</v>
      </c>
      <c r="J13639">
        <v>93923</v>
      </c>
      <c r="K13639">
        <v>8674</v>
      </c>
      <c r="L13639" t="s">
        <v>23</v>
      </c>
      <c r="M13639" t="s">
        <v>29427</v>
      </c>
      <c r="N13639" t="s">
        <v>1283</v>
      </c>
      <c r="O13639" t="s">
        <v>22</v>
      </c>
      <c r="P13639">
        <v>93923</v>
      </c>
      <c r="Q13639">
        <v>8674</v>
      </c>
      <c r="R13639" t="s">
        <v>23</v>
      </c>
      <c r="S13639" s="1" t="s">
        <v>34218</v>
      </c>
    </row>
    <row r="13640" spans="1:19" x14ac:dyDescent="0.25">
      <c r="A13640">
        <v>101464773</v>
      </c>
      <c r="B13640" t="s">
        <v>29428</v>
      </c>
      <c r="C13640" t="s">
        <v>1616</v>
      </c>
      <c r="G13640" t="s">
        <v>29429</v>
      </c>
      <c r="H13640" t="s">
        <v>319</v>
      </c>
      <c r="I13640" t="s">
        <v>22</v>
      </c>
      <c r="J13640">
        <v>92201</v>
      </c>
      <c r="K13640">
        <v>3511</v>
      </c>
      <c r="L13640" t="s">
        <v>23</v>
      </c>
      <c r="M13640" t="s">
        <v>29429</v>
      </c>
      <c r="N13640" t="s">
        <v>319</v>
      </c>
      <c r="O13640" t="s">
        <v>22</v>
      </c>
      <c r="P13640">
        <v>92201</v>
      </c>
      <c r="Q13640">
        <v>3511</v>
      </c>
      <c r="R13640" t="s">
        <v>23</v>
      </c>
      <c r="S13640" s="1" t="s">
        <v>34218</v>
      </c>
    </row>
    <row r="13641" spans="1:19" x14ac:dyDescent="0.25">
      <c r="A13641">
        <v>101434821</v>
      </c>
      <c r="B13641" t="s">
        <v>2061</v>
      </c>
      <c r="C13641" t="s">
        <v>5091</v>
      </c>
      <c r="G13641" t="s">
        <v>29430</v>
      </c>
      <c r="H13641" t="s">
        <v>1318</v>
      </c>
      <c r="I13641" t="s">
        <v>22</v>
      </c>
      <c r="J13641">
        <v>94598</v>
      </c>
      <c r="K13641">
        <v>3213</v>
      </c>
      <c r="L13641" t="s">
        <v>23</v>
      </c>
      <c r="M13641" t="s">
        <v>29430</v>
      </c>
      <c r="N13641" t="s">
        <v>1318</v>
      </c>
      <c r="O13641" t="s">
        <v>22</v>
      </c>
      <c r="P13641">
        <v>94598</v>
      </c>
      <c r="Q13641">
        <v>3213</v>
      </c>
      <c r="R13641" t="s">
        <v>23</v>
      </c>
      <c r="S13641" s="1" t="s">
        <v>34218</v>
      </c>
    </row>
    <row r="13642" spans="1:19" x14ac:dyDescent="0.25">
      <c r="A13642">
        <v>101446426</v>
      </c>
      <c r="B13642" t="s">
        <v>29431</v>
      </c>
      <c r="C13642" t="s">
        <v>29230</v>
      </c>
      <c r="G13642" t="s">
        <v>29432</v>
      </c>
      <c r="H13642" t="s">
        <v>29433</v>
      </c>
      <c r="I13642" t="s">
        <v>353</v>
      </c>
      <c r="J13642">
        <v>3282</v>
      </c>
      <c r="K13642">
        <v>3328</v>
      </c>
      <c r="L13642" t="s">
        <v>23</v>
      </c>
      <c r="M13642" t="s">
        <v>29432</v>
      </c>
      <c r="N13642" t="s">
        <v>29433</v>
      </c>
      <c r="O13642" t="s">
        <v>353</v>
      </c>
      <c r="P13642">
        <v>3282</v>
      </c>
      <c r="Q13642">
        <v>3328</v>
      </c>
      <c r="R13642" t="s">
        <v>23</v>
      </c>
      <c r="S13642" s="1" t="s">
        <v>34218</v>
      </c>
    </row>
    <row r="13643" spans="1:19" x14ac:dyDescent="0.25">
      <c r="A13643">
        <v>101427609</v>
      </c>
      <c r="B13643" t="s">
        <v>29434</v>
      </c>
      <c r="C13643" t="s">
        <v>8144</v>
      </c>
      <c r="G13643" t="s">
        <v>29435</v>
      </c>
      <c r="H13643" t="s">
        <v>4917</v>
      </c>
      <c r="I13643" t="s">
        <v>241</v>
      </c>
      <c r="J13643">
        <v>66609</v>
      </c>
      <c r="K13643">
        <v>1436</v>
      </c>
      <c r="L13643" t="s">
        <v>23</v>
      </c>
      <c r="M13643" t="s">
        <v>29435</v>
      </c>
      <c r="N13643" t="s">
        <v>4917</v>
      </c>
      <c r="O13643" t="s">
        <v>241</v>
      </c>
      <c r="P13643">
        <v>66609</v>
      </c>
      <c r="Q13643">
        <v>1436</v>
      </c>
      <c r="R13643" t="s">
        <v>23</v>
      </c>
      <c r="S13643" s="1" t="s">
        <v>34218</v>
      </c>
    </row>
    <row r="13644" spans="1:19" x14ac:dyDescent="0.25">
      <c r="A13644">
        <v>101445746</v>
      </c>
      <c r="B13644" t="s">
        <v>958</v>
      </c>
      <c r="C13644" t="s">
        <v>81</v>
      </c>
      <c r="G13644" t="s">
        <v>29436</v>
      </c>
      <c r="H13644" t="s">
        <v>29437</v>
      </c>
      <c r="I13644" t="s">
        <v>2537</v>
      </c>
      <c r="J13644">
        <v>72631</v>
      </c>
      <c r="L13644" t="s">
        <v>23</v>
      </c>
      <c r="M13644" t="s">
        <v>29436</v>
      </c>
      <c r="N13644" t="s">
        <v>29437</v>
      </c>
      <c r="O13644" t="s">
        <v>2537</v>
      </c>
      <c r="P13644">
        <v>72631</v>
      </c>
      <c r="R13644" t="s">
        <v>23</v>
      </c>
      <c r="S13644" s="1" t="s">
        <v>34218</v>
      </c>
    </row>
    <row r="13645" spans="1:19" x14ac:dyDescent="0.25">
      <c r="A13645">
        <v>101418329</v>
      </c>
      <c r="B13645" t="s">
        <v>6060</v>
      </c>
      <c r="C13645" t="s">
        <v>15849</v>
      </c>
      <c r="G13645" t="s">
        <v>29438</v>
      </c>
      <c r="H13645" t="s">
        <v>3186</v>
      </c>
      <c r="I13645" t="s">
        <v>22</v>
      </c>
      <c r="J13645">
        <v>90604</v>
      </c>
      <c r="K13645">
        <v>3854</v>
      </c>
      <c r="L13645" t="s">
        <v>23</v>
      </c>
      <c r="M13645" t="s">
        <v>29438</v>
      </c>
      <c r="N13645" t="s">
        <v>3186</v>
      </c>
      <c r="O13645" t="s">
        <v>22</v>
      </c>
      <c r="P13645">
        <v>90604</v>
      </c>
      <c r="Q13645">
        <v>3854</v>
      </c>
      <c r="R13645" t="s">
        <v>23</v>
      </c>
      <c r="S13645" s="1" t="s">
        <v>34218</v>
      </c>
    </row>
    <row r="13646" spans="1:19" x14ac:dyDescent="0.25">
      <c r="A13646">
        <v>101466794</v>
      </c>
      <c r="B13646" t="s">
        <v>16483</v>
      </c>
      <c r="C13646" t="s">
        <v>820</v>
      </c>
      <c r="G13646" t="s">
        <v>29439</v>
      </c>
      <c r="H13646" t="s">
        <v>105</v>
      </c>
      <c r="I13646" t="s">
        <v>126</v>
      </c>
      <c r="J13646">
        <v>63080</v>
      </c>
      <c r="K13646">
        <v>4516</v>
      </c>
      <c r="L13646" t="s">
        <v>23</v>
      </c>
      <c r="M13646" t="s">
        <v>29439</v>
      </c>
      <c r="N13646" t="s">
        <v>105</v>
      </c>
      <c r="O13646" t="s">
        <v>126</v>
      </c>
      <c r="P13646">
        <v>63080</v>
      </c>
      <c r="Q13646">
        <v>4516</v>
      </c>
      <c r="R13646" t="s">
        <v>23</v>
      </c>
      <c r="S13646" s="1" t="s">
        <v>34218</v>
      </c>
    </row>
    <row r="13647" spans="1:19" x14ac:dyDescent="0.25">
      <c r="A13647">
        <v>101249161</v>
      </c>
      <c r="B13647" t="s">
        <v>8488</v>
      </c>
      <c r="C13647" t="s">
        <v>49</v>
      </c>
      <c r="G13647" t="s">
        <v>29440</v>
      </c>
      <c r="H13647" t="s">
        <v>88</v>
      </c>
      <c r="I13647" t="s">
        <v>22</v>
      </c>
      <c r="J13647">
        <v>94607</v>
      </c>
      <c r="K13647">
        <v>2888</v>
      </c>
      <c r="L13647" t="s">
        <v>23</v>
      </c>
      <c r="M13647" t="s">
        <v>29440</v>
      </c>
      <c r="N13647" t="s">
        <v>88</v>
      </c>
      <c r="O13647" t="s">
        <v>22</v>
      </c>
      <c r="P13647">
        <v>94607</v>
      </c>
      <c r="Q13647">
        <v>2888</v>
      </c>
      <c r="R13647" t="s">
        <v>23</v>
      </c>
      <c r="S13647" s="1" t="s">
        <v>34218</v>
      </c>
    </row>
    <row r="13648" spans="1:19" x14ac:dyDescent="0.25">
      <c r="A13648">
        <v>100811856</v>
      </c>
      <c r="B13648" t="s">
        <v>6203</v>
      </c>
      <c r="C13648" t="s">
        <v>2180</v>
      </c>
      <c r="G13648" t="s">
        <v>29441</v>
      </c>
      <c r="H13648" t="s">
        <v>726</v>
      </c>
      <c r="I13648" t="s">
        <v>22</v>
      </c>
      <c r="J13648">
        <v>90404</v>
      </c>
      <c r="K13648">
        <v>1040</v>
      </c>
      <c r="L13648" t="s">
        <v>23</v>
      </c>
      <c r="M13648" t="s">
        <v>29441</v>
      </c>
      <c r="N13648" t="s">
        <v>726</v>
      </c>
      <c r="O13648" t="s">
        <v>22</v>
      </c>
      <c r="P13648">
        <v>90404</v>
      </c>
      <c r="Q13648">
        <v>1040</v>
      </c>
      <c r="R13648" t="s">
        <v>23</v>
      </c>
      <c r="S13648" s="1" t="s">
        <v>34218</v>
      </c>
    </row>
    <row r="13649" spans="1:19" x14ac:dyDescent="0.25">
      <c r="A13649">
        <v>101316333</v>
      </c>
      <c r="B13649" t="s">
        <v>7204</v>
      </c>
      <c r="C13649" t="s">
        <v>4046</v>
      </c>
      <c r="G13649" t="s">
        <v>29442</v>
      </c>
      <c r="H13649" t="s">
        <v>1863</v>
      </c>
      <c r="I13649" t="s">
        <v>126</v>
      </c>
      <c r="J13649">
        <v>64114</v>
      </c>
      <c r="K13649">
        <v>1657</v>
      </c>
      <c r="L13649" t="s">
        <v>23</v>
      </c>
      <c r="M13649" t="s">
        <v>29442</v>
      </c>
      <c r="N13649" t="s">
        <v>1863</v>
      </c>
      <c r="O13649" t="s">
        <v>126</v>
      </c>
      <c r="P13649">
        <v>64114</v>
      </c>
      <c r="Q13649">
        <v>1657</v>
      </c>
      <c r="R13649" t="s">
        <v>23</v>
      </c>
      <c r="S13649" s="1" t="s">
        <v>34218</v>
      </c>
    </row>
    <row r="13650" spans="1:19" x14ac:dyDescent="0.25">
      <c r="A13650">
        <v>101472707</v>
      </c>
      <c r="B13650" t="s">
        <v>12303</v>
      </c>
      <c r="C13650" t="s">
        <v>1859</v>
      </c>
      <c r="G13650" t="s">
        <v>25116</v>
      </c>
      <c r="H13650" t="s">
        <v>380</v>
      </c>
      <c r="I13650" t="s">
        <v>38</v>
      </c>
      <c r="J13650">
        <v>75228</v>
      </c>
      <c r="K13650">
        <v>5435</v>
      </c>
      <c r="L13650" t="s">
        <v>23</v>
      </c>
      <c r="M13650" t="s">
        <v>25116</v>
      </c>
      <c r="N13650" t="s">
        <v>380</v>
      </c>
      <c r="O13650" t="s">
        <v>38</v>
      </c>
      <c r="P13650">
        <v>75228</v>
      </c>
      <c r="Q13650">
        <v>5435</v>
      </c>
      <c r="R13650" t="s">
        <v>23</v>
      </c>
      <c r="S13650" s="1" t="s">
        <v>34218</v>
      </c>
    </row>
    <row r="13651" spans="1:19" x14ac:dyDescent="0.25">
      <c r="A13651">
        <v>101452663</v>
      </c>
      <c r="B13651" t="s">
        <v>166</v>
      </c>
      <c r="C13651" t="s">
        <v>432</v>
      </c>
      <c r="G13651" t="s">
        <v>29443</v>
      </c>
      <c r="H13651" t="s">
        <v>29444</v>
      </c>
      <c r="I13651" t="s">
        <v>22</v>
      </c>
      <c r="J13651">
        <v>92118</v>
      </c>
      <c r="K13651">
        <v>2819</v>
      </c>
      <c r="L13651" t="s">
        <v>23</v>
      </c>
      <c r="M13651" t="s">
        <v>29443</v>
      </c>
      <c r="N13651" t="s">
        <v>29444</v>
      </c>
      <c r="O13651" t="s">
        <v>22</v>
      </c>
      <c r="P13651">
        <v>92118</v>
      </c>
      <c r="Q13651">
        <v>2819</v>
      </c>
      <c r="R13651" t="s">
        <v>23</v>
      </c>
      <c r="S13651" s="1" t="s">
        <v>34218</v>
      </c>
    </row>
    <row r="13652" spans="1:19" x14ac:dyDescent="0.25">
      <c r="A13652">
        <v>101452188</v>
      </c>
      <c r="B13652" t="s">
        <v>29445</v>
      </c>
      <c r="C13652" t="s">
        <v>158</v>
      </c>
      <c r="G13652" t="s">
        <v>29446</v>
      </c>
      <c r="H13652" t="s">
        <v>4021</v>
      </c>
      <c r="I13652" t="s">
        <v>22</v>
      </c>
      <c r="J13652">
        <v>91381</v>
      </c>
      <c r="K13652">
        <v>1686</v>
      </c>
      <c r="L13652" t="s">
        <v>23</v>
      </c>
      <c r="M13652" t="s">
        <v>29446</v>
      </c>
      <c r="N13652" t="s">
        <v>4021</v>
      </c>
      <c r="O13652" t="s">
        <v>22</v>
      </c>
      <c r="P13652">
        <v>91381</v>
      </c>
      <c r="Q13652">
        <v>1686</v>
      </c>
      <c r="R13652" t="s">
        <v>23</v>
      </c>
      <c r="S13652" s="1" t="s">
        <v>34218</v>
      </c>
    </row>
    <row r="13653" spans="1:19" x14ac:dyDescent="0.25">
      <c r="A13653">
        <v>101244332</v>
      </c>
      <c r="B13653" t="s">
        <v>29447</v>
      </c>
      <c r="C13653" t="s">
        <v>102</v>
      </c>
      <c r="G13653" t="s">
        <v>29448</v>
      </c>
      <c r="H13653" t="s">
        <v>360</v>
      </c>
      <c r="I13653" t="s">
        <v>22</v>
      </c>
      <c r="J13653">
        <v>94087</v>
      </c>
      <c r="K13653">
        <v>2493</v>
      </c>
      <c r="L13653" t="s">
        <v>23</v>
      </c>
      <c r="M13653" t="s">
        <v>29448</v>
      </c>
      <c r="N13653" t="s">
        <v>360</v>
      </c>
      <c r="O13653" t="s">
        <v>22</v>
      </c>
      <c r="P13653">
        <v>94087</v>
      </c>
      <c r="Q13653">
        <v>2493</v>
      </c>
      <c r="R13653" t="s">
        <v>23</v>
      </c>
      <c r="S13653" s="1" t="s">
        <v>34218</v>
      </c>
    </row>
    <row r="13654" spans="1:19" x14ac:dyDescent="0.25">
      <c r="A13654">
        <v>101468737</v>
      </c>
      <c r="B13654" t="s">
        <v>8341</v>
      </c>
      <c r="C13654" t="s">
        <v>1506</v>
      </c>
      <c r="G13654" t="s">
        <v>29449</v>
      </c>
      <c r="H13654" t="s">
        <v>311</v>
      </c>
      <c r="I13654" t="s">
        <v>22</v>
      </c>
      <c r="J13654">
        <v>90808</v>
      </c>
      <c r="K13654">
        <v>2417</v>
      </c>
      <c r="L13654" t="s">
        <v>23</v>
      </c>
      <c r="M13654" t="s">
        <v>29449</v>
      </c>
      <c r="N13654" t="s">
        <v>311</v>
      </c>
      <c r="O13654" t="s">
        <v>22</v>
      </c>
      <c r="P13654">
        <v>90808</v>
      </c>
      <c r="Q13654">
        <v>2417</v>
      </c>
      <c r="R13654" t="s">
        <v>23</v>
      </c>
      <c r="S13654" s="1" t="s">
        <v>34218</v>
      </c>
    </row>
    <row r="13655" spans="1:19" x14ac:dyDescent="0.25">
      <c r="A13655">
        <v>101014808</v>
      </c>
      <c r="B13655" t="s">
        <v>29450</v>
      </c>
      <c r="C13655" t="s">
        <v>29451</v>
      </c>
      <c r="G13655" t="s">
        <v>29452</v>
      </c>
      <c r="H13655" t="s">
        <v>625</v>
      </c>
      <c r="I13655" t="s">
        <v>365</v>
      </c>
      <c r="J13655">
        <v>85209</v>
      </c>
      <c r="K13655">
        <v>5422</v>
      </c>
      <c r="L13655" t="s">
        <v>23</v>
      </c>
      <c r="M13655" t="s">
        <v>29452</v>
      </c>
      <c r="N13655" t="s">
        <v>625</v>
      </c>
      <c r="O13655" t="s">
        <v>365</v>
      </c>
      <c r="P13655">
        <v>85209</v>
      </c>
      <c r="Q13655">
        <v>5422</v>
      </c>
      <c r="R13655" t="s">
        <v>23</v>
      </c>
      <c r="S13655" s="1" t="s">
        <v>34218</v>
      </c>
    </row>
    <row r="13656" spans="1:19" x14ac:dyDescent="0.25">
      <c r="A13656">
        <v>101075834</v>
      </c>
      <c r="B13656" t="s">
        <v>281</v>
      </c>
      <c r="C13656" t="s">
        <v>498</v>
      </c>
      <c r="G13656" t="s">
        <v>29453</v>
      </c>
      <c r="H13656" t="s">
        <v>108</v>
      </c>
      <c r="I13656" t="s">
        <v>22</v>
      </c>
      <c r="J13656">
        <v>93003</v>
      </c>
      <c r="K13656">
        <v>8260</v>
      </c>
      <c r="L13656" t="s">
        <v>23</v>
      </c>
      <c r="M13656" t="s">
        <v>29453</v>
      </c>
      <c r="N13656" t="s">
        <v>108</v>
      </c>
      <c r="O13656" t="s">
        <v>22</v>
      </c>
      <c r="P13656">
        <v>93003</v>
      </c>
      <c r="Q13656">
        <v>8260</v>
      </c>
      <c r="R13656" t="s">
        <v>23</v>
      </c>
      <c r="S13656" s="1" t="s">
        <v>34218</v>
      </c>
    </row>
    <row r="13657" spans="1:19" x14ac:dyDescent="0.25">
      <c r="A13657">
        <v>101100427</v>
      </c>
      <c r="B13657" t="s">
        <v>29454</v>
      </c>
      <c r="C13657" t="s">
        <v>68</v>
      </c>
      <c r="G13657" t="s">
        <v>29455</v>
      </c>
      <c r="H13657" t="s">
        <v>650</v>
      </c>
      <c r="I13657" t="s">
        <v>22</v>
      </c>
      <c r="J13657">
        <v>95822</v>
      </c>
      <c r="K13657">
        <v>1225</v>
      </c>
      <c r="L13657" t="s">
        <v>23</v>
      </c>
      <c r="M13657" t="s">
        <v>29455</v>
      </c>
      <c r="N13657" t="s">
        <v>650</v>
      </c>
      <c r="O13657" t="s">
        <v>22</v>
      </c>
      <c r="P13657">
        <v>95822</v>
      </c>
      <c r="Q13657">
        <v>1225</v>
      </c>
      <c r="R13657" t="s">
        <v>23</v>
      </c>
      <c r="S13657" s="1" t="s">
        <v>34218</v>
      </c>
    </row>
    <row r="13658" spans="1:19" x14ac:dyDescent="0.25">
      <c r="A13658">
        <v>101333222</v>
      </c>
      <c r="B13658" t="s">
        <v>29456</v>
      </c>
      <c r="C13658" t="s">
        <v>2790</v>
      </c>
      <c r="G13658" t="s">
        <v>29457</v>
      </c>
      <c r="H13658" t="s">
        <v>29458</v>
      </c>
      <c r="I13658" t="s">
        <v>135</v>
      </c>
      <c r="J13658" t="s">
        <v>29459</v>
      </c>
      <c r="K13658">
        <v>3303</v>
      </c>
      <c r="L13658" t="s">
        <v>23</v>
      </c>
      <c r="M13658" t="s">
        <v>29457</v>
      </c>
      <c r="N13658" t="s">
        <v>29458</v>
      </c>
      <c r="O13658" t="s">
        <v>135</v>
      </c>
      <c r="P13658" t="s">
        <v>29459</v>
      </c>
      <c r="Q13658">
        <v>3303</v>
      </c>
      <c r="R13658" t="s">
        <v>23</v>
      </c>
      <c r="S13658" s="1" t="s">
        <v>34218</v>
      </c>
    </row>
    <row r="13659" spans="1:19" x14ac:dyDescent="0.25">
      <c r="A13659">
        <v>100777637</v>
      </c>
      <c r="B13659" t="s">
        <v>8903</v>
      </c>
      <c r="C13659" t="s">
        <v>40</v>
      </c>
      <c r="G13659" t="s">
        <v>29460</v>
      </c>
      <c r="H13659" t="s">
        <v>29461</v>
      </c>
      <c r="I13659" t="s">
        <v>71</v>
      </c>
      <c r="J13659" t="s">
        <v>29462</v>
      </c>
      <c r="K13659">
        <v>8750</v>
      </c>
      <c r="L13659" t="s">
        <v>23</v>
      </c>
      <c r="M13659" t="s">
        <v>29460</v>
      </c>
      <c r="N13659" t="s">
        <v>29461</v>
      </c>
      <c r="O13659" t="s">
        <v>71</v>
      </c>
      <c r="P13659" t="s">
        <v>29462</v>
      </c>
      <c r="Q13659">
        <v>8750</v>
      </c>
      <c r="R13659" t="s">
        <v>23</v>
      </c>
      <c r="S13659" s="1" t="s">
        <v>34218</v>
      </c>
    </row>
    <row r="13660" spans="1:19" x14ac:dyDescent="0.25">
      <c r="A13660">
        <v>101443842</v>
      </c>
      <c r="B13660" t="s">
        <v>29463</v>
      </c>
      <c r="C13660" t="s">
        <v>2347</v>
      </c>
      <c r="G13660" t="s">
        <v>29464</v>
      </c>
      <c r="H13660" t="s">
        <v>650</v>
      </c>
      <c r="I13660" t="s">
        <v>22</v>
      </c>
      <c r="J13660" t="s">
        <v>29465</v>
      </c>
      <c r="K13660">
        <v>3220</v>
      </c>
      <c r="L13660" t="s">
        <v>23</v>
      </c>
      <c r="M13660" t="s">
        <v>29464</v>
      </c>
      <c r="N13660" t="s">
        <v>650</v>
      </c>
      <c r="O13660" t="s">
        <v>22</v>
      </c>
      <c r="P13660" t="s">
        <v>29465</v>
      </c>
      <c r="Q13660">
        <v>3220</v>
      </c>
      <c r="R13660" t="s">
        <v>23</v>
      </c>
      <c r="S13660" s="1" t="s">
        <v>34218</v>
      </c>
    </row>
    <row r="13661" spans="1:19" x14ac:dyDescent="0.25">
      <c r="A13661">
        <v>101359397</v>
      </c>
      <c r="B13661" t="s">
        <v>29466</v>
      </c>
      <c r="C13661" t="s">
        <v>1757</v>
      </c>
      <c r="G13661" t="s">
        <v>29467</v>
      </c>
      <c r="H13661" t="s">
        <v>1096</v>
      </c>
      <c r="I13661" t="s">
        <v>1097</v>
      </c>
      <c r="J13661" t="s">
        <v>29468</v>
      </c>
      <c r="K13661">
        <v>1343</v>
      </c>
      <c r="L13661" t="s">
        <v>23</v>
      </c>
      <c r="M13661" t="s">
        <v>29467</v>
      </c>
      <c r="N13661" t="s">
        <v>1096</v>
      </c>
      <c r="O13661" t="s">
        <v>1097</v>
      </c>
      <c r="P13661" t="s">
        <v>29468</v>
      </c>
      <c r="Q13661">
        <v>1343</v>
      </c>
      <c r="R13661" t="s">
        <v>23</v>
      </c>
      <c r="S13661" s="1" t="s">
        <v>34218</v>
      </c>
    </row>
    <row r="13662" spans="1:19" x14ac:dyDescent="0.25">
      <c r="A13662">
        <v>101422231</v>
      </c>
      <c r="B13662" t="s">
        <v>29469</v>
      </c>
      <c r="C13662" t="s">
        <v>5180</v>
      </c>
      <c r="G13662" t="s">
        <v>15479</v>
      </c>
      <c r="H13662" t="s">
        <v>15480</v>
      </c>
      <c r="I13662" t="s">
        <v>52</v>
      </c>
      <c r="J13662" t="s">
        <v>15481</v>
      </c>
      <c r="K13662">
        <v>1014</v>
      </c>
      <c r="L13662" t="s">
        <v>23</v>
      </c>
      <c r="M13662" t="s">
        <v>15479</v>
      </c>
      <c r="N13662" t="s">
        <v>15480</v>
      </c>
      <c r="O13662" t="s">
        <v>52</v>
      </c>
      <c r="P13662" t="s">
        <v>15481</v>
      </c>
      <c r="Q13662">
        <v>1014</v>
      </c>
      <c r="R13662" t="s">
        <v>23</v>
      </c>
      <c r="S13662" s="1" t="s">
        <v>34218</v>
      </c>
    </row>
    <row r="13663" spans="1:19" x14ac:dyDescent="0.25">
      <c r="A13663">
        <v>100515447</v>
      </c>
      <c r="B13663" t="s">
        <v>29470</v>
      </c>
      <c r="C13663" t="s">
        <v>3164</v>
      </c>
      <c r="G13663" t="s">
        <v>29471</v>
      </c>
      <c r="H13663" t="s">
        <v>1405</v>
      </c>
      <c r="I13663" t="s">
        <v>187</v>
      </c>
      <c r="J13663" t="s">
        <v>29472</v>
      </c>
      <c r="K13663">
        <v>2454</v>
      </c>
      <c r="L13663" t="s">
        <v>23</v>
      </c>
      <c r="M13663" t="s">
        <v>29471</v>
      </c>
      <c r="N13663" t="s">
        <v>1405</v>
      </c>
      <c r="O13663" t="s">
        <v>187</v>
      </c>
      <c r="P13663" t="s">
        <v>29472</v>
      </c>
      <c r="Q13663">
        <v>2454</v>
      </c>
      <c r="R13663" t="s">
        <v>23</v>
      </c>
      <c r="S13663" s="1" t="s">
        <v>34218</v>
      </c>
    </row>
    <row r="13664" spans="1:19" x14ac:dyDescent="0.25">
      <c r="A13664">
        <v>100892354</v>
      </c>
      <c r="B13664" t="s">
        <v>10279</v>
      </c>
      <c r="C13664" t="s">
        <v>4969</v>
      </c>
      <c r="G13664" t="s">
        <v>29473</v>
      </c>
      <c r="H13664" t="s">
        <v>17825</v>
      </c>
      <c r="I13664" t="s">
        <v>446</v>
      </c>
      <c r="J13664" t="s">
        <v>29474</v>
      </c>
      <c r="K13664">
        <v>7118</v>
      </c>
      <c r="L13664" t="s">
        <v>23</v>
      </c>
      <c r="M13664" t="s">
        <v>29473</v>
      </c>
      <c r="N13664" t="s">
        <v>17825</v>
      </c>
      <c r="O13664" t="s">
        <v>446</v>
      </c>
      <c r="P13664" t="s">
        <v>29474</v>
      </c>
      <c r="Q13664">
        <v>7118</v>
      </c>
      <c r="R13664" t="s">
        <v>23</v>
      </c>
      <c r="S13664" s="1" t="s">
        <v>34218</v>
      </c>
    </row>
    <row r="13665" spans="1:19" x14ac:dyDescent="0.25">
      <c r="A13665">
        <v>101268369</v>
      </c>
      <c r="B13665" t="s">
        <v>24006</v>
      </c>
      <c r="C13665" t="s">
        <v>3361</v>
      </c>
      <c r="G13665" t="s">
        <v>29475</v>
      </c>
      <c r="H13665" t="s">
        <v>7392</v>
      </c>
      <c r="I13665" t="s">
        <v>250</v>
      </c>
      <c r="J13665" t="s">
        <v>29476</v>
      </c>
      <c r="K13665">
        <v>2922</v>
      </c>
      <c r="L13665" t="s">
        <v>23</v>
      </c>
      <c r="M13665" t="s">
        <v>29475</v>
      </c>
      <c r="N13665" t="s">
        <v>7392</v>
      </c>
      <c r="O13665" t="s">
        <v>250</v>
      </c>
      <c r="P13665" t="s">
        <v>29476</v>
      </c>
      <c r="Q13665">
        <v>2922</v>
      </c>
      <c r="R13665" t="s">
        <v>23</v>
      </c>
      <c r="S13665" s="1" t="s">
        <v>34218</v>
      </c>
    </row>
    <row r="13666" spans="1:19" x14ac:dyDescent="0.25">
      <c r="A13666">
        <v>101272096</v>
      </c>
      <c r="B13666" t="s">
        <v>635</v>
      </c>
      <c r="C13666" t="s">
        <v>29477</v>
      </c>
      <c r="G13666" t="s">
        <v>29478</v>
      </c>
      <c r="H13666" t="s">
        <v>12027</v>
      </c>
      <c r="I13666" t="s">
        <v>161</v>
      </c>
      <c r="J13666" t="s">
        <v>29479</v>
      </c>
      <c r="K13666">
        <v>352</v>
      </c>
      <c r="L13666" t="s">
        <v>23</v>
      </c>
      <c r="M13666" t="s">
        <v>29478</v>
      </c>
      <c r="N13666" t="s">
        <v>12027</v>
      </c>
      <c r="O13666" t="s">
        <v>161</v>
      </c>
      <c r="P13666" t="s">
        <v>29479</v>
      </c>
      <c r="Q13666">
        <v>352</v>
      </c>
      <c r="R13666" t="s">
        <v>23</v>
      </c>
      <c r="S13666" s="1" t="s">
        <v>34218</v>
      </c>
    </row>
    <row r="13667" spans="1:19" x14ac:dyDescent="0.25">
      <c r="A13667">
        <v>101298658</v>
      </c>
      <c r="B13667" t="s">
        <v>199</v>
      </c>
      <c r="C13667" t="s">
        <v>4719</v>
      </c>
      <c r="G13667" t="s">
        <v>29480</v>
      </c>
      <c r="H13667" t="s">
        <v>4150</v>
      </c>
      <c r="I13667" t="s">
        <v>135</v>
      </c>
      <c r="J13667" t="s">
        <v>29481</v>
      </c>
      <c r="K13667">
        <v>1442</v>
      </c>
      <c r="L13667" t="s">
        <v>23</v>
      </c>
      <c r="M13667" t="s">
        <v>29480</v>
      </c>
      <c r="N13667" t="s">
        <v>4150</v>
      </c>
      <c r="O13667" t="s">
        <v>135</v>
      </c>
      <c r="P13667" t="s">
        <v>29481</v>
      </c>
      <c r="Q13667">
        <v>1442</v>
      </c>
      <c r="R13667" t="s">
        <v>23</v>
      </c>
      <c r="S13667" s="1" t="s">
        <v>34218</v>
      </c>
    </row>
    <row r="13668" spans="1:19" x14ac:dyDescent="0.25">
      <c r="A13668">
        <v>101299004</v>
      </c>
      <c r="B13668" t="s">
        <v>16516</v>
      </c>
      <c r="C13668" t="s">
        <v>1015</v>
      </c>
      <c r="G13668" t="s">
        <v>29482</v>
      </c>
      <c r="H13668" t="s">
        <v>631</v>
      </c>
      <c r="I13668" t="s">
        <v>22</v>
      </c>
      <c r="J13668" t="s">
        <v>29483</v>
      </c>
      <c r="K13668">
        <v>2110</v>
      </c>
      <c r="L13668" t="s">
        <v>23</v>
      </c>
      <c r="M13668" t="s">
        <v>29482</v>
      </c>
      <c r="N13668" t="s">
        <v>631</v>
      </c>
      <c r="O13668" t="s">
        <v>22</v>
      </c>
      <c r="P13668" t="s">
        <v>29483</v>
      </c>
      <c r="Q13668">
        <v>2110</v>
      </c>
      <c r="R13668" t="s">
        <v>23</v>
      </c>
      <c r="S13668" s="1" t="s">
        <v>34218</v>
      </c>
    </row>
    <row r="13669" spans="1:19" x14ac:dyDescent="0.25">
      <c r="A13669">
        <v>101112850</v>
      </c>
      <c r="B13669" t="s">
        <v>3096</v>
      </c>
      <c r="C13669" t="s">
        <v>770</v>
      </c>
      <c r="G13669" t="s">
        <v>29484</v>
      </c>
      <c r="H13669" t="s">
        <v>26161</v>
      </c>
      <c r="I13669" t="s">
        <v>236</v>
      </c>
      <c r="J13669" t="s">
        <v>29485</v>
      </c>
      <c r="K13669">
        <v>1518</v>
      </c>
      <c r="L13669" t="s">
        <v>23</v>
      </c>
      <c r="M13669" t="s">
        <v>29484</v>
      </c>
      <c r="N13669" t="s">
        <v>26161</v>
      </c>
      <c r="O13669" t="s">
        <v>236</v>
      </c>
      <c r="P13669" t="s">
        <v>29485</v>
      </c>
      <c r="Q13669">
        <v>1518</v>
      </c>
      <c r="R13669" t="s">
        <v>23</v>
      </c>
      <c r="S13669" s="1" t="s">
        <v>34218</v>
      </c>
    </row>
    <row r="13670" spans="1:19" x14ac:dyDescent="0.25">
      <c r="A13670">
        <v>101296360</v>
      </c>
      <c r="B13670" t="s">
        <v>29486</v>
      </c>
      <c r="C13670" t="s">
        <v>403</v>
      </c>
      <c r="G13670" t="s">
        <v>29487</v>
      </c>
      <c r="H13670" t="s">
        <v>569</v>
      </c>
      <c r="I13670" t="s">
        <v>187</v>
      </c>
      <c r="J13670" t="s">
        <v>29488</v>
      </c>
      <c r="K13670">
        <v>4013</v>
      </c>
      <c r="L13670" t="s">
        <v>23</v>
      </c>
      <c r="M13670" t="s">
        <v>29487</v>
      </c>
      <c r="N13670" t="s">
        <v>569</v>
      </c>
      <c r="O13670" t="s">
        <v>187</v>
      </c>
      <c r="P13670" t="s">
        <v>29488</v>
      </c>
      <c r="Q13670">
        <v>4013</v>
      </c>
      <c r="R13670" t="s">
        <v>23</v>
      </c>
      <c r="S13670" s="1" t="s">
        <v>34218</v>
      </c>
    </row>
    <row r="13671" spans="1:19" x14ac:dyDescent="0.25">
      <c r="A13671">
        <v>101333707</v>
      </c>
      <c r="B13671" t="s">
        <v>5505</v>
      </c>
      <c r="C13671" t="s">
        <v>403</v>
      </c>
      <c r="G13671" t="s">
        <v>29489</v>
      </c>
      <c r="H13671" t="s">
        <v>5966</v>
      </c>
      <c r="I13671" t="s">
        <v>43</v>
      </c>
      <c r="J13671" t="s">
        <v>29490</v>
      </c>
      <c r="K13671">
        <v>4613</v>
      </c>
      <c r="L13671" t="s">
        <v>23</v>
      </c>
      <c r="M13671" t="s">
        <v>29489</v>
      </c>
      <c r="N13671" t="s">
        <v>5966</v>
      </c>
      <c r="O13671" t="s">
        <v>43</v>
      </c>
      <c r="P13671" t="s">
        <v>29490</v>
      </c>
      <c r="Q13671">
        <v>4613</v>
      </c>
      <c r="R13671" t="s">
        <v>23</v>
      </c>
      <c r="S13671" s="1" t="s">
        <v>34218</v>
      </c>
    </row>
    <row r="13672" spans="1:19" x14ac:dyDescent="0.25">
      <c r="A13672">
        <v>100515534</v>
      </c>
      <c r="B13672" t="s">
        <v>29491</v>
      </c>
      <c r="C13672" t="s">
        <v>286</v>
      </c>
      <c r="G13672" t="s">
        <v>29492</v>
      </c>
      <c r="H13672" t="s">
        <v>29493</v>
      </c>
      <c r="I13672" t="s">
        <v>22</v>
      </c>
      <c r="J13672" t="s">
        <v>29494</v>
      </c>
      <c r="K13672">
        <v>4919</v>
      </c>
      <c r="L13672" t="s">
        <v>23</v>
      </c>
      <c r="M13672" t="s">
        <v>29492</v>
      </c>
      <c r="N13672" t="s">
        <v>29493</v>
      </c>
      <c r="O13672" t="s">
        <v>22</v>
      </c>
      <c r="P13672" t="s">
        <v>29494</v>
      </c>
      <c r="Q13672">
        <v>4919</v>
      </c>
      <c r="R13672" t="s">
        <v>23</v>
      </c>
      <c r="S13672" s="1" t="s">
        <v>34218</v>
      </c>
    </row>
    <row r="13673" spans="1:19" x14ac:dyDescent="0.25">
      <c r="A13673">
        <v>101140250</v>
      </c>
      <c r="B13673" t="s">
        <v>29495</v>
      </c>
      <c r="C13673" t="s">
        <v>29496</v>
      </c>
      <c r="G13673" t="s">
        <v>29497</v>
      </c>
      <c r="H13673" t="s">
        <v>6668</v>
      </c>
      <c r="I13673" t="s">
        <v>140</v>
      </c>
      <c r="J13673">
        <v>48124</v>
      </c>
      <c r="K13673">
        <v>4208</v>
      </c>
      <c r="L13673" t="s">
        <v>23</v>
      </c>
      <c r="M13673" t="s">
        <v>29497</v>
      </c>
      <c r="N13673" t="s">
        <v>6668</v>
      </c>
      <c r="O13673" t="s">
        <v>140</v>
      </c>
      <c r="P13673">
        <v>48124</v>
      </c>
      <c r="Q13673">
        <v>4208</v>
      </c>
      <c r="R13673" t="s">
        <v>23</v>
      </c>
      <c r="S13673" s="1" t="s">
        <v>34218</v>
      </c>
    </row>
    <row r="13674" spans="1:19" x14ac:dyDescent="0.25">
      <c r="A13674">
        <v>100963731</v>
      </c>
      <c r="B13674" t="s">
        <v>29498</v>
      </c>
      <c r="C13674" t="s">
        <v>4293</v>
      </c>
      <c r="G13674" t="s">
        <v>29499</v>
      </c>
      <c r="H13674" t="s">
        <v>2274</v>
      </c>
      <c r="I13674" t="s">
        <v>250</v>
      </c>
      <c r="J13674" t="s">
        <v>29500</v>
      </c>
      <c r="K13674">
        <v>3546</v>
      </c>
      <c r="L13674" t="s">
        <v>23</v>
      </c>
      <c r="M13674" t="s">
        <v>29499</v>
      </c>
      <c r="N13674" t="s">
        <v>2274</v>
      </c>
      <c r="O13674" t="s">
        <v>250</v>
      </c>
      <c r="P13674" t="s">
        <v>29500</v>
      </c>
      <c r="Q13674">
        <v>3546</v>
      </c>
      <c r="R13674" t="s">
        <v>23</v>
      </c>
      <c r="S13674" s="1" t="s">
        <v>34218</v>
      </c>
    </row>
    <row r="13675" spans="1:19" x14ac:dyDescent="0.25">
      <c r="A13675">
        <v>101277935</v>
      </c>
      <c r="B13675" t="s">
        <v>29501</v>
      </c>
      <c r="C13675" t="s">
        <v>266</v>
      </c>
      <c r="G13675" t="s">
        <v>29502</v>
      </c>
      <c r="H13675" t="s">
        <v>29503</v>
      </c>
      <c r="I13675" t="s">
        <v>236</v>
      </c>
      <c r="J13675" t="s">
        <v>29504</v>
      </c>
      <c r="K13675">
        <v>9301</v>
      </c>
      <c r="L13675" t="s">
        <v>23</v>
      </c>
      <c r="M13675" t="s">
        <v>29502</v>
      </c>
      <c r="N13675" t="s">
        <v>29503</v>
      </c>
      <c r="O13675" t="s">
        <v>236</v>
      </c>
      <c r="P13675" t="s">
        <v>29504</v>
      </c>
      <c r="Q13675">
        <v>9301</v>
      </c>
      <c r="R13675" t="s">
        <v>23</v>
      </c>
      <c r="S13675" s="1" t="s">
        <v>34218</v>
      </c>
    </row>
    <row r="13676" spans="1:19" x14ac:dyDescent="0.25">
      <c r="A13676">
        <v>101422440</v>
      </c>
      <c r="B13676" t="s">
        <v>29505</v>
      </c>
      <c r="C13676" t="s">
        <v>90</v>
      </c>
      <c r="G13676" t="s">
        <v>29506</v>
      </c>
      <c r="H13676" t="s">
        <v>2046</v>
      </c>
      <c r="I13676" t="s">
        <v>446</v>
      </c>
      <c r="J13676" t="s">
        <v>29507</v>
      </c>
      <c r="K13676">
        <v>2869</v>
      </c>
      <c r="L13676" t="s">
        <v>23</v>
      </c>
      <c r="M13676" t="s">
        <v>29506</v>
      </c>
      <c r="N13676" t="s">
        <v>2046</v>
      </c>
      <c r="O13676" t="s">
        <v>446</v>
      </c>
      <c r="P13676" t="s">
        <v>29507</v>
      </c>
      <c r="Q13676">
        <v>2869</v>
      </c>
      <c r="R13676" t="s">
        <v>23</v>
      </c>
      <c r="S13676" s="1" t="s">
        <v>34218</v>
      </c>
    </row>
    <row r="13677" spans="1:19" x14ac:dyDescent="0.25">
      <c r="A13677">
        <v>101412198</v>
      </c>
      <c r="B13677" t="s">
        <v>29508</v>
      </c>
      <c r="C13677" t="s">
        <v>4046</v>
      </c>
      <c r="G13677" t="s">
        <v>29509</v>
      </c>
      <c r="H13677" t="s">
        <v>6881</v>
      </c>
      <c r="I13677" t="s">
        <v>52</v>
      </c>
      <c r="J13677" t="s">
        <v>29510</v>
      </c>
      <c r="K13677">
        <v>7760</v>
      </c>
      <c r="L13677" t="s">
        <v>23</v>
      </c>
      <c r="M13677" t="s">
        <v>29509</v>
      </c>
      <c r="N13677" t="s">
        <v>6881</v>
      </c>
      <c r="O13677" t="s">
        <v>52</v>
      </c>
      <c r="P13677" t="s">
        <v>29510</v>
      </c>
      <c r="Q13677">
        <v>7760</v>
      </c>
      <c r="R13677" t="s">
        <v>23</v>
      </c>
      <c r="S13677" s="1" t="s">
        <v>34218</v>
      </c>
    </row>
    <row r="13678" spans="1:19" x14ac:dyDescent="0.25">
      <c r="A13678">
        <v>101296339</v>
      </c>
      <c r="B13678" t="s">
        <v>76</v>
      </c>
      <c r="C13678" t="s">
        <v>30</v>
      </c>
      <c r="G13678" t="s">
        <v>29511</v>
      </c>
      <c r="H13678" t="s">
        <v>29512</v>
      </c>
      <c r="I13678" t="s">
        <v>71</v>
      </c>
      <c r="J13678">
        <v>81024</v>
      </c>
      <c r="L13678" t="s">
        <v>23</v>
      </c>
      <c r="M13678" t="s">
        <v>29511</v>
      </c>
      <c r="N13678" t="s">
        <v>29512</v>
      </c>
      <c r="O13678" t="s">
        <v>71</v>
      </c>
      <c r="P13678">
        <v>81024</v>
      </c>
      <c r="R13678" t="s">
        <v>23</v>
      </c>
      <c r="S13678" s="1" t="s">
        <v>34218</v>
      </c>
    </row>
    <row r="13679" spans="1:19" x14ac:dyDescent="0.25">
      <c r="A13679">
        <v>101327042</v>
      </c>
      <c r="B13679" t="s">
        <v>5612</v>
      </c>
      <c r="C13679" t="s">
        <v>329</v>
      </c>
      <c r="G13679" t="s">
        <v>29513</v>
      </c>
      <c r="H13679" t="s">
        <v>186</v>
      </c>
      <c r="I13679" t="s">
        <v>187</v>
      </c>
      <c r="J13679" t="s">
        <v>29514</v>
      </c>
      <c r="K13679">
        <v>6733</v>
      </c>
      <c r="L13679" t="s">
        <v>23</v>
      </c>
      <c r="M13679" t="s">
        <v>29513</v>
      </c>
      <c r="N13679" t="s">
        <v>186</v>
      </c>
      <c r="O13679" t="s">
        <v>187</v>
      </c>
      <c r="P13679" t="s">
        <v>29514</v>
      </c>
      <c r="Q13679">
        <v>6733</v>
      </c>
      <c r="R13679" t="s">
        <v>23</v>
      </c>
      <c r="S13679" s="1" t="s">
        <v>34218</v>
      </c>
    </row>
    <row r="13680" spans="1:19" x14ac:dyDescent="0.25">
      <c r="A13680">
        <v>100771383</v>
      </c>
      <c r="B13680" t="s">
        <v>29515</v>
      </c>
      <c r="C13680" t="s">
        <v>294</v>
      </c>
      <c r="G13680" t="s">
        <v>29516</v>
      </c>
      <c r="H13680" t="s">
        <v>8628</v>
      </c>
      <c r="I13680" t="s">
        <v>250</v>
      </c>
      <c r="J13680" t="s">
        <v>29517</v>
      </c>
      <c r="K13680">
        <v>3511</v>
      </c>
      <c r="L13680" t="s">
        <v>23</v>
      </c>
      <c r="M13680" t="s">
        <v>29516</v>
      </c>
      <c r="N13680" t="s">
        <v>8628</v>
      </c>
      <c r="O13680" t="s">
        <v>250</v>
      </c>
      <c r="P13680" t="s">
        <v>29517</v>
      </c>
      <c r="Q13680">
        <v>3511</v>
      </c>
      <c r="R13680" t="s">
        <v>23</v>
      </c>
      <c r="S13680" s="1" t="s">
        <v>34218</v>
      </c>
    </row>
    <row r="13681" spans="1:19" x14ac:dyDescent="0.25">
      <c r="A13681">
        <v>101057044</v>
      </c>
      <c r="B13681" t="s">
        <v>29518</v>
      </c>
      <c r="C13681" t="s">
        <v>155</v>
      </c>
      <c r="G13681" t="s">
        <v>29519</v>
      </c>
      <c r="H13681" t="s">
        <v>169</v>
      </c>
      <c r="I13681" t="s">
        <v>33</v>
      </c>
      <c r="J13681" t="s">
        <v>29520</v>
      </c>
      <c r="K13681">
        <v>5007</v>
      </c>
      <c r="L13681" t="s">
        <v>23</v>
      </c>
      <c r="M13681" t="s">
        <v>29519</v>
      </c>
      <c r="N13681" t="s">
        <v>169</v>
      </c>
      <c r="O13681" t="s">
        <v>33</v>
      </c>
      <c r="P13681" t="s">
        <v>29520</v>
      </c>
      <c r="Q13681">
        <v>5007</v>
      </c>
      <c r="R13681" t="s">
        <v>23</v>
      </c>
      <c r="S13681" s="1" t="s">
        <v>34218</v>
      </c>
    </row>
    <row r="13682" spans="1:19" x14ac:dyDescent="0.25">
      <c r="A13682">
        <v>101444368</v>
      </c>
      <c r="B13682" t="s">
        <v>3089</v>
      </c>
      <c r="C13682" t="s">
        <v>1714</v>
      </c>
      <c r="G13682" t="s">
        <v>29521</v>
      </c>
      <c r="H13682" t="s">
        <v>537</v>
      </c>
      <c r="I13682" t="s">
        <v>52</v>
      </c>
      <c r="J13682" t="s">
        <v>29522</v>
      </c>
      <c r="K13682">
        <v>2234</v>
      </c>
      <c r="L13682" t="s">
        <v>23</v>
      </c>
      <c r="M13682" t="s">
        <v>29521</v>
      </c>
      <c r="N13682" t="s">
        <v>537</v>
      </c>
      <c r="O13682" t="s">
        <v>52</v>
      </c>
      <c r="P13682" t="s">
        <v>29522</v>
      </c>
      <c r="Q13682">
        <v>2234</v>
      </c>
      <c r="R13682" t="s">
        <v>23</v>
      </c>
      <c r="S13682" s="1" t="s">
        <v>34218</v>
      </c>
    </row>
    <row r="13683" spans="1:19" x14ac:dyDescent="0.25">
      <c r="A13683">
        <v>101418304</v>
      </c>
      <c r="B13683" t="s">
        <v>3629</v>
      </c>
      <c r="C13683" t="s">
        <v>29523</v>
      </c>
      <c r="G13683" t="s">
        <v>29524</v>
      </c>
      <c r="H13683" t="s">
        <v>688</v>
      </c>
      <c r="I13683" t="s">
        <v>117</v>
      </c>
      <c r="J13683" t="s">
        <v>29525</v>
      </c>
      <c r="K13683">
        <v>2439</v>
      </c>
      <c r="L13683" t="s">
        <v>23</v>
      </c>
      <c r="M13683" t="s">
        <v>29524</v>
      </c>
      <c r="N13683" t="s">
        <v>688</v>
      </c>
      <c r="O13683" t="s">
        <v>117</v>
      </c>
      <c r="P13683" t="s">
        <v>29525</v>
      </c>
      <c r="Q13683">
        <v>2439</v>
      </c>
      <c r="R13683" t="s">
        <v>23</v>
      </c>
      <c r="S13683" s="1" t="s">
        <v>34218</v>
      </c>
    </row>
    <row r="13684" spans="1:19" x14ac:dyDescent="0.25">
      <c r="A13684">
        <v>100715527</v>
      </c>
      <c r="B13684" t="s">
        <v>29526</v>
      </c>
      <c r="C13684" t="s">
        <v>216</v>
      </c>
      <c r="G13684" t="s">
        <v>29527</v>
      </c>
      <c r="H13684" t="s">
        <v>653</v>
      </c>
      <c r="I13684" t="s">
        <v>117</v>
      </c>
      <c r="J13684" t="s">
        <v>29528</v>
      </c>
      <c r="K13684">
        <v>3576</v>
      </c>
      <c r="L13684" t="s">
        <v>23</v>
      </c>
      <c r="M13684" t="s">
        <v>29527</v>
      </c>
      <c r="N13684" t="s">
        <v>653</v>
      </c>
      <c r="O13684" t="s">
        <v>117</v>
      </c>
      <c r="P13684" t="s">
        <v>29528</v>
      </c>
      <c r="Q13684">
        <v>3576</v>
      </c>
      <c r="R13684" t="s">
        <v>23</v>
      </c>
      <c r="S13684" s="1" t="s">
        <v>34218</v>
      </c>
    </row>
    <row r="13685" spans="1:19" x14ac:dyDescent="0.25">
      <c r="A13685">
        <v>101421983</v>
      </c>
      <c r="B13685" t="s">
        <v>34</v>
      </c>
      <c r="C13685" t="s">
        <v>803</v>
      </c>
      <c r="G13685" t="s">
        <v>29529</v>
      </c>
      <c r="H13685" t="s">
        <v>1402</v>
      </c>
      <c r="I13685" t="s">
        <v>38</v>
      </c>
      <c r="J13685" t="s">
        <v>29530</v>
      </c>
      <c r="K13685">
        <v>4743</v>
      </c>
      <c r="L13685" t="s">
        <v>23</v>
      </c>
      <c r="M13685" t="s">
        <v>29529</v>
      </c>
      <c r="N13685" t="s">
        <v>1402</v>
      </c>
      <c r="O13685" t="s">
        <v>38</v>
      </c>
      <c r="P13685" t="s">
        <v>29530</v>
      </c>
      <c r="Q13685">
        <v>4743</v>
      </c>
      <c r="R13685" t="s">
        <v>23</v>
      </c>
      <c r="S13685" s="1" t="s">
        <v>34218</v>
      </c>
    </row>
    <row r="13686" spans="1:19" x14ac:dyDescent="0.25">
      <c r="A13686">
        <v>101057422</v>
      </c>
      <c r="B13686" t="s">
        <v>29531</v>
      </c>
      <c r="C13686" t="s">
        <v>367</v>
      </c>
      <c r="G13686" t="s">
        <v>29532</v>
      </c>
      <c r="H13686" t="s">
        <v>1405</v>
      </c>
      <c r="I13686" t="s">
        <v>187</v>
      </c>
      <c r="J13686" t="s">
        <v>29533</v>
      </c>
      <c r="K13686">
        <v>4025</v>
      </c>
      <c r="L13686" t="s">
        <v>23</v>
      </c>
      <c r="M13686" t="s">
        <v>29532</v>
      </c>
      <c r="N13686" t="s">
        <v>1405</v>
      </c>
      <c r="O13686" t="s">
        <v>187</v>
      </c>
      <c r="P13686" t="s">
        <v>29533</v>
      </c>
      <c r="Q13686">
        <v>4025</v>
      </c>
      <c r="R13686" t="s">
        <v>23</v>
      </c>
      <c r="S13686" s="1" t="s">
        <v>34218</v>
      </c>
    </row>
    <row r="13687" spans="1:19" x14ac:dyDescent="0.25">
      <c r="A13687">
        <v>101352577</v>
      </c>
      <c r="B13687" t="s">
        <v>19301</v>
      </c>
      <c r="C13687" t="s">
        <v>403</v>
      </c>
      <c r="G13687" t="s">
        <v>29534</v>
      </c>
      <c r="H13687" t="s">
        <v>380</v>
      </c>
      <c r="I13687" t="s">
        <v>38</v>
      </c>
      <c r="J13687" t="s">
        <v>29535</v>
      </c>
      <c r="K13687">
        <v>2200</v>
      </c>
      <c r="L13687" t="s">
        <v>23</v>
      </c>
      <c r="M13687" t="s">
        <v>29534</v>
      </c>
      <c r="N13687" t="s">
        <v>380</v>
      </c>
      <c r="O13687" t="s">
        <v>38</v>
      </c>
      <c r="P13687" t="s">
        <v>29535</v>
      </c>
      <c r="Q13687">
        <v>2200</v>
      </c>
      <c r="R13687" t="s">
        <v>23</v>
      </c>
      <c r="S13687" s="1" t="s">
        <v>34218</v>
      </c>
    </row>
    <row r="13688" spans="1:19" x14ac:dyDescent="0.25">
      <c r="A13688">
        <v>101290474</v>
      </c>
      <c r="B13688" t="s">
        <v>29536</v>
      </c>
      <c r="C13688" t="s">
        <v>10543</v>
      </c>
      <c r="G13688" t="s">
        <v>29537</v>
      </c>
      <c r="H13688" t="s">
        <v>20139</v>
      </c>
      <c r="I13688" t="s">
        <v>38</v>
      </c>
      <c r="J13688" t="s">
        <v>29538</v>
      </c>
      <c r="K13688">
        <v>8822</v>
      </c>
      <c r="L13688" t="s">
        <v>23</v>
      </c>
      <c r="M13688" t="s">
        <v>29537</v>
      </c>
      <c r="N13688" t="s">
        <v>20139</v>
      </c>
      <c r="O13688" t="s">
        <v>38</v>
      </c>
      <c r="P13688" t="s">
        <v>29538</v>
      </c>
      <c r="Q13688">
        <v>8822</v>
      </c>
      <c r="R13688" t="s">
        <v>23</v>
      </c>
      <c r="S13688" s="1" t="s">
        <v>34218</v>
      </c>
    </row>
    <row r="13689" spans="1:19" x14ac:dyDescent="0.25">
      <c r="A13689">
        <v>101468803</v>
      </c>
      <c r="B13689" t="s">
        <v>29539</v>
      </c>
      <c r="C13689" t="s">
        <v>29540</v>
      </c>
      <c r="G13689" t="s">
        <v>29541</v>
      </c>
      <c r="H13689" t="s">
        <v>360</v>
      </c>
      <c r="I13689" t="s">
        <v>22</v>
      </c>
      <c r="J13689">
        <v>94087</v>
      </c>
      <c r="K13689">
        <v>4610</v>
      </c>
      <c r="L13689" t="s">
        <v>23</v>
      </c>
      <c r="M13689" t="s">
        <v>29541</v>
      </c>
      <c r="N13689" t="s">
        <v>360</v>
      </c>
      <c r="O13689" t="s">
        <v>22</v>
      </c>
      <c r="P13689">
        <v>94087</v>
      </c>
      <c r="Q13689">
        <v>4610</v>
      </c>
      <c r="R13689" t="s">
        <v>23</v>
      </c>
      <c r="S13689" s="1" t="s">
        <v>34218</v>
      </c>
    </row>
    <row r="13690" spans="1:19" x14ac:dyDescent="0.25">
      <c r="A13690">
        <v>100515810</v>
      </c>
      <c r="B13690" t="s">
        <v>2972</v>
      </c>
      <c r="C13690" t="s">
        <v>2127</v>
      </c>
      <c r="G13690" t="s">
        <v>2973</v>
      </c>
      <c r="H13690" t="s">
        <v>2974</v>
      </c>
      <c r="I13690" t="s">
        <v>135</v>
      </c>
      <c r="J13690" t="s">
        <v>29542</v>
      </c>
      <c r="K13690">
        <v>8102</v>
      </c>
      <c r="L13690" t="s">
        <v>23</v>
      </c>
      <c r="M13690" t="s">
        <v>2973</v>
      </c>
      <c r="N13690" t="s">
        <v>2974</v>
      </c>
      <c r="O13690" t="s">
        <v>135</v>
      </c>
      <c r="P13690" t="s">
        <v>29542</v>
      </c>
      <c r="Q13690">
        <v>8102</v>
      </c>
      <c r="R13690" t="s">
        <v>23</v>
      </c>
      <c r="S13690" s="1" t="s">
        <v>34218</v>
      </c>
    </row>
    <row r="13691" spans="1:19" x14ac:dyDescent="0.25">
      <c r="A13691">
        <v>101276847</v>
      </c>
      <c r="B13691" t="s">
        <v>3877</v>
      </c>
      <c r="C13691" t="s">
        <v>829</v>
      </c>
      <c r="G13691" t="s">
        <v>29543</v>
      </c>
      <c r="H13691" t="s">
        <v>261</v>
      </c>
      <c r="I13691" t="s">
        <v>250</v>
      </c>
      <c r="J13691" t="s">
        <v>29544</v>
      </c>
      <c r="K13691">
        <v>2028</v>
      </c>
      <c r="L13691" t="s">
        <v>23</v>
      </c>
      <c r="M13691" t="s">
        <v>29543</v>
      </c>
      <c r="N13691" t="s">
        <v>261</v>
      </c>
      <c r="O13691" t="s">
        <v>250</v>
      </c>
      <c r="P13691" t="s">
        <v>29544</v>
      </c>
      <c r="Q13691">
        <v>2028</v>
      </c>
      <c r="R13691" t="s">
        <v>23</v>
      </c>
      <c r="S13691" s="1" t="s">
        <v>34218</v>
      </c>
    </row>
    <row r="13692" spans="1:19" x14ac:dyDescent="0.25">
      <c r="A13692">
        <v>101444459</v>
      </c>
      <c r="B13692" t="s">
        <v>377</v>
      </c>
      <c r="C13692" t="s">
        <v>29545</v>
      </c>
      <c r="G13692" t="s">
        <v>29546</v>
      </c>
      <c r="H13692" t="s">
        <v>4632</v>
      </c>
      <c r="I13692" t="s">
        <v>178</v>
      </c>
      <c r="J13692" t="s">
        <v>29547</v>
      </c>
      <c r="K13692">
        <v>3705</v>
      </c>
      <c r="L13692" t="s">
        <v>23</v>
      </c>
      <c r="M13692" t="s">
        <v>29546</v>
      </c>
      <c r="N13692" t="s">
        <v>4632</v>
      </c>
      <c r="O13692" t="s">
        <v>178</v>
      </c>
      <c r="P13692" t="s">
        <v>29547</v>
      </c>
      <c r="Q13692">
        <v>3705</v>
      </c>
      <c r="R13692" t="s">
        <v>23</v>
      </c>
      <c r="S13692" s="1" t="s">
        <v>34218</v>
      </c>
    </row>
    <row r="13693" spans="1:19" x14ac:dyDescent="0.25">
      <c r="A13693">
        <v>101420832</v>
      </c>
      <c r="B13693" t="s">
        <v>29548</v>
      </c>
      <c r="C13693" t="s">
        <v>1309</v>
      </c>
      <c r="G13693" t="s">
        <v>29549</v>
      </c>
      <c r="H13693" t="s">
        <v>29550</v>
      </c>
      <c r="I13693" t="s">
        <v>446</v>
      </c>
      <c r="J13693" t="s">
        <v>29551</v>
      </c>
      <c r="K13693">
        <v>7295</v>
      </c>
      <c r="L13693" t="s">
        <v>23</v>
      </c>
      <c r="M13693" t="s">
        <v>29549</v>
      </c>
      <c r="N13693" t="s">
        <v>29550</v>
      </c>
      <c r="O13693" t="s">
        <v>446</v>
      </c>
      <c r="P13693" t="s">
        <v>29551</v>
      </c>
      <c r="Q13693">
        <v>7295</v>
      </c>
      <c r="R13693" t="s">
        <v>23</v>
      </c>
      <c r="S13693" s="1" t="s">
        <v>34218</v>
      </c>
    </row>
    <row r="13694" spans="1:19" x14ac:dyDescent="0.25">
      <c r="A13694">
        <v>101396907</v>
      </c>
      <c r="B13694" t="s">
        <v>11320</v>
      </c>
      <c r="C13694" t="s">
        <v>1588</v>
      </c>
      <c r="G13694" t="s">
        <v>29552</v>
      </c>
      <c r="H13694" t="s">
        <v>3513</v>
      </c>
      <c r="I13694" t="s">
        <v>255</v>
      </c>
      <c r="J13694" t="s">
        <v>29553</v>
      </c>
      <c r="K13694">
        <v>5302</v>
      </c>
      <c r="L13694" t="s">
        <v>23</v>
      </c>
      <c r="M13694" t="s">
        <v>29552</v>
      </c>
      <c r="N13694" t="s">
        <v>3513</v>
      </c>
      <c r="O13694" t="s">
        <v>255</v>
      </c>
      <c r="P13694" t="s">
        <v>29553</v>
      </c>
      <c r="Q13694">
        <v>5302</v>
      </c>
      <c r="R13694" t="s">
        <v>23</v>
      </c>
      <c r="S13694" s="1" t="s">
        <v>34218</v>
      </c>
    </row>
    <row r="13695" spans="1:19" x14ac:dyDescent="0.25">
      <c r="A13695">
        <v>100569667</v>
      </c>
      <c r="B13695" t="s">
        <v>29554</v>
      </c>
      <c r="C13695" t="s">
        <v>4587</v>
      </c>
      <c r="G13695" t="s">
        <v>29555</v>
      </c>
      <c r="H13695" t="s">
        <v>16248</v>
      </c>
      <c r="I13695" t="s">
        <v>22</v>
      </c>
      <c r="J13695" t="s">
        <v>29556</v>
      </c>
      <c r="K13695">
        <v>9762</v>
      </c>
      <c r="L13695" t="s">
        <v>23</v>
      </c>
      <c r="M13695" t="s">
        <v>29555</v>
      </c>
      <c r="N13695" t="s">
        <v>16248</v>
      </c>
      <c r="O13695" t="s">
        <v>22</v>
      </c>
      <c r="P13695" t="s">
        <v>29556</v>
      </c>
      <c r="Q13695">
        <v>9762</v>
      </c>
      <c r="R13695" t="s">
        <v>23</v>
      </c>
      <c r="S13695" s="1" t="s">
        <v>34218</v>
      </c>
    </row>
    <row r="13696" spans="1:19" x14ac:dyDescent="0.25">
      <c r="A13696">
        <v>100889740</v>
      </c>
      <c r="B13696" t="s">
        <v>18359</v>
      </c>
      <c r="C13696" t="s">
        <v>575</v>
      </c>
      <c r="G13696" t="s">
        <v>29557</v>
      </c>
      <c r="H13696" t="s">
        <v>1402</v>
      </c>
      <c r="I13696" t="s">
        <v>38</v>
      </c>
      <c r="J13696" t="s">
        <v>29558</v>
      </c>
      <c r="K13696">
        <v>6016</v>
      </c>
      <c r="L13696" t="s">
        <v>23</v>
      </c>
      <c r="M13696" t="s">
        <v>29557</v>
      </c>
      <c r="N13696" t="s">
        <v>1402</v>
      </c>
      <c r="O13696" t="s">
        <v>38</v>
      </c>
      <c r="P13696" t="s">
        <v>29558</v>
      </c>
      <c r="Q13696">
        <v>6016</v>
      </c>
      <c r="R13696" t="s">
        <v>23</v>
      </c>
      <c r="S13696" s="1" t="s">
        <v>34218</v>
      </c>
    </row>
    <row r="13697" spans="1:19" x14ac:dyDescent="0.25">
      <c r="A13697">
        <v>101341747</v>
      </c>
      <c r="B13697" t="s">
        <v>17056</v>
      </c>
      <c r="C13697" t="s">
        <v>29559</v>
      </c>
      <c r="G13697" t="s">
        <v>29560</v>
      </c>
      <c r="H13697" t="s">
        <v>595</v>
      </c>
      <c r="I13697" t="s">
        <v>22</v>
      </c>
      <c r="J13697" t="s">
        <v>29561</v>
      </c>
      <c r="K13697">
        <v>1116</v>
      </c>
      <c r="L13697" t="s">
        <v>23</v>
      </c>
      <c r="M13697" t="s">
        <v>29560</v>
      </c>
      <c r="N13697" t="s">
        <v>595</v>
      </c>
      <c r="O13697" t="s">
        <v>22</v>
      </c>
      <c r="P13697" t="s">
        <v>29561</v>
      </c>
      <c r="Q13697">
        <v>1116</v>
      </c>
      <c r="R13697" t="s">
        <v>23</v>
      </c>
      <c r="S13697" s="1" t="s">
        <v>34218</v>
      </c>
    </row>
    <row r="13698" spans="1:19" x14ac:dyDescent="0.25">
      <c r="A13698">
        <v>100515239</v>
      </c>
      <c r="B13698" t="s">
        <v>29562</v>
      </c>
      <c r="C13698" t="s">
        <v>2180</v>
      </c>
      <c r="G13698" t="s">
        <v>29563</v>
      </c>
      <c r="H13698" t="s">
        <v>1477</v>
      </c>
      <c r="I13698" t="s">
        <v>84</v>
      </c>
      <c r="J13698" t="s">
        <v>29564</v>
      </c>
      <c r="K13698">
        <v>9325</v>
      </c>
      <c r="L13698" t="s">
        <v>23</v>
      </c>
      <c r="M13698" t="s">
        <v>29563</v>
      </c>
      <c r="N13698" t="s">
        <v>1477</v>
      </c>
      <c r="O13698" t="s">
        <v>84</v>
      </c>
      <c r="P13698" t="s">
        <v>29564</v>
      </c>
      <c r="Q13698">
        <v>9325</v>
      </c>
      <c r="R13698" t="s">
        <v>23</v>
      </c>
      <c r="S13698" s="1" t="s">
        <v>34218</v>
      </c>
    </row>
    <row r="13699" spans="1:19" x14ac:dyDescent="0.25">
      <c r="A13699">
        <v>101320906</v>
      </c>
      <c r="B13699" t="s">
        <v>8903</v>
      </c>
      <c r="C13699" t="s">
        <v>119</v>
      </c>
      <c r="G13699" t="s">
        <v>29565</v>
      </c>
      <c r="H13699" t="s">
        <v>125</v>
      </c>
      <c r="I13699" t="s">
        <v>126</v>
      </c>
      <c r="J13699">
        <v>63110</v>
      </c>
      <c r="L13699" t="s">
        <v>23</v>
      </c>
      <c r="M13699" t="s">
        <v>29565</v>
      </c>
      <c r="N13699" t="s">
        <v>125</v>
      </c>
      <c r="O13699" t="s">
        <v>126</v>
      </c>
      <c r="P13699">
        <v>63110</v>
      </c>
      <c r="R13699" t="s">
        <v>23</v>
      </c>
      <c r="S13699" s="1" t="s">
        <v>34218</v>
      </c>
    </row>
    <row r="13700" spans="1:19" x14ac:dyDescent="0.25">
      <c r="A13700">
        <v>101312691</v>
      </c>
      <c r="B13700" t="s">
        <v>18965</v>
      </c>
      <c r="C13700" t="s">
        <v>2929</v>
      </c>
      <c r="G13700" t="s">
        <v>29566</v>
      </c>
      <c r="H13700" t="s">
        <v>10843</v>
      </c>
      <c r="I13700" t="s">
        <v>241</v>
      </c>
      <c r="J13700" t="s">
        <v>29567</v>
      </c>
      <c r="K13700">
        <v>2600</v>
      </c>
      <c r="L13700" t="s">
        <v>23</v>
      </c>
      <c r="M13700" t="s">
        <v>29566</v>
      </c>
      <c r="N13700" t="s">
        <v>10843</v>
      </c>
      <c r="O13700" t="s">
        <v>241</v>
      </c>
      <c r="P13700" t="s">
        <v>29567</v>
      </c>
      <c r="Q13700">
        <v>2600</v>
      </c>
      <c r="R13700" t="s">
        <v>23</v>
      </c>
      <c r="S13700" s="1" t="s">
        <v>34218</v>
      </c>
    </row>
    <row r="13701" spans="1:19" x14ac:dyDescent="0.25">
      <c r="A13701">
        <v>101355896</v>
      </c>
      <c r="B13701" t="s">
        <v>29568</v>
      </c>
      <c r="C13701" t="s">
        <v>1223</v>
      </c>
      <c r="G13701" t="s">
        <v>29569</v>
      </c>
      <c r="H13701" t="s">
        <v>1439</v>
      </c>
      <c r="I13701" t="s">
        <v>365</v>
      </c>
      <c r="J13701" t="s">
        <v>29570</v>
      </c>
      <c r="K13701">
        <v>9086</v>
      </c>
      <c r="L13701" t="s">
        <v>23</v>
      </c>
      <c r="M13701" t="s">
        <v>29569</v>
      </c>
      <c r="N13701" t="s">
        <v>1439</v>
      </c>
      <c r="O13701" t="s">
        <v>365</v>
      </c>
      <c r="P13701" t="s">
        <v>29570</v>
      </c>
      <c r="Q13701">
        <v>9086</v>
      </c>
      <c r="R13701" t="s">
        <v>23</v>
      </c>
      <c r="S13701" s="1" t="s">
        <v>34218</v>
      </c>
    </row>
    <row r="13702" spans="1:19" x14ac:dyDescent="0.25">
      <c r="A13702">
        <v>101215963</v>
      </c>
      <c r="B13702" t="s">
        <v>11680</v>
      </c>
      <c r="C13702" t="s">
        <v>1036</v>
      </c>
      <c r="G13702" t="s">
        <v>29571</v>
      </c>
      <c r="H13702" t="s">
        <v>1531</v>
      </c>
      <c r="I13702" t="s">
        <v>84</v>
      </c>
      <c r="J13702" t="s">
        <v>29572</v>
      </c>
      <c r="K13702">
        <v>5656</v>
      </c>
      <c r="L13702" t="s">
        <v>23</v>
      </c>
      <c r="M13702" t="s">
        <v>29571</v>
      </c>
      <c r="N13702" t="s">
        <v>1531</v>
      </c>
      <c r="O13702" t="s">
        <v>84</v>
      </c>
      <c r="P13702" t="s">
        <v>29572</v>
      </c>
      <c r="Q13702">
        <v>5656</v>
      </c>
      <c r="R13702" t="s">
        <v>23</v>
      </c>
      <c r="S13702" s="1" t="s">
        <v>34218</v>
      </c>
    </row>
    <row r="13703" spans="1:19" x14ac:dyDescent="0.25">
      <c r="A13703">
        <v>101418934</v>
      </c>
      <c r="B13703" t="s">
        <v>465</v>
      </c>
      <c r="C13703" t="s">
        <v>644</v>
      </c>
      <c r="G13703" t="s">
        <v>29573</v>
      </c>
      <c r="H13703" t="s">
        <v>1594</v>
      </c>
      <c r="I13703" t="s">
        <v>84</v>
      </c>
      <c r="J13703" t="s">
        <v>29574</v>
      </c>
      <c r="K13703">
        <v>8207</v>
      </c>
      <c r="L13703" t="s">
        <v>23</v>
      </c>
      <c r="M13703" t="s">
        <v>29573</v>
      </c>
      <c r="N13703" t="s">
        <v>1594</v>
      </c>
      <c r="O13703" t="s">
        <v>84</v>
      </c>
      <c r="P13703" t="s">
        <v>29574</v>
      </c>
      <c r="Q13703">
        <v>8207</v>
      </c>
      <c r="R13703" t="s">
        <v>23</v>
      </c>
      <c r="S13703" s="1" t="s">
        <v>34218</v>
      </c>
    </row>
    <row r="13704" spans="1:19" x14ac:dyDescent="0.25">
      <c r="A13704">
        <v>101444670</v>
      </c>
      <c r="B13704" t="s">
        <v>29575</v>
      </c>
      <c r="C13704" t="s">
        <v>1737</v>
      </c>
      <c r="G13704" t="s">
        <v>29576</v>
      </c>
      <c r="H13704" t="s">
        <v>1283</v>
      </c>
      <c r="I13704" t="s">
        <v>22</v>
      </c>
      <c r="J13704" t="s">
        <v>29577</v>
      </c>
      <c r="K13704">
        <v>9616</v>
      </c>
      <c r="L13704" t="s">
        <v>23</v>
      </c>
      <c r="M13704" t="s">
        <v>29576</v>
      </c>
      <c r="N13704" t="s">
        <v>1283</v>
      </c>
      <c r="O13704" t="s">
        <v>22</v>
      </c>
      <c r="P13704" t="s">
        <v>29577</v>
      </c>
      <c r="Q13704">
        <v>9616</v>
      </c>
      <c r="R13704" t="s">
        <v>23</v>
      </c>
      <c r="S13704" s="1" t="s">
        <v>34218</v>
      </c>
    </row>
    <row r="13705" spans="1:19" x14ac:dyDescent="0.25">
      <c r="A13705">
        <v>101269690</v>
      </c>
      <c r="B13705" t="s">
        <v>28213</v>
      </c>
      <c r="C13705" t="s">
        <v>498</v>
      </c>
      <c r="G13705" t="s">
        <v>29578</v>
      </c>
      <c r="H13705" t="s">
        <v>29579</v>
      </c>
      <c r="I13705" t="s">
        <v>62</v>
      </c>
      <c r="J13705" t="s">
        <v>29580</v>
      </c>
      <c r="K13705">
        <v>5012</v>
      </c>
      <c r="L13705" t="s">
        <v>23</v>
      </c>
      <c r="M13705" t="s">
        <v>29578</v>
      </c>
      <c r="N13705" t="s">
        <v>29579</v>
      </c>
      <c r="O13705" t="s">
        <v>62</v>
      </c>
      <c r="P13705" t="s">
        <v>29580</v>
      </c>
      <c r="Q13705">
        <v>5012</v>
      </c>
      <c r="R13705" t="s">
        <v>23</v>
      </c>
      <c r="S13705" s="1" t="s">
        <v>34218</v>
      </c>
    </row>
    <row r="13706" spans="1:19" x14ac:dyDescent="0.25">
      <c r="A13706">
        <v>101467166</v>
      </c>
      <c r="B13706" t="s">
        <v>7290</v>
      </c>
      <c r="C13706" t="s">
        <v>535</v>
      </c>
      <c r="H13706" t="s">
        <v>454</v>
      </c>
      <c r="I13706" t="s">
        <v>22</v>
      </c>
      <c r="J13706">
        <v>93063</v>
      </c>
      <c r="L13706" t="s">
        <v>23</v>
      </c>
      <c r="N13706" t="s">
        <v>454</v>
      </c>
      <c r="O13706" t="s">
        <v>22</v>
      </c>
      <c r="P13706">
        <v>93063</v>
      </c>
      <c r="R13706" t="s">
        <v>23</v>
      </c>
      <c r="S13706" s="1" t="s">
        <v>34218</v>
      </c>
    </row>
    <row r="13707" spans="1:19" x14ac:dyDescent="0.25">
      <c r="A13707">
        <v>100848688</v>
      </c>
      <c r="B13707" t="s">
        <v>29581</v>
      </c>
      <c r="C13707" t="s">
        <v>699</v>
      </c>
      <c r="G13707" t="s">
        <v>29582</v>
      </c>
      <c r="H13707" t="s">
        <v>25432</v>
      </c>
      <c r="I13707" t="s">
        <v>117</v>
      </c>
      <c r="J13707" t="s">
        <v>29583</v>
      </c>
      <c r="K13707">
        <v>4737</v>
      </c>
      <c r="L13707" t="s">
        <v>23</v>
      </c>
      <c r="M13707" t="s">
        <v>29582</v>
      </c>
      <c r="N13707" t="s">
        <v>25432</v>
      </c>
      <c r="O13707" t="s">
        <v>117</v>
      </c>
      <c r="P13707" t="s">
        <v>29583</v>
      </c>
      <c r="Q13707">
        <v>4737</v>
      </c>
      <c r="R13707" t="s">
        <v>23</v>
      </c>
      <c r="S13707" s="1" t="s">
        <v>34218</v>
      </c>
    </row>
    <row r="13708" spans="1:19" x14ac:dyDescent="0.25">
      <c r="A13708">
        <v>101420664</v>
      </c>
      <c r="B13708" t="s">
        <v>22261</v>
      </c>
      <c r="C13708" t="s">
        <v>2509</v>
      </c>
      <c r="G13708" t="s">
        <v>29584</v>
      </c>
      <c r="H13708" t="s">
        <v>29585</v>
      </c>
      <c r="I13708" t="s">
        <v>135</v>
      </c>
      <c r="J13708" t="s">
        <v>29586</v>
      </c>
      <c r="K13708">
        <v>8709</v>
      </c>
      <c r="L13708" t="s">
        <v>23</v>
      </c>
      <c r="M13708" t="s">
        <v>29584</v>
      </c>
      <c r="N13708" t="s">
        <v>29585</v>
      </c>
      <c r="O13708" t="s">
        <v>135</v>
      </c>
      <c r="P13708" t="s">
        <v>29586</v>
      </c>
      <c r="Q13708">
        <v>8709</v>
      </c>
      <c r="R13708" t="s">
        <v>23</v>
      </c>
      <c r="S13708" s="1" t="s">
        <v>34218</v>
      </c>
    </row>
    <row r="13709" spans="1:19" x14ac:dyDescent="0.25">
      <c r="A13709">
        <v>101300054</v>
      </c>
      <c r="B13709" t="s">
        <v>29587</v>
      </c>
      <c r="C13709" t="s">
        <v>29588</v>
      </c>
      <c r="G13709" t="s">
        <v>29589</v>
      </c>
      <c r="H13709" t="s">
        <v>29590</v>
      </c>
      <c r="I13709" t="s">
        <v>100</v>
      </c>
      <c r="J13709" t="s">
        <v>29591</v>
      </c>
      <c r="K13709">
        <v>9441</v>
      </c>
      <c r="L13709" t="s">
        <v>23</v>
      </c>
      <c r="M13709" t="s">
        <v>29589</v>
      </c>
      <c r="N13709" t="s">
        <v>29590</v>
      </c>
      <c r="O13709" t="s">
        <v>100</v>
      </c>
      <c r="P13709" t="s">
        <v>29591</v>
      </c>
      <c r="Q13709">
        <v>9441</v>
      </c>
      <c r="R13709" t="s">
        <v>23</v>
      </c>
      <c r="S13709" s="1" t="s">
        <v>34218</v>
      </c>
    </row>
    <row r="13710" spans="1:19" x14ac:dyDescent="0.25">
      <c r="A13710">
        <v>101331341</v>
      </c>
      <c r="B13710" t="s">
        <v>1164</v>
      </c>
      <c r="C13710" t="s">
        <v>4184</v>
      </c>
      <c r="G13710" t="s">
        <v>29592</v>
      </c>
      <c r="H13710" t="s">
        <v>8220</v>
      </c>
      <c r="I13710" t="s">
        <v>22</v>
      </c>
      <c r="J13710" t="s">
        <v>29593</v>
      </c>
      <c r="K13710">
        <v>1327</v>
      </c>
      <c r="L13710" t="s">
        <v>23</v>
      </c>
      <c r="M13710" t="s">
        <v>29592</v>
      </c>
      <c r="N13710" t="s">
        <v>8220</v>
      </c>
      <c r="O13710" t="s">
        <v>22</v>
      </c>
      <c r="P13710" t="s">
        <v>29593</v>
      </c>
      <c r="Q13710">
        <v>1327</v>
      </c>
      <c r="R13710" t="s">
        <v>23</v>
      </c>
      <c r="S13710" s="1" t="s">
        <v>34218</v>
      </c>
    </row>
    <row r="13711" spans="1:19" x14ac:dyDescent="0.25">
      <c r="A13711">
        <v>101284983</v>
      </c>
      <c r="B13711" t="s">
        <v>276</v>
      </c>
      <c r="C13711" t="s">
        <v>1327</v>
      </c>
      <c r="G13711" t="s">
        <v>29594</v>
      </c>
      <c r="H13711" t="s">
        <v>1625</v>
      </c>
      <c r="I13711" t="s">
        <v>702</v>
      </c>
      <c r="J13711" t="s">
        <v>29595</v>
      </c>
      <c r="K13711">
        <v>7246</v>
      </c>
      <c r="L13711" t="s">
        <v>23</v>
      </c>
      <c r="M13711" t="s">
        <v>29594</v>
      </c>
      <c r="N13711" t="s">
        <v>1625</v>
      </c>
      <c r="O13711" t="s">
        <v>702</v>
      </c>
      <c r="P13711" t="s">
        <v>29595</v>
      </c>
      <c r="Q13711">
        <v>7246</v>
      </c>
      <c r="R13711" t="s">
        <v>23</v>
      </c>
      <c r="S13711" s="1" t="s">
        <v>34218</v>
      </c>
    </row>
    <row r="13712" spans="1:19" x14ac:dyDescent="0.25">
      <c r="A13712">
        <v>101441508</v>
      </c>
      <c r="B13712" t="s">
        <v>29596</v>
      </c>
      <c r="C13712" t="s">
        <v>13487</v>
      </c>
      <c r="G13712" t="s">
        <v>29597</v>
      </c>
      <c r="H13712" t="s">
        <v>29598</v>
      </c>
      <c r="I13712" t="s">
        <v>702</v>
      </c>
      <c r="J13712" t="s">
        <v>29599</v>
      </c>
      <c r="K13712">
        <v>1330</v>
      </c>
      <c r="L13712" t="s">
        <v>23</v>
      </c>
      <c r="M13712" t="s">
        <v>29597</v>
      </c>
      <c r="N13712" t="s">
        <v>29598</v>
      </c>
      <c r="O13712" t="s">
        <v>702</v>
      </c>
      <c r="P13712" t="s">
        <v>29599</v>
      </c>
      <c r="Q13712">
        <v>1330</v>
      </c>
      <c r="R13712" t="s">
        <v>23</v>
      </c>
      <c r="S13712" s="1" t="s">
        <v>34218</v>
      </c>
    </row>
    <row r="13713" spans="1:19" x14ac:dyDescent="0.25">
      <c r="A13713">
        <v>101444820</v>
      </c>
      <c r="B13713" t="s">
        <v>29600</v>
      </c>
      <c r="C13713" t="s">
        <v>1363</v>
      </c>
      <c r="G13713" t="s">
        <v>29601</v>
      </c>
      <c r="H13713" t="s">
        <v>29602</v>
      </c>
      <c r="I13713" t="s">
        <v>255</v>
      </c>
      <c r="J13713" t="s">
        <v>29603</v>
      </c>
      <c r="K13713">
        <v>3543</v>
      </c>
      <c r="L13713" t="s">
        <v>23</v>
      </c>
      <c r="M13713" t="s">
        <v>29601</v>
      </c>
      <c r="N13713" t="s">
        <v>29602</v>
      </c>
      <c r="O13713" t="s">
        <v>255</v>
      </c>
      <c r="P13713" t="s">
        <v>29603</v>
      </c>
      <c r="Q13713">
        <v>3543</v>
      </c>
      <c r="R13713" t="s">
        <v>23</v>
      </c>
      <c r="S13713" s="1" t="s">
        <v>34218</v>
      </c>
    </row>
    <row r="13714" spans="1:19" x14ac:dyDescent="0.25">
      <c r="A13714">
        <v>101444835</v>
      </c>
      <c r="B13714" t="s">
        <v>1800</v>
      </c>
      <c r="C13714" t="s">
        <v>17162</v>
      </c>
      <c r="G13714" t="s">
        <v>29604</v>
      </c>
      <c r="H13714" t="s">
        <v>16738</v>
      </c>
      <c r="I13714" t="s">
        <v>161</v>
      </c>
      <c r="J13714" t="s">
        <v>29605</v>
      </c>
      <c r="K13714">
        <v>3357</v>
      </c>
      <c r="L13714" t="s">
        <v>23</v>
      </c>
      <c r="M13714" t="s">
        <v>29604</v>
      </c>
      <c r="N13714" t="s">
        <v>16738</v>
      </c>
      <c r="O13714" t="s">
        <v>161</v>
      </c>
      <c r="P13714" t="s">
        <v>29605</v>
      </c>
      <c r="Q13714">
        <v>3357</v>
      </c>
      <c r="R13714" t="s">
        <v>23</v>
      </c>
      <c r="S13714" s="1" t="s">
        <v>34218</v>
      </c>
    </row>
    <row r="13715" spans="1:19" x14ac:dyDescent="0.25">
      <c r="A13715">
        <v>101391345</v>
      </c>
      <c r="B13715" t="s">
        <v>29606</v>
      </c>
      <c r="C13715" t="s">
        <v>45</v>
      </c>
      <c r="G13715" t="s">
        <v>29607</v>
      </c>
      <c r="H13715" t="s">
        <v>29608</v>
      </c>
      <c r="I13715" t="s">
        <v>38</v>
      </c>
      <c r="J13715" t="s">
        <v>29609</v>
      </c>
      <c r="K13715">
        <v>8241</v>
      </c>
      <c r="L13715" t="s">
        <v>23</v>
      </c>
      <c r="M13715" t="s">
        <v>29607</v>
      </c>
      <c r="N13715" t="s">
        <v>29608</v>
      </c>
      <c r="O13715" t="s">
        <v>38</v>
      </c>
      <c r="P13715" t="s">
        <v>29609</v>
      </c>
      <c r="Q13715">
        <v>8241</v>
      </c>
      <c r="R13715" t="s">
        <v>23</v>
      </c>
      <c r="S13715" s="1" t="s">
        <v>34218</v>
      </c>
    </row>
    <row r="13716" spans="1:19" x14ac:dyDescent="0.25">
      <c r="A13716">
        <v>101431792</v>
      </c>
      <c r="B13716" t="s">
        <v>29610</v>
      </c>
      <c r="C13716" t="s">
        <v>1955</v>
      </c>
      <c r="G13716" t="s">
        <v>29611</v>
      </c>
      <c r="H13716" t="s">
        <v>21298</v>
      </c>
      <c r="I13716" t="s">
        <v>52</v>
      </c>
      <c r="J13716" t="s">
        <v>29612</v>
      </c>
      <c r="K13716">
        <v>3511</v>
      </c>
      <c r="L13716" t="s">
        <v>23</v>
      </c>
      <c r="M13716" t="s">
        <v>29611</v>
      </c>
      <c r="N13716" t="s">
        <v>21298</v>
      </c>
      <c r="O13716" t="s">
        <v>52</v>
      </c>
      <c r="P13716" t="s">
        <v>29612</v>
      </c>
      <c r="Q13716">
        <v>3511</v>
      </c>
      <c r="R13716" t="s">
        <v>23</v>
      </c>
      <c r="S13716" s="1" t="s">
        <v>34218</v>
      </c>
    </row>
    <row r="13717" spans="1:19" x14ac:dyDescent="0.25">
      <c r="A13717">
        <v>100789306</v>
      </c>
      <c r="B13717" t="s">
        <v>1605</v>
      </c>
      <c r="C13717" t="s">
        <v>842</v>
      </c>
      <c r="G13717" t="s">
        <v>29613</v>
      </c>
      <c r="H13717" t="s">
        <v>1787</v>
      </c>
      <c r="I13717" t="s">
        <v>702</v>
      </c>
      <c r="J13717" t="s">
        <v>29614</v>
      </c>
      <c r="K13717">
        <v>4713</v>
      </c>
      <c r="L13717" t="s">
        <v>23</v>
      </c>
      <c r="M13717" t="s">
        <v>29613</v>
      </c>
      <c r="N13717" t="s">
        <v>1787</v>
      </c>
      <c r="O13717" t="s">
        <v>702</v>
      </c>
      <c r="P13717" t="s">
        <v>29614</v>
      </c>
      <c r="Q13717">
        <v>4713</v>
      </c>
      <c r="R13717" t="s">
        <v>23</v>
      </c>
      <c r="S13717" s="1" t="s">
        <v>34218</v>
      </c>
    </row>
    <row r="13718" spans="1:19" x14ac:dyDescent="0.25">
      <c r="A13718">
        <v>101325387</v>
      </c>
      <c r="B13718" t="s">
        <v>22766</v>
      </c>
      <c r="C13718" t="s">
        <v>1591</v>
      </c>
      <c r="G13718" t="s">
        <v>29615</v>
      </c>
      <c r="H13718" t="s">
        <v>227</v>
      </c>
      <c r="I13718" t="s">
        <v>43</v>
      </c>
      <c r="J13718">
        <v>97209</v>
      </c>
      <c r="K13718">
        <v>3489</v>
      </c>
      <c r="L13718" t="s">
        <v>23</v>
      </c>
      <c r="M13718" t="s">
        <v>29615</v>
      </c>
      <c r="N13718" t="s">
        <v>227</v>
      </c>
      <c r="O13718" t="s">
        <v>43</v>
      </c>
      <c r="P13718">
        <v>97209</v>
      </c>
      <c r="Q13718">
        <v>3489</v>
      </c>
      <c r="R13718" t="s">
        <v>23</v>
      </c>
      <c r="S13718" s="1" t="s">
        <v>34218</v>
      </c>
    </row>
    <row r="13719" spans="1:19" x14ac:dyDescent="0.25">
      <c r="A13719">
        <v>101353245</v>
      </c>
      <c r="B13719" t="s">
        <v>29616</v>
      </c>
      <c r="C13719" t="s">
        <v>40</v>
      </c>
      <c r="G13719" t="s">
        <v>29617</v>
      </c>
      <c r="H13719" t="s">
        <v>29618</v>
      </c>
      <c r="I13719" t="s">
        <v>565</v>
      </c>
      <c r="J13719">
        <v>50035</v>
      </c>
      <c r="K13719">
        <v>2031</v>
      </c>
      <c r="L13719" t="s">
        <v>23</v>
      </c>
      <c r="M13719" t="s">
        <v>29617</v>
      </c>
      <c r="N13719" t="s">
        <v>29618</v>
      </c>
      <c r="O13719" t="s">
        <v>565</v>
      </c>
      <c r="P13719">
        <v>50035</v>
      </c>
      <c r="Q13719">
        <v>2031</v>
      </c>
      <c r="R13719" t="s">
        <v>23</v>
      </c>
      <c r="S13719" s="1" t="s">
        <v>34218</v>
      </c>
    </row>
    <row r="13720" spans="1:19" x14ac:dyDescent="0.25">
      <c r="A13720">
        <v>101192666</v>
      </c>
      <c r="B13720" t="s">
        <v>2020</v>
      </c>
      <c r="C13720" t="s">
        <v>132</v>
      </c>
      <c r="G13720" t="s">
        <v>29619</v>
      </c>
      <c r="H13720" t="s">
        <v>2046</v>
      </c>
      <c r="I13720" t="s">
        <v>446</v>
      </c>
      <c r="J13720">
        <v>27702</v>
      </c>
      <c r="K13720">
        <v>5</v>
      </c>
      <c r="L13720" t="s">
        <v>23</v>
      </c>
      <c r="M13720" t="s">
        <v>29619</v>
      </c>
      <c r="N13720" t="s">
        <v>2046</v>
      </c>
      <c r="O13720" t="s">
        <v>446</v>
      </c>
      <c r="P13720">
        <v>27702</v>
      </c>
      <c r="Q13720">
        <v>5</v>
      </c>
      <c r="R13720" t="s">
        <v>23</v>
      </c>
      <c r="S13720" s="1" t="s">
        <v>34218</v>
      </c>
    </row>
    <row r="13721" spans="1:19" x14ac:dyDescent="0.25">
      <c r="A13721">
        <v>101468658</v>
      </c>
      <c r="B13721" t="s">
        <v>22031</v>
      </c>
      <c r="C13721" t="s">
        <v>1124</v>
      </c>
      <c r="G13721" t="s">
        <v>29620</v>
      </c>
      <c r="H13721" t="s">
        <v>4958</v>
      </c>
      <c r="I13721" t="s">
        <v>332</v>
      </c>
      <c r="J13721">
        <v>84020</v>
      </c>
      <c r="K13721">
        <v>7659</v>
      </c>
      <c r="L13721" t="s">
        <v>23</v>
      </c>
      <c r="M13721" t="s">
        <v>29620</v>
      </c>
      <c r="N13721" t="s">
        <v>4958</v>
      </c>
      <c r="O13721" t="s">
        <v>332</v>
      </c>
      <c r="P13721">
        <v>84020</v>
      </c>
      <c r="Q13721">
        <v>7659</v>
      </c>
      <c r="R13721" t="s">
        <v>23</v>
      </c>
      <c r="S13721" s="1" t="s">
        <v>34218</v>
      </c>
    </row>
    <row r="13722" spans="1:19" x14ac:dyDescent="0.25">
      <c r="A13722">
        <v>101468659</v>
      </c>
      <c r="B13722" t="s">
        <v>1864</v>
      </c>
      <c r="C13722" t="s">
        <v>29621</v>
      </c>
      <c r="G13722" t="s">
        <v>29622</v>
      </c>
      <c r="H13722" t="s">
        <v>29623</v>
      </c>
      <c r="I13722" t="s">
        <v>33</v>
      </c>
      <c r="J13722">
        <v>17070</v>
      </c>
      <c r="K13722">
        <v>1511</v>
      </c>
      <c r="L13722" t="s">
        <v>23</v>
      </c>
      <c r="M13722" t="s">
        <v>29622</v>
      </c>
      <c r="N13722" t="s">
        <v>29623</v>
      </c>
      <c r="O13722" t="s">
        <v>33</v>
      </c>
      <c r="P13722">
        <v>17070</v>
      </c>
      <c r="Q13722">
        <v>1511</v>
      </c>
      <c r="R13722" t="s">
        <v>23</v>
      </c>
      <c r="S13722" s="1" t="s">
        <v>34218</v>
      </c>
    </row>
    <row r="13723" spans="1:19" x14ac:dyDescent="0.25">
      <c r="A13723">
        <v>100956739</v>
      </c>
      <c r="B13723" t="s">
        <v>12109</v>
      </c>
      <c r="C13723" t="s">
        <v>11272</v>
      </c>
      <c r="G13723" t="s">
        <v>29624</v>
      </c>
      <c r="H13723" t="s">
        <v>29625</v>
      </c>
      <c r="I13723" t="s">
        <v>38</v>
      </c>
      <c r="J13723">
        <v>75056</v>
      </c>
      <c r="K13723">
        <v>4064</v>
      </c>
      <c r="L13723" t="s">
        <v>23</v>
      </c>
      <c r="M13723" t="s">
        <v>29624</v>
      </c>
      <c r="N13723" t="s">
        <v>29625</v>
      </c>
      <c r="O13723" t="s">
        <v>38</v>
      </c>
      <c r="P13723">
        <v>75056</v>
      </c>
      <c r="Q13723">
        <v>4064</v>
      </c>
      <c r="R13723" t="s">
        <v>23</v>
      </c>
      <c r="S13723" s="1" t="s">
        <v>34218</v>
      </c>
    </row>
    <row r="13724" spans="1:19" x14ac:dyDescent="0.25">
      <c r="A13724">
        <v>100695491</v>
      </c>
      <c r="B13724" t="s">
        <v>29626</v>
      </c>
      <c r="C13724" t="s">
        <v>29627</v>
      </c>
      <c r="G13724" t="s">
        <v>29628</v>
      </c>
      <c r="H13724" t="s">
        <v>2923</v>
      </c>
      <c r="I13724" t="s">
        <v>22</v>
      </c>
      <c r="J13724">
        <v>93033</v>
      </c>
      <c r="K13724">
        <v>8475</v>
      </c>
      <c r="L13724" t="s">
        <v>23</v>
      </c>
      <c r="M13724" t="s">
        <v>29628</v>
      </c>
      <c r="N13724" t="s">
        <v>2923</v>
      </c>
      <c r="O13724" t="s">
        <v>22</v>
      </c>
      <c r="P13724">
        <v>93033</v>
      </c>
      <c r="Q13724">
        <v>8475</v>
      </c>
      <c r="R13724" t="s">
        <v>23</v>
      </c>
      <c r="S13724" s="1" t="s">
        <v>34218</v>
      </c>
    </row>
    <row r="13725" spans="1:19" x14ac:dyDescent="0.25">
      <c r="A13725">
        <v>101162801</v>
      </c>
      <c r="B13725" t="s">
        <v>3956</v>
      </c>
      <c r="C13725" t="s">
        <v>1676</v>
      </c>
      <c r="G13725" t="s">
        <v>29629</v>
      </c>
      <c r="H13725" t="s">
        <v>6629</v>
      </c>
      <c r="I13725" t="s">
        <v>38</v>
      </c>
      <c r="J13725">
        <v>77382</v>
      </c>
      <c r="K13725">
        <v>1411</v>
      </c>
      <c r="L13725" t="s">
        <v>23</v>
      </c>
      <c r="M13725" t="s">
        <v>29629</v>
      </c>
      <c r="N13725" t="s">
        <v>6629</v>
      </c>
      <c r="O13725" t="s">
        <v>38</v>
      </c>
      <c r="P13725">
        <v>77382</v>
      </c>
      <c r="Q13725">
        <v>1411</v>
      </c>
      <c r="R13725" t="s">
        <v>23</v>
      </c>
      <c r="S13725" s="1" t="s">
        <v>34218</v>
      </c>
    </row>
    <row r="13726" spans="1:19" x14ac:dyDescent="0.25">
      <c r="A13726">
        <v>101294452</v>
      </c>
      <c r="B13726" t="s">
        <v>29630</v>
      </c>
      <c r="C13726" t="s">
        <v>13249</v>
      </c>
      <c r="G13726" t="s">
        <v>29631</v>
      </c>
      <c r="H13726" t="s">
        <v>29632</v>
      </c>
      <c r="I13726" t="s">
        <v>1482</v>
      </c>
      <c r="J13726">
        <v>29456</v>
      </c>
      <c r="K13726">
        <v>3711</v>
      </c>
      <c r="L13726" t="s">
        <v>23</v>
      </c>
      <c r="M13726" t="s">
        <v>29631</v>
      </c>
      <c r="N13726" t="s">
        <v>29632</v>
      </c>
      <c r="O13726" t="s">
        <v>1482</v>
      </c>
      <c r="P13726">
        <v>29456</v>
      </c>
      <c r="Q13726">
        <v>3711</v>
      </c>
      <c r="R13726" t="s">
        <v>23</v>
      </c>
      <c r="S13726" s="1" t="s">
        <v>34218</v>
      </c>
    </row>
    <row r="13727" spans="1:19" x14ac:dyDescent="0.25">
      <c r="A13727">
        <v>101431685</v>
      </c>
      <c r="B13727" t="s">
        <v>29633</v>
      </c>
      <c r="C13727" t="s">
        <v>4644</v>
      </c>
      <c r="G13727" t="s">
        <v>29634</v>
      </c>
      <c r="H13727" t="s">
        <v>380</v>
      </c>
      <c r="I13727" t="s">
        <v>38</v>
      </c>
      <c r="J13727">
        <v>75230</v>
      </c>
      <c r="K13727">
        <v>2240</v>
      </c>
      <c r="L13727" t="s">
        <v>23</v>
      </c>
      <c r="M13727" t="s">
        <v>29634</v>
      </c>
      <c r="N13727" t="s">
        <v>380</v>
      </c>
      <c r="O13727" t="s">
        <v>38</v>
      </c>
      <c r="P13727">
        <v>75230</v>
      </c>
      <c r="Q13727">
        <v>2240</v>
      </c>
      <c r="R13727" t="s">
        <v>23</v>
      </c>
      <c r="S13727" s="1" t="s">
        <v>34218</v>
      </c>
    </row>
    <row r="13728" spans="1:19" x14ac:dyDescent="0.25">
      <c r="A13728">
        <v>101466491</v>
      </c>
      <c r="B13728" t="s">
        <v>29635</v>
      </c>
      <c r="C13728" t="s">
        <v>2411</v>
      </c>
      <c r="G13728" t="s">
        <v>29636</v>
      </c>
      <c r="H13728" t="s">
        <v>20193</v>
      </c>
      <c r="I13728" t="s">
        <v>178</v>
      </c>
      <c r="J13728">
        <v>44233</v>
      </c>
      <c r="K13728">
        <v>9523</v>
      </c>
      <c r="L13728" t="s">
        <v>23</v>
      </c>
      <c r="M13728" t="s">
        <v>29636</v>
      </c>
      <c r="N13728" t="s">
        <v>20193</v>
      </c>
      <c r="O13728" t="s">
        <v>178</v>
      </c>
      <c r="P13728">
        <v>44233</v>
      </c>
      <c r="Q13728">
        <v>9523</v>
      </c>
      <c r="R13728" t="s">
        <v>23</v>
      </c>
      <c r="S13728" s="1" t="s">
        <v>34218</v>
      </c>
    </row>
    <row r="13729" spans="1:19" x14ac:dyDescent="0.25">
      <c r="A13729">
        <v>101465505</v>
      </c>
      <c r="B13729" t="s">
        <v>29637</v>
      </c>
      <c r="C13729" t="s">
        <v>7445</v>
      </c>
      <c r="G13729" t="s">
        <v>29638</v>
      </c>
      <c r="H13729" t="s">
        <v>1052</v>
      </c>
      <c r="I13729" t="s">
        <v>43</v>
      </c>
      <c r="J13729">
        <v>97321</v>
      </c>
      <c r="K13729">
        <v>2448</v>
      </c>
      <c r="L13729" t="s">
        <v>23</v>
      </c>
      <c r="M13729" t="s">
        <v>29638</v>
      </c>
      <c r="N13729" t="s">
        <v>1052</v>
      </c>
      <c r="O13729" t="s">
        <v>43</v>
      </c>
      <c r="P13729">
        <v>97321</v>
      </c>
      <c r="Q13729">
        <v>2448</v>
      </c>
      <c r="R13729" t="s">
        <v>23</v>
      </c>
      <c r="S13729" s="1" t="s">
        <v>34218</v>
      </c>
    </row>
    <row r="13730" spans="1:19" x14ac:dyDescent="0.25">
      <c r="A13730">
        <v>100858710</v>
      </c>
      <c r="B13730" t="s">
        <v>29639</v>
      </c>
      <c r="C13730" t="s">
        <v>86</v>
      </c>
      <c r="G13730" t="s">
        <v>29640</v>
      </c>
      <c r="H13730" t="s">
        <v>6980</v>
      </c>
      <c r="I13730" t="s">
        <v>148</v>
      </c>
      <c r="J13730">
        <v>20706</v>
      </c>
      <c r="L13730" t="s">
        <v>23</v>
      </c>
      <c r="M13730" t="s">
        <v>29640</v>
      </c>
      <c r="N13730" t="s">
        <v>6980</v>
      </c>
      <c r="O13730" t="s">
        <v>148</v>
      </c>
      <c r="P13730">
        <v>20706</v>
      </c>
      <c r="R13730" t="s">
        <v>23</v>
      </c>
      <c r="S13730" s="1" t="s">
        <v>34218</v>
      </c>
    </row>
    <row r="13731" spans="1:19" x14ac:dyDescent="0.25">
      <c r="A13731">
        <v>101465173</v>
      </c>
      <c r="B13731" t="s">
        <v>902</v>
      </c>
      <c r="C13731" t="s">
        <v>1327</v>
      </c>
      <c r="G13731" t="s">
        <v>29641</v>
      </c>
      <c r="H13731" t="s">
        <v>22263</v>
      </c>
      <c r="I13731" t="s">
        <v>52</v>
      </c>
      <c r="J13731">
        <v>33573</v>
      </c>
      <c r="K13731">
        <v>7173</v>
      </c>
      <c r="L13731" t="s">
        <v>23</v>
      </c>
      <c r="M13731" t="s">
        <v>29641</v>
      </c>
      <c r="N13731" t="s">
        <v>22263</v>
      </c>
      <c r="O13731" t="s">
        <v>52</v>
      </c>
      <c r="P13731">
        <v>33573</v>
      </c>
      <c r="Q13731">
        <v>7173</v>
      </c>
      <c r="R13731" t="s">
        <v>23</v>
      </c>
      <c r="S13731" s="1" t="s">
        <v>34218</v>
      </c>
    </row>
    <row r="13732" spans="1:19" x14ac:dyDescent="0.25">
      <c r="A13732">
        <v>101101172</v>
      </c>
      <c r="B13732" t="s">
        <v>13269</v>
      </c>
      <c r="C13732" t="s">
        <v>894</v>
      </c>
      <c r="G13732" t="s">
        <v>29642</v>
      </c>
      <c r="H13732" t="s">
        <v>3797</v>
      </c>
      <c r="I13732" t="s">
        <v>84</v>
      </c>
      <c r="J13732">
        <v>98245</v>
      </c>
      <c r="K13732">
        <v>5654</v>
      </c>
      <c r="L13732" t="s">
        <v>23</v>
      </c>
      <c r="M13732" t="s">
        <v>29642</v>
      </c>
      <c r="N13732" t="s">
        <v>3797</v>
      </c>
      <c r="O13732" t="s">
        <v>84</v>
      </c>
      <c r="P13732">
        <v>98245</v>
      </c>
      <c r="Q13732">
        <v>5654</v>
      </c>
      <c r="R13732" t="s">
        <v>23</v>
      </c>
      <c r="S13732" s="1" t="s">
        <v>34218</v>
      </c>
    </row>
    <row r="13733" spans="1:19" x14ac:dyDescent="0.25">
      <c r="A13733">
        <v>101298937</v>
      </c>
      <c r="B13733" t="s">
        <v>497</v>
      </c>
      <c r="C13733" t="s">
        <v>2453</v>
      </c>
      <c r="G13733" t="s">
        <v>29643</v>
      </c>
      <c r="H13733" t="s">
        <v>3129</v>
      </c>
      <c r="I13733" t="s">
        <v>84</v>
      </c>
      <c r="J13733">
        <v>99203</v>
      </c>
      <c r="K13733">
        <v>2062</v>
      </c>
      <c r="L13733" t="s">
        <v>23</v>
      </c>
      <c r="M13733" t="s">
        <v>29643</v>
      </c>
      <c r="N13733" t="s">
        <v>3129</v>
      </c>
      <c r="O13733" t="s">
        <v>84</v>
      </c>
      <c r="P13733">
        <v>99203</v>
      </c>
      <c r="Q13733">
        <v>2062</v>
      </c>
      <c r="R13733" t="s">
        <v>23</v>
      </c>
      <c r="S13733" s="1" t="s">
        <v>34218</v>
      </c>
    </row>
    <row r="13734" spans="1:19" x14ac:dyDescent="0.25">
      <c r="A13734">
        <v>101468048</v>
      </c>
      <c r="B13734" t="s">
        <v>27161</v>
      </c>
      <c r="C13734" t="s">
        <v>49</v>
      </c>
      <c r="G13734" t="s">
        <v>29644</v>
      </c>
      <c r="H13734" t="s">
        <v>4087</v>
      </c>
      <c r="I13734" t="s">
        <v>236</v>
      </c>
      <c r="J13734">
        <v>1230</v>
      </c>
      <c r="K13734">
        <v>1571</v>
      </c>
      <c r="L13734" t="s">
        <v>23</v>
      </c>
      <c r="M13734" t="s">
        <v>29644</v>
      </c>
      <c r="N13734" t="s">
        <v>4087</v>
      </c>
      <c r="O13734" t="s">
        <v>236</v>
      </c>
      <c r="P13734">
        <v>1230</v>
      </c>
      <c r="Q13734">
        <v>1571</v>
      </c>
      <c r="R13734" t="s">
        <v>23</v>
      </c>
      <c r="S13734" s="1" t="s">
        <v>34218</v>
      </c>
    </row>
    <row r="13735" spans="1:19" x14ac:dyDescent="0.25">
      <c r="A13735">
        <v>100731633</v>
      </c>
      <c r="B13735" t="s">
        <v>2251</v>
      </c>
      <c r="C13735" t="s">
        <v>90</v>
      </c>
      <c r="G13735" t="s">
        <v>29645</v>
      </c>
      <c r="H13735" t="s">
        <v>1885</v>
      </c>
      <c r="I13735" t="s">
        <v>22</v>
      </c>
      <c r="J13735">
        <v>90278</v>
      </c>
      <c r="K13735">
        <v>3861</v>
      </c>
      <c r="L13735" t="s">
        <v>23</v>
      </c>
      <c r="M13735" t="s">
        <v>29645</v>
      </c>
      <c r="N13735" t="s">
        <v>1885</v>
      </c>
      <c r="O13735" t="s">
        <v>22</v>
      </c>
      <c r="P13735">
        <v>90278</v>
      </c>
      <c r="Q13735">
        <v>3861</v>
      </c>
      <c r="R13735" t="s">
        <v>23</v>
      </c>
      <c r="S13735" s="1" t="s">
        <v>34218</v>
      </c>
    </row>
    <row r="13736" spans="1:19" x14ac:dyDescent="0.25">
      <c r="A13736">
        <v>101444460</v>
      </c>
      <c r="B13736" t="s">
        <v>141</v>
      </c>
      <c r="C13736" t="s">
        <v>1658</v>
      </c>
      <c r="G13736" t="s">
        <v>29646</v>
      </c>
      <c r="H13736" t="s">
        <v>56</v>
      </c>
      <c r="I13736" t="s">
        <v>57</v>
      </c>
      <c r="J13736" t="s">
        <v>29647</v>
      </c>
      <c r="K13736">
        <v>6245</v>
      </c>
      <c r="L13736" t="s">
        <v>23</v>
      </c>
      <c r="M13736" t="s">
        <v>29646</v>
      </c>
      <c r="N13736" t="s">
        <v>56</v>
      </c>
      <c r="O13736" t="s">
        <v>57</v>
      </c>
      <c r="P13736" t="s">
        <v>29647</v>
      </c>
      <c r="Q13736">
        <v>6245</v>
      </c>
      <c r="R13736" t="s">
        <v>23</v>
      </c>
      <c r="S13736" s="1" t="s">
        <v>34218</v>
      </c>
    </row>
    <row r="13737" spans="1:19" x14ac:dyDescent="0.25">
      <c r="A13737">
        <v>101290273</v>
      </c>
      <c r="B13737" t="s">
        <v>29648</v>
      </c>
      <c r="C13737" t="s">
        <v>132</v>
      </c>
      <c r="G13737" t="s">
        <v>29649</v>
      </c>
      <c r="H13737" t="s">
        <v>6104</v>
      </c>
      <c r="I13737" t="s">
        <v>250</v>
      </c>
      <c r="J13737" t="s">
        <v>29650</v>
      </c>
      <c r="K13737">
        <v>2703</v>
      </c>
      <c r="L13737" t="s">
        <v>23</v>
      </c>
      <c r="M13737" t="s">
        <v>29649</v>
      </c>
      <c r="N13737" t="s">
        <v>6104</v>
      </c>
      <c r="O13737" t="s">
        <v>250</v>
      </c>
      <c r="P13737" t="s">
        <v>29650</v>
      </c>
      <c r="Q13737">
        <v>2703</v>
      </c>
      <c r="R13737" t="s">
        <v>23</v>
      </c>
      <c r="S13737" s="1" t="s">
        <v>34218</v>
      </c>
    </row>
    <row r="13738" spans="1:19" x14ac:dyDescent="0.25">
      <c r="A13738">
        <v>101444489</v>
      </c>
      <c r="B13738" t="s">
        <v>3749</v>
      </c>
      <c r="C13738" t="s">
        <v>90</v>
      </c>
      <c r="G13738" t="s">
        <v>29651</v>
      </c>
      <c r="H13738" t="s">
        <v>412</v>
      </c>
      <c r="I13738" t="s">
        <v>117</v>
      </c>
      <c r="J13738" t="s">
        <v>29652</v>
      </c>
      <c r="K13738">
        <v>1019</v>
      </c>
      <c r="L13738" t="s">
        <v>23</v>
      </c>
      <c r="M13738" t="s">
        <v>29651</v>
      </c>
      <c r="N13738" t="s">
        <v>412</v>
      </c>
      <c r="O13738" t="s">
        <v>117</v>
      </c>
      <c r="P13738" t="s">
        <v>29652</v>
      </c>
      <c r="Q13738">
        <v>1019</v>
      </c>
      <c r="R13738" t="s">
        <v>23</v>
      </c>
      <c r="S13738" s="1" t="s">
        <v>34218</v>
      </c>
    </row>
    <row r="13739" spans="1:19" x14ac:dyDescent="0.25">
      <c r="A13739">
        <v>101322001</v>
      </c>
      <c r="B13739" t="s">
        <v>29653</v>
      </c>
      <c r="C13739" t="s">
        <v>403</v>
      </c>
      <c r="G13739" t="s">
        <v>29654</v>
      </c>
      <c r="H13739" t="s">
        <v>15463</v>
      </c>
      <c r="I13739" t="s">
        <v>126</v>
      </c>
      <c r="J13739" t="s">
        <v>29655</v>
      </c>
      <c r="K13739">
        <v>2106</v>
      </c>
      <c r="L13739" t="s">
        <v>23</v>
      </c>
      <c r="M13739" t="s">
        <v>29654</v>
      </c>
      <c r="N13739" t="s">
        <v>15463</v>
      </c>
      <c r="O13739" t="s">
        <v>126</v>
      </c>
      <c r="P13739" t="s">
        <v>29655</v>
      </c>
      <c r="Q13739">
        <v>2106</v>
      </c>
      <c r="R13739" t="s">
        <v>23</v>
      </c>
      <c r="S13739" s="1" t="s">
        <v>34218</v>
      </c>
    </row>
    <row r="13740" spans="1:19" x14ac:dyDescent="0.25">
      <c r="A13740">
        <v>100515818</v>
      </c>
      <c r="B13740" t="s">
        <v>3049</v>
      </c>
      <c r="C13740" t="s">
        <v>274</v>
      </c>
      <c r="G13740" t="s">
        <v>5855</v>
      </c>
      <c r="H13740" t="s">
        <v>1096</v>
      </c>
      <c r="I13740" t="s">
        <v>71</v>
      </c>
      <c r="J13740" t="s">
        <v>29656</v>
      </c>
      <c r="K13740">
        <v>1215</v>
      </c>
      <c r="L13740" t="s">
        <v>23</v>
      </c>
      <c r="M13740" t="s">
        <v>5855</v>
      </c>
      <c r="N13740" t="s">
        <v>1096</v>
      </c>
      <c r="O13740" t="s">
        <v>71</v>
      </c>
      <c r="P13740" t="s">
        <v>29656</v>
      </c>
      <c r="Q13740">
        <v>1215</v>
      </c>
      <c r="R13740" t="s">
        <v>23</v>
      </c>
      <c r="S13740" s="1" t="s">
        <v>34218</v>
      </c>
    </row>
    <row r="13741" spans="1:19" x14ac:dyDescent="0.25">
      <c r="A13741">
        <v>101284594</v>
      </c>
      <c r="B13741" t="s">
        <v>29657</v>
      </c>
      <c r="C13741" t="s">
        <v>522</v>
      </c>
      <c r="G13741" t="s">
        <v>29658</v>
      </c>
      <c r="H13741" t="s">
        <v>17535</v>
      </c>
      <c r="I13741" t="s">
        <v>161</v>
      </c>
      <c r="J13741" t="s">
        <v>29659</v>
      </c>
      <c r="K13741">
        <v>3346</v>
      </c>
      <c r="L13741" t="s">
        <v>23</v>
      </c>
      <c r="M13741" t="s">
        <v>29658</v>
      </c>
      <c r="N13741" t="s">
        <v>17535</v>
      </c>
      <c r="O13741" t="s">
        <v>161</v>
      </c>
      <c r="P13741" t="s">
        <v>29659</v>
      </c>
      <c r="Q13741">
        <v>3346</v>
      </c>
      <c r="R13741" t="s">
        <v>23</v>
      </c>
      <c r="S13741" s="1" t="s">
        <v>34218</v>
      </c>
    </row>
    <row r="13742" spans="1:19" x14ac:dyDescent="0.25">
      <c r="A13742">
        <v>100709934</v>
      </c>
      <c r="B13742" t="s">
        <v>34</v>
      </c>
      <c r="C13742" t="s">
        <v>668</v>
      </c>
      <c r="G13742" t="s">
        <v>29660</v>
      </c>
      <c r="H13742" t="s">
        <v>4429</v>
      </c>
      <c r="I13742" t="s">
        <v>38</v>
      </c>
      <c r="J13742" t="s">
        <v>29661</v>
      </c>
      <c r="K13742">
        <v>7523</v>
      </c>
      <c r="L13742" t="s">
        <v>23</v>
      </c>
      <c r="M13742" t="s">
        <v>29660</v>
      </c>
      <c r="N13742" t="s">
        <v>4429</v>
      </c>
      <c r="O13742" t="s">
        <v>38</v>
      </c>
      <c r="P13742" t="s">
        <v>29661</v>
      </c>
      <c r="Q13742">
        <v>7523</v>
      </c>
      <c r="R13742" t="s">
        <v>23</v>
      </c>
      <c r="S13742" s="1" t="s">
        <v>34218</v>
      </c>
    </row>
    <row r="13743" spans="1:19" x14ac:dyDescent="0.25">
      <c r="A13743">
        <v>101145436</v>
      </c>
      <c r="B13743" t="s">
        <v>25156</v>
      </c>
      <c r="C13743" t="s">
        <v>180</v>
      </c>
      <c r="G13743" t="s">
        <v>29662</v>
      </c>
      <c r="H13743" t="s">
        <v>1246</v>
      </c>
      <c r="I13743" t="s">
        <v>140</v>
      </c>
      <c r="J13743" t="s">
        <v>29663</v>
      </c>
      <c r="K13743">
        <v>7211</v>
      </c>
      <c r="L13743" t="s">
        <v>23</v>
      </c>
      <c r="M13743" t="s">
        <v>29662</v>
      </c>
      <c r="N13743" t="s">
        <v>1246</v>
      </c>
      <c r="O13743" t="s">
        <v>140</v>
      </c>
      <c r="P13743" t="s">
        <v>29663</v>
      </c>
      <c r="Q13743">
        <v>7211</v>
      </c>
      <c r="R13743" t="s">
        <v>23</v>
      </c>
      <c r="S13743" s="1" t="s">
        <v>34218</v>
      </c>
    </row>
    <row r="13744" spans="1:19" x14ac:dyDescent="0.25">
      <c r="A13744">
        <v>101300159</v>
      </c>
      <c r="B13744" t="s">
        <v>6147</v>
      </c>
      <c r="C13744" t="s">
        <v>2062</v>
      </c>
      <c r="G13744" t="s">
        <v>29664</v>
      </c>
      <c r="H13744" t="s">
        <v>143</v>
      </c>
      <c r="I13744" t="s">
        <v>52</v>
      </c>
      <c r="J13744">
        <v>32258</v>
      </c>
      <c r="K13744">
        <v>2256</v>
      </c>
      <c r="L13744" t="s">
        <v>23</v>
      </c>
      <c r="M13744" t="s">
        <v>29664</v>
      </c>
      <c r="N13744" t="s">
        <v>143</v>
      </c>
      <c r="O13744" t="s">
        <v>52</v>
      </c>
      <c r="P13744">
        <v>32258</v>
      </c>
      <c r="Q13744">
        <v>2256</v>
      </c>
      <c r="R13744" t="s">
        <v>23</v>
      </c>
      <c r="S13744" s="1" t="s">
        <v>34218</v>
      </c>
    </row>
    <row r="13745" spans="1:19" x14ac:dyDescent="0.25">
      <c r="A13745">
        <v>101347380</v>
      </c>
      <c r="B13745" t="s">
        <v>29665</v>
      </c>
      <c r="C13745" t="s">
        <v>2127</v>
      </c>
      <c r="G13745" t="s">
        <v>29666</v>
      </c>
      <c r="H13745" t="s">
        <v>3129</v>
      </c>
      <c r="I13745" t="s">
        <v>84</v>
      </c>
      <c r="J13745" t="s">
        <v>29667</v>
      </c>
      <c r="K13745">
        <v>9204</v>
      </c>
      <c r="L13745" t="s">
        <v>23</v>
      </c>
      <c r="M13745" t="s">
        <v>29666</v>
      </c>
      <c r="N13745" t="s">
        <v>3129</v>
      </c>
      <c r="O13745" t="s">
        <v>84</v>
      </c>
      <c r="P13745" t="s">
        <v>29667</v>
      </c>
      <c r="Q13745">
        <v>9204</v>
      </c>
      <c r="R13745" t="s">
        <v>23</v>
      </c>
      <c r="S13745" s="1" t="s">
        <v>34218</v>
      </c>
    </row>
    <row r="13746" spans="1:19" x14ac:dyDescent="0.25">
      <c r="A13746">
        <v>101289328</v>
      </c>
      <c r="B13746" t="s">
        <v>29668</v>
      </c>
      <c r="C13746" t="s">
        <v>233</v>
      </c>
      <c r="G13746" t="s">
        <v>29669</v>
      </c>
      <c r="H13746" t="s">
        <v>3144</v>
      </c>
      <c r="I13746" t="s">
        <v>43</v>
      </c>
      <c r="J13746" t="s">
        <v>29670</v>
      </c>
      <c r="K13746">
        <v>9322</v>
      </c>
      <c r="L13746" t="s">
        <v>23</v>
      </c>
      <c r="M13746" t="s">
        <v>29669</v>
      </c>
      <c r="N13746" t="s">
        <v>3144</v>
      </c>
      <c r="O13746" t="s">
        <v>43</v>
      </c>
      <c r="P13746" t="s">
        <v>29670</v>
      </c>
      <c r="Q13746">
        <v>9322</v>
      </c>
      <c r="R13746" t="s">
        <v>23</v>
      </c>
      <c r="S13746" s="1" t="s">
        <v>34218</v>
      </c>
    </row>
    <row r="13747" spans="1:19" x14ac:dyDescent="0.25">
      <c r="A13747">
        <v>101301327</v>
      </c>
      <c r="B13747" t="s">
        <v>29671</v>
      </c>
      <c r="C13747" t="s">
        <v>7242</v>
      </c>
      <c r="G13747" t="s">
        <v>29672</v>
      </c>
      <c r="H13747" t="s">
        <v>26550</v>
      </c>
      <c r="I13747" t="s">
        <v>22</v>
      </c>
      <c r="J13747" t="s">
        <v>29673</v>
      </c>
      <c r="K13747">
        <v>9250</v>
      </c>
      <c r="L13747" t="s">
        <v>23</v>
      </c>
      <c r="M13747" t="s">
        <v>29672</v>
      </c>
      <c r="N13747" t="s">
        <v>26550</v>
      </c>
      <c r="O13747" t="s">
        <v>22</v>
      </c>
      <c r="P13747" t="s">
        <v>29673</v>
      </c>
      <c r="Q13747">
        <v>9250</v>
      </c>
      <c r="R13747" t="s">
        <v>23</v>
      </c>
      <c r="S13747" s="1" t="s">
        <v>34218</v>
      </c>
    </row>
    <row r="13748" spans="1:19" x14ac:dyDescent="0.25">
      <c r="A13748">
        <v>101444657</v>
      </c>
      <c r="B13748" t="s">
        <v>29674</v>
      </c>
      <c r="C13748" t="s">
        <v>30</v>
      </c>
      <c r="G13748" t="s">
        <v>29675</v>
      </c>
      <c r="H13748" t="s">
        <v>29676</v>
      </c>
      <c r="I13748" t="s">
        <v>117</v>
      </c>
      <c r="J13748" t="s">
        <v>29677</v>
      </c>
      <c r="K13748">
        <v>1252</v>
      </c>
      <c r="L13748" t="s">
        <v>23</v>
      </c>
      <c r="M13748" t="s">
        <v>29675</v>
      </c>
      <c r="N13748" t="s">
        <v>29676</v>
      </c>
      <c r="O13748" t="s">
        <v>117</v>
      </c>
      <c r="P13748" t="s">
        <v>29677</v>
      </c>
      <c r="Q13748">
        <v>1252</v>
      </c>
      <c r="R13748" t="s">
        <v>23</v>
      </c>
      <c r="S13748" s="1" t="s">
        <v>34218</v>
      </c>
    </row>
    <row r="13749" spans="1:19" x14ac:dyDescent="0.25">
      <c r="A13749">
        <v>101179565</v>
      </c>
      <c r="B13749" t="s">
        <v>10938</v>
      </c>
      <c r="C13749" t="s">
        <v>644</v>
      </c>
      <c r="G13749" t="s">
        <v>29678</v>
      </c>
      <c r="H13749" t="s">
        <v>18188</v>
      </c>
      <c r="I13749" t="s">
        <v>255</v>
      </c>
      <c r="J13749" t="s">
        <v>29679</v>
      </c>
      <c r="K13749">
        <v>4216</v>
      </c>
      <c r="L13749" t="s">
        <v>23</v>
      </c>
      <c r="M13749" t="s">
        <v>29678</v>
      </c>
      <c r="N13749" t="s">
        <v>18188</v>
      </c>
      <c r="O13749" t="s">
        <v>255</v>
      </c>
      <c r="P13749" t="s">
        <v>29679</v>
      </c>
      <c r="Q13749">
        <v>4216</v>
      </c>
      <c r="R13749" t="s">
        <v>23</v>
      </c>
      <c r="S13749" s="1" t="s">
        <v>34218</v>
      </c>
    </row>
    <row r="13750" spans="1:19" x14ac:dyDescent="0.25">
      <c r="A13750">
        <v>100515375</v>
      </c>
      <c r="B13750" t="s">
        <v>11855</v>
      </c>
      <c r="C13750" t="s">
        <v>29680</v>
      </c>
      <c r="G13750" t="s">
        <v>29681</v>
      </c>
      <c r="H13750" t="s">
        <v>29682</v>
      </c>
      <c r="I13750" t="s">
        <v>22</v>
      </c>
      <c r="J13750" t="s">
        <v>29683</v>
      </c>
      <c r="K13750">
        <v>9558</v>
      </c>
      <c r="L13750" t="s">
        <v>23</v>
      </c>
      <c r="M13750" t="s">
        <v>29681</v>
      </c>
      <c r="N13750" t="s">
        <v>29682</v>
      </c>
      <c r="O13750" t="s">
        <v>22</v>
      </c>
      <c r="P13750" t="s">
        <v>29683</v>
      </c>
      <c r="Q13750">
        <v>9558</v>
      </c>
      <c r="R13750" t="s">
        <v>23</v>
      </c>
      <c r="S13750" s="1" t="s">
        <v>34218</v>
      </c>
    </row>
    <row r="13751" spans="1:19" x14ac:dyDescent="0.25">
      <c r="A13751">
        <v>101422393</v>
      </c>
      <c r="B13751" t="s">
        <v>29684</v>
      </c>
      <c r="C13751" t="s">
        <v>1306</v>
      </c>
      <c r="G13751" t="s">
        <v>29685</v>
      </c>
      <c r="H13751" t="s">
        <v>5190</v>
      </c>
      <c r="I13751" t="s">
        <v>255</v>
      </c>
      <c r="J13751" t="s">
        <v>29686</v>
      </c>
      <c r="K13751">
        <v>1241</v>
      </c>
      <c r="L13751" t="s">
        <v>23</v>
      </c>
      <c r="M13751" t="s">
        <v>29685</v>
      </c>
      <c r="N13751" t="s">
        <v>5190</v>
      </c>
      <c r="O13751" t="s">
        <v>255</v>
      </c>
      <c r="P13751" t="s">
        <v>29686</v>
      </c>
      <c r="Q13751">
        <v>1241</v>
      </c>
      <c r="R13751" t="s">
        <v>23</v>
      </c>
      <c r="S13751" s="1" t="s">
        <v>34218</v>
      </c>
    </row>
    <row r="13752" spans="1:19" x14ac:dyDescent="0.25">
      <c r="A13752">
        <v>101309756</v>
      </c>
      <c r="B13752" t="s">
        <v>11989</v>
      </c>
      <c r="C13752" t="s">
        <v>30</v>
      </c>
      <c r="G13752" t="s">
        <v>29687</v>
      </c>
      <c r="H13752" t="s">
        <v>29688</v>
      </c>
      <c r="I13752" t="s">
        <v>117</v>
      </c>
      <c r="J13752" t="s">
        <v>29689</v>
      </c>
      <c r="K13752">
        <v>2500</v>
      </c>
      <c r="L13752" t="s">
        <v>23</v>
      </c>
      <c r="M13752" t="s">
        <v>29687</v>
      </c>
      <c r="N13752" t="s">
        <v>29688</v>
      </c>
      <c r="O13752" t="s">
        <v>117</v>
      </c>
      <c r="P13752" t="s">
        <v>29689</v>
      </c>
      <c r="Q13752">
        <v>2500</v>
      </c>
      <c r="R13752" t="s">
        <v>23</v>
      </c>
      <c r="S13752" s="1" t="s">
        <v>34218</v>
      </c>
    </row>
    <row r="13753" spans="1:19" x14ac:dyDescent="0.25">
      <c r="A13753">
        <v>101329556</v>
      </c>
      <c r="B13753" t="s">
        <v>29690</v>
      </c>
      <c r="C13753" t="s">
        <v>2259</v>
      </c>
      <c r="G13753" t="s">
        <v>29691</v>
      </c>
      <c r="H13753" t="s">
        <v>29692</v>
      </c>
      <c r="I13753" t="s">
        <v>250</v>
      </c>
      <c r="J13753" t="s">
        <v>29693</v>
      </c>
      <c r="K13753">
        <v>3178</v>
      </c>
      <c r="L13753" t="s">
        <v>23</v>
      </c>
      <c r="M13753" t="s">
        <v>29691</v>
      </c>
      <c r="N13753" t="s">
        <v>29692</v>
      </c>
      <c r="O13753" t="s">
        <v>250</v>
      </c>
      <c r="P13753" t="s">
        <v>29693</v>
      </c>
      <c r="Q13753">
        <v>3178</v>
      </c>
      <c r="R13753" t="s">
        <v>23</v>
      </c>
      <c r="S13753" s="1" t="s">
        <v>34218</v>
      </c>
    </row>
    <row r="13754" spans="1:19" x14ac:dyDescent="0.25">
      <c r="A13754">
        <v>100882828</v>
      </c>
      <c r="B13754" t="s">
        <v>6084</v>
      </c>
      <c r="C13754" t="s">
        <v>123</v>
      </c>
      <c r="G13754" t="s">
        <v>29694</v>
      </c>
      <c r="H13754" t="s">
        <v>29695</v>
      </c>
      <c r="I13754" t="s">
        <v>984</v>
      </c>
      <c r="J13754" t="s">
        <v>29696</v>
      </c>
      <c r="K13754">
        <v>4168</v>
      </c>
      <c r="L13754" t="s">
        <v>23</v>
      </c>
      <c r="M13754" t="s">
        <v>29694</v>
      </c>
      <c r="N13754" t="s">
        <v>29695</v>
      </c>
      <c r="O13754" t="s">
        <v>984</v>
      </c>
      <c r="P13754" t="s">
        <v>29696</v>
      </c>
      <c r="Q13754">
        <v>4168</v>
      </c>
      <c r="R13754" t="s">
        <v>23</v>
      </c>
      <c r="S13754" s="1" t="s">
        <v>34218</v>
      </c>
    </row>
    <row r="13755" spans="1:19" x14ac:dyDescent="0.25">
      <c r="A13755">
        <v>100628449</v>
      </c>
      <c r="B13755" t="s">
        <v>1241</v>
      </c>
      <c r="C13755" t="s">
        <v>1153</v>
      </c>
      <c r="G13755" t="s">
        <v>29697</v>
      </c>
      <c r="H13755" t="s">
        <v>21289</v>
      </c>
      <c r="I13755" t="s">
        <v>236</v>
      </c>
      <c r="J13755" t="s">
        <v>29698</v>
      </c>
      <c r="K13755">
        <v>1614</v>
      </c>
      <c r="L13755" t="s">
        <v>23</v>
      </c>
      <c r="M13755" t="s">
        <v>29697</v>
      </c>
      <c r="N13755" t="s">
        <v>21289</v>
      </c>
      <c r="O13755" t="s">
        <v>236</v>
      </c>
      <c r="P13755" t="s">
        <v>29698</v>
      </c>
      <c r="Q13755">
        <v>1614</v>
      </c>
      <c r="R13755" t="s">
        <v>23</v>
      </c>
      <c r="S13755" s="1" t="s">
        <v>34218</v>
      </c>
    </row>
    <row r="13756" spans="1:19" x14ac:dyDescent="0.25">
      <c r="A13756">
        <v>101444767</v>
      </c>
      <c r="B13756" t="s">
        <v>15555</v>
      </c>
      <c r="C13756" t="s">
        <v>29699</v>
      </c>
      <c r="G13756" t="s">
        <v>29700</v>
      </c>
      <c r="H13756" t="s">
        <v>26391</v>
      </c>
      <c r="I13756" t="s">
        <v>38</v>
      </c>
      <c r="J13756" t="s">
        <v>29701</v>
      </c>
      <c r="K13756">
        <v>3930</v>
      </c>
      <c r="L13756" t="s">
        <v>23</v>
      </c>
      <c r="M13756" t="s">
        <v>29700</v>
      </c>
      <c r="N13756" t="s">
        <v>26391</v>
      </c>
      <c r="O13756" t="s">
        <v>38</v>
      </c>
      <c r="P13756" t="s">
        <v>29701</v>
      </c>
      <c r="Q13756">
        <v>3930</v>
      </c>
      <c r="R13756" t="s">
        <v>23</v>
      </c>
      <c r="S13756" s="1" t="s">
        <v>34218</v>
      </c>
    </row>
    <row r="13757" spans="1:19" x14ac:dyDescent="0.25">
      <c r="A13757">
        <v>101444784</v>
      </c>
      <c r="B13757" t="s">
        <v>29702</v>
      </c>
      <c r="C13757" t="s">
        <v>535</v>
      </c>
      <c r="G13757" t="s">
        <v>29703</v>
      </c>
      <c r="H13757" t="s">
        <v>737</v>
      </c>
      <c r="I13757" t="s">
        <v>255</v>
      </c>
      <c r="J13757" t="s">
        <v>29704</v>
      </c>
      <c r="K13757">
        <v>1829</v>
      </c>
      <c r="L13757" t="s">
        <v>23</v>
      </c>
      <c r="M13757" t="s">
        <v>29703</v>
      </c>
      <c r="N13757" t="s">
        <v>737</v>
      </c>
      <c r="O13757" t="s">
        <v>255</v>
      </c>
      <c r="P13757" t="s">
        <v>29704</v>
      </c>
      <c r="Q13757">
        <v>1829</v>
      </c>
      <c r="R13757" t="s">
        <v>23</v>
      </c>
      <c r="S13757" s="1" t="s">
        <v>34218</v>
      </c>
    </row>
    <row r="13758" spans="1:19" x14ac:dyDescent="0.25">
      <c r="A13758">
        <v>101419205</v>
      </c>
      <c r="B13758" t="s">
        <v>29705</v>
      </c>
      <c r="C13758" t="s">
        <v>1107</v>
      </c>
      <c r="G13758" t="s">
        <v>29706</v>
      </c>
      <c r="H13758" t="s">
        <v>29707</v>
      </c>
      <c r="I13758" t="s">
        <v>140</v>
      </c>
      <c r="J13758" t="s">
        <v>29708</v>
      </c>
      <c r="K13758">
        <v>9662</v>
      </c>
      <c r="L13758" t="s">
        <v>23</v>
      </c>
      <c r="M13758" t="s">
        <v>29706</v>
      </c>
      <c r="N13758" t="s">
        <v>29707</v>
      </c>
      <c r="O13758" t="s">
        <v>140</v>
      </c>
      <c r="P13758" t="s">
        <v>29708</v>
      </c>
      <c r="Q13758">
        <v>9662</v>
      </c>
      <c r="R13758" t="s">
        <v>23</v>
      </c>
      <c r="S13758" s="1" t="s">
        <v>34218</v>
      </c>
    </row>
    <row r="13759" spans="1:19" x14ac:dyDescent="0.25">
      <c r="A13759">
        <v>101444796</v>
      </c>
      <c r="B13759" t="s">
        <v>29709</v>
      </c>
      <c r="C13759" t="s">
        <v>7351</v>
      </c>
      <c r="G13759" t="s">
        <v>29710</v>
      </c>
      <c r="H13759" t="s">
        <v>299</v>
      </c>
      <c r="I13759" t="s">
        <v>22</v>
      </c>
      <c r="J13759" t="s">
        <v>29711</v>
      </c>
      <c r="K13759">
        <v>5164</v>
      </c>
      <c r="L13759" t="s">
        <v>23</v>
      </c>
      <c r="M13759" t="s">
        <v>29710</v>
      </c>
      <c r="N13759" t="s">
        <v>299</v>
      </c>
      <c r="O13759" t="s">
        <v>22</v>
      </c>
      <c r="P13759" t="s">
        <v>29711</v>
      </c>
      <c r="Q13759">
        <v>5164</v>
      </c>
      <c r="R13759" t="s">
        <v>23</v>
      </c>
      <c r="S13759" s="1" t="s">
        <v>34218</v>
      </c>
    </row>
    <row r="13760" spans="1:19" x14ac:dyDescent="0.25">
      <c r="A13760">
        <v>101423440</v>
      </c>
      <c r="B13760" t="s">
        <v>29712</v>
      </c>
      <c r="C13760" t="s">
        <v>29713</v>
      </c>
      <c r="G13760" t="s">
        <v>29714</v>
      </c>
      <c r="H13760" t="s">
        <v>10562</v>
      </c>
      <c r="I13760" t="s">
        <v>255</v>
      </c>
      <c r="J13760" t="s">
        <v>29715</v>
      </c>
      <c r="K13760">
        <v>2319</v>
      </c>
      <c r="L13760" t="s">
        <v>23</v>
      </c>
      <c r="M13760" t="s">
        <v>29714</v>
      </c>
      <c r="N13760" t="s">
        <v>10562</v>
      </c>
      <c r="O13760" t="s">
        <v>255</v>
      </c>
      <c r="P13760" t="s">
        <v>29715</v>
      </c>
      <c r="Q13760">
        <v>2319</v>
      </c>
      <c r="R13760" t="s">
        <v>23</v>
      </c>
      <c r="S13760" s="1" t="s">
        <v>34218</v>
      </c>
    </row>
    <row r="13761" spans="1:19" x14ac:dyDescent="0.25">
      <c r="A13761">
        <v>101266922</v>
      </c>
      <c r="B13761" t="s">
        <v>29716</v>
      </c>
      <c r="C13761" t="s">
        <v>29717</v>
      </c>
      <c r="G13761" t="s">
        <v>29718</v>
      </c>
      <c r="H13761" t="s">
        <v>7045</v>
      </c>
      <c r="I13761" t="s">
        <v>140</v>
      </c>
      <c r="J13761" t="s">
        <v>29719</v>
      </c>
      <c r="K13761">
        <v>6634</v>
      </c>
      <c r="L13761" t="s">
        <v>23</v>
      </c>
      <c r="M13761" t="s">
        <v>29718</v>
      </c>
      <c r="N13761" t="s">
        <v>7045</v>
      </c>
      <c r="O13761" t="s">
        <v>140</v>
      </c>
      <c r="P13761" t="s">
        <v>29719</v>
      </c>
      <c r="Q13761">
        <v>6634</v>
      </c>
      <c r="R13761" t="s">
        <v>23</v>
      </c>
      <c r="S13761" s="1" t="s">
        <v>34218</v>
      </c>
    </row>
    <row r="13762" spans="1:19" x14ac:dyDescent="0.25">
      <c r="A13762">
        <v>101028335</v>
      </c>
      <c r="B13762" t="s">
        <v>29720</v>
      </c>
      <c r="C13762" t="s">
        <v>305</v>
      </c>
      <c r="G13762" t="s">
        <v>29721</v>
      </c>
      <c r="H13762" t="s">
        <v>29722</v>
      </c>
      <c r="I13762" t="s">
        <v>191</v>
      </c>
      <c r="J13762" t="s">
        <v>29723</v>
      </c>
      <c r="K13762">
        <v>3020</v>
      </c>
      <c r="L13762" t="s">
        <v>23</v>
      </c>
      <c r="M13762" t="s">
        <v>29721</v>
      </c>
      <c r="N13762" t="s">
        <v>29722</v>
      </c>
      <c r="O13762" t="s">
        <v>191</v>
      </c>
      <c r="P13762" t="s">
        <v>29723</v>
      </c>
      <c r="Q13762">
        <v>3020</v>
      </c>
      <c r="R13762" t="s">
        <v>23</v>
      </c>
      <c r="S13762" s="1" t="s">
        <v>34218</v>
      </c>
    </row>
    <row r="13763" spans="1:19" x14ac:dyDescent="0.25">
      <c r="A13763">
        <v>101335424</v>
      </c>
      <c r="B13763" t="s">
        <v>1831</v>
      </c>
      <c r="C13763" t="s">
        <v>842</v>
      </c>
      <c r="G13763" t="s">
        <v>29724</v>
      </c>
      <c r="H13763" t="s">
        <v>29725</v>
      </c>
      <c r="I13763" t="s">
        <v>57</v>
      </c>
      <c r="J13763" t="s">
        <v>29726</v>
      </c>
      <c r="K13763">
        <v>9635</v>
      </c>
      <c r="L13763" t="s">
        <v>23</v>
      </c>
      <c r="M13763" t="s">
        <v>29724</v>
      </c>
      <c r="N13763" t="s">
        <v>29725</v>
      </c>
      <c r="O13763" t="s">
        <v>57</v>
      </c>
      <c r="P13763" t="s">
        <v>29726</v>
      </c>
      <c r="Q13763">
        <v>9635</v>
      </c>
      <c r="R13763" t="s">
        <v>23</v>
      </c>
      <c r="S13763" s="1" t="s">
        <v>34218</v>
      </c>
    </row>
    <row r="13764" spans="1:19" x14ac:dyDescent="0.25">
      <c r="A13764">
        <v>101329624</v>
      </c>
      <c r="B13764" t="s">
        <v>1349</v>
      </c>
      <c r="C13764" t="s">
        <v>1581</v>
      </c>
      <c r="G13764" t="s">
        <v>29727</v>
      </c>
      <c r="H13764" t="s">
        <v>130</v>
      </c>
      <c r="I13764" t="s">
        <v>22</v>
      </c>
      <c r="J13764" t="s">
        <v>29728</v>
      </c>
      <c r="K13764">
        <v>2233</v>
      </c>
      <c r="L13764" t="s">
        <v>23</v>
      </c>
      <c r="M13764" t="s">
        <v>29727</v>
      </c>
      <c r="N13764" t="s">
        <v>130</v>
      </c>
      <c r="O13764" t="s">
        <v>22</v>
      </c>
      <c r="P13764" t="s">
        <v>29728</v>
      </c>
      <c r="Q13764">
        <v>2233</v>
      </c>
      <c r="R13764" t="s">
        <v>23</v>
      </c>
      <c r="S13764" s="1" t="s">
        <v>34218</v>
      </c>
    </row>
    <row r="13765" spans="1:19" x14ac:dyDescent="0.25">
      <c r="A13765">
        <v>101428252</v>
      </c>
      <c r="B13765" t="s">
        <v>415</v>
      </c>
      <c r="C13765" t="s">
        <v>29729</v>
      </c>
      <c r="G13765" t="s">
        <v>29730</v>
      </c>
      <c r="H13765" t="s">
        <v>11700</v>
      </c>
      <c r="I13765" t="s">
        <v>33</v>
      </c>
      <c r="J13765" t="s">
        <v>29731</v>
      </c>
      <c r="K13765">
        <v>8378</v>
      </c>
      <c r="L13765" t="s">
        <v>23</v>
      </c>
      <c r="M13765" t="s">
        <v>29730</v>
      </c>
      <c r="N13765" t="s">
        <v>11700</v>
      </c>
      <c r="O13765" t="s">
        <v>33</v>
      </c>
      <c r="P13765" t="s">
        <v>29731</v>
      </c>
      <c r="Q13765">
        <v>8378</v>
      </c>
      <c r="R13765" t="s">
        <v>23</v>
      </c>
      <c r="S13765" s="1" t="s">
        <v>34218</v>
      </c>
    </row>
    <row r="13766" spans="1:19" x14ac:dyDescent="0.25">
      <c r="A13766">
        <v>101127777</v>
      </c>
      <c r="B13766" t="s">
        <v>29732</v>
      </c>
      <c r="C13766" t="s">
        <v>29733</v>
      </c>
      <c r="H13766" t="s">
        <v>29734</v>
      </c>
      <c r="I13766" t="s">
        <v>38</v>
      </c>
      <c r="J13766">
        <v>79117</v>
      </c>
      <c r="L13766" t="s">
        <v>2310</v>
      </c>
      <c r="N13766" t="s">
        <v>29734</v>
      </c>
      <c r="O13766" t="s">
        <v>38</v>
      </c>
      <c r="P13766">
        <v>79117</v>
      </c>
      <c r="R13766" t="s">
        <v>2310</v>
      </c>
      <c r="S13766" s="1" t="s">
        <v>34218</v>
      </c>
    </row>
    <row r="13767" spans="1:19" x14ac:dyDescent="0.25">
      <c r="A13767">
        <v>101295108</v>
      </c>
      <c r="B13767" t="s">
        <v>1581</v>
      </c>
      <c r="C13767" t="s">
        <v>1298</v>
      </c>
      <c r="G13767" t="s">
        <v>29735</v>
      </c>
      <c r="H13767" t="s">
        <v>227</v>
      </c>
      <c r="I13767" t="s">
        <v>43</v>
      </c>
      <c r="J13767">
        <v>97214</v>
      </c>
      <c r="L13767" t="s">
        <v>23</v>
      </c>
      <c r="M13767" t="s">
        <v>29735</v>
      </c>
      <c r="N13767" t="s">
        <v>227</v>
      </c>
      <c r="O13767" t="s">
        <v>43</v>
      </c>
      <c r="P13767">
        <v>97214</v>
      </c>
      <c r="R13767" t="s">
        <v>23</v>
      </c>
      <c r="S13767" s="1" t="s">
        <v>34218</v>
      </c>
    </row>
    <row r="13768" spans="1:19" x14ac:dyDescent="0.25">
      <c r="A13768">
        <v>101468280</v>
      </c>
      <c r="B13768" t="s">
        <v>29736</v>
      </c>
      <c r="C13768" t="s">
        <v>644</v>
      </c>
      <c r="G13768" t="s">
        <v>29737</v>
      </c>
      <c r="H13768" t="s">
        <v>7630</v>
      </c>
      <c r="I13768" t="s">
        <v>255</v>
      </c>
      <c r="J13768">
        <v>22042</v>
      </c>
      <c r="K13768">
        <v>1428</v>
      </c>
      <c r="L13768" t="s">
        <v>23</v>
      </c>
      <c r="M13768" t="s">
        <v>29737</v>
      </c>
      <c r="N13768" t="s">
        <v>7630</v>
      </c>
      <c r="O13768" t="s">
        <v>255</v>
      </c>
      <c r="P13768">
        <v>22042</v>
      </c>
      <c r="Q13768">
        <v>1428</v>
      </c>
      <c r="R13768" t="s">
        <v>23</v>
      </c>
      <c r="S13768" s="1" t="s">
        <v>34218</v>
      </c>
    </row>
    <row r="13769" spans="1:19" x14ac:dyDescent="0.25">
      <c r="A13769">
        <v>101252073</v>
      </c>
      <c r="B13769" t="s">
        <v>27172</v>
      </c>
      <c r="C13769" t="s">
        <v>1120</v>
      </c>
      <c r="G13769" t="s">
        <v>29738</v>
      </c>
      <c r="H13769" t="s">
        <v>1514</v>
      </c>
      <c r="I13769" t="s">
        <v>84</v>
      </c>
      <c r="J13769" t="s">
        <v>29739</v>
      </c>
      <c r="K13769">
        <v>9639</v>
      </c>
      <c r="L13769" t="s">
        <v>23</v>
      </c>
      <c r="M13769" t="s">
        <v>29738</v>
      </c>
      <c r="N13769" t="s">
        <v>1514</v>
      </c>
      <c r="O13769" t="s">
        <v>84</v>
      </c>
      <c r="P13769" t="s">
        <v>29739</v>
      </c>
      <c r="Q13769">
        <v>9639</v>
      </c>
      <c r="R13769" t="s">
        <v>23</v>
      </c>
      <c r="S13769" s="1" t="s">
        <v>34218</v>
      </c>
    </row>
    <row r="13770" spans="1:19" x14ac:dyDescent="0.25">
      <c r="A13770">
        <v>101426009</v>
      </c>
      <c r="B13770" t="s">
        <v>29740</v>
      </c>
      <c r="C13770" t="s">
        <v>11242</v>
      </c>
      <c r="G13770" t="s">
        <v>29741</v>
      </c>
      <c r="H13770" t="s">
        <v>12284</v>
      </c>
      <c r="I13770" t="s">
        <v>52</v>
      </c>
      <c r="J13770" t="s">
        <v>29742</v>
      </c>
      <c r="K13770">
        <v>1216</v>
      </c>
      <c r="L13770" t="s">
        <v>23</v>
      </c>
      <c r="M13770" t="s">
        <v>29741</v>
      </c>
      <c r="N13770" t="s">
        <v>12284</v>
      </c>
      <c r="O13770" t="s">
        <v>52</v>
      </c>
      <c r="P13770" t="s">
        <v>29742</v>
      </c>
      <c r="Q13770">
        <v>1216</v>
      </c>
      <c r="R13770" t="s">
        <v>23</v>
      </c>
      <c r="S13770" s="1" t="s">
        <v>34218</v>
      </c>
    </row>
    <row r="13771" spans="1:19" x14ac:dyDescent="0.25">
      <c r="A13771">
        <v>101432434</v>
      </c>
      <c r="B13771" t="s">
        <v>29743</v>
      </c>
      <c r="C13771" t="s">
        <v>2929</v>
      </c>
      <c r="G13771" t="s">
        <v>29744</v>
      </c>
      <c r="H13771" t="s">
        <v>8280</v>
      </c>
      <c r="I13771" t="s">
        <v>1097</v>
      </c>
      <c r="J13771" t="s">
        <v>29745</v>
      </c>
      <c r="K13771">
        <v>4819</v>
      </c>
      <c r="L13771" t="s">
        <v>23</v>
      </c>
      <c r="M13771" t="s">
        <v>29744</v>
      </c>
      <c r="N13771" t="s">
        <v>8280</v>
      </c>
      <c r="O13771" t="s">
        <v>1097</v>
      </c>
      <c r="P13771" t="s">
        <v>29745</v>
      </c>
      <c r="Q13771">
        <v>4819</v>
      </c>
      <c r="R13771" t="s">
        <v>23</v>
      </c>
      <c r="S13771" s="1" t="s">
        <v>34218</v>
      </c>
    </row>
    <row r="13772" spans="1:19" x14ac:dyDescent="0.25">
      <c r="A13772">
        <v>101265743</v>
      </c>
      <c r="B13772" t="s">
        <v>29746</v>
      </c>
      <c r="C13772" t="s">
        <v>5009</v>
      </c>
      <c r="G13772" t="s">
        <v>29747</v>
      </c>
      <c r="H13772" t="s">
        <v>29748</v>
      </c>
      <c r="I13772" t="s">
        <v>250</v>
      </c>
      <c r="J13772" t="s">
        <v>29749</v>
      </c>
      <c r="K13772">
        <v>2218</v>
      </c>
      <c r="L13772" t="s">
        <v>23</v>
      </c>
      <c r="M13772" t="s">
        <v>29747</v>
      </c>
      <c r="N13772" t="s">
        <v>29748</v>
      </c>
      <c r="O13772" t="s">
        <v>250</v>
      </c>
      <c r="P13772" t="s">
        <v>29749</v>
      </c>
      <c r="Q13772">
        <v>2218</v>
      </c>
      <c r="R13772" t="s">
        <v>23</v>
      </c>
      <c r="S13772" s="1" t="s">
        <v>34218</v>
      </c>
    </row>
    <row r="13773" spans="1:19" x14ac:dyDescent="0.25">
      <c r="A13773">
        <v>101437531</v>
      </c>
      <c r="B13773" t="s">
        <v>1187</v>
      </c>
      <c r="C13773" t="s">
        <v>644</v>
      </c>
      <c r="G13773" t="s">
        <v>29750</v>
      </c>
      <c r="H13773" t="s">
        <v>8498</v>
      </c>
      <c r="I13773" t="s">
        <v>236</v>
      </c>
      <c r="J13773" t="s">
        <v>29751</v>
      </c>
      <c r="K13773">
        <v>1521</v>
      </c>
      <c r="L13773" t="s">
        <v>23</v>
      </c>
      <c r="M13773" t="s">
        <v>29750</v>
      </c>
      <c r="N13773" t="s">
        <v>8498</v>
      </c>
      <c r="O13773" t="s">
        <v>236</v>
      </c>
      <c r="P13773" t="s">
        <v>29751</v>
      </c>
      <c r="Q13773">
        <v>1521</v>
      </c>
      <c r="R13773" t="s">
        <v>23</v>
      </c>
      <c r="S13773" s="1" t="s">
        <v>34218</v>
      </c>
    </row>
    <row r="13774" spans="1:19" x14ac:dyDescent="0.25">
      <c r="A13774">
        <v>101329520</v>
      </c>
      <c r="B13774" t="s">
        <v>3096</v>
      </c>
      <c r="C13774" t="s">
        <v>2687</v>
      </c>
      <c r="G13774" t="s">
        <v>29752</v>
      </c>
      <c r="H13774" t="s">
        <v>29753</v>
      </c>
      <c r="I13774" t="s">
        <v>135</v>
      </c>
      <c r="J13774" t="s">
        <v>29754</v>
      </c>
      <c r="K13774">
        <v>5511</v>
      </c>
      <c r="L13774" t="s">
        <v>23</v>
      </c>
      <c r="M13774" t="s">
        <v>29752</v>
      </c>
      <c r="N13774" t="s">
        <v>29753</v>
      </c>
      <c r="O13774" t="s">
        <v>135</v>
      </c>
      <c r="P13774" t="s">
        <v>29754</v>
      </c>
      <c r="Q13774">
        <v>5511</v>
      </c>
      <c r="R13774" t="s">
        <v>23</v>
      </c>
      <c r="S13774" s="1" t="s">
        <v>34218</v>
      </c>
    </row>
    <row r="13775" spans="1:19" x14ac:dyDescent="0.25">
      <c r="A13775">
        <v>101431319</v>
      </c>
      <c r="B13775" t="s">
        <v>281</v>
      </c>
      <c r="C13775" t="s">
        <v>16543</v>
      </c>
      <c r="G13775" t="s">
        <v>29755</v>
      </c>
      <c r="H13775" t="s">
        <v>4592</v>
      </c>
      <c r="I13775" t="s">
        <v>148</v>
      </c>
      <c r="J13775" t="s">
        <v>29756</v>
      </c>
      <c r="K13775">
        <v>1316</v>
      </c>
      <c r="L13775" t="s">
        <v>23</v>
      </c>
      <c r="M13775" t="s">
        <v>29755</v>
      </c>
      <c r="N13775" t="s">
        <v>4592</v>
      </c>
      <c r="O13775" t="s">
        <v>148</v>
      </c>
      <c r="P13775" t="s">
        <v>29756</v>
      </c>
      <c r="Q13775">
        <v>1316</v>
      </c>
      <c r="R13775" t="s">
        <v>23</v>
      </c>
      <c r="S13775" s="1" t="s">
        <v>34218</v>
      </c>
    </row>
    <row r="13776" spans="1:19" x14ac:dyDescent="0.25">
      <c r="A13776">
        <v>101289720</v>
      </c>
      <c r="B13776" t="s">
        <v>5180</v>
      </c>
      <c r="C13776" t="s">
        <v>5740</v>
      </c>
      <c r="G13776" t="s">
        <v>29757</v>
      </c>
      <c r="H13776" t="s">
        <v>9102</v>
      </c>
      <c r="I13776" t="s">
        <v>446</v>
      </c>
      <c r="J13776">
        <v>28023</v>
      </c>
      <c r="L13776" t="s">
        <v>23</v>
      </c>
      <c r="M13776" t="s">
        <v>29757</v>
      </c>
      <c r="N13776" t="s">
        <v>9102</v>
      </c>
      <c r="O13776" t="s">
        <v>446</v>
      </c>
      <c r="P13776">
        <v>28023</v>
      </c>
      <c r="R13776" t="s">
        <v>23</v>
      </c>
      <c r="S13776" s="1" t="s">
        <v>34218</v>
      </c>
    </row>
    <row r="13777" spans="1:19" x14ac:dyDescent="0.25">
      <c r="A13777">
        <v>101380551</v>
      </c>
      <c r="B13777" t="s">
        <v>2586</v>
      </c>
      <c r="C13777" t="s">
        <v>30</v>
      </c>
      <c r="G13777" t="s">
        <v>29758</v>
      </c>
      <c r="H13777" t="s">
        <v>8215</v>
      </c>
      <c r="I13777" t="s">
        <v>140</v>
      </c>
      <c r="J13777" t="s">
        <v>29759</v>
      </c>
      <c r="K13777">
        <v>9738</v>
      </c>
      <c r="L13777" t="s">
        <v>23</v>
      </c>
      <c r="M13777" t="s">
        <v>29758</v>
      </c>
      <c r="N13777" t="s">
        <v>8215</v>
      </c>
      <c r="O13777" t="s">
        <v>140</v>
      </c>
      <c r="P13777" t="s">
        <v>29759</v>
      </c>
      <c r="Q13777">
        <v>9738</v>
      </c>
      <c r="R13777" t="s">
        <v>23</v>
      </c>
      <c r="S13777" s="1" t="s">
        <v>34218</v>
      </c>
    </row>
    <row r="13778" spans="1:19" x14ac:dyDescent="0.25">
      <c r="A13778">
        <v>101256691</v>
      </c>
      <c r="B13778" t="s">
        <v>29760</v>
      </c>
      <c r="C13778" t="s">
        <v>29761</v>
      </c>
      <c r="G13778" t="s">
        <v>29762</v>
      </c>
      <c r="H13778" t="s">
        <v>1060</v>
      </c>
      <c r="I13778" t="s">
        <v>22</v>
      </c>
      <c r="J13778" t="s">
        <v>29763</v>
      </c>
      <c r="K13778">
        <v>3702</v>
      </c>
      <c r="L13778" t="s">
        <v>23</v>
      </c>
      <c r="M13778" t="s">
        <v>29762</v>
      </c>
      <c r="N13778" t="s">
        <v>1060</v>
      </c>
      <c r="O13778" t="s">
        <v>22</v>
      </c>
      <c r="P13778" t="s">
        <v>29763</v>
      </c>
      <c r="Q13778">
        <v>3702</v>
      </c>
      <c r="R13778" t="s">
        <v>23</v>
      </c>
      <c r="S13778" s="1" t="s">
        <v>34218</v>
      </c>
    </row>
    <row r="13779" spans="1:19" x14ac:dyDescent="0.25">
      <c r="A13779">
        <v>100787938</v>
      </c>
      <c r="B13779" t="s">
        <v>29764</v>
      </c>
      <c r="C13779" t="s">
        <v>1506</v>
      </c>
      <c r="G13779" t="s">
        <v>29765</v>
      </c>
      <c r="H13779" t="s">
        <v>653</v>
      </c>
      <c r="I13779" t="s">
        <v>117</v>
      </c>
      <c r="J13779" t="s">
        <v>29766</v>
      </c>
      <c r="K13779">
        <v>7412</v>
      </c>
      <c r="L13779" t="s">
        <v>23</v>
      </c>
      <c r="M13779" t="s">
        <v>29765</v>
      </c>
      <c r="N13779" t="s">
        <v>653</v>
      </c>
      <c r="O13779" t="s">
        <v>117</v>
      </c>
      <c r="P13779" t="s">
        <v>29766</v>
      </c>
      <c r="Q13779">
        <v>7412</v>
      </c>
      <c r="R13779" t="s">
        <v>23</v>
      </c>
      <c r="S13779" s="1" t="s">
        <v>34218</v>
      </c>
    </row>
    <row r="13780" spans="1:19" x14ac:dyDescent="0.25">
      <c r="A13780">
        <v>101303414</v>
      </c>
      <c r="B13780" t="s">
        <v>29767</v>
      </c>
      <c r="C13780" t="s">
        <v>1075</v>
      </c>
      <c r="G13780" t="s">
        <v>29768</v>
      </c>
      <c r="H13780" t="s">
        <v>11774</v>
      </c>
      <c r="I13780" t="s">
        <v>33</v>
      </c>
      <c r="J13780" t="s">
        <v>29769</v>
      </c>
      <c r="K13780">
        <v>1230</v>
      </c>
      <c r="L13780" t="s">
        <v>23</v>
      </c>
      <c r="M13780" t="s">
        <v>29768</v>
      </c>
      <c r="N13780" t="s">
        <v>11774</v>
      </c>
      <c r="O13780" t="s">
        <v>33</v>
      </c>
      <c r="P13780" t="s">
        <v>29769</v>
      </c>
      <c r="Q13780">
        <v>1230</v>
      </c>
      <c r="R13780" t="s">
        <v>23</v>
      </c>
      <c r="S13780" s="1" t="s">
        <v>34218</v>
      </c>
    </row>
    <row r="13781" spans="1:19" x14ac:dyDescent="0.25">
      <c r="A13781">
        <v>101220741</v>
      </c>
      <c r="B13781" t="s">
        <v>29770</v>
      </c>
      <c r="C13781" t="s">
        <v>2173</v>
      </c>
      <c r="G13781" t="s">
        <v>29771</v>
      </c>
      <c r="H13781" t="s">
        <v>29772</v>
      </c>
      <c r="I13781" t="s">
        <v>100</v>
      </c>
      <c r="J13781" t="s">
        <v>29773</v>
      </c>
      <c r="K13781">
        <v>9589</v>
      </c>
      <c r="L13781" t="s">
        <v>23</v>
      </c>
      <c r="M13781" t="s">
        <v>29771</v>
      </c>
      <c r="N13781" t="s">
        <v>29772</v>
      </c>
      <c r="O13781" t="s">
        <v>100</v>
      </c>
      <c r="P13781" t="s">
        <v>29773</v>
      </c>
      <c r="Q13781">
        <v>9589</v>
      </c>
      <c r="R13781" t="s">
        <v>23</v>
      </c>
      <c r="S13781" s="1" t="s">
        <v>34218</v>
      </c>
    </row>
    <row r="13782" spans="1:19" x14ac:dyDescent="0.25">
      <c r="A13782">
        <v>101092237</v>
      </c>
      <c r="B13782" t="s">
        <v>2376</v>
      </c>
      <c r="C13782" t="s">
        <v>1555</v>
      </c>
      <c r="G13782" t="s">
        <v>29774</v>
      </c>
      <c r="H13782" t="s">
        <v>591</v>
      </c>
      <c r="I13782" t="s">
        <v>84</v>
      </c>
      <c r="J13782">
        <v>98226</v>
      </c>
      <c r="K13782">
        <v>8762</v>
      </c>
      <c r="L13782" t="s">
        <v>23</v>
      </c>
      <c r="M13782" t="s">
        <v>29774</v>
      </c>
      <c r="N13782" t="s">
        <v>591</v>
      </c>
      <c r="O13782" t="s">
        <v>84</v>
      </c>
      <c r="P13782">
        <v>98226</v>
      </c>
      <c r="Q13782">
        <v>8762</v>
      </c>
      <c r="R13782" t="s">
        <v>23</v>
      </c>
      <c r="S13782" s="1" t="s">
        <v>34218</v>
      </c>
    </row>
    <row r="13783" spans="1:19" x14ac:dyDescent="0.25">
      <c r="A13783">
        <v>101339864</v>
      </c>
      <c r="B13783" t="s">
        <v>966</v>
      </c>
      <c r="C13783" t="s">
        <v>25</v>
      </c>
      <c r="G13783" t="s">
        <v>29775</v>
      </c>
      <c r="H13783" t="s">
        <v>29776</v>
      </c>
      <c r="I13783" t="s">
        <v>1000</v>
      </c>
      <c r="J13783">
        <v>59301</v>
      </c>
      <c r="K13783">
        <v>3009</v>
      </c>
      <c r="L13783" t="s">
        <v>23</v>
      </c>
      <c r="M13783" t="s">
        <v>29775</v>
      </c>
      <c r="N13783" t="s">
        <v>29776</v>
      </c>
      <c r="O13783" t="s">
        <v>1000</v>
      </c>
      <c r="P13783">
        <v>59301</v>
      </c>
      <c r="Q13783">
        <v>3009</v>
      </c>
      <c r="R13783" t="s">
        <v>23</v>
      </c>
      <c r="S13783" s="1" t="s">
        <v>34218</v>
      </c>
    </row>
    <row r="13784" spans="1:19" x14ac:dyDescent="0.25">
      <c r="A13784">
        <v>100895454</v>
      </c>
      <c r="B13784" t="s">
        <v>29777</v>
      </c>
      <c r="C13784" t="s">
        <v>1050</v>
      </c>
      <c r="G13784" t="s">
        <v>29778</v>
      </c>
      <c r="H13784" t="s">
        <v>2250</v>
      </c>
      <c r="I13784" t="s">
        <v>148</v>
      </c>
      <c r="J13784">
        <v>21401</v>
      </c>
      <c r="K13784">
        <v>8101</v>
      </c>
      <c r="L13784" t="s">
        <v>23</v>
      </c>
      <c r="M13784" t="s">
        <v>29778</v>
      </c>
      <c r="N13784" t="s">
        <v>2250</v>
      </c>
      <c r="O13784" t="s">
        <v>148</v>
      </c>
      <c r="P13784">
        <v>21401</v>
      </c>
      <c r="Q13784">
        <v>8101</v>
      </c>
      <c r="R13784" t="s">
        <v>23</v>
      </c>
      <c r="S13784" s="1" t="s">
        <v>34218</v>
      </c>
    </row>
    <row r="13785" spans="1:19" x14ac:dyDescent="0.25">
      <c r="A13785">
        <v>100969154</v>
      </c>
      <c r="B13785" t="s">
        <v>29779</v>
      </c>
      <c r="C13785" t="s">
        <v>7693</v>
      </c>
      <c r="G13785" t="s">
        <v>29780</v>
      </c>
      <c r="H13785" t="s">
        <v>29781</v>
      </c>
      <c r="I13785" t="s">
        <v>62</v>
      </c>
      <c r="J13785" t="s">
        <v>29782</v>
      </c>
      <c r="K13785">
        <v>5811</v>
      </c>
      <c r="L13785" t="s">
        <v>23</v>
      </c>
      <c r="M13785" t="s">
        <v>29780</v>
      </c>
      <c r="N13785" t="s">
        <v>29781</v>
      </c>
      <c r="O13785" t="s">
        <v>62</v>
      </c>
      <c r="P13785" t="s">
        <v>29782</v>
      </c>
      <c r="Q13785">
        <v>5811</v>
      </c>
      <c r="R13785" t="s">
        <v>23</v>
      </c>
      <c r="S13785" s="1" t="s">
        <v>34218</v>
      </c>
    </row>
    <row r="13786" spans="1:19" x14ac:dyDescent="0.25">
      <c r="A13786">
        <v>100670490</v>
      </c>
      <c r="B13786" t="s">
        <v>29783</v>
      </c>
      <c r="C13786" t="s">
        <v>1647</v>
      </c>
      <c r="G13786" t="s">
        <v>29784</v>
      </c>
      <c r="H13786" t="s">
        <v>1431</v>
      </c>
      <c r="I13786" t="s">
        <v>639</v>
      </c>
      <c r="J13786" t="s">
        <v>29785</v>
      </c>
      <c r="K13786">
        <v>6201</v>
      </c>
      <c r="L13786" t="s">
        <v>23</v>
      </c>
      <c r="M13786" t="s">
        <v>29784</v>
      </c>
      <c r="N13786" t="s">
        <v>1431</v>
      </c>
      <c r="O13786" t="s">
        <v>639</v>
      </c>
      <c r="P13786" t="s">
        <v>29785</v>
      </c>
      <c r="Q13786">
        <v>6201</v>
      </c>
      <c r="R13786" t="s">
        <v>23</v>
      </c>
      <c r="S13786" s="1" t="s">
        <v>34218</v>
      </c>
    </row>
    <row r="13787" spans="1:19" x14ac:dyDescent="0.25">
      <c r="A13787">
        <v>101309684</v>
      </c>
      <c r="B13787" t="s">
        <v>689</v>
      </c>
      <c r="C13787" t="s">
        <v>225</v>
      </c>
      <c r="G13787" t="s">
        <v>29786</v>
      </c>
      <c r="H13787" t="s">
        <v>5683</v>
      </c>
      <c r="I13787" t="s">
        <v>52</v>
      </c>
      <c r="J13787" t="s">
        <v>29787</v>
      </c>
      <c r="K13787">
        <v>1707</v>
      </c>
      <c r="L13787" t="s">
        <v>23</v>
      </c>
      <c r="M13787" t="s">
        <v>29786</v>
      </c>
      <c r="N13787" t="s">
        <v>5683</v>
      </c>
      <c r="O13787" t="s">
        <v>52</v>
      </c>
      <c r="P13787" t="s">
        <v>29787</v>
      </c>
      <c r="Q13787">
        <v>1707</v>
      </c>
      <c r="R13787" t="s">
        <v>23</v>
      </c>
      <c r="S13787" s="1" t="s">
        <v>34218</v>
      </c>
    </row>
    <row r="13788" spans="1:19" x14ac:dyDescent="0.25">
      <c r="A13788">
        <v>101419713</v>
      </c>
      <c r="B13788" t="s">
        <v>10741</v>
      </c>
      <c r="C13788" t="s">
        <v>1208</v>
      </c>
      <c r="G13788" t="s">
        <v>29788</v>
      </c>
      <c r="H13788" t="s">
        <v>2640</v>
      </c>
      <c r="I13788" t="s">
        <v>52</v>
      </c>
      <c r="J13788" t="s">
        <v>29789</v>
      </c>
      <c r="K13788">
        <v>6374</v>
      </c>
      <c r="L13788" t="s">
        <v>23</v>
      </c>
      <c r="M13788" t="s">
        <v>29788</v>
      </c>
      <c r="N13788" t="s">
        <v>2640</v>
      </c>
      <c r="O13788" t="s">
        <v>52</v>
      </c>
      <c r="P13788" t="s">
        <v>29789</v>
      </c>
      <c r="Q13788">
        <v>6374</v>
      </c>
      <c r="R13788" t="s">
        <v>23</v>
      </c>
      <c r="S13788" s="1" t="s">
        <v>34218</v>
      </c>
    </row>
    <row r="13789" spans="1:19" x14ac:dyDescent="0.25">
      <c r="A13789">
        <v>101444668</v>
      </c>
      <c r="B13789" t="s">
        <v>29790</v>
      </c>
      <c r="C13789" t="s">
        <v>890</v>
      </c>
      <c r="G13789" t="s">
        <v>29791</v>
      </c>
      <c r="H13789" t="s">
        <v>3388</v>
      </c>
      <c r="I13789" t="s">
        <v>22</v>
      </c>
      <c r="J13789" t="s">
        <v>29792</v>
      </c>
      <c r="K13789">
        <v>6893</v>
      </c>
      <c r="L13789" t="s">
        <v>23</v>
      </c>
      <c r="M13789" t="s">
        <v>29791</v>
      </c>
      <c r="N13789" t="s">
        <v>3388</v>
      </c>
      <c r="O13789" t="s">
        <v>22</v>
      </c>
      <c r="P13789" t="s">
        <v>29792</v>
      </c>
      <c r="Q13789">
        <v>6893</v>
      </c>
      <c r="R13789" t="s">
        <v>23</v>
      </c>
      <c r="S13789" s="1" t="s">
        <v>34218</v>
      </c>
    </row>
    <row r="13790" spans="1:19" x14ac:dyDescent="0.25">
      <c r="A13790">
        <v>101295969</v>
      </c>
      <c r="B13790" t="s">
        <v>3228</v>
      </c>
      <c r="C13790" t="s">
        <v>803</v>
      </c>
      <c r="G13790" t="s">
        <v>29793</v>
      </c>
      <c r="H13790" t="s">
        <v>1096</v>
      </c>
      <c r="I13790" t="s">
        <v>1097</v>
      </c>
      <c r="J13790">
        <v>40228</v>
      </c>
      <c r="K13790">
        <v>2206</v>
      </c>
      <c r="L13790" t="s">
        <v>23</v>
      </c>
      <c r="M13790" t="s">
        <v>29793</v>
      </c>
      <c r="N13790" t="s">
        <v>1096</v>
      </c>
      <c r="O13790" t="s">
        <v>1097</v>
      </c>
      <c r="P13790">
        <v>40228</v>
      </c>
      <c r="Q13790">
        <v>2206</v>
      </c>
      <c r="R13790" t="s">
        <v>23</v>
      </c>
      <c r="S13790" s="1" t="s">
        <v>34218</v>
      </c>
    </row>
    <row r="13791" spans="1:19" x14ac:dyDescent="0.25">
      <c r="A13791">
        <v>101291353</v>
      </c>
      <c r="B13791" t="s">
        <v>4449</v>
      </c>
      <c r="C13791" t="s">
        <v>1487</v>
      </c>
      <c r="G13791" t="s">
        <v>29794</v>
      </c>
      <c r="H13791" t="s">
        <v>869</v>
      </c>
      <c r="I13791" t="s">
        <v>52</v>
      </c>
      <c r="J13791" t="s">
        <v>29795</v>
      </c>
      <c r="K13791">
        <v>4646</v>
      </c>
      <c r="L13791" t="s">
        <v>23</v>
      </c>
      <c r="M13791" t="s">
        <v>29794</v>
      </c>
      <c r="N13791" t="s">
        <v>869</v>
      </c>
      <c r="O13791" t="s">
        <v>52</v>
      </c>
      <c r="P13791" t="s">
        <v>29795</v>
      </c>
      <c r="Q13791">
        <v>4646</v>
      </c>
      <c r="R13791" t="s">
        <v>23</v>
      </c>
      <c r="S13791" s="1" t="s">
        <v>34218</v>
      </c>
    </row>
    <row r="13792" spans="1:19" x14ac:dyDescent="0.25">
      <c r="A13792">
        <v>101387777</v>
      </c>
      <c r="B13792" t="s">
        <v>29796</v>
      </c>
      <c r="C13792" t="s">
        <v>383</v>
      </c>
      <c r="G13792" t="s">
        <v>29797</v>
      </c>
      <c r="H13792" t="s">
        <v>4127</v>
      </c>
      <c r="I13792" t="s">
        <v>71</v>
      </c>
      <c r="J13792">
        <v>80540</v>
      </c>
      <c r="L13792" t="s">
        <v>23</v>
      </c>
      <c r="M13792" t="s">
        <v>29797</v>
      </c>
      <c r="N13792" t="s">
        <v>4127</v>
      </c>
      <c r="O13792" t="s">
        <v>71</v>
      </c>
      <c r="P13792">
        <v>80540</v>
      </c>
      <c r="R13792" t="s">
        <v>23</v>
      </c>
      <c r="S13792" s="1" t="s">
        <v>34218</v>
      </c>
    </row>
    <row r="13793" spans="1:19" x14ac:dyDescent="0.25">
      <c r="A13793">
        <v>101378611</v>
      </c>
      <c r="B13793" t="s">
        <v>8109</v>
      </c>
      <c r="C13793" t="s">
        <v>1906</v>
      </c>
      <c r="G13793" t="s">
        <v>12255</v>
      </c>
      <c r="H13793" t="s">
        <v>12256</v>
      </c>
      <c r="I13793" t="s">
        <v>348</v>
      </c>
      <c r="J13793" t="s">
        <v>29798</v>
      </c>
      <c r="K13793">
        <v>6976</v>
      </c>
      <c r="L13793" t="s">
        <v>23</v>
      </c>
      <c r="M13793" t="s">
        <v>12255</v>
      </c>
      <c r="N13793" t="s">
        <v>12256</v>
      </c>
      <c r="O13793" t="s">
        <v>348</v>
      </c>
      <c r="P13793" t="s">
        <v>29798</v>
      </c>
      <c r="Q13793">
        <v>6976</v>
      </c>
      <c r="R13793" t="s">
        <v>23</v>
      </c>
      <c r="S13793" s="1" t="s">
        <v>34218</v>
      </c>
    </row>
    <row r="13794" spans="1:19" x14ac:dyDescent="0.25">
      <c r="A13794">
        <v>101242399</v>
      </c>
      <c r="B13794" t="s">
        <v>29799</v>
      </c>
      <c r="C13794" t="s">
        <v>1671</v>
      </c>
      <c r="G13794" t="s">
        <v>29800</v>
      </c>
      <c r="H13794" t="s">
        <v>80</v>
      </c>
      <c r="I13794" t="s">
        <v>332</v>
      </c>
      <c r="J13794" t="s">
        <v>29801</v>
      </c>
      <c r="K13794">
        <v>2147</v>
      </c>
      <c r="L13794" t="s">
        <v>23</v>
      </c>
      <c r="M13794" t="s">
        <v>29800</v>
      </c>
      <c r="N13794" t="s">
        <v>80</v>
      </c>
      <c r="O13794" t="s">
        <v>332</v>
      </c>
      <c r="P13794" t="s">
        <v>29801</v>
      </c>
      <c r="Q13794">
        <v>2147</v>
      </c>
      <c r="R13794" t="s">
        <v>23</v>
      </c>
      <c r="S13794" s="1" t="s">
        <v>34218</v>
      </c>
    </row>
    <row r="13795" spans="1:19" x14ac:dyDescent="0.25">
      <c r="A13795">
        <v>101426852</v>
      </c>
      <c r="B13795" t="s">
        <v>27880</v>
      </c>
      <c r="C13795" t="s">
        <v>5868</v>
      </c>
      <c r="G13795" t="s">
        <v>29802</v>
      </c>
      <c r="H13795" t="s">
        <v>1985</v>
      </c>
      <c r="I13795" t="s">
        <v>71</v>
      </c>
      <c r="J13795" t="s">
        <v>29803</v>
      </c>
      <c r="K13795">
        <v>5324</v>
      </c>
      <c r="L13795" t="s">
        <v>23</v>
      </c>
      <c r="M13795" t="s">
        <v>29802</v>
      </c>
      <c r="N13795" t="s">
        <v>1985</v>
      </c>
      <c r="O13795" t="s">
        <v>71</v>
      </c>
      <c r="P13795" t="s">
        <v>29803</v>
      </c>
      <c r="Q13795">
        <v>5324</v>
      </c>
      <c r="R13795" t="s">
        <v>23</v>
      </c>
      <c r="S13795" s="1" t="s">
        <v>34218</v>
      </c>
    </row>
    <row r="13796" spans="1:19" x14ac:dyDescent="0.25">
      <c r="A13796">
        <v>101444880</v>
      </c>
      <c r="B13796" t="s">
        <v>401</v>
      </c>
      <c r="C13796" t="s">
        <v>2232</v>
      </c>
      <c r="G13796" t="s">
        <v>29804</v>
      </c>
      <c r="H13796" t="s">
        <v>6512</v>
      </c>
      <c r="I13796" t="s">
        <v>255</v>
      </c>
      <c r="J13796" t="s">
        <v>29805</v>
      </c>
      <c r="K13796">
        <v>2052</v>
      </c>
      <c r="L13796" t="s">
        <v>23</v>
      </c>
      <c r="M13796" t="s">
        <v>29804</v>
      </c>
      <c r="N13796" t="s">
        <v>6512</v>
      </c>
      <c r="O13796" t="s">
        <v>255</v>
      </c>
      <c r="P13796" t="s">
        <v>29805</v>
      </c>
      <c r="Q13796">
        <v>2052</v>
      </c>
      <c r="R13796" t="s">
        <v>23</v>
      </c>
      <c r="S13796" s="1" t="s">
        <v>34218</v>
      </c>
    </row>
    <row r="13797" spans="1:19" x14ac:dyDescent="0.25">
      <c r="A13797">
        <v>101295828</v>
      </c>
      <c r="B13797" t="s">
        <v>8109</v>
      </c>
      <c r="C13797" t="s">
        <v>4188</v>
      </c>
      <c r="G13797" t="s">
        <v>29806</v>
      </c>
      <c r="H13797" t="s">
        <v>29807</v>
      </c>
      <c r="I13797" t="s">
        <v>22</v>
      </c>
      <c r="J13797" t="s">
        <v>29808</v>
      </c>
      <c r="K13797">
        <v>102</v>
      </c>
      <c r="L13797" t="s">
        <v>23</v>
      </c>
      <c r="M13797" t="s">
        <v>29806</v>
      </c>
      <c r="N13797" t="s">
        <v>29807</v>
      </c>
      <c r="O13797" t="s">
        <v>22</v>
      </c>
      <c r="P13797" t="s">
        <v>29808</v>
      </c>
      <c r="Q13797">
        <v>102</v>
      </c>
      <c r="R13797" t="s">
        <v>23</v>
      </c>
      <c r="S13797" s="1" t="s">
        <v>34218</v>
      </c>
    </row>
    <row r="13798" spans="1:19" x14ac:dyDescent="0.25">
      <c r="A13798">
        <v>101423136</v>
      </c>
      <c r="B13798" t="s">
        <v>29809</v>
      </c>
      <c r="C13798" t="s">
        <v>699</v>
      </c>
      <c r="G13798" t="s">
        <v>29810</v>
      </c>
      <c r="H13798" t="s">
        <v>2367</v>
      </c>
      <c r="I13798" t="s">
        <v>255</v>
      </c>
      <c r="J13798" t="s">
        <v>29811</v>
      </c>
      <c r="K13798">
        <v>1422</v>
      </c>
      <c r="L13798" t="s">
        <v>23</v>
      </c>
      <c r="M13798" t="s">
        <v>29810</v>
      </c>
      <c r="N13798" t="s">
        <v>2367</v>
      </c>
      <c r="O13798" t="s">
        <v>255</v>
      </c>
      <c r="P13798" t="s">
        <v>29811</v>
      </c>
      <c r="Q13798">
        <v>1422</v>
      </c>
      <c r="R13798" t="s">
        <v>23</v>
      </c>
      <c r="S13798" s="1" t="s">
        <v>34218</v>
      </c>
    </row>
    <row r="13799" spans="1:19" x14ac:dyDescent="0.25">
      <c r="A13799">
        <v>101102900</v>
      </c>
      <c r="B13799" t="s">
        <v>2287</v>
      </c>
      <c r="C13799" t="s">
        <v>11308</v>
      </c>
      <c r="G13799" t="s">
        <v>29812</v>
      </c>
      <c r="H13799" t="s">
        <v>29813</v>
      </c>
      <c r="I13799" t="s">
        <v>250</v>
      </c>
      <c r="J13799" t="s">
        <v>29814</v>
      </c>
      <c r="K13799">
        <v>3321</v>
      </c>
      <c r="L13799" t="s">
        <v>23</v>
      </c>
      <c r="M13799" t="s">
        <v>29812</v>
      </c>
      <c r="N13799" t="s">
        <v>29813</v>
      </c>
      <c r="O13799" t="s">
        <v>250</v>
      </c>
      <c r="P13799" t="s">
        <v>29814</v>
      </c>
      <c r="Q13799">
        <v>3321</v>
      </c>
      <c r="R13799" t="s">
        <v>23</v>
      </c>
      <c r="S13799" s="1" t="s">
        <v>34218</v>
      </c>
    </row>
    <row r="13800" spans="1:19" x14ac:dyDescent="0.25">
      <c r="A13800">
        <v>100515691</v>
      </c>
      <c r="B13800" t="s">
        <v>6795</v>
      </c>
      <c r="C13800" t="s">
        <v>535</v>
      </c>
      <c r="G13800" t="s">
        <v>29815</v>
      </c>
      <c r="H13800" t="s">
        <v>29816</v>
      </c>
      <c r="I13800" t="s">
        <v>353</v>
      </c>
      <c r="J13800" t="s">
        <v>29817</v>
      </c>
      <c r="K13800">
        <v>8203</v>
      </c>
      <c r="L13800" t="s">
        <v>23</v>
      </c>
      <c r="M13800" t="s">
        <v>29815</v>
      </c>
      <c r="N13800" t="s">
        <v>29816</v>
      </c>
      <c r="O13800" t="s">
        <v>353</v>
      </c>
      <c r="P13800" t="s">
        <v>29817</v>
      </c>
      <c r="Q13800">
        <v>8203</v>
      </c>
      <c r="R13800" t="s">
        <v>23</v>
      </c>
      <c r="S13800" s="1" t="s">
        <v>34218</v>
      </c>
    </row>
    <row r="13801" spans="1:19" x14ac:dyDescent="0.25">
      <c r="A13801">
        <v>101426946</v>
      </c>
      <c r="B13801" t="s">
        <v>29818</v>
      </c>
      <c r="C13801" t="s">
        <v>1602</v>
      </c>
      <c r="G13801" t="s">
        <v>29819</v>
      </c>
      <c r="H13801" t="s">
        <v>299</v>
      </c>
      <c r="I13801" t="s">
        <v>22</v>
      </c>
      <c r="J13801" t="s">
        <v>29820</v>
      </c>
      <c r="K13801">
        <v>4838</v>
      </c>
      <c r="L13801" t="s">
        <v>23</v>
      </c>
      <c r="M13801" t="s">
        <v>29819</v>
      </c>
      <c r="N13801" t="s">
        <v>299</v>
      </c>
      <c r="O13801" t="s">
        <v>22</v>
      </c>
      <c r="P13801" t="s">
        <v>29820</v>
      </c>
      <c r="Q13801">
        <v>4838</v>
      </c>
      <c r="R13801" t="s">
        <v>23</v>
      </c>
      <c r="S13801" s="1" t="s">
        <v>34218</v>
      </c>
    </row>
    <row r="13802" spans="1:19" x14ac:dyDescent="0.25">
      <c r="A13802">
        <v>100914051</v>
      </c>
      <c r="B13802" t="s">
        <v>29821</v>
      </c>
      <c r="C13802" t="s">
        <v>1050</v>
      </c>
      <c r="G13802" t="s">
        <v>29822</v>
      </c>
      <c r="H13802" t="s">
        <v>29823</v>
      </c>
      <c r="I13802" t="s">
        <v>22</v>
      </c>
      <c r="J13802">
        <v>95922</v>
      </c>
      <c r="K13802">
        <v>9718</v>
      </c>
      <c r="L13802" t="s">
        <v>23</v>
      </c>
      <c r="M13802" t="s">
        <v>29822</v>
      </c>
      <c r="N13802" t="s">
        <v>29823</v>
      </c>
      <c r="O13802" t="s">
        <v>22</v>
      </c>
      <c r="P13802">
        <v>95922</v>
      </c>
      <c r="Q13802">
        <v>9718</v>
      </c>
      <c r="R13802" t="s">
        <v>23</v>
      </c>
      <c r="S13802" s="1" t="s">
        <v>34218</v>
      </c>
    </row>
    <row r="13803" spans="1:19" x14ac:dyDescent="0.25">
      <c r="A13803">
        <v>101444942</v>
      </c>
      <c r="B13803" t="s">
        <v>5179</v>
      </c>
      <c r="C13803" t="s">
        <v>810</v>
      </c>
      <c r="G13803" t="s">
        <v>29824</v>
      </c>
      <c r="H13803" t="s">
        <v>15129</v>
      </c>
      <c r="I13803" t="s">
        <v>100</v>
      </c>
      <c r="J13803" t="s">
        <v>29825</v>
      </c>
      <c r="K13803">
        <v>2326</v>
      </c>
      <c r="L13803" t="s">
        <v>23</v>
      </c>
      <c r="M13803" t="s">
        <v>29824</v>
      </c>
      <c r="N13803" t="s">
        <v>15129</v>
      </c>
      <c r="O13803" t="s">
        <v>100</v>
      </c>
      <c r="P13803" t="s">
        <v>29825</v>
      </c>
      <c r="Q13803">
        <v>2326</v>
      </c>
      <c r="R13803" t="s">
        <v>23</v>
      </c>
      <c r="S13803" s="1" t="s">
        <v>34218</v>
      </c>
    </row>
    <row r="13804" spans="1:19" x14ac:dyDescent="0.25">
      <c r="A13804">
        <v>101444888</v>
      </c>
      <c r="B13804" t="s">
        <v>29826</v>
      </c>
      <c r="C13804" t="s">
        <v>2127</v>
      </c>
      <c r="G13804" t="s">
        <v>29827</v>
      </c>
      <c r="H13804" t="s">
        <v>2778</v>
      </c>
      <c r="I13804" t="s">
        <v>1482</v>
      </c>
      <c r="J13804" t="s">
        <v>29828</v>
      </c>
      <c r="K13804">
        <v>7890</v>
      </c>
      <c r="L13804" t="s">
        <v>23</v>
      </c>
      <c r="M13804" t="s">
        <v>29827</v>
      </c>
      <c r="N13804" t="s">
        <v>2778</v>
      </c>
      <c r="O13804" t="s">
        <v>1482</v>
      </c>
      <c r="P13804" t="s">
        <v>29828</v>
      </c>
      <c r="Q13804">
        <v>7890</v>
      </c>
      <c r="R13804" t="s">
        <v>23</v>
      </c>
      <c r="S13804" s="1" t="s">
        <v>34218</v>
      </c>
    </row>
    <row r="13805" spans="1:19" x14ac:dyDescent="0.25">
      <c r="A13805">
        <v>101426754</v>
      </c>
      <c r="B13805" t="s">
        <v>29829</v>
      </c>
      <c r="C13805" t="s">
        <v>1306</v>
      </c>
      <c r="G13805" t="s">
        <v>29830</v>
      </c>
      <c r="H13805" t="s">
        <v>29831</v>
      </c>
      <c r="I13805" t="s">
        <v>52</v>
      </c>
      <c r="J13805" t="s">
        <v>29832</v>
      </c>
      <c r="K13805">
        <v>844</v>
      </c>
      <c r="L13805" t="s">
        <v>23</v>
      </c>
      <c r="M13805" t="s">
        <v>29830</v>
      </c>
      <c r="N13805" t="s">
        <v>29831</v>
      </c>
      <c r="O13805" t="s">
        <v>52</v>
      </c>
      <c r="P13805" t="s">
        <v>29832</v>
      </c>
      <c r="Q13805">
        <v>844</v>
      </c>
      <c r="R13805" t="s">
        <v>23</v>
      </c>
      <c r="S13805" s="1" t="s">
        <v>34218</v>
      </c>
    </row>
    <row r="13806" spans="1:19" x14ac:dyDescent="0.25">
      <c r="A13806">
        <v>101427274</v>
      </c>
      <c r="B13806" t="s">
        <v>29833</v>
      </c>
      <c r="C13806" t="s">
        <v>19550</v>
      </c>
      <c r="G13806" t="s">
        <v>29834</v>
      </c>
      <c r="H13806" t="s">
        <v>10271</v>
      </c>
      <c r="I13806" t="s">
        <v>135</v>
      </c>
      <c r="J13806" t="s">
        <v>29835</v>
      </c>
      <c r="K13806">
        <v>2541</v>
      </c>
      <c r="L13806" t="s">
        <v>23</v>
      </c>
      <c r="M13806" t="s">
        <v>29834</v>
      </c>
      <c r="N13806" t="s">
        <v>10271</v>
      </c>
      <c r="O13806" t="s">
        <v>135</v>
      </c>
      <c r="P13806" t="s">
        <v>29835</v>
      </c>
      <c r="Q13806">
        <v>2541</v>
      </c>
      <c r="R13806" t="s">
        <v>23</v>
      </c>
      <c r="S13806" s="1" t="s">
        <v>34218</v>
      </c>
    </row>
    <row r="13807" spans="1:19" x14ac:dyDescent="0.25">
      <c r="A13807">
        <v>101440190</v>
      </c>
      <c r="B13807" t="s">
        <v>9807</v>
      </c>
      <c r="C13807" t="s">
        <v>29836</v>
      </c>
      <c r="G13807" t="s">
        <v>29837</v>
      </c>
      <c r="H13807" t="s">
        <v>1246</v>
      </c>
      <c r="I13807" t="s">
        <v>140</v>
      </c>
      <c r="J13807" t="s">
        <v>29838</v>
      </c>
      <c r="K13807">
        <v>4120</v>
      </c>
      <c r="L13807" t="s">
        <v>23</v>
      </c>
      <c r="M13807" t="s">
        <v>29837</v>
      </c>
      <c r="N13807" t="s">
        <v>1246</v>
      </c>
      <c r="O13807" t="s">
        <v>140</v>
      </c>
      <c r="P13807" t="s">
        <v>29838</v>
      </c>
      <c r="Q13807">
        <v>4120</v>
      </c>
      <c r="R13807" t="s">
        <v>23</v>
      </c>
      <c r="S13807" s="1" t="s">
        <v>34218</v>
      </c>
    </row>
    <row r="13808" spans="1:19" x14ac:dyDescent="0.25">
      <c r="A13808">
        <v>101440835</v>
      </c>
      <c r="B13808" t="s">
        <v>29839</v>
      </c>
      <c r="C13808" t="s">
        <v>1859</v>
      </c>
      <c r="G13808" t="s">
        <v>29840</v>
      </c>
      <c r="H13808" t="s">
        <v>29841</v>
      </c>
      <c r="I13808" t="s">
        <v>250</v>
      </c>
      <c r="J13808" t="s">
        <v>29842</v>
      </c>
      <c r="K13808">
        <v>2650</v>
      </c>
      <c r="L13808" t="s">
        <v>23</v>
      </c>
      <c r="M13808" t="s">
        <v>29840</v>
      </c>
      <c r="N13808" t="s">
        <v>29841</v>
      </c>
      <c r="O13808" t="s">
        <v>250</v>
      </c>
      <c r="P13808" t="s">
        <v>29842</v>
      </c>
      <c r="Q13808">
        <v>2650</v>
      </c>
      <c r="R13808" t="s">
        <v>23</v>
      </c>
      <c r="S13808" s="1" t="s">
        <v>34218</v>
      </c>
    </row>
    <row r="13809" spans="1:19" x14ac:dyDescent="0.25">
      <c r="A13809">
        <v>100986432</v>
      </c>
      <c r="B13809" t="s">
        <v>29843</v>
      </c>
      <c r="C13809" t="s">
        <v>2638</v>
      </c>
      <c r="H13809" t="s">
        <v>29844</v>
      </c>
      <c r="I13809" t="s">
        <v>117</v>
      </c>
      <c r="J13809">
        <v>10129</v>
      </c>
      <c r="L13809" t="s">
        <v>29845</v>
      </c>
      <c r="N13809" t="s">
        <v>29844</v>
      </c>
      <c r="O13809" t="s">
        <v>117</v>
      </c>
      <c r="P13809">
        <v>10129</v>
      </c>
      <c r="R13809" t="s">
        <v>29845</v>
      </c>
      <c r="S13809" s="1" t="s">
        <v>34218</v>
      </c>
    </row>
    <row r="13810" spans="1:19" x14ac:dyDescent="0.25">
      <c r="A13810">
        <v>101424188</v>
      </c>
      <c r="B13810" t="s">
        <v>29846</v>
      </c>
      <c r="C13810" t="s">
        <v>880</v>
      </c>
      <c r="G13810" t="s">
        <v>29847</v>
      </c>
      <c r="H13810" t="s">
        <v>569</v>
      </c>
      <c r="I13810" t="s">
        <v>187</v>
      </c>
      <c r="J13810" t="s">
        <v>29848</v>
      </c>
      <c r="K13810">
        <v>1253</v>
      </c>
      <c r="L13810" t="s">
        <v>23</v>
      </c>
      <c r="M13810" t="s">
        <v>29847</v>
      </c>
      <c r="N13810" t="s">
        <v>569</v>
      </c>
      <c r="O13810" t="s">
        <v>187</v>
      </c>
      <c r="P13810" t="s">
        <v>29848</v>
      </c>
      <c r="Q13810">
        <v>1253</v>
      </c>
      <c r="R13810" t="s">
        <v>23</v>
      </c>
      <c r="S13810" s="1" t="s">
        <v>34218</v>
      </c>
    </row>
    <row r="13811" spans="1:19" x14ac:dyDescent="0.25">
      <c r="A13811">
        <v>101435301</v>
      </c>
      <c r="B13811" t="s">
        <v>14465</v>
      </c>
      <c r="C13811" t="s">
        <v>1731</v>
      </c>
      <c r="G13811" t="s">
        <v>29849</v>
      </c>
      <c r="H13811" t="s">
        <v>3525</v>
      </c>
      <c r="I13811" t="s">
        <v>22</v>
      </c>
      <c r="J13811" t="s">
        <v>29850</v>
      </c>
      <c r="K13811">
        <v>9501</v>
      </c>
      <c r="L13811" t="s">
        <v>23</v>
      </c>
      <c r="M13811" t="s">
        <v>29849</v>
      </c>
      <c r="N13811" t="s">
        <v>3525</v>
      </c>
      <c r="O13811" t="s">
        <v>22</v>
      </c>
      <c r="P13811" t="s">
        <v>29850</v>
      </c>
      <c r="Q13811">
        <v>9501</v>
      </c>
      <c r="R13811" t="s">
        <v>23</v>
      </c>
      <c r="S13811" s="1" t="s">
        <v>34218</v>
      </c>
    </row>
    <row r="13812" spans="1:19" x14ac:dyDescent="0.25">
      <c r="A13812">
        <v>101423728</v>
      </c>
      <c r="B13812" t="s">
        <v>29851</v>
      </c>
      <c r="C13812" t="s">
        <v>123</v>
      </c>
      <c r="G13812" t="s">
        <v>29852</v>
      </c>
      <c r="H13812" t="s">
        <v>822</v>
      </c>
      <c r="I13812" t="s">
        <v>140</v>
      </c>
      <c r="J13812" t="s">
        <v>29853</v>
      </c>
      <c r="K13812">
        <v>5538</v>
      </c>
      <c r="L13812" t="s">
        <v>23</v>
      </c>
      <c r="M13812" t="s">
        <v>29852</v>
      </c>
      <c r="N13812" t="s">
        <v>822</v>
      </c>
      <c r="O13812" t="s">
        <v>140</v>
      </c>
      <c r="P13812" t="s">
        <v>29853</v>
      </c>
      <c r="Q13812">
        <v>5538</v>
      </c>
      <c r="R13812" t="s">
        <v>23</v>
      </c>
      <c r="S13812" s="1" t="s">
        <v>34218</v>
      </c>
    </row>
    <row r="13813" spans="1:19" x14ac:dyDescent="0.25">
      <c r="A13813">
        <v>100945559</v>
      </c>
      <c r="B13813" t="s">
        <v>5477</v>
      </c>
      <c r="C13813" t="s">
        <v>90</v>
      </c>
      <c r="G13813" t="s">
        <v>14531</v>
      </c>
      <c r="H13813" t="s">
        <v>17514</v>
      </c>
      <c r="I13813" t="s">
        <v>71</v>
      </c>
      <c r="J13813" t="s">
        <v>29854</v>
      </c>
      <c r="K13813">
        <v>1425</v>
      </c>
      <c r="L13813" t="s">
        <v>23</v>
      </c>
      <c r="M13813" t="s">
        <v>14531</v>
      </c>
      <c r="N13813" t="s">
        <v>17514</v>
      </c>
      <c r="O13813" t="s">
        <v>71</v>
      </c>
      <c r="P13813" t="s">
        <v>29854</v>
      </c>
      <c r="Q13813">
        <v>1425</v>
      </c>
      <c r="R13813" t="s">
        <v>23</v>
      </c>
      <c r="S13813" s="1" t="s">
        <v>34218</v>
      </c>
    </row>
    <row r="13814" spans="1:19" x14ac:dyDescent="0.25">
      <c r="A13814">
        <v>101430999</v>
      </c>
      <c r="B13814" t="s">
        <v>27945</v>
      </c>
      <c r="C13814" t="s">
        <v>5009</v>
      </c>
      <c r="G13814" t="s">
        <v>21392</v>
      </c>
      <c r="H13814" t="s">
        <v>29855</v>
      </c>
      <c r="I13814" t="s">
        <v>117</v>
      </c>
      <c r="J13814" t="s">
        <v>29856</v>
      </c>
      <c r="K13814">
        <v>33</v>
      </c>
      <c r="L13814" t="s">
        <v>23</v>
      </c>
      <c r="M13814" t="s">
        <v>21392</v>
      </c>
      <c r="N13814" t="s">
        <v>29855</v>
      </c>
      <c r="O13814" t="s">
        <v>117</v>
      </c>
      <c r="P13814" t="s">
        <v>29856</v>
      </c>
      <c r="Q13814">
        <v>33</v>
      </c>
      <c r="R13814" t="s">
        <v>23</v>
      </c>
      <c r="S13814" s="1" t="s">
        <v>34218</v>
      </c>
    </row>
    <row r="13815" spans="1:19" x14ac:dyDescent="0.25">
      <c r="A13815">
        <v>101430759</v>
      </c>
      <c r="B13815" t="s">
        <v>29857</v>
      </c>
      <c r="C13815" t="s">
        <v>3350</v>
      </c>
      <c r="G13815" t="s">
        <v>29858</v>
      </c>
      <c r="H13815" t="s">
        <v>822</v>
      </c>
      <c r="I13815" t="s">
        <v>140</v>
      </c>
      <c r="J13815" t="s">
        <v>29859</v>
      </c>
      <c r="K13815">
        <v>7801</v>
      </c>
      <c r="L13815" t="s">
        <v>23</v>
      </c>
      <c r="M13815" t="s">
        <v>29858</v>
      </c>
      <c r="N13815" t="s">
        <v>822</v>
      </c>
      <c r="O13815" t="s">
        <v>140</v>
      </c>
      <c r="P13815" t="s">
        <v>29859</v>
      </c>
      <c r="Q13815">
        <v>7801</v>
      </c>
      <c r="R13815" t="s">
        <v>23</v>
      </c>
      <c r="S13815" s="1" t="s">
        <v>34218</v>
      </c>
    </row>
    <row r="13816" spans="1:19" x14ac:dyDescent="0.25">
      <c r="A13816">
        <v>101388687</v>
      </c>
      <c r="B13816" t="s">
        <v>10753</v>
      </c>
      <c r="C13816" t="s">
        <v>554</v>
      </c>
      <c r="G13816" t="s">
        <v>29860</v>
      </c>
      <c r="H13816" t="s">
        <v>29861</v>
      </c>
      <c r="I13816" t="s">
        <v>22</v>
      </c>
      <c r="J13816" t="s">
        <v>29862</v>
      </c>
      <c r="K13816">
        <v>7214</v>
      </c>
      <c r="L13816" t="s">
        <v>23</v>
      </c>
      <c r="M13816" t="s">
        <v>29860</v>
      </c>
      <c r="N13816" t="s">
        <v>29861</v>
      </c>
      <c r="O13816" t="s">
        <v>22</v>
      </c>
      <c r="P13816" t="s">
        <v>29862</v>
      </c>
      <c r="Q13816">
        <v>7214</v>
      </c>
      <c r="R13816" t="s">
        <v>23</v>
      </c>
      <c r="S13816" s="1" t="s">
        <v>34218</v>
      </c>
    </row>
    <row r="13817" spans="1:19" x14ac:dyDescent="0.25">
      <c r="A13817">
        <v>101432100</v>
      </c>
      <c r="B13817" t="s">
        <v>654</v>
      </c>
      <c r="C13817" t="s">
        <v>30</v>
      </c>
      <c r="G13817" t="s">
        <v>29863</v>
      </c>
      <c r="H13817" t="s">
        <v>19552</v>
      </c>
      <c r="I13817" t="s">
        <v>33</v>
      </c>
      <c r="J13817" t="s">
        <v>29864</v>
      </c>
      <c r="K13817">
        <v>8535</v>
      </c>
      <c r="L13817" t="s">
        <v>23</v>
      </c>
      <c r="M13817" t="s">
        <v>29863</v>
      </c>
      <c r="N13817" t="s">
        <v>19552</v>
      </c>
      <c r="O13817" t="s">
        <v>33</v>
      </c>
      <c r="P13817" t="s">
        <v>29864</v>
      </c>
      <c r="Q13817">
        <v>8535</v>
      </c>
      <c r="R13817" t="s">
        <v>23</v>
      </c>
      <c r="S13817" s="1" t="s">
        <v>34218</v>
      </c>
    </row>
    <row r="13818" spans="1:19" x14ac:dyDescent="0.25">
      <c r="A13818">
        <v>101252045</v>
      </c>
      <c r="B13818" t="s">
        <v>23941</v>
      </c>
      <c r="C13818" t="s">
        <v>4427</v>
      </c>
      <c r="G13818" t="s">
        <v>29865</v>
      </c>
      <c r="H13818" t="s">
        <v>412</v>
      </c>
      <c r="I13818" t="s">
        <v>117</v>
      </c>
      <c r="J13818" t="s">
        <v>29866</v>
      </c>
      <c r="K13818">
        <v>2119</v>
      </c>
      <c r="L13818" t="s">
        <v>23</v>
      </c>
      <c r="M13818" t="s">
        <v>29865</v>
      </c>
      <c r="N13818" t="s">
        <v>412</v>
      </c>
      <c r="O13818" t="s">
        <v>117</v>
      </c>
      <c r="P13818" t="s">
        <v>29866</v>
      </c>
      <c r="Q13818">
        <v>2119</v>
      </c>
      <c r="R13818" t="s">
        <v>23</v>
      </c>
      <c r="S13818" s="1" t="s">
        <v>34218</v>
      </c>
    </row>
    <row r="13819" spans="1:19" x14ac:dyDescent="0.25">
      <c r="A13819">
        <v>101190688</v>
      </c>
      <c r="B13819" t="s">
        <v>6740</v>
      </c>
      <c r="C13819" t="s">
        <v>1384</v>
      </c>
      <c r="G13819" t="s">
        <v>29867</v>
      </c>
      <c r="H13819" t="s">
        <v>1625</v>
      </c>
      <c r="I13819" t="s">
        <v>702</v>
      </c>
      <c r="J13819" t="s">
        <v>29868</v>
      </c>
      <c r="K13819">
        <v>8545</v>
      </c>
      <c r="L13819" t="s">
        <v>23</v>
      </c>
      <c r="M13819" t="s">
        <v>29867</v>
      </c>
      <c r="N13819" t="s">
        <v>1625</v>
      </c>
      <c r="O13819" t="s">
        <v>702</v>
      </c>
      <c r="P13819" t="s">
        <v>29868</v>
      </c>
      <c r="Q13819">
        <v>8545</v>
      </c>
      <c r="R13819" t="s">
        <v>23</v>
      </c>
      <c r="S13819" s="1" t="s">
        <v>34218</v>
      </c>
    </row>
    <row r="13820" spans="1:19" x14ac:dyDescent="0.25">
      <c r="A13820">
        <v>101427037</v>
      </c>
      <c r="B13820" t="s">
        <v>29869</v>
      </c>
      <c r="C13820" t="s">
        <v>29870</v>
      </c>
      <c r="G13820" t="s">
        <v>29871</v>
      </c>
      <c r="H13820" t="s">
        <v>29872</v>
      </c>
      <c r="I13820" t="s">
        <v>22</v>
      </c>
      <c r="J13820" t="s">
        <v>29873</v>
      </c>
      <c r="K13820">
        <v>6720</v>
      </c>
      <c r="L13820" t="s">
        <v>23</v>
      </c>
      <c r="M13820" t="s">
        <v>29871</v>
      </c>
      <c r="N13820" t="s">
        <v>29872</v>
      </c>
      <c r="O13820" t="s">
        <v>22</v>
      </c>
      <c r="P13820" t="s">
        <v>29873</v>
      </c>
      <c r="Q13820">
        <v>6720</v>
      </c>
      <c r="R13820" t="s">
        <v>23</v>
      </c>
      <c r="S13820" s="1" t="s">
        <v>34218</v>
      </c>
    </row>
    <row r="13821" spans="1:19" x14ac:dyDescent="0.25">
      <c r="A13821">
        <v>100541005</v>
      </c>
      <c r="B13821" t="s">
        <v>2457</v>
      </c>
      <c r="C13821" t="s">
        <v>1463</v>
      </c>
      <c r="F13821" t="str">
        <f>"6129208891"</f>
        <v>6129208891</v>
      </c>
      <c r="G13821" t="s">
        <v>29874</v>
      </c>
      <c r="H13821" t="s">
        <v>569</v>
      </c>
      <c r="I13821" t="s">
        <v>187</v>
      </c>
      <c r="J13821" t="s">
        <v>29875</v>
      </c>
      <c r="K13821">
        <v>1976</v>
      </c>
      <c r="L13821" t="s">
        <v>23</v>
      </c>
      <c r="M13821" t="s">
        <v>29874</v>
      </c>
      <c r="N13821" t="s">
        <v>569</v>
      </c>
      <c r="O13821" t="s">
        <v>187</v>
      </c>
      <c r="P13821" t="s">
        <v>29875</v>
      </c>
      <c r="Q13821">
        <v>1976</v>
      </c>
      <c r="R13821" t="s">
        <v>23</v>
      </c>
      <c r="S13821" s="1" t="s">
        <v>34218</v>
      </c>
    </row>
    <row r="13822" spans="1:19" x14ac:dyDescent="0.25">
      <c r="A13822">
        <v>101424157</v>
      </c>
      <c r="B13822" t="s">
        <v>3625</v>
      </c>
      <c r="C13822" t="s">
        <v>5599</v>
      </c>
      <c r="G13822" t="s">
        <v>29876</v>
      </c>
      <c r="H13822" t="s">
        <v>2375</v>
      </c>
      <c r="I13822" t="s">
        <v>1387</v>
      </c>
      <c r="J13822" t="s">
        <v>29877</v>
      </c>
      <c r="K13822">
        <v>8487</v>
      </c>
      <c r="L13822" t="s">
        <v>23</v>
      </c>
      <c r="M13822" t="s">
        <v>29876</v>
      </c>
      <c r="N13822" t="s">
        <v>2375</v>
      </c>
      <c r="O13822" t="s">
        <v>1387</v>
      </c>
      <c r="P13822" t="s">
        <v>29877</v>
      </c>
      <c r="Q13822">
        <v>8487</v>
      </c>
      <c r="R13822" t="s">
        <v>23</v>
      </c>
      <c r="S13822" s="1" t="s">
        <v>34218</v>
      </c>
    </row>
    <row r="13823" spans="1:19" x14ac:dyDescent="0.25">
      <c r="A13823">
        <v>101423649</v>
      </c>
      <c r="B13823" t="s">
        <v>29878</v>
      </c>
      <c r="C13823" t="s">
        <v>329</v>
      </c>
      <c r="G13823" t="s">
        <v>29879</v>
      </c>
      <c r="H13823" t="s">
        <v>4527</v>
      </c>
      <c r="I13823" t="s">
        <v>33</v>
      </c>
      <c r="J13823" t="s">
        <v>29880</v>
      </c>
      <c r="K13823">
        <v>3857</v>
      </c>
      <c r="L13823" t="s">
        <v>23</v>
      </c>
      <c r="M13823" t="s">
        <v>29879</v>
      </c>
      <c r="N13823" t="s">
        <v>4527</v>
      </c>
      <c r="O13823" t="s">
        <v>33</v>
      </c>
      <c r="P13823" t="s">
        <v>29880</v>
      </c>
      <c r="Q13823">
        <v>3857</v>
      </c>
      <c r="R13823" t="s">
        <v>23</v>
      </c>
      <c r="S13823" s="1" t="s">
        <v>34218</v>
      </c>
    </row>
    <row r="13824" spans="1:19" x14ac:dyDescent="0.25">
      <c r="A13824">
        <v>100917234</v>
      </c>
      <c r="B13824" t="s">
        <v>29881</v>
      </c>
      <c r="C13824" t="s">
        <v>3066</v>
      </c>
      <c r="F13824" t="str">
        <f>"7327877957"</f>
        <v>7327877957</v>
      </c>
      <c r="G13824" t="s">
        <v>29882</v>
      </c>
      <c r="H13824" t="s">
        <v>3195</v>
      </c>
      <c r="I13824" t="s">
        <v>250</v>
      </c>
      <c r="J13824" t="s">
        <v>29883</v>
      </c>
      <c r="K13824">
        <v>1329</v>
      </c>
      <c r="L13824" t="s">
        <v>23</v>
      </c>
      <c r="M13824" t="s">
        <v>29882</v>
      </c>
      <c r="N13824" t="s">
        <v>3195</v>
      </c>
      <c r="O13824" t="s">
        <v>250</v>
      </c>
      <c r="P13824" t="s">
        <v>29883</v>
      </c>
      <c r="Q13824">
        <v>1329</v>
      </c>
      <c r="R13824" t="s">
        <v>23</v>
      </c>
      <c r="S13824" s="1" t="s">
        <v>34218</v>
      </c>
    </row>
    <row r="13825" spans="1:19" x14ac:dyDescent="0.25">
      <c r="A13825">
        <v>101052109</v>
      </c>
      <c r="B13825" t="s">
        <v>29884</v>
      </c>
      <c r="C13825" t="s">
        <v>266</v>
      </c>
      <c r="G13825" t="s">
        <v>29885</v>
      </c>
      <c r="H13825" t="s">
        <v>4069</v>
      </c>
      <c r="I13825" t="s">
        <v>71</v>
      </c>
      <c r="J13825" t="s">
        <v>29886</v>
      </c>
      <c r="K13825">
        <v>4265</v>
      </c>
      <c r="L13825" t="s">
        <v>23</v>
      </c>
      <c r="M13825" t="s">
        <v>29885</v>
      </c>
      <c r="N13825" t="s">
        <v>4069</v>
      </c>
      <c r="O13825" t="s">
        <v>71</v>
      </c>
      <c r="P13825" t="s">
        <v>29886</v>
      </c>
      <c r="Q13825">
        <v>4265</v>
      </c>
      <c r="R13825" t="s">
        <v>23</v>
      </c>
      <c r="S13825" s="1" t="s">
        <v>34218</v>
      </c>
    </row>
    <row r="13826" spans="1:19" x14ac:dyDescent="0.25">
      <c r="A13826">
        <v>101320862</v>
      </c>
      <c r="B13826" t="s">
        <v>6084</v>
      </c>
      <c r="C13826" t="s">
        <v>2603</v>
      </c>
      <c r="G13826" t="s">
        <v>29887</v>
      </c>
      <c r="H13826" t="s">
        <v>5198</v>
      </c>
      <c r="I13826" t="s">
        <v>446</v>
      </c>
      <c r="J13826" t="s">
        <v>29888</v>
      </c>
      <c r="K13826">
        <v>7056</v>
      </c>
      <c r="L13826" t="s">
        <v>23</v>
      </c>
      <c r="M13826" t="s">
        <v>29887</v>
      </c>
      <c r="N13826" t="s">
        <v>5198</v>
      </c>
      <c r="O13826" t="s">
        <v>446</v>
      </c>
      <c r="P13826" t="s">
        <v>29888</v>
      </c>
      <c r="Q13826">
        <v>7056</v>
      </c>
      <c r="R13826" t="s">
        <v>23</v>
      </c>
      <c r="S13826" s="1" t="s">
        <v>34218</v>
      </c>
    </row>
    <row r="13827" spans="1:19" x14ac:dyDescent="0.25">
      <c r="A13827">
        <v>101445112</v>
      </c>
      <c r="B13827" t="s">
        <v>11471</v>
      </c>
      <c r="C13827" t="s">
        <v>890</v>
      </c>
      <c r="G13827" t="s">
        <v>29889</v>
      </c>
      <c r="H13827" t="s">
        <v>1561</v>
      </c>
      <c r="I13827" t="s">
        <v>1387</v>
      </c>
      <c r="J13827" t="s">
        <v>29890</v>
      </c>
      <c r="K13827">
        <v>3454</v>
      </c>
      <c r="L13827" t="s">
        <v>23</v>
      </c>
      <c r="M13827" t="s">
        <v>29889</v>
      </c>
      <c r="N13827" t="s">
        <v>1561</v>
      </c>
      <c r="O13827" t="s">
        <v>1387</v>
      </c>
      <c r="P13827" t="s">
        <v>29890</v>
      </c>
      <c r="Q13827">
        <v>3454</v>
      </c>
      <c r="R13827" t="s">
        <v>23</v>
      </c>
      <c r="S13827" s="1" t="s">
        <v>34218</v>
      </c>
    </row>
    <row r="13828" spans="1:19" x14ac:dyDescent="0.25">
      <c r="A13828">
        <v>101274651</v>
      </c>
      <c r="B13828" t="s">
        <v>29891</v>
      </c>
      <c r="C13828" t="s">
        <v>8908</v>
      </c>
      <c r="G13828" t="s">
        <v>29892</v>
      </c>
      <c r="H13828" t="s">
        <v>2769</v>
      </c>
      <c r="I13828" t="s">
        <v>52</v>
      </c>
      <c r="J13828" t="s">
        <v>29893</v>
      </c>
      <c r="K13828">
        <v>2710</v>
      </c>
      <c r="L13828" t="s">
        <v>23</v>
      </c>
      <c r="M13828" t="s">
        <v>29892</v>
      </c>
      <c r="N13828" t="s">
        <v>2769</v>
      </c>
      <c r="O13828" t="s">
        <v>52</v>
      </c>
      <c r="P13828" t="s">
        <v>29893</v>
      </c>
      <c r="Q13828">
        <v>2710</v>
      </c>
      <c r="R13828" t="s">
        <v>23</v>
      </c>
      <c r="S13828" s="1" t="s">
        <v>34218</v>
      </c>
    </row>
    <row r="13829" spans="1:19" x14ac:dyDescent="0.25">
      <c r="A13829">
        <v>101178587</v>
      </c>
      <c r="B13829" t="s">
        <v>12719</v>
      </c>
      <c r="C13829" t="s">
        <v>9405</v>
      </c>
      <c r="G13829" t="s">
        <v>29894</v>
      </c>
      <c r="H13829" t="s">
        <v>682</v>
      </c>
      <c r="I13829" t="s">
        <v>365</v>
      </c>
      <c r="J13829" t="s">
        <v>29895</v>
      </c>
      <c r="K13829">
        <v>4372</v>
      </c>
      <c r="L13829" t="s">
        <v>23</v>
      </c>
      <c r="M13829" t="s">
        <v>29894</v>
      </c>
      <c r="N13829" t="s">
        <v>682</v>
      </c>
      <c r="O13829" t="s">
        <v>365</v>
      </c>
      <c r="P13829" t="s">
        <v>29895</v>
      </c>
      <c r="Q13829">
        <v>4372</v>
      </c>
      <c r="R13829" t="s">
        <v>23</v>
      </c>
      <c r="S13829" s="1" t="s">
        <v>34218</v>
      </c>
    </row>
    <row r="13830" spans="1:19" x14ac:dyDescent="0.25">
      <c r="A13830">
        <v>101088440</v>
      </c>
      <c r="B13830" t="s">
        <v>29896</v>
      </c>
      <c r="C13830" t="s">
        <v>3774</v>
      </c>
      <c r="G13830" t="s">
        <v>29897</v>
      </c>
      <c r="H13830" t="s">
        <v>653</v>
      </c>
      <c r="I13830" t="s">
        <v>117</v>
      </c>
      <c r="J13830" t="s">
        <v>29898</v>
      </c>
      <c r="K13830">
        <v>4638</v>
      </c>
      <c r="L13830" t="s">
        <v>23</v>
      </c>
      <c r="M13830" t="s">
        <v>29897</v>
      </c>
      <c r="N13830" t="s">
        <v>653</v>
      </c>
      <c r="O13830" t="s">
        <v>117</v>
      </c>
      <c r="P13830" t="s">
        <v>29898</v>
      </c>
      <c r="Q13830">
        <v>4638</v>
      </c>
      <c r="R13830" t="s">
        <v>23</v>
      </c>
      <c r="S13830" s="1" t="s">
        <v>34218</v>
      </c>
    </row>
    <row r="13831" spans="1:19" x14ac:dyDescent="0.25">
      <c r="A13831">
        <v>101296317</v>
      </c>
      <c r="B13831" t="s">
        <v>29899</v>
      </c>
      <c r="C13831" t="s">
        <v>1212</v>
      </c>
      <c r="F13831" t="str">
        <f>"7203175122"</f>
        <v>7203175122</v>
      </c>
      <c r="G13831" t="s">
        <v>29900</v>
      </c>
      <c r="H13831" t="s">
        <v>4326</v>
      </c>
      <c r="I13831" t="s">
        <v>71</v>
      </c>
      <c r="J13831" t="s">
        <v>29901</v>
      </c>
      <c r="K13831">
        <v>4286</v>
      </c>
      <c r="L13831" t="s">
        <v>23</v>
      </c>
      <c r="M13831" t="s">
        <v>29900</v>
      </c>
      <c r="N13831" t="s">
        <v>4326</v>
      </c>
      <c r="O13831" t="s">
        <v>71</v>
      </c>
      <c r="P13831" t="s">
        <v>29901</v>
      </c>
      <c r="Q13831">
        <v>4286</v>
      </c>
      <c r="R13831" t="s">
        <v>23</v>
      </c>
      <c r="S13831" s="1" t="s">
        <v>34218</v>
      </c>
    </row>
    <row r="13832" spans="1:19" x14ac:dyDescent="0.25">
      <c r="A13832">
        <v>101249748</v>
      </c>
      <c r="B13832" t="s">
        <v>29902</v>
      </c>
      <c r="C13832" t="s">
        <v>6214</v>
      </c>
      <c r="G13832" t="s">
        <v>29903</v>
      </c>
      <c r="H13832" t="s">
        <v>4114</v>
      </c>
      <c r="I13832" t="s">
        <v>117</v>
      </c>
      <c r="J13832">
        <v>12345</v>
      </c>
      <c r="K13832">
        <v>1</v>
      </c>
      <c r="L13832" t="s">
        <v>23</v>
      </c>
      <c r="M13832" t="s">
        <v>29903</v>
      </c>
      <c r="N13832" t="s">
        <v>4114</v>
      </c>
      <c r="O13832" t="s">
        <v>117</v>
      </c>
      <c r="P13832">
        <v>12345</v>
      </c>
      <c r="Q13832">
        <v>1</v>
      </c>
      <c r="R13832" t="s">
        <v>23</v>
      </c>
      <c r="S13832" s="1" t="s">
        <v>34218</v>
      </c>
    </row>
    <row r="13833" spans="1:19" x14ac:dyDescent="0.25">
      <c r="A13833">
        <v>101024801</v>
      </c>
      <c r="B13833" t="s">
        <v>793</v>
      </c>
      <c r="C13833" t="s">
        <v>102</v>
      </c>
      <c r="G13833" t="s">
        <v>29904</v>
      </c>
      <c r="H13833" t="s">
        <v>2130</v>
      </c>
      <c r="I13833" t="s">
        <v>28</v>
      </c>
      <c r="J13833">
        <v>30084</v>
      </c>
      <c r="K13833">
        <v>6440</v>
      </c>
      <c r="L13833" t="s">
        <v>23</v>
      </c>
      <c r="M13833" t="s">
        <v>29904</v>
      </c>
      <c r="N13833" t="s">
        <v>2130</v>
      </c>
      <c r="O13833" t="s">
        <v>28</v>
      </c>
      <c r="P13833">
        <v>30084</v>
      </c>
      <c r="Q13833">
        <v>6440</v>
      </c>
      <c r="R13833" t="s">
        <v>23</v>
      </c>
      <c r="S13833" s="1" t="s">
        <v>34218</v>
      </c>
    </row>
    <row r="13834" spans="1:19" x14ac:dyDescent="0.25">
      <c r="A13834">
        <v>100993553</v>
      </c>
      <c r="B13834" t="s">
        <v>6852</v>
      </c>
      <c r="C13834" t="s">
        <v>10633</v>
      </c>
      <c r="G13834" t="s">
        <v>29905</v>
      </c>
      <c r="H13834" t="s">
        <v>29906</v>
      </c>
      <c r="I13834" t="s">
        <v>161</v>
      </c>
      <c r="J13834">
        <v>75003</v>
      </c>
      <c r="L13834" t="s">
        <v>23</v>
      </c>
      <c r="M13834" t="s">
        <v>29905</v>
      </c>
      <c r="N13834" t="s">
        <v>29906</v>
      </c>
      <c r="O13834" t="s">
        <v>161</v>
      </c>
      <c r="P13834">
        <v>75003</v>
      </c>
      <c r="R13834" t="s">
        <v>23</v>
      </c>
      <c r="S13834" s="1" t="s">
        <v>34218</v>
      </c>
    </row>
    <row r="13835" spans="1:19" x14ac:dyDescent="0.25">
      <c r="A13835">
        <v>101476868</v>
      </c>
      <c r="B13835" t="s">
        <v>29907</v>
      </c>
      <c r="C13835" t="s">
        <v>810</v>
      </c>
      <c r="G13835" t="s">
        <v>29908</v>
      </c>
      <c r="H13835" t="s">
        <v>2356</v>
      </c>
      <c r="I13835" t="s">
        <v>126</v>
      </c>
      <c r="J13835">
        <v>65714</v>
      </c>
      <c r="K13835">
        <v>9410</v>
      </c>
      <c r="L13835" t="s">
        <v>23</v>
      </c>
      <c r="M13835" t="s">
        <v>29908</v>
      </c>
      <c r="N13835" t="s">
        <v>2356</v>
      </c>
      <c r="O13835" t="s">
        <v>126</v>
      </c>
      <c r="P13835">
        <v>65714</v>
      </c>
      <c r="Q13835">
        <v>9410</v>
      </c>
      <c r="R13835" t="s">
        <v>23</v>
      </c>
      <c r="S13835" s="1" t="s">
        <v>34218</v>
      </c>
    </row>
    <row r="13836" spans="1:19" x14ac:dyDescent="0.25">
      <c r="A13836">
        <v>101480783</v>
      </c>
      <c r="B13836" t="s">
        <v>9612</v>
      </c>
      <c r="C13836" t="s">
        <v>29909</v>
      </c>
      <c r="G13836" t="s">
        <v>29910</v>
      </c>
      <c r="H13836" t="s">
        <v>496</v>
      </c>
      <c r="I13836" t="s">
        <v>22</v>
      </c>
      <c r="J13836">
        <v>94954</v>
      </c>
      <c r="K13836">
        <v>1551</v>
      </c>
      <c r="L13836" t="s">
        <v>23</v>
      </c>
      <c r="M13836" t="s">
        <v>29910</v>
      </c>
      <c r="N13836" t="s">
        <v>496</v>
      </c>
      <c r="O13836" t="s">
        <v>22</v>
      </c>
      <c r="P13836">
        <v>94954</v>
      </c>
      <c r="Q13836">
        <v>1551</v>
      </c>
      <c r="R13836" t="s">
        <v>23</v>
      </c>
      <c r="S13836" s="1" t="s">
        <v>34218</v>
      </c>
    </row>
    <row r="13837" spans="1:19" x14ac:dyDescent="0.25">
      <c r="A13837">
        <v>101446126</v>
      </c>
      <c r="B13837" t="s">
        <v>11599</v>
      </c>
      <c r="C13837" t="s">
        <v>1331</v>
      </c>
      <c r="G13837" t="s">
        <v>29911</v>
      </c>
      <c r="H13837" t="s">
        <v>393</v>
      </c>
      <c r="I13837" t="s">
        <v>71</v>
      </c>
      <c r="J13837">
        <v>80205</v>
      </c>
      <c r="K13837">
        <v>4463</v>
      </c>
      <c r="L13837" t="s">
        <v>23</v>
      </c>
      <c r="M13837" t="s">
        <v>29911</v>
      </c>
      <c r="N13837" t="s">
        <v>393</v>
      </c>
      <c r="O13837" t="s">
        <v>71</v>
      </c>
      <c r="P13837">
        <v>80205</v>
      </c>
      <c r="Q13837">
        <v>4463</v>
      </c>
      <c r="R13837" t="s">
        <v>23</v>
      </c>
      <c r="S13837" s="1" t="s">
        <v>34218</v>
      </c>
    </row>
    <row r="13838" spans="1:19" x14ac:dyDescent="0.25">
      <c r="A13838">
        <v>101431639</v>
      </c>
      <c r="B13838" t="s">
        <v>29912</v>
      </c>
      <c r="C13838" t="s">
        <v>29913</v>
      </c>
      <c r="G13838" t="s">
        <v>29914</v>
      </c>
      <c r="H13838" t="s">
        <v>1052</v>
      </c>
      <c r="I13838" t="s">
        <v>117</v>
      </c>
      <c r="J13838">
        <v>12210</v>
      </c>
      <c r="K13838">
        <v>2431</v>
      </c>
      <c r="L13838" t="s">
        <v>23</v>
      </c>
      <c r="M13838" t="s">
        <v>29914</v>
      </c>
      <c r="N13838" t="s">
        <v>1052</v>
      </c>
      <c r="O13838" t="s">
        <v>117</v>
      </c>
      <c r="P13838">
        <v>12210</v>
      </c>
      <c r="Q13838">
        <v>2431</v>
      </c>
      <c r="R13838" t="s">
        <v>23</v>
      </c>
      <c r="S13838" s="1" t="s">
        <v>34218</v>
      </c>
    </row>
    <row r="13839" spans="1:19" x14ac:dyDescent="0.25">
      <c r="A13839">
        <v>101468234</v>
      </c>
      <c r="B13839" t="s">
        <v>10692</v>
      </c>
      <c r="C13839" t="s">
        <v>1327</v>
      </c>
      <c r="G13839" t="s">
        <v>10693</v>
      </c>
      <c r="H13839" t="s">
        <v>4044</v>
      </c>
      <c r="I13839" t="s">
        <v>1097</v>
      </c>
      <c r="J13839">
        <v>42445</v>
      </c>
      <c r="K13839">
        <v>2115</v>
      </c>
      <c r="L13839" t="s">
        <v>23</v>
      </c>
      <c r="M13839" t="s">
        <v>10693</v>
      </c>
      <c r="N13839" t="s">
        <v>4044</v>
      </c>
      <c r="O13839" t="s">
        <v>1097</v>
      </c>
      <c r="P13839">
        <v>42445</v>
      </c>
      <c r="Q13839">
        <v>2115</v>
      </c>
      <c r="R13839" t="s">
        <v>23</v>
      </c>
      <c r="S13839" s="1" t="s">
        <v>34218</v>
      </c>
    </row>
    <row r="13840" spans="1:19" x14ac:dyDescent="0.25">
      <c r="A13840">
        <v>100819611</v>
      </c>
      <c r="B13840" t="s">
        <v>1069</v>
      </c>
      <c r="C13840" t="s">
        <v>29915</v>
      </c>
      <c r="G13840" t="s">
        <v>29916</v>
      </c>
      <c r="H13840" t="s">
        <v>1835</v>
      </c>
      <c r="I13840" t="s">
        <v>250</v>
      </c>
      <c r="J13840">
        <v>7470</v>
      </c>
      <c r="K13840">
        <v>6312</v>
      </c>
      <c r="L13840" t="s">
        <v>23</v>
      </c>
      <c r="M13840" t="s">
        <v>29916</v>
      </c>
      <c r="N13840" t="s">
        <v>1835</v>
      </c>
      <c r="O13840" t="s">
        <v>250</v>
      </c>
      <c r="P13840">
        <v>7470</v>
      </c>
      <c r="Q13840">
        <v>6312</v>
      </c>
      <c r="R13840" t="s">
        <v>23</v>
      </c>
      <c r="S13840" s="1" t="s">
        <v>34218</v>
      </c>
    </row>
    <row r="13841" spans="1:19" x14ac:dyDescent="0.25">
      <c r="A13841">
        <v>101480800</v>
      </c>
      <c r="B13841" t="s">
        <v>29917</v>
      </c>
      <c r="C13841" t="s">
        <v>29918</v>
      </c>
      <c r="G13841" t="s">
        <v>29919</v>
      </c>
      <c r="H13841" t="s">
        <v>3680</v>
      </c>
      <c r="I13841" t="s">
        <v>565</v>
      </c>
      <c r="J13841">
        <v>52556</v>
      </c>
      <c r="K13841">
        <v>9085</v>
      </c>
      <c r="L13841" t="s">
        <v>23</v>
      </c>
      <c r="M13841" t="s">
        <v>29919</v>
      </c>
      <c r="N13841" t="s">
        <v>3680</v>
      </c>
      <c r="O13841" t="s">
        <v>565</v>
      </c>
      <c r="P13841">
        <v>52556</v>
      </c>
      <c r="Q13841">
        <v>9085</v>
      </c>
      <c r="R13841" t="s">
        <v>23</v>
      </c>
      <c r="S13841" s="1" t="s">
        <v>34218</v>
      </c>
    </row>
    <row r="13842" spans="1:19" x14ac:dyDescent="0.25">
      <c r="A13842">
        <v>101475663</v>
      </c>
      <c r="B13842" t="s">
        <v>29920</v>
      </c>
      <c r="C13842" t="s">
        <v>1506</v>
      </c>
      <c r="G13842" t="s">
        <v>29921</v>
      </c>
      <c r="H13842" t="s">
        <v>233</v>
      </c>
      <c r="I13842" t="s">
        <v>57</v>
      </c>
      <c r="J13842">
        <v>46403</v>
      </c>
      <c r="K13842">
        <v>2160</v>
      </c>
      <c r="L13842" t="s">
        <v>23</v>
      </c>
      <c r="M13842" t="s">
        <v>29921</v>
      </c>
      <c r="N13842" t="s">
        <v>233</v>
      </c>
      <c r="O13842" t="s">
        <v>57</v>
      </c>
      <c r="P13842">
        <v>46403</v>
      </c>
      <c r="Q13842">
        <v>2160</v>
      </c>
      <c r="R13842" t="s">
        <v>23</v>
      </c>
      <c r="S13842" s="1" t="s">
        <v>34218</v>
      </c>
    </row>
    <row r="13843" spans="1:19" x14ac:dyDescent="0.25">
      <c r="A13843">
        <v>101346463</v>
      </c>
      <c r="B13843" t="s">
        <v>1581</v>
      </c>
      <c r="C13843" t="s">
        <v>2298</v>
      </c>
      <c r="G13843" t="s">
        <v>29922</v>
      </c>
      <c r="H13843" t="s">
        <v>29923</v>
      </c>
      <c r="I13843" t="s">
        <v>153</v>
      </c>
      <c r="J13843">
        <v>70056</v>
      </c>
      <c r="K13843">
        <v>2827</v>
      </c>
      <c r="L13843" t="s">
        <v>23</v>
      </c>
      <c r="M13843" t="s">
        <v>29922</v>
      </c>
      <c r="N13843" t="s">
        <v>29923</v>
      </c>
      <c r="O13843" t="s">
        <v>153</v>
      </c>
      <c r="P13843">
        <v>70056</v>
      </c>
      <c r="Q13843">
        <v>2827</v>
      </c>
      <c r="R13843" t="s">
        <v>23</v>
      </c>
      <c r="S13843" s="1" t="s">
        <v>34218</v>
      </c>
    </row>
    <row r="13844" spans="1:19" x14ac:dyDescent="0.25">
      <c r="A13844">
        <v>101359551</v>
      </c>
      <c r="B13844" t="s">
        <v>29924</v>
      </c>
      <c r="C13844" t="s">
        <v>29925</v>
      </c>
      <c r="G13844" t="s">
        <v>29926</v>
      </c>
      <c r="H13844" t="s">
        <v>682</v>
      </c>
      <c r="I13844" t="s">
        <v>365</v>
      </c>
      <c r="J13844">
        <v>85016</v>
      </c>
      <c r="K13844">
        <v>7805</v>
      </c>
      <c r="L13844" t="s">
        <v>23</v>
      </c>
      <c r="M13844" t="s">
        <v>29926</v>
      </c>
      <c r="N13844" t="s">
        <v>682</v>
      </c>
      <c r="O13844" t="s">
        <v>365</v>
      </c>
      <c r="P13844">
        <v>85016</v>
      </c>
      <c r="Q13844">
        <v>7805</v>
      </c>
      <c r="R13844" t="s">
        <v>23</v>
      </c>
      <c r="S13844" s="1" t="s">
        <v>34218</v>
      </c>
    </row>
    <row r="13845" spans="1:19" x14ac:dyDescent="0.25">
      <c r="A13845">
        <v>101242788</v>
      </c>
      <c r="B13845" t="s">
        <v>29927</v>
      </c>
      <c r="C13845" t="s">
        <v>7844</v>
      </c>
      <c r="G13845" t="s">
        <v>29928</v>
      </c>
      <c r="H13845" t="s">
        <v>412</v>
      </c>
      <c r="I13845" t="s">
        <v>117</v>
      </c>
      <c r="J13845">
        <v>11226</v>
      </c>
      <c r="K13845">
        <v>4823</v>
      </c>
      <c r="L13845" t="s">
        <v>23</v>
      </c>
      <c r="M13845" t="s">
        <v>29928</v>
      </c>
      <c r="N13845" t="s">
        <v>412</v>
      </c>
      <c r="O13845" t="s">
        <v>117</v>
      </c>
      <c r="P13845">
        <v>11226</v>
      </c>
      <c r="Q13845">
        <v>4823</v>
      </c>
      <c r="R13845" t="s">
        <v>23</v>
      </c>
      <c r="S13845" s="1" t="s">
        <v>34218</v>
      </c>
    </row>
    <row r="13846" spans="1:19" x14ac:dyDescent="0.25">
      <c r="A13846">
        <v>100685262</v>
      </c>
      <c r="B13846" t="s">
        <v>29929</v>
      </c>
      <c r="C13846" t="s">
        <v>49</v>
      </c>
      <c r="G13846" t="s">
        <v>29930</v>
      </c>
      <c r="H13846" t="s">
        <v>1439</v>
      </c>
      <c r="I13846" t="s">
        <v>365</v>
      </c>
      <c r="J13846">
        <v>85705</v>
      </c>
      <c r="K13846">
        <v>2568</v>
      </c>
      <c r="L13846" t="s">
        <v>23</v>
      </c>
      <c r="M13846" t="s">
        <v>29930</v>
      </c>
      <c r="N13846" t="s">
        <v>1439</v>
      </c>
      <c r="O13846" t="s">
        <v>365</v>
      </c>
      <c r="P13846">
        <v>85705</v>
      </c>
      <c r="Q13846">
        <v>2568</v>
      </c>
      <c r="R13846" t="s">
        <v>23</v>
      </c>
      <c r="S13846" s="1" t="s">
        <v>34218</v>
      </c>
    </row>
    <row r="13847" spans="1:19" x14ac:dyDescent="0.25">
      <c r="A13847">
        <v>101379980</v>
      </c>
      <c r="B13847" t="s">
        <v>15836</v>
      </c>
      <c r="C13847" t="s">
        <v>1955</v>
      </c>
      <c r="G13847" t="s">
        <v>29931</v>
      </c>
      <c r="H13847" t="s">
        <v>12997</v>
      </c>
      <c r="I13847" t="s">
        <v>140</v>
      </c>
      <c r="J13847">
        <v>48038</v>
      </c>
      <c r="L13847" t="s">
        <v>23</v>
      </c>
      <c r="M13847" t="s">
        <v>29931</v>
      </c>
      <c r="N13847" t="s">
        <v>12997</v>
      </c>
      <c r="O13847" t="s">
        <v>140</v>
      </c>
      <c r="P13847">
        <v>48038</v>
      </c>
      <c r="R13847" t="s">
        <v>23</v>
      </c>
      <c r="S13847" s="1" t="s">
        <v>34218</v>
      </c>
    </row>
    <row r="13848" spans="1:19" x14ac:dyDescent="0.25">
      <c r="A13848">
        <v>101263930</v>
      </c>
      <c r="B13848" t="s">
        <v>29932</v>
      </c>
      <c r="C13848" t="s">
        <v>7154</v>
      </c>
      <c r="G13848" t="s">
        <v>29933</v>
      </c>
      <c r="H13848" t="s">
        <v>29934</v>
      </c>
      <c r="I13848" t="s">
        <v>57</v>
      </c>
      <c r="J13848">
        <v>46051</v>
      </c>
      <c r="L13848" t="s">
        <v>23</v>
      </c>
      <c r="M13848" t="s">
        <v>29933</v>
      </c>
      <c r="N13848" t="s">
        <v>29934</v>
      </c>
      <c r="O13848" t="s">
        <v>57</v>
      </c>
      <c r="P13848">
        <v>46051</v>
      </c>
      <c r="R13848" t="s">
        <v>23</v>
      </c>
      <c r="S13848" s="1" t="s">
        <v>34218</v>
      </c>
    </row>
    <row r="13849" spans="1:19" x14ac:dyDescent="0.25">
      <c r="A13849">
        <v>101480818</v>
      </c>
      <c r="B13849" t="s">
        <v>29935</v>
      </c>
      <c r="C13849" t="s">
        <v>535</v>
      </c>
      <c r="G13849" t="s">
        <v>29936</v>
      </c>
      <c r="H13849" t="s">
        <v>423</v>
      </c>
      <c r="I13849" t="s">
        <v>71</v>
      </c>
      <c r="J13849">
        <v>80304</v>
      </c>
      <c r="K13849">
        <v>1412</v>
      </c>
      <c r="L13849" t="s">
        <v>23</v>
      </c>
      <c r="M13849" t="s">
        <v>29936</v>
      </c>
      <c r="N13849" t="s">
        <v>423</v>
      </c>
      <c r="O13849" t="s">
        <v>71</v>
      </c>
      <c r="P13849">
        <v>80304</v>
      </c>
      <c r="Q13849">
        <v>1412</v>
      </c>
      <c r="R13849" t="s">
        <v>23</v>
      </c>
      <c r="S13849" s="1" t="s">
        <v>34218</v>
      </c>
    </row>
    <row r="13850" spans="1:19" x14ac:dyDescent="0.25">
      <c r="A13850">
        <v>101313300</v>
      </c>
      <c r="B13850" t="s">
        <v>29937</v>
      </c>
      <c r="C13850" t="s">
        <v>1588</v>
      </c>
      <c r="G13850" t="s">
        <v>29938</v>
      </c>
      <c r="H13850" t="s">
        <v>2175</v>
      </c>
      <c r="I13850" t="s">
        <v>71</v>
      </c>
      <c r="J13850">
        <v>80110</v>
      </c>
      <c r="K13850">
        <v>5519</v>
      </c>
      <c r="L13850" t="s">
        <v>23</v>
      </c>
      <c r="M13850" t="s">
        <v>29938</v>
      </c>
      <c r="N13850" t="s">
        <v>2175</v>
      </c>
      <c r="O13850" t="s">
        <v>71</v>
      </c>
      <c r="P13850">
        <v>80110</v>
      </c>
      <c r="Q13850">
        <v>5519</v>
      </c>
      <c r="R13850" t="s">
        <v>23</v>
      </c>
      <c r="S13850" s="1" t="s">
        <v>34218</v>
      </c>
    </row>
    <row r="13851" spans="1:19" x14ac:dyDescent="0.25">
      <c r="A13851">
        <v>101480824</v>
      </c>
      <c r="B13851" t="s">
        <v>29939</v>
      </c>
      <c r="C13851" t="s">
        <v>29940</v>
      </c>
      <c r="G13851" t="s">
        <v>29941</v>
      </c>
      <c r="H13851" t="s">
        <v>29942</v>
      </c>
      <c r="I13851" t="s">
        <v>62</v>
      </c>
      <c r="J13851">
        <v>74039</v>
      </c>
      <c r="K13851">
        <v>4480</v>
      </c>
      <c r="L13851" t="s">
        <v>23</v>
      </c>
      <c r="M13851" t="s">
        <v>29941</v>
      </c>
      <c r="N13851" t="s">
        <v>29942</v>
      </c>
      <c r="O13851" t="s">
        <v>62</v>
      </c>
      <c r="P13851">
        <v>74039</v>
      </c>
      <c r="Q13851">
        <v>4480</v>
      </c>
      <c r="R13851" t="s">
        <v>23</v>
      </c>
      <c r="S13851" s="1" t="s">
        <v>34218</v>
      </c>
    </row>
    <row r="13852" spans="1:19" x14ac:dyDescent="0.25">
      <c r="A13852">
        <v>100515787</v>
      </c>
      <c r="B13852" t="s">
        <v>19031</v>
      </c>
      <c r="C13852" t="s">
        <v>1179</v>
      </c>
      <c r="G13852" t="s">
        <v>29943</v>
      </c>
      <c r="H13852" t="s">
        <v>29944</v>
      </c>
      <c r="I13852" t="s">
        <v>702</v>
      </c>
      <c r="J13852">
        <v>89449</v>
      </c>
      <c r="K13852">
        <v>3140</v>
      </c>
      <c r="L13852" t="s">
        <v>23</v>
      </c>
      <c r="M13852" t="s">
        <v>29943</v>
      </c>
      <c r="N13852" t="s">
        <v>29944</v>
      </c>
      <c r="O13852" t="s">
        <v>702</v>
      </c>
      <c r="P13852">
        <v>89449</v>
      </c>
      <c r="Q13852">
        <v>3140</v>
      </c>
      <c r="R13852" t="s">
        <v>23</v>
      </c>
      <c r="S13852" s="1" t="s">
        <v>34218</v>
      </c>
    </row>
    <row r="13853" spans="1:19" x14ac:dyDescent="0.25">
      <c r="A13853">
        <v>101368092</v>
      </c>
      <c r="B13853" t="s">
        <v>29945</v>
      </c>
      <c r="C13853" t="s">
        <v>1161</v>
      </c>
      <c r="G13853" t="s">
        <v>29946</v>
      </c>
      <c r="H13853" t="s">
        <v>25254</v>
      </c>
      <c r="I13853" t="s">
        <v>135</v>
      </c>
      <c r="J13853">
        <v>60148</v>
      </c>
      <c r="K13853">
        <v>2314</v>
      </c>
      <c r="L13853" t="s">
        <v>23</v>
      </c>
      <c r="M13853" t="s">
        <v>29946</v>
      </c>
      <c r="N13853" t="s">
        <v>25254</v>
      </c>
      <c r="O13853" t="s">
        <v>135</v>
      </c>
      <c r="P13853">
        <v>60148</v>
      </c>
      <c r="Q13853">
        <v>2314</v>
      </c>
      <c r="R13853" t="s">
        <v>23</v>
      </c>
      <c r="S13853" s="1" t="s">
        <v>34218</v>
      </c>
    </row>
    <row r="13854" spans="1:19" x14ac:dyDescent="0.25">
      <c r="A13854">
        <v>100905960</v>
      </c>
      <c r="B13854" t="s">
        <v>29947</v>
      </c>
      <c r="C13854" t="s">
        <v>1223</v>
      </c>
      <c r="G13854" t="s">
        <v>29948</v>
      </c>
      <c r="H13854" t="s">
        <v>2103</v>
      </c>
      <c r="I13854" t="s">
        <v>135</v>
      </c>
      <c r="J13854">
        <v>60561</v>
      </c>
      <c r="K13854">
        <v>5551</v>
      </c>
      <c r="L13854" t="s">
        <v>23</v>
      </c>
      <c r="M13854" t="s">
        <v>29948</v>
      </c>
      <c r="N13854" t="s">
        <v>2103</v>
      </c>
      <c r="O13854" t="s">
        <v>135</v>
      </c>
      <c r="P13854">
        <v>60561</v>
      </c>
      <c r="Q13854">
        <v>5551</v>
      </c>
      <c r="R13854" t="s">
        <v>23</v>
      </c>
      <c r="S13854" s="1" t="s">
        <v>34218</v>
      </c>
    </row>
    <row r="13855" spans="1:19" x14ac:dyDescent="0.25">
      <c r="A13855">
        <v>101481555</v>
      </c>
      <c r="B13855" t="s">
        <v>29949</v>
      </c>
      <c r="C13855" t="s">
        <v>15366</v>
      </c>
      <c r="G13855" t="s">
        <v>29950</v>
      </c>
      <c r="H13855" t="s">
        <v>15350</v>
      </c>
      <c r="I13855" t="s">
        <v>984</v>
      </c>
      <c r="J13855">
        <v>96727</v>
      </c>
      <c r="K13855">
        <v>1832</v>
      </c>
      <c r="L13855" t="s">
        <v>23</v>
      </c>
      <c r="M13855" t="s">
        <v>29950</v>
      </c>
      <c r="N13855" t="s">
        <v>15350</v>
      </c>
      <c r="O13855" t="s">
        <v>984</v>
      </c>
      <c r="P13855">
        <v>96727</v>
      </c>
      <c r="Q13855">
        <v>1832</v>
      </c>
      <c r="R13855" t="s">
        <v>23</v>
      </c>
      <c r="S13855" s="1" t="s">
        <v>34218</v>
      </c>
    </row>
    <row r="13856" spans="1:19" x14ac:dyDescent="0.25">
      <c r="A13856">
        <v>101402066</v>
      </c>
      <c r="B13856" t="s">
        <v>29951</v>
      </c>
      <c r="C13856" t="s">
        <v>8472</v>
      </c>
      <c r="G13856" t="s">
        <v>29952</v>
      </c>
      <c r="H13856" t="s">
        <v>3129</v>
      </c>
      <c r="I13856" t="s">
        <v>84</v>
      </c>
      <c r="J13856">
        <v>99205</v>
      </c>
      <c r="K13856">
        <v>5635</v>
      </c>
      <c r="L13856" t="s">
        <v>23</v>
      </c>
      <c r="M13856" t="s">
        <v>29952</v>
      </c>
      <c r="N13856" t="s">
        <v>3129</v>
      </c>
      <c r="O13856" t="s">
        <v>84</v>
      </c>
      <c r="P13856">
        <v>99205</v>
      </c>
      <c r="Q13856">
        <v>5635</v>
      </c>
      <c r="R13856" t="s">
        <v>23</v>
      </c>
      <c r="S13856" s="1" t="s">
        <v>34218</v>
      </c>
    </row>
    <row r="13857" spans="1:19" x14ac:dyDescent="0.25">
      <c r="A13857">
        <v>101480894</v>
      </c>
      <c r="B13857" t="s">
        <v>3696</v>
      </c>
      <c r="C13857" t="s">
        <v>29953</v>
      </c>
      <c r="G13857" t="s">
        <v>29954</v>
      </c>
      <c r="H13857" t="s">
        <v>29955</v>
      </c>
      <c r="I13857" t="s">
        <v>140</v>
      </c>
      <c r="J13857">
        <v>49627</v>
      </c>
      <c r="L13857" t="s">
        <v>23</v>
      </c>
      <c r="M13857" t="s">
        <v>29954</v>
      </c>
      <c r="N13857" t="s">
        <v>29955</v>
      </c>
      <c r="O13857" t="s">
        <v>140</v>
      </c>
      <c r="P13857">
        <v>49627</v>
      </c>
      <c r="R13857" t="s">
        <v>23</v>
      </c>
      <c r="S13857" s="1" t="s">
        <v>34218</v>
      </c>
    </row>
    <row r="13858" spans="1:19" x14ac:dyDescent="0.25">
      <c r="A13858">
        <v>101431277</v>
      </c>
      <c r="B13858" t="s">
        <v>3159</v>
      </c>
      <c r="C13858" t="s">
        <v>810</v>
      </c>
      <c r="G13858" t="s">
        <v>29956</v>
      </c>
      <c r="H13858" t="s">
        <v>818</v>
      </c>
      <c r="I13858" t="s">
        <v>43</v>
      </c>
      <c r="J13858">
        <v>97006</v>
      </c>
      <c r="L13858" t="s">
        <v>23</v>
      </c>
      <c r="M13858" t="s">
        <v>29956</v>
      </c>
      <c r="N13858" t="s">
        <v>818</v>
      </c>
      <c r="O13858" t="s">
        <v>43</v>
      </c>
      <c r="P13858">
        <v>97006</v>
      </c>
      <c r="R13858" t="s">
        <v>23</v>
      </c>
      <c r="S13858" s="1" t="s">
        <v>34218</v>
      </c>
    </row>
    <row r="13859" spans="1:19" x14ac:dyDescent="0.25">
      <c r="A13859">
        <v>101456191</v>
      </c>
      <c r="B13859" t="s">
        <v>29957</v>
      </c>
      <c r="C13859" t="s">
        <v>8852</v>
      </c>
      <c r="G13859" t="s">
        <v>29958</v>
      </c>
      <c r="H13859" t="s">
        <v>2342</v>
      </c>
      <c r="I13859" t="s">
        <v>52</v>
      </c>
      <c r="J13859">
        <v>33558</v>
      </c>
      <c r="K13859">
        <v>6315</v>
      </c>
      <c r="L13859" t="s">
        <v>23</v>
      </c>
      <c r="M13859" t="s">
        <v>29958</v>
      </c>
      <c r="N13859" t="s">
        <v>2342</v>
      </c>
      <c r="O13859" t="s">
        <v>52</v>
      </c>
      <c r="P13859">
        <v>33558</v>
      </c>
      <c r="Q13859">
        <v>6315</v>
      </c>
      <c r="R13859" t="s">
        <v>23</v>
      </c>
      <c r="S13859" s="1" t="s">
        <v>34218</v>
      </c>
    </row>
    <row r="13860" spans="1:19" x14ac:dyDescent="0.25">
      <c r="A13860">
        <v>101313710</v>
      </c>
      <c r="B13860" t="s">
        <v>29959</v>
      </c>
      <c r="C13860" t="s">
        <v>1542</v>
      </c>
      <c r="G13860" t="s">
        <v>29960</v>
      </c>
      <c r="H13860" t="s">
        <v>29961</v>
      </c>
      <c r="I13860" t="s">
        <v>307</v>
      </c>
      <c r="J13860">
        <v>5045</v>
      </c>
      <c r="L13860" t="s">
        <v>23</v>
      </c>
      <c r="M13860" t="s">
        <v>29960</v>
      </c>
      <c r="N13860" t="s">
        <v>29961</v>
      </c>
      <c r="O13860" t="s">
        <v>307</v>
      </c>
      <c r="P13860">
        <v>5045</v>
      </c>
      <c r="R13860" t="s">
        <v>23</v>
      </c>
      <c r="S13860" s="1" t="s">
        <v>34218</v>
      </c>
    </row>
    <row r="13861" spans="1:19" x14ac:dyDescent="0.25">
      <c r="A13861">
        <v>101456217</v>
      </c>
      <c r="B13861" t="s">
        <v>8518</v>
      </c>
      <c r="C13861" t="s">
        <v>26385</v>
      </c>
      <c r="G13861" t="s">
        <v>29962</v>
      </c>
      <c r="H13861" t="s">
        <v>694</v>
      </c>
      <c r="I13861" t="s">
        <v>135</v>
      </c>
      <c r="J13861">
        <v>60565</v>
      </c>
      <c r="K13861">
        <v>2963</v>
      </c>
      <c r="L13861" t="s">
        <v>23</v>
      </c>
      <c r="M13861" t="s">
        <v>29962</v>
      </c>
      <c r="N13861" t="s">
        <v>694</v>
      </c>
      <c r="O13861" t="s">
        <v>135</v>
      </c>
      <c r="P13861">
        <v>60565</v>
      </c>
      <c r="Q13861">
        <v>2963</v>
      </c>
      <c r="R13861" t="s">
        <v>23</v>
      </c>
      <c r="S13861" s="1" t="s">
        <v>34218</v>
      </c>
    </row>
    <row r="13862" spans="1:19" x14ac:dyDescent="0.25">
      <c r="A13862">
        <v>101149495</v>
      </c>
      <c r="B13862" t="s">
        <v>29963</v>
      </c>
      <c r="C13862" t="s">
        <v>7799</v>
      </c>
      <c r="G13862" t="s">
        <v>29964</v>
      </c>
      <c r="H13862" t="s">
        <v>4400</v>
      </c>
      <c r="I13862" t="s">
        <v>117</v>
      </c>
      <c r="J13862">
        <v>10701</v>
      </c>
      <c r="K13862">
        <v>5335</v>
      </c>
      <c r="L13862" t="s">
        <v>23</v>
      </c>
      <c r="M13862" t="s">
        <v>29964</v>
      </c>
      <c r="N13862" t="s">
        <v>4400</v>
      </c>
      <c r="O13862" t="s">
        <v>117</v>
      </c>
      <c r="P13862">
        <v>10701</v>
      </c>
      <c r="Q13862">
        <v>5335</v>
      </c>
      <c r="R13862" t="s">
        <v>23</v>
      </c>
      <c r="S13862" s="1" t="s">
        <v>34218</v>
      </c>
    </row>
    <row r="13863" spans="1:19" x14ac:dyDescent="0.25">
      <c r="A13863">
        <v>100546727</v>
      </c>
      <c r="B13863" t="s">
        <v>7138</v>
      </c>
      <c r="C13863" t="s">
        <v>252</v>
      </c>
      <c r="F13863" t="str">
        <f>"8657552799"</f>
        <v>8657552799</v>
      </c>
      <c r="G13863" t="s">
        <v>29965</v>
      </c>
      <c r="H13863" t="s">
        <v>25993</v>
      </c>
      <c r="I13863" t="s">
        <v>52</v>
      </c>
      <c r="J13863">
        <v>32114</v>
      </c>
      <c r="K13863">
        <v>1336</v>
      </c>
      <c r="L13863" t="s">
        <v>23</v>
      </c>
      <c r="M13863" t="s">
        <v>29965</v>
      </c>
      <c r="N13863" t="s">
        <v>25993</v>
      </c>
      <c r="O13863" t="s">
        <v>52</v>
      </c>
      <c r="P13863">
        <v>32114</v>
      </c>
      <c r="Q13863">
        <v>1336</v>
      </c>
      <c r="R13863" t="s">
        <v>23</v>
      </c>
      <c r="S13863" s="1" t="s">
        <v>34218</v>
      </c>
    </row>
    <row r="13864" spans="1:19" x14ac:dyDescent="0.25">
      <c r="A13864">
        <v>101480744</v>
      </c>
      <c r="B13864" t="s">
        <v>29966</v>
      </c>
      <c r="C13864" t="s">
        <v>29967</v>
      </c>
      <c r="G13864" t="s">
        <v>29968</v>
      </c>
      <c r="H13864" t="s">
        <v>29969</v>
      </c>
      <c r="I13864" t="s">
        <v>250</v>
      </c>
      <c r="J13864">
        <v>7838</v>
      </c>
      <c r="K13864">
        <v>2032</v>
      </c>
      <c r="L13864" t="s">
        <v>23</v>
      </c>
      <c r="M13864" t="s">
        <v>29968</v>
      </c>
      <c r="N13864" t="s">
        <v>29969</v>
      </c>
      <c r="O13864" t="s">
        <v>250</v>
      </c>
      <c r="P13864">
        <v>7838</v>
      </c>
      <c r="Q13864">
        <v>2032</v>
      </c>
      <c r="R13864" t="s">
        <v>23</v>
      </c>
      <c r="S13864" s="1" t="s">
        <v>34218</v>
      </c>
    </row>
    <row r="13865" spans="1:19" x14ac:dyDescent="0.25">
      <c r="A13865">
        <v>101477237</v>
      </c>
      <c r="B13865" t="s">
        <v>29970</v>
      </c>
      <c r="C13865" t="s">
        <v>29971</v>
      </c>
      <c r="G13865" t="s">
        <v>29972</v>
      </c>
      <c r="H13865" t="s">
        <v>29973</v>
      </c>
      <c r="I13865" t="s">
        <v>43</v>
      </c>
      <c r="J13865">
        <v>56743</v>
      </c>
      <c r="L13865" t="s">
        <v>23</v>
      </c>
      <c r="M13865" t="s">
        <v>29972</v>
      </c>
      <c r="N13865" t="s">
        <v>29973</v>
      </c>
      <c r="O13865" t="s">
        <v>43</v>
      </c>
      <c r="P13865">
        <v>56743</v>
      </c>
      <c r="R13865" t="s">
        <v>23</v>
      </c>
      <c r="S13865" s="1" t="s">
        <v>34218</v>
      </c>
    </row>
    <row r="13866" spans="1:19" x14ac:dyDescent="0.25">
      <c r="A13866">
        <v>101473190</v>
      </c>
      <c r="B13866" t="s">
        <v>13471</v>
      </c>
      <c r="C13866" t="s">
        <v>4427</v>
      </c>
      <c r="G13866" t="s">
        <v>29974</v>
      </c>
      <c r="H13866" t="s">
        <v>12348</v>
      </c>
      <c r="I13866" t="s">
        <v>365</v>
      </c>
      <c r="J13866">
        <v>85142</v>
      </c>
      <c r="K13866">
        <v>1388</v>
      </c>
      <c r="L13866" t="s">
        <v>23</v>
      </c>
      <c r="M13866" t="s">
        <v>29974</v>
      </c>
      <c r="N13866" t="s">
        <v>12348</v>
      </c>
      <c r="O13866" t="s">
        <v>365</v>
      </c>
      <c r="P13866">
        <v>85142</v>
      </c>
      <c r="Q13866">
        <v>1388</v>
      </c>
      <c r="R13866" t="s">
        <v>23</v>
      </c>
      <c r="S13866" s="1" t="s">
        <v>34218</v>
      </c>
    </row>
    <row r="13867" spans="1:19" x14ac:dyDescent="0.25">
      <c r="A13867">
        <v>101422109</v>
      </c>
      <c r="B13867" t="s">
        <v>22805</v>
      </c>
      <c r="C13867" t="s">
        <v>2127</v>
      </c>
      <c r="G13867" t="s">
        <v>29975</v>
      </c>
      <c r="H13867" t="s">
        <v>4929</v>
      </c>
      <c r="I13867" t="s">
        <v>135</v>
      </c>
      <c r="J13867">
        <v>61415</v>
      </c>
      <c r="K13867">
        <v>9059</v>
      </c>
      <c r="L13867" t="s">
        <v>23</v>
      </c>
      <c r="M13867" t="s">
        <v>29975</v>
      </c>
      <c r="N13867" t="s">
        <v>4929</v>
      </c>
      <c r="O13867" t="s">
        <v>135</v>
      </c>
      <c r="P13867">
        <v>61415</v>
      </c>
      <c r="Q13867">
        <v>9059</v>
      </c>
      <c r="R13867" t="s">
        <v>23</v>
      </c>
      <c r="S13867" s="1" t="s">
        <v>34218</v>
      </c>
    </row>
    <row r="13868" spans="1:19" x14ac:dyDescent="0.25">
      <c r="A13868">
        <v>101253352</v>
      </c>
      <c r="B13868" t="s">
        <v>744</v>
      </c>
      <c r="C13868" t="s">
        <v>1050</v>
      </c>
      <c r="G13868" t="s">
        <v>29976</v>
      </c>
      <c r="H13868" t="s">
        <v>2274</v>
      </c>
      <c r="I13868" t="s">
        <v>191</v>
      </c>
      <c r="J13868">
        <v>4735</v>
      </c>
      <c r="K13868">
        <v>3018</v>
      </c>
      <c r="L13868" t="s">
        <v>23</v>
      </c>
      <c r="M13868" t="s">
        <v>29976</v>
      </c>
      <c r="N13868" t="s">
        <v>2274</v>
      </c>
      <c r="O13868" t="s">
        <v>191</v>
      </c>
      <c r="P13868">
        <v>4735</v>
      </c>
      <c r="Q13868">
        <v>3018</v>
      </c>
      <c r="R13868" t="s">
        <v>23</v>
      </c>
      <c r="S13868" s="1" t="s">
        <v>34218</v>
      </c>
    </row>
    <row r="13869" spans="1:19" x14ac:dyDescent="0.25">
      <c r="A13869">
        <v>101324911</v>
      </c>
      <c r="B13869" t="s">
        <v>29977</v>
      </c>
      <c r="C13869" t="s">
        <v>2010</v>
      </c>
      <c r="G13869" t="s">
        <v>29978</v>
      </c>
      <c r="H13869" t="s">
        <v>3348</v>
      </c>
      <c r="I13869" t="s">
        <v>71</v>
      </c>
      <c r="J13869">
        <v>81147</v>
      </c>
      <c r="K13869">
        <v>580</v>
      </c>
      <c r="L13869" t="s">
        <v>23</v>
      </c>
      <c r="M13869" t="s">
        <v>29978</v>
      </c>
      <c r="N13869" t="s">
        <v>3348</v>
      </c>
      <c r="O13869" t="s">
        <v>71</v>
      </c>
      <c r="P13869">
        <v>81147</v>
      </c>
      <c r="Q13869">
        <v>580</v>
      </c>
      <c r="R13869" t="s">
        <v>23</v>
      </c>
      <c r="S13869" s="1" t="s">
        <v>34218</v>
      </c>
    </row>
    <row r="13870" spans="1:19" x14ac:dyDescent="0.25">
      <c r="A13870">
        <v>101436355</v>
      </c>
      <c r="B13870" t="s">
        <v>806</v>
      </c>
      <c r="C13870" t="s">
        <v>29979</v>
      </c>
      <c r="G13870" t="s">
        <v>29980</v>
      </c>
      <c r="H13870" t="s">
        <v>18698</v>
      </c>
      <c r="I13870" t="s">
        <v>43</v>
      </c>
      <c r="J13870">
        <v>97367</v>
      </c>
      <c r="K13870">
        <v>2783</v>
      </c>
      <c r="L13870" t="s">
        <v>23</v>
      </c>
      <c r="M13870" t="s">
        <v>29980</v>
      </c>
      <c r="N13870" t="s">
        <v>18698</v>
      </c>
      <c r="O13870" t="s">
        <v>43</v>
      </c>
      <c r="P13870">
        <v>97367</v>
      </c>
      <c r="Q13870">
        <v>2783</v>
      </c>
      <c r="R13870" t="s">
        <v>23</v>
      </c>
      <c r="S13870" s="1" t="s">
        <v>34218</v>
      </c>
    </row>
    <row r="13871" spans="1:19" x14ac:dyDescent="0.25">
      <c r="A13871">
        <v>100691024</v>
      </c>
      <c r="B13871" t="s">
        <v>29981</v>
      </c>
      <c r="C13871" t="s">
        <v>2127</v>
      </c>
      <c r="G13871" t="s">
        <v>29982</v>
      </c>
      <c r="H13871" t="s">
        <v>37</v>
      </c>
      <c r="I13871" t="s">
        <v>38</v>
      </c>
      <c r="J13871">
        <v>78746</v>
      </c>
      <c r="K13871">
        <v>7811</v>
      </c>
      <c r="L13871" t="s">
        <v>23</v>
      </c>
      <c r="M13871" t="s">
        <v>29982</v>
      </c>
      <c r="N13871" t="s">
        <v>37</v>
      </c>
      <c r="O13871" t="s">
        <v>38</v>
      </c>
      <c r="P13871">
        <v>78746</v>
      </c>
      <c r="Q13871">
        <v>7811</v>
      </c>
      <c r="R13871" t="s">
        <v>23</v>
      </c>
      <c r="S13871" s="1" t="s">
        <v>34218</v>
      </c>
    </row>
    <row r="13872" spans="1:19" x14ac:dyDescent="0.25">
      <c r="A13872">
        <v>101241601</v>
      </c>
      <c r="B13872" t="s">
        <v>29983</v>
      </c>
      <c r="C13872" t="s">
        <v>7615</v>
      </c>
      <c r="G13872" t="s">
        <v>29984</v>
      </c>
      <c r="H13872" t="s">
        <v>20337</v>
      </c>
      <c r="I13872" t="s">
        <v>84</v>
      </c>
      <c r="J13872">
        <v>99006</v>
      </c>
      <c r="K13872">
        <v>9598</v>
      </c>
      <c r="L13872" t="s">
        <v>23</v>
      </c>
      <c r="M13872" t="s">
        <v>29984</v>
      </c>
      <c r="N13872" t="s">
        <v>20337</v>
      </c>
      <c r="O13872" t="s">
        <v>84</v>
      </c>
      <c r="P13872">
        <v>99006</v>
      </c>
      <c r="Q13872">
        <v>9598</v>
      </c>
      <c r="R13872" t="s">
        <v>23</v>
      </c>
      <c r="S13872" s="1" t="s">
        <v>34218</v>
      </c>
    </row>
    <row r="13873" spans="1:19" x14ac:dyDescent="0.25">
      <c r="A13873">
        <v>100538452</v>
      </c>
      <c r="B13873" t="s">
        <v>21057</v>
      </c>
      <c r="C13873" t="s">
        <v>4488</v>
      </c>
      <c r="G13873" t="s">
        <v>29985</v>
      </c>
      <c r="H13873" t="s">
        <v>4751</v>
      </c>
      <c r="I13873" t="s">
        <v>135</v>
      </c>
      <c r="J13873">
        <v>60714</v>
      </c>
      <c r="L13873" t="s">
        <v>23</v>
      </c>
      <c r="M13873" t="s">
        <v>29985</v>
      </c>
      <c r="N13873" t="s">
        <v>4751</v>
      </c>
      <c r="O13873" t="s">
        <v>135</v>
      </c>
      <c r="P13873">
        <v>60714</v>
      </c>
      <c r="R13873" t="s">
        <v>23</v>
      </c>
      <c r="S13873" s="1" t="s">
        <v>34218</v>
      </c>
    </row>
    <row r="13874" spans="1:19" x14ac:dyDescent="0.25">
      <c r="A13874">
        <v>101424438</v>
      </c>
      <c r="B13874" t="s">
        <v>9912</v>
      </c>
      <c r="C13874" t="s">
        <v>3300</v>
      </c>
      <c r="G13874" t="s">
        <v>29986</v>
      </c>
      <c r="H13874" t="s">
        <v>6715</v>
      </c>
      <c r="I13874" t="s">
        <v>38</v>
      </c>
      <c r="J13874">
        <v>78028</v>
      </c>
      <c r="K13874">
        <v>6400</v>
      </c>
      <c r="L13874" t="s">
        <v>23</v>
      </c>
      <c r="M13874" t="s">
        <v>29986</v>
      </c>
      <c r="N13874" t="s">
        <v>6715</v>
      </c>
      <c r="O13874" t="s">
        <v>38</v>
      </c>
      <c r="P13874">
        <v>78028</v>
      </c>
      <c r="Q13874">
        <v>6400</v>
      </c>
      <c r="R13874" t="s">
        <v>23</v>
      </c>
      <c r="S13874" s="1" t="s">
        <v>34218</v>
      </c>
    </row>
    <row r="13875" spans="1:19" x14ac:dyDescent="0.25">
      <c r="A13875">
        <v>101423869</v>
      </c>
      <c r="B13875" t="s">
        <v>29987</v>
      </c>
      <c r="C13875" t="s">
        <v>1906</v>
      </c>
      <c r="G13875" t="s">
        <v>29988</v>
      </c>
      <c r="H13875" t="s">
        <v>2100</v>
      </c>
      <c r="I13875" t="s">
        <v>52</v>
      </c>
      <c r="J13875">
        <v>33301</v>
      </c>
      <c r="K13875">
        <v>1508</v>
      </c>
      <c r="L13875" t="s">
        <v>23</v>
      </c>
      <c r="M13875" t="s">
        <v>29988</v>
      </c>
      <c r="N13875" t="s">
        <v>2100</v>
      </c>
      <c r="O13875" t="s">
        <v>52</v>
      </c>
      <c r="P13875">
        <v>33301</v>
      </c>
      <c r="Q13875">
        <v>1508</v>
      </c>
      <c r="R13875" t="s">
        <v>23</v>
      </c>
      <c r="S13875" s="1" t="s">
        <v>34218</v>
      </c>
    </row>
    <row r="13876" spans="1:19" x14ac:dyDescent="0.25">
      <c r="A13876">
        <v>100607141</v>
      </c>
      <c r="B13876" t="s">
        <v>6084</v>
      </c>
      <c r="C13876" t="s">
        <v>432</v>
      </c>
      <c r="G13876" t="s">
        <v>28285</v>
      </c>
      <c r="H13876" t="s">
        <v>235</v>
      </c>
      <c r="I13876" t="s">
        <v>33</v>
      </c>
      <c r="J13876">
        <v>18953</v>
      </c>
      <c r="K13876">
        <v>517</v>
      </c>
      <c r="L13876" t="s">
        <v>23</v>
      </c>
      <c r="M13876" t="s">
        <v>28285</v>
      </c>
      <c r="N13876" t="s">
        <v>235</v>
      </c>
      <c r="O13876" t="s">
        <v>33</v>
      </c>
      <c r="P13876">
        <v>18953</v>
      </c>
      <c r="Q13876">
        <v>517</v>
      </c>
      <c r="R13876" t="s">
        <v>23</v>
      </c>
      <c r="S13876" s="1" t="s">
        <v>34218</v>
      </c>
    </row>
    <row r="13877" spans="1:19" x14ac:dyDescent="0.25">
      <c r="A13877">
        <v>101434534</v>
      </c>
      <c r="B13877" t="s">
        <v>4180</v>
      </c>
      <c r="C13877" t="s">
        <v>8422</v>
      </c>
      <c r="G13877" t="s">
        <v>29989</v>
      </c>
      <c r="H13877" t="s">
        <v>389</v>
      </c>
      <c r="I13877" t="s">
        <v>100</v>
      </c>
      <c r="J13877">
        <v>53202</v>
      </c>
      <c r="K13877">
        <v>1216</v>
      </c>
      <c r="L13877" t="s">
        <v>23</v>
      </c>
      <c r="M13877" t="s">
        <v>29989</v>
      </c>
      <c r="N13877" t="s">
        <v>389</v>
      </c>
      <c r="O13877" t="s">
        <v>100</v>
      </c>
      <c r="P13877">
        <v>53202</v>
      </c>
      <c r="Q13877">
        <v>1216</v>
      </c>
      <c r="R13877" t="s">
        <v>23</v>
      </c>
      <c r="S13877" s="1" t="s">
        <v>34218</v>
      </c>
    </row>
    <row r="13878" spans="1:19" x14ac:dyDescent="0.25">
      <c r="A13878">
        <v>101456369</v>
      </c>
      <c r="B13878" t="s">
        <v>29990</v>
      </c>
      <c r="C13878" t="s">
        <v>29991</v>
      </c>
      <c r="G13878" t="s">
        <v>29992</v>
      </c>
      <c r="H13878" t="s">
        <v>88</v>
      </c>
      <c r="I13878" t="s">
        <v>22</v>
      </c>
      <c r="J13878">
        <v>94610</v>
      </c>
      <c r="K13878">
        <v>5018</v>
      </c>
      <c r="L13878" t="s">
        <v>23</v>
      </c>
      <c r="M13878" t="s">
        <v>29992</v>
      </c>
      <c r="N13878" t="s">
        <v>88</v>
      </c>
      <c r="O13878" t="s">
        <v>22</v>
      </c>
      <c r="P13878">
        <v>94610</v>
      </c>
      <c r="Q13878">
        <v>5018</v>
      </c>
      <c r="R13878" t="s">
        <v>23</v>
      </c>
      <c r="S13878" s="1" t="s">
        <v>34218</v>
      </c>
    </row>
    <row r="13879" spans="1:19" x14ac:dyDescent="0.25">
      <c r="A13879">
        <v>101149209</v>
      </c>
      <c r="B13879" t="s">
        <v>29993</v>
      </c>
      <c r="C13879" t="s">
        <v>7441</v>
      </c>
      <c r="G13879" t="s">
        <v>29994</v>
      </c>
      <c r="H13879" t="s">
        <v>11424</v>
      </c>
      <c r="I13879" t="s">
        <v>187</v>
      </c>
      <c r="J13879">
        <v>55331</v>
      </c>
      <c r="K13879">
        <v>9585</v>
      </c>
      <c r="L13879" t="s">
        <v>23</v>
      </c>
      <c r="M13879" t="s">
        <v>29994</v>
      </c>
      <c r="N13879" t="s">
        <v>11424</v>
      </c>
      <c r="O13879" t="s">
        <v>187</v>
      </c>
      <c r="P13879">
        <v>55331</v>
      </c>
      <c r="Q13879">
        <v>9585</v>
      </c>
      <c r="R13879" t="s">
        <v>23</v>
      </c>
      <c r="S13879" s="1" t="s">
        <v>34218</v>
      </c>
    </row>
    <row r="13880" spans="1:19" x14ac:dyDescent="0.25">
      <c r="A13880">
        <v>101426872</v>
      </c>
      <c r="B13880" t="s">
        <v>29826</v>
      </c>
      <c r="C13880" t="s">
        <v>16135</v>
      </c>
      <c r="G13880" t="s">
        <v>29827</v>
      </c>
      <c r="H13880" t="s">
        <v>2778</v>
      </c>
      <c r="I13880" t="s">
        <v>1482</v>
      </c>
      <c r="J13880">
        <v>29526</v>
      </c>
      <c r="K13880">
        <v>7890</v>
      </c>
      <c r="L13880" t="s">
        <v>23</v>
      </c>
      <c r="M13880" t="s">
        <v>29827</v>
      </c>
      <c r="N13880" t="s">
        <v>2778</v>
      </c>
      <c r="O13880" t="s">
        <v>1482</v>
      </c>
      <c r="P13880">
        <v>29526</v>
      </c>
      <c r="Q13880">
        <v>7890</v>
      </c>
      <c r="R13880" t="s">
        <v>23</v>
      </c>
      <c r="S13880" s="1" t="s">
        <v>34218</v>
      </c>
    </row>
    <row r="13881" spans="1:19" x14ac:dyDescent="0.25">
      <c r="A13881">
        <v>101456452</v>
      </c>
      <c r="B13881" t="s">
        <v>29995</v>
      </c>
      <c r="C13881" t="s">
        <v>29996</v>
      </c>
      <c r="G13881" t="s">
        <v>29997</v>
      </c>
      <c r="H13881" t="s">
        <v>1604</v>
      </c>
      <c r="I13881" t="s">
        <v>148</v>
      </c>
      <c r="J13881">
        <v>21046</v>
      </c>
      <c r="K13881">
        <v>2016</v>
      </c>
      <c r="L13881" t="s">
        <v>23</v>
      </c>
      <c r="M13881" t="s">
        <v>29997</v>
      </c>
      <c r="N13881" t="s">
        <v>1604</v>
      </c>
      <c r="O13881" t="s">
        <v>148</v>
      </c>
      <c r="P13881">
        <v>21046</v>
      </c>
      <c r="Q13881">
        <v>2016</v>
      </c>
      <c r="R13881" t="s">
        <v>23</v>
      </c>
      <c r="S13881" s="1" t="s">
        <v>34218</v>
      </c>
    </row>
    <row r="13882" spans="1:19" x14ac:dyDescent="0.25">
      <c r="A13882">
        <v>101423765</v>
      </c>
      <c r="B13882" t="s">
        <v>29998</v>
      </c>
      <c r="C13882" t="s">
        <v>1350</v>
      </c>
      <c r="G13882" t="s">
        <v>29999</v>
      </c>
      <c r="H13882" t="s">
        <v>3963</v>
      </c>
      <c r="I13882" t="s">
        <v>52</v>
      </c>
      <c r="J13882">
        <v>33134</v>
      </c>
      <c r="K13882">
        <v>2232</v>
      </c>
      <c r="L13882" t="s">
        <v>23</v>
      </c>
      <c r="M13882" t="s">
        <v>29999</v>
      </c>
      <c r="N13882" t="s">
        <v>3963</v>
      </c>
      <c r="O13882" t="s">
        <v>52</v>
      </c>
      <c r="P13882">
        <v>33134</v>
      </c>
      <c r="Q13882">
        <v>2232</v>
      </c>
      <c r="R13882" t="s">
        <v>23</v>
      </c>
      <c r="S13882" s="1" t="s">
        <v>34218</v>
      </c>
    </row>
    <row r="13883" spans="1:19" x14ac:dyDescent="0.25">
      <c r="A13883">
        <v>101284208</v>
      </c>
      <c r="B13883" t="s">
        <v>22335</v>
      </c>
      <c r="C13883" t="s">
        <v>846</v>
      </c>
      <c r="G13883" t="s">
        <v>30000</v>
      </c>
      <c r="H13883" t="s">
        <v>653</v>
      </c>
      <c r="I13883" t="s">
        <v>117</v>
      </c>
      <c r="J13883">
        <v>10009</v>
      </c>
      <c r="K13883">
        <v>4074</v>
      </c>
      <c r="L13883" t="s">
        <v>23</v>
      </c>
      <c r="M13883" t="s">
        <v>30000</v>
      </c>
      <c r="N13883" t="s">
        <v>653</v>
      </c>
      <c r="O13883" t="s">
        <v>117</v>
      </c>
      <c r="P13883">
        <v>10009</v>
      </c>
      <c r="Q13883">
        <v>4074</v>
      </c>
      <c r="R13883" t="s">
        <v>23</v>
      </c>
      <c r="S13883" s="1" t="s">
        <v>34218</v>
      </c>
    </row>
    <row r="13884" spans="1:19" x14ac:dyDescent="0.25">
      <c r="A13884">
        <v>101455911</v>
      </c>
      <c r="B13884" t="s">
        <v>4430</v>
      </c>
      <c r="C13884" t="s">
        <v>5180</v>
      </c>
      <c r="G13884" t="s">
        <v>30001</v>
      </c>
      <c r="H13884" t="s">
        <v>380</v>
      </c>
      <c r="I13884" t="s">
        <v>38</v>
      </c>
      <c r="J13884">
        <v>75248</v>
      </c>
      <c r="K13884">
        <v>2928</v>
      </c>
      <c r="L13884" t="s">
        <v>23</v>
      </c>
      <c r="M13884" t="s">
        <v>30001</v>
      </c>
      <c r="N13884" t="s">
        <v>380</v>
      </c>
      <c r="O13884" t="s">
        <v>38</v>
      </c>
      <c r="P13884">
        <v>75248</v>
      </c>
      <c r="Q13884">
        <v>2928</v>
      </c>
      <c r="R13884" t="s">
        <v>23</v>
      </c>
      <c r="S13884" s="1" t="s">
        <v>34218</v>
      </c>
    </row>
    <row r="13885" spans="1:19" x14ac:dyDescent="0.25">
      <c r="A13885">
        <v>100565575</v>
      </c>
      <c r="B13885" t="s">
        <v>15597</v>
      </c>
      <c r="C13885" t="s">
        <v>582</v>
      </c>
      <c r="G13885" t="s">
        <v>30002</v>
      </c>
      <c r="H13885" t="s">
        <v>913</v>
      </c>
      <c r="I13885" t="s">
        <v>57</v>
      </c>
      <c r="J13885">
        <v>47448</v>
      </c>
      <c r="K13885">
        <v>7105</v>
      </c>
      <c r="L13885" t="s">
        <v>23</v>
      </c>
      <c r="M13885" t="s">
        <v>30002</v>
      </c>
      <c r="N13885" t="s">
        <v>913</v>
      </c>
      <c r="O13885" t="s">
        <v>57</v>
      </c>
      <c r="P13885">
        <v>47448</v>
      </c>
      <c r="Q13885">
        <v>7105</v>
      </c>
      <c r="R13885" t="s">
        <v>23</v>
      </c>
      <c r="S13885" s="1" t="s">
        <v>34218</v>
      </c>
    </row>
    <row r="13886" spans="1:19" x14ac:dyDescent="0.25">
      <c r="A13886">
        <v>101418916</v>
      </c>
      <c r="B13886" t="s">
        <v>3608</v>
      </c>
      <c r="C13886" t="s">
        <v>382</v>
      </c>
      <c r="G13886" t="s">
        <v>30003</v>
      </c>
      <c r="H13886" t="s">
        <v>13073</v>
      </c>
      <c r="I13886" t="s">
        <v>236</v>
      </c>
      <c r="J13886">
        <v>2492</v>
      </c>
      <c r="K13886">
        <v>4711</v>
      </c>
      <c r="L13886" t="s">
        <v>23</v>
      </c>
      <c r="M13886" t="s">
        <v>30003</v>
      </c>
      <c r="N13886" t="s">
        <v>13073</v>
      </c>
      <c r="O13886" t="s">
        <v>236</v>
      </c>
      <c r="P13886">
        <v>2492</v>
      </c>
      <c r="Q13886">
        <v>4711</v>
      </c>
      <c r="R13886" t="s">
        <v>23</v>
      </c>
      <c r="S13886" s="1" t="s">
        <v>34218</v>
      </c>
    </row>
    <row r="13887" spans="1:19" x14ac:dyDescent="0.25">
      <c r="A13887">
        <v>101287248</v>
      </c>
      <c r="B13887" t="s">
        <v>3625</v>
      </c>
      <c r="C13887" t="s">
        <v>382</v>
      </c>
      <c r="G13887" t="s">
        <v>30004</v>
      </c>
      <c r="H13887" t="s">
        <v>12656</v>
      </c>
      <c r="I13887" t="s">
        <v>140</v>
      </c>
      <c r="J13887">
        <v>49009</v>
      </c>
      <c r="K13887">
        <v>9329</v>
      </c>
      <c r="L13887" t="s">
        <v>23</v>
      </c>
      <c r="M13887" t="s">
        <v>30004</v>
      </c>
      <c r="N13887" t="s">
        <v>12656</v>
      </c>
      <c r="O13887" t="s">
        <v>140</v>
      </c>
      <c r="P13887">
        <v>49009</v>
      </c>
      <c r="Q13887">
        <v>9329</v>
      </c>
      <c r="R13887" t="s">
        <v>23</v>
      </c>
      <c r="S13887" s="1" t="s">
        <v>34218</v>
      </c>
    </row>
    <row r="13888" spans="1:19" x14ac:dyDescent="0.25">
      <c r="A13888">
        <v>100968690</v>
      </c>
      <c r="B13888" t="s">
        <v>5478</v>
      </c>
      <c r="C13888" t="s">
        <v>1043</v>
      </c>
      <c r="G13888" t="s">
        <v>30005</v>
      </c>
      <c r="H13888" t="s">
        <v>1685</v>
      </c>
      <c r="I13888" t="s">
        <v>33</v>
      </c>
      <c r="J13888">
        <v>15544</v>
      </c>
      <c r="L13888" t="s">
        <v>23</v>
      </c>
      <c r="M13888" t="s">
        <v>30005</v>
      </c>
      <c r="N13888" t="s">
        <v>1685</v>
      </c>
      <c r="O13888" t="s">
        <v>33</v>
      </c>
      <c r="P13888">
        <v>15544</v>
      </c>
      <c r="R13888" t="s">
        <v>23</v>
      </c>
      <c r="S13888" s="1" t="s">
        <v>34218</v>
      </c>
    </row>
    <row r="13889" spans="1:19" x14ac:dyDescent="0.25">
      <c r="A13889">
        <v>101378723</v>
      </c>
      <c r="B13889" t="s">
        <v>30006</v>
      </c>
      <c r="C13889" t="s">
        <v>2603</v>
      </c>
      <c r="G13889" t="s">
        <v>30007</v>
      </c>
      <c r="H13889" t="s">
        <v>13480</v>
      </c>
      <c r="I13889" t="s">
        <v>28</v>
      </c>
      <c r="J13889">
        <v>30916</v>
      </c>
      <c r="L13889" t="s">
        <v>23</v>
      </c>
      <c r="M13889" t="s">
        <v>30007</v>
      </c>
      <c r="N13889" t="s">
        <v>13480</v>
      </c>
      <c r="O13889" t="s">
        <v>28</v>
      </c>
      <c r="P13889">
        <v>30916</v>
      </c>
      <c r="R13889" t="s">
        <v>23</v>
      </c>
      <c r="S13889" s="1" t="s">
        <v>34218</v>
      </c>
    </row>
    <row r="13890" spans="1:19" x14ac:dyDescent="0.25">
      <c r="A13890">
        <v>101305508</v>
      </c>
      <c r="B13890" t="s">
        <v>30008</v>
      </c>
      <c r="C13890" t="s">
        <v>114</v>
      </c>
      <c r="G13890" t="s">
        <v>30009</v>
      </c>
      <c r="H13890" t="s">
        <v>7838</v>
      </c>
      <c r="I13890" t="s">
        <v>7839</v>
      </c>
      <c r="J13890">
        <v>58103</v>
      </c>
      <c r="K13890">
        <v>5062</v>
      </c>
      <c r="L13890" t="s">
        <v>23</v>
      </c>
      <c r="M13890" t="s">
        <v>30009</v>
      </c>
      <c r="N13890" t="s">
        <v>7838</v>
      </c>
      <c r="O13890" t="s">
        <v>7839</v>
      </c>
      <c r="P13890">
        <v>58103</v>
      </c>
      <c r="Q13890">
        <v>5062</v>
      </c>
      <c r="R13890" t="s">
        <v>23</v>
      </c>
      <c r="S13890" s="1" t="s">
        <v>34218</v>
      </c>
    </row>
    <row r="13891" spans="1:19" x14ac:dyDescent="0.25">
      <c r="A13891">
        <v>101337461</v>
      </c>
      <c r="B13891" t="s">
        <v>800</v>
      </c>
      <c r="C13891" t="s">
        <v>7584</v>
      </c>
      <c r="G13891" t="s">
        <v>30010</v>
      </c>
      <c r="H13891" t="s">
        <v>30011</v>
      </c>
      <c r="I13891" t="s">
        <v>33</v>
      </c>
      <c r="J13891" t="s">
        <v>30012</v>
      </c>
      <c r="K13891">
        <v>9720</v>
      </c>
      <c r="L13891" t="s">
        <v>23</v>
      </c>
      <c r="M13891" t="s">
        <v>30010</v>
      </c>
      <c r="N13891" t="s">
        <v>30011</v>
      </c>
      <c r="O13891" t="s">
        <v>33</v>
      </c>
      <c r="P13891" t="s">
        <v>30012</v>
      </c>
      <c r="Q13891">
        <v>9720</v>
      </c>
      <c r="R13891" t="s">
        <v>23</v>
      </c>
      <c r="S13891" s="1" t="s">
        <v>34218</v>
      </c>
    </row>
    <row r="13892" spans="1:19" x14ac:dyDescent="0.25">
      <c r="A13892">
        <v>101441470</v>
      </c>
      <c r="B13892" t="s">
        <v>30013</v>
      </c>
      <c r="C13892" t="s">
        <v>26325</v>
      </c>
      <c r="G13892" t="s">
        <v>30014</v>
      </c>
      <c r="H13892" t="s">
        <v>27079</v>
      </c>
      <c r="I13892" t="s">
        <v>250</v>
      </c>
      <c r="J13892" t="s">
        <v>30015</v>
      </c>
      <c r="K13892">
        <v>2623</v>
      </c>
      <c r="L13892" t="s">
        <v>23</v>
      </c>
      <c r="M13892" t="s">
        <v>30014</v>
      </c>
      <c r="N13892" t="s">
        <v>27079</v>
      </c>
      <c r="O13892" t="s">
        <v>250</v>
      </c>
      <c r="P13892" t="s">
        <v>30015</v>
      </c>
      <c r="Q13892">
        <v>2623</v>
      </c>
      <c r="R13892" t="s">
        <v>23</v>
      </c>
      <c r="S13892" s="1" t="s">
        <v>34218</v>
      </c>
    </row>
    <row r="13893" spans="1:19" x14ac:dyDescent="0.25">
      <c r="A13893">
        <v>101432532</v>
      </c>
      <c r="B13893" t="s">
        <v>30016</v>
      </c>
      <c r="C13893" t="s">
        <v>838</v>
      </c>
      <c r="G13893" t="s">
        <v>30017</v>
      </c>
      <c r="H13893" t="s">
        <v>13437</v>
      </c>
      <c r="I13893" t="s">
        <v>639</v>
      </c>
      <c r="J13893" t="s">
        <v>30018</v>
      </c>
      <c r="K13893">
        <v>7950</v>
      </c>
      <c r="L13893" t="s">
        <v>23</v>
      </c>
      <c r="M13893" t="s">
        <v>30017</v>
      </c>
      <c r="N13893" t="s">
        <v>13437</v>
      </c>
      <c r="O13893" t="s">
        <v>639</v>
      </c>
      <c r="P13893" t="s">
        <v>30018</v>
      </c>
      <c r="Q13893">
        <v>7950</v>
      </c>
      <c r="R13893" t="s">
        <v>23</v>
      </c>
      <c r="S13893" s="1" t="s">
        <v>34218</v>
      </c>
    </row>
    <row r="13894" spans="1:19" x14ac:dyDescent="0.25">
      <c r="A13894">
        <v>101431322</v>
      </c>
      <c r="B13894" t="s">
        <v>30019</v>
      </c>
      <c r="C13894" t="s">
        <v>1933</v>
      </c>
      <c r="G13894" t="s">
        <v>30020</v>
      </c>
      <c r="H13894" t="s">
        <v>1645</v>
      </c>
      <c r="I13894" t="s">
        <v>38</v>
      </c>
      <c r="J13894" t="s">
        <v>30021</v>
      </c>
      <c r="K13894">
        <v>3935</v>
      </c>
      <c r="L13894" t="s">
        <v>23</v>
      </c>
      <c r="M13894" t="s">
        <v>30020</v>
      </c>
      <c r="N13894" t="s">
        <v>1645</v>
      </c>
      <c r="O13894" t="s">
        <v>38</v>
      </c>
      <c r="P13894" t="s">
        <v>30021</v>
      </c>
      <c r="Q13894">
        <v>3935</v>
      </c>
      <c r="R13894" t="s">
        <v>23</v>
      </c>
      <c r="S13894" s="1" t="s">
        <v>34218</v>
      </c>
    </row>
    <row r="13895" spans="1:19" x14ac:dyDescent="0.25">
      <c r="A13895">
        <v>101418522</v>
      </c>
      <c r="B13895" t="s">
        <v>30022</v>
      </c>
      <c r="C13895" t="s">
        <v>498</v>
      </c>
      <c r="G13895" t="s">
        <v>30023</v>
      </c>
      <c r="H13895" t="s">
        <v>1315</v>
      </c>
      <c r="I13895" t="s">
        <v>33</v>
      </c>
      <c r="J13895" t="s">
        <v>30024</v>
      </c>
      <c r="K13895">
        <v>9415</v>
      </c>
      <c r="L13895" t="s">
        <v>23</v>
      </c>
      <c r="M13895" t="s">
        <v>30023</v>
      </c>
      <c r="N13895" t="s">
        <v>1315</v>
      </c>
      <c r="O13895" t="s">
        <v>33</v>
      </c>
      <c r="P13895" t="s">
        <v>30024</v>
      </c>
      <c r="Q13895">
        <v>9415</v>
      </c>
      <c r="R13895" t="s">
        <v>23</v>
      </c>
      <c r="S13895" s="1" t="s">
        <v>34218</v>
      </c>
    </row>
    <row r="13896" spans="1:19" x14ac:dyDescent="0.25">
      <c r="A13896">
        <v>101445093</v>
      </c>
      <c r="B13896" t="s">
        <v>30025</v>
      </c>
      <c r="C13896" t="s">
        <v>11115</v>
      </c>
      <c r="G13896" t="s">
        <v>30026</v>
      </c>
      <c r="H13896" t="s">
        <v>761</v>
      </c>
      <c r="I13896" t="s">
        <v>22</v>
      </c>
      <c r="J13896" t="s">
        <v>30027</v>
      </c>
      <c r="K13896">
        <v>1204</v>
      </c>
      <c r="L13896" t="s">
        <v>23</v>
      </c>
      <c r="M13896" t="s">
        <v>30026</v>
      </c>
      <c r="N13896" t="s">
        <v>761</v>
      </c>
      <c r="O13896" t="s">
        <v>22</v>
      </c>
      <c r="P13896" t="s">
        <v>30027</v>
      </c>
      <c r="Q13896">
        <v>1204</v>
      </c>
      <c r="R13896" t="s">
        <v>23</v>
      </c>
      <c r="S13896" s="1" t="s">
        <v>34218</v>
      </c>
    </row>
    <row r="13897" spans="1:19" x14ac:dyDescent="0.25">
      <c r="A13897">
        <v>101423481</v>
      </c>
      <c r="B13897" t="s">
        <v>7259</v>
      </c>
      <c r="C13897" t="s">
        <v>535</v>
      </c>
      <c r="G13897" t="s">
        <v>30028</v>
      </c>
      <c r="H13897" t="s">
        <v>7608</v>
      </c>
      <c r="I13897" t="s">
        <v>22</v>
      </c>
      <c r="J13897" t="s">
        <v>30029</v>
      </c>
      <c r="K13897">
        <v>1603</v>
      </c>
      <c r="L13897" t="s">
        <v>23</v>
      </c>
      <c r="M13897" t="s">
        <v>30028</v>
      </c>
      <c r="N13897" t="s">
        <v>7608</v>
      </c>
      <c r="O13897" t="s">
        <v>22</v>
      </c>
      <c r="P13897" t="s">
        <v>30029</v>
      </c>
      <c r="Q13897">
        <v>1603</v>
      </c>
      <c r="R13897" t="s">
        <v>23</v>
      </c>
      <c r="S13897" s="1" t="s">
        <v>34218</v>
      </c>
    </row>
    <row r="13898" spans="1:19" x14ac:dyDescent="0.25">
      <c r="A13898">
        <v>101139530</v>
      </c>
      <c r="B13898" t="s">
        <v>30030</v>
      </c>
      <c r="C13898" t="s">
        <v>627</v>
      </c>
      <c r="G13898" t="s">
        <v>30031</v>
      </c>
      <c r="H13898" t="s">
        <v>17018</v>
      </c>
      <c r="I13898" t="s">
        <v>140</v>
      </c>
      <c r="J13898" t="s">
        <v>30032</v>
      </c>
      <c r="K13898">
        <v>1732</v>
      </c>
      <c r="L13898" t="s">
        <v>23</v>
      </c>
      <c r="M13898" t="s">
        <v>30031</v>
      </c>
      <c r="N13898" t="s">
        <v>17018</v>
      </c>
      <c r="O13898" t="s">
        <v>140</v>
      </c>
      <c r="P13898" t="s">
        <v>30032</v>
      </c>
      <c r="Q13898">
        <v>1732</v>
      </c>
      <c r="R13898" t="s">
        <v>23</v>
      </c>
      <c r="S13898" s="1" t="s">
        <v>34218</v>
      </c>
    </row>
    <row r="13899" spans="1:19" x14ac:dyDescent="0.25">
      <c r="A13899">
        <v>100878012</v>
      </c>
      <c r="B13899" t="s">
        <v>30033</v>
      </c>
      <c r="C13899" t="s">
        <v>959</v>
      </c>
      <c r="G13899" t="s">
        <v>30034</v>
      </c>
      <c r="H13899" t="s">
        <v>1857</v>
      </c>
      <c r="I13899" t="s">
        <v>702</v>
      </c>
      <c r="J13899" t="s">
        <v>30035</v>
      </c>
      <c r="K13899">
        <v>6038</v>
      </c>
      <c r="L13899" t="s">
        <v>23</v>
      </c>
      <c r="M13899" t="s">
        <v>30034</v>
      </c>
      <c r="N13899" t="s">
        <v>1857</v>
      </c>
      <c r="O13899" t="s">
        <v>702</v>
      </c>
      <c r="P13899" t="s">
        <v>30035</v>
      </c>
      <c r="Q13899">
        <v>6038</v>
      </c>
      <c r="R13899" t="s">
        <v>23</v>
      </c>
      <c r="S13899" s="1" t="s">
        <v>34218</v>
      </c>
    </row>
    <row r="13900" spans="1:19" x14ac:dyDescent="0.25">
      <c r="A13900">
        <v>100998073</v>
      </c>
      <c r="B13900" t="s">
        <v>30036</v>
      </c>
      <c r="C13900" t="s">
        <v>2127</v>
      </c>
      <c r="G13900" t="s">
        <v>30037</v>
      </c>
      <c r="H13900" t="s">
        <v>4150</v>
      </c>
      <c r="I13900" t="s">
        <v>365</v>
      </c>
      <c r="J13900" t="s">
        <v>30038</v>
      </c>
      <c r="K13900">
        <v>1956</v>
      </c>
      <c r="L13900" t="s">
        <v>23</v>
      </c>
      <c r="M13900" t="s">
        <v>30037</v>
      </c>
      <c r="N13900" t="s">
        <v>4150</v>
      </c>
      <c r="O13900" t="s">
        <v>365</v>
      </c>
      <c r="P13900" t="s">
        <v>30038</v>
      </c>
      <c r="Q13900">
        <v>1956</v>
      </c>
      <c r="R13900" t="s">
        <v>23</v>
      </c>
      <c r="S13900" s="1" t="s">
        <v>34218</v>
      </c>
    </row>
    <row r="13901" spans="1:19" x14ac:dyDescent="0.25">
      <c r="A13901">
        <v>101391238</v>
      </c>
      <c r="B13901" t="s">
        <v>30039</v>
      </c>
      <c r="C13901" t="s">
        <v>274</v>
      </c>
      <c r="G13901" t="s">
        <v>30040</v>
      </c>
      <c r="H13901" t="s">
        <v>1625</v>
      </c>
      <c r="I13901" t="s">
        <v>702</v>
      </c>
      <c r="J13901" t="s">
        <v>30041</v>
      </c>
      <c r="K13901">
        <v>4919</v>
      </c>
      <c r="L13901" t="s">
        <v>23</v>
      </c>
      <c r="M13901" t="s">
        <v>30040</v>
      </c>
      <c r="N13901" t="s">
        <v>1625</v>
      </c>
      <c r="O13901" t="s">
        <v>702</v>
      </c>
      <c r="P13901" t="s">
        <v>30041</v>
      </c>
      <c r="Q13901">
        <v>4919</v>
      </c>
      <c r="R13901" t="s">
        <v>23</v>
      </c>
      <c r="S13901" s="1" t="s">
        <v>34218</v>
      </c>
    </row>
    <row r="13902" spans="1:19" x14ac:dyDescent="0.25">
      <c r="A13902">
        <v>101418558</v>
      </c>
      <c r="B13902" t="s">
        <v>8518</v>
      </c>
      <c r="C13902" t="s">
        <v>1873</v>
      </c>
      <c r="G13902" t="s">
        <v>30042</v>
      </c>
      <c r="H13902" t="s">
        <v>30043</v>
      </c>
      <c r="I13902" t="s">
        <v>2566</v>
      </c>
      <c r="J13902" t="s">
        <v>30044</v>
      </c>
      <c r="K13902">
        <v>7235</v>
      </c>
      <c r="L13902" t="s">
        <v>23</v>
      </c>
      <c r="M13902" t="s">
        <v>30042</v>
      </c>
      <c r="N13902" t="s">
        <v>30043</v>
      </c>
      <c r="O13902" t="s">
        <v>2566</v>
      </c>
      <c r="P13902" t="s">
        <v>30044</v>
      </c>
      <c r="Q13902">
        <v>7235</v>
      </c>
      <c r="R13902" t="s">
        <v>23</v>
      </c>
      <c r="S13902" s="1" t="s">
        <v>34218</v>
      </c>
    </row>
    <row r="13903" spans="1:19" x14ac:dyDescent="0.25">
      <c r="A13903">
        <v>100947504</v>
      </c>
      <c r="B13903" t="s">
        <v>4510</v>
      </c>
      <c r="C13903" t="s">
        <v>1117</v>
      </c>
      <c r="G13903" t="s">
        <v>30045</v>
      </c>
      <c r="H13903" t="s">
        <v>14736</v>
      </c>
      <c r="I13903" t="s">
        <v>100</v>
      </c>
      <c r="J13903" t="s">
        <v>30046</v>
      </c>
      <c r="K13903">
        <v>8601</v>
      </c>
      <c r="L13903" t="s">
        <v>23</v>
      </c>
      <c r="M13903" t="s">
        <v>30045</v>
      </c>
      <c r="N13903" t="s">
        <v>14736</v>
      </c>
      <c r="O13903" t="s">
        <v>100</v>
      </c>
      <c r="P13903" t="s">
        <v>30046</v>
      </c>
      <c r="Q13903">
        <v>8601</v>
      </c>
      <c r="R13903" t="s">
        <v>23</v>
      </c>
      <c r="S13903" s="1" t="s">
        <v>34218</v>
      </c>
    </row>
    <row r="13904" spans="1:19" x14ac:dyDescent="0.25">
      <c r="A13904">
        <v>101293903</v>
      </c>
      <c r="B13904" t="s">
        <v>23719</v>
      </c>
      <c r="C13904" t="s">
        <v>313</v>
      </c>
      <c r="G13904" t="s">
        <v>30047</v>
      </c>
      <c r="H13904" t="s">
        <v>22083</v>
      </c>
      <c r="I13904" t="s">
        <v>236</v>
      </c>
      <c r="J13904" t="s">
        <v>30048</v>
      </c>
      <c r="K13904">
        <v>1128</v>
      </c>
      <c r="L13904" t="s">
        <v>23</v>
      </c>
      <c r="M13904" t="s">
        <v>30047</v>
      </c>
      <c r="N13904" t="s">
        <v>22083</v>
      </c>
      <c r="O13904" t="s">
        <v>236</v>
      </c>
      <c r="P13904" t="s">
        <v>30048</v>
      </c>
      <c r="Q13904">
        <v>1128</v>
      </c>
      <c r="R13904" t="s">
        <v>23</v>
      </c>
      <c r="S13904" s="1" t="s">
        <v>34218</v>
      </c>
    </row>
    <row r="13905" spans="1:19" x14ac:dyDescent="0.25">
      <c r="A13905">
        <v>101445235</v>
      </c>
      <c r="B13905" t="s">
        <v>30049</v>
      </c>
      <c r="C13905" t="s">
        <v>81</v>
      </c>
      <c r="G13905" t="s">
        <v>30050</v>
      </c>
      <c r="H13905" t="s">
        <v>1579</v>
      </c>
      <c r="I13905" t="s">
        <v>135</v>
      </c>
      <c r="J13905" t="s">
        <v>30051</v>
      </c>
      <c r="K13905">
        <v>2433</v>
      </c>
      <c r="L13905" t="s">
        <v>23</v>
      </c>
      <c r="M13905" t="s">
        <v>30050</v>
      </c>
      <c r="N13905" t="s">
        <v>1579</v>
      </c>
      <c r="O13905" t="s">
        <v>135</v>
      </c>
      <c r="P13905" t="s">
        <v>30051</v>
      </c>
      <c r="Q13905">
        <v>2433</v>
      </c>
      <c r="R13905" t="s">
        <v>23</v>
      </c>
      <c r="S13905" s="1" t="s">
        <v>34218</v>
      </c>
    </row>
    <row r="13906" spans="1:19" x14ac:dyDescent="0.25">
      <c r="A13906">
        <v>101372343</v>
      </c>
      <c r="B13906" t="s">
        <v>377</v>
      </c>
      <c r="C13906" t="s">
        <v>274</v>
      </c>
      <c r="G13906" t="s">
        <v>30052</v>
      </c>
      <c r="H13906" t="s">
        <v>1765</v>
      </c>
      <c r="I13906" t="s">
        <v>84</v>
      </c>
      <c r="J13906" t="s">
        <v>30053</v>
      </c>
      <c r="K13906">
        <v>7447</v>
      </c>
      <c r="L13906" t="s">
        <v>23</v>
      </c>
      <c r="M13906" t="s">
        <v>30052</v>
      </c>
      <c r="N13906" t="s">
        <v>1765</v>
      </c>
      <c r="O13906" t="s">
        <v>84</v>
      </c>
      <c r="P13906" t="s">
        <v>30053</v>
      </c>
      <c r="Q13906">
        <v>7447</v>
      </c>
      <c r="R13906" t="s">
        <v>23</v>
      </c>
      <c r="S13906" s="1" t="s">
        <v>34218</v>
      </c>
    </row>
    <row r="13907" spans="1:19" x14ac:dyDescent="0.25">
      <c r="A13907">
        <v>101294226</v>
      </c>
      <c r="B13907" t="s">
        <v>7511</v>
      </c>
      <c r="C13907" t="s">
        <v>30054</v>
      </c>
      <c r="G13907" t="s">
        <v>30055</v>
      </c>
      <c r="H13907" t="s">
        <v>30056</v>
      </c>
      <c r="I13907" t="s">
        <v>250</v>
      </c>
      <c r="J13907">
        <v>7643</v>
      </c>
      <c r="K13907">
        <v>1079</v>
      </c>
      <c r="L13907" t="s">
        <v>23</v>
      </c>
      <c r="M13907" t="s">
        <v>30055</v>
      </c>
      <c r="N13907" t="s">
        <v>30056</v>
      </c>
      <c r="O13907" t="s">
        <v>250</v>
      </c>
      <c r="P13907">
        <v>7643</v>
      </c>
      <c r="Q13907">
        <v>1079</v>
      </c>
      <c r="R13907" t="s">
        <v>23</v>
      </c>
      <c r="S13907" s="1" t="s">
        <v>34218</v>
      </c>
    </row>
    <row r="13908" spans="1:19" x14ac:dyDescent="0.25">
      <c r="A13908">
        <v>101450088</v>
      </c>
      <c r="B13908" t="s">
        <v>14094</v>
      </c>
      <c r="C13908" t="s">
        <v>7799</v>
      </c>
      <c r="G13908" t="s">
        <v>30057</v>
      </c>
      <c r="H13908" t="s">
        <v>7134</v>
      </c>
      <c r="I13908" t="s">
        <v>52</v>
      </c>
      <c r="J13908">
        <v>33327</v>
      </c>
      <c r="K13908">
        <v>2336</v>
      </c>
      <c r="L13908" t="s">
        <v>23</v>
      </c>
      <c r="M13908" t="s">
        <v>30057</v>
      </c>
      <c r="N13908" t="s">
        <v>7134</v>
      </c>
      <c r="O13908" t="s">
        <v>52</v>
      </c>
      <c r="P13908">
        <v>33327</v>
      </c>
      <c r="Q13908">
        <v>2336</v>
      </c>
      <c r="R13908" t="s">
        <v>23</v>
      </c>
      <c r="S13908" s="1" t="s">
        <v>34218</v>
      </c>
    </row>
    <row r="13909" spans="1:19" x14ac:dyDescent="0.25">
      <c r="A13909">
        <v>100584541</v>
      </c>
      <c r="B13909" t="s">
        <v>30058</v>
      </c>
      <c r="C13909" t="s">
        <v>2557</v>
      </c>
      <c r="G13909" t="s">
        <v>30059</v>
      </c>
      <c r="H13909" t="s">
        <v>2215</v>
      </c>
      <c r="I13909" t="s">
        <v>84</v>
      </c>
      <c r="J13909">
        <v>98362</v>
      </c>
      <c r="L13909" t="s">
        <v>23</v>
      </c>
      <c r="M13909" t="s">
        <v>30059</v>
      </c>
      <c r="N13909" t="s">
        <v>2215</v>
      </c>
      <c r="O13909" t="s">
        <v>84</v>
      </c>
      <c r="P13909">
        <v>98362</v>
      </c>
      <c r="R13909" t="s">
        <v>23</v>
      </c>
      <c r="S13909" s="1" t="s">
        <v>34218</v>
      </c>
    </row>
    <row r="13910" spans="1:19" x14ac:dyDescent="0.25">
      <c r="A13910">
        <v>101289386</v>
      </c>
      <c r="B13910" t="s">
        <v>30060</v>
      </c>
      <c r="C13910" t="s">
        <v>554</v>
      </c>
      <c r="G13910" t="s">
        <v>30061</v>
      </c>
      <c r="H13910" t="s">
        <v>380</v>
      </c>
      <c r="I13910" t="s">
        <v>38</v>
      </c>
      <c r="J13910">
        <v>75218</v>
      </c>
      <c r="K13910">
        <v>1149</v>
      </c>
      <c r="L13910" t="s">
        <v>23</v>
      </c>
      <c r="M13910" t="s">
        <v>30061</v>
      </c>
      <c r="N13910" t="s">
        <v>380</v>
      </c>
      <c r="O13910" t="s">
        <v>38</v>
      </c>
      <c r="P13910">
        <v>75218</v>
      </c>
      <c r="Q13910">
        <v>1149</v>
      </c>
      <c r="R13910" t="s">
        <v>23</v>
      </c>
      <c r="S13910" s="1" t="s">
        <v>34218</v>
      </c>
    </row>
    <row r="13911" spans="1:19" x14ac:dyDescent="0.25">
      <c r="A13911">
        <v>101445276</v>
      </c>
      <c r="B13911" t="s">
        <v>30062</v>
      </c>
      <c r="C13911" t="s">
        <v>3774</v>
      </c>
      <c r="G13911" t="s">
        <v>30063</v>
      </c>
      <c r="H13911" t="s">
        <v>144</v>
      </c>
      <c r="I13911" t="s">
        <v>178</v>
      </c>
      <c r="J13911" t="s">
        <v>30064</v>
      </c>
      <c r="K13911">
        <v>9488</v>
      </c>
      <c r="L13911" t="s">
        <v>23</v>
      </c>
      <c r="M13911" t="s">
        <v>30063</v>
      </c>
      <c r="N13911" t="s">
        <v>144</v>
      </c>
      <c r="O13911" t="s">
        <v>178</v>
      </c>
      <c r="P13911" t="s">
        <v>30064</v>
      </c>
      <c r="Q13911">
        <v>9488</v>
      </c>
      <c r="R13911" t="s">
        <v>23</v>
      </c>
      <c r="S13911" s="1" t="s">
        <v>34218</v>
      </c>
    </row>
    <row r="13912" spans="1:19" x14ac:dyDescent="0.25">
      <c r="A13912">
        <v>101348827</v>
      </c>
      <c r="B13912" t="s">
        <v>28180</v>
      </c>
      <c r="C13912" t="s">
        <v>1331</v>
      </c>
      <c r="G13912" t="s">
        <v>28181</v>
      </c>
      <c r="H13912" t="s">
        <v>14286</v>
      </c>
      <c r="I13912" t="s">
        <v>135</v>
      </c>
      <c r="J13912" t="s">
        <v>30065</v>
      </c>
      <c r="K13912">
        <v>5948</v>
      </c>
      <c r="L13912" t="s">
        <v>23</v>
      </c>
      <c r="M13912" t="s">
        <v>28181</v>
      </c>
      <c r="N13912" t="s">
        <v>14286</v>
      </c>
      <c r="O13912" t="s">
        <v>135</v>
      </c>
      <c r="P13912" t="s">
        <v>30065</v>
      </c>
      <c r="Q13912">
        <v>5948</v>
      </c>
      <c r="R13912" t="s">
        <v>23</v>
      </c>
      <c r="S13912" s="1" t="s">
        <v>34218</v>
      </c>
    </row>
    <row r="13913" spans="1:19" x14ac:dyDescent="0.25">
      <c r="A13913">
        <v>101436419</v>
      </c>
      <c r="B13913" t="s">
        <v>30066</v>
      </c>
      <c r="C13913" t="s">
        <v>2343</v>
      </c>
      <c r="G13913" t="s">
        <v>30067</v>
      </c>
      <c r="H13913" t="s">
        <v>445</v>
      </c>
      <c r="I13913" t="s">
        <v>446</v>
      </c>
      <c r="J13913" t="s">
        <v>30068</v>
      </c>
      <c r="K13913">
        <v>3922</v>
      </c>
      <c r="L13913" t="s">
        <v>23</v>
      </c>
      <c r="M13913" t="s">
        <v>30067</v>
      </c>
      <c r="N13913" t="s">
        <v>445</v>
      </c>
      <c r="O13913" t="s">
        <v>446</v>
      </c>
      <c r="P13913" t="s">
        <v>30068</v>
      </c>
      <c r="Q13913">
        <v>3922</v>
      </c>
      <c r="R13913" t="s">
        <v>23</v>
      </c>
      <c r="S13913" s="1" t="s">
        <v>34218</v>
      </c>
    </row>
    <row r="13914" spans="1:19" x14ac:dyDescent="0.25">
      <c r="A13914">
        <v>101445305</v>
      </c>
      <c r="B13914" t="s">
        <v>29</v>
      </c>
      <c r="C13914" t="s">
        <v>4245</v>
      </c>
      <c r="G13914" t="s">
        <v>30069</v>
      </c>
      <c r="H13914" t="s">
        <v>685</v>
      </c>
      <c r="I13914" t="s">
        <v>57</v>
      </c>
      <c r="J13914" t="s">
        <v>30070</v>
      </c>
      <c r="K13914">
        <v>1813</v>
      </c>
      <c r="L13914" t="s">
        <v>23</v>
      </c>
      <c r="M13914" t="s">
        <v>30069</v>
      </c>
      <c r="N13914" t="s">
        <v>685</v>
      </c>
      <c r="O13914" t="s">
        <v>57</v>
      </c>
      <c r="P13914" t="s">
        <v>30070</v>
      </c>
      <c r="Q13914">
        <v>1813</v>
      </c>
      <c r="R13914" t="s">
        <v>23</v>
      </c>
      <c r="S13914" s="1" t="s">
        <v>34218</v>
      </c>
    </row>
    <row r="13915" spans="1:19" x14ac:dyDescent="0.25">
      <c r="A13915">
        <v>101419922</v>
      </c>
      <c r="B13915" t="s">
        <v>3482</v>
      </c>
      <c r="C13915" t="s">
        <v>30071</v>
      </c>
      <c r="G13915" t="s">
        <v>30072</v>
      </c>
      <c r="H13915" t="s">
        <v>1535</v>
      </c>
      <c r="I13915" t="s">
        <v>22</v>
      </c>
      <c r="J13915" t="s">
        <v>30073</v>
      </c>
      <c r="K13915">
        <v>8808</v>
      </c>
      <c r="L13915" t="s">
        <v>23</v>
      </c>
      <c r="M13915" t="s">
        <v>30072</v>
      </c>
      <c r="N13915" t="s">
        <v>1535</v>
      </c>
      <c r="O13915" t="s">
        <v>22</v>
      </c>
      <c r="P13915" t="s">
        <v>30073</v>
      </c>
      <c r="Q13915">
        <v>8808</v>
      </c>
      <c r="R13915" t="s">
        <v>23</v>
      </c>
      <c r="S13915" s="1" t="s">
        <v>34218</v>
      </c>
    </row>
    <row r="13916" spans="1:19" x14ac:dyDescent="0.25">
      <c r="A13916">
        <v>101430394</v>
      </c>
      <c r="B13916" t="s">
        <v>30074</v>
      </c>
      <c r="C13916" t="s">
        <v>30075</v>
      </c>
      <c r="G13916" t="s">
        <v>30076</v>
      </c>
      <c r="H13916" t="s">
        <v>4606</v>
      </c>
      <c r="I13916" t="s">
        <v>984</v>
      </c>
      <c r="J13916" t="s">
        <v>30077</v>
      </c>
      <c r="K13916">
        <v>5956</v>
      </c>
      <c r="L13916" t="s">
        <v>23</v>
      </c>
      <c r="M13916" t="s">
        <v>30076</v>
      </c>
      <c r="N13916" t="s">
        <v>4606</v>
      </c>
      <c r="O13916" t="s">
        <v>984</v>
      </c>
      <c r="P13916" t="s">
        <v>30077</v>
      </c>
      <c r="Q13916">
        <v>5956</v>
      </c>
      <c r="R13916" t="s">
        <v>23</v>
      </c>
      <c r="S13916" s="1" t="s">
        <v>34218</v>
      </c>
    </row>
    <row r="13917" spans="1:19" x14ac:dyDescent="0.25">
      <c r="A13917">
        <v>101368858</v>
      </c>
      <c r="B13917" t="s">
        <v>29945</v>
      </c>
      <c r="C13917" t="s">
        <v>49</v>
      </c>
      <c r="G13917" t="s">
        <v>29946</v>
      </c>
      <c r="H13917" t="s">
        <v>25254</v>
      </c>
      <c r="I13917" t="s">
        <v>135</v>
      </c>
      <c r="J13917" t="s">
        <v>30078</v>
      </c>
      <c r="K13917">
        <v>2314</v>
      </c>
      <c r="L13917" t="s">
        <v>23</v>
      </c>
      <c r="M13917" t="s">
        <v>29946</v>
      </c>
      <c r="N13917" t="s">
        <v>25254</v>
      </c>
      <c r="O13917" t="s">
        <v>135</v>
      </c>
      <c r="P13917" t="s">
        <v>30078</v>
      </c>
      <c r="Q13917">
        <v>2314</v>
      </c>
      <c r="R13917" t="s">
        <v>23</v>
      </c>
      <c r="S13917" s="1" t="s">
        <v>34218</v>
      </c>
    </row>
    <row r="13918" spans="1:19" x14ac:dyDescent="0.25">
      <c r="A13918">
        <v>101427008</v>
      </c>
      <c r="B13918" t="s">
        <v>5585</v>
      </c>
      <c r="C13918" t="s">
        <v>29089</v>
      </c>
      <c r="G13918" t="s">
        <v>30079</v>
      </c>
      <c r="H13918" t="s">
        <v>1452</v>
      </c>
      <c r="I13918" t="s">
        <v>43</v>
      </c>
      <c r="J13918" t="s">
        <v>30080</v>
      </c>
      <c r="K13918">
        <v>4653</v>
      </c>
      <c r="L13918" t="s">
        <v>23</v>
      </c>
      <c r="M13918" t="s">
        <v>30079</v>
      </c>
      <c r="N13918" t="s">
        <v>1452</v>
      </c>
      <c r="O13918" t="s">
        <v>43</v>
      </c>
      <c r="P13918" t="s">
        <v>30080</v>
      </c>
      <c r="Q13918">
        <v>4653</v>
      </c>
      <c r="R13918" t="s">
        <v>23</v>
      </c>
      <c r="S13918" s="1" t="s">
        <v>34218</v>
      </c>
    </row>
    <row r="13919" spans="1:19" x14ac:dyDescent="0.25">
      <c r="A13919">
        <v>101439099</v>
      </c>
      <c r="B13919" t="s">
        <v>30081</v>
      </c>
      <c r="C13919" t="s">
        <v>12851</v>
      </c>
      <c r="G13919" t="s">
        <v>30082</v>
      </c>
      <c r="H13919" t="s">
        <v>9466</v>
      </c>
      <c r="I13919" t="s">
        <v>84</v>
      </c>
      <c r="J13919" t="s">
        <v>30083</v>
      </c>
      <c r="K13919">
        <v>9121</v>
      </c>
      <c r="L13919" t="s">
        <v>23</v>
      </c>
      <c r="M13919" t="s">
        <v>30082</v>
      </c>
      <c r="N13919" t="s">
        <v>9466</v>
      </c>
      <c r="O13919" t="s">
        <v>84</v>
      </c>
      <c r="P13919" t="s">
        <v>30083</v>
      </c>
      <c r="Q13919">
        <v>9121</v>
      </c>
      <c r="R13919" t="s">
        <v>23</v>
      </c>
      <c r="S13919" s="1" t="s">
        <v>34218</v>
      </c>
    </row>
    <row r="13920" spans="1:19" x14ac:dyDescent="0.25">
      <c r="A13920">
        <v>101430802</v>
      </c>
      <c r="B13920" t="s">
        <v>30084</v>
      </c>
      <c r="C13920" t="s">
        <v>13255</v>
      </c>
      <c r="G13920" t="s">
        <v>30085</v>
      </c>
      <c r="H13920" t="s">
        <v>30086</v>
      </c>
      <c r="I13920" t="s">
        <v>117</v>
      </c>
      <c r="J13920" t="s">
        <v>30087</v>
      </c>
      <c r="K13920">
        <v>9424</v>
      </c>
      <c r="L13920" t="s">
        <v>23</v>
      </c>
      <c r="M13920" t="s">
        <v>30085</v>
      </c>
      <c r="N13920" t="s">
        <v>30086</v>
      </c>
      <c r="O13920" t="s">
        <v>117</v>
      </c>
      <c r="P13920" t="s">
        <v>30087</v>
      </c>
      <c r="Q13920">
        <v>9424</v>
      </c>
      <c r="R13920" t="s">
        <v>23</v>
      </c>
      <c r="S13920" s="1" t="s">
        <v>34218</v>
      </c>
    </row>
    <row r="13921" spans="1:19" x14ac:dyDescent="0.25">
      <c r="A13921">
        <v>101427484</v>
      </c>
      <c r="B13921" t="s">
        <v>30088</v>
      </c>
      <c r="C13921" t="s">
        <v>1873</v>
      </c>
      <c r="G13921" t="s">
        <v>30089</v>
      </c>
      <c r="H13921" t="s">
        <v>1964</v>
      </c>
      <c r="I13921" t="s">
        <v>22</v>
      </c>
      <c r="J13921" t="s">
        <v>30090</v>
      </c>
      <c r="K13921">
        <v>2901</v>
      </c>
      <c r="L13921" t="s">
        <v>23</v>
      </c>
      <c r="M13921" t="s">
        <v>30089</v>
      </c>
      <c r="N13921" t="s">
        <v>1964</v>
      </c>
      <c r="O13921" t="s">
        <v>22</v>
      </c>
      <c r="P13921" t="s">
        <v>30090</v>
      </c>
      <c r="Q13921">
        <v>2901</v>
      </c>
      <c r="R13921" t="s">
        <v>23</v>
      </c>
      <c r="S13921" s="1" t="s">
        <v>34218</v>
      </c>
    </row>
    <row r="13922" spans="1:19" x14ac:dyDescent="0.25">
      <c r="A13922">
        <v>100902989</v>
      </c>
      <c r="B13922" t="s">
        <v>734</v>
      </c>
      <c r="C13922" t="s">
        <v>8010</v>
      </c>
      <c r="F13922" t="str">
        <f>"7278447612"</f>
        <v>7278447612</v>
      </c>
      <c r="G13922" t="s">
        <v>30091</v>
      </c>
      <c r="H13922" t="s">
        <v>21298</v>
      </c>
      <c r="I13922" t="s">
        <v>52</v>
      </c>
      <c r="J13922" t="s">
        <v>30092</v>
      </c>
      <c r="K13922">
        <v>6819</v>
      </c>
      <c r="L13922" t="s">
        <v>23</v>
      </c>
      <c r="M13922" t="s">
        <v>30091</v>
      </c>
      <c r="N13922" t="s">
        <v>21298</v>
      </c>
      <c r="O13922" t="s">
        <v>52</v>
      </c>
      <c r="P13922" t="s">
        <v>30092</v>
      </c>
      <c r="Q13922">
        <v>6819</v>
      </c>
      <c r="R13922" t="s">
        <v>23</v>
      </c>
      <c r="S13922" s="1" t="s">
        <v>34218</v>
      </c>
    </row>
    <row r="13923" spans="1:19" x14ac:dyDescent="0.25">
      <c r="A13923">
        <v>100613982</v>
      </c>
      <c r="B13923" t="s">
        <v>9930</v>
      </c>
      <c r="C13923" t="s">
        <v>24390</v>
      </c>
      <c r="G13923" t="s">
        <v>30093</v>
      </c>
      <c r="H13923" t="s">
        <v>14060</v>
      </c>
      <c r="I13923" t="s">
        <v>236</v>
      </c>
      <c r="J13923" t="s">
        <v>30094</v>
      </c>
      <c r="K13923">
        <v>1006</v>
      </c>
      <c r="L13923" t="s">
        <v>23</v>
      </c>
      <c r="M13923" t="s">
        <v>30093</v>
      </c>
      <c r="N13923" t="s">
        <v>14060</v>
      </c>
      <c r="O13923" t="s">
        <v>236</v>
      </c>
      <c r="P13923" t="s">
        <v>30094</v>
      </c>
      <c r="Q13923">
        <v>1006</v>
      </c>
      <c r="R13923" t="s">
        <v>23</v>
      </c>
      <c r="S13923" s="1" t="s">
        <v>34218</v>
      </c>
    </row>
    <row r="13924" spans="1:19" x14ac:dyDescent="0.25">
      <c r="A13924">
        <v>101362086</v>
      </c>
      <c r="B13924" t="s">
        <v>30095</v>
      </c>
      <c r="C13924" t="s">
        <v>2084</v>
      </c>
      <c r="G13924" t="s">
        <v>30096</v>
      </c>
      <c r="H13924" t="s">
        <v>3794</v>
      </c>
      <c r="I13924" t="s">
        <v>22</v>
      </c>
      <c r="J13924" t="s">
        <v>30097</v>
      </c>
      <c r="K13924">
        <v>2124</v>
      </c>
      <c r="L13924" t="s">
        <v>23</v>
      </c>
      <c r="M13924" t="s">
        <v>30096</v>
      </c>
      <c r="N13924" t="s">
        <v>3794</v>
      </c>
      <c r="O13924" t="s">
        <v>22</v>
      </c>
      <c r="P13924" t="s">
        <v>30097</v>
      </c>
      <c r="Q13924">
        <v>2124</v>
      </c>
      <c r="R13924" t="s">
        <v>23</v>
      </c>
      <c r="S13924" s="1" t="s">
        <v>34218</v>
      </c>
    </row>
    <row r="13925" spans="1:19" x14ac:dyDescent="0.25">
      <c r="A13925">
        <v>101437561</v>
      </c>
      <c r="B13925" t="s">
        <v>2578</v>
      </c>
      <c r="C13925" t="s">
        <v>6140</v>
      </c>
      <c r="G13925" t="s">
        <v>30098</v>
      </c>
      <c r="H13925" t="s">
        <v>30099</v>
      </c>
      <c r="I13925" t="s">
        <v>52</v>
      </c>
      <c r="J13925" t="s">
        <v>30100</v>
      </c>
      <c r="K13925">
        <v>3420</v>
      </c>
      <c r="L13925" t="s">
        <v>23</v>
      </c>
      <c r="M13925" t="s">
        <v>30098</v>
      </c>
      <c r="N13925" t="s">
        <v>30099</v>
      </c>
      <c r="O13925" t="s">
        <v>52</v>
      </c>
      <c r="P13925" t="s">
        <v>30100</v>
      </c>
      <c r="Q13925">
        <v>3420</v>
      </c>
      <c r="R13925" t="s">
        <v>23</v>
      </c>
      <c r="S13925" s="1" t="s">
        <v>34218</v>
      </c>
    </row>
    <row r="13926" spans="1:19" x14ac:dyDescent="0.25">
      <c r="A13926">
        <v>101239637</v>
      </c>
      <c r="B13926" t="s">
        <v>11500</v>
      </c>
      <c r="C13926" t="s">
        <v>1616</v>
      </c>
      <c r="G13926" t="s">
        <v>30101</v>
      </c>
      <c r="H13926" t="s">
        <v>4559</v>
      </c>
      <c r="I13926" t="s">
        <v>250</v>
      </c>
      <c r="J13926" t="s">
        <v>30102</v>
      </c>
      <c r="K13926">
        <v>1238</v>
      </c>
      <c r="L13926" t="s">
        <v>23</v>
      </c>
      <c r="M13926" t="s">
        <v>30101</v>
      </c>
      <c r="N13926" t="s">
        <v>4559</v>
      </c>
      <c r="O13926" t="s">
        <v>250</v>
      </c>
      <c r="P13926" t="s">
        <v>30102</v>
      </c>
      <c r="Q13926">
        <v>1238</v>
      </c>
      <c r="R13926" t="s">
        <v>23</v>
      </c>
      <c r="S13926" s="1" t="s">
        <v>34218</v>
      </c>
    </row>
    <row r="13927" spans="1:19" x14ac:dyDescent="0.25">
      <c r="A13927">
        <v>100968703</v>
      </c>
      <c r="B13927" t="s">
        <v>30103</v>
      </c>
      <c r="C13927" t="s">
        <v>15594</v>
      </c>
      <c r="G13927" t="s">
        <v>30104</v>
      </c>
      <c r="H13927" t="s">
        <v>13632</v>
      </c>
      <c r="I13927" t="s">
        <v>161</v>
      </c>
      <c r="J13927" t="s">
        <v>30105</v>
      </c>
      <c r="K13927">
        <v>6514</v>
      </c>
      <c r="L13927" t="s">
        <v>23</v>
      </c>
      <c r="M13927" t="s">
        <v>30104</v>
      </c>
      <c r="N13927" t="s">
        <v>13632</v>
      </c>
      <c r="O13927" t="s">
        <v>161</v>
      </c>
      <c r="P13927" t="s">
        <v>30105</v>
      </c>
      <c r="Q13927">
        <v>6514</v>
      </c>
      <c r="R13927" t="s">
        <v>23</v>
      </c>
      <c r="S13927" s="1" t="s">
        <v>34218</v>
      </c>
    </row>
    <row r="13928" spans="1:19" x14ac:dyDescent="0.25">
      <c r="A13928">
        <v>101238237</v>
      </c>
      <c r="B13928" t="s">
        <v>30106</v>
      </c>
      <c r="C13928" t="s">
        <v>274</v>
      </c>
      <c r="G13928" t="s">
        <v>30107</v>
      </c>
      <c r="H13928" t="s">
        <v>13494</v>
      </c>
      <c r="I13928" t="s">
        <v>22</v>
      </c>
      <c r="J13928" t="s">
        <v>30108</v>
      </c>
      <c r="K13928">
        <v>6648</v>
      </c>
      <c r="L13928" t="s">
        <v>23</v>
      </c>
      <c r="M13928" t="s">
        <v>30107</v>
      </c>
      <c r="N13928" t="s">
        <v>13494</v>
      </c>
      <c r="O13928" t="s">
        <v>22</v>
      </c>
      <c r="P13928" t="s">
        <v>30108</v>
      </c>
      <c r="Q13928">
        <v>6648</v>
      </c>
      <c r="R13928" t="s">
        <v>23</v>
      </c>
      <c r="S13928" s="1" t="s">
        <v>34218</v>
      </c>
    </row>
    <row r="13929" spans="1:19" x14ac:dyDescent="0.25">
      <c r="A13929">
        <v>101428332</v>
      </c>
      <c r="B13929" t="s">
        <v>30109</v>
      </c>
      <c r="C13929" t="s">
        <v>1069</v>
      </c>
      <c r="G13929" t="s">
        <v>30110</v>
      </c>
      <c r="H13929" t="s">
        <v>19269</v>
      </c>
      <c r="I13929" t="s">
        <v>161</v>
      </c>
      <c r="J13929" t="s">
        <v>30111</v>
      </c>
      <c r="K13929">
        <v>3178</v>
      </c>
      <c r="L13929" t="s">
        <v>23</v>
      </c>
      <c r="M13929" t="s">
        <v>30110</v>
      </c>
      <c r="N13929" t="s">
        <v>19269</v>
      </c>
      <c r="O13929" t="s">
        <v>161</v>
      </c>
      <c r="P13929" t="s">
        <v>30111</v>
      </c>
      <c r="Q13929">
        <v>3178</v>
      </c>
      <c r="R13929" t="s">
        <v>23</v>
      </c>
      <c r="S13929" s="1" t="s">
        <v>34218</v>
      </c>
    </row>
    <row r="13930" spans="1:19" x14ac:dyDescent="0.25">
      <c r="A13930">
        <v>101438985</v>
      </c>
      <c r="B13930" t="s">
        <v>16416</v>
      </c>
      <c r="C13930" t="s">
        <v>1117</v>
      </c>
      <c r="G13930" t="s">
        <v>30112</v>
      </c>
      <c r="H13930" t="s">
        <v>746</v>
      </c>
      <c r="I13930" t="s">
        <v>255</v>
      </c>
      <c r="J13930" t="s">
        <v>30113</v>
      </c>
      <c r="K13930">
        <v>4107</v>
      </c>
      <c r="L13930" t="s">
        <v>23</v>
      </c>
      <c r="M13930" t="s">
        <v>30112</v>
      </c>
      <c r="N13930" t="s">
        <v>746</v>
      </c>
      <c r="O13930" t="s">
        <v>255</v>
      </c>
      <c r="P13930" t="s">
        <v>30113</v>
      </c>
      <c r="Q13930">
        <v>4107</v>
      </c>
      <c r="R13930" t="s">
        <v>23</v>
      </c>
      <c r="S13930" s="1" t="s">
        <v>34218</v>
      </c>
    </row>
    <row r="13931" spans="1:19" x14ac:dyDescent="0.25">
      <c r="A13931">
        <v>101289763</v>
      </c>
      <c r="B13931" t="s">
        <v>4046</v>
      </c>
      <c r="C13931" t="s">
        <v>1886</v>
      </c>
      <c r="G13931" t="s">
        <v>30114</v>
      </c>
      <c r="H13931" t="s">
        <v>3876</v>
      </c>
      <c r="I13931" t="s">
        <v>22</v>
      </c>
      <c r="J13931" t="s">
        <v>30115</v>
      </c>
      <c r="K13931">
        <v>6225</v>
      </c>
      <c r="L13931" t="s">
        <v>23</v>
      </c>
      <c r="M13931" t="s">
        <v>30114</v>
      </c>
      <c r="N13931" t="s">
        <v>3876</v>
      </c>
      <c r="O13931" t="s">
        <v>22</v>
      </c>
      <c r="P13931" t="s">
        <v>30115</v>
      </c>
      <c r="Q13931">
        <v>6225</v>
      </c>
      <c r="R13931" t="s">
        <v>23</v>
      </c>
      <c r="S13931" s="1" t="s">
        <v>34218</v>
      </c>
    </row>
    <row r="13932" spans="1:19" x14ac:dyDescent="0.25">
      <c r="A13932">
        <v>101420013</v>
      </c>
      <c r="B13932" t="s">
        <v>30116</v>
      </c>
      <c r="C13932" t="s">
        <v>2232</v>
      </c>
      <c r="G13932" t="s">
        <v>30117</v>
      </c>
      <c r="H13932" t="s">
        <v>5485</v>
      </c>
      <c r="I13932" t="s">
        <v>22</v>
      </c>
      <c r="J13932" t="s">
        <v>30118</v>
      </c>
      <c r="K13932">
        <v>2310</v>
      </c>
      <c r="L13932" t="s">
        <v>23</v>
      </c>
      <c r="M13932" t="s">
        <v>30117</v>
      </c>
      <c r="N13932" t="s">
        <v>5485</v>
      </c>
      <c r="O13932" t="s">
        <v>22</v>
      </c>
      <c r="P13932" t="s">
        <v>30118</v>
      </c>
      <c r="Q13932">
        <v>2310</v>
      </c>
      <c r="R13932" t="s">
        <v>23</v>
      </c>
      <c r="S13932" s="1" t="s">
        <v>34218</v>
      </c>
    </row>
    <row r="13933" spans="1:19" x14ac:dyDescent="0.25">
      <c r="A13933">
        <v>100867923</v>
      </c>
      <c r="B13933" t="s">
        <v>30119</v>
      </c>
      <c r="C13933" t="s">
        <v>180</v>
      </c>
      <c r="G13933" t="s">
        <v>30120</v>
      </c>
      <c r="H13933" t="s">
        <v>1431</v>
      </c>
      <c r="I13933" t="s">
        <v>639</v>
      </c>
      <c r="J13933" t="s">
        <v>30121</v>
      </c>
      <c r="K13933">
        <v>6173</v>
      </c>
      <c r="L13933" t="s">
        <v>23</v>
      </c>
      <c r="M13933" t="s">
        <v>30120</v>
      </c>
      <c r="N13933" t="s">
        <v>1431</v>
      </c>
      <c r="O13933" t="s">
        <v>639</v>
      </c>
      <c r="P13933" t="s">
        <v>30121</v>
      </c>
      <c r="Q13933">
        <v>6173</v>
      </c>
      <c r="R13933" t="s">
        <v>23</v>
      </c>
      <c r="S13933" s="1" t="s">
        <v>34218</v>
      </c>
    </row>
    <row r="13934" spans="1:19" x14ac:dyDescent="0.25">
      <c r="A13934">
        <v>101438439</v>
      </c>
      <c r="B13934" t="s">
        <v>3766</v>
      </c>
      <c r="C13934" t="s">
        <v>247</v>
      </c>
      <c r="G13934" t="s">
        <v>30122</v>
      </c>
      <c r="H13934" t="s">
        <v>30123</v>
      </c>
      <c r="I13934" t="s">
        <v>446</v>
      </c>
      <c r="J13934" t="s">
        <v>30124</v>
      </c>
      <c r="K13934">
        <v>8438</v>
      </c>
      <c r="L13934" t="s">
        <v>23</v>
      </c>
      <c r="M13934" t="s">
        <v>30122</v>
      </c>
      <c r="N13934" t="s">
        <v>30123</v>
      </c>
      <c r="O13934" t="s">
        <v>446</v>
      </c>
      <c r="P13934" t="s">
        <v>30124</v>
      </c>
      <c r="Q13934">
        <v>8438</v>
      </c>
      <c r="R13934" t="s">
        <v>23</v>
      </c>
      <c r="S13934" s="1" t="s">
        <v>34218</v>
      </c>
    </row>
    <row r="13935" spans="1:19" x14ac:dyDescent="0.25">
      <c r="A13935">
        <v>101423437</v>
      </c>
      <c r="B13935" t="s">
        <v>30125</v>
      </c>
      <c r="C13935" t="s">
        <v>579</v>
      </c>
      <c r="G13935" t="s">
        <v>30126</v>
      </c>
      <c r="H13935" t="s">
        <v>30127</v>
      </c>
      <c r="I13935" t="s">
        <v>2310</v>
      </c>
      <c r="J13935" t="s">
        <v>30128</v>
      </c>
      <c r="K13935">
        <v>1453</v>
      </c>
      <c r="L13935" t="s">
        <v>23</v>
      </c>
      <c r="M13935" t="s">
        <v>30126</v>
      </c>
      <c r="N13935" t="s">
        <v>30127</v>
      </c>
      <c r="O13935" t="s">
        <v>2310</v>
      </c>
      <c r="P13935" t="s">
        <v>30128</v>
      </c>
      <c r="Q13935">
        <v>1453</v>
      </c>
      <c r="R13935" t="s">
        <v>23</v>
      </c>
      <c r="S13935" s="1" t="s">
        <v>34218</v>
      </c>
    </row>
    <row r="13936" spans="1:19" x14ac:dyDescent="0.25">
      <c r="A13936">
        <v>101426524</v>
      </c>
      <c r="B13936" t="s">
        <v>27663</v>
      </c>
      <c r="C13936" t="s">
        <v>6738</v>
      </c>
      <c r="G13936" t="s">
        <v>30129</v>
      </c>
      <c r="H13936" t="s">
        <v>3397</v>
      </c>
      <c r="I13936" t="s">
        <v>22</v>
      </c>
      <c r="J13936" t="s">
        <v>30130</v>
      </c>
      <c r="K13936">
        <v>2595</v>
      </c>
      <c r="L13936" t="s">
        <v>23</v>
      </c>
      <c r="M13936" t="s">
        <v>30129</v>
      </c>
      <c r="N13936" t="s">
        <v>3397</v>
      </c>
      <c r="O13936" t="s">
        <v>22</v>
      </c>
      <c r="P13936" t="s">
        <v>30130</v>
      </c>
      <c r="Q13936">
        <v>2595</v>
      </c>
      <c r="R13936" t="s">
        <v>23</v>
      </c>
      <c r="S13936" s="1" t="s">
        <v>34218</v>
      </c>
    </row>
    <row r="13937" spans="1:19" x14ac:dyDescent="0.25">
      <c r="A13937">
        <v>101432363</v>
      </c>
      <c r="B13937" t="s">
        <v>141</v>
      </c>
      <c r="C13937" t="s">
        <v>535</v>
      </c>
      <c r="G13937" t="s">
        <v>30131</v>
      </c>
      <c r="H13937" t="s">
        <v>12197</v>
      </c>
      <c r="I13937" t="s">
        <v>33</v>
      </c>
      <c r="J13937" t="s">
        <v>30132</v>
      </c>
      <c r="K13937">
        <v>1663</v>
      </c>
      <c r="L13937" t="s">
        <v>23</v>
      </c>
      <c r="M13937" t="s">
        <v>30131</v>
      </c>
      <c r="N13937" t="s">
        <v>12197</v>
      </c>
      <c r="O13937" t="s">
        <v>33</v>
      </c>
      <c r="P13937" t="s">
        <v>30132</v>
      </c>
      <c r="Q13937">
        <v>1663</v>
      </c>
      <c r="R13937" t="s">
        <v>23</v>
      </c>
      <c r="S13937" s="1" t="s">
        <v>34218</v>
      </c>
    </row>
    <row r="13938" spans="1:19" x14ac:dyDescent="0.25">
      <c r="A13938">
        <v>101448521</v>
      </c>
      <c r="B13938" t="s">
        <v>5821</v>
      </c>
      <c r="C13938" t="s">
        <v>313</v>
      </c>
      <c r="G13938" t="s">
        <v>30133</v>
      </c>
      <c r="H13938" t="s">
        <v>3933</v>
      </c>
      <c r="I13938" t="s">
        <v>984</v>
      </c>
      <c r="J13938">
        <v>96749</v>
      </c>
      <c r="L13938" t="s">
        <v>23</v>
      </c>
      <c r="M13938" t="s">
        <v>30133</v>
      </c>
      <c r="N13938" t="s">
        <v>3933</v>
      </c>
      <c r="O13938" t="s">
        <v>984</v>
      </c>
      <c r="P13938">
        <v>96749</v>
      </c>
      <c r="R13938" t="s">
        <v>23</v>
      </c>
      <c r="S13938" s="1" t="s">
        <v>34218</v>
      </c>
    </row>
    <row r="13939" spans="1:19" x14ac:dyDescent="0.25">
      <c r="A13939">
        <v>101481007</v>
      </c>
      <c r="B13939" t="s">
        <v>9665</v>
      </c>
      <c r="C13939" t="s">
        <v>2173</v>
      </c>
      <c r="G13939" t="s">
        <v>30134</v>
      </c>
      <c r="H13939" t="s">
        <v>27</v>
      </c>
      <c r="I13939" t="s">
        <v>28</v>
      </c>
      <c r="J13939">
        <v>30307</v>
      </c>
      <c r="K13939">
        <v>2589</v>
      </c>
      <c r="L13939" t="s">
        <v>23</v>
      </c>
      <c r="M13939" t="s">
        <v>30134</v>
      </c>
      <c r="N13939" t="s">
        <v>27</v>
      </c>
      <c r="O13939" t="s">
        <v>28</v>
      </c>
      <c r="P13939">
        <v>30307</v>
      </c>
      <c r="Q13939">
        <v>2589</v>
      </c>
      <c r="R13939" t="s">
        <v>23</v>
      </c>
      <c r="S13939" s="1" t="s">
        <v>34218</v>
      </c>
    </row>
    <row r="13940" spans="1:19" x14ac:dyDescent="0.25">
      <c r="A13940">
        <v>101472935</v>
      </c>
      <c r="B13940" t="s">
        <v>4064</v>
      </c>
      <c r="C13940" t="s">
        <v>12917</v>
      </c>
      <c r="G13940" t="s">
        <v>30135</v>
      </c>
      <c r="H13940" t="s">
        <v>30136</v>
      </c>
      <c r="I13940" t="s">
        <v>84</v>
      </c>
      <c r="J13940">
        <v>98637</v>
      </c>
      <c r="L13940" t="s">
        <v>23</v>
      </c>
      <c r="M13940" t="s">
        <v>30135</v>
      </c>
      <c r="N13940" t="s">
        <v>30136</v>
      </c>
      <c r="O13940" t="s">
        <v>84</v>
      </c>
      <c r="P13940">
        <v>98637</v>
      </c>
      <c r="R13940" t="s">
        <v>23</v>
      </c>
      <c r="S13940" s="1" t="s">
        <v>34218</v>
      </c>
    </row>
    <row r="13941" spans="1:19" x14ac:dyDescent="0.25">
      <c r="A13941">
        <v>101118380</v>
      </c>
      <c r="B13941" t="s">
        <v>30137</v>
      </c>
      <c r="C13941" t="s">
        <v>6420</v>
      </c>
      <c r="G13941" t="s">
        <v>30138</v>
      </c>
      <c r="H13941" t="s">
        <v>11455</v>
      </c>
      <c r="I13941" t="s">
        <v>71</v>
      </c>
      <c r="J13941">
        <v>81201</v>
      </c>
      <c r="K13941">
        <v>1563</v>
      </c>
      <c r="L13941" t="s">
        <v>23</v>
      </c>
      <c r="M13941" t="s">
        <v>30138</v>
      </c>
      <c r="N13941" t="s">
        <v>11455</v>
      </c>
      <c r="O13941" t="s">
        <v>71</v>
      </c>
      <c r="P13941">
        <v>81201</v>
      </c>
      <c r="Q13941">
        <v>1563</v>
      </c>
      <c r="R13941" t="s">
        <v>23</v>
      </c>
      <c r="S13941" s="1" t="s">
        <v>34218</v>
      </c>
    </row>
    <row r="13942" spans="1:19" x14ac:dyDescent="0.25">
      <c r="A13942">
        <v>100842197</v>
      </c>
      <c r="B13942" t="s">
        <v>30139</v>
      </c>
      <c r="C13942" t="s">
        <v>7979</v>
      </c>
      <c r="G13942" t="s">
        <v>30140</v>
      </c>
      <c r="H13942" t="s">
        <v>3571</v>
      </c>
      <c r="I13942" t="s">
        <v>187</v>
      </c>
      <c r="J13942">
        <v>55082</v>
      </c>
      <c r="K13942">
        <v>4877</v>
      </c>
      <c r="L13942" t="s">
        <v>23</v>
      </c>
      <c r="M13942" t="s">
        <v>30140</v>
      </c>
      <c r="N13942" t="s">
        <v>3571</v>
      </c>
      <c r="O13942" t="s">
        <v>187</v>
      </c>
      <c r="P13942">
        <v>55082</v>
      </c>
      <c r="Q13942">
        <v>4877</v>
      </c>
      <c r="R13942" t="s">
        <v>23</v>
      </c>
      <c r="S13942" s="1" t="s">
        <v>34218</v>
      </c>
    </row>
    <row r="13943" spans="1:19" x14ac:dyDescent="0.25">
      <c r="A13943">
        <v>101345504</v>
      </c>
      <c r="B13943" t="s">
        <v>30141</v>
      </c>
      <c r="C13943" t="s">
        <v>2453</v>
      </c>
      <c r="G13943" t="s">
        <v>30142</v>
      </c>
      <c r="H13943" t="s">
        <v>1352</v>
      </c>
      <c r="I13943" t="s">
        <v>22</v>
      </c>
      <c r="J13943" t="s">
        <v>30143</v>
      </c>
      <c r="K13943">
        <v>6042</v>
      </c>
      <c r="L13943" t="s">
        <v>23</v>
      </c>
      <c r="M13943" t="s">
        <v>30142</v>
      </c>
      <c r="N13943" t="s">
        <v>1352</v>
      </c>
      <c r="O13943" t="s">
        <v>22</v>
      </c>
      <c r="P13943" t="s">
        <v>30143</v>
      </c>
      <c r="Q13943">
        <v>6042</v>
      </c>
      <c r="R13943" t="s">
        <v>23</v>
      </c>
      <c r="S13943" s="1" t="s">
        <v>34218</v>
      </c>
    </row>
    <row r="13944" spans="1:19" x14ac:dyDescent="0.25">
      <c r="A13944">
        <v>101422897</v>
      </c>
      <c r="B13944" t="s">
        <v>30144</v>
      </c>
      <c r="C13944" t="s">
        <v>13294</v>
      </c>
      <c r="G13944" t="s">
        <v>30145</v>
      </c>
      <c r="H13944" t="s">
        <v>5056</v>
      </c>
      <c r="I13944" t="s">
        <v>22</v>
      </c>
      <c r="J13944" t="s">
        <v>30146</v>
      </c>
      <c r="K13944">
        <v>5812</v>
      </c>
      <c r="L13944" t="s">
        <v>23</v>
      </c>
      <c r="M13944" t="s">
        <v>30145</v>
      </c>
      <c r="N13944" t="s">
        <v>5056</v>
      </c>
      <c r="O13944" t="s">
        <v>22</v>
      </c>
      <c r="P13944" t="s">
        <v>30146</v>
      </c>
      <c r="Q13944">
        <v>5812</v>
      </c>
      <c r="R13944" t="s">
        <v>23</v>
      </c>
      <c r="S13944" s="1" t="s">
        <v>34218</v>
      </c>
    </row>
    <row r="13945" spans="1:19" x14ac:dyDescent="0.25">
      <c r="A13945">
        <v>101393522</v>
      </c>
      <c r="B13945" t="s">
        <v>4064</v>
      </c>
      <c r="C13945" t="s">
        <v>30</v>
      </c>
      <c r="F13945" t="str">
        <f>"9494933345"</f>
        <v>9494933345</v>
      </c>
      <c r="G13945" t="s">
        <v>30147</v>
      </c>
      <c r="H13945" t="s">
        <v>30148</v>
      </c>
      <c r="I13945" t="s">
        <v>22</v>
      </c>
      <c r="J13945" t="s">
        <v>30149</v>
      </c>
      <c r="K13945">
        <v>3606</v>
      </c>
      <c r="L13945" t="s">
        <v>23</v>
      </c>
      <c r="M13945" t="s">
        <v>30147</v>
      </c>
      <c r="N13945" t="s">
        <v>30148</v>
      </c>
      <c r="O13945" t="s">
        <v>22</v>
      </c>
      <c r="P13945" t="s">
        <v>30149</v>
      </c>
      <c r="Q13945">
        <v>3606</v>
      </c>
      <c r="R13945" t="s">
        <v>23</v>
      </c>
      <c r="S13945" s="1" t="s">
        <v>34218</v>
      </c>
    </row>
    <row r="13946" spans="1:19" x14ac:dyDescent="0.25">
      <c r="A13946">
        <v>101266230</v>
      </c>
      <c r="B13946" t="s">
        <v>1134</v>
      </c>
      <c r="C13946" t="s">
        <v>266</v>
      </c>
      <c r="G13946" t="s">
        <v>30150</v>
      </c>
      <c r="H13946" t="s">
        <v>12456</v>
      </c>
      <c r="I13946" t="s">
        <v>178</v>
      </c>
      <c r="J13946" t="s">
        <v>30151</v>
      </c>
      <c r="K13946">
        <v>1214</v>
      </c>
      <c r="L13946" t="s">
        <v>23</v>
      </c>
      <c r="M13946" t="s">
        <v>30150</v>
      </c>
      <c r="N13946" t="s">
        <v>12456</v>
      </c>
      <c r="O13946" t="s">
        <v>178</v>
      </c>
      <c r="P13946" t="s">
        <v>30151</v>
      </c>
      <c r="Q13946">
        <v>1214</v>
      </c>
      <c r="R13946" t="s">
        <v>23</v>
      </c>
      <c r="S13946" s="1" t="s">
        <v>34218</v>
      </c>
    </row>
    <row r="13947" spans="1:19" x14ac:dyDescent="0.25">
      <c r="A13947">
        <v>101359392</v>
      </c>
      <c r="B13947" t="s">
        <v>497</v>
      </c>
      <c r="C13947" t="s">
        <v>2127</v>
      </c>
      <c r="G13947" t="s">
        <v>30152</v>
      </c>
      <c r="H13947" t="s">
        <v>4932</v>
      </c>
      <c r="I13947" t="s">
        <v>1482</v>
      </c>
      <c r="J13947" t="s">
        <v>30153</v>
      </c>
      <c r="K13947">
        <v>4508</v>
      </c>
      <c r="L13947" t="s">
        <v>23</v>
      </c>
      <c r="M13947" t="s">
        <v>30152</v>
      </c>
      <c r="N13947" t="s">
        <v>4932</v>
      </c>
      <c r="O13947" t="s">
        <v>1482</v>
      </c>
      <c r="P13947" t="s">
        <v>30153</v>
      </c>
      <c r="Q13947">
        <v>4508</v>
      </c>
      <c r="R13947" t="s">
        <v>23</v>
      </c>
      <c r="S13947" s="1" t="s">
        <v>34218</v>
      </c>
    </row>
    <row r="13948" spans="1:19" x14ac:dyDescent="0.25">
      <c r="A13948">
        <v>101420731</v>
      </c>
      <c r="B13948" t="s">
        <v>30154</v>
      </c>
      <c r="C13948" t="s">
        <v>1157</v>
      </c>
      <c r="G13948" t="s">
        <v>30155</v>
      </c>
      <c r="H13948" t="s">
        <v>3852</v>
      </c>
      <c r="I13948" t="s">
        <v>140</v>
      </c>
      <c r="J13948" t="s">
        <v>30156</v>
      </c>
      <c r="K13948">
        <v>7789</v>
      </c>
      <c r="L13948" t="s">
        <v>23</v>
      </c>
      <c r="M13948" t="s">
        <v>30155</v>
      </c>
      <c r="N13948" t="s">
        <v>3852</v>
      </c>
      <c r="O13948" t="s">
        <v>140</v>
      </c>
      <c r="P13948" t="s">
        <v>30156</v>
      </c>
      <c r="Q13948">
        <v>7789</v>
      </c>
      <c r="R13948" t="s">
        <v>23</v>
      </c>
      <c r="S13948" s="1" t="s">
        <v>34218</v>
      </c>
    </row>
    <row r="13949" spans="1:19" x14ac:dyDescent="0.25">
      <c r="A13949">
        <v>101321300</v>
      </c>
      <c r="B13949" t="s">
        <v>30157</v>
      </c>
      <c r="C13949" t="s">
        <v>155</v>
      </c>
      <c r="G13949" t="s">
        <v>30158</v>
      </c>
      <c r="H13949" t="s">
        <v>11608</v>
      </c>
      <c r="I13949" t="s">
        <v>33</v>
      </c>
      <c r="J13949" t="s">
        <v>30159</v>
      </c>
      <c r="K13949">
        <v>9058</v>
      </c>
      <c r="L13949" t="s">
        <v>23</v>
      </c>
      <c r="M13949" t="s">
        <v>30158</v>
      </c>
      <c r="N13949" t="s">
        <v>11608</v>
      </c>
      <c r="O13949" t="s">
        <v>33</v>
      </c>
      <c r="P13949" t="s">
        <v>30159</v>
      </c>
      <c r="Q13949">
        <v>9058</v>
      </c>
      <c r="R13949" t="s">
        <v>23</v>
      </c>
      <c r="S13949" s="1" t="s">
        <v>34218</v>
      </c>
    </row>
    <row r="13950" spans="1:19" x14ac:dyDescent="0.25">
      <c r="A13950">
        <v>101393473</v>
      </c>
      <c r="B13950" t="s">
        <v>1164</v>
      </c>
      <c r="C13950" t="s">
        <v>30160</v>
      </c>
      <c r="F13950" t="str">
        <f>"5053852314"</f>
        <v>5053852314</v>
      </c>
      <c r="G13950" t="s">
        <v>30161</v>
      </c>
      <c r="H13950" t="s">
        <v>638</v>
      </c>
      <c r="I13950" t="s">
        <v>639</v>
      </c>
      <c r="J13950" t="s">
        <v>30162</v>
      </c>
      <c r="K13950">
        <v>3493</v>
      </c>
      <c r="L13950" t="s">
        <v>23</v>
      </c>
      <c r="M13950" t="s">
        <v>30161</v>
      </c>
      <c r="N13950" t="s">
        <v>638</v>
      </c>
      <c r="O13950" t="s">
        <v>639</v>
      </c>
      <c r="P13950" t="s">
        <v>30162</v>
      </c>
      <c r="Q13950">
        <v>3493</v>
      </c>
      <c r="R13950" t="s">
        <v>23</v>
      </c>
      <c r="S13950" s="1" t="s">
        <v>34218</v>
      </c>
    </row>
    <row r="13951" spans="1:19" x14ac:dyDescent="0.25">
      <c r="A13951">
        <v>101445222</v>
      </c>
      <c r="B13951" t="s">
        <v>119</v>
      </c>
      <c r="C13951" t="s">
        <v>5500</v>
      </c>
      <c r="G13951" t="s">
        <v>30163</v>
      </c>
      <c r="H13951" t="s">
        <v>88</v>
      </c>
      <c r="I13951" t="s">
        <v>22</v>
      </c>
      <c r="J13951" t="s">
        <v>30164</v>
      </c>
      <c r="K13951">
        <v>3758</v>
      </c>
      <c r="L13951" t="s">
        <v>23</v>
      </c>
      <c r="M13951" t="s">
        <v>30163</v>
      </c>
      <c r="N13951" t="s">
        <v>88</v>
      </c>
      <c r="O13951" t="s">
        <v>22</v>
      </c>
      <c r="P13951" t="s">
        <v>30164</v>
      </c>
      <c r="Q13951">
        <v>3758</v>
      </c>
      <c r="R13951" t="s">
        <v>23</v>
      </c>
      <c r="S13951" s="1" t="s">
        <v>34218</v>
      </c>
    </row>
    <row r="13952" spans="1:19" x14ac:dyDescent="0.25">
      <c r="A13952">
        <v>101273980</v>
      </c>
      <c r="B13952" t="s">
        <v>1515</v>
      </c>
      <c r="C13952" t="s">
        <v>1153</v>
      </c>
      <c r="G13952" t="s">
        <v>30165</v>
      </c>
      <c r="H13952" t="s">
        <v>21036</v>
      </c>
      <c r="I13952" t="s">
        <v>1482</v>
      </c>
      <c r="J13952" t="s">
        <v>30166</v>
      </c>
      <c r="K13952">
        <v>3252</v>
      </c>
      <c r="L13952" t="s">
        <v>23</v>
      </c>
      <c r="M13952" t="s">
        <v>30165</v>
      </c>
      <c r="N13952" t="s">
        <v>21036</v>
      </c>
      <c r="O13952" t="s">
        <v>1482</v>
      </c>
      <c r="P13952" t="s">
        <v>30166</v>
      </c>
      <c r="Q13952">
        <v>3252</v>
      </c>
      <c r="R13952" t="s">
        <v>23</v>
      </c>
      <c r="S13952" s="1" t="s">
        <v>34218</v>
      </c>
    </row>
    <row r="13953" spans="1:19" x14ac:dyDescent="0.25">
      <c r="A13953">
        <v>101273200</v>
      </c>
      <c r="B13953" t="s">
        <v>10816</v>
      </c>
      <c r="C13953" t="s">
        <v>664</v>
      </c>
      <c r="G13953" t="s">
        <v>30167</v>
      </c>
      <c r="H13953" t="s">
        <v>3086</v>
      </c>
      <c r="I13953" t="s">
        <v>52</v>
      </c>
      <c r="J13953" t="s">
        <v>30168</v>
      </c>
      <c r="K13953">
        <v>7885</v>
      </c>
      <c r="L13953" t="s">
        <v>23</v>
      </c>
      <c r="M13953" t="s">
        <v>30167</v>
      </c>
      <c r="N13953" t="s">
        <v>3086</v>
      </c>
      <c r="O13953" t="s">
        <v>52</v>
      </c>
      <c r="P13953" t="s">
        <v>30168</v>
      </c>
      <c r="Q13953">
        <v>7885</v>
      </c>
      <c r="R13953" t="s">
        <v>23</v>
      </c>
      <c r="S13953" s="1" t="s">
        <v>34218</v>
      </c>
    </row>
    <row r="13954" spans="1:19" x14ac:dyDescent="0.25">
      <c r="A13954">
        <v>101408991</v>
      </c>
      <c r="B13954" t="s">
        <v>2064</v>
      </c>
      <c r="C13954" t="s">
        <v>20173</v>
      </c>
      <c r="G13954" t="s">
        <v>30169</v>
      </c>
      <c r="H13954" t="s">
        <v>12564</v>
      </c>
      <c r="I13954" t="s">
        <v>446</v>
      </c>
      <c r="J13954" t="s">
        <v>30170</v>
      </c>
      <c r="K13954">
        <v>2205</v>
      </c>
      <c r="L13954" t="s">
        <v>23</v>
      </c>
      <c r="M13954" t="s">
        <v>30169</v>
      </c>
      <c r="N13954" t="s">
        <v>12564</v>
      </c>
      <c r="O13954" t="s">
        <v>446</v>
      </c>
      <c r="P13954" t="s">
        <v>30170</v>
      </c>
      <c r="Q13954">
        <v>2205</v>
      </c>
      <c r="R13954" t="s">
        <v>23</v>
      </c>
      <c r="S13954" s="1" t="s">
        <v>34218</v>
      </c>
    </row>
    <row r="13955" spans="1:19" x14ac:dyDescent="0.25">
      <c r="A13955">
        <v>101292257</v>
      </c>
      <c r="B13955" t="s">
        <v>30171</v>
      </c>
      <c r="C13955" t="s">
        <v>123</v>
      </c>
      <c r="G13955" t="s">
        <v>30172</v>
      </c>
      <c r="H13955" t="s">
        <v>496</v>
      </c>
      <c r="I13955" t="s">
        <v>22</v>
      </c>
      <c r="J13955" t="s">
        <v>30173</v>
      </c>
      <c r="K13955">
        <v>2752</v>
      </c>
      <c r="L13955" t="s">
        <v>23</v>
      </c>
      <c r="M13955" t="s">
        <v>30172</v>
      </c>
      <c r="N13955" t="s">
        <v>496</v>
      </c>
      <c r="O13955" t="s">
        <v>22</v>
      </c>
      <c r="P13955" t="s">
        <v>30173</v>
      </c>
      <c r="Q13955">
        <v>2752</v>
      </c>
      <c r="R13955" t="s">
        <v>23</v>
      </c>
      <c r="S13955" s="1" t="s">
        <v>34218</v>
      </c>
    </row>
    <row r="13956" spans="1:19" x14ac:dyDescent="0.25">
      <c r="A13956">
        <v>101351948</v>
      </c>
      <c r="B13956" t="s">
        <v>8606</v>
      </c>
      <c r="C13956" t="s">
        <v>4471</v>
      </c>
      <c r="F13956" t="str">
        <f>"9167651548"</f>
        <v>9167651548</v>
      </c>
      <c r="G13956" t="s">
        <v>30174</v>
      </c>
      <c r="H13956" t="s">
        <v>650</v>
      </c>
      <c r="I13956" t="s">
        <v>22</v>
      </c>
      <c r="J13956">
        <v>95841</v>
      </c>
      <c r="K13956">
        <v>3215</v>
      </c>
      <c r="L13956" t="s">
        <v>23</v>
      </c>
      <c r="M13956" t="s">
        <v>30174</v>
      </c>
      <c r="N13956" t="s">
        <v>650</v>
      </c>
      <c r="O13956" t="s">
        <v>22</v>
      </c>
      <c r="P13956">
        <v>95841</v>
      </c>
      <c r="Q13956">
        <v>3215</v>
      </c>
      <c r="R13956" t="s">
        <v>23</v>
      </c>
      <c r="S13956" s="1" t="s">
        <v>34218</v>
      </c>
    </row>
    <row r="13957" spans="1:19" x14ac:dyDescent="0.25">
      <c r="A13957">
        <v>101248861</v>
      </c>
      <c r="B13957" t="s">
        <v>24378</v>
      </c>
      <c r="C13957" t="s">
        <v>180</v>
      </c>
      <c r="G13957" t="s">
        <v>30175</v>
      </c>
      <c r="H13957" t="s">
        <v>2724</v>
      </c>
      <c r="I13957" t="s">
        <v>187</v>
      </c>
      <c r="J13957">
        <v>55113</v>
      </c>
      <c r="K13957">
        <v>14</v>
      </c>
      <c r="L13957" t="s">
        <v>23</v>
      </c>
      <c r="M13957" t="s">
        <v>30175</v>
      </c>
      <c r="N13957" t="s">
        <v>2724</v>
      </c>
      <c r="O13957" t="s">
        <v>187</v>
      </c>
      <c r="P13957">
        <v>55113</v>
      </c>
      <c r="Q13957">
        <v>14</v>
      </c>
      <c r="R13957" t="s">
        <v>23</v>
      </c>
      <c r="S13957" s="1" t="s">
        <v>34218</v>
      </c>
    </row>
    <row r="13958" spans="1:19" x14ac:dyDescent="0.25">
      <c r="A13958">
        <v>101423478</v>
      </c>
      <c r="B13958" t="s">
        <v>30176</v>
      </c>
      <c r="C13958" t="s">
        <v>30177</v>
      </c>
      <c r="G13958" t="s">
        <v>30178</v>
      </c>
      <c r="H13958" t="s">
        <v>976</v>
      </c>
      <c r="I13958" t="s">
        <v>140</v>
      </c>
      <c r="J13958">
        <v>48108</v>
      </c>
      <c r="L13958" t="s">
        <v>23</v>
      </c>
      <c r="M13958" t="s">
        <v>30178</v>
      </c>
      <c r="N13958" t="s">
        <v>976</v>
      </c>
      <c r="O13958" t="s">
        <v>140</v>
      </c>
      <c r="P13958">
        <v>48108</v>
      </c>
      <c r="R13958" t="s">
        <v>23</v>
      </c>
      <c r="S13958" s="1" t="s">
        <v>34218</v>
      </c>
    </row>
    <row r="13959" spans="1:19" x14ac:dyDescent="0.25">
      <c r="A13959">
        <v>101429672</v>
      </c>
      <c r="B13959" t="s">
        <v>30179</v>
      </c>
      <c r="C13959" t="s">
        <v>3511</v>
      </c>
      <c r="G13959" t="s">
        <v>30180</v>
      </c>
      <c r="H13959" t="s">
        <v>5040</v>
      </c>
      <c r="I13959" t="s">
        <v>241</v>
      </c>
      <c r="J13959">
        <v>66203</v>
      </c>
      <c r="L13959" t="s">
        <v>23</v>
      </c>
      <c r="M13959" t="s">
        <v>30180</v>
      </c>
      <c r="N13959" t="s">
        <v>5040</v>
      </c>
      <c r="O13959" t="s">
        <v>241</v>
      </c>
      <c r="P13959">
        <v>66203</v>
      </c>
      <c r="R13959" t="s">
        <v>23</v>
      </c>
      <c r="S13959" s="1" t="s">
        <v>34218</v>
      </c>
    </row>
    <row r="13960" spans="1:19" x14ac:dyDescent="0.25">
      <c r="A13960">
        <v>100613783</v>
      </c>
      <c r="B13960" t="s">
        <v>30181</v>
      </c>
      <c r="C13960" t="s">
        <v>1327</v>
      </c>
      <c r="G13960" t="s">
        <v>30182</v>
      </c>
      <c r="H13960" t="s">
        <v>2141</v>
      </c>
      <c r="I13960" t="s">
        <v>1000</v>
      </c>
      <c r="J13960">
        <v>59715</v>
      </c>
      <c r="K13960">
        <v>4760</v>
      </c>
      <c r="L13960" t="s">
        <v>23</v>
      </c>
      <c r="M13960" t="s">
        <v>30182</v>
      </c>
      <c r="N13960" t="s">
        <v>2141</v>
      </c>
      <c r="O13960" t="s">
        <v>1000</v>
      </c>
      <c r="P13960">
        <v>59715</v>
      </c>
      <c r="Q13960">
        <v>4760</v>
      </c>
      <c r="R13960" t="s">
        <v>23</v>
      </c>
      <c r="S13960" s="1" t="s">
        <v>34218</v>
      </c>
    </row>
    <row r="13961" spans="1:19" x14ac:dyDescent="0.25">
      <c r="A13961">
        <v>101482164</v>
      </c>
      <c r="B13961" t="s">
        <v>30183</v>
      </c>
      <c r="C13961" t="s">
        <v>2518</v>
      </c>
      <c r="G13961" t="s">
        <v>30184</v>
      </c>
      <c r="H13961" t="s">
        <v>19028</v>
      </c>
      <c r="I13961" t="s">
        <v>1482</v>
      </c>
      <c r="J13961">
        <v>29356</v>
      </c>
      <c r="K13961">
        <v>8975</v>
      </c>
      <c r="L13961" t="s">
        <v>23</v>
      </c>
      <c r="M13961" t="s">
        <v>30184</v>
      </c>
      <c r="N13961" t="s">
        <v>19028</v>
      </c>
      <c r="O13961" t="s">
        <v>1482</v>
      </c>
      <c r="P13961">
        <v>29356</v>
      </c>
      <c r="Q13961">
        <v>8975</v>
      </c>
      <c r="R13961" t="s">
        <v>23</v>
      </c>
      <c r="S13961" s="1" t="s">
        <v>34218</v>
      </c>
    </row>
    <row r="13962" spans="1:19" x14ac:dyDescent="0.25">
      <c r="A13962">
        <v>101279880</v>
      </c>
      <c r="B13962" t="s">
        <v>1625</v>
      </c>
      <c r="C13962" t="s">
        <v>916</v>
      </c>
      <c r="G13962" t="s">
        <v>30185</v>
      </c>
      <c r="H13962" t="s">
        <v>1667</v>
      </c>
      <c r="I13962" t="s">
        <v>135</v>
      </c>
      <c r="J13962" t="s">
        <v>30186</v>
      </c>
      <c r="K13962">
        <v>3312</v>
      </c>
      <c r="L13962" t="s">
        <v>23</v>
      </c>
      <c r="M13962" t="s">
        <v>30185</v>
      </c>
      <c r="N13962" t="s">
        <v>1667</v>
      </c>
      <c r="O13962" t="s">
        <v>135</v>
      </c>
      <c r="P13962" t="s">
        <v>30186</v>
      </c>
      <c r="Q13962">
        <v>3312</v>
      </c>
      <c r="R13962" t="s">
        <v>23</v>
      </c>
      <c r="S13962" s="1" t="s">
        <v>34218</v>
      </c>
    </row>
    <row r="13963" spans="1:19" x14ac:dyDescent="0.25">
      <c r="A13963">
        <v>101351109</v>
      </c>
      <c r="B13963" t="s">
        <v>11916</v>
      </c>
      <c r="C13963" t="s">
        <v>699</v>
      </c>
      <c r="G13963" t="s">
        <v>30187</v>
      </c>
      <c r="H13963" t="s">
        <v>12656</v>
      </c>
      <c r="I13963" t="s">
        <v>140</v>
      </c>
      <c r="J13963" t="s">
        <v>30188</v>
      </c>
      <c r="K13963">
        <v>3539</v>
      </c>
      <c r="L13963" t="s">
        <v>23</v>
      </c>
      <c r="M13963" t="s">
        <v>30187</v>
      </c>
      <c r="N13963" t="s">
        <v>12656</v>
      </c>
      <c r="O13963" t="s">
        <v>140</v>
      </c>
      <c r="P13963" t="s">
        <v>30188</v>
      </c>
      <c r="Q13963">
        <v>3539</v>
      </c>
      <c r="R13963" t="s">
        <v>23</v>
      </c>
      <c r="S13963" s="1" t="s">
        <v>34218</v>
      </c>
    </row>
    <row r="13964" spans="1:19" x14ac:dyDescent="0.25">
      <c r="A13964">
        <v>101336823</v>
      </c>
      <c r="B13964" t="s">
        <v>23573</v>
      </c>
      <c r="C13964" t="s">
        <v>30</v>
      </c>
      <c r="G13964" t="s">
        <v>30189</v>
      </c>
      <c r="H13964" t="s">
        <v>3056</v>
      </c>
      <c r="I13964" t="s">
        <v>662</v>
      </c>
      <c r="J13964" t="s">
        <v>30190</v>
      </c>
      <c r="K13964">
        <v>2064</v>
      </c>
      <c r="L13964" t="s">
        <v>23</v>
      </c>
      <c r="M13964" t="s">
        <v>30189</v>
      </c>
      <c r="N13964" t="s">
        <v>3056</v>
      </c>
      <c r="O13964" t="s">
        <v>662</v>
      </c>
      <c r="P13964" t="s">
        <v>30190</v>
      </c>
      <c r="Q13964">
        <v>2064</v>
      </c>
      <c r="R13964" t="s">
        <v>23</v>
      </c>
      <c r="S13964" s="1" t="s">
        <v>34218</v>
      </c>
    </row>
    <row r="13965" spans="1:19" x14ac:dyDescent="0.25">
      <c r="A13965">
        <v>101291384</v>
      </c>
      <c r="B13965" t="s">
        <v>30191</v>
      </c>
      <c r="C13965" t="s">
        <v>2056</v>
      </c>
      <c r="G13965" t="s">
        <v>30192</v>
      </c>
      <c r="H13965" t="s">
        <v>20188</v>
      </c>
      <c r="I13965" t="s">
        <v>22</v>
      </c>
      <c r="J13965" t="s">
        <v>30193</v>
      </c>
      <c r="K13965">
        <v>3434</v>
      </c>
      <c r="L13965" t="s">
        <v>23</v>
      </c>
      <c r="M13965" t="s">
        <v>30192</v>
      </c>
      <c r="N13965" t="s">
        <v>20188</v>
      </c>
      <c r="O13965" t="s">
        <v>22</v>
      </c>
      <c r="P13965" t="s">
        <v>30193</v>
      </c>
      <c r="Q13965">
        <v>3434</v>
      </c>
      <c r="R13965" t="s">
        <v>23</v>
      </c>
      <c r="S13965" s="1" t="s">
        <v>34218</v>
      </c>
    </row>
    <row r="13966" spans="1:19" x14ac:dyDescent="0.25">
      <c r="A13966">
        <v>100655834</v>
      </c>
      <c r="B13966" t="s">
        <v>10951</v>
      </c>
      <c r="C13966" t="s">
        <v>498</v>
      </c>
      <c r="G13966" t="s">
        <v>30194</v>
      </c>
      <c r="H13966" t="s">
        <v>8253</v>
      </c>
      <c r="I13966" t="s">
        <v>250</v>
      </c>
      <c r="J13966" t="s">
        <v>30195</v>
      </c>
      <c r="K13966">
        <v>4555</v>
      </c>
      <c r="L13966" t="s">
        <v>23</v>
      </c>
      <c r="M13966" t="s">
        <v>30194</v>
      </c>
      <c r="N13966" t="s">
        <v>8253</v>
      </c>
      <c r="O13966" t="s">
        <v>250</v>
      </c>
      <c r="P13966" t="s">
        <v>30195</v>
      </c>
      <c r="Q13966">
        <v>4555</v>
      </c>
      <c r="R13966" t="s">
        <v>23</v>
      </c>
      <c r="S13966" s="1" t="s">
        <v>34218</v>
      </c>
    </row>
    <row r="13967" spans="1:19" x14ac:dyDescent="0.25">
      <c r="A13967">
        <v>101423575</v>
      </c>
      <c r="B13967" t="s">
        <v>2870</v>
      </c>
      <c r="C13967" t="s">
        <v>1859</v>
      </c>
      <c r="G13967" t="s">
        <v>30196</v>
      </c>
      <c r="H13967" t="s">
        <v>92</v>
      </c>
      <c r="I13967" t="s">
        <v>84</v>
      </c>
      <c r="J13967" t="s">
        <v>30197</v>
      </c>
      <c r="K13967">
        <v>5008</v>
      </c>
      <c r="L13967" t="s">
        <v>23</v>
      </c>
      <c r="M13967" t="s">
        <v>30196</v>
      </c>
      <c r="N13967" t="s">
        <v>92</v>
      </c>
      <c r="O13967" t="s">
        <v>84</v>
      </c>
      <c r="P13967" t="s">
        <v>30197</v>
      </c>
      <c r="Q13967">
        <v>5008</v>
      </c>
      <c r="R13967" t="s">
        <v>23</v>
      </c>
      <c r="S13967" s="1" t="s">
        <v>34218</v>
      </c>
    </row>
    <row r="13968" spans="1:19" x14ac:dyDescent="0.25">
      <c r="A13968">
        <v>100939110</v>
      </c>
      <c r="B13968" t="s">
        <v>30198</v>
      </c>
      <c r="C13968" t="s">
        <v>30199</v>
      </c>
      <c r="G13968" t="s">
        <v>30200</v>
      </c>
      <c r="H13968" t="s">
        <v>3867</v>
      </c>
      <c r="I13968" t="s">
        <v>38</v>
      </c>
      <c r="J13968" t="s">
        <v>30201</v>
      </c>
      <c r="K13968">
        <v>6652</v>
      </c>
      <c r="L13968" t="s">
        <v>23</v>
      </c>
      <c r="M13968" t="s">
        <v>30200</v>
      </c>
      <c r="N13968" t="s">
        <v>3867</v>
      </c>
      <c r="O13968" t="s">
        <v>38</v>
      </c>
      <c r="P13968" t="s">
        <v>30201</v>
      </c>
      <c r="Q13968">
        <v>6652</v>
      </c>
      <c r="R13968" t="s">
        <v>23</v>
      </c>
      <c r="S13968" s="1" t="s">
        <v>34218</v>
      </c>
    </row>
    <row r="13969" spans="1:19" x14ac:dyDescent="0.25">
      <c r="A13969">
        <v>101431183</v>
      </c>
      <c r="B13969" t="s">
        <v>5151</v>
      </c>
      <c r="C13969" t="s">
        <v>2776</v>
      </c>
      <c r="G13969" t="s">
        <v>30202</v>
      </c>
      <c r="H13969" t="s">
        <v>30203</v>
      </c>
      <c r="I13969" t="s">
        <v>148</v>
      </c>
      <c r="J13969" t="s">
        <v>30204</v>
      </c>
      <c r="K13969">
        <v>3322</v>
      </c>
      <c r="L13969" t="s">
        <v>23</v>
      </c>
      <c r="M13969" t="s">
        <v>30202</v>
      </c>
      <c r="N13969" t="s">
        <v>30203</v>
      </c>
      <c r="O13969" t="s">
        <v>148</v>
      </c>
      <c r="P13969" t="s">
        <v>30204</v>
      </c>
      <c r="Q13969">
        <v>3322</v>
      </c>
      <c r="R13969" t="s">
        <v>23</v>
      </c>
      <c r="S13969" s="1" t="s">
        <v>34218</v>
      </c>
    </row>
    <row r="13970" spans="1:19" x14ac:dyDescent="0.25">
      <c r="A13970">
        <v>101362077</v>
      </c>
      <c r="B13970" t="s">
        <v>30205</v>
      </c>
      <c r="C13970" t="s">
        <v>90</v>
      </c>
      <c r="G13970" t="s">
        <v>30206</v>
      </c>
      <c r="H13970" t="s">
        <v>412</v>
      </c>
      <c r="I13970" t="s">
        <v>117</v>
      </c>
      <c r="J13970" t="s">
        <v>30207</v>
      </c>
      <c r="K13970">
        <v>1420</v>
      </c>
      <c r="L13970" t="s">
        <v>23</v>
      </c>
      <c r="M13970" t="s">
        <v>30206</v>
      </c>
      <c r="N13970" t="s">
        <v>412</v>
      </c>
      <c r="O13970" t="s">
        <v>117</v>
      </c>
      <c r="P13970" t="s">
        <v>30207</v>
      </c>
      <c r="Q13970">
        <v>1420</v>
      </c>
      <c r="R13970" t="s">
        <v>23</v>
      </c>
      <c r="S13970" s="1" t="s">
        <v>34218</v>
      </c>
    </row>
    <row r="13971" spans="1:19" x14ac:dyDescent="0.25">
      <c r="A13971">
        <v>101428770</v>
      </c>
      <c r="B13971" t="s">
        <v>3209</v>
      </c>
      <c r="C13971" t="s">
        <v>119</v>
      </c>
      <c r="G13971" t="s">
        <v>30208</v>
      </c>
      <c r="H13971" t="s">
        <v>19486</v>
      </c>
      <c r="I13971" t="s">
        <v>178</v>
      </c>
      <c r="J13971" t="s">
        <v>30209</v>
      </c>
      <c r="K13971">
        <v>9317</v>
      </c>
      <c r="L13971" t="s">
        <v>23</v>
      </c>
      <c r="M13971" t="s">
        <v>30208</v>
      </c>
      <c r="N13971" t="s">
        <v>19486</v>
      </c>
      <c r="O13971" t="s">
        <v>178</v>
      </c>
      <c r="P13971" t="s">
        <v>30209</v>
      </c>
      <c r="Q13971">
        <v>9317</v>
      </c>
      <c r="R13971" t="s">
        <v>23</v>
      </c>
      <c r="S13971" s="1" t="s">
        <v>34218</v>
      </c>
    </row>
    <row r="13972" spans="1:19" x14ac:dyDescent="0.25">
      <c r="A13972">
        <v>101431331</v>
      </c>
      <c r="B13972" t="s">
        <v>30210</v>
      </c>
      <c r="C13972" t="s">
        <v>1616</v>
      </c>
      <c r="G13972" t="s">
        <v>30211</v>
      </c>
      <c r="H13972" t="s">
        <v>4632</v>
      </c>
      <c r="I13972" t="s">
        <v>178</v>
      </c>
      <c r="J13972" t="s">
        <v>30212</v>
      </c>
      <c r="K13972">
        <v>1204</v>
      </c>
      <c r="L13972" t="s">
        <v>23</v>
      </c>
      <c r="M13972" t="s">
        <v>30211</v>
      </c>
      <c r="N13972" t="s">
        <v>4632</v>
      </c>
      <c r="O13972" t="s">
        <v>178</v>
      </c>
      <c r="P13972" t="s">
        <v>30212</v>
      </c>
      <c r="Q13972">
        <v>1204</v>
      </c>
      <c r="R13972" t="s">
        <v>23</v>
      </c>
      <c r="S13972" s="1" t="s">
        <v>34218</v>
      </c>
    </row>
    <row r="13973" spans="1:19" x14ac:dyDescent="0.25">
      <c r="A13973">
        <v>101267012</v>
      </c>
      <c r="B13973" t="s">
        <v>30213</v>
      </c>
      <c r="C13973" t="s">
        <v>10802</v>
      </c>
      <c r="G13973" t="s">
        <v>30214</v>
      </c>
      <c r="H13973" t="s">
        <v>9442</v>
      </c>
      <c r="I13973" t="s">
        <v>353</v>
      </c>
      <c r="J13973" t="s">
        <v>30215</v>
      </c>
      <c r="K13973">
        <v>3728</v>
      </c>
      <c r="L13973" t="s">
        <v>23</v>
      </c>
      <c r="M13973" t="s">
        <v>30214</v>
      </c>
      <c r="N13973" t="s">
        <v>9442</v>
      </c>
      <c r="O13973" t="s">
        <v>353</v>
      </c>
      <c r="P13973" t="s">
        <v>30215</v>
      </c>
      <c r="Q13973">
        <v>3728</v>
      </c>
      <c r="R13973" t="s">
        <v>23</v>
      </c>
      <c r="S13973" s="1" t="s">
        <v>34218</v>
      </c>
    </row>
    <row r="13974" spans="1:19" x14ac:dyDescent="0.25">
      <c r="A13974">
        <v>101353514</v>
      </c>
      <c r="B13974" t="s">
        <v>1925</v>
      </c>
      <c r="C13974" t="s">
        <v>585</v>
      </c>
      <c r="G13974" t="s">
        <v>30216</v>
      </c>
      <c r="H13974" t="s">
        <v>30217</v>
      </c>
      <c r="I13974" t="s">
        <v>117</v>
      </c>
      <c r="J13974" t="s">
        <v>30218</v>
      </c>
      <c r="K13974">
        <v>1107</v>
      </c>
      <c r="L13974" t="s">
        <v>23</v>
      </c>
      <c r="M13974" t="s">
        <v>30216</v>
      </c>
      <c r="N13974" t="s">
        <v>30217</v>
      </c>
      <c r="O13974" t="s">
        <v>117</v>
      </c>
      <c r="P13974" t="s">
        <v>30218</v>
      </c>
      <c r="Q13974">
        <v>1107</v>
      </c>
      <c r="R13974" t="s">
        <v>23</v>
      </c>
      <c r="S13974" s="1" t="s">
        <v>34218</v>
      </c>
    </row>
    <row r="13975" spans="1:19" x14ac:dyDescent="0.25">
      <c r="A13975">
        <v>101426959</v>
      </c>
      <c r="B13975" t="s">
        <v>30219</v>
      </c>
      <c r="C13975" t="s">
        <v>1588</v>
      </c>
      <c r="G13975" t="s">
        <v>30220</v>
      </c>
      <c r="H13975" t="s">
        <v>21612</v>
      </c>
      <c r="I13975" t="s">
        <v>662</v>
      </c>
      <c r="J13975" t="s">
        <v>30221</v>
      </c>
      <c r="K13975">
        <v>4912</v>
      </c>
      <c r="L13975" t="s">
        <v>23</v>
      </c>
      <c r="M13975" t="s">
        <v>30220</v>
      </c>
      <c r="N13975" t="s">
        <v>21612</v>
      </c>
      <c r="O13975" t="s">
        <v>662</v>
      </c>
      <c r="P13975" t="s">
        <v>30221</v>
      </c>
      <c r="Q13975">
        <v>4912</v>
      </c>
      <c r="R13975" t="s">
        <v>23</v>
      </c>
      <c r="S13975" s="1" t="s">
        <v>34218</v>
      </c>
    </row>
    <row r="13976" spans="1:19" x14ac:dyDescent="0.25">
      <c r="A13976">
        <v>101465780</v>
      </c>
      <c r="B13976" t="s">
        <v>30222</v>
      </c>
      <c r="C13976" t="s">
        <v>1444</v>
      </c>
      <c r="G13976" t="s">
        <v>30223</v>
      </c>
      <c r="H13976" t="s">
        <v>1405</v>
      </c>
      <c r="I13976" t="s">
        <v>187</v>
      </c>
      <c r="J13976">
        <v>55104</v>
      </c>
      <c r="K13976">
        <v>1730</v>
      </c>
      <c r="L13976" t="s">
        <v>23</v>
      </c>
      <c r="M13976" t="s">
        <v>30223</v>
      </c>
      <c r="N13976" t="s">
        <v>1405</v>
      </c>
      <c r="O13976" t="s">
        <v>187</v>
      </c>
      <c r="P13976">
        <v>55104</v>
      </c>
      <c r="Q13976">
        <v>1730</v>
      </c>
      <c r="R13976" t="s">
        <v>23</v>
      </c>
      <c r="S13976" s="1" t="s">
        <v>34218</v>
      </c>
    </row>
    <row r="13977" spans="1:19" x14ac:dyDescent="0.25">
      <c r="A13977">
        <v>100584585</v>
      </c>
      <c r="B13977" t="s">
        <v>30106</v>
      </c>
      <c r="C13977" t="s">
        <v>466</v>
      </c>
      <c r="G13977" t="s">
        <v>30224</v>
      </c>
      <c r="H13977" t="s">
        <v>30225</v>
      </c>
      <c r="I13977" t="s">
        <v>100</v>
      </c>
      <c r="J13977">
        <v>54770</v>
      </c>
      <c r="K13977">
        <v>7920</v>
      </c>
      <c r="L13977" t="s">
        <v>23</v>
      </c>
      <c r="M13977" t="s">
        <v>30224</v>
      </c>
      <c r="N13977" t="s">
        <v>30225</v>
      </c>
      <c r="O13977" t="s">
        <v>100</v>
      </c>
      <c r="P13977">
        <v>54770</v>
      </c>
      <c r="Q13977">
        <v>7920</v>
      </c>
      <c r="R13977" t="s">
        <v>23</v>
      </c>
      <c r="S13977" s="1" t="s">
        <v>34218</v>
      </c>
    </row>
    <row r="13978" spans="1:19" x14ac:dyDescent="0.25">
      <c r="A13978">
        <v>101467126</v>
      </c>
      <c r="B13978" t="s">
        <v>27962</v>
      </c>
      <c r="C13978" t="s">
        <v>30226</v>
      </c>
      <c r="G13978" t="s">
        <v>30227</v>
      </c>
      <c r="H13978" t="s">
        <v>16069</v>
      </c>
      <c r="I13978" t="s">
        <v>191</v>
      </c>
      <c r="J13978">
        <v>4605</v>
      </c>
      <c r="K13978">
        <v>3825</v>
      </c>
      <c r="L13978" t="s">
        <v>23</v>
      </c>
      <c r="M13978" t="s">
        <v>30227</v>
      </c>
      <c r="N13978" t="s">
        <v>16069</v>
      </c>
      <c r="O13978" t="s">
        <v>191</v>
      </c>
      <c r="P13978">
        <v>4605</v>
      </c>
      <c r="Q13978">
        <v>3825</v>
      </c>
      <c r="R13978" t="s">
        <v>23</v>
      </c>
      <c r="S13978" s="1" t="s">
        <v>34218</v>
      </c>
    </row>
    <row r="13979" spans="1:19" x14ac:dyDescent="0.25">
      <c r="A13979">
        <v>101236107</v>
      </c>
      <c r="B13979" t="s">
        <v>30228</v>
      </c>
      <c r="C13979" t="s">
        <v>3590</v>
      </c>
      <c r="G13979" t="s">
        <v>2752</v>
      </c>
      <c r="H13979" t="s">
        <v>17654</v>
      </c>
      <c r="I13979" t="s">
        <v>22</v>
      </c>
      <c r="J13979">
        <v>91043</v>
      </c>
      <c r="K13979">
        <v>672</v>
      </c>
      <c r="L13979" t="s">
        <v>23</v>
      </c>
      <c r="M13979" t="s">
        <v>2752</v>
      </c>
      <c r="N13979" t="s">
        <v>17654</v>
      </c>
      <c r="O13979" t="s">
        <v>22</v>
      </c>
      <c r="P13979">
        <v>91043</v>
      </c>
      <c r="Q13979">
        <v>672</v>
      </c>
      <c r="R13979" t="s">
        <v>23</v>
      </c>
      <c r="S13979" s="1" t="s">
        <v>34218</v>
      </c>
    </row>
    <row r="13980" spans="1:19" x14ac:dyDescent="0.25">
      <c r="A13980">
        <v>101347419</v>
      </c>
      <c r="B13980" t="s">
        <v>30229</v>
      </c>
      <c r="C13980" t="s">
        <v>2642</v>
      </c>
      <c r="G13980" t="s">
        <v>30230</v>
      </c>
      <c r="H13980" t="s">
        <v>1424</v>
      </c>
      <c r="I13980" t="s">
        <v>117</v>
      </c>
      <c r="J13980">
        <v>10533</v>
      </c>
      <c r="K13980">
        <v>2005</v>
      </c>
      <c r="L13980" t="s">
        <v>23</v>
      </c>
      <c r="M13980" t="s">
        <v>30230</v>
      </c>
      <c r="N13980" t="s">
        <v>1424</v>
      </c>
      <c r="O13980" t="s">
        <v>117</v>
      </c>
      <c r="P13980">
        <v>10533</v>
      </c>
      <c r="Q13980">
        <v>2005</v>
      </c>
      <c r="R13980" t="s">
        <v>23</v>
      </c>
      <c r="S13980" s="1" t="s">
        <v>34218</v>
      </c>
    </row>
    <row r="13981" spans="1:19" x14ac:dyDescent="0.25">
      <c r="A13981">
        <v>100559134</v>
      </c>
      <c r="B13981" t="s">
        <v>30231</v>
      </c>
      <c r="C13981" t="s">
        <v>30232</v>
      </c>
      <c r="G13981" t="s">
        <v>30233</v>
      </c>
      <c r="H13981" t="s">
        <v>37</v>
      </c>
      <c r="I13981" t="s">
        <v>38</v>
      </c>
      <c r="J13981">
        <v>78730</v>
      </c>
      <c r="L13981" t="s">
        <v>23</v>
      </c>
      <c r="M13981" t="s">
        <v>30233</v>
      </c>
      <c r="N13981" t="s">
        <v>37</v>
      </c>
      <c r="O13981" t="s">
        <v>38</v>
      </c>
      <c r="P13981">
        <v>78730</v>
      </c>
      <c r="R13981" t="s">
        <v>23</v>
      </c>
      <c r="S13981" s="1" t="s">
        <v>34218</v>
      </c>
    </row>
    <row r="13982" spans="1:19" x14ac:dyDescent="0.25">
      <c r="A13982">
        <v>101466520</v>
      </c>
      <c r="B13982" t="s">
        <v>6598</v>
      </c>
      <c r="C13982" t="s">
        <v>1212</v>
      </c>
      <c r="G13982" t="s">
        <v>30234</v>
      </c>
      <c r="H13982" t="s">
        <v>134</v>
      </c>
      <c r="I13982" t="s">
        <v>135</v>
      </c>
      <c r="J13982">
        <v>60613</v>
      </c>
      <c r="K13982">
        <v>2715</v>
      </c>
      <c r="L13982" t="s">
        <v>23</v>
      </c>
      <c r="M13982" t="s">
        <v>30234</v>
      </c>
      <c r="N13982" t="s">
        <v>134</v>
      </c>
      <c r="O13982" t="s">
        <v>135</v>
      </c>
      <c r="P13982">
        <v>60613</v>
      </c>
      <c r="Q13982">
        <v>2715</v>
      </c>
      <c r="R13982" t="s">
        <v>23</v>
      </c>
      <c r="S13982" s="1" t="s">
        <v>34218</v>
      </c>
    </row>
    <row r="13983" spans="1:19" x14ac:dyDescent="0.25">
      <c r="A13983">
        <v>101424059</v>
      </c>
      <c r="B13983" t="s">
        <v>30235</v>
      </c>
      <c r="C13983" t="s">
        <v>10601</v>
      </c>
      <c r="G13983" t="s">
        <v>30236</v>
      </c>
      <c r="H13983" t="s">
        <v>2434</v>
      </c>
      <c r="I13983" t="s">
        <v>161</v>
      </c>
      <c r="J13983">
        <v>6519</v>
      </c>
      <c r="K13983">
        <v>1723</v>
      </c>
      <c r="L13983" t="s">
        <v>23</v>
      </c>
      <c r="M13983" t="s">
        <v>30236</v>
      </c>
      <c r="N13983" t="s">
        <v>2434</v>
      </c>
      <c r="O13983" t="s">
        <v>161</v>
      </c>
      <c r="P13983">
        <v>6519</v>
      </c>
      <c r="Q13983">
        <v>1723</v>
      </c>
      <c r="R13983" t="s">
        <v>23</v>
      </c>
      <c r="S13983" s="1" t="s">
        <v>34218</v>
      </c>
    </row>
    <row r="13984" spans="1:19" x14ac:dyDescent="0.25">
      <c r="A13984">
        <v>101422557</v>
      </c>
      <c r="B13984" t="s">
        <v>3266</v>
      </c>
      <c r="C13984" t="s">
        <v>911</v>
      </c>
      <c r="G13984" t="s">
        <v>30237</v>
      </c>
      <c r="H13984" t="s">
        <v>14739</v>
      </c>
      <c r="I13984" t="s">
        <v>140</v>
      </c>
      <c r="J13984">
        <v>49801</v>
      </c>
      <c r="K13984">
        <v>9503</v>
      </c>
      <c r="L13984" t="s">
        <v>23</v>
      </c>
      <c r="M13984" t="s">
        <v>30237</v>
      </c>
      <c r="N13984" t="s">
        <v>14739</v>
      </c>
      <c r="O13984" t="s">
        <v>140</v>
      </c>
      <c r="P13984">
        <v>49801</v>
      </c>
      <c r="Q13984">
        <v>9503</v>
      </c>
      <c r="R13984" t="s">
        <v>23</v>
      </c>
      <c r="S13984" s="1" t="s">
        <v>34218</v>
      </c>
    </row>
    <row r="13985" spans="1:19" x14ac:dyDescent="0.25">
      <c r="A13985">
        <v>101468748</v>
      </c>
      <c r="B13985" t="s">
        <v>30238</v>
      </c>
      <c r="C13985" t="s">
        <v>30239</v>
      </c>
      <c r="G13985" t="s">
        <v>30240</v>
      </c>
      <c r="H13985" t="s">
        <v>2359</v>
      </c>
      <c r="I13985" t="s">
        <v>22</v>
      </c>
      <c r="J13985">
        <v>92673</v>
      </c>
      <c r="K13985">
        <v>2755</v>
      </c>
      <c r="L13985" t="s">
        <v>23</v>
      </c>
      <c r="M13985" t="s">
        <v>30240</v>
      </c>
      <c r="N13985" t="s">
        <v>2359</v>
      </c>
      <c r="O13985" t="s">
        <v>22</v>
      </c>
      <c r="P13985">
        <v>92673</v>
      </c>
      <c r="Q13985">
        <v>2755</v>
      </c>
      <c r="R13985" t="s">
        <v>23</v>
      </c>
      <c r="S13985" s="1" t="s">
        <v>34218</v>
      </c>
    </row>
    <row r="13986" spans="1:19" x14ac:dyDescent="0.25">
      <c r="A13986">
        <v>101465292</v>
      </c>
      <c r="B13986" t="s">
        <v>5980</v>
      </c>
      <c r="C13986" t="s">
        <v>8042</v>
      </c>
      <c r="G13986" t="s">
        <v>30241</v>
      </c>
      <c r="H13986" t="s">
        <v>1246</v>
      </c>
      <c r="I13986" t="s">
        <v>140</v>
      </c>
      <c r="J13986">
        <v>49508</v>
      </c>
      <c r="K13986">
        <v>3719</v>
      </c>
      <c r="L13986" t="s">
        <v>23</v>
      </c>
      <c r="M13986" t="s">
        <v>30241</v>
      </c>
      <c r="N13986" t="s">
        <v>1246</v>
      </c>
      <c r="O13986" t="s">
        <v>140</v>
      </c>
      <c r="P13986">
        <v>49508</v>
      </c>
      <c r="Q13986">
        <v>3719</v>
      </c>
      <c r="R13986" t="s">
        <v>23</v>
      </c>
      <c r="S13986" s="1" t="s">
        <v>34218</v>
      </c>
    </row>
    <row r="13987" spans="1:19" x14ac:dyDescent="0.25">
      <c r="A13987">
        <v>101448229</v>
      </c>
      <c r="B13987" t="s">
        <v>15640</v>
      </c>
      <c r="C13987" t="s">
        <v>1873</v>
      </c>
      <c r="G13987" t="s">
        <v>30242</v>
      </c>
      <c r="H13987" t="s">
        <v>3902</v>
      </c>
      <c r="I13987" t="s">
        <v>22</v>
      </c>
      <c r="J13987">
        <v>91016</v>
      </c>
      <c r="K13987">
        <v>3113</v>
      </c>
      <c r="L13987" t="s">
        <v>23</v>
      </c>
      <c r="M13987" t="s">
        <v>30242</v>
      </c>
      <c r="N13987" t="s">
        <v>3902</v>
      </c>
      <c r="O13987" t="s">
        <v>22</v>
      </c>
      <c r="P13987">
        <v>91016</v>
      </c>
      <c r="Q13987">
        <v>3113</v>
      </c>
      <c r="R13987" t="s">
        <v>23</v>
      </c>
      <c r="S13987" s="1" t="s">
        <v>34218</v>
      </c>
    </row>
    <row r="13988" spans="1:19" x14ac:dyDescent="0.25">
      <c r="A13988">
        <v>101271942</v>
      </c>
      <c r="B13988" t="s">
        <v>30243</v>
      </c>
      <c r="C13988" t="s">
        <v>30244</v>
      </c>
      <c r="G13988" t="s">
        <v>30245</v>
      </c>
      <c r="H13988" t="s">
        <v>4646</v>
      </c>
      <c r="I13988" t="s">
        <v>250</v>
      </c>
      <c r="J13988">
        <v>8873</v>
      </c>
      <c r="K13988">
        <v>2752</v>
      </c>
      <c r="L13988" t="s">
        <v>23</v>
      </c>
      <c r="M13988" t="s">
        <v>30245</v>
      </c>
      <c r="N13988" t="s">
        <v>4646</v>
      </c>
      <c r="O13988" t="s">
        <v>250</v>
      </c>
      <c r="P13988">
        <v>8873</v>
      </c>
      <c r="Q13988">
        <v>2752</v>
      </c>
      <c r="R13988" t="s">
        <v>23</v>
      </c>
      <c r="S13988" s="1" t="s">
        <v>34218</v>
      </c>
    </row>
    <row r="13989" spans="1:19" x14ac:dyDescent="0.25">
      <c r="A13989">
        <v>101419268</v>
      </c>
      <c r="B13989" t="s">
        <v>3609</v>
      </c>
      <c r="C13989" t="s">
        <v>54</v>
      </c>
      <c r="G13989" t="s">
        <v>30246</v>
      </c>
      <c r="H13989" t="s">
        <v>1431</v>
      </c>
      <c r="I13989" t="s">
        <v>639</v>
      </c>
      <c r="J13989">
        <v>87505</v>
      </c>
      <c r="K13989">
        <v>3368</v>
      </c>
      <c r="L13989" t="s">
        <v>23</v>
      </c>
      <c r="M13989" t="s">
        <v>30246</v>
      </c>
      <c r="N13989" t="s">
        <v>1431</v>
      </c>
      <c r="O13989" t="s">
        <v>639</v>
      </c>
      <c r="P13989">
        <v>87505</v>
      </c>
      <c r="Q13989">
        <v>3368</v>
      </c>
      <c r="R13989" t="s">
        <v>23</v>
      </c>
      <c r="S13989" s="1" t="s">
        <v>34218</v>
      </c>
    </row>
    <row r="13990" spans="1:19" x14ac:dyDescent="0.25">
      <c r="A13990">
        <v>101203183</v>
      </c>
      <c r="B13990" t="s">
        <v>3011</v>
      </c>
      <c r="C13990" t="s">
        <v>621</v>
      </c>
      <c r="G13990" t="s">
        <v>30247</v>
      </c>
      <c r="H13990" t="s">
        <v>713</v>
      </c>
      <c r="I13990" t="s">
        <v>22</v>
      </c>
      <c r="J13990">
        <v>90290</v>
      </c>
      <c r="K13990">
        <v>195</v>
      </c>
      <c r="L13990" t="s">
        <v>23</v>
      </c>
      <c r="M13990" t="s">
        <v>30247</v>
      </c>
      <c r="N13990" t="s">
        <v>713</v>
      </c>
      <c r="O13990" t="s">
        <v>22</v>
      </c>
      <c r="P13990">
        <v>90290</v>
      </c>
      <c r="Q13990">
        <v>195</v>
      </c>
      <c r="R13990" t="s">
        <v>23</v>
      </c>
      <c r="S13990" s="1" t="s">
        <v>34218</v>
      </c>
    </row>
    <row r="13991" spans="1:19" x14ac:dyDescent="0.25">
      <c r="A13991">
        <v>101333159</v>
      </c>
      <c r="B13991" t="s">
        <v>30248</v>
      </c>
      <c r="C13991" t="s">
        <v>554</v>
      </c>
      <c r="G13991" t="s">
        <v>30249</v>
      </c>
      <c r="H13991" t="s">
        <v>21479</v>
      </c>
      <c r="I13991" t="s">
        <v>57</v>
      </c>
      <c r="J13991" t="s">
        <v>30250</v>
      </c>
      <c r="K13991">
        <v>366</v>
      </c>
      <c r="L13991" t="s">
        <v>23</v>
      </c>
      <c r="M13991" t="s">
        <v>30249</v>
      </c>
      <c r="N13991" t="s">
        <v>21479</v>
      </c>
      <c r="O13991" t="s">
        <v>57</v>
      </c>
      <c r="P13991" t="s">
        <v>30250</v>
      </c>
      <c r="Q13991">
        <v>366</v>
      </c>
      <c r="R13991" t="s">
        <v>23</v>
      </c>
      <c r="S13991" s="1" t="s">
        <v>34218</v>
      </c>
    </row>
    <row r="13992" spans="1:19" x14ac:dyDescent="0.25">
      <c r="A13992">
        <v>101421040</v>
      </c>
      <c r="B13992" t="s">
        <v>30251</v>
      </c>
      <c r="C13992" t="s">
        <v>1218</v>
      </c>
      <c r="G13992" t="s">
        <v>30252</v>
      </c>
      <c r="H13992" t="s">
        <v>1019</v>
      </c>
      <c r="I13992" t="s">
        <v>84</v>
      </c>
      <c r="J13992" t="s">
        <v>30253</v>
      </c>
      <c r="K13992">
        <v>1736</v>
      </c>
      <c r="L13992" t="s">
        <v>23</v>
      </c>
      <c r="M13992" t="s">
        <v>30252</v>
      </c>
      <c r="N13992" t="s">
        <v>1019</v>
      </c>
      <c r="O13992" t="s">
        <v>84</v>
      </c>
      <c r="P13992" t="s">
        <v>30253</v>
      </c>
      <c r="Q13992">
        <v>1736</v>
      </c>
      <c r="R13992" t="s">
        <v>23</v>
      </c>
      <c r="S13992" s="1" t="s">
        <v>34218</v>
      </c>
    </row>
    <row r="13993" spans="1:19" x14ac:dyDescent="0.25">
      <c r="A13993">
        <v>101473461</v>
      </c>
      <c r="B13993" t="s">
        <v>13068</v>
      </c>
      <c r="C13993" t="s">
        <v>123</v>
      </c>
      <c r="G13993" t="s">
        <v>30254</v>
      </c>
      <c r="H13993" t="s">
        <v>29050</v>
      </c>
      <c r="I13993" t="s">
        <v>52</v>
      </c>
      <c r="J13993">
        <v>33073</v>
      </c>
      <c r="K13993">
        <v>1911</v>
      </c>
      <c r="L13993" t="s">
        <v>23</v>
      </c>
      <c r="M13993" t="s">
        <v>30254</v>
      </c>
      <c r="N13993" t="s">
        <v>29050</v>
      </c>
      <c r="O13993" t="s">
        <v>52</v>
      </c>
      <c r="P13993">
        <v>33073</v>
      </c>
      <c r="Q13993">
        <v>1911</v>
      </c>
      <c r="R13993" t="s">
        <v>23</v>
      </c>
      <c r="S13993" s="1" t="s">
        <v>34218</v>
      </c>
    </row>
    <row r="13994" spans="1:19" x14ac:dyDescent="0.25">
      <c r="A13994">
        <v>101473478</v>
      </c>
      <c r="B13994" t="s">
        <v>30255</v>
      </c>
      <c r="C13994" t="s">
        <v>2672</v>
      </c>
      <c r="G13994" t="s">
        <v>30256</v>
      </c>
      <c r="H13994" t="s">
        <v>650</v>
      </c>
      <c r="I13994" t="s">
        <v>22</v>
      </c>
      <c r="J13994">
        <v>95814</v>
      </c>
      <c r="K13994">
        <v>6349</v>
      </c>
      <c r="L13994" t="s">
        <v>23</v>
      </c>
      <c r="M13994" t="s">
        <v>30256</v>
      </c>
      <c r="N13994" t="s">
        <v>650</v>
      </c>
      <c r="O13994" t="s">
        <v>22</v>
      </c>
      <c r="P13994">
        <v>95814</v>
      </c>
      <c r="Q13994">
        <v>6349</v>
      </c>
      <c r="R13994" t="s">
        <v>23</v>
      </c>
      <c r="S13994" s="1" t="s">
        <v>34218</v>
      </c>
    </row>
    <row r="13995" spans="1:19" x14ac:dyDescent="0.25">
      <c r="A13995">
        <v>101473495</v>
      </c>
      <c r="B13995" t="s">
        <v>30257</v>
      </c>
      <c r="C13995" t="s">
        <v>1959</v>
      </c>
      <c r="G13995" t="s">
        <v>30258</v>
      </c>
      <c r="H13995" t="s">
        <v>602</v>
      </c>
      <c r="I13995" t="s">
        <v>22</v>
      </c>
      <c r="J13995">
        <v>92683</v>
      </c>
      <c r="K13995">
        <v>2647</v>
      </c>
      <c r="L13995" t="s">
        <v>23</v>
      </c>
      <c r="M13995" t="s">
        <v>30258</v>
      </c>
      <c r="N13995" t="s">
        <v>602</v>
      </c>
      <c r="O13995" t="s">
        <v>22</v>
      </c>
      <c r="P13995">
        <v>92683</v>
      </c>
      <c r="Q13995">
        <v>2647</v>
      </c>
      <c r="R13995" t="s">
        <v>23</v>
      </c>
      <c r="S13995" s="1" t="s">
        <v>34218</v>
      </c>
    </row>
    <row r="13996" spans="1:19" x14ac:dyDescent="0.25">
      <c r="A13996">
        <v>101473812</v>
      </c>
      <c r="B13996" t="s">
        <v>1671</v>
      </c>
      <c r="C13996" t="s">
        <v>5613</v>
      </c>
      <c r="G13996" t="s">
        <v>30259</v>
      </c>
      <c r="H13996" t="s">
        <v>2069</v>
      </c>
      <c r="I13996" t="s">
        <v>22</v>
      </c>
      <c r="J13996">
        <v>95472</v>
      </c>
      <c r="K13996">
        <v>8704</v>
      </c>
      <c r="L13996" t="s">
        <v>23</v>
      </c>
      <c r="M13996" t="s">
        <v>30259</v>
      </c>
      <c r="N13996" t="s">
        <v>2069</v>
      </c>
      <c r="O13996" t="s">
        <v>22</v>
      </c>
      <c r="P13996">
        <v>95472</v>
      </c>
      <c r="Q13996">
        <v>8704</v>
      </c>
      <c r="R13996" t="s">
        <v>23</v>
      </c>
      <c r="S13996" s="1" t="s">
        <v>34218</v>
      </c>
    </row>
    <row r="13997" spans="1:19" x14ac:dyDescent="0.25">
      <c r="A13997">
        <v>101443218</v>
      </c>
      <c r="B13997" t="s">
        <v>6417</v>
      </c>
      <c r="C13997" t="s">
        <v>1873</v>
      </c>
      <c r="G13997" t="s">
        <v>13940</v>
      </c>
      <c r="H13997" t="s">
        <v>5688</v>
      </c>
      <c r="I13997" t="s">
        <v>161</v>
      </c>
      <c r="J13997" t="s">
        <v>30260</v>
      </c>
      <c r="K13997">
        <v>3301</v>
      </c>
      <c r="L13997" t="s">
        <v>23</v>
      </c>
      <c r="M13997" t="s">
        <v>13940</v>
      </c>
      <c r="N13997" t="s">
        <v>5688</v>
      </c>
      <c r="O13997" t="s">
        <v>161</v>
      </c>
      <c r="P13997" t="s">
        <v>30260</v>
      </c>
      <c r="Q13997">
        <v>3301</v>
      </c>
      <c r="R13997" t="s">
        <v>23</v>
      </c>
      <c r="S13997" s="1" t="s">
        <v>34218</v>
      </c>
    </row>
    <row r="13998" spans="1:19" x14ac:dyDescent="0.25">
      <c r="A13998">
        <v>101362067</v>
      </c>
      <c r="B13998" t="s">
        <v>237</v>
      </c>
      <c r="C13998" t="s">
        <v>1542</v>
      </c>
      <c r="G13998" t="s">
        <v>30261</v>
      </c>
      <c r="H13998" t="s">
        <v>30262</v>
      </c>
      <c r="I13998" t="s">
        <v>117</v>
      </c>
      <c r="J13998" t="s">
        <v>30263</v>
      </c>
      <c r="K13998">
        <v>1411</v>
      </c>
      <c r="L13998" t="s">
        <v>23</v>
      </c>
      <c r="M13998" t="s">
        <v>30261</v>
      </c>
      <c r="N13998" t="s">
        <v>30262</v>
      </c>
      <c r="O13998" t="s">
        <v>117</v>
      </c>
      <c r="P13998" t="s">
        <v>30263</v>
      </c>
      <c r="Q13998">
        <v>1411</v>
      </c>
      <c r="R13998" t="s">
        <v>23</v>
      </c>
      <c r="S13998" s="1" t="s">
        <v>34218</v>
      </c>
    </row>
    <row r="13999" spans="1:19" x14ac:dyDescent="0.25">
      <c r="A13999">
        <v>100876717</v>
      </c>
      <c r="B13999" t="s">
        <v>30264</v>
      </c>
      <c r="C13999" t="s">
        <v>90</v>
      </c>
      <c r="G13999" t="s">
        <v>30265</v>
      </c>
      <c r="H13999" t="s">
        <v>30266</v>
      </c>
      <c r="I13999" t="s">
        <v>178</v>
      </c>
      <c r="J13999" t="s">
        <v>30267</v>
      </c>
      <c r="K13999">
        <v>9509</v>
      </c>
      <c r="L13999" t="s">
        <v>23</v>
      </c>
      <c r="M13999" t="s">
        <v>30265</v>
      </c>
      <c r="N13999" t="s">
        <v>30266</v>
      </c>
      <c r="O13999" t="s">
        <v>178</v>
      </c>
      <c r="P13999" t="s">
        <v>30267</v>
      </c>
      <c r="Q13999">
        <v>9509</v>
      </c>
      <c r="R13999" t="s">
        <v>23</v>
      </c>
      <c r="S13999" s="1" t="s">
        <v>34218</v>
      </c>
    </row>
    <row r="14000" spans="1:19" x14ac:dyDescent="0.25">
      <c r="A14000">
        <v>101443769</v>
      </c>
      <c r="B14000" t="s">
        <v>30268</v>
      </c>
      <c r="C14000" t="s">
        <v>274</v>
      </c>
      <c r="G14000" t="s">
        <v>30269</v>
      </c>
      <c r="H14000" t="s">
        <v>7449</v>
      </c>
      <c r="I14000" t="s">
        <v>135</v>
      </c>
      <c r="J14000" t="s">
        <v>30270</v>
      </c>
      <c r="K14000">
        <v>1701</v>
      </c>
      <c r="L14000" t="s">
        <v>23</v>
      </c>
      <c r="M14000" t="s">
        <v>30269</v>
      </c>
      <c r="N14000" t="s">
        <v>7449</v>
      </c>
      <c r="O14000" t="s">
        <v>135</v>
      </c>
      <c r="P14000" t="s">
        <v>30270</v>
      </c>
      <c r="Q14000">
        <v>1701</v>
      </c>
      <c r="R14000" t="s">
        <v>23</v>
      </c>
      <c r="S14000" s="1" t="s">
        <v>34218</v>
      </c>
    </row>
    <row r="14001" spans="1:19" x14ac:dyDescent="0.25">
      <c r="A14001">
        <v>100639770</v>
      </c>
      <c r="B14001" t="s">
        <v>30271</v>
      </c>
      <c r="C14001" t="s">
        <v>579</v>
      </c>
      <c r="G14001" t="s">
        <v>30272</v>
      </c>
      <c r="H14001" t="s">
        <v>2100</v>
      </c>
      <c r="I14001" t="s">
        <v>52</v>
      </c>
      <c r="J14001" t="s">
        <v>30273</v>
      </c>
      <c r="K14001">
        <v>4060</v>
      </c>
      <c r="L14001" t="s">
        <v>23</v>
      </c>
      <c r="M14001" t="s">
        <v>30272</v>
      </c>
      <c r="N14001" t="s">
        <v>2100</v>
      </c>
      <c r="O14001" t="s">
        <v>52</v>
      </c>
      <c r="P14001" t="s">
        <v>30273</v>
      </c>
      <c r="Q14001">
        <v>4060</v>
      </c>
      <c r="R14001" t="s">
        <v>23</v>
      </c>
      <c r="S14001" s="1" t="s">
        <v>34218</v>
      </c>
    </row>
    <row r="14002" spans="1:19" x14ac:dyDescent="0.25">
      <c r="A14002">
        <v>101329134</v>
      </c>
      <c r="B14002" t="s">
        <v>1204</v>
      </c>
      <c r="C14002" t="s">
        <v>26394</v>
      </c>
      <c r="G14002" t="s">
        <v>30274</v>
      </c>
      <c r="H14002" t="s">
        <v>10271</v>
      </c>
      <c r="I14002" t="s">
        <v>135</v>
      </c>
      <c r="J14002" t="s">
        <v>30275</v>
      </c>
      <c r="K14002">
        <v>2515</v>
      </c>
      <c r="L14002" t="s">
        <v>23</v>
      </c>
      <c r="M14002" t="s">
        <v>30274</v>
      </c>
      <c r="N14002" t="s">
        <v>10271</v>
      </c>
      <c r="O14002" t="s">
        <v>135</v>
      </c>
      <c r="P14002" t="s">
        <v>30275</v>
      </c>
      <c r="Q14002">
        <v>2515</v>
      </c>
      <c r="R14002" t="s">
        <v>23</v>
      </c>
      <c r="S14002" s="1" t="s">
        <v>34218</v>
      </c>
    </row>
    <row r="14003" spans="1:19" x14ac:dyDescent="0.25">
      <c r="A14003">
        <v>100814747</v>
      </c>
      <c r="B14003" t="s">
        <v>30276</v>
      </c>
      <c r="C14003" t="s">
        <v>3670</v>
      </c>
      <c r="G14003" t="s">
        <v>30277</v>
      </c>
      <c r="H14003" t="s">
        <v>88</v>
      </c>
      <c r="I14003" t="s">
        <v>22</v>
      </c>
      <c r="J14003" t="s">
        <v>30278</v>
      </c>
      <c r="K14003">
        <v>2117</v>
      </c>
      <c r="L14003" t="s">
        <v>23</v>
      </c>
      <c r="M14003" t="s">
        <v>30277</v>
      </c>
      <c r="N14003" t="s">
        <v>88</v>
      </c>
      <c r="O14003" t="s">
        <v>22</v>
      </c>
      <c r="P14003" t="s">
        <v>30278</v>
      </c>
      <c r="Q14003">
        <v>2117</v>
      </c>
      <c r="R14003" t="s">
        <v>23</v>
      </c>
      <c r="S14003" s="1" t="s">
        <v>34218</v>
      </c>
    </row>
    <row r="14004" spans="1:19" x14ac:dyDescent="0.25">
      <c r="A14004">
        <v>100618870</v>
      </c>
      <c r="B14004" t="s">
        <v>30279</v>
      </c>
      <c r="C14004" t="s">
        <v>14532</v>
      </c>
      <c r="G14004" t="s">
        <v>30280</v>
      </c>
      <c r="H14004" t="s">
        <v>12045</v>
      </c>
      <c r="I14004" t="s">
        <v>84</v>
      </c>
      <c r="J14004" t="s">
        <v>30281</v>
      </c>
      <c r="K14004">
        <v>9280</v>
      </c>
      <c r="L14004" t="s">
        <v>23</v>
      </c>
      <c r="M14004" t="s">
        <v>30280</v>
      </c>
      <c r="N14004" t="s">
        <v>12045</v>
      </c>
      <c r="O14004" t="s">
        <v>84</v>
      </c>
      <c r="P14004" t="s">
        <v>30281</v>
      </c>
      <c r="Q14004">
        <v>9280</v>
      </c>
      <c r="R14004" t="s">
        <v>23</v>
      </c>
      <c r="S14004" s="1" t="s">
        <v>34218</v>
      </c>
    </row>
    <row r="14005" spans="1:19" x14ac:dyDescent="0.25">
      <c r="A14005">
        <v>101468682</v>
      </c>
      <c r="B14005" t="s">
        <v>27857</v>
      </c>
      <c r="C14005" t="s">
        <v>1223</v>
      </c>
      <c r="G14005" t="s">
        <v>30282</v>
      </c>
      <c r="H14005" t="s">
        <v>70</v>
      </c>
      <c r="I14005" t="s">
        <v>71</v>
      </c>
      <c r="J14005">
        <v>80004</v>
      </c>
      <c r="K14005">
        <v>2218</v>
      </c>
      <c r="L14005" t="s">
        <v>23</v>
      </c>
      <c r="M14005" t="s">
        <v>30282</v>
      </c>
      <c r="N14005" t="s">
        <v>70</v>
      </c>
      <c r="O14005" t="s">
        <v>71</v>
      </c>
      <c r="P14005">
        <v>80004</v>
      </c>
      <c r="Q14005">
        <v>2218</v>
      </c>
      <c r="R14005" t="s">
        <v>23</v>
      </c>
      <c r="S14005" s="1" t="s">
        <v>34218</v>
      </c>
    </row>
    <row r="14006" spans="1:19" x14ac:dyDescent="0.25">
      <c r="A14006">
        <v>100776493</v>
      </c>
      <c r="B14006" t="s">
        <v>18330</v>
      </c>
      <c r="C14006" t="s">
        <v>247</v>
      </c>
      <c r="G14006" t="s">
        <v>30283</v>
      </c>
      <c r="H14006" t="s">
        <v>21904</v>
      </c>
      <c r="I14006" t="s">
        <v>52</v>
      </c>
      <c r="J14006">
        <v>32780</v>
      </c>
      <c r="K14006">
        <v>5650</v>
      </c>
      <c r="L14006" t="s">
        <v>23</v>
      </c>
      <c r="M14006" t="s">
        <v>30283</v>
      </c>
      <c r="N14006" t="s">
        <v>21904</v>
      </c>
      <c r="O14006" t="s">
        <v>52</v>
      </c>
      <c r="P14006">
        <v>32780</v>
      </c>
      <c r="Q14006">
        <v>5650</v>
      </c>
      <c r="R14006" t="s">
        <v>23</v>
      </c>
      <c r="S14006" s="1" t="s">
        <v>34218</v>
      </c>
    </row>
    <row r="14007" spans="1:19" x14ac:dyDescent="0.25">
      <c r="A14007">
        <v>101466940</v>
      </c>
      <c r="B14007" t="s">
        <v>2074</v>
      </c>
      <c r="C14007" t="s">
        <v>664</v>
      </c>
      <c r="G14007" t="s">
        <v>30284</v>
      </c>
      <c r="H14007" t="s">
        <v>2399</v>
      </c>
      <c r="I14007" t="s">
        <v>71</v>
      </c>
      <c r="J14007">
        <v>80525</v>
      </c>
      <c r="K14007">
        <v>5822</v>
      </c>
      <c r="L14007" t="s">
        <v>23</v>
      </c>
      <c r="M14007" t="s">
        <v>30284</v>
      </c>
      <c r="N14007" t="s">
        <v>2399</v>
      </c>
      <c r="O14007" t="s">
        <v>71</v>
      </c>
      <c r="P14007">
        <v>80525</v>
      </c>
      <c r="Q14007">
        <v>5822</v>
      </c>
      <c r="R14007" t="s">
        <v>23</v>
      </c>
      <c r="S14007" s="1" t="s">
        <v>34218</v>
      </c>
    </row>
    <row r="14008" spans="1:19" x14ac:dyDescent="0.25">
      <c r="A14008">
        <v>101468713</v>
      </c>
      <c r="B14008" t="s">
        <v>30285</v>
      </c>
      <c r="C14008" t="s">
        <v>1602</v>
      </c>
      <c r="G14008" t="s">
        <v>30286</v>
      </c>
      <c r="H14008" t="s">
        <v>30287</v>
      </c>
      <c r="I14008" t="s">
        <v>22</v>
      </c>
      <c r="J14008">
        <v>92007</v>
      </c>
      <c r="K14008">
        <v>1141</v>
      </c>
      <c r="L14008" t="s">
        <v>23</v>
      </c>
      <c r="M14008" t="s">
        <v>30286</v>
      </c>
      <c r="N14008" t="s">
        <v>30287</v>
      </c>
      <c r="O14008" t="s">
        <v>22</v>
      </c>
      <c r="P14008">
        <v>92007</v>
      </c>
      <c r="Q14008">
        <v>1141</v>
      </c>
      <c r="R14008" t="s">
        <v>23</v>
      </c>
      <c r="S14008" s="1" t="s">
        <v>34218</v>
      </c>
    </row>
    <row r="14009" spans="1:19" x14ac:dyDescent="0.25">
      <c r="A14009">
        <v>101256792</v>
      </c>
      <c r="B14009" t="s">
        <v>30288</v>
      </c>
      <c r="C14009" t="s">
        <v>3670</v>
      </c>
      <c r="G14009" t="s">
        <v>30289</v>
      </c>
      <c r="H14009" t="s">
        <v>28957</v>
      </c>
      <c r="I14009" t="s">
        <v>22</v>
      </c>
      <c r="J14009">
        <v>92243</v>
      </c>
      <c r="K14009">
        <v>2335</v>
      </c>
      <c r="L14009" t="s">
        <v>23</v>
      </c>
      <c r="M14009" t="s">
        <v>30289</v>
      </c>
      <c r="N14009" t="s">
        <v>28957</v>
      </c>
      <c r="O14009" t="s">
        <v>22</v>
      </c>
      <c r="P14009">
        <v>92243</v>
      </c>
      <c r="Q14009">
        <v>2335</v>
      </c>
      <c r="R14009" t="s">
        <v>23</v>
      </c>
      <c r="S14009" s="1" t="s">
        <v>34218</v>
      </c>
    </row>
    <row r="14010" spans="1:19" x14ac:dyDescent="0.25">
      <c r="A14010">
        <v>101431235</v>
      </c>
      <c r="B14010" t="s">
        <v>13390</v>
      </c>
      <c r="C14010" t="s">
        <v>286</v>
      </c>
      <c r="G14010" t="s">
        <v>30290</v>
      </c>
      <c r="H14010" t="s">
        <v>299</v>
      </c>
      <c r="I14010" t="s">
        <v>22</v>
      </c>
      <c r="J14010">
        <v>90019</v>
      </c>
      <c r="K14010">
        <v>6674</v>
      </c>
      <c r="L14010" t="s">
        <v>23</v>
      </c>
      <c r="M14010" t="s">
        <v>30290</v>
      </c>
      <c r="N14010" t="s">
        <v>299</v>
      </c>
      <c r="O14010" t="s">
        <v>22</v>
      </c>
      <c r="P14010">
        <v>90019</v>
      </c>
      <c r="Q14010">
        <v>6674</v>
      </c>
      <c r="R14010" t="s">
        <v>23</v>
      </c>
      <c r="S14010" s="1" t="s">
        <v>34218</v>
      </c>
    </row>
    <row r="14011" spans="1:19" x14ac:dyDescent="0.25">
      <c r="A14011">
        <v>100985743</v>
      </c>
      <c r="B14011" t="s">
        <v>30291</v>
      </c>
      <c r="C14011" t="s">
        <v>718</v>
      </c>
      <c r="G14011" t="s">
        <v>30292</v>
      </c>
      <c r="H14011" t="s">
        <v>1439</v>
      </c>
      <c r="I14011" t="s">
        <v>365</v>
      </c>
      <c r="J14011">
        <v>85719</v>
      </c>
      <c r="K14011">
        <v>2732</v>
      </c>
      <c r="L14011" t="s">
        <v>23</v>
      </c>
      <c r="M14011" t="s">
        <v>30292</v>
      </c>
      <c r="N14011" t="s">
        <v>1439</v>
      </c>
      <c r="O14011" t="s">
        <v>365</v>
      </c>
      <c r="P14011">
        <v>85719</v>
      </c>
      <c r="Q14011">
        <v>2732</v>
      </c>
      <c r="R14011" t="s">
        <v>23</v>
      </c>
      <c r="S14011" s="1" t="s">
        <v>34218</v>
      </c>
    </row>
    <row r="14012" spans="1:19" x14ac:dyDescent="0.25">
      <c r="A14012">
        <v>101465320</v>
      </c>
      <c r="B14012" t="s">
        <v>3625</v>
      </c>
      <c r="C14012" t="s">
        <v>155</v>
      </c>
      <c r="G14012" t="s">
        <v>30293</v>
      </c>
      <c r="H14012" t="s">
        <v>13618</v>
      </c>
      <c r="I14012" t="s">
        <v>135</v>
      </c>
      <c r="J14012">
        <v>60467</v>
      </c>
      <c r="K14012">
        <v>7406</v>
      </c>
      <c r="L14012" t="s">
        <v>23</v>
      </c>
      <c r="M14012" t="s">
        <v>30293</v>
      </c>
      <c r="N14012" t="s">
        <v>13618</v>
      </c>
      <c r="O14012" t="s">
        <v>135</v>
      </c>
      <c r="P14012">
        <v>60467</v>
      </c>
      <c r="Q14012">
        <v>7406</v>
      </c>
      <c r="R14012" t="s">
        <v>23</v>
      </c>
      <c r="S14012" s="1" t="s">
        <v>34218</v>
      </c>
    </row>
    <row r="14013" spans="1:19" x14ac:dyDescent="0.25">
      <c r="A14013">
        <v>100854018</v>
      </c>
      <c r="B14013" t="s">
        <v>27897</v>
      </c>
      <c r="C14013" t="s">
        <v>452</v>
      </c>
      <c r="G14013" t="s">
        <v>30294</v>
      </c>
      <c r="H14013" t="s">
        <v>3243</v>
      </c>
      <c r="I14013" t="s">
        <v>57</v>
      </c>
      <c r="J14013">
        <v>46322</v>
      </c>
      <c r="K14013">
        <v>3461</v>
      </c>
      <c r="L14013" t="s">
        <v>23</v>
      </c>
      <c r="M14013" t="s">
        <v>30294</v>
      </c>
      <c r="N14013" t="s">
        <v>3243</v>
      </c>
      <c r="O14013" t="s">
        <v>57</v>
      </c>
      <c r="P14013">
        <v>46322</v>
      </c>
      <c r="Q14013">
        <v>3461</v>
      </c>
      <c r="R14013" t="s">
        <v>23</v>
      </c>
      <c r="S14013" s="1" t="s">
        <v>34218</v>
      </c>
    </row>
    <row r="14014" spans="1:19" x14ac:dyDescent="0.25">
      <c r="A14014">
        <v>101364147</v>
      </c>
      <c r="B14014" t="s">
        <v>30295</v>
      </c>
      <c r="C14014" t="s">
        <v>4184</v>
      </c>
      <c r="G14014" t="s">
        <v>30296</v>
      </c>
      <c r="H14014" t="s">
        <v>1170</v>
      </c>
      <c r="I14014" t="s">
        <v>135</v>
      </c>
      <c r="J14014">
        <v>60516</v>
      </c>
      <c r="K14014">
        <v>3793</v>
      </c>
      <c r="L14014" t="s">
        <v>23</v>
      </c>
      <c r="M14014" t="s">
        <v>30296</v>
      </c>
      <c r="N14014" t="s">
        <v>1170</v>
      </c>
      <c r="O14014" t="s">
        <v>135</v>
      </c>
      <c r="P14014">
        <v>60516</v>
      </c>
      <c r="Q14014">
        <v>3793</v>
      </c>
      <c r="R14014" t="s">
        <v>23</v>
      </c>
      <c r="S14014" s="1" t="s">
        <v>34218</v>
      </c>
    </row>
    <row r="14015" spans="1:19" x14ac:dyDescent="0.25">
      <c r="A14015">
        <v>101276222</v>
      </c>
      <c r="B14015" t="s">
        <v>30297</v>
      </c>
      <c r="C14015" t="s">
        <v>1873</v>
      </c>
      <c r="G14015" t="s">
        <v>30298</v>
      </c>
      <c r="H14015" t="s">
        <v>682</v>
      </c>
      <c r="I14015" t="s">
        <v>365</v>
      </c>
      <c r="J14015">
        <v>85085</v>
      </c>
      <c r="L14015" t="s">
        <v>23</v>
      </c>
      <c r="M14015" t="s">
        <v>30298</v>
      </c>
      <c r="N14015" t="s">
        <v>682</v>
      </c>
      <c r="O14015" t="s">
        <v>365</v>
      </c>
      <c r="P14015">
        <v>85085</v>
      </c>
      <c r="R14015" t="s">
        <v>23</v>
      </c>
      <c r="S14015" s="1" t="s">
        <v>34218</v>
      </c>
    </row>
    <row r="14016" spans="1:19" x14ac:dyDescent="0.25">
      <c r="A14016">
        <v>101163423</v>
      </c>
      <c r="B14016" t="s">
        <v>30299</v>
      </c>
      <c r="C14016" t="s">
        <v>18280</v>
      </c>
      <c r="G14016" t="s">
        <v>30300</v>
      </c>
      <c r="H14016" t="s">
        <v>30301</v>
      </c>
      <c r="I14016" t="s">
        <v>71</v>
      </c>
      <c r="J14016">
        <v>81328</v>
      </c>
      <c r="K14016">
        <v>9241</v>
      </c>
      <c r="L14016" t="s">
        <v>23</v>
      </c>
      <c r="M14016" t="s">
        <v>30300</v>
      </c>
      <c r="N14016" t="s">
        <v>30301</v>
      </c>
      <c r="O14016" t="s">
        <v>71</v>
      </c>
      <c r="P14016">
        <v>81328</v>
      </c>
      <c r="Q14016">
        <v>9241</v>
      </c>
      <c r="R14016" t="s">
        <v>23</v>
      </c>
      <c r="S14016" s="1" t="s">
        <v>34218</v>
      </c>
    </row>
    <row r="14017" spans="1:19" x14ac:dyDescent="0.25">
      <c r="A14017">
        <v>101468777</v>
      </c>
      <c r="B14017" t="s">
        <v>30302</v>
      </c>
      <c r="C14017" t="s">
        <v>5836</v>
      </c>
      <c r="G14017" t="s">
        <v>30303</v>
      </c>
      <c r="H14017" t="s">
        <v>17315</v>
      </c>
      <c r="I14017" t="s">
        <v>161</v>
      </c>
      <c r="J14017">
        <v>6098</v>
      </c>
      <c r="K14017">
        <v>1549</v>
      </c>
      <c r="L14017" t="s">
        <v>23</v>
      </c>
      <c r="M14017" t="s">
        <v>30303</v>
      </c>
      <c r="N14017" t="s">
        <v>17315</v>
      </c>
      <c r="O14017" t="s">
        <v>161</v>
      </c>
      <c r="P14017">
        <v>6098</v>
      </c>
      <c r="Q14017">
        <v>1549</v>
      </c>
      <c r="R14017" t="s">
        <v>23</v>
      </c>
      <c r="S14017" s="1" t="s">
        <v>34218</v>
      </c>
    </row>
    <row r="14018" spans="1:19" x14ac:dyDescent="0.25">
      <c r="A14018">
        <v>101357717</v>
      </c>
      <c r="B14018" t="s">
        <v>9807</v>
      </c>
      <c r="C14018" t="s">
        <v>763</v>
      </c>
      <c r="G14018" t="s">
        <v>30304</v>
      </c>
      <c r="H14018" t="s">
        <v>66</v>
      </c>
      <c r="I14018" t="s">
        <v>22</v>
      </c>
      <c r="J14018">
        <v>94702</v>
      </c>
      <c r="L14018" t="s">
        <v>23</v>
      </c>
      <c r="M14018" t="s">
        <v>30304</v>
      </c>
      <c r="N14018" t="s">
        <v>66</v>
      </c>
      <c r="O14018" t="s">
        <v>22</v>
      </c>
      <c r="P14018">
        <v>94702</v>
      </c>
      <c r="R14018" t="s">
        <v>23</v>
      </c>
      <c r="S14018" s="1" t="s">
        <v>34218</v>
      </c>
    </row>
    <row r="14019" spans="1:19" x14ac:dyDescent="0.25">
      <c r="A14019">
        <v>101337551</v>
      </c>
      <c r="B14019" t="s">
        <v>7441</v>
      </c>
      <c r="C14019" t="s">
        <v>770</v>
      </c>
      <c r="G14019" t="s">
        <v>30305</v>
      </c>
      <c r="H14019" t="s">
        <v>6211</v>
      </c>
      <c r="I14019" t="s">
        <v>33</v>
      </c>
      <c r="J14019" t="s">
        <v>30306</v>
      </c>
      <c r="K14019">
        <v>4455</v>
      </c>
      <c r="L14019" t="s">
        <v>23</v>
      </c>
      <c r="M14019" t="s">
        <v>30305</v>
      </c>
      <c r="N14019" t="s">
        <v>6211</v>
      </c>
      <c r="O14019" t="s">
        <v>33</v>
      </c>
      <c r="P14019" t="s">
        <v>30306</v>
      </c>
      <c r="Q14019">
        <v>4455</v>
      </c>
      <c r="R14019" t="s">
        <v>23</v>
      </c>
      <c r="S14019" s="1" t="s">
        <v>34218</v>
      </c>
    </row>
    <row r="14020" spans="1:19" x14ac:dyDescent="0.25">
      <c r="A14020">
        <v>101316893</v>
      </c>
      <c r="B14020" t="s">
        <v>30307</v>
      </c>
      <c r="C14020" t="s">
        <v>123</v>
      </c>
      <c r="G14020" t="s">
        <v>30308</v>
      </c>
      <c r="H14020" t="s">
        <v>9625</v>
      </c>
      <c r="I14020" t="s">
        <v>1000</v>
      </c>
      <c r="J14020" t="s">
        <v>30309</v>
      </c>
      <c r="K14020">
        <v>4605</v>
      </c>
      <c r="L14020" t="s">
        <v>23</v>
      </c>
      <c r="M14020" t="s">
        <v>30308</v>
      </c>
      <c r="N14020" t="s">
        <v>9625</v>
      </c>
      <c r="O14020" t="s">
        <v>1000</v>
      </c>
      <c r="P14020" t="s">
        <v>30309</v>
      </c>
      <c r="Q14020">
        <v>4605</v>
      </c>
      <c r="R14020" t="s">
        <v>23</v>
      </c>
      <c r="S14020" s="1" t="s">
        <v>34218</v>
      </c>
    </row>
    <row r="14021" spans="1:19" x14ac:dyDescent="0.25">
      <c r="A14021">
        <v>101422243</v>
      </c>
      <c r="B14021" t="s">
        <v>12257</v>
      </c>
      <c r="C14021" t="s">
        <v>410</v>
      </c>
      <c r="G14021" t="s">
        <v>30310</v>
      </c>
      <c r="H14021" t="s">
        <v>1531</v>
      </c>
      <c r="I14021" t="s">
        <v>84</v>
      </c>
      <c r="J14021" t="s">
        <v>30311</v>
      </c>
      <c r="K14021">
        <v>1154</v>
      </c>
      <c r="L14021" t="s">
        <v>23</v>
      </c>
      <c r="M14021" t="s">
        <v>30310</v>
      </c>
      <c r="N14021" t="s">
        <v>1531</v>
      </c>
      <c r="O14021" t="s">
        <v>84</v>
      </c>
      <c r="P14021" t="s">
        <v>30311</v>
      </c>
      <c r="Q14021">
        <v>1154</v>
      </c>
      <c r="R14021" t="s">
        <v>23</v>
      </c>
      <c r="S14021" s="1" t="s">
        <v>34218</v>
      </c>
    </row>
    <row r="14022" spans="1:19" x14ac:dyDescent="0.25">
      <c r="A14022">
        <v>101333073</v>
      </c>
      <c r="B14022" t="s">
        <v>30312</v>
      </c>
      <c r="C14022" t="s">
        <v>1542</v>
      </c>
      <c r="G14022" t="s">
        <v>30313</v>
      </c>
      <c r="H14022" t="s">
        <v>1594</v>
      </c>
      <c r="I14022" t="s">
        <v>84</v>
      </c>
      <c r="J14022" t="s">
        <v>30314</v>
      </c>
      <c r="K14022">
        <v>6927</v>
      </c>
      <c r="L14022" t="s">
        <v>23</v>
      </c>
      <c r="M14022" t="s">
        <v>30313</v>
      </c>
      <c r="N14022" t="s">
        <v>1594</v>
      </c>
      <c r="O14022" t="s">
        <v>84</v>
      </c>
      <c r="P14022" t="s">
        <v>30314</v>
      </c>
      <c r="Q14022">
        <v>6927</v>
      </c>
      <c r="R14022" t="s">
        <v>23</v>
      </c>
      <c r="S14022" s="1" t="s">
        <v>34218</v>
      </c>
    </row>
    <row r="14023" spans="1:19" x14ac:dyDescent="0.25">
      <c r="A14023">
        <v>101253234</v>
      </c>
      <c r="B14023" t="s">
        <v>1057</v>
      </c>
      <c r="C14023" t="s">
        <v>728</v>
      </c>
      <c r="G14023" t="s">
        <v>30315</v>
      </c>
      <c r="H14023" t="s">
        <v>682</v>
      </c>
      <c r="I14023" t="s">
        <v>365</v>
      </c>
      <c r="J14023" t="s">
        <v>30316</v>
      </c>
      <c r="K14023">
        <v>4112</v>
      </c>
      <c r="L14023" t="s">
        <v>23</v>
      </c>
      <c r="M14023" t="s">
        <v>30315</v>
      </c>
      <c r="N14023" t="s">
        <v>682</v>
      </c>
      <c r="O14023" t="s">
        <v>365</v>
      </c>
      <c r="P14023" t="s">
        <v>30316</v>
      </c>
      <c r="Q14023">
        <v>4112</v>
      </c>
      <c r="R14023" t="s">
        <v>23</v>
      </c>
      <c r="S14023" s="1" t="s">
        <v>34218</v>
      </c>
    </row>
    <row r="14024" spans="1:19" x14ac:dyDescent="0.25">
      <c r="A14024">
        <v>101314176</v>
      </c>
      <c r="B14024" t="s">
        <v>30317</v>
      </c>
      <c r="C14024" t="s">
        <v>1309</v>
      </c>
      <c r="G14024" t="s">
        <v>30318</v>
      </c>
      <c r="H14024" t="s">
        <v>412</v>
      </c>
      <c r="I14024" t="s">
        <v>117</v>
      </c>
      <c r="J14024" t="s">
        <v>30319</v>
      </c>
      <c r="K14024">
        <v>3352</v>
      </c>
      <c r="L14024" t="s">
        <v>23</v>
      </c>
      <c r="M14024" t="s">
        <v>30318</v>
      </c>
      <c r="N14024" t="s">
        <v>412</v>
      </c>
      <c r="O14024" t="s">
        <v>117</v>
      </c>
      <c r="P14024" t="s">
        <v>30319</v>
      </c>
      <c r="Q14024">
        <v>3352</v>
      </c>
      <c r="R14024" t="s">
        <v>23</v>
      </c>
      <c r="S14024" s="1" t="s">
        <v>34218</v>
      </c>
    </row>
    <row r="14025" spans="1:19" x14ac:dyDescent="0.25">
      <c r="A14025">
        <v>101443956</v>
      </c>
      <c r="B14025" t="s">
        <v>465</v>
      </c>
      <c r="C14025" t="s">
        <v>8186</v>
      </c>
      <c r="G14025" t="s">
        <v>30320</v>
      </c>
      <c r="H14025" t="s">
        <v>18425</v>
      </c>
      <c r="I14025" t="s">
        <v>33</v>
      </c>
      <c r="J14025" t="s">
        <v>30321</v>
      </c>
      <c r="K14025">
        <v>5044</v>
      </c>
      <c r="L14025" t="s">
        <v>23</v>
      </c>
      <c r="M14025" t="s">
        <v>30320</v>
      </c>
      <c r="N14025" t="s">
        <v>18425</v>
      </c>
      <c r="O14025" t="s">
        <v>33</v>
      </c>
      <c r="P14025" t="s">
        <v>30321</v>
      </c>
      <c r="Q14025">
        <v>5044</v>
      </c>
      <c r="R14025" t="s">
        <v>23</v>
      </c>
      <c r="S14025" s="1" t="s">
        <v>34218</v>
      </c>
    </row>
    <row r="14026" spans="1:19" x14ac:dyDescent="0.25">
      <c r="A14026">
        <v>101195710</v>
      </c>
      <c r="B14026" t="s">
        <v>6179</v>
      </c>
      <c r="C14026" t="s">
        <v>2127</v>
      </c>
      <c r="G14026" t="s">
        <v>30322</v>
      </c>
      <c r="H14026" t="s">
        <v>1250</v>
      </c>
      <c r="I14026" t="s">
        <v>52</v>
      </c>
      <c r="J14026" t="s">
        <v>30323</v>
      </c>
      <c r="K14026">
        <v>4520</v>
      </c>
      <c r="L14026" t="s">
        <v>23</v>
      </c>
      <c r="M14026" t="s">
        <v>30322</v>
      </c>
      <c r="N14026" t="s">
        <v>1250</v>
      </c>
      <c r="O14026" t="s">
        <v>52</v>
      </c>
      <c r="P14026" t="s">
        <v>30323</v>
      </c>
      <c r="Q14026">
        <v>4520</v>
      </c>
      <c r="R14026" t="s">
        <v>23</v>
      </c>
      <c r="S14026" s="1" t="s">
        <v>34218</v>
      </c>
    </row>
    <row r="14027" spans="1:19" x14ac:dyDescent="0.25">
      <c r="A14027">
        <v>101394589</v>
      </c>
      <c r="B14027" t="s">
        <v>30324</v>
      </c>
      <c r="C14027" t="s">
        <v>5613</v>
      </c>
      <c r="G14027" t="s">
        <v>30325</v>
      </c>
      <c r="H14027" t="s">
        <v>7369</v>
      </c>
      <c r="I14027" t="s">
        <v>984</v>
      </c>
      <c r="J14027" t="s">
        <v>30326</v>
      </c>
      <c r="K14027">
        <v>6102</v>
      </c>
      <c r="L14027" t="s">
        <v>23</v>
      </c>
      <c r="M14027" t="s">
        <v>30325</v>
      </c>
      <c r="N14027" t="s">
        <v>7369</v>
      </c>
      <c r="O14027" t="s">
        <v>984</v>
      </c>
      <c r="P14027" t="s">
        <v>30326</v>
      </c>
      <c r="Q14027">
        <v>6102</v>
      </c>
      <c r="R14027" t="s">
        <v>23</v>
      </c>
      <c r="S14027" s="1" t="s">
        <v>34218</v>
      </c>
    </row>
    <row r="14028" spans="1:19" x14ac:dyDescent="0.25">
      <c r="A14028">
        <v>101313265</v>
      </c>
      <c r="B14028" t="s">
        <v>30327</v>
      </c>
      <c r="C14028" t="s">
        <v>5719</v>
      </c>
      <c r="G14028" t="s">
        <v>30328</v>
      </c>
      <c r="H14028" t="s">
        <v>30329</v>
      </c>
      <c r="I14028" t="s">
        <v>332</v>
      </c>
      <c r="J14028" t="s">
        <v>30330</v>
      </c>
      <c r="K14028">
        <v>3505</v>
      </c>
      <c r="L14028" t="s">
        <v>23</v>
      </c>
      <c r="M14028" t="s">
        <v>30328</v>
      </c>
      <c r="N14028" t="s">
        <v>30329</v>
      </c>
      <c r="O14028" t="s">
        <v>332</v>
      </c>
      <c r="P14028" t="s">
        <v>30330</v>
      </c>
      <c r="Q14028">
        <v>3505</v>
      </c>
      <c r="R14028" t="s">
        <v>23</v>
      </c>
      <c r="S14028" s="1" t="s">
        <v>34218</v>
      </c>
    </row>
    <row r="14029" spans="1:19" x14ac:dyDescent="0.25">
      <c r="A14029">
        <v>101353330</v>
      </c>
      <c r="B14029" t="s">
        <v>30331</v>
      </c>
      <c r="C14029" t="s">
        <v>1082</v>
      </c>
      <c r="G14029" t="s">
        <v>30332</v>
      </c>
      <c r="H14029" t="s">
        <v>3689</v>
      </c>
      <c r="I14029" t="s">
        <v>250</v>
      </c>
      <c r="J14029" t="s">
        <v>30333</v>
      </c>
      <c r="K14029">
        <v>2812</v>
      </c>
      <c r="L14029" t="s">
        <v>23</v>
      </c>
      <c r="M14029" t="s">
        <v>30332</v>
      </c>
      <c r="N14029" t="s">
        <v>3689</v>
      </c>
      <c r="O14029" t="s">
        <v>250</v>
      </c>
      <c r="P14029" t="s">
        <v>30333</v>
      </c>
      <c r="Q14029">
        <v>2812</v>
      </c>
      <c r="R14029" t="s">
        <v>23</v>
      </c>
      <c r="S14029" s="1" t="s">
        <v>34218</v>
      </c>
    </row>
    <row r="14030" spans="1:19" x14ac:dyDescent="0.25">
      <c r="A14030">
        <v>101333113</v>
      </c>
      <c r="B14030" t="s">
        <v>208</v>
      </c>
      <c r="C14030" t="s">
        <v>1036</v>
      </c>
      <c r="G14030" t="s">
        <v>30334</v>
      </c>
      <c r="H14030" t="s">
        <v>1531</v>
      </c>
      <c r="I14030" t="s">
        <v>84</v>
      </c>
      <c r="J14030">
        <v>98133</v>
      </c>
      <c r="L14030" t="s">
        <v>23</v>
      </c>
      <c r="M14030" t="s">
        <v>30334</v>
      </c>
      <c r="N14030" t="s">
        <v>1531</v>
      </c>
      <c r="O14030" t="s">
        <v>84</v>
      </c>
      <c r="P14030">
        <v>98133</v>
      </c>
      <c r="R14030" t="s">
        <v>23</v>
      </c>
      <c r="S14030" s="1" t="s">
        <v>34218</v>
      </c>
    </row>
    <row r="14031" spans="1:19" x14ac:dyDescent="0.25">
      <c r="A14031">
        <v>101369010</v>
      </c>
      <c r="B14031" t="s">
        <v>30335</v>
      </c>
      <c r="C14031" t="s">
        <v>1865</v>
      </c>
      <c r="G14031" t="s">
        <v>30336</v>
      </c>
      <c r="H14031" t="s">
        <v>4527</v>
      </c>
      <c r="I14031" t="s">
        <v>33</v>
      </c>
      <c r="J14031" t="s">
        <v>30337</v>
      </c>
      <c r="K14031">
        <v>5060</v>
      </c>
      <c r="L14031" t="s">
        <v>23</v>
      </c>
      <c r="M14031" t="s">
        <v>30336</v>
      </c>
      <c r="N14031" t="s">
        <v>4527</v>
      </c>
      <c r="O14031" t="s">
        <v>33</v>
      </c>
      <c r="P14031" t="s">
        <v>30337</v>
      </c>
      <c r="Q14031">
        <v>5060</v>
      </c>
      <c r="R14031" t="s">
        <v>23</v>
      </c>
      <c r="S14031" s="1" t="s">
        <v>34218</v>
      </c>
    </row>
    <row r="14032" spans="1:19" x14ac:dyDescent="0.25">
      <c r="A14032">
        <v>100621860</v>
      </c>
      <c r="B14032" t="s">
        <v>30338</v>
      </c>
      <c r="C14032" t="s">
        <v>247</v>
      </c>
      <c r="G14032" t="s">
        <v>30339</v>
      </c>
      <c r="H14032" t="s">
        <v>2279</v>
      </c>
      <c r="I14032" t="s">
        <v>52</v>
      </c>
      <c r="J14032" t="s">
        <v>30340</v>
      </c>
      <c r="K14032">
        <v>8957</v>
      </c>
      <c r="L14032" t="s">
        <v>23</v>
      </c>
      <c r="M14032" t="s">
        <v>30339</v>
      </c>
      <c r="N14032" t="s">
        <v>2279</v>
      </c>
      <c r="O14032" t="s">
        <v>52</v>
      </c>
      <c r="P14032" t="s">
        <v>30340</v>
      </c>
      <c r="Q14032">
        <v>8957</v>
      </c>
      <c r="R14032" t="s">
        <v>23</v>
      </c>
      <c r="S14032" s="1" t="s">
        <v>34218</v>
      </c>
    </row>
    <row r="14033" spans="1:19" x14ac:dyDescent="0.25">
      <c r="A14033">
        <v>101389058</v>
      </c>
      <c r="B14033" t="s">
        <v>17797</v>
      </c>
      <c r="C14033" t="s">
        <v>2173</v>
      </c>
      <c r="G14033" t="s">
        <v>23838</v>
      </c>
      <c r="H14033" t="s">
        <v>30341</v>
      </c>
      <c r="I14033" t="s">
        <v>84</v>
      </c>
      <c r="J14033" t="s">
        <v>30342</v>
      </c>
      <c r="K14033">
        <v>1034</v>
      </c>
      <c r="L14033" t="s">
        <v>23</v>
      </c>
      <c r="M14033" t="s">
        <v>23838</v>
      </c>
      <c r="N14033" t="s">
        <v>30341</v>
      </c>
      <c r="O14033" t="s">
        <v>84</v>
      </c>
      <c r="P14033" t="s">
        <v>30342</v>
      </c>
      <c r="Q14033">
        <v>1034</v>
      </c>
      <c r="R14033" t="s">
        <v>23</v>
      </c>
      <c r="S14033" s="1" t="s">
        <v>34218</v>
      </c>
    </row>
    <row r="14034" spans="1:19" x14ac:dyDescent="0.25">
      <c r="A14034">
        <v>101426863</v>
      </c>
      <c r="B14034" t="s">
        <v>2685</v>
      </c>
      <c r="C14034" t="s">
        <v>309</v>
      </c>
      <c r="G14034" t="s">
        <v>30343</v>
      </c>
      <c r="H14034" t="s">
        <v>2175</v>
      </c>
      <c r="I14034" t="s">
        <v>52</v>
      </c>
      <c r="J14034" t="s">
        <v>30344</v>
      </c>
      <c r="K14034">
        <v>6060</v>
      </c>
      <c r="L14034" t="s">
        <v>23</v>
      </c>
      <c r="M14034" t="s">
        <v>30343</v>
      </c>
      <c r="N14034" t="s">
        <v>2175</v>
      </c>
      <c r="O14034" t="s">
        <v>52</v>
      </c>
      <c r="P14034" t="s">
        <v>30344</v>
      </c>
      <c r="Q14034">
        <v>6060</v>
      </c>
      <c r="R14034" t="s">
        <v>23</v>
      </c>
      <c r="S14034" s="1" t="s">
        <v>34218</v>
      </c>
    </row>
    <row r="14035" spans="1:19" x14ac:dyDescent="0.25">
      <c r="A14035">
        <v>101416702</v>
      </c>
      <c r="B14035" t="s">
        <v>30345</v>
      </c>
      <c r="C14035" t="s">
        <v>30346</v>
      </c>
      <c r="G14035" t="s">
        <v>30347</v>
      </c>
      <c r="H14035" t="s">
        <v>5579</v>
      </c>
      <c r="I14035" t="s">
        <v>446</v>
      </c>
      <c r="J14035" t="s">
        <v>30348</v>
      </c>
      <c r="K14035">
        <v>9775</v>
      </c>
      <c r="L14035" t="s">
        <v>23</v>
      </c>
      <c r="M14035" t="s">
        <v>30347</v>
      </c>
      <c r="N14035" t="s">
        <v>5579</v>
      </c>
      <c r="O14035" t="s">
        <v>446</v>
      </c>
      <c r="P14035" t="s">
        <v>30348</v>
      </c>
      <c r="Q14035">
        <v>9775</v>
      </c>
      <c r="R14035" t="s">
        <v>23</v>
      </c>
      <c r="S14035" s="1" t="s">
        <v>34218</v>
      </c>
    </row>
    <row r="14036" spans="1:19" x14ac:dyDescent="0.25">
      <c r="A14036">
        <v>101445442</v>
      </c>
      <c r="B14036" t="s">
        <v>30349</v>
      </c>
      <c r="C14036" t="s">
        <v>11580</v>
      </c>
      <c r="G14036" t="s">
        <v>30350</v>
      </c>
      <c r="H14036" t="s">
        <v>30351</v>
      </c>
      <c r="I14036" t="s">
        <v>52</v>
      </c>
      <c r="J14036" t="s">
        <v>30352</v>
      </c>
      <c r="K14036">
        <v>8100</v>
      </c>
      <c r="L14036" t="s">
        <v>23</v>
      </c>
      <c r="M14036" t="s">
        <v>30350</v>
      </c>
      <c r="N14036" t="s">
        <v>30351</v>
      </c>
      <c r="O14036" t="s">
        <v>52</v>
      </c>
      <c r="P14036" t="s">
        <v>30352</v>
      </c>
      <c r="Q14036">
        <v>8100</v>
      </c>
      <c r="R14036" t="s">
        <v>23</v>
      </c>
      <c r="S14036" s="1" t="s">
        <v>34218</v>
      </c>
    </row>
    <row r="14037" spans="1:19" x14ac:dyDescent="0.25">
      <c r="A14037">
        <v>101423875</v>
      </c>
      <c r="B14037" t="s">
        <v>3535</v>
      </c>
      <c r="C14037" t="s">
        <v>208</v>
      </c>
      <c r="G14037" t="s">
        <v>30353</v>
      </c>
      <c r="H14037" t="s">
        <v>12692</v>
      </c>
      <c r="I14037" t="s">
        <v>28</v>
      </c>
      <c r="J14037" t="s">
        <v>30354</v>
      </c>
      <c r="K14037">
        <v>3455</v>
      </c>
      <c r="L14037" t="s">
        <v>23</v>
      </c>
      <c r="M14037" t="s">
        <v>30353</v>
      </c>
      <c r="N14037" t="s">
        <v>12692</v>
      </c>
      <c r="O14037" t="s">
        <v>28</v>
      </c>
      <c r="P14037" t="s">
        <v>30354</v>
      </c>
      <c r="Q14037">
        <v>3455</v>
      </c>
      <c r="R14037" t="s">
        <v>23</v>
      </c>
      <c r="S14037" s="1" t="s">
        <v>34218</v>
      </c>
    </row>
    <row r="14038" spans="1:19" x14ac:dyDescent="0.25">
      <c r="A14038">
        <v>101255041</v>
      </c>
      <c r="B14038" t="s">
        <v>30355</v>
      </c>
      <c r="C14038" t="s">
        <v>17162</v>
      </c>
      <c r="G14038" t="s">
        <v>30356</v>
      </c>
      <c r="H14038" t="s">
        <v>1273</v>
      </c>
      <c r="I14038" t="s">
        <v>52</v>
      </c>
      <c r="J14038" t="s">
        <v>30357</v>
      </c>
      <c r="K14038">
        <v>7770</v>
      </c>
      <c r="L14038" t="s">
        <v>23</v>
      </c>
      <c r="M14038" t="s">
        <v>30356</v>
      </c>
      <c r="N14038" t="s">
        <v>1273</v>
      </c>
      <c r="O14038" t="s">
        <v>52</v>
      </c>
      <c r="P14038" t="s">
        <v>30357</v>
      </c>
      <c r="Q14038">
        <v>7770</v>
      </c>
      <c r="R14038" t="s">
        <v>23</v>
      </c>
      <c r="S14038" s="1" t="s">
        <v>34218</v>
      </c>
    </row>
    <row r="14039" spans="1:19" x14ac:dyDescent="0.25">
      <c r="A14039">
        <v>101436620</v>
      </c>
      <c r="B14039" t="s">
        <v>6903</v>
      </c>
      <c r="C14039" t="s">
        <v>1350</v>
      </c>
      <c r="G14039" t="s">
        <v>30358</v>
      </c>
      <c r="H14039" t="s">
        <v>7693</v>
      </c>
      <c r="I14039" t="s">
        <v>255</v>
      </c>
      <c r="J14039" t="s">
        <v>30359</v>
      </c>
      <c r="K14039">
        <v>3614</v>
      </c>
      <c r="L14039" t="s">
        <v>23</v>
      </c>
      <c r="M14039" t="s">
        <v>30358</v>
      </c>
      <c r="N14039" t="s">
        <v>7693</v>
      </c>
      <c r="O14039" t="s">
        <v>255</v>
      </c>
      <c r="P14039" t="s">
        <v>30359</v>
      </c>
      <c r="Q14039">
        <v>3614</v>
      </c>
      <c r="R14039" t="s">
        <v>23</v>
      </c>
      <c r="S14039" s="1" t="s">
        <v>34218</v>
      </c>
    </row>
    <row r="14040" spans="1:19" x14ac:dyDescent="0.25">
      <c r="A14040">
        <v>101423491</v>
      </c>
      <c r="B14040" t="s">
        <v>30360</v>
      </c>
      <c r="C14040" t="s">
        <v>1050</v>
      </c>
      <c r="G14040" t="s">
        <v>30361</v>
      </c>
      <c r="H14040" t="s">
        <v>3373</v>
      </c>
      <c r="I14040" t="s">
        <v>178</v>
      </c>
      <c r="J14040" t="s">
        <v>30362</v>
      </c>
      <c r="K14040">
        <v>2936</v>
      </c>
      <c r="L14040" t="s">
        <v>23</v>
      </c>
      <c r="M14040" t="s">
        <v>30361</v>
      </c>
      <c r="N14040" t="s">
        <v>3373</v>
      </c>
      <c r="O14040" t="s">
        <v>178</v>
      </c>
      <c r="P14040" t="s">
        <v>30362</v>
      </c>
      <c r="Q14040">
        <v>2936</v>
      </c>
      <c r="R14040" t="s">
        <v>23</v>
      </c>
      <c r="S14040" s="1" t="s">
        <v>34218</v>
      </c>
    </row>
    <row r="14041" spans="1:19" x14ac:dyDescent="0.25">
      <c r="A14041">
        <v>101445509</v>
      </c>
      <c r="B14041" t="s">
        <v>30363</v>
      </c>
      <c r="C14041" t="s">
        <v>1176</v>
      </c>
      <c r="G14041" t="s">
        <v>30364</v>
      </c>
      <c r="H14041" t="s">
        <v>5125</v>
      </c>
      <c r="I14041" t="s">
        <v>71</v>
      </c>
      <c r="J14041" t="s">
        <v>30365</v>
      </c>
      <c r="K14041">
        <v>8236</v>
      </c>
      <c r="L14041" t="s">
        <v>23</v>
      </c>
      <c r="M14041" t="s">
        <v>30364</v>
      </c>
      <c r="N14041" t="s">
        <v>5125</v>
      </c>
      <c r="O14041" t="s">
        <v>71</v>
      </c>
      <c r="P14041" t="s">
        <v>30365</v>
      </c>
      <c r="Q14041">
        <v>8236</v>
      </c>
      <c r="R14041" t="s">
        <v>23</v>
      </c>
      <c r="S14041" s="1" t="s">
        <v>34218</v>
      </c>
    </row>
    <row r="14042" spans="1:19" x14ac:dyDescent="0.25">
      <c r="A14042">
        <v>101442436</v>
      </c>
      <c r="B14042" t="s">
        <v>4832</v>
      </c>
      <c r="C14042" t="s">
        <v>1588</v>
      </c>
      <c r="G14042" t="s">
        <v>30366</v>
      </c>
      <c r="H14042" t="s">
        <v>1863</v>
      </c>
      <c r="I14042" t="s">
        <v>126</v>
      </c>
      <c r="J14042" t="s">
        <v>30367</v>
      </c>
      <c r="K14042">
        <v>1232</v>
      </c>
      <c r="L14042" t="s">
        <v>23</v>
      </c>
      <c r="M14042" t="s">
        <v>30366</v>
      </c>
      <c r="N14042" t="s">
        <v>1863</v>
      </c>
      <c r="O14042" t="s">
        <v>126</v>
      </c>
      <c r="P14042" t="s">
        <v>30367</v>
      </c>
      <c r="Q14042">
        <v>1232</v>
      </c>
      <c r="R14042" t="s">
        <v>23</v>
      </c>
      <c r="S14042" s="1" t="s">
        <v>34218</v>
      </c>
    </row>
    <row r="14043" spans="1:19" x14ac:dyDescent="0.25">
      <c r="A14043">
        <v>101245802</v>
      </c>
      <c r="B14043" t="s">
        <v>4042</v>
      </c>
      <c r="C14043" t="s">
        <v>6474</v>
      </c>
      <c r="G14043" t="s">
        <v>30368</v>
      </c>
      <c r="H14043" t="s">
        <v>30369</v>
      </c>
      <c r="I14043" t="s">
        <v>117</v>
      </c>
      <c r="J14043" t="s">
        <v>30370</v>
      </c>
      <c r="K14043">
        <v>1535</v>
      </c>
      <c r="L14043" t="s">
        <v>23</v>
      </c>
      <c r="M14043" t="s">
        <v>30368</v>
      </c>
      <c r="N14043" t="s">
        <v>30369</v>
      </c>
      <c r="O14043" t="s">
        <v>117</v>
      </c>
      <c r="P14043" t="s">
        <v>30370</v>
      </c>
      <c r="Q14043">
        <v>1535</v>
      </c>
      <c r="R14043" t="s">
        <v>23</v>
      </c>
      <c r="S14043" s="1" t="s">
        <v>34218</v>
      </c>
    </row>
    <row r="14044" spans="1:19" x14ac:dyDescent="0.25">
      <c r="A14044">
        <v>101170547</v>
      </c>
      <c r="B14044" t="s">
        <v>30371</v>
      </c>
      <c r="C14044" t="s">
        <v>803</v>
      </c>
      <c r="G14044" t="s">
        <v>30372</v>
      </c>
      <c r="H14044" t="s">
        <v>4199</v>
      </c>
      <c r="I14044" t="s">
        <v>71</v>
      </c>
      <c r="J14044" t="s">
        <v>30373</v>
      </c>
      <c r="K14044">
        <v>9306</v>
      </c>
      <c r="L14044" t="s">
        <v>23</v>
      </c>
      <c r="M14044" t="s">
        <v>30372</v>
      </c>
      <c r="N14044" t="s">
        <v>4199</v>
      </c>
      <c r="O14044" t="s">
        <v>71</v>
      </c>
      <c r="P14044" t="s">
        <v>30373</v>
      </c>
      <c r="Q14044">
        <v>9306</v>
      </c>
      <c r="R14044" t="s">
        <v>23</v>
      </c>
      <c r="S14044" s="1" t="s">
        <v>34218</v>
      </c>
    </row>
    <row r="14045" spans="1:19" x14ac:dyDescent="0.25">
      <c r="A14045">
        <v>101134159</v>
      </c>
      <c r="B14045" t="s">
        <v>30374</v>
      </c>
      <c r="C14045" t="s">
        <v>30375</v>
      </c>
      <c r="G14045" t="s">
        <v>30376</v>
      </c>
      <c r="H14045" t="s">
        <v>17861</v>
      </c>
      <c r="I14045" t="s">
        <v>7839</v>
      </c>
      <c r="J14045">
        <v>58230</v>
      </c>
      <c r="L14045" t="s">
        <v>23</v>
      </c>
      <c r="M14045" t="s">
        <v>30376</v>
      </c>
      <c r="N14045" t="s">
        <v>17861</v>
      </c>
      <c r="O14045" t="s">
        <v>7839</v>
      </c>
      <c r="P14045">
        <v>58230</v>
      </c>
      <c r="R14045" t="s">
        <v>23</v>
      </c>
      <c r="S14045" s="1" t="s">
        <v>34218</v>
      </c>
    </row>
    <row r="14046" spans="1:19" x14ac:dyDescent="0.25">
      <c r="A14046">
        <v>101423988</v>
      </c>
      <c r="B14046" t="s">
        <v>30377</v>
      </c>
      <c r="C14046" t="s">
        <v>641</v>
      </c>
      <c r="G14046" t="s">
        <v>30378</v>
      </c>
      <c r="H14046" t="s">
        <v>30379</v>
      </c>
      <c r="I14046" t="s">
        <v>191</v>
      </c>
      <c r="J14046" t="s">
        <v>30380</v>
      </c>
      <c r="K14046">
        <v>321</v>
      </c>
      <c r="L14046" t="s">
        <v>23</v>
      </c>
      <c r="M14046" t="s">
        <v>30378</v>
      </c>
      <c r="N14046" t="s">
        <v>30379</v>
      </c>
      <c r="O14046" t="s">
        <v>191</v>
      </c>
      <c r="P14046" t="s">
        <v>30380</v>
      </c>
      <c r="Q14046">
        <v>321</v>
      </c>
      <c r="R14046" t="s">
        <v>23</v>
      </c>
      <c r="S14046" s="1" t="s">
        <v>34218</v>
      </c>
    </row>
    <row r="14047" spans="1:19" x14ac:dyDescent="0.25">
      <c r="A14047">
        <v>100693785</v>
      </c>
      <c r="B14047" t="s">
        <v>30381</v>
      </c>
      <c r="C14047" t="s">
        <v>30382</v>
      </c>
      <c r="G14047" t="s">
        <v>30383</v>
      </c>
      <c r="H14047" t="s">
        <v>11875</v>
      </c>
      <c r="I14047" t="s">
        <v>22</v>
      </c>
      <c r="J14047" t="s">
        <v>30384</v>
      </c>
      <c r="K14047">
        <v>2335</v>
      </c>
      <c r="L14047" t="s">
        <v>23</v>
      </c>
      <c r="M14047" t="s">
        <v>30383</v>
      </c>
      <c r="N14047" t="s">
        <v>11875</v>
      </c>
      <c r="O14047" t="s">
        <v>22</v>
      </c>
      <c r="P14047" t="s">
        <v>30384</v>
      </c>
      <c r="Q14047">
        <v>2335</v>
      </c>
      <c r="R14047" t="s">
        <v>23</v>
      </c>
      <c r="S14047" s="1" t="s">
        <v>34218</v>
      </c>
    </row>
    <row r="14048" spans="1:19" x14ac:dyDescent="0.25">
      <c r="A14048">
        <v>101406374</v>
      </c>
      <c r="B14048" t="s">
        <v>30385</v>
      </c>
      <c r="C14048" t="s">
        <v>1959</v>
      </c>
      <c r="G14048" t="s">
        <v>30386</v>
      </c>
      <c r="H14048" t="s">
        <v>299</v>
      </c>
      <c r="I14048" t="s">
        <v>22</v>
      </c>
      <c r="J14048" t="s">
        <v>30387</v>
      </c>
      <c r="K14048">
        <v>5904</v>
      </c>
      <c r="L14048" t="s">
        <v>23</v>
      </c>
      <c r="M14048" t="s">
        <v>30386</v>
      </c>
      <c r="N14048" t="s">
        <v>299</v>
      </c>
      <c r="O14048" t="s">
        <v>22</v>
      </c>
      <c r="P14048" t="s">
        <v>30387</v>
      </c>
      <c r="Q14048">
        <v>5904</v>
      </c>
      <c r="R14048" t="s">
        <v>23</v>
      </c>
      <c r="S14048" s="1" t="s">
        <v>34218</v>
      </c>
    </row>
    <row r="14049" spans="1:19" x14ac:dyDescent="0.25">
      <c r="A14049">
        <v>101445507</v>
      </c>
      <c r="B14049" t="s">
        <v>21512</v>
      </c>
      <c r="C14049" t="s">
        <v>1506</v>
      </c>
      <c r="G14049" t="s">
        <v>30388</v>
      </c>
      <c r="H14049" t="s">
        <v>2769</v>
      </c>
      <c r="I14049" t="s">
        <v>52</v>
      </c>
      <c r="J14049">
        <v>34119</v>
      </c>
      <c r="K14049">
        <v>7501</v>
      </c>
      <c r="L14049" t="s">
        <v>23</v>
      </c>
      <c r="M14049" t="s">
        <v>30388</v>
      </c>
      <c r="N14049" t="s">
        <v>2769</v>
      </c>
      <c r="O14049" t="s">
        <v>52</v>
      </c>
      <c r="P14049">
        <v>34119</v>
      </c>
      <c r="Q14049">
        <v>7501</v>
      </c>
      <c r="R14049" t="s">
        <v>23</v>
      </c>
      <c r="S14049" s="1" t="s">
        <v>34218</v>
      </c>
    </row>
    <row r="14050" spans="1:19" x14ac:dyDescent="0.25">
      <c r="A14050">
        <v>101328435</v>
      </c>
      <c r="B14050" t="s">
        <v>30389</v>
      </c>
      <c r="C14050" t="s">
        <v>81</v>
      </c>
      <c r="G14050" t="s">
        <v>30390</v>
      </c>
      <c r="H14050" t="s">
        <v>30391</v>
      </c>
      <c r="I14050" t="s">
        <v>22</v>
      </c>
      <c r="J14050" t="s">
        <v>30392</v>
      </c>
      <c r="K14050">
        <v>4213</v>
      </c>
      <c r="L14050" t="s">
        <v>23</v>
      </c>
      <c r="M14050" t="s">
        <v>30390</v>
      </c>
      <c r="N14050" t="s">
        <v>30391</v>
      </c>
      <c r="O14050" t="s">
        <v>22</v>
      </c>
      <c r="P14050" t="s">
        <v>30392</v>
      </c>
      <c r="Q14050">
        <v>4213</v>
      </c>
      <c r="R14050" t="s">
        <v>23</v>
      </c>
      <c r="S14050" s="1" t="s">
        <v>34218</v>
      </c>
    </row>
    <row r="14051" spans="1:19" x14ac:dyDescent="0.25">
      <c r="A14051">
        <v>100901003</v>
      </c>
      <c r="B14051" t="s">
        <v>30393</v>
      </c>
      <c r="C14051" t="s">
        <v>329</v>
      </c>
      <c r="G14051" t="s">
        <v>30394</v>
      </c>
      <c r="H14051" t="s">
        <v>13062</v>
      </c>
      <c r="I14051" t="s">
        <v>52</v>
      </c>
      <c r="J14051">
        <v>32901</v>
      </c>
      <c r="K14051">
        <v>2704</v>
      </c>
      <c r="L14051" t="s">
        <v>23</v>
      </c>
      <c r="M14051" t="s">
        <v>30394</v>
      </c>
      <c r="N14051" t="s">
        <v>13062</v>
      </c>
      <c r="O14051" t="s">
        <v>52</v>
      </c>
      <c r="P14051">
        <v>32901</v>
      </c>
      <c r="Q14051">
        <v>2704</v>
      </c>
      <c r="R14051" t="s">
        <v>23</v>
      </c>
      <c r="S14051" s="1" t="s">
        <v>34218</v>
      </c>
    </row>
    <row r="14052" spans="1:19" x14ac:dyDescent="0.25">
      <c r="A14052">
        <v>101451098</v>
      </c>
      <c r="B14052" t="s">
        <v>4074</v>
      </c>
      <c r="C14052" t="s">
        <v>20355</v>
      </c>
      <c r="G14052" t="s">
        <v>30395</v>
      </c>
      <c r="H14052" t="s">
        <v>1052</v>
      </c>
      <c r="I14052" t="s">
        <v>187</v>
      </c>
      <c r="J14052">
        <v>56307</v>
      </c>
      <c r="K14052">
        <v>8709</v>
      </c>
      <c r="L14052" t="s">
        <v>23</v>
      </c>
      <c r="M14052" t="s">
        <v>30395</v>
      </c>
      <c r="N14052" t="s">
        <v>1052</v>
      </c>
      <c r="O14052" t="s">
        <v>187</v>
      </c>
      <c r="P14052">
        <v>56307</v>
      </c>
      <c r="Q14052">
        <v>8709</v>
      </c>
      <c r="R14052" t="s">
        <v>23</v>
      </c>
      <c r="S14052" s="1" t="s">
        <v>34218</v>
      </c>
    </row>
    <row r="14053" spans="1:19" x14ac:dyDescent="0.25">
      <c r="A14053">
        <v>101451399</v>
      </c>
      <c r="B14053" t="s">
        <v>30396</v>
      </c>
      <c r="C14053" t="s">
        <v>110</v>
      </c>
      <c r="G14053" t="s">
        <v>30397</v>
      </c>
      <c r="H14053" t="s">
        <v>6755</v>
      </c>
      <c r="I14053" t="s">
        <v>38</v>
      </c>
      <c r="J14053">
        <v>76227</v>
      </c>
      <c r="K14053">
        <v>7531</v>
      </c>
      <c r="L14053" t="s">
        <v>23</v>
      </c>
      <c r="M14053" t="s">
        <v>30397</v>
      </c>
      <c r="N14053" t="s">
        <v>6755</v>
      </c>
      <c r="O14053" t="s">
        <v>38</v>
      </c>
      <c r="P14053">
        <v>76227</v>
      </c>
      <c r="Q14053">
        <v>7531</v>
      </c>
      <c r="R14053" t="s">
        <v>23</v>
      </c>
      <c r="S14053" s="1" t="s">
        <v>34218</v>
      </c>
    </row>
    <row r="14054" spans="1:19" x14ac:dyDescent="0.25">
      <c r="A14054">
        <v>101471137</v>
      </c>
      <c r="B14054" t="s">
        <v>7175</v>
      </c>
      <c r="C14054" t="s">
        <v>286</v>
      </c>
      <c r="G14054" t="s">
        <v>7176</v>
      </c>
      <c r="H14054" t="s">
        <v>2376</v>
      </c>
      <c r="I14054" t="s">
        <v>236</v>
      </c>
      <c r="J14054">
        <v>1440</v>
      </c>
      <c r="K14054">
        <v>2894</v>
      </c>
      <c r="L14054" t="s">
        <v>23</v>
      </c>
      <c r="M14054" t="s">
        <v>7176</v>
      </c>
      <c r="N14054" t="s">
        <v>2376</v>
      </c>
      <c r="O14054" t="s">
        <v>236</v>
      </c>
      <c r="P14054">
        <v>1440</v>
      </c>
      <c r="Q14054">
        <v>2894</v>
      </c>
      <c r="R14054" t="s">
        <v>23</v>
      </c>
      <c r="S14054" s="1" t="s">
        <v>34218</v>
      </c>
    </row>
    <row r="14055" spans="1:19" x14ac:dyDescent="0.25">
      <c r="A14055">
        <v>100584802</v>
      </c>
      <c r="B14055" t="s">
        <v>30398</v>
      </c>
      <c r="C14055" t="s">
        <v>1208</v>
      </c>
      <c r="G14055" t="s">
        <v>30399</v>
      </c>
      <c r="H14055" t="s">
        <v>18061</v>
      </c>
      <c r="I14055" t="s">
        <v>914</v>
      </c>
      <c r="J14055" t="s">
        <v>30400</v>
      </c>
      <c r="K14055">
        <v>3416</v>
      </c>
      <c r="L14055" t="s">
        <v>23</v>
      </c>
      <c r="M14055" t="s">
        <v>30399</v>
      </c>
      <c r="N14055" t="s">
        <v>18061</v>
      </c>
      <c r="O14055" t="s">
        <v>914</v>
      </c>
      <c r="P14055" t="s">
        <v>30400</v>
      </c>
      <c r="Q14055">
        <v>3416</v>
      </c>
      <c r="R14055" t="s">
        <v>23</v>
      </c>
      <c r="S14055" s="1" t="s">
        <v>34218</v>
      </c>
    </row>
    <row r="14056" spans="1:19" x14ac:dyDescent="0.25">
      <c r="A14056">
        <v>101425864</v>
      </c>
      <c r="B14056" t="s">
        <v>30401</v>
      </c>
      <c r="C14056" t="s">
        <v>1933</v>
      </c>
      <c r="G14056" t="s">
        <v>30402</v>
      </c>
      <c r="H14056" t="s">
        <v>30403</v>
      </c>
      <c r="I14056" t="s">
        <v>236</v>
      </c>
      <c r="J14056" t="s">
        <v>30404</v>
      </c>
      <c r="K14056">
        <v>9746</v>
      </c>
      <c r="L14056" t="s">
        <v>23</v>
      </c>
      <c r="M14056" t="s">
        <v>30402</v>
      </c>
      <c r="N14056" t="s">
        <v>30403</v>
      </c>
      <c r="O14056" t="s">
        <v>236</v>
      </c>
      <c r="P14056" t="s">
        <v>30404</v>
      </c>
      <c r="Q14056">
        <v>9746</v>
      </c>
      <c r="R14056" t="s">
        <v>23</v>
      </c>
      <c r="S14056" s="1" t="s">
        <v>34218</v>
      </c>
    </row>
    <row r="14057" spans="1:19" x14ac:dyDescent="0.25">
      <c r="A14057">
        <v>100759625</v>
      </c>
      <c r="B14057" t="s">
        <v>11763</v>
      </c>
      <c r="C14057" t="s">
        <v>2463</v>
      </c>
      <c r="G14057" t="s">
        <v>30405</v>
      </c>
      <c r="H14057" t="s">
        <v>169</v>
      </c>
      <c r="I14057" t="s">
        <v>170</v>
      </c>
      <c r="J14057" t="s">
        <v>30406</v>
      </c>
      <c r="K14057">
        <v>2860</v>
      </c>
      <c r="L14057" t="s">
        <v>23</v>
      </c>
      <c r="M14057" t="s">
        <v>30405</v>
      </c>
      <c r="N14057" t="s">
        <v>169</v>
      </c>
      <c r="O14057" t="s">
        <v>170</v>
      </c>
      <c r="P14057" t="s">
        <v>30406</v>
      </c>
      <c r="Q14057">
        <v>2860</v>
      </c>
      <c r="R14057" t="s">
        <v>23</v>
      </c>
      <c r="S14057" s="1" t="s">
        <v>34218</v>
      </c>
    </row>
    <row r="14058" spans="1:19" x14ac:dyDescent="0.25">
      <c r="A14058">
        <v>101328196</v>
      </c>
      <c r="B14058" t="s">
        <v>30407</v>
      </c>
      <c r="C14058" t="s">
        <v>102</v>
      </c>
      <c r="G14058" t="s">
        <v>30408</v>
      </c>
      <c r="H14058" t="s">
        <v>556</v>
      </c>
      <c r="I14058" t="s">
        <v>2310</v>
      </c>
      <c r="J14058">
        <v>19943</v>
      </c>
      <c r="K14058">
        <v>5115</v>
      </c>
      <c r="L14058" t="s">
        <v>23</v>
      </c>
      <c r="M14058" t="s">
        <v>30408</v>
      </c>
      <c r="N14058" t="s">
        <v>556</v>
      </c>
      <c r="O14058" t="s">
        <v>2310</v>
      </c>
      <c r="P14058">
        <v>19943</v>
      </c>
      <c r="Q14058">
        <v>5115</v>
      </c>
      <c r="R14058" t="s">
        <v>23</v>
      </c>
      <c r="S14058" s="1" t="s">
        <v>34218</v>
      </c>
    </row>
    <row r="14059" spans="1:19" x14ac:dyDescent="0.25">
      <c r="A14059">
        <v>101451523</v>
      </c>
      <c r="B14059" t="s">
        <v>30409</v>
      </c>
      <c r="C14059" t="s">
        <v>1506</v>
      </c>
      <c r="G14059" t="s">
        <v>30410</v>
      </c>
      <c r="H14059" t="s">
        <v>1229</v>
      </c>
      <c r="I14059" t="s">
        <v>38</v>
      </c>
      <c r="J14059">
        <v>78258</v>
      </c>
      <c r="K14059">
        <v>3601</v>
      </c>
      <c r="L14059" t="s">
        <v>23</v>
      </c>
      <c r="M14059" t="s">
        <v>30410</v>
      </c>
      <c r="N14059" t="s">
        <v>1229</v>
      </c>
      <c r="O14059" t="s">
        <v>38</v>
      </c>
      <c r="P14059">
        <v>78258</v>
      </c>
      <c r="Q14059">
        <v>3601</v>
      </c>
      <c r="R14059" t="s">
        <v>23</v>
      </c>
      <c r="S14059" s="1" t="s">
        <v>34218</v>
      </c>
    </row>
    <row r="14060" spans="1:19" x14ac:dyDescent="0.25">
      <c r="A14060">
        <v>100968857</v>
      </c>
      <c r="B14060" t="s">
        <v>199</v>
      </c>
      <c r="C14060" t="s">
        <v>1726</v>
      </c>
      <c r="G14060" t="s">
        <v>30411</v>
      </c>
      <c r="H14060" t="s">
        <v>10931</v>
      </c>
      <c r="I14060" t="s">
        <v>28</v>
      </c>
      <c r="J14060">
        <v>31405</v>
      </c>
      <c r="K14060">
        <v>3619</v>
      </c>
      <c r="L14060" t="s">
        <v>23</v>
      </c>
      <c r="M14060" t="s">
        <v>30411</v>
      </c>
      <c r="N14060" t="s">
        <v>10931</v>
      </c>
      <c r="O14060" t="s">
        <v>28</v>
      </c>
      <c r="P14060">
        <v>31405</v>
      </c>
      <c r="Q14060">
        <v>3619</v>
      </c>
      <c r="R14060" t="s">
        <v>23</v>
      </c>
      <c r="S14060" s="1" t="s">
        <v>34218</v>
      </c>
    </row>
    <row r="14061" spans="1:19" x14ac:dyDescent="0.25">
      <c r="A14061">
        <v>101434678</v>
      </c>
      <c r="B14061" t="s">
        <v>10167</v>
      </c>
      <c r="C14061" t="s">
        <v>1212</v>
      </c>
      <c r="G14061" t="s">
        <v>30412</v>
      </c>
      <c r="H14061" t="s">
        <v>30413</v>
      </c>
      <c r="I14061" t="s">
        <v>446</v>
      </c>
      <c r="J14061">
        <v>27377</v>
      </c>
      <c r="K14061">
        <v>9816</v>
      </c>
      <c r="L14061" t="s">
        <v>23</v>
      </c>
      <c r="M14061" t="s">
        <v>30412</v>
      </c>
      <c r="N14061" t="s">
        <v>30413</v>
      </c>
      <c r="O14061" t="s">
        <v>446</v>
      </c>
      <c r="P14061">
        <v>27377</v>
      </c>
      <c r="Q14061">
        <v>9816</v>
      </c>
      <c r="R14061" t="s">
        <v>23</v>
      </c>
      <c r="S14061" s="1" t="s">
        <v>34218</v>
      </c>
    </row>
    <row r="14062" spans="1:19" x14ac:dyDescent="0.25">
      <c r="A14062">
        <v>101000782</v>
      </c>
      <c r="B14062" t="s">
        <v>30414</v>
      </c>
      <c r="C14062" t="s">
        <v>12846</v>
      </c>
      <c r="F14062" t="str">
        <f>"7033078068"</f>
        <v>7033078068</v>
      </c>
      <c r="G14062" t="s">
        <v>30415</v>
      </c>
      <c r="H14062" t="s">
        <v>28782</v>
      </c>
      <c r="I14062" t="s">
        <v>255</v>
      </c>
      <c r="J14062">
        <v>22802</v>
      </c>
      <c r="K14062">
        <v>8329</v>
      </c>
      <c r="L14062" t="s">
        <v>23</v>
      </c>
      <c r="M14062" t="s">
        <v>30415</v>
      </c>
      <c r="N14062" t="s">
        <v>28782</v>
      </c>
      <c r="O14062" t="s">
        <v>255</v>
      </c>
      <c r="P14062">
        <v>22802</v>
      </c>
      <c r="Q14062">
        <v>8329</v>
      </c>
      <c r="R14062" t="s">
        <v>23</v>
      </c>
      <c r="S14062" s="1" t="s">
        <v>34218</v>
      </c>
    </row>
    <row r="14063" spans="1:19" x14ac:dyDescent="0.25">
      <c r="A14063">
        <v>101448195</v>
      </c>
      <c r="B14063" t="s">
        <v>30416</v>
      </c>
      <c r="C14063" t="s">
        <v>4296</v>
      </c>
      <c r="G14063" t="s">
        <v>30417</v>
      </c>
      <c r="H14063" t="s">
        <v>10085</v>
      </c>
      <c r="I14063" t="s">
        <v>22</v>
      </c>
      <c r="J14063">
        <v>92260</v>
      </c>
      <c r="L14063" t="s">
        <v>23</v>
      </c>
      <c r="M14063" t="s">
        <v>30417</v>
      </c>
      <c r="N14063" t="s">
        <v>10085</v>
      </c>
      <c r="O14063" t="s">
        <v>22</v>
      </c>
      <c r="P14063">
        <v>92260</v>
      </c>
      <c r="R14063" t="s">
        <v>23</v>
      </c>
      <c r="S14063" s="1" t="s">
        <v>34218</v>
      </c>
    </row>
    <row r="14064" spans="1:19" x14ac:dyDescent="0.25">
      <c r="A14064">
        <v>100556139</v>
      </c>
      <c r="B14064" t="s">
        <v>2429</v>
      </c>
      <c r="C14064" t="s">
        <v>1327</v>
      </c>
      <c r="G14064" t="s">
        <v>30418</v>
      </c>
      <c r="H14064" t="s">
        <v>30419</v>
      </c>
      <c r="I14064" t="s">
        <v>140</v>
      </c>
      <c r="J14064">
        <v>49031</v>
      </c>
      <c r="K14064">
        <v>8322</v>
      </c>
      <c r="L14064" t="s">
        <v>23</v>
      </c>
      <c r="M14064" t="s">
        <v>30418</v>
      </c>
      <c r="N14064" t="s">
        <v>30419</v>
      </c>
      <c r="O14064" t="s">
        <v>140</v>
      </c>
      <c r="P14064">
        <v>49031</v>
      </c>
      <c r="Q14064">
        <v>8322</v>
      </c>
      <c r="R14064" t="s">
        <v>23</v>
      </c>
      <c r="S14064" s="1" t="s">
        <v>34218</v>
      </c>
    </row>
    <row r="14065" spans="1:19" x14ac:dyDescent="0.25">
      <c r="A14065">
        <v>100785096</v>
      </c>
      <c r="B14065" t="s">
        <v>30420</v>
      </c>
      <c r="C14065" t="s">
        <v>585</v>
      </c>
      <c r="G14065" t="s">
        <v>30421</v>
      </c>
      <c r="H14065" t="s">
        <v>134</v>
      </c>
      <c r="I14065" t="s">
        <v>135</v>
      </c>
      <c r="J14065">
        <v>60660</v>
      </c>
      <c r="K14065">
        <v>1916</v>
      </c>
      <c r="L14065" t="s">
        <v>23</v>
      </c>
      <c r="M14065" t="s">
        <v>30421</v>
      </c>
      <c r="N14065" t="s">
        <v>134</v>
      </c>
      <c r="O14065" t="s">
        <v>135</v>
      </c>
      <c r="P14065">
        <v>60660</v>
      </c>
      <c r="Q14065">
        <v>1916</v>
      </c>
      <c r="R14065" t="s">
        <v>23</v>
      </c>
      <c r="S14065" s="1" t="s">
        <v>34218</v>
      </c>
    </row>
    <row r="14066" spans="1:19" x14ac:dyDescent="0.25">
      <c r="A14066">
        <v>101340458</v>
      </c>
      <c r="B14066" t="s">
        <v>10712</v>
      </c>
      <c r="C14066" t="s">
        <v>30422</v>
      </c>
      <c r="G14066" t="s">
        <v>30423</v>
      </c>
      <c r="H14066" t="s">
        <v>18168</v>
      </c>
      <c r="I14066" t="s">
        <v>187</v>
      </c>
      <c r="J14066">
        <v>55364</v>
      </c>
      <c r="K14066">
        <v>9394</v>
      </c>
      <c r="L14066" t="s">
        <v>23</v>
      </c>
      <c r="M14066" t="s">
        <v>30423</v>
      </c>
      <c r="N14066" t="s">
        <v>18168</v>
      </c>
      <c r="O14066" t="s">
        <v>187</v>
      </c>
      <c r="P14066">
        <v>55364</v>
      </c>
      <c r="Q14066">
        <v>9394</v>
      </c>
      <c r="R14066" t="s">
        <v>23</v>
      </c>
      <c r="S14066" s="1" t="s">
        <v>34218</v>
      </c>
    </row>
    <row r="14067" spans="1:19" x14ac:dyDescent="0.25">
      <c r="A14067">
        <v>100564643</v>
      </c>
      <c r="B14067" t="s">
        <v>8237</v>
      </c>
      <c r="C14067" t="s">
        <v>2790</v>
      </c>
      <c r="G14067" t="s">
        <v>30424</v>
      </c>
      <c r="H14067" t="s">
        <v>1985</v>
      </c>
      <c r="I14067" t="s">
        <v>71</v>
      </c>
      <c r="J14067">
        <v>80923</v>
      </c>
      <c r="K14067">
        <v>8763</v>
      </c>
      <c r="L14067" t="s">
        <v>23</v>
      </c>
      <c r="M14067" t="s">
        <v>30424</v>
      </c>
      <c r="N14067" t="s">
        <v>1985</v>
      </c>
      <c r="O14067" t="s">
        <v>71</v>
      </c>
      <c r="P14067">
        <v>80923</v>
      </c>
      <c r="Q14067">
        <v>8763</v>
      </c>
      <c r="R14067" t="s">
        <v>23</v>
      </c>
      <c r="S14067" s="1" t="s">
        <v>34218</v>
      </c>
    </row>
    <row r="14068" spans="1:19" x14ac:dyDescent="0.25">
      <c r="A14068">
        <v>101420859</v>
      </c>
      <c r="B14068" t="s">
        <v>30425</v>
      </c>
      <c r="C14068" t="s">
        <v>6641</v>
      </c>
      <c r="G14068" t="s">
        <v>30426</v>
      </c>
      <c r="H14068" t="s">
        <v>9544</v>
      </c>
      <c r="I14068" t="s">
        <v>148</v>
      </c>
      <c r="J14068">
        <v>20815</v>
      </c>
      <c r="K14068">
        <v>4051</v>
      </c>
      <c r="L14068" t="s">
        <v>23</v>
      </c>
      <c r="M14068" t="s">
        <v>30426</v>
      </c>
      <c r="N14068" t="s">
        <v>9544</v>
      </c>
      <c r="O14068" t="s">
        <v>148</v>
      </c>
      <c r="P14068">
        <v>20815</v>
      </c>
      <c r="Q14068">
        <v>4051</v>
      </c>
      <c r="R14068" t="s">
        <v>23</v>
      </c>
      <c r="S14068" s="1" t="s">
        <v>34218</v>
      </c>
    </row>
    <row r="14069" spans="1:19" x14ac:dyDescent="0.25">
      <c r="A14069">
        <v>100612942</v>
      </c>
      <c r="B14069" t="s">
        <v>744</v>
      </c>
      <c r="C14069" t="s">
        <v>102</v>
      </c>
      <c r="G14069" t="s">
        <v>30427</v>
      </c>
      <c r="H14069" t="s">
        <v>458</v>
      </c>
      <c r="I14069" t="s">
        <v>43</v>
      </c>
      <c r="J14069">
        <v>97527</v>
      </c>
      <c r="K14069">
        <v>4565</v>
      </c>
      <c r="L14069" t="s">
        <v>23</v>
      </c>
      <c r="M14069" t="s">
        <v>30427</v>
      </c>
      <c r="N14069" t="s">
        <v>458</v>
      </c>
      <c r="O14069" t="s">
        <v>43</v>
      </c>
      <c r="P14069">
        <v>97527</v>
      </c>
      <c r="Q14069">
        <v>4565</v>
      </c>
      <c r="R14069" t="s">
        <v>23</v>
      </c>
      <c r="S14069" s="1" t="s">
        <v>34218</v>
      </c>
    </row>
    <row r="14070" spans="1:19" x14ac:dyDescent="0.25">
      <c r="A14070">
        <v>101466247</v>
      </c>
      <c r="B14070" t="s">
        <v>6325</v>
      </c>
      <c r="C14070" t="s">
        <v>30428</v>
      </c>
      <c r="G14070" t="s">
        <v>30429</v>
      </c>
      <c r="H14070" t="s">
        <v>869</v>
      </c>
      <c r="I14070" t="s">
        <v>52</v>
      </c>
      <c r="J14070">
        <v>33147</v>
      </c>
      <c r="K14070">
        <v>5159</v>
      </c>
      <c r="L14070" t="s">
        <v>23</v>
      </c>
      <c r="M14070" t="s">
        <v>30429</v>
      </c>
      <c r="N14070" t="s">
        <v>869</v>
      </c>
      <c r="O14070" t="s">
        <v>52</v>
      </c>
      <c r="P14070">
        <v>33147</v>
      </c>
      <c r="Q14070">
        <v>5159</v>
      </c>
      <c r="R14070" t="s">
        <v>23</v>
      </c>
      <c r="S14070" s="1" t="s">
        <v>34218</v>
      </c>
    </row>
    <row r="14071" spans="1:19" x14ac:dyDescent="0.25">
      <c r="A14071">
        <v>101465917</v>
      </c>
      <c r="B14071" t="s">
        <v>744</v>
      </c>
      <c r="C14071" t="s">
        <v>1205</v>
      </c>
      <c r="G14071" t="s">
        <v>30430</v>
      </c>
      <c r="H14071" t="s">
        <v>8192</v>
      </c>
      <c r="I14071" t="s">
        <v>43</v>
      </c>
      <c r="J14071">
        <v>97386</v>
      </c>
      <c r="K14071">
        <v>3077</v>
      </c>
      <c r="L14071" t="s">
        <v>23</v>
      </c>
      <c r="M14071" t="s">
        <v>30430</v>
      </c>
      <c r="N14071" t="s">
        <v>8192</v>
      </c>
      <c r="O14071" t="s">
        <v>43</v>
      </c>
      <c r="P14071">
        <v>97386</v>
      </c>
      <c r="Q14071">
        <v>3077</v>
      </c>
      <c r="R14071" t="s">
        <v>23</v>
      </c>
      <c r="S14071" s="1" t="s">
        <v>34218</v>
      </c>
    </row>
    <row r="14072" spans="1:19" x14ac:dyDescent="0.25">
      <c r="A14072">
        <v>101221542</v>
      </c>
      <c r="B14072" t="s">
        <v>30431</v>
      </c>
      <c r="C14072" t="s">
        <v>1441</v>
      </c>
      <c r="G14072" t="s">
        <v>30432</v>
      </c>
      <c r="H14072" t="s">
        <v>653</v>
      </c>
      <c r="I14072" t="s">
        <v>117</v>
      </c>
      <c r="J14072">
        <v>10009</v>
      </c>
      <c r="K14072">
        <v>2212</v>
      </c>
      <c r="L14072" t="s">
        <v>23</v>
      </c>
      <c r="M14072" t="s">
        <v>30432</v>
      </c>
      <c r="N14072" t="s">
        <v>653</v>
      </c>
      <c r="O14072" t="s">
        <v>117</v>
      </c>
      <c r="P14072">
        <v>10009</v>
      </c>
      <c r="Q14072">
        <v>2212</v>
      </c>
      <c r="R14072" t="s">
        <v>23</v>
      </c>
      <c r="S14072" s="1" t="s">
        <v>34218</v>
      </c>
    </row>
    <row r="14073" spans="1:19" x14ac:dyDescent="0.25">
      <c r="A14073">
        <v>101298098</v>
      </c>
      <c r="B14073" t="s">
        <v>30433</v>
      </c>
      <c r="C14073" t="s">
        <v>627</v>
      </c>
      <c r="G14073" t="s">
        <v>30434</v>
      </c>
      <c r="H14073" t="s">
        <v>9412</v>
      </c>
      <c r="I14073" t="s">
        <v>117</v>
      </c>
      <c r="J14073">
        <v>14094</v>
      </c>
      <c r="K14073">
        <v>6525</v>
      </c>
      <c r="L14073" t="s">
        <v>23</v>
      </c>
      <c r="M14073" t="s">
        <v>30434</v>
      </c>
      <c r="N14073" t="s">
        <v>9412</v>
      </c>
      <c r="O14073" t="s">
        <v>117</v>
      </c>
      <c r="P14073">
        <v>14094</v>
      </c>
      <c r="Q14073">
        <v>6525</v>
      </c>
      <c r="R14073" t="s">
        <v>23</v>
      </c>
      <c r="S14073" s="1" t="s">
        <v>34218</v>
      </c>
    </row>
    <row r="14074" spans="1:19" x14ac:dyDescent="0.25">
      <c r="A14074">
        <v>101301382</v>
      </c>
      <c r="B14074" t="s">
        <v>30435</v>
      </c>
      <c r="C14074" t="s">
        <v>3714</v>
      </c>
      <c r="G14074" t="s">
        <v>30436</v>
      </c>
      <c r="H14074" t="s">
        <v>30437</v>
      </c>
      <c r="I14074" t="s">
        <v>84</v>
      </c>
      <c r="J14074">
        <v>98936</v>
      </c>
      <c r="K14074">
        <v>9621</v>
      </c>
      <c r="L14074" t="s">
        <v>23</v>
      </c>
      <c r="M14074" t="s">
        <v>30436</v>
      </c>
      <c r="N14074" t="s">
        <v>30437</v>
      </c>
      <c r="O14074" t="s">
        <v>84</v>
      </c>
      <c r="P14074">
        <v>98936</v>
      </c>
      <c r="Q14074">
        <v>9621</v>
      </c>
      <c r="R14074" t="s">
        <v>23</v>
      </c>
      <c r="S14074" s="1" t="s">
        <v>34218</v>
      </c>
    </row>
    <row r="14075" spans="1:19" x14ac:dyDescent="0.25">
      <c r="A14075">
        <v>101354022</v>
      </c>
      <c r="B14075" t="s">
        <v>2637</v>
      </c>
      <c r="C14075" t="s">
        <v>155</v>
      </c>
      <c r="G14075" t="s">
        <v>30438</v>
      </c>
      <c r="H14075" t="s">
        <v>37</v>
      </c>
      <c r="I14075" t="s">
        <v>38</v>
      </c>
      <c r="J14075" t="s">
        <v>30439</v>
      </c>
      <c r="K14075">
        <v>3902</v>
      </c>
      <c r="L14075" t="s">
        <v>23</v>
      </c>
      <c r="M14075" t="s">
        <v>30438</v>
      </c>
      <c r="N14075" t="s">
        <v>37</v>
      </c>
      <c r="O14075" t="s">
        <v>38</v>
      </c>
      <c r="P14075" t="s">
        <v>30439</v>
      </c>
      <c r="Q14075">
        <v>3902</v>
      </c>
      <c r="R14075" t="s">
        <v>23</v>
      </c>
      <c r="S14075" s="1" t="s">
        <v>34218</v>
      </c>
    </row>
    <row r="14076" spans="1:19" x14ac:dyDescent="0.25">
      <c r="A14076">
        <v>101096878</v>
      </c>
      <c r="B14076" t="s">
        <v>2773</v>
      </c>
      <c r="C14076" t="s">
        <v>403</v>
      </c>
      <c r="G14076" t="s">
        <v>30440</v>
      </c>
      <c r="H14076" t="s">
        <v>7296</v>
      </c>
      <c r="I14076" t="s">
        <v>22</v>
      </c>
      <c r="J14076">
        <v>95020</v>
      </c>
      <c r="L14076" t="s">
        <v>23</v>
      </c>
      <c r="M14076" t="s">
        <v>30440</v>
      </c>
      <c r="N14076" t="s">
        <v>7296</v>
      </c>
      <c r="O14076" t="s">
        <v>22</v>
      </c>
      <c r="P14076">
        <v>95020</v>
      </c>
      <c r="R14076" t="s">
        <v>23</v>
      </c>
      <c r="S14076" s="1" t="s">
        <v>34218</v>
      </c>
    </row>
    <row r="14077" spans="1:19" x14ac:dyDescent="0.25">
      <c r="A14077">
        <v>100901162</v>
      </c>
      <c r="B14077" t="s">
        <v>30441</v>
      </c>
      <c r="C14077" t="s">
        <v>3878</v>
      </c>
      <c r="G14077" t="s">
        <v>30442</v>
      </c>
      <c r="H14077" t="s">
        <v>30443</v>
      </c>
      <c r="I14077" t="s">
        <v>255</v>
      </c>
      <c r="J14077" t="s">
        <v>30444</v>
      </c>
      <c r="K14077">
        <v>2011</v>
      </c>
      <c r="L14077" t="s">
        <v>23</v>
      </c>
      <c r="M14077" t="s">
        <v>30442</v>
      </c>
      <c r="N14077" t="s">
        <v>30443</v>
      </c>
      <c r="O14077" t="s">
        <v>255</v>
      </c>
      <c r="P14077" t="s">
        <v>30444</v>
      </c>
      <c r="Q14077">
        <v>2011</v>
      </c>
      <c r="R14077" t="s">
        <v>23</v>
      </c>
      <c r="S14077" s="1" t="s">
        <v>34218</v>
      </c>
    </row>
    <row r="14078" spans="1:19" x14ac:dyDescent="0.25">
      <c r="A14078">
        <v>100865319</v>
      </c>
      <c r="B14078" t="s">
        <v>11252</v>
      </c>
      <c r="C14078" t="s">
        <v>30445</v>
      </c>
      <c r="G14078" t="s">
        <v>30446</v>
      </c>
      <c r="H14078" t="s">
        <v>13073</v>
      </c>
      <c r="I14078" t="s">
        <v>236</v>
      </c>
      <c r="J14078" t="s">
        <v>30447</v>
      </c>
      <c r="K14078">
        <v>1721</v>
      </c>
      <c r="L14078" t="s">
        <v>23</v>
      </c>
      <c r="M14078" t="s">
        <v>30446</v>
      </c>
      <c r="N14078" t="s">
        <v>13073</v>
      </c>
      <c r="O14078" t="s">
        <v>236</v>
      </c>
      <c r="P14078" t="s">
        <v>30447</v>
      </c>
      <c r="Q14078">
        <v>1721</v>
      </c>
      <c r="R14078" t="s">
        <v>23</v>
      </c>
      <c r="S14078" s="1" t="s">
        <v>34218</v>
      </c>
    </row>
    <row r="14079" spans="1:19" x14ac:dyDescent="0.25">
      <c r="A14079">
        <v>101410421</v>
      </c>
      <c r="B14079" t="s">
        <v>30448</v>
      </c>
      <c r="C14079" t="s">
        <v>911</v>
      </c>
      <c r="G14079" t="s">
        <v>30449</v>
      </c>
      <c r="H14079" t="s">
        <v>3466</v>
      </c>
      <c r="I14079" t="s">
        <v>38</v>
      </c>
      <c r="J14079" t="s">
        <v>30450</v>
      </c>
      <c r="K14079">
        <v>1526</v>
      </c>
      <c r="L14079" t="s">
        <v>23</v>
      </c>
      <c r="M14079" t="s">
        <v>30449</v>
      </c>
      <c r="N14079" t="s">
        <v>3466</v>
      </c>
      <c r="O14079" t="s">
        <v>38</v>
      </c>
      <c r="P14079" t="s">
        <v>30450</v>
      </c>
      <c r="Q14079">
        <v>1526</v>
      </c>
      <c r="R14079" t="s">
        <v>23</v>
      </c>
      <c r="S14079" s="1" t="s">
        <v>34218</v>
      </c>
    </row>
    <row r="14080" spans="1:19" x14ac:dyDescent="0.25">
      <c r="A14080">
        <v>101418525</v>
      </c>
      <c r="B14080" t="s">
        <v>30451</v>
      </c>
      <c r="C14080" t="s">
        <v>90</v>
      </c>
      <c r="G14080" t="s">
        <v>30452</v>
      </c>
      <c r="H14080" t="s">
        <v>6041</v>
      </c>
      <c r="I14080" t="s">
        <v>22</v>
      </c>
      <c r="J14080" t="s">
        <v>30453</v>
      </c>
      <c r="K14080">
        <v>3938</v>
      </c>
      <c r="L14080" t="s">
        <v>23</v>
      </c>
      <c r="M14080" t="s">
        <v>30452</v>
      </c>
      <c r="N14080" t="s">
        <v>6041</v>
      </c>
      <c r="O14080" t="s">
        <v>22</v>
      </c>
      <c r="P14080" t="s">
        <v>30453</v>
      </c>
      <c r="Q14080">
        <v>3938</v>
      </c>
      <c r="R14080" t="s">
        <v>23</v>
      </c>
      <c r="S14080" s="1" t="s">
        <v>34218</v>
      </c>
    </row>
    <row r="14081" spans="1:19" x14ac:dyDescent="0.25">
      <c r="A14081">
        <v>100913408</v>
      </c>
      <c r="B14081" t="s">
        <v>30454</v>
      </c>
      <c r="C14081" t="s">
        <v>30455</v>
      </c>
      <c r="G14081" t="s">
        <v>30456</v>
      </c>
      <c r="H14081" t="s">
        <v>653</v>
      </c>
      <c r="I14081" t="s">
        <v>117</v>
      </c>
      <c r="J14081" t="s">
        <v>30457</v>
      </c>
      <c r="K14081">
        <v>2714</v>
      </c>
      <c r="L14081" t="s">
        <v>23</v>
      </c>
      <c r="M14081" t="s">
        <v>30456</v>
      </c>
      <c r="N14081" t="s">
        <v>653</v>
      </c>
      <c r="O14081" t="s">
        <v>117</v>
      </c>
      <c r="P14081" t="s">
        <v>30457</v>
      </c>
      <c r="Q14081">
        <v>2714</v>
      </c>
      <c r="R14081" t="s">
        <v>23</v>
      </c>
      <c r="S14081" s="1" t="s">
        <v>34218</v>
      </c>
    </row>
    <row r="14082" spans="1:19" x14ac:dyDescent="0.25">
      <c r="A14082">
        <v>101289265</v>
      </c>
      <c r="B14082" t="s">
        <v>30458</v>
      </c>
      <c r="C14082" t="s">
        <v>30459</v>
      </c>
      <c r="G14082" t="s">
        <v>30460</v>
      </c>
      <c r="H14082" t="s">
        <v>707</v>
      </c>
      <c r="I14082" t="s">
        <v>332</v>
      </c>
      <c r="J14082" t="s">
        <v>30461</v>
      </c>
      <c r="K14082">
        <v>2820</v>
      </c>
      <c r="L14082" t="s">
        <v>23</v>
      </c>
      <c r="M14082" t="s">
        <v>30460</v>
      </c>
      <c r="N14082" t="s">
        <v>707</v>
      </c>
      <c r="O14082" t="s">
        <v>332</v>
      </c>
      <c r="P14082" t="s">
        <v>30461</v>
      </c>
      <c r="Q14082">
        <v>2820</v>
      </c>
      <c r="R14082" t="s">
        <v>23</v>
      </c>
      <c r="S14082" s="1" t="s">
        <v>34218</v>
      </c>
    </row>
    <row r="14083" spans="1:19" x14ac:dyDescent="0.25">
      <c r="A14083">
        <v>100774678</v>
      </c>
      <c r="B14083" t="s">
        <v>5344</v>
      </c>
      <c r="C14083" t="s">
        <v>30462</v>
      </c>
      <c r="G14083" t="s">
        <v>30463</v>
      </c>
      <c r="H14083" t="s">
        <v>3680</v>
      </c>
      <c r="I14083" t="s">
        <v>565</v>
      </c>
      <c r="J14083" t="s">
        <v>30464</v>
      </c>
      <c r="K14083">
        <v>9078</v>
      </c>
      <c r="L14083" t="s">
        <v>23</v>
      </c>
      <c r="M14083" t="s">
        <v>30463</v>
      </c>
      <c r="N14083" t="s">
        <v>3680</v>
      </c>
      <c r="O14083" t="s">
        <v>565</v>
      </c>
      <c r="P14083" t="s">
        <v>30464</v>
      </c>
      <c r="Q14083">
        <v>9078</v>
      </c>
      <c r="R14083" t="s">
        <v>23</v>
      </c>
      <c r="S14083" s="1" t="s">
        <v>34218</v>
      </c>
    </row>
    <row r="14084" spans="1:19" x14ac:dyDescent="0.25">
      <c r="A14084">
        <v>100898839</v>
      </c>
      <c r="B14084" t="s">
        <v>727</v>
      </c>
      <c r="C14084" t="s">
        <v>1309</v>
      </c>
      <c r="F14084" t="str">
        <f>"9172571125"</f>
        <v>9172571125</v>
      </c>
      <c r="G14084" t="s">
        <v>30465</v>
      </c>
      <c r="H14084" t="s">
        <v>653</v>
      </c>
      <c r="I14084" t="s">
        <v>117</v>
      </c>
      <c r="J14084" t="s">
        <v>30466</v>
      </c>
      <c r="K14084">
        <v>7003</v>
      </c>
      <c r="L14084" t="s">
        <v>23</v>
      </c>
      <c r="M14084" t="s">
        <v>30465</v>
      </c>
      <c r="N14084" t="s">
        <v>653</v>
      </c>
      <c r="O14084" t="s">
        <v>117</v>
      </c>
      <c r="P14084" t="s">
        <v>30466</v>
      </c>
      <c r="Q14084">
        <v>7003</v>
      </c>
      <c r="R14084" t="s">
        <v>23</v>
      </c>
      <c r="S14084" s="1" t="s">
        <v>34218</v>
      </c>
    </row>
    <row r="14085" spans="1:19" x14ac:dyDescent="0.25">
      <c r="A14085">
        <v>100515912</v>
      </c>
      <c r="B14085" t="s">
        <v>30467</v>
      </c>
      <c r="C14085" t="s">
        <v>216</v>
      </c>
      <c r="G14085" t="s">
        <v>30468</v>
      </c>
      <c r="H14085" t="s">
        <v>16598</v>
      </c>
      <c r="I14085" t="s">
        <v>38</v>
      </c>
      <c r="J14085" t="s">
        <v>30469</v>
      </c>
      <c r="K14085">
        <v>6294</v>
      </c>
      <c r="L14085" t="s">
        <v>23</v>
      </c>
      <c r="M14085" t="s">
        <v>30468</v>
      </c>
      <c r="N14085" t="s">
        <v>16598</v>
      </c>
      <c r="O14085" t="s">
        <v>38</v>
      </c>
      <c r="P14085" t="s">
        <v>30469</v>
      </c>
      <c r="Q14085">
        <v>6294</v>
      </c>
      <c r="R14085" t="s">
        <v>23</v>
      </c>
      <c r="S14085" s="1" t="s">
        <v>34218</v>
      </c>
    </row>
    <row r="14086" spans="1:19" x14ac:dyDescent="0.25">
      <c r="A14086">
        <v>101001315</v>
      </c>
      <c r="B14086" t="s">
        <v>11106</v>
      </c>
      <c r="C14086" t="s">
        <v>7979</v>
      </c>
      <c r="G14086" t="s">
        <v>30470</v>
      </c>
      <c r="H14086" t="s">
        <v>6515</v>
      </c>
      <c r="I14086" t="s">
        <v>22</v>
      </c>
      <c r="J14086" t="s">
        <v>30471</v>
      </c>
      <c r="K14086">
        <v>6108</v>
      </c>
      <c r="L14086" t="s">
        <v>23</v>
      </c>
      <c r="M14086" t="s">
        <v>30470</v>
      </c>
      <c r="N14086" t="s">
        <v>6515</v>
      </c>
      <c r="O14086" t="s">
        <v>22</v>
      </c>
      <c r="P14086" t="s">
        <v>30471</v>
      </c>
      <c r="Q14086">
        <v>6108</v>
      </c>
      <c r="R14086" t="s">
        <v>23</v>
      </c>
      <c r="S14086" s="1" t="s">
        <v>34218</v>
      </c>
    </row>
    <row r="14087" spans="1:19" x14ac:dyDescent="0.25">
      <c r="A14087">
        <v>101037452</v>
      </c>
      <c r="B14087" t="s">
        <v>30472</v>
      </c>
      <c r="C14087" t="s">
        <v>1027</v>
      </c>
      <c r="G14087" t="s">
        <v>30473</v>
      </c>
      <c r="H14087" t="s">
        <v>758</v>
      </c>
      <c r="I14087" t="s">
        <v>148</v>
      </c>
      <c r="J14087">
        <v>20904</v>
      </c>
      <c r="L14087" t="s">
        <v>23</v>
      </c>
      <c r="M14087" t="s">
        <v>30473</v>
      </c>
      <c r="N14087" t="s">
        <v>758</v>
      </c>
      <c r="O14087" t="s">
        <v>148</v>
      </c>
      <c r="P14087">
        <v>20904</v>
      </c>
      <c r="R14087" t="s">
        <v>23</v>
      </c>
      <c r="S14087" s="1" t="s">
        <v>34218</v>
      </c>
    </row>
    <row r="14088" spans="1:19" x14ac:dyDescent="0.25">
      <c r="A14088">
        <v>101419102</v>
      </c>
      <c r="B14088" t="s">
        <v>30474</v>
      </c>
      <c r="C14088" t="s">
        <v>30475</v>
      </c>
      <c r="G14088" t="s">
        <v>30476</v>
      </c>
      <c r="H14088" t="s">
        <v>10838</v>
      </c>
      <c r="I14088" t="s">
        <v>71</v>
      </c>
      <c r="J14088" t="s">
        <v>30477</v>
      </c>
      <c r="K14088">
        <v>1500</v>
      </c>
      <c r="L14088" t="s">
        <v>23</v>
      </c>
      <c r="M14088" t="s">
        <v>30476</v>
      </c>
      <c r="N14088" t="s">
        <v>10838</v>
      </c>
      <c r="O14088" t="s">
        <v>71</v>
      </c>
      <c r="P14088" t="s">
        <v>30477</v>
      </c>
      <c r="Q14088">
        <v>1500</v>
      </c>
      <c r="R14088" t="s">
        <v>23</v>
      </c>
      <c r="S14088" s="1" t="s">
        <v>34218</v>
      </c>
    </row>
    <row r="14089" spans="1:19" x14ac:dyDescent="0.25">
      <c r="A14089">
        <v>101295412</v>
      </c>
      <c r="B14089" t="s">
        <v>2712</v>
      </c>
      <c r="C14089" t="s">
        <v>7884</v>
      </c>
      <c r="G14089" t="s">
        <v>30478</v>
      </c>
      <c r="H14089" t="s">
        <v>1531</v>
      </c>
      <c r="I14089" t="s">
        <v>84</v>
      </c>
      <c r="J14089" t="s">
        <v>30479</v>
      </c>
      <c r="K14089">
        <v>4307</v>
      </c>
      <c r="L14089" t="s">
        <v>23</v>
      </c>
      <c r="M14089" t="s">
        <v>30478</v>
      </c>
      <c r="N14089" t="s">
        <v>1531</v>
      </c>
      <c r="O14089" t="s">
        <v>84</v>
      </c>
      <c r="P14089" t="s">
        <v>30479</v>
      </c>
      <c r="Q14089">
        <v>4307</v>
      </c>
      <c r="R14089" t="s">
        <v>23</v>
      </c>
      <c r="S14089" s="1" t="s">
        <v>34218</v>
      </c>
    </row>
    <row r="14090" spans="1:19" x14ac:dyDescent="0.25">
      <c r="A14090">
        <v>101309215</v>
      </c>
      <c r="B14090" t="s">
        <v>30480</v>
      </c>
      <c r="C14090" t="s">
        <v>498</v>
      </c>
      <c r="G14090" t="s">
        <v>30481</v>
      </c>
      <c r="H14090" t="s">
        <v>1560</v>
      </c>
      <c r="I14090" t="s">
        <v>191</v>
      </c>
      <c r="J14090" t="s">
        <v>30482</v>
      </c>
      <c r="K14090">
        <v>3637</v>
      </c>
      <c r="L14090" t="s">
        <v>23</v>
      </c>
      <c r="M14090" t="s">
        <v>30481</v>
      </c>
      <c r="N14090" t="s">
        <v>1560</v>
      </c>
      <c r="O14090" t="s">
        <v>191</v>
      </c>
      <c r="P14090" t="s">
        <v>30482</v>
      </c>
      <c r="Q14090">
        <v>3637</v>
      </c>
      <c r="R14090" t="s">
        <v>23</v>
      </c>
      <c r="S14090" s="1" t="s">
        <v>34218</v>
      </c>
    </row>
    <row r="14091" spans="1:19" x14ac:dyDescent="0.25">
      <c r="A14091">
        <v>101427335</v>
      </c>
      <c r="B14091" t="s">
        <v>30483</v>
      </c>
      <c r="C14091" t="s">
        <v>535</v>
      </c>
      <c r="G14091" t="s">
        <v>30484</v>
      </c>
      <c r="H14091" t="s">
        <v>12022</v>
      </c>
      <c r="I14091" t="s">
        <v>117</v>
      </c>
      <c r="J14091" t="s">
        <v>30485</v>
      </c>
      <c r="K14091">
        <v>7149</v>
      </c>
      <c r="L14091" t="s">
        <v>23</v>
      </c>
      <c r="M14091" t="s">
        <v>30484</v>
      </c>
      <c r="N14091" t="s">
        <v>12022</v>
      </c>
      <c r="O14091" t="s">
        <v>117</v>
      </c>
      <c r="P14091" t="s">
        <v>30485</v>
      </c>
      <c r="Q14091">
        <v>7149</v>
      </c>
      <c r="R14091" t="s">
        <v>23</v>
      </c>
      <c r="S14091" s="1" t="s">
        <v>34218</v>
      </c>
    </row>
    <row r="14092" spans="1:19" x14ac:dyDescent="0.25">
      <c r="A14092">
        <v>100540954</v>
      </c>
      <c r="B14092" t="s">
        <v>15012</v>
      </c>
      <c r="C14092" t="s">
        <v>17769</v>
      </c>
      <c r="G14092" t="s">
        <v>30486</v>
      </c>
      <c r="H14092" t="s">
        <v>125</v>
      </c>
      <c r="I14092" t="s">
        <v>126</v>
      </c>
      <c r="J14092" t="s">
        <v>30487</v>
      </c>
      <c r="K14092">
        <v>3460</v>
      </c>
      <c r="L14092" t="s">
        <v>23</v>
      </c>
      <c r="M14092" t="s">
        <v>30486</v>
      </c>
      <c r="N14092" t="s">
        <v>125</v>
      </c>
      <c r="O14092" t="s">
        <v>126</v>
      </c>
      <c r="P14092" t="s">
        <v>30487</v>
      </c>
      <c r="Q14092">
        <v>3460</v>
      </c>
      <c r="R14092" t="s">
        <v>23</v>
      </c>
      <c r="S14092" s="1" t="s">
        <v>34218</v>
      </c>
    </row>
    <row r="14093" spans="1:19" x14ac:dyDescent="0.25">
      <c r="A14093">
        <v>101207107</v>
      </c>
      <c r="B14093" t="s">
        <v>30488</v>
      </c>
      <c r="C14093" t="s">
        <v>1050</v>
      </c>
      <c r="G14093" t="s">
        <v>29285</v>
      </c>
      <c r="H14093" t="s">
        <v>688</v>
      </c>
      <c r="I14093" t="s">
        <v>353</v>
      </c>
      <c r="J14093">
        <v>3868</v>
      </c>
      <c r="L14093" t="s">
        <v>23</v>
      </c>
      <c r="M14093" t="s">
        <v>29285</v>
      </c>
      <c r="N14093" t="s">
        <v>688</v>
      </c>
      <c r="O14093" t="s">
        <v>353</v>
      </c>
      <c r="P14093">
        <v>3868</v>
      </c>
      <c r="R14093" t="s">
        <v>23</v>
      </c>
      <c r="S14093" s="1" t="s">
        <v>34218</v>
      </c>
    </row>
    <row r="14094" spans="1:19" x14ac:dyDescent="0.25">
      <c r="A14094">
        <v>101445483</v>
      </c>
      <c r="B14094" t="s">
        <v>199</v>
      </c>
      <c r="C14094" t="s">
        <v>11843</v>
      </c>
      <c r="G14094" t="s">
        <v>30489</v>
      </c>
      <c r="H14094" t="s">
        <v>2116</v>
      </c>
      <c r="I14094" t="s">
        <v>22</v>
      </c>
      <c r="J14094" t="s">
        <v>30490</v>
      </c>
      <c r="K14094">
        <v>1406</v>
      </c>
      <c r="L14094" t="s">
        <v>23</v>
      </c>
      <c r="M14094" t="s">
        <v>30489</v>
      </c>
      <c r="N14094" t="s">
        <v>2116</v>
      </c>
      <c r="O14094" t="s">
        <v>22</v>
      </c>
      <c r="P14094" t="s">
        <v>30490</v>
      </c>
      <c r="Q14094">
        <v>1406</v>
      </c>
      <c r="R14094" t="s">
        <v>23</v>
      </c>
      <c r="S14094" s="1" t="s">
        <v>34218</v>
      </c>
    </row>
    <row r="14095" spans="1:19" x14ac:dyDescent="0.25">
      <c r="A14095">
        <v>101445504</v>
      </c>
      <c r="B14095" t="s">
        <v>7093</v>
      </c>
      <c r="C14095" t="s">
        <v>1239</v>
      </c>
      <c r="G14095" t="s">
        <v>30491</v>
      </c>
      <c r="H14095" t="s">
        <v>3473</v>
      </c>
      <c r="I14095" t="s">
        <v>353</v>
      </c>
      <c r="J14095" t="s">
        <v>30492</v>
      </c>
      <c r="K14095">
        <v>1672</v>
      </c>
      <c r="L14095" t="s">
        <v>23</v>
      </c>
      <c r="M14095" t="s">
        <v>30491</v>
      </c>
      <c r="N14095" t="s">
        <v>3473</v>
      </c>
      <c r="O14095" t="s">
        <v>353</v>
      </c>
      <c r="P14095" t="s">
        <v>30492</v>
      </c>
      <c r="Q14095">
        <v>1672</v>
      </c>
      <c r="R14095" t="s">
        <v>23</v>
      </c>
      <c r="S14095" s="1" t="s">
        <v>34218</v>
      </c>
    </row>
    <row r="14096" spans="1:19" x14ac:dyDescent="0.25">
      <c r="A14096">
        <v>101230443</v>
      </c>
      <c r="B14096" t="s">
        <v>30493</v>
      </c>
      <c r="C14096" t="s">
        <v>6153</v>
      </c>
      <c r="G14096" t="s">
        <v>30494</v>
      </c>
      <c r="H14096" t="s">
        <v>227</v>
      </c>
      <c r="I14096" t="s">
        <v>43</v>
      </c>
      <c r="J14096" t="s">
        <v>30495</v>
      </c>
      <c r="K14096">
        <v>4951</v>
      </c>
      <c r="L14096" t="s">
        <v>23</v>
      </c>
      <c r="M14096" t="s">
        <v>30494</v>
      </c>
      <c r="N14096" t="s">
        <v>227</v>
      </c>
      <c r="O14096" t="s">
        <v>43</v>
      </c>
      <c r="P14096" t="s">
        <v>30495</v>
      </c>
      <c r="Q14096">
        <v>4951</v>
      </c>
      <c r="R14096" t="s">
        <v>23</v>
      </c>
      <c r="S14096" s="1" t="s">
        <v>34218</v>
      </c>
    </row>
    <row r="14097" spans="1:19" x14ac:dyDescent="0.25">
      <c r="A14097">
        <v>101420915</v>
      </c>
      <c r="B14097" t="s">
        <v>744</v>
      </c>
      <c r="C14097" t="s">
        <v>30496</v>
      </c>
      <c r="G14097" t="s">
        <v>30497</v>
      </c>
      <c r="H14097" t="s">
        <v>1510</v>
      </c>
      <c r="I14097" t="s">
        <v>255</v>
      </c>
      <c r="J14097" t="s">
        <v>30498</v>
      </c>
      <c r="K14097">
        <v>7032</v>
      </c>
      <c r="L14097" t="s">
        <v>23</v>
      </c>
      <c r="M14097" t="s">
        <v>30497</v>
      </c>
      <c r="N14097" t="s">
        <v>1510</v>
      </c>
      <c r="O14097" t="s">
        <v>255</v>
      </c>
      <c r="P14097" t="s">
        <v>30498</v>
      </c>
      <c r="Q14097">
        <v>7032</v>
      </c>
      <c r="R14097" t="s">
        <v>23</v>
      </c>
      <c r="S14097" s="1" t="s">
        <v>34218</v>
      </c>
    </row>
    <row r="14098" spans="1:19" x14ac:dyDescent="0.25">
      <c r="A14098">
        <v>101263871</v>
      </c>
      <c r="B14098" t="s">
        <v>30499</v>
      </c>
      <c r="C14098" t="s">
        <v>1212</v>
      </c>
      <c r="G14098" t="s">
        <v>30500</v>
      </c>
      <c r="H14098" t="s">
        <v>8206</v>
      </c>
      <c r="I14098" t="s">
        <v>178</v>
      </c>
      <c r="J14098" t="s">
        <v>30501</v>
      </c>
      <c r="K14098">
        <v>5523</v>
      </c>
      <c r="L14098" t="s">
        <v>23</v>
      </c>
      <c r="M14098" t="s">
        <v>30500</v>
      </c>
      <c r="N14098" t="s">
        <v>8206</v>
      </c>
      <c r="O14098" t="s">
        <v>178</v>
      </c>
      <c r="P14098" t="s">
        <v>30501</v>
      </c>
      <c r="Q14098">
        <v>5523</v>
      </c>
      <c r="R14098" t="s">
        <v>23</v>
      </c>
      <c r="S14098" s="1" t="s">
        <v>34218</v>
      </c>
    </row>
    <row r="14099" spans="1:19" x14ac:dyDescent="0.25">
      <c r="A14099">
        <v>101423325</v>
      </c>
      <c r="B14099" t="s">
        <v>30502</v>
      </c>
      <c r="C14099" t="s">
        <v>3187</v>
      </c>
      <c r="G14099" t="s">
        <v>30503</v>
      </c>
      <c r="H14099" t="s">
        <v>17172</v>
      </c>
      <c r="I14099" t="s">
        <v>33</v>
      </c>
      <c r="J14099" t="s">
        <v>30504</v>
      </c>
      <c r="K14099">
        <v>2833</v>
      </c>
      <c r="L14099" t="s">
        <v>23</v>
      </c>
      <c r="M14099" t="s">
        <v>30503</v>
      </c>
      <c r="N14099" t="s">
        <v>17172</v>
      </c>
      <c r="O14099" t="s">
        <v>33</v>
      </c>
      <c r="P14099" t="s">
        <v>30504</v>
      </c>
      <c r="Q14099">
        <v>2833</v>
      </c>
      <c r="R14099" t="s">
        <v>23</v>
      </c>
      <c r="S14099" s="1" t="s">
        <v>34218</v>
      </c>
    </row>
    <row r="14100" spans="1:19" x14ac:dyDescent="0.25">
      <c r="A14100">
        <v>101179935</v>
      </c>
      <c r="B14100" t="s">
        <v>2238</v>
      </c>
      <c r="C14100" t="s">
        <v>1208</v>
      </c>
      <c r="G14100" t="s">
        <v>30505</v>
      </c>
      <c r="H14100" t="s">
        <v>17406</v>
      </c>
      <c r="I14100" t="s">
        <v>22</v>
      </c>
      <c r="J14100">
        <v>92320</v>
      </c>
      <c r="K14100">
        <v>1944</v>
      </c>
      <c r="L14100" t="s">
        <v>23</v>
      </c>
      <c r="M14100" t="s">
        <v>30505</v>
      </c>
      <c r="N14100" t="s">
        <v>17406</v>
      </c>
      <c r="O14100" t="s">
        <v>22</v>
      </c>
      <c r="P14100">
        <v>92320</v>
      </c>
      <c r="Q14100">
        <v>1944</v>
      </c>
      <c r="R14100" t="s">
        <v>23</v>
      </c>
      <c r="S14100" s="1" t="s">
        <v>34218</v>
      </c>
    </row>
    <row r="14101" spans="1:19" x14ac:dyDescent="0.25">
      <c r="A14101">
        <v>101452066</v>
      </c>
      <c r="B14101" t="s">
        <v>7013</v>
      </c>
      <c r="C14101" t="s">
        <v>193</v>
      </c>
      <c r="G14101" t="s">
        <v>30506</v>
      </c>
      <c r="H14101" t="s">
        <v>2246</v>
      </c>
      <c r="I14101" t="s">
        <v>22</v>
      </c>
      <c r="J14101">
        <v>94924</v>
      </c>
      <c r="L14101" t="s">
        <v>23</v>
      </c>
      <c r="M14101" t="s">
        <v>30506</v>
      </c>
      <c r="N14101" t="s">
        <v>2246</v>
      </c>
      <c r="O14101" t="s">
        <v>22</v>
      </c>
      <c r="P14101">
        <v>94924</v>
      </c>
      <c r="R14101" t="s">
        <v>23</v>
      </c>
      <c r="S14101" s="1" t="s">
        <v>34218</v>
      </c>
    </row>
    <row r="14102" spans="1:19" x14ac:dyDescent="0.25">
      <c r="A14102">
        <v>100821163</v>
      </c>
      <c r="B14102" t="s">
        <v>276</v>
      </c>
      <c r="C14102" t="s">
        <v>4318</v>
      </c>
      <c r="G14102" t="s">
        <v>30507</v>
      </c>
      <c r="H14102" t="s">
        <v>9161</v>
      </c>
      <c r="I14102" t="s">
        <v>140</v>
      </c>
      <c r="J14102">
        <v>49457</v>
      </c>
      <c r="K14102">
        <v>9010</v>
      </c>
      <c r="L14102" t="s">
        <v>23</v>
      </c>
      <c r="M14102" t="s">
        <v>30507</v>
      </c>
      <c r="N14102" t="s">
        <v>9161</v>
      </c>
      <c r="O14102" t="s">
        <v>140</v>
      </c>
      <c r="P14102">
        <v>49457</v>
      </c>
      <c r="Q14102">
        <v>9010</v>
      </c>
      <c r="R14102" t="s">
        <v>23</v>
      </c>
      <c r="S14102" s="1" t="s">
        <v>34218</v>
      </c>
    </row>
    <row r="14103" spans="1:19" x14ac:dyDescent="0.25">
      <c r="A14103">
        <v>101320165</v>
      </c>
      <c r="B14103" t="s">
        <v>5599</v>
      </c>
      <c r="C14103" t="s">
        <v>5308</v>
      </c>
      <c r="G14103" t="s">
        <v>30508</v>
      </c>
      <c r="H14103" t="s">
        <v>2086</v>
      </c>
      <c r="I14103" t="s">
        <v>178</v>
      </c>
      <c r="J14103">
        <v>45226</v>
      </c>
      <c r="K14103">
        <v>2000</v>
      </c>
      <c r="L14103" t="s">
        <v>23</v>
      </c>
      <c r="M14103" t="s">
        <v>30508</v>
      </c>
      <c r="N14103" t="s">
        <v>2086</v>
      </c>
      <c r="O14103" t="s">
        <v>178</v>
      </c>
      <c r="P14103">
        <v>45226</v>
      </c>
      <c r="Q14103">
        <v>2000</v>
      </c>
      <c r="R14103" t="s">
        <v>23</v>
      </c>
      <c r="S14103" s="1" t="s">
        <v>34218</v>
      </c>
    </row>
    <row r="14104" spans="1:19" x14ac:dyDescent="0.25">
      <c r="A14104">
        <v>101471148</v>
      </c>
      <c r="B14104" t="s">
        <v>30509</v>
      </c>
      <c r="C14104" t="s">
        <v>30510</v>
      </c>
      <c r="G14104" t="s">
        <v>30511</v>
      </c>
      <c r="H14104" t="s">
        <v>2769</v>
      </c>
      <c r="I14104" t="s">
        <v>52</v>
      </c>
      <c r="J14104">
        <v>34117</v>
      </c>
      <c r="K14104">
        <v>9381</v>
      </c>
      <c r="L14104" t="s">
        <v>23</v>
      </c>
      <c r="M14104" t="s">
        <v>30511</v>
      </c>
      <c r="N14104" t="s">
        <v>2769</v>
      </c>
      <c r="O14104" t="s">
        <v>52</v>
      </c>
      <c r="P14104">
        <v>34117</v>
      </c>
      <c r="Q14104">
        <v>9381</v>
      </c>
      <c r="R14104" t="s">
        <v>23</v>
      </c>
      <c r="S14104" s="1" t="s">
        <v>34218</v>
      </c>
    </row>
    <row r="14105" spans="1:19" x14ac:dyDescent="0.25">
      <c r="A14105">
        <v>100970699</v>
      </c>
      <c r="B14105" t="s">
        <v>19499</v>
      </c>
      <c r="C14105" t="s">
        <v>30512</v>
      </c>
      <c r="G14105" t="s">
        <v>30513</v>
      </c>
      <c r="H14105" t="s">
        <v>11145</v>
      </c>
      <c r="I14105" t="s">
        <v>38</v>
      </c>
      <c r="J14105">
        <v>79424</v>
      </c>
      <c r="K14105">
        <v>2550</v>
      </c>
      <c r="L14105" t="s">
        <v>23</v>
      </c>
      <c r="M14105" t="s">
        <v>30513</v>
      </c>
      <c r="N14105" t="s">
        <v>11145</v>
      </c>
      <c r="O14105" t="s">
        <v>38</v>
      </c>
      <c r="P14105">
        <v>79424</v>
      </c>
      <c r="Q14105">
        <v>2550</v>
      </c>
      <c r="R14105" t="s">
        <v>23</v>
      </c>
      <c r="S14105" s="1" t="s">
        <v>34218</v>
      </c>
    </row>
    <row r="14106" spans="1:19" x14ac:dyDescent="0.25">
      <c r="A14106">
        <v>101432223</v>
      </c>
      <c r="B14106" t="s">
        <v>497</v>
      </c>
      <c r="C14106" t="s">
        <v>3633</v>
      </c>
      <c r="G14106" t="s">
        <v>30514</v>
      </c>
      <c r="H14106" t="s">
        <v>892</v>
      </c>
      <c r="I14106" t="s">
        <v>236</v>
      </c>
      <c r="J14106" t="s">
        <v>30515</v>
      </c>
      <c r="K14106">
        <v>1324</v>
      </c>
      <c r="L14106" t="s">
        <v>23</v>
      </c>
      <c r="M14106" t="s">
        <v>30514</v>
      </c>
      <c r="N14106" t="s">
        <v>892</v>
      </c>
      <c r="O14106" t="s">
        <v>236</v>
      </c>
      <c r="P14106" t="s">
        <v>30515</v>
      </c>
      <c r="Q14106">
        <v>1324</v>
      </c>
      <c r="R14106" t="s">
        <v>23</v>
      </c>
      <c r="S14106" s="1" t="s">
        <v>34218</v>
      </c>
    </row>
    <row r="14107" spans="1:19" x14ac:dyDescent="0.25">
      <c r="A14107">
        <v>101440361</v>
      </c>
      <c r="B14107" t="s">
        <v>30516</v>
      </c>
      <c r="C14107" t="s">
        <v>114</v>
      </c>
      <c r="G14107" t="s">
        <v>30517</v>
      </c>
      <c r="H14107" t="s">
        <v>2841</v>
      </c>
      <c r="I14107" t="s">
        <v>71</v>
      </c>
      <c r="J14107" t="s">
        <v>30518</v>
      </c>
      <c r="K14107">
        <v>9564</v>
      </c>
      <c r="L14107" t="s">
        <v>23</v>
      </c>
      <c r="M14107" t="s">
        <v>30517</v>
      </c>
      <c r="N14107" t="s">
        <v>2841</v>
      </c>
      <c r="O14107" t="s">
        <v>71</v>
      </c>
      <c r="P14107" t="s">
        <v>30518</v>
      </c>
      <c r="Q14107">
        <v>9564</v>
      </c>
      <c r="R14107" t="s">
        <v>23</v>
      </c>
      <c r="S14107" s="1" t="s">
        <v>34218</v>
      </c>
    </row>
    <row r="14108" spans="1:19" x14ac:dyDescent="0.25">
      <c r="A14108">
        <v>101476458</v>
      </c>
      <c r="B14108" t="s">
        <v>30519</v>
      </c>
      <c r="C14108" t="s">
        <v>6279</v>
      </c>
      <c r="G14108" t="s">
        <v>30520</v>
      </c>
      <c r="H14108" t="s">
        <v>1052</v>
      </c>
      <c r="I14108" t="s">
        <v>117</v>
      </c>
      <c r="J14108">
        <v>12203</v>
      </c>
      <c r="K14108">
        <v>2224</v>
      </c>
      <c r="L14108" t="s">
        <v>23</v>
      </c>
      <c r="M14108" t="s">
        <v>30520</v>
      </c>
      <c r="N14108" t="s">
        <v>1052</v>
      </c>
      <c r="O14108" t="s">
        <v>117</v>
      </c>
      <c r="P14108">
        <v>12203</v>
      </c>
      <c r="Q14108">
        <v>2224</v>
      </c>
      <c r="R14108" t="s">
        <v>23</v>
      </c>
      <c r="S14108" s="1" t="s">
        <v>34218</v>
      </c>
    </row>
    <row r="14109" spans="1:19" x14ac:dyDescent="0.25">
      <c r="A14109">
        <v>101010508</v>
      </c>
      <c r="B14109" t="s">
        <v>30521</v>
      </c>
      <c r="C14109" t="s">
        <v>1602</v>
      </c>
      <c r="G14109" t="s">
        <v>30522</v>
      </c>
      <c r="H14109" t="s">
        <v>1604</v>
      </c>
      <c r="I14109" t="s">
        <v>1482</v>
      </c>
      <c r="J14109">
        <v>29201</v>
      </c>
      <c r="K14109">
        <v>4042</v>
      </c>
      <c r="L14109" t="s">
        <v>23</v>
      </c>
      <c r="M14109" t="s">
        <v>30522</v>
      </c>
      <c r="N14109" t="s">
        <v>1604</v>
      </c>
      <c r="O14109" t="s">
        <v>1482</v>
      </c>
      <c r="P14109">
        <v>29201</v>
      </c>
      <c r="Q14109">
        <v>4042</v>
      </c>
      <c r="R14109" t="s">
        <v>23</v>
      </c>
      <c r="S14109" s="1" t="s">
        <v>34218</v>
      </c>
    </row>
    <row r="14110" spans="1:19" x14ac:dyDescent="0.25">
      <c r="A14110">
        <v>101464742</v>
      </c>
      <c r="B14110" t="s">
        <v>18871</v>
      </c>
      <c r="C14110" t="s">
        <v>3017</v>
      </c>
      <c r="G14110" t="s">
        <v>30523</v>
      </c>
      <c r="H14110" t="s">
        <v>653</v>
      </c>
      <c r="I14110" t="s">
        <v>117</v>
      </c>
      <c r="J14110">
        <v>10006</v>
      </c>
      <c r="K14110">
        <v>1704</v>
      </c>
      <c r="L14110" t="s">
        <v>23</v>
      </c>
      <c r="M14110" t="s">
        <v>30523</v>
      </c>
      <c r="N14110" t="s">
        <v>653</v>
      </c>
      <c r="O14110" t="s">
        <v>117</v>
      </c>
      <c r="P14110">
        <v>10006</v>
      </c>
      <c r="Q14110">
        <v>1704</v>
      </c>
      <c r="R14110" t="s">
        <v>23</v>
      </c>
      <c r="S14110" s="1" t="s">
        <v>34218</v>
      </c>
    </row>
    <row r="14111" spans="1:19" x14ac:dyDescent="0.25">
      <c r="A14111">
        <v>101476143</v>
      </c>
      <c r="B14111" t="s">
        <v>30524</v>
      </c>
      <c r="C14111" t="s">
        <v>40</v>
      </c>
      <c r="G14111" t="s">
        <v>30525</v>
      </c>
      <c r="H14111" t="s">
        <v>3363</v>
      </c>
      <c r="I14111" t="s">
        <v>33</v>
      </c>
      <c r="J14111">
        <v>15212</v>
      </c>
      <c r="K14111">
        <v>1688</v>
      </c>
      <c r="L14111" t="s">
        <v>23</v>
      </c>
      <c r="M14111" t="s">
        <v>30525</v>
      </c>
      <c r="N14111" t="s">
        <v>3363</v>
      </c>
      <c r="O14111" t="s">
        <v>33</v>
      </c>
      <c r="P14111">
        <v>15212</v>
      </c>
      <c r="Q14111">
        <v>1688</v>
      </c>
      <c r="R14111" t="s">
        <v>23</v>
      </c>
      <c r="S14111" s="1" t="s">
        <v>34218</v>
      </c>
    </row>
    <row r="14112" spans="1:19" x14ac:dyDescent="0.25">
      <c r="A14112">
        <v>101479185</v>
      </c>
      <c r="B14112" t="s">
        <v>30526</v>
      </c>
      <c r="C14112" t="s">
        <v>286</v>
      </c>
      <c r="G14112" t="s">
        <v>30527</v>
      </c>
      <c r="H14112" t="s">
        <v>3466</v>
      </c>
      <c r="I14112" t="s">
        <v>22</v>
      </c>
      <c r="J14112">
        <v>94804</v>
      </c>
      <c r="K14112">
        <v>1037</v>
      </c>
      <c r="L14112" t="s">
        <v>23</v>
      </c>
      <c r="M14112" t="s">
        <v>30527</v>
      </c>
      <c r="N14112" t="s">
        <v>3466</v>
      </c>
      <c r="O14112" t="s">
        <v>22</v>
      </c>
      <c r="P14112">
        <v>94804</v>
      </c>
      <c r="Q14112">
        <v>1037</v>
      </c>
      <c r="R14112" t="s">
        <v>23</v>
      </c>
      <c r="S14112" s="1" t="s">
        <v>34218</v>
      </c>
    </row>
    <row r="14113" spans="1:19" x14ac:dyDescent="0.25">
      <c r="A14113">
        <v>101349910</v>
      </c>
      <c r="B14113" t="s">
        <v>6289</v>
      </c>
      <c r="C14113" t="s">
        <v>718</v>
      </c>
      <c r="G14113" t="s">
        <v>30528</v>
      </c>
      <c r="H14113" t="s">
        <v>12692</v>
      </c>
      <c r="I14113" t="s">
        <v>28</v>
      </c>
      <c r="J14113">
        <v>30022</v>
      </c>
      <c r="L14113" t="s">
        <v>23</v>
      </c>
      <c r="M14113" t="s">
        <v>30528</v>
      </c>
      <c r="N14113" t="s">
        <v>12692</v>
      </c>
      <c r="O14113" t="s">
        <v>28</v>
      </c>
      <c r="P14113">
        <v>30022</v>
      </c>
      <c r="R14113" t="s">
        <v>23</v>
      </c>
      <c r="S14113" s="1" t="s">
        <v>34218</v>
      </c>
    </row>
    <row r="14114" spans="1:19" x14ac:dyDescent="0.25">
      <c r="A14114">
        <v>101474124</v>
      </c>
      <c r="B14114" t="s">
        <v>4879</v>
      </c>
      <c r="C14114" t="s">
        <v>30</v>
      </c>
      <c r="G14114" t="s">
        <v>30529</v>
      </c>
      <c r="H14114" t="s">
        <v>653</v>
      </c>
      <c r="I14114" t="s">
        <v>117</v>
      </c>
      <c r="J14114">
        <v>10151</v>
      </c>
      <c r="K14114">
        <v>99</v>
      </c>
      <c r="L14114" t="s">
        <v>23</v>
      </c>
      <c r="M14114" t="s">
        <v>30529</v>
      </c>
      <c r="N14114" t="s">
        <v>653</v>
      </c>
      <c r="O14114" t="s">
        <v>117</v>
      </c>
      <c r="P14114">
        <v>10151</v>
      </c>
      <c r="Q14114">
        <v>99</v>
      </c>
      <c r="R14114" t="s">
        <v>23</v>
      </c>
      <c r="S14114" s="1" t="s">
        <v>34218</v>
      </c>
    </row>
    <row r="14115" spans="1:19" x14ac:dyDescent="0.25">
      <c r="A14115">
        <v>101379243</v>
      </c>
      <c r="B14115" t="s">
        <v>30530</v>
      </c>
      <c r="C14115" t="s">
        <v>8472</v>
      </c>
      <c r="G14115" t="s">
        <v>30531</v>
      </c>
      <c r="H14115" t="s">
        <v>3859</v>
      </c>
      <c r="I14115" t="s">
        <v>1097</v>
      </c>
      <c r="J14115">
        <v>40008</v>
      </c>
      <c r="L14115" t="s">
        <v>23</v>
      </c>
      <c r="M14115" t="s">
        <v>30531</v>
      </c>
      <c r="N14115" t="s">
        <v>3859</v>
      </c>
      <c r="O14115" t="s">
        <v>1097</v>
      </c>
      <c r="P14115">
        <v>40008</v>
      </c>
      <c r="R14115" t="s">
        <v>23</v>
      </c>
      <c r="S14115" s="1" t="s">
        <v>34218</v>
      </c>
    </row>
    <row r="14116" spans="1:19" x14ac:dyDescent="0.25">
      <c r="A14116">
        <v>101467783</v>
      </c>
      <c r="B14116" t="s">
        <v>30532</v>
      </c>
      <c r="C14116" t="s">
        <v>59</v>
      </c>
      <c r="G14116" t="s">
        <v>30533</v>
      </c>
      <c r="H14116" t="s">
        <v>3162</v>
      </c>
      <c r="I14116" t="s">
        <v>187</v>
      </c>
      <c r="J14116">
        <v>56303</v>
      </c>
      <c r="L14116" t="s">
        <v>23</v>
      </c>
      <c r="M14116" t="s">
        <v>30533</v>
      </c>
      <c r="N14116" t="s">
        <v>3162</v>
      </c>
      <c r="O14116" t="s">
        <v>187</v>
      </c>
      <c r="P14116">
        <v>56303</v>
      </c>
      <c r="R14116" t="s">
        <v>23</v>
      </c>
      <c r="S14116" s="1" t="s">
        <v>34218</v>
      </c>
    </row>
    <row r="14117" spans="1:19" x14ac:dyDescent="0.25">
      <c r="A14117">
        <v>101437020</v>
      </c>
      <c r="B14117" t="s">
        <v>8184</v>
      </c>
      <c r="C14117" t="s">
        <v>18976</v>
      </c>
      <c r="G14117" t="s">
        <v>30534</v>
      </c>
      <c r="H14117" t="s">
        <v>3466</v>
      </c>
      <c r="I14117" t="s">
        <v>255</v>
      </c>
      <c r="J14117">
        <v>23173</v>
      </c>
      <c r="K14117">
        <v>1</v>
      </c>
      <c r="L14117" t="s">
        <v>23</v>
      </c>
      <c r="M14117" t="s">
        <v>30534</v>
      </c>
      <c r="N14117" t="s">
        <v>3466</v>
      </c>
      <c r="O14117" t="s">
        <v>255</v>
      </c>
      <c r="P14117">
        <v>23173</v>
      </c>
      <c r="Q14117">
        <v>1</v>
      </c>
      <c r="R14117" t="s">
        <v>23</v>
      </c>
      <c r="S14117" s="1" t="s">
        <v>34218</v>
      </c>
    </row>
    <row r="14118" spans="1:19" x14ac:dyDescent="0.25">
      <c r="A14118">
        <v>101343891</v>
      </c>
      <c r="B14118" t="s">
        <v>30535</v>
      </c>
      <c r="C14118" t="s">
        <v>21498</v>
      </c>
      <c r="G14118" t="s">
        <v>6700</v>
      </c>
      <c r="H14118" t="s">
        <v>465</v>
      </c>
      <c r="I14118" t="s">
        <v>43</v>
      </c>
      <c r="J14118">
        <v>97544</v>
      </c>
      <c r="L14118" t="s">
        <v>23</v>
      </c>
      <c r="M14118" t="s">
        <v>6700</v>
      </c>
      <c r="N14118" t="s">
        <v>465</v>
      </c>
      <c r="O14118" t="s">
        <v>43</v>
      </c>
      <c r="P14118">
        <v>97544</v>
      </c>
      <c r="R14118" t="s">
        <v>23</v>
      </c>
      <c r="S14118" s="1" t="s">
        <v>34218</v>
      </c>
    </row>
    <row r="14119" spans="1:19" x14ac:dyDescent="0.25">
      <c r="A14119">
        <v>100788271</v>
      </c>
      <c r="B14119" t="s">
        <v>30536</v>
      </c>
      <c r="C14119" t="s">
        <v>16342</v>
      </c>
      <c r="G14119" t="s">
        <v>30537</v>
      </c>
      <c r="H14119" t="s">
        <v>1402</v>
      </c>
      <c r="I14119" t="s">
        <v>38</v>
      </c>
      <c r="J14119">
        <v>77041</v>
      </c>
      <c r="K14119">
        <v>7267</v>
      </c>
      <c r="L14119" t="s">
        <v>23</v>
      </c>
      <c r="M14119" t="s">
        <v>30537</v>
      </c>
      <c r="N14119" t="s">
        <v>1402</v>
      </c>
      <c r="O14119" t="s">
        <v>38</v>
      </c>
      <c r="P14119">
        <v>77041</v>
      </c>
      <c r="Q14119">
        <v>7267</v>
      </c>
      <c r="R14119" t="s">
        <v>23</v>
      </c>
      <c r="S14119" s="1" t="s">
        <v>34218</v>
      </c>
    </row>
    <row r="14120" spans="1:19" x14ac:dyDescent="0.25">
      <c r="A14120">
        <v>100792126</v>
      </c>
      <c r="B14120" t="s">
        <v>16069</v>
      </c>
      <c r="C14120" t="s">
        <v>26244</v>
      </c>
      <c r="G14120" t="s">
        <v>30538</v>
      </c>
      <c r="H14120" t="s">
        <v>4150</v>
      </c>
      <c r="I14120" t="s">
        <v>365</v>
      </c>
      <c r="J14120" t="s">
        <v>30539</v>
      </c>
      <c r="K14120">
        <v>202</v>
      </c>
      <c r="L14120" t="s">
        <v>23</v>
      </c>
      <c r="M14120" t="s">
        <v>30538</v>
      </c>
      <c r="N14120" t="s">
        <v>4150</v>
      </c>
      <c r="O14120" t="s">
        <v>365</v>
      </c>
      <c r="P14120" t="s">
        <v>30539</v>
      </c>
      <c r="Q14120">
        <v>202</v>
      </c>
      <c r="R14120" t="s">
        <v>23</v>
      </c>
      <c r="S14120" s="1" t="s">
        <v>34218</v>
      </c>
    </row>
    <row r="14121" spans="1:19" x14ac:dyDescent="0.25">
      <c r="A14121">
        <v>100515553</v>
      </c>
      <c r="B14121" t="s">
        <v>2870</v>
      </c>
      <c r="C14121" t="s">
        <v>2420</v>
      </c>
      <c r="G14121" t="s">
        <v>30540</v>
      </c>
      <c r="H14121" t="s">
        <v>30541</v>
      </c>
      <c r="I14121" t="s">
        <v>250</v>
      </c>
      <c r="J14121" t="s">
        <v>30542</v>
      </c>
      <c r="K14121">
        <v>1406</v>
      </c>
      <c r="L14121" t="s">
        <v>23</v>
      </c>
      <c r="M14121" t="s">
        <v>30540</v>
      </c>
      <c r="N14121" t="s">
        <v>30541</v>
      </c>
      <c r="O14121" t="s">
        <v>250</v>
      </c>
      <c r="P14121" t="s">
        <v>30542</v>
      </c>
      <c r="Q14121">
        <v>1406</v>
      </c>
      <c r="R14121" t="s">
        <v>23</v>
      </c>
      <c r="S14121" s="1" t="s">
        <v>34218</v>
      </c>
    </row>
    <row r="14122" spans="1:19" x14ac:dyDescent="0.25">
      <c r="A14122">
        <v>100542622</v>
      </c>
      <c r="B14122" t="s">
        <v>30543</v>
      </c>
      <c r="C14122" t="s">
        <v>329</v>
      </c>
      <c r="G14122" t="s">
        <v>30544</v>
      </c>
      <c r="H14122" t="s">
        <v>1873</v>
      </c>
      <c r="I14122" t="s">
        <v>307</v>
      </c>
      <c r="J14122" t="s">
        <v>30545</v>
      </c>
      <c r="K14122">
        <v>191</v>
      </c>
      <c r="L14122" t="s">
        <v>23</v>
      </c>
      <c r="M14122" t="s">
        <v>30544</v>
      </c>
      <c r="N14122" t="s">
        <v>1873</v>
      </c>
      <c r="O14122" t="s">
        <v>307</v>
      </c>
      <c r="P14122" t="s">
        <v>30545</v>
      </c>
      <c r="Q14122">
        <v>191</v>
      </c>
      <c r="R14122" t="s">
        <v>23</v>
      </c>
      <c r="S14122" s="1" t="s">
        <v>34218</v>
      </c>
    </row>
    <row r="14123" spans="1:19" x14ac:dyDescent="0.25">
      <c r="A14123">
        <v>101444512</v>
      </c>
      <c r="B14123" t="s">
        <v>30546</v>
      </c>
      <c r="C14123" t="s">
        <v>132</v>
      </c>
      <c r="G14123" t="s">
        <v>30547</v>
      </c>
      <c r="H14123" t="s">
        <v>11774</v>
      </c>
      <c r="I14123" t="s">
        <v>33</v>
      </c>
      <c r="J14123" t="s">
        <v>30548</v>
      </c>
      <c r="K14123">
        <v>1819</v>
      </c>
      <c r="L14123" t="s">
        <v>23</v>
      </c>
      <c r="M14123" t="s">
        <v>30547</v>
      </c>
      <c r="N14123" t="s">
        <v>11774</v>
      </c>
      <c r="O14123" t="s">
        <v>33</v>
      </c>
      <c r="P14123" t="s">
        <v>30548</v>
      </c>
      <c r="Q14123">
        <v>1819</v>
      </c>
      <c r="R14123" t="s">
        <v>23</v>
      </c>
      <c r="S14123" s="1" t="s">
        <v>34218</v>
      </c>
    </row>
    <row r="14124" spans="1:19" x14ac:dyDescent="0.25">
      <c r="A14124">
        <v>101293338</v>
      </c>
      <c r="B14124" t="s">
        <v>2689</v>
      </c>
      <c r="C14124" t="s">
        <v>247</v>
      </c>
      <c r="G14124" t="s">
        <v>30549</v>
      </c>
      <c r="H14124" t="s">
        <v>30550</v>
      </c>
      <c r="I14124" t="s">
        <v>100</v>
      </c>
      <c r="J14124" t="s">
        <v>30551</v>
      </c>
      <c r="K14124">
        <v>2137</v>
      </c>
      <c r="L14124" t="s">
        <v>23</v>
      </c>
      <c r="M14124" t="s">
        <v>30549</v>
      </c>
      <c r="N14124" t="s">
        <v>30550</v>
      </c>
      <c r="O14124" t="s">
        <v>100</v>
      </c>
      <c r="P14124" t="s">
        <v>30551</v>
      </c>
      <c r="Q14124">
        <v>2137</v>
      </c>
      <c r="R14124" t="s">
        <v>23</v>
      </c>
      <c r="S14124" s="1" t="s">
        <v>34218</v>
      </c>
    </row>
    <row r="14125" spans="1:19" x14ac:dyDescent="0.25">
      <c r="A14125">
        <v>101422267</v>
      </c>
      <c r="B14125" t="s">
        <v>3459</v>
      </c>
      <c r="C14125" t="s">
        <v>362</v>
      </c>
      <c r="G14125" t="s">
        <v>30552</v>
      </c>
      <c r="H14125" t="s">
        <v>7649</v>
      </c>
      <c r="I14125" t="s">
        <v>57</v>
      </c>
      <c r="J14125" t="s">
        <v>30553</v>
      </c>
      <c r="K14125">
        <v>1337</v>
      </c>
      <c r="L14125" t="s">
        <v>23</v>
      </c>
      <c r="M14125" t="s">
        <v>30552</v>
      </c>
      <c r="N14125" t="s">
        <v>7649</v>
      </c>
      <c r="O14125" t="s">
        <v>57</v>
      </c>
      <c r="P14125" t="s">
        <v>30553</v>
      </c>
      <c r="Q14125">
        <v>1337</v>
      </c>
      <c r="R14125" t="s">
        <v>23</v>
      </c>
      <c r="S14125" s="1" t="s">
        <v>34218</v>
      </c>
    </row>
    <row r="14126" spans="1:19" x14ac:dyDescent="0.25">
      <c r="A14126">
        <v>101185887</v>
      </c>
      <c r="B14126" t="s">
        <v>30554</v>
      </c>
      <c r="C14126" t="s">
        <v>251</v>
      </c>
      <c r="G14126" t="s">
        <v>30555</v>
      </c>
      <c r="H14126" t="s">
        <v>638</v>
      </c>
      <c r="I14126" t="s">
        <v>639</v>
      </c>
      <c r="J14126" t="s">
        <v>30556</v>
      </c>
      <c r="K14126">
        <v>3326</v>
      </c>
      <c r="L14126" t="s">
        <v>23</v>
      </c>
      <c r="M14126" t="s">
        <v>30555</v>
      </c>
      <c r="N14126" t="s">
        <v>638</v>
      </c>
      <c r="O14126" t="s">
        <v>639</v>
      </c>
      <c r="P14126" t="s">
        <v>30556</v>
      </c>
      <c r="Q14126">
        <v>3326</v>
      </c>
      <c r="R14126" t="s">
        <v>23</v>
      </c>
      <c r="S14126" s="1" t="s">
        <v>34218</v>
      </c>
    </row>
    <row r="14127" spans="1:19" x14ac:dyDescent="0.25">
      <c r="A14127">
        <v>101260347</v>
      </c>
      <c r="B14127" t="s">
        <v>30557</v>
      </c>
      <c r="C14127" t="s">
        <v>1306</v>
      </c>
      <c r="G14127" t="s">
        <v>30558</v>
      </c>
      <c r="H14127" t="s">
        <v>8280</v>
      </c>
      <c r="I14127" t="s">
        <v>1482</v>
      </c>
      <c r="J14127" t="s">
        <v>30559</v>
      </c>
      <c r="K14127">
        <v>7425</v>
      </c>
      <c r="L14127" t="s">
        <v>23</v>
      </c>
      <c r="M14127" t="s">
        <v>30558</v>
      </c>
      <c r="N14127" t="s">
        <v>8280</v>
      </c>
      <c r="O14127" t="s">
        <v>1482</v>
      </c>
      <c r="P14127" t="s">
        <v>30559</v>
      </c>
      <c r="Q14127">
        <v>7425</v>
      </c>
      <c r="R14127" t="s">
        <v>23</v>
      </c>
      <c r="S14127" s="1" t="s">
        <v>34218</v>
      </c>
    </row>
    <row r="14128" spans="1:19" x14ac:dyDescent="0.25">
      <c r="A14128">
        <v>100516026</v>
      </c>
      <c r="B14128" t="s">
        <v>30560</v>
      </c>
      <c r="C14128" t="s">
        <v>14538</v>
      </c>
      <c r="G14128" t="s">
        <v>30561</v>
      </c>
      <c r="H14128" t="s">
        <v>5926</v>
      </c>
      <c r="I14128" t="s">
        <v>33</v>
      </c>
      <c r="J14128" t="s">
        <v>30562</v>
      </c>
      <c r="K14128">
        <v>7349</v>
      </c>
      <c r="L14128" t="s">
        <v>23</v>
      </c>
      <c r="M14128" t="s">
        <v>30561</v>
      </c>
      <c r="N14128" t="s">
        <v>5926</v>
      </c>
      <c r="O14128" t="s">
        <v>33</v>
      </c>
      <c r="P14128" t="s">
        <v>30562</v>
      </c>
      <c r="Q14128">
        <v>7349</v>
      </c>
      <c r="R14128" t="s">
        <v>23</v>
      </c>
      <c r="S14128" s="1" t="s">
        <v>34218</v>
      </c>
    </row>
    <row r="14129" spans="1:19" x14ac:dyDescent="0.25">
      <c r="A14129">
        <v>101294985</v>
      </c>
      <c r="B14129" t="s">
        <v>30563</v>
      </c>
      <c r="C14129" t="s">
        <v>247</v>
      </c>
      <c r="G14129" t="s">
        <v>30564</v>
      </c>
      <c r="H14129" t="s">
        <v>1863</v>
      </c>
      <c r="I14129" t="s">
        <v>126</v>
      </c>
      <c r="J14129">
        <v>64113</v>
      </c>
      <c r="K14129">
        <v>1205</v>
      </c>
      <c r="L14129" t="s">
        <v>23</v>
      </c>
      <c r="M14129" t="s">
        <v>30564</v>
      </c>
      <c r="N14129" t="s">
        <v>1863</v>
      </c>
      <c r="O14129" t="s">
        <v>126</v>
      </c>
      <c r="P14129">
        <v>64113</v>
      </c>
      <c r="Q14129">
        <v>1205</v>
      </c>
      <c r="R14129" t="s">
        <v>23</v>
      </c>
      <c r="S14129" s="1" t="s">
        <v>34218</v>
      </c>
    </row>
    <row r="14130" spans="1:19" x14ac:dyDescent="0.25">
      <c r="A14130">
        <v>101331602</v>
      </c>
      <c r="B14130" t="s">
        <v>30565</v>
      </c>
      <c r="C14130" t="s">
        <v>1153</v>
      </c>
      <c r="G14130" t="s">
        <v>30566</v>
      </c>
      <c r="H14130" t="s">
        <v>1827</v>
      </c>
      <c r="I14130" t="s">
        <v>255</v>
      </c>
      <c r="J14130" t="s">
        <v>30567</v>
      </c>
      <c r="K14130">
        <v>9042</v>
      </c>
      <c r="L14130" t="s">
        <v>23</v>
      </c>
      <c r="M14130" t="s">
        <v>30566</v>
      </c>
      <c r="N14130" t="s">
        <v>1827</v>
      </c>
      <c r="O14130" t="s">
        <v>255</v>
      </c>
      <c r="P14130" t="s">
        <v>30567</v>
      </c>
      <c r="Q14130">
        <v>9042</v>
      </c>
      <c r="R14130" t="s">
        <v>23</v>
      </c>
      <c r="S14130" s="1" t="s">
        <v>34218</v>
      </c>
    </row>
    <row r="14131" spans="1:19" x14ac:dyDescent="0.25">
      <c r="A14131">
        <v>101236756</v>
      </c>
      <c r="B14131" t="s">
        <v>7325</v>
      </c>
      <c r="C14131" t="s">
        <v>1327</v>
      </c>
      <c r="G14131" t="s">
        <v>30568</v>
      </c>
      <c r="H14131" t="s">
        <v>37</v>
      </c>
      <c r="I14131" t="s">
        <v>38</v>
      </c>
      <c r="J14131" t="s">
        <v>30569</v>
      </c>
      <c r="K14131">
        <v>2217</v>
      </c>
      <c r="L14131" t="s">
        <v>23</v>
      </c>
      <c r="M14131" t="s">
        <v>30568</v>
      </c>
      <c r="N14131" t="s">
        <v>37</v>
      </c>
      <c r="O14131" t="s">
        <v>38</v>
      </c>
      <c r="P14131" t="s">
        <v>30569</v>
      </c>
      <c r="Q14131">
        <v>2217</v>
      </c>
      <c r="R14131" t="s">
        <v>23</v>
      </c>
      <c r="S14131" s="1" t="s">
        <v>34218</v>
      </c>
    </row>
    <row r="14132" spans="1:19" x14ac:dyDescent="0.25">
      <c r="A14132">
        <v>100792061</v>
      </c>
      <c r="B14132" t="s">
        <v>19411</v>
      </c>
      <c r="C14132" t="s">
        <v>2453</v>
      </c>
      <c r="G14132" t="s">
        <v>30570</v>
      </c>
      <c r="H14132" t="s">
        <v>30571</v>
      </c>
      <c r="I14132" t="s">
        <v>639</v>
      </c>
      <c r="J14132" t="s">
        <v>30572</v>
      </c>
      <c r="K14132">
        <v>768</v>
      </c>
      <c r="L14132" t="s">
        <v>23</v>
      </c>
      <c r="M14132" t="s">
        <v>30570</v>
      </c>
      <c r="N14132" t="s">
        <v>30571</v>
      </c>
      <c r="O14132" t="s">
        <v>639</v>
      </c>
      <c r="P14132" t="s">
        <v>30572</v>
      </c>
      <c r="Q14132">
        <v>768</v>
      </c>
      <c r="R14132" t="s">
        <v>23</v>
      </c>
      <c r="S14132" s="1" t="s">
        <v>34218</v>
      </c>
    </row>
    <row r="14133" spans="1:19" x14ac:dyDescent="0.25">
      <c r="A14133">
        <v>101418938</v>
      </c>
      <c r="B14133" t="s">
        <v>30573</v>
      </c>
      <c r="C14133" t="s">
        <v>763</v>
      </c>
      <c r="H14133" t="s">
        <v>2046</v>
      </c>
      <c r="I14133" t="s">
        <v>446</v>
      </c>
      <c r="J14133">
        <v>27704</v>
      </c>
      <c r="L14133" t="s">
        <v>23</v>
      </c>
      <c r="N14133" t="s">
        <v>2046</v>
      </c>
      <c r="O14133" t="s">
        <v>446</v>
      </c>
      <c r="P14133">
        <v>27704</v>
      </c>
      <c r="R14133" t="s">
        <v>23</v>
      </c>
      <c r="S14133" s="1" t="s">
        <v>34218</v>
      </c>
    </row>
    <row r="14134" spans="1:19" x14ac:dyDescent="0.25">
      <c r="A14134">
        <v>101473335</v>
      </c>
      <c r="B14134" t="s">
        <v>30574</v>
      </c>
      <c r="C14134" t="s">
        <v>15815</v>
      </c>
      <c r="G14134" t="s">
        <v>30575</v>
      </c>
      <c r="H14134" t="s">
        <v>4235</v>
      </c>
      <c r="I14134" t="s">
        <v>984</v>
      </c>
      <c r="J14134">
        <v>96826</v>
      </c>
      <c r="K14134">
        <v>2306</v>
      </c>
      <c r="L14134" t="s">
        <v>23</v>
      </c>
      <c r="M14134" t="s">
        <v>30575</v>
      </c>
      <c r="N14134" t="s">
        <v>4235</v>
      </c>
      <c r="O14134" t="s">
        <v>984</v>
      </c>
      <c r="P14134">
        <v>96826</v>
      </c>
      <c r="Q14134">
        <v>2306</v>
      </c>
      <c r="R14134" t="s">
        <v>23</v>
      </c>
      <c r="S14134" s="1" t="s">
        <v>34218</v>
      </c>
    </row>
    <row r="14135" spans="1:19" x14ac:dyDescent="0.25">
      <c r="A14135">
        <v>101388895</v>
      </c>
      <c r="B14135" t="s">
        <v>4064</v>
      </c>
      <c r="C14135" t="s">
        <v>820</v>
      </c>
      <c r="G14135" t="s">
        <v>19228</v>
      </c>
      <c r="H14135" t="s">
        <v>30576</v>
      </c>
      <c r="I14135" t="s">
        <v>191</v>
      </c>
      <c r="J14135" t="s">
        <v>30577</v>
      </c>
      <c r="K14135">
        <v>263</v>
      </c>
      <c r="L14135" t="s">
        <v>23</v>
      </c>
      <c r="M14135" t="s">
        <v>19228</v>
      </c>
      <c r="N14135" t="s">
        <v>30576</v>
      </c>
      <c r="O14135" t="s">
        <v>191</v>
      </c>
      <c r="P14135" t="s">
        <v>30577</v>
      </c>
      <c r="Q14135">
        <v>263</v>
      </c>
      <c r="R14135" t="s">
        <v>23</v>
      </c>
      <c r="S14135" s="1" t="s">
        <v>34218</v>
      </c>
    </row>
    <row r="14136" spans="1:19" x14ac:dyDescent="0.25">
      <c r="A14136">
        <v>101444715</v>
      </c>
      <c r="B14136" t="s">
        <v>30578</v>
      </c>
      <c r="C14136" t="s">
        <v>1327</v>
      </c>
      <c r="G14136" t="s">
        <v>30579</v>
      </c>
      <c r="H14136" t="s">
        <v>1535</v>
      </c>
      <c r="I14136" t="s">
        <v>22</v>
      </c>
      <c r="J14136" t="s">
        <v>30580</v>
      </c>
      <c r="K14136">
        <v>2922</v>
      </c>
      <c r="L14136" t="s">
        <v>23</v>
      </c>
      <c r="M14136" t="s">
        <v>30579</v>
      </c>
      <c r="N14136" t="s">
        <v>1535</v>
      </c>
      <c r="O14136" t="s">
        <v>22</v>
      </c>
      <c r="P14136" t="s">
        <v>30580</v>
      </c>
      <c r="Q14136">
        <v>2922</v>
      </c>
      <c r="R14136" t="s">
        <v>23</v>
      </c>
      <c r="S14136" s="1" t="s">
        <v>34218</v>
      </c>
    </row>
    <row r="14137" spans="1:19" x14ac:dyDescent="0.25">
      <c r="A14137">
        <v>100618502</v>
      </c>
      <c r="B14137" t="s">
        <v>30581</v>
      </c>
      <c r="C14137" t="s">
        <v>102</v>
      </c>
      <c r="G14137" t="s">
        <v>30582</v>
      </c>
      <c r="H14137" t="s">
        <v>1113</v>
      </c>
      <c r="I14137" t="s">
        <v>365</v>
      </c>
      <c r="J14137" t="s">
        <v>30583</v>
      </c>
      <c r="K14137">
        <v>9025</v>
      </c>
      <c r="L14137" t="s">
        <v>23</v>
      </c>
      <c r="M14137" t="s">
        <v>30582</v>
      </c>
      <c r="N14137" t="s">
        <v>1113</v>
      </c>
      <c r="O14137" t="s">
        <v>365</v>
      </c>
      <c r="P14137" t="s">
        <v>30583</v>
      </c>
      <c r="Q14137">
        <v>9025</v>
      </c>
      <c r="R14137" t="s">
        <v>23</v>
      </c>
      <c r="S14137" s="1" t="s">
        <v>34218</v>
      </c>
    </row>
    <row r="14138" spans="1:19" x14ac:dyDescent="0.25">
      <c r="A14138">
        <v>101242502</v>
      </c>
      <c r="B14138" t="s">
        <v>4714</v>
      </c>
      <c r="C14138" t="s">
        <v>838</v>
      </c>
      <c r="G14138" t="s">
        <v>30584</v>
      </c>
      <c r="H14138" t="s">
        <v>198</v>
      </c>
      <c r="I14138" t="s">
        <v>22</v>
      </c>
      <c r="J14138" t="s">
        <v>30585</v>
      </c>
      <c r="K14138">
        <v>3432</v>
      </c>
      <c r="L14138" t="s">
        <v>23</v>
      </c>
      <c r="M14138" t="s">
        <v>30584</v>
      </c>
      <c r="N14138" t="s">
        <v>198</v>
      </c>
      <c r="O14138" t="s">
        <v>22</v>
      </c>
      <c r="P14138" t="s">
        <v>30585</v>
      </c>
      <c r="Q14138">
        <v>3432</v>
      </c>
      <c r="R14138" t="s">
        <v>23</v>
      </c>
      <c r="S14138" s="1" t="s">
        <v>34218</v>
      </c>
    </row>
    <row r="14139" spans="1:19" x14ac:dyDescent="0.25">
      <c r="A14139">
        <v>101256735</v>
      </c>
      <c r="B14139" t="s">
        <v>30586</v>
      </c>
      <c r="C14139" t="s">
        <v>1377</v>
      </c>
      <c r="G14139" t="s">
        <v>30587</v>
      </c>
      <c r="H14139" t="s">
        <v>299</v>
      </c>
      <c r="I14139" t="s">
        <v>22</v>
      </c>
      <c r="J14139" t="s">
        <v>30588</v>
      </c>
      <c r="K14139">
        <v>5047</v>
      </c>
      <c r="L14139" t="s">
        <v>23</v>
      </c>
      <c r="M14139" t="s">
        <v>30587</v>
      </c>
      <c r="N14139" t="s">
        <v>299</v>
      </c>
      <c r="O14139" t="s">
        <v>22</v>
      </c>
      <c r="P14139" t="s">
        <v>30588</v>
      </c>
      <c r="Q14139">
        <v>5047</v>
      </c>
      <c r="R14139" t="s">
        <v>23</v>
      </c>
      <c r="S14139" s="1" t="s">
        <v>34218</v>
      </c>
    </row>
    <row r="14140" spans="1:19" x14ac:dyDescent="0.25">
      <c r="A14140">
        <v>101304141</v>
      </c>
      <c r="B14140" t="s">
        <v>3956</v>
      </c>
      <c r="C14140" t="s">
        <v>1327</v>
      </c>
      <c r="G14140" t="s">
        <v>30589</v>
      </c>
      <c r="H14140" t="s">
        <v>17428</v>
      </c>
      <c r="I14140" t="s">
        <v>117</v>
      </c>
      <c r="J14140" t="s">
        <v>30590</v>
      </c>
      <c r="K14140">
        <v>2831</v>
      </c>
      <c r="L14140" t="s">
        <v>23</v>
      </c>
      <c r="M14140" t="s">
        <v>30589</v>
      </c>
      <c r="N14140" t="s">
        <v>17428</v>
      </c>
      <c r="O14140" t="s">
        <v>117</v>
      </c>
      <c r="P14140" t="s">
        <v>30590</v>
      </c>
      <c r="Q14140">
        <v>2831</v>
      </c>
      <c r="R14140" t="s">
        <v>23</v>
      </c>
      <c r="S14140" s="1" t="s">
        <v>34218</v>
      </c>
    </row>
    <row r="14141" spans="1:19" x14ac:dyDescent="0.25">
      <c r="A14141">
        <v>101352456</v>
      </c>
      <c r="B14141" t="s">
        <v>12300</v>
      </c>
      <c r="C14141" t="s">
        <v>10601</v>
      </c>
      <c r="G14141" t="s">
        <v>30591</v>
      </c>
      <c r="H14141" t="s">
        <v>202</v>
      </c>
      <c r="I14141" t="s">
        <v>117</v>
      </c>
      <c r="J14141" t="s">
        <v>30592</v>
      </c>
      <c r="K14141">
        <v>2602</v>
      </c>
      <c r="L14141" t="s">
        <v>23</v>
      </c>
      <c r="M14141" t="s">
        <v>30591</v>
      </c>
      <c r="N14141" t="s">
        <v>202</v>
      </c>
      <c r="O14141" t="s">
        <v>117</v>
      </c>
      <c r="P14141" t="s">
        <v>30592</v>
      </c>
      <c r="Q14141">
        <v>2602</v>
      </c>
      <c r="R14141" t="s">
        <v>23</v>
      </c>
      <c r="S14141" s="1" t="s">
        <v>34218</v>
      </c>
    </row>
    <row r="14142" spans="1:19" x14ac:dyDescent="0.25">
      <c r="A14142">
        <v>101294312</v>
      </c>
      <c r="B14142" t="s">
        <v>1437</v>
      </c>
      <c r="C14142" t="s">
        <v>4512</v>
      </c>
      <c r="G14142" t="s">
        <v>30593</v>
      </c>
      <c r="H14142" t="s">
        <v>25854</v>
      </c>
      <c r="I14142" t="s">
        <v>255</v>
      </c>
      <c r="J14142" t="s">
        <v>30594</v>
      </c>
      <c r="K14142">
        <v>748</v>
      </c>
      <c r="L14142" t="s">
        <v>23</v>
      </c>
      <c r="M14142" t="s">
        <v>30593</v>
      </c>
      <c r="N14142" t="s">
        <v>25854</v>
      </c>
      <c r="O14142" t="s">
        <v>255</v>
      </c>
      <c r="P14142" t="s">
        <v>30594</v>
      </c>
      <c r="Q14142">
        <v>748</v>
      </c>
      <c r="R14142" t="s">
        <v>23</v>
      </c>
      <c r="S14142" s="1" t="s">
        <v>34218</v>
      </c>
    </row>
    <row r="14143" spans="1:19" x14ac:dyDescent="0.25">
      <c r="A14143">
        <v>101444805</v>
      </c>
      <c r="B14143" t="s">
        <v>30595</v>
      </c>
      <c r="C14143" t="s">
        <v>2127</v>
      </c>
      <c r="G14143" t="s">
        <v>18358</v>
      </c>
      <c r="H14143" t="s">
        <v>2724</v>
      </c>
      <c r="I14143" t="s">
        <v>22</v>
      </c>
      <c r="J14143" t="s">
        <v>30596</v>
      </c>
      <c r="K14143">
        <v>2207</v>
      </c>
      <c r="L14143" t="s">
        <v>23</v>
      </c>
      <c r="M14143" t="s">
        <v>18358</v>
      </c>
      <c r="N14143" t="s">
        <v>2724</v>
      </c>
      <c r="O14143" t="s">
        <v>22</v>
      </c>
      <c r="P14143" t="s">
        <v>30596</v>
      </c>
      <c r="Q14143">
        <v>2207</v>
      </c>
      <c r="R14143" t="s">
        <v>23</v>
      </c>
      <c r="S14143" s="1" t="s">
        <v>34218</v>
      </c>
    </row>
    <row r="14144" spans="1:19" x14ac:dyDescent="0.25">
      <c r="A14144">
        <v>101428095</v>
      </c>
      <c r="B14144" t="s">
        <v>28077</v>
      </c>
      <c r="C14144" t="s">
        <v>30597</v>
      </c>
      <c r="G14144" t="s">
        <v>30598</v>
      </c>
      <c r="H14144" t="s">
        <v>6039</v>
      </c>
      <c r="I14144" t="s">
        <v>148</v>
      </c>
      <c r="J14144" t="s">
        <v>30599</v>
      </c>
      <c r="K14144">
        <v>4096</v>
      </c>
      <c r="L14144" t="s">
        <v>23</v>
      </c>
      <c r="M14144" t="s">
        <v>30598</v>
      </c>
      <c r="N14144" t="s">
        <v>6039</v>
      </c>
      <c r="O14144" t="s">
        <v>148</v>
      </c>
      <c r="P14144" t="s">
        <v>30599</v>
      </c>
      <c r="Q14144">
        <v>4096</v>
      </c>
      <c r="R14144" t="s">
        <v>23</v>
      </c>
      <c r="S14144" s="1" t="s">
        <v>34218</v>
      </c>
    </row>
    <row r="14145" spans="1:19" x14ac:dyDescent="0.25">
      <c r="A14145">
        <v>101426676</v>
      </c>
      <c r="B14145" t="s">
        <v>2074</v>
      </c>
      <c r="C14145" t="s">
        <v>1239</v>
      </c>
      <c r="G14145" t="s">
        <v>30600</v>
      </c>
      <c r="H14145" t="s">
        <v>1109</v>
      </c>
      <c r="I14145" t="s">
        <v>126</v>
      </c>
      <c r="J14145" t="s">
        <v>30601</v>
      </c>
      <c r="K14145">
        <v>1787</v>
      </c>
      <c r="L14145" t="s">
        <v>23</v>
      </c>
      <c r="M14145" t="s">
        <v>30600</v>
      </c>
      <c r="N14145" t="s">
        <v>1109</v>
      </c>
      <c r="O14145" t="s">
        <v>126</v>
      </c>
      <c r="P14145" t="s">
        <v>30601</v>
      </c>
      <c r="Q14145">
        <v>1787</v>
      </c>
      <c r="R14145" t="s">
        <v>23</v>
      </c>
      <c r="S14145" s="1" t="s">
        <v>34218</v>
      </c>
    </row>
    <row r="14146" spans="1:19" x14ac:dyDescent="0.25">
      <c r="A14146">
        <v>101429949</v>
      </c>
      <c r="B14146" t="s">
        <v>30602</v>
      </c>
      <c r="C14146" t="s">
        <v>5740</v>
      </c>
      <c r="G14146" t="s">
        <v>30603</v>
      </c>
      <c r="H14146" t="s">
        <v>3561</v>
      </c>
      <c r="I14146" t="s">
        <v>22</v>
      </c>
      <c r="J14146" t="s">
        <v>30604</v>
      </c>
      <c r="K14146">
        <v>1836</v>
      </c>
      <c r="L14146" t="s">
        <v>23</v>
      </c>
      <c r="M14146" t="s">
        <v>30603</v>
      </c>
      <c r="N14146" t="s">
        <v>3561</v>
      </c>
      <c r="O14146" t="s">
        <v>22</v>
      </c>
      <c r="P14146" t="s">
        <v>30604</v>
      </c>
      <c r="Q14146">
        <v>1836</v>
      </c>
      <c r="R14146" t="s">
        <v>23</v>
      </c>
      <c r="S14146" s="1" t="s">
        <v>34218</v>
      </c>
    </row>
    <row r="14147" spans="1:19" x14ac:dyDescent="0.25">
      <c r="A14147">
        <v>101314633</v>
      </c>
      <c r="B14147" t="s">
        <v>29124</v>
      </c>
      <c r="C14147" t="s">
        <v>575</v>
      </c>
      <c r="G14147" t="s">
        <v>30605</v>
      </c>
      <c r="H14147" t="s">
        <v>30606</v>
      </c>
      <c r="I14147" t="s">
        <v>100</v>
      </c>
      <c r="J14147" t="s">
        <v>30607</v>
      </c>
      <c r="K14147">
        <v>9176</v>
      </c>
      <c r="L14147" t="s">
        <v>23</v>
      </c>
      <c r="M14147" t="s">
        <v>30605</v>
      </c>
      <c r="N14147" t="s">
        <v>30606</v>
      </c>
      <c r="O14147" t="s">
        <v>100</v>
      </c>
      <c r="P14147" t="s">
        <v>30607</v>
      </c>
      <c r="Q14147">
        <v>9176</v>
      </c>
      <c r="R14147" t="s">
        <v>23</v>
      </c>
      <c r="S14147" s="1" t="s">
        <v>34218</v>
      </c>
    </row>
    <row r="14148" spans="1:19" x14ac:dyDescent="0.25">
      <c r="A14148">
        <v>101440794</v>
      </c>
      <c r="B14148" t="s">
        <v>30608</v>
      </c>
      <c r="C14148" t="s">
        <v>30609</v>
      </c>
      <c r="G14148" t="s">
        <v>30610</v>
      </c>
      <c r="H14148" t="s">
        <v>653</v>
      </c>
      <c r="I14148" t="s">
        <v>117</v>
      </c>
      <c r="J14148" t="s">
        <v>30611</v>
      </c>
      <c r="K14148">
        <v>7010</v>
      </c>
      <c r="L14148" t="s">
        <v>23</v>
      </c>
      <c r="M14148" t="s">
        <v>30610</v>
      </c>
      <c r="N14148" t="s">
        <v>653</v>
      </c>
      <c r="O14148" t="s">
        <v>117</v>
      </c>
      <c r="P14148" t="s">
        <v>30611</v>
      </c>
      <c r="Q14148">
        <v>7010</v>
      </c>
      <c r="R14148" t="s">
        <v>23</v>
      </c>
      <c r="S14148" s="1" t="s">
        <v>34218</v>
      </c>
    </row>
    <row r="14149" spans="1:19" x14ac:dyDescent="0.25">
      <c r="A14149">
        <v>101480887</v>
      </c>
      <c r="B14149" t="s">
        <v>19871</v>
      </c>
      <c r="C14149" t="s">
        <v>1327</v>
      </c>
      <c r="G14149" t="s">
        <v>30612</v>
      </c>
      <c r="H14149" t="s">
        <v>1431</v>
      </c>
      <c r="I14149" t="s">
        <v>639</v>
      </c>
      <c r="J14149">
        <v>87501</v>
      </c>
      <c r="K14149">
        <v>1534</v>
      </c>
      <c r="L14149" t="s">
        <v>23</v>
      </c>
      <c r="M14149" t="s">
        <v>30612</v>
      </c>
      <c r="N14149" t="s">
        <v>1431</v>
      </c>
      <c r="O14149" t="s">
        <v>639</v>
      </c>
      <c r="P14149">
        <v>87501</v>
      </c>
      <c r="Q14149">
        <v>1534</v>
      </c>
      <c r="R14149" t="s">
        <v>23</v>
      </c>
      <c r="S14149" s="1" t="s">
        <v>34218</v>
      </c>
    </row>
    <row r="14150" spans="1:19" x14ac:dyDescent="0.25">
      <c r="A14150">
        <v>100571541</v>
      </c>
      <c r="B14150" t="s">
        <v>30613</v>
      </c>
      <c r="C14150" t="s">
        <v>1331</v>
      </c>
      <c r="G14150" t="s">
        <v>30614</v>
      </c>
      <c r="H14150" t="s">
        <v>4510</v>
      </c>
      <c r="I14150" t="s">
        <v>236</v>
      </c>
      <c r="J14150">
        <v>2149</v>
      </c>
      <c r="K14150">
        <v>5027</v>
      </c>
      <c r="L14150" t="s">
        <v>23</v>
      </c>
      <c r="M14150" t="s">
        <v>30614</v>
      </c>
      <c r="N14150" t="s">
        <v>4510</v>
      </c>
      <c r="O14150" t="s">
        <v>236</v>
      </c>
      <c r="P14150">
        <v>2149</v>
      </c>
      <c r="Q14150">
        <v>5027</v>
      </c>
      <c r="R14150" t="s">
        <v>23</v>
      </c>
      <c r="S14150" s="1" t="s">
        <v>34218</v>
      </c>
    </row>
    <row r="14151" spans="1:19" x14ac:dyDescent="0.25">
      <c r="A14151">
        <v>100941253</v>
      </c>
      <c r="B14151" t="s">
        <v>14418</v>
      </c>
      <c r="C14151" t="s">
        <v>1168</v>
      </c>
      <c r="G14151" t="s">
        <v>30615</v>
      </c>
      <c r="H14151" t="s">
        <v>481</v>
      </c>
      <c r="I14151" t="s">
        <v>22</v>
      </c>
      <c r="J14151">
        <v>95112</v>
      </c>
      <c r="K14151">
        <v>3032</v>
      </c>
      <c r="L14151" t="s">
        <v>23</v>
      </c>
      <c r="M14151" t="s">
        <v>30615</v>
      </c>
      <c r="N14151" t="s">
        <v>481</v>
      </c>
      <c r="O14151" t="s">
        <v>22</v>
      </c>
      <c r="P14151">
        <v>95112</v>
      </c>
      <c r="Q14151">
        <v>3032</v>
      </c>
      <c r="R14151" t="s">
        <v>23</v>
      </c>
      <c r="S14151" s="1" t="s">
        <v>34218</v>
      </c>
    </row>
    <row r="14152" spans="1:19" x14ac:dyDescent="0.25">
      <c r="A14152">
        <v>101480891</v>
      </c>
      <c r="B14152" t="s">
        <v>8184</v>
      </c>
      <c r="C14152" t="s">
        <v>4273</v>
      </c>
      <c r="G14152" t="s">
        <v>30616</v>
      </c>
      <c r="H14152" t="s">
        <v>1431</v>
      </c>
      <c r="I14152" t="s">
        <v>639</v>
      </c>
      <c r="J14152">
        <v>87505</v>
      </c>
      <c r="K14152">
        <v>3852</v>
      </c>
      <c r="L14152" t="s">
        <v>23</v>
      </c>
      <c r="M14152" t="s">
        <v>30616</v>
      </c>
      <c r="N14152" t="s">
        <v>1431</v>
      </c>
      <c r="O14152" t="s">
        <v>639</v>
      </c>
      <c r="P14152">
        <v>87505</v>
      </c>
      <c r="Q14152">
        <v>3852</v>
      </c>
      <c r="R14152" t="s">
        <v>23</v>
      </c>
      <c r="S14152" s="1" t="s">
        <v>34218</v>
      </c>
    </row>
    <row r="14153" spans="1:19" x14ac:dyDescent="0.25">
      <c r="A14153">
        <v>101467945</v>
      </c>
      <c r="B14153" t="s">
        <v>30617</v>
      </c>
      <c r="C14153" t="s">
        <v>403</v>
      </c>
      <c r="G14153" t="s">
        <v>30618</v>
      </c>
      <c r="H14153" t="s">
        <v>30619</v>
      </c>
      <c r="I14153" t="s">
        <v>140</v>
      </c>
      <c r="J14153">
        <v>49228</v>
      </c>
      <c r="K14153">
        <v>1154</v>
      </c>
      <c r="L14153" t="s">
        <v>23</v>
      </c>
      <c r="M14153" t="s">
        <v>30618</v>
      </c>
      <c r="N14153" t="s">
        <v>30619</v>
      </c>
      <c r="O14153" t="s">
        <v>140</v>
      </c>
      <c r="P14153">
        <v>49228</v>
      </c>
      <c r="Q14153">
        <v>1154</v>
      </c>
      <c r="R14153" t="s">
        <v>23</v>
      </c>
      <c r="S14153" s="1" t="s">
        <v>34218</v>
      </c>
    </row>
    <row r="14154" spans="1:19" x14ac:dyDescent="0.25">
      <c r="A14154">
        <v>101475345</v>
      </c>
      <c r="B14154" t="s">
        <v>30620</v>
      </c>
      <c r="C14154" t="s">
        <v>1955</v>
      </c>
      <c r="G14154" t="s">
        <v>30621</v>
      </c>
      <c r="H14154" t="s">
        <v>254</v>
      </c>
      <c r="I14154" t="s">
        <v>255</v>
      </c>
      <c r="J14154">
        <v>22901</v>
      </c>
      <c r="K14154">
        <v>2650</v>
      </c>
      <c r="L14154" t="s">
        <v>23</v>
      </c>
      <c r="M14154" t="s">
        <v>30621</v>
      </c>
      <c r="N14154" t="s">
        <v>254</v>
      </c>
      <c r="O14154" t="s">
        <v>255</v>
      </c>
      <c r="P14154">
        <v>22901</v>
      </c>
      <c r="Q14154">
        <v>2650</v>
      </c>
      <c r="R14154" t="s">
        <v>23</v>
      </c>
      <c r="S14154" s="1" t="s">
        <v>34218</v>
      </c>
    </row>
    <row r="14155" spans="1:19" x14ac:dyDescent="0.25">
      <c r="A14155">
        <v>101110747</v>
      </c>
      <c r="B14155" t="s">
        <v>30622</v>
      </c>
      <c r="C14155" t="s">
        <v>1208</v>
      </c>
      <c r="G14155" t="s">
        <v>30623</v>
      </c>
      <c r="H14155" t="s">
        <v>6041</v>
      </c>
      <c r="I14155" t="s">
        <v>22</v>
      </c>
      <c r="J14155">
        <v>95476</v>
      </c>
      <c r="L14155" t="s">
        <v>23</v>
      </c>
      <c r="M14155" t="s">
        <v>30623</v>
      </c>
      <c r="N14155" t="s">
        <v>6041</v>
      </c>
      <c r="O14155" t="s">
        <v>22</v>
      </c>
      <c r="P14155">
        <v>95476</v>
      </c>
      <c r="R14155" t="s">
        <v>23</v>
      </c>
      <c r="S14155" s="1" t="s">
        <v>34218</v>
      </c>
    </row>
    <row r="14156" spans="1:19" x14ac:dyDescent="0.25">
      <c r="A14156">
        <v>101304032</v>
      </c>
      <c r="B14156" t="s">
        <v>30624</v>
      </c>
      <c r="C14156" t="s">
        <v>1426</v>
      </c>
      <c r="G14156" t="s">
        <v>30625</v>
      </c>
      <c r="H14156" t="s">
        <v>4114</v>
      </c>
      <c r="I14156" t="s">
        <v>117</v>
      </c>
      <c r="J14156">
        <v>12345</v>
      </c>
      <c r="K14156">
        <v>1</v>
      </c>
      <c r="L14156" t="s">
        <v>23</v>
      </c>
      <c r="M14156" t="s">
        <v>30625</v>
      </c>
      <c r="N14156" t="s">
        <v>4114</v>
      </c>
      <c r="O14156" t="s">
        <v>117</v>
      </c>
      <c r="P14156">
        <v>12345</v>
      </c>
      <c r="Q14156">
        <v>1</v>
      </c>
      <c r="R14156" t="s">
        <v>23</v>
      </c>
      <c r="S14156" s="1" t="s">
        <v>34218</v>
      </c>
    </row>
    <row r="14157" spans="1:19" x14ac:dyDescent="0.25">
      <c r="A14157">
        <v>101224837</v>
      </c>
      <c r="B14157" t="s">
        <v>30626</v>
      </c>
      <c r="C14157" t="s">
        <v>313</v>
      </c>
      <c r="G14157" t="s">
        <v>30627</v>
      </c>
      <c r="H14157" t="s">
        <v>30628</v>
      </c>
      <c r="I14157" t="s">
        <v>1482</v>
      </c>
      <c r="J14157">
        <v>29568</v>
      </c>
      <c r="K14157">
        <v>9222</v>
      </c>
      <c r="L14157" t="s">
        <v>23</v>
      </c>
      <c r="M14157" t="s">
        <v>30627</v>
      </c>
      <c r="N14157" t="s">
        <v>30628</v>
      </c>
      <c r="O14157" t="s">
        <v>1482</v>
      </c>
      <c r="P14157">
        <v>29568</v>
      </c>
      <c r="Q14157">
        <v>9222</v>
      </c>
      <c r="R14157" t="s">
        <v>23</v>
      </c>
      <c r="S14157" s="1" t="s">
        <v>34218</v>
      </c>
    </row>
    <row r="14158" spans="1:19" x14ac:dyDescent="0.25">
      <c r="A14158">
        <v>101306726</v>
      </c>
      <c r="B14158" t="s">
        <v>19499</v>
      </c>
      <c r="C14158" t="s">
        <v>22701</v>
      </c>
      <c r="G14158" t="s">
        <v>30629</v>
      </c>
      <c r="H14158" t="s">
        <v>299</v>
      </c>
      <c r="I14158" t="s">
        <v>22</v>
      </c>
      <c r="J14158">
        <v>90068</v>
      </c>
      <c r="K14158">
        <v>3800</v>
      </c>
      <c r="L14158" t="s">
        <v>23</v>
      </c>
      <c r="M14158" t="s">
        <v>30629</v>
      </c>
      <c r="N14158" t="s">
        <v>299</v>
      </c>
      <c r="O14158" t="s">
        <v>22</v>
      </c>
      <c r="P14158">
        <v>90068</v>
      </c>
      <c r="Q14158">
        <v>3800</v>
      </c>
      <c r="R14158" t="s">
        <v>23</v>
      </c>
      <c r="S14158" s="1" t="s">
        <v>34218</v>
      </c>
    </row>
    <row r="14159" spans="1:19" x14ac:dyDescent="0.25">
      <c r="A14159">
        <v>101480895</v>
      </c>
      <c r="B14159" t="s">
        <v>30630</v>
      </c>
      <c r="C14159" t="s">
        <v>30631</v>
      </c>
      <c r="G14159" t="s">
        <v>30632</v>
      </c>
      <c r="H14159" t="s">
        <v>840</v>
      </c>
      <c r="I14159" t="s">
        <v>153</v>
      </c>
      <c r="J14159">
        <v>70128</v>
      </c>
      <c r="K14159">
        <v>1170</v>
      </c>
      <c r="L14159" t="s">
        <v>23</v>
      </c>
      <c r="M14159" t="s">
        <v>30632</v>
      </c>
      <c r="N14159" t="s">
        <v>840</v>
      </c>
      <c r="O14159" t="s">
        <v>153</v>
      </c>
      <c r="P14159">
        <v>70128</v>
      </c>
      <c r="Q14159">
        <v>1170</v>
      </c>
      <c r="R14159" t="s">
        <v>23</v>
      </c>
      <c r="S14159" s="1" t="s">
        <v>34218</v>
      </c>
    </row>
    <row r="14160" spans="1:19" x14ac:dyDescent="0.25">
      <c r="A14160">
        <v>100988721</v>
      </c>
      <c r="B14160" t="s">
        <v>30633</v>
      </c>
      <c r="C14160" t="s">
        <v>911</v>
      </c>
      <c r="G14160" t="s">
        <v>30634</v>
      </c>
      <c r="H14160" t="s">
        <v>37</v>
      </c>
      <c r="I14160" t="s">
        <v>38</v>
      </c>
      <c r="J14160">
        <v>78757</v>
      </c>
      <c r="L14160" t="s">
        <v>23</v>
      </c>
      <c r="M14160" t="s">
        <v>30634</v>
      </c>
      <c r="N14160" t="s">
        <v>37</v>
      </c>
      <c r="O14160" t="s">
        <v>38</v>
      </c>
      <c r="P14160">
        <v>78757</v>
      </c>
      <c r="R14160" t="s">
        <v>23</v>
      </c>
      <c r="S14160" s="1" t="s">
        <v>34218</v>
      </c>
    </row>
    <row r="14161" spans="1:19" x14ac:dyDescent="0.25">
      <c r="A14161">
        <v>101312426</v>
      </c>
      <c r="B14161" t="s">
        <v>30635</v>
      </c>
      <c r="C14161" t="s">
        <v>3747</v>
      </c>
      <c r="G14161" t="s">
        <v>30636</v>
      </c>
      <c r="H14161" t="s">
        <v>9329</v>
      </c>
      <c r="I14161" t="s">
        <v>33</v>
      </c>
      <c r="J14161">
        <v>15417</v>
      </c>
      <c r="K14161">
        <v>1928</v>
      </c>
      <c r="L14161" t="s">
        <v>23</v>
      </c>
      <c r="M14161" t="s">
        <v>30636</v>
      </c>
      <c r="N14161" t="s">
        <v>9329</v>
      </c>
      <c r="O14161" t="s">
        <v>33</v>
      </c>
      <c r="P14161">
        <v>15417</v>
      </c>
      <c r="Q14161">
        <v>1928</v>
      </c>
      <c r="R14161" t="s">
        <v>23</v>
      </c>
      <c r="S14161" s="1" t="s">
        <v>34218</v>
      </c>
    </row>
    <row r="14162" spans="1:19" x14ac:dyDescent="0.25">
      <c r="A14162">
        <v>101110739</v>
      </c>
      <c r="B14162" t="s">
        <v>24674</v>
      </c>
      <c r="C14162" t="s">
        <v>45</v>
      </c>
      <c r="G14162" t="s">
        <v>30637</v>
      </c>
      <c r="H14162" t="s">
        <v>9240</v>
      </c>
      <c r="I14162" t="s">
        <v>250</v>
      </c>
      <c r="J14162">
        <v>7645</v>
      </c>
      <c r="K14162">
        <v>1136</v>
      </c>
      <c r="L14162" t="s">
        <v>23</v>
      </c>
      <c r="M14162" t="s">
        <v>30637</v>
      </c>
      <c r="N14162" t="s">
        <v>9240</v>
      </c>
      <c r="O14162" t="s">
        <v>250</v>
      </c>
      <c r="P14162">
        <v>7645</v>
      </c>
      <c r="Q14162">
        <v>1136</v>
      </c>
      <c r="R14162" t="s">
        <v>23</v>
      </c>
      <c r="S14162" s="1" t="s">
        <v>34218</v>
      </c>
    </row>
    <row r="14163" spans="1:19" x14ac:dyDescent="0.25">
      <c r="A14163">
        <v>101306691</v>
      </c>
      <c r="B14163" t="s">
        <v>30638</v>
      </c>
      <c r="C14163" t="s">
        <v>1124</v>
      </c>
      <c r="G14163" t="s">
        <v>30639</v>
      </c>
      <c r="H14163" t="s">
        <v>605</v>
      </c>
      <c r="I14163" t="s">
        <v>22</v>
      </c>
      <c r="J14163">
        <v>91316</v>
      </c>
      <c r="K14163">
        <v>1214</v>
      </c>
      <c r="L14163" t="s">
        <v>23</v>
      </c>
      <c r="M14163" t="s">
        <v>30639</v>
      </c>
      <c r="N14163" t="s">
        <v>605</v>
      </c>
      <c r="O14163" t="s">
        <v>22</v>
      </c>
      <c r="P14163">
        <v>91316</v>
      </c>
      <c r="Q14163">
        <v>1214</v>
      </c>
      <c r="R14163" t="s">
        <v>23</v>
      </c>
      <c r="S14163" s="1" t="s">
        <v>34218</v>
      </c>
    </row>
    <row r="14164" spans="1:19" x14ac:dyDescent="0.25">
      <c r="A14164">
        <v>101480909</v>
      </c>
      <c r="B14164" t="s">
        <v>8467</v>
      </c>
      <c r="C14164" t="s">
        <v>30640</v>
      </c>
      <c r="G14164" t="s">
        <v>22665</v>
      </c>
      <c r="H14164" t="s">
        <v>3680</v>
      </c>
      <c r="I14164" t="s">
        <v>565</v>
      </c>
      <c r="J14164">
        <v>52556</v>
      </c>
      <c r="K14164">
        <v>2306</v>
      </c>
      <c r="L14164" t="s">
        <v>23</v>
      </c>
      <c r="M14164" t="s">
        <v>22665</v>
      </c>
      <c r="N14164" t="s">
        <v>3680</v>
      </c>
      <c r="O14164" t="s">
        <v>565</v>
      </c>
      <c r="P14164">
        <v>52556</v>
      </c>
      <c r="Q14164">
        <v>2306</v>
      </c>
      <c r="R14164" t="s">
        <v>23</v>
      </c>
      <c r="S14164" s="1" t="s">
        <v>34218</v>
      </c>
    </row>
    <row r="14165" spans="1:19" x14ac:dyDescent="0.25">
      <c r="A14165">
        <v>101281895</v>
      </c>
      <c r="B14165" t="s">
        <v>3167</v>
      </c>
      <c r="C14165" t="s">
        <v>4046</v>
      </c>
      <c r="G14165" t="s">
        <v>30641</v>
      </c>
      <c r="H14165" t="s">
        <v>30642</v>
      </c>
      <c r="I14165" t="s">
        <v>22</v>
      </c>
      <c r="J14165">
        <v>92173</v>
      </c>
      <c r="K14165">
        <v>3150</v>
      </c>
      <c r="L14165" t="s">
        <v>23</v>
      </c>
      <c r="M14165" t="s">
        <v>30641</v>
      </c>
      <c r="N14165" t="s">
        <v>30642</v>
      </c>
      <c r="O14165" t="s">
        <v>22</v>
      </c>
      <c r="P14165">
        <v>92173</v>
      </c>
      <c r="Q14165">
        <v>3150</v>
      </c>
      <c r="R14165" t="s">
        <v>23</v>
      </c>
      <c r="S14165" s="1" t="s">
        <v>34218</v>
      </c>
    </row>
    <row r="14166" spans="1:19" x14ac:dyDescent="0.25">
      <c r="A14166">
        <v>101444315</v>
      </c>
      <c r="B14166" t="s">
        <v>30643</v>
      </c>
      <c r="C14166" t="s">
        <v>30644</v>
      </c>
      <c r="G14166" t="s">
        <v>30645</v>
      </c>
      <c r="H14166" t="s">
        <v>573</v>
      </c>
      <c r="I14166" t="s">
        <v>33</v>
      </c>
      <c r="J14166">
        <v>19114</v>
      </c>
      <c r="K14166">
        <v>3132</v>
      </c>
      <c r="L14166" t="s">
        <v>23</v>
      </c>
      <c r="M14166" t="s">
        <v>30645</v>
      </c>
      <c r="N14166" t="s">
        <v>573</v>
      </c>
      <c r="O14166" t="s">
        <v>33</v>
      </c>
      <c r="P14166">
        <v>19114</v>
      </c>
      <c r="Q14166">
        <v>3132</v>
      </c>
      <c r="R14166" t="s">
        <v>23</v>
      </c>
      <c r="S14166" s="1" t="s">
        <v>34218</v>
      </c>
    </row>
    <row r="14167" spans="1:19" x14ac:dyDescent="0.25">
      <c r="A14167">
        <v>100796228</v>
      </c>
      <c r="B14167" t="s">
        <v>30646</v>
      </c>
      <c r="C14167" t="s">
        <v>1120</v>
      </c>
      <c r="G14167" t="s">
        <v>30647</v>
      </c>
      <c r="H14167" t="s">
        <v>5644</v>
      </c>
      <c r="I14167" t="s">
        <v>370</v>
      </c>
      <c r="J14167">
        <v>68152</v>
      </c>
      <c r="K14167">
        <v>1517</v>
      </c>
      <c r="L14167" t="s">
        <v>23</v>
      </c>
      <c r="M14167" t="s">
        <v>30647</v>
      </c>
      <c r="N14167" t="s">
        <v>5644</v>
      </c>
      <c r="O14167" t="s">
        <v>370</v>
      </c>
      <c r="P14167">
        <v>68152</v>
      </c>
      <c r="Q14167">
        <v>1517</v>
      </c>
      <c r="R14167" t="s">
        <v>23</v>
      </c>
      <c r="S14167" s="1" t="s">
        <v>34218</v>
      </c>
    </row>
    <row r="14168" spans="1:19" x14ac:dyDescent="0.25">
      <c r="A14168">
        <v>101298512</v>
      </c>
      <c r="B14168" t="s">
        <v>30648</v>
      </c>
      <c r="C14168" t="s">
        <v>180</v>
      </c>
      <c r="G14168" t="s">
        <v>30649</v>
      </c>
      <c r="H14168" t="s">
        <v>30650</v>
      </c>
      <c r="I14168" t="s">
        <v>22</v>
      </c>
      <c r="J14168">
        <v>95373</v>
      </c>
      <c r="K14168">
        <v>103</v>
      </c>
      <c r="L14168" t="s">
        <v>23</v>
      </c>
      <c r="M14168" t="s">
        <v>30649</v>
      </c>
      <c r="N14168" t="s">
        <v>30650</v>
      </c>
      <c r="O14168" t="s">
        <v>22</v>
      </c>
      <c r="P14168">
        <v>95373</v>
      </c>
      <c r="Q14168">
        <v>103</v>
      </c>
      <c r="R14168" t="s">
        <v>23</v>
      </c>
      <c r="S14168" s="1" t="s">
        <v>34218</v>
      </c>
    </row>
    <row r="14169" spans="1:19" x14ac:dyDescent="0.25">
      <c r="A14169">
        <v>101478690</v>
      </c>
      <c r="B14169" t="s">
        <v>30651</v>
      </c>
      <c r="C14169" t="s">
        <v>1773</v>
      </c>
      <c r="G14169" t="s">
        <v>30652</v>
      </c>
      <c r="H14169" t="s">
        <v>1452</v>
      </c>
      <c r="I14169" t="s">
        <v>43</v>
      </c>
      <c r="J14169">
        <v>97405</v>
      </c>
      <c r="L14169" t="s">
        <v>23</v>
      </c>
      <c r="M14169" t="s">
        <v>30652</v>
      </c>
      <c r="N14169" t="s">
        <v>1452</v>
      </c>
      <c r="O14169" t="s">
        <v>43</v>
      </c>
      <c r="P14169">
        <v>97405</v>
      </c>
      <c r="R14169" t="s">
        <v>23</v>
      </c>
      <c r="S14169" s="1" t="s">
        <v>34218</v>
      </c>
    </row>
    <row r="14170" spans="1:19" x14ac:dyDescent="0.25">
      <c r="A14170">
        <v>101278555</v>
      </c>
      <c r="B14170" t="s">
        <v>30653</v>
      </c>
      <c r="C14170" t="s">
        <v>30654</v>
      </c>
      <c r="G14170" t="s">
        <v>30655</v>
      </c>
      <c r="H14170" t="s">
        <v>11512</v>
      </c>
      <c r="I14170" t="s">
        <v>255</v>
      </c>
      <c r="J14170">
        <v>23325</v>
      </c>
      <c r="K14170">
        <v>2806</v>
      </c>
      <c r="L14170" t="s">
        <v>23</v>
      </c>
      <c r="M14170" t="s">
        <v>30655</v>
      </c>
      <c r="N14170" t="s">
        <v>11512</v>
      </c>
      <c r="O14170" t="s">
        <v>255</v>
      </c>
      <c r="P14170">
        <v>23325</v>
      </c>
      <c r="Q14170">
        <v>2806</v>
      </c>
      <c r="R14170" t="s">
        <v>23</v>
      </c>
      <c r="S14170" s="1" t="s">
        <v>34218</v>
      </c>
    </row>
    <row r="14171" spans="1:19" x14ac:dyDescent="0.25">
      <c r="A14171">
        <v>100877545</v>
      </c>
      <c r="B14171" t="s">
        <v>858</v>
      </c>
      <c r="C14171" t="s">
        <v>12792</v>
      </c>
      <c r="G14171" t="s">
        <v>30656</v>
      </c>
      <c r="H14171" t="s">
        <v>21</v>
      </c>
      <c r="I14171" t="s">
        <v>22</v>
      </c>
      <c r="J14171">
        <v>95403</v>
      </c>
      <c r="K14171">
        <v>6958</v>
      </c>
      <c r="L14171" t="s">
        <v>23</v>
      </c>
      <c r="M14171" t="s">
        <v>30656</v>
      </c>
      <c r="N14171" t="s">
        <v>21</v>
      </c>
      <c r="O14171" t="s">
        <v>22</v>
      </c>
      <c r="P14171">
        <v>95403</v>
      </c>
      <c r="Q14171">
        <v>6958</v>
      </c>
      <c r="R14171" t="s">
        <v>23</v>
      </c>
      <c r="S14171" s="1" t="s">
        <v>34218</v>
      </c>
    </row>
    <row r="14172" spans="1:19" x14ac:dyDescent="0.25">
      <c r="A14172">
        <v>101374048</v>
      </c>
      <c r="B14172" t="s">
        <v>30657</v>
      </c>
      <c r="C14172" t="s">
        <v>2193</v>
      </c>
      <c r="G14172" t="s">
        <v>30658</v>
      </c>
      <c r="H14172" t="s">
        <v>30659</v>
      </c>
      <c r="I14172" t="s">
        <v>27974</v>
      </c>
      <c r="J14172">
        <v>530</v>
      </c>
      <c r="L14172" t="s">
        <v>23</v>
      </c>
      <c r="M14172" t="s">
        <v>30658</v>
      </c>
      <c r="N14172" t="s">
        <v>30659</v>
      </c>
      <c r="O14172" t="s">
        <v>27974</v>
      </c>
      <c r="P14172">
        <v>530</v>
      </c>
      <c r="R14172" t="s">
        <v>23</v>
      </c>
      <c r="S14172" s="1" t="s">
        <v>34218</v>
      </c>
    </row>
    <row r="14173" spans="1:19" x14ac:dyDescent="0.25">
      <c r="A14173">
        <v>101480935</v>
      </c>
      <c r="B14173" t="s">
        <v>4747</v>
      </c>
      <c r="C14173" t="s">
        <v>4318</v>
      </c>
      <c r="G14173" t="s">
        <v>30660</v>
      </c>
      <c r="H14173" t="s">
        <v>1765</v>
      </c>
      <c r="I14173" t="s">
        <v>84</v>
      </c>
      <c r="J14173">
        <v>98502</v>
      </c>
      <c r="K14173">
        <v>9584</v>
      </c>
      <c r="L14173" t="s">
        <v>23</v>
      </c>
      <c r="M14173" t="s">
        <v>30660</v>
      </c>
      <c r="N14173" t="s">
        <v>1765</v>
      </c>
      <c r="O14173" t="s">
        <v>84</v>
      </c>
      <c r="P14173">
        <v>98502</v>
      </c>
      <c r="Q14173">
        <v>9584</v>
      </c>
      <c r="R14173" t="s">
        <v>23</v>
      </c>
      <c r="S14173" s="1" t="s">
        <v>34218</v>
      </c>
    </row>
    <row r="14174" spans="1:19" x14ac:dyDescent="0.25">
      <c r="A14174">
        <v>101480936</v>
      </c>
      <c r="B14174" t="s">
        <v>30661</v>
      </c>
      <c r="C14174" t="s">
        <v>731</v>
      </c>
      <c r="G14174" t="s">
        <v>30662</v>
      </c>
      <c r="H14174" t="s">
        <v>16651</v>
      </c>
      <c r="I14174" t="s">
        <v>191</v>
      </c>
      <c r="J14174">
        <v>4429</v>
      </c>
      <c r="K14174">
        <v>7222</v>
      </c>
      <c r="L14174" t="s">
        <v>23</v>
      </c>
      <c r="M14174" t="s">
        <v>30662</v>
      </c>
      <c r="N14174" t="s">
        <v>16651</v>
      </c>
      <c r="O14174" t="s">
        <v>191</v>
      </c>
      <c r="P14174">
        <v>4429</v>
      </c>
      <c r="Q14174">
        <v>7222</v>
      </c>
      <c r="R14174" t="s">
        <v>23</v>
      </c>
      <c r="S14174" s="1" t="s">
        <v>34218</v>
      </c>
    </row>
    <row r="14175" spans="1:19" x14ac:dyDescent="0.25">
      <c r="A14175">
        <v>101218237</v>
      </c>
      <c r="B14175" t="s">
        <v>30663</v>
      </c>
      <c r="C14175" t="s">
        <v>110</v>
      </c>
      <c r="G14175" t="s">
        <v>30664</v>
      </c>
      <c r="H14175" t="s">
        <v>227</v>
      </c>
      <c r="I14175" t="s">
        <v>43</v>
      </c>
      <c r="J14175">
        <v>97225</v>
      </c>
      <c r="K14175">
        <v>7066</v>
      </c>
      <c r="L14175" t="s">
        <v>23</v>
      </c>
      <c r="M14175" t="s">
        <v>30664</v>
      </c>
      <c r="N14175" t="s">
        <v>227</v>
      </c>
      <c r="O14175" t="s">
        <v>43</v>
      </c>
      <c r="P14175">
        <v>97225</v>
      </c>
      <c r="Q14175">
        <v>7066</v>
      </c>
      <c r="R14175" t="s">
        <v>23</v>
      </c>
      <c r="S14175" s="1" t="s">
        <v>34218</v>
      </c>
    </row>
    <row r="14176" spans="1:19" x14ac:dyDescent="0.25">
      <c r="A14176">
        <v>101306024</v>
      </c>
      <c r="B14176" t="s">
        <v>30665</v>
      </c>
      <c r="C14176" t="s">
        <v>18209</v>
      </c>
      <c r="G14176" t="s">
        <v>30666</v>
      </c>
      <c r="H14176" t="s">
        <v>344</v>
      </c>
      <c r="I14176" t="s">
        <v>28</v>
      </c>
      <c r="J14176">
        <v>30075</v>
      </c>
      <c r="K14176">
        <v>6858</v>
      </c>
      <c r="L14176" t="s">
        <v>23</v>
      </c>
      <c r="M14176" t="s">
        <v>30666</v>
      </c>
      <c r="N14176" t="s">
        <v>344</v>
      </c>
      <c r="O14176" t="s">
        <v>28</v>
      </c>
      <c r="P14176">
        <v>30075</v>
      </c>
      <c r="Q14176">
        <v>6858</v>
      </c>
      <c r="R14176" t="s">
        <v>23</v>
      </c>
      <c r="S14176" s="1" t="s">
        <v>34218</v>
      </c>
    </row>
    <row r="14177" spans="1:19" x14ac:dyDescent="0.25">
      <c r="A14177">
        <v>101469967</v>
      </c>
      <c r="B14177" t="s">
        <v>9858</v>
      </c>
      <c r="C14177" t="s">
        <v>11308</v>
      </c>
      <c r="G14177" t="s">
        <v>14613</v>
      </c>
      <c r="H14177" t="s">
        <v>27</v>
      </c>
      <c r="I14177" t="s">
        <v>28</v>
      </c>
      <c r="J14177">
        <v>30345</v>
      </c>
      <c r="K14177">
        <v>2628</v>
      </c>
      <c r="L14177" t="s">
        <v>23</v>
      </c>
      <c r="M14177" t="s">
        <v>14613</v>
      </c>
      <c r="N14177" t="s">
        <v>27</v>
      </c>
      <c r="O14177" t="s">
        <v>28</v>
      </c>
      <c r="P14177">
        <v>30345</v>
      </c>
      <c r="Q14177">
        <v>2628</v>
      </c>
      <c r="R14177" t="s">
        <v>23</v>
      </c>
      <c r="S14177" s="1" t="s">
        <v>34218</v>
      </c>
    </row>
    <row r="14178" spans="1:19" x14ac:dyDescent="0.25">
      <c r="A14178">
        <v>100578397</v>
      </c>
      <c r="B14178" t="s">
        <v>30667</v>
      </c>
      <c r="C14178" t="s">
        <v>90</v>
      </c>
      <c r="F14178" t="str">
        <f>"7074624031"</f>
        <v>7074624031</v>
      </c>
      <c r="G14178" t="s">
        <v>30668</v>
      </c>
      <c r="H14178" t="s">
        <v>7846</v>
      </c>
      <c r="I14178" t="s">
        <v>22</v>
      </c>
      <c r="J14178">
        <v>95482</v>
      </c>
      <c r="L14178" t="s">
        <v>23</v>
      </c>
      <c r="M14178" t="s">
        <v>30668</v>
      </c>
      <c r="N14178" t="s">
        <v>7846</v>
      </c>
      <c r="O14178" t="s">
        <v>22</v>
      </c>
      <c r="P14178">
        <v>95482</v>
      </c>
      <c r="R14178" t="s">
        <v>23</v>
      </c>
      <c r="S14178" s="1" t="s">
        <v>34218</v>
      </c>
    </row>
    <row r="14179" spans="1:19" x14ac:dyDescent="0.25">
      <c r="A14179">
        <v>101445375</v>
      </c>
      <c r="B14179" t="s">
        <v>7030</v>
      </c>
      <c r="C14179" t="s">
        <v>3705</v>
      </c>
      <c r="G14179" t="s">
        <v>30669</v>
      </c>
      <c r="H14179" t="s">
        <v>1985</v>
      </c>
      <c r="I14179" t="s">
        <v>71</v>
      </c>
      <c r="J14179" t="s">
        <v>30670</v>
      </c>
      <c r="K14179">
        <v>6704</v>
      </c>
      <c r="L14179" t="s">
        <v>23</v>
      </c>
      <c r="M14179" t="s">
        <v>30669</v>
      </c>
      <c r="N14179" t="s">
        <v>1985</v>
      </c>
      <c r="O14179" t="s">
        <v>71</v>
      </c>
      <c r="P14179" t="s">
        <v>30670</v>
      </c>
      <c r="Q14179">
        <v>6704</v>
      </c>
      <c r="R14179" t="s">
        <v>23</v>
      </c>
      <c r="S14179" s="1" t="s">
        <v>34218</v>
      </c>
    </row>
    <row r="14180" spans="1:19" x14ac:dyDescent="0.25">
      <c r="A14180">
        <v>101430990</v>
      </c>
      <c r="B14180" t="s">
        <v>30671</v>
      </c>
      <c r="C14180" t="s">
        <v>26588</v>
      </c>
      <c r="G14180" t="s">
        <v>30672</v>
      </c>
      <c r="H14180" t="s">
        <v>1333</v>
      </c>
      <c r="I14180" t="s">
        <v>446</v>
      </c>
      <c r="J14180" t="s">
        <v>30673</v>
      </c>
      <c r="K14180">
        <v>7238</v>
      </c>
      <c r="L14180" t="s">
        <v>23</v>
      </c>
      <c r="M14180" t="s">
        <v>30672</v>
      </c>
      <c r="N14180" t="s">
        <v>1333</v>
      </c>
      <c r="O14180" t="s">
        <v>446</v>
      </c>
      <c r="P14180" t="s">
        <v>30673</v>
      </c>
      <c r="Q14180">
        <v>7238</v>
      </c>
      <c r="R14180" t="s">
        <v>23</v>
      </c>
      <c r="S14180" s="1" t="s">
        <v>34218</v>
      </c>
    </row>
    <row r="14181" spans="1:19" x14ac:dyDescent="0.25">
      <c r="A14181">
        <v>101258689</v>
      </c>
      <c r="B14181" t="s">
        <v>2151</v>
      </c>
      <c r="C14181" t="s">
        <v>5478</v>
      </c>
      <c r="G14181" t="s">
        <v>30674</v>
      </c>
      <c r="H14181" t="s">
        <v>13024</v>
      </c>
      <c r="I14181" t="s">
        <v>22</v>
      </c>
      <c r="J14181" t="s">
        <v>30675</v>
      </c>
      <c r="K14181">
        <v>2420</v>
      </c>
      <c r="L14181" t="s">
        <v>23</v>
      </c>
      <c r="M14181" t="s">
        <v>30674</v>
      </c>
      <c r="N14181" t="s">
        <v>13024</v>
      </c>
      <c r="O14181" t="s">
        <v>22</v>
      </c>
      <c r="P14181" t="s">
        <v>30675</v>
      </c>
      <c r="Q14181">
        <v>2420</v>
      </c>
      <c r="R14181" t="s">
        <v>23</v>
      </c>
      <c r="S14181" s="1" t="s">
        <v>34218</v>
      </c>
    </row>
    <row r="14182" spans="1:19" x14ac:dyDescent="0.25">
      <c r="A14182">
        <v>100544350</v>
      </c>
      <c r="B14182" t="s">
        <v>2293</v>
      </c>
      <c r="C14182" t="s">
        <v>9150</v>
      </c>
      <c r="G14182" t="s">
        <v>30676</v>
      </c>
      <c r="H14182" t="s">
        <v>7994</v>
      </c>
      <c r="I14182" t="s">
        <v>84</v>
      </c>
      <c r="J14182" t="s">
        <v>30677</v>
      </c>
      <c r="K14182">
        <v>3560</v>
      </c>
      <c r="L14182" t="s">
        <v>23</v>
      </c>
      <c r="M14182" t="s">
        <v>30676</v>
      </c>
      <c r="N14182" t="s">
        <v>7994</v>
      </c>
      <c r="O14182" t="s">
        <v>84</v>
      </c>
      <c r="P14182" t="s">
        <v>30677</v>
      </c>
      <c r="Q14182">
        <v>3560</v>
      </c>
      <c r="R14182" t="s">
        <v>23</v>
      </c>
      <c r="S14182" s="1" t="s">
        <v>34218</v>
      </c>
    </row>
    <row r="14183" spans="1:19" x14ac:dyDescent="0.25">
      <c r="A14183">
        <v>100671280</v>
      </c>
      <c r="B14183" t="s">
        <v>30678</v>
      </c>
      <c r="C14183" t="s">
        <v>1239</v>
      </c>
      <c r="G14183" t="s">
        <v>30679</v>
      </c>
      <c r="H14183" t="s">
        <v>10710</v>
      </c>
      <c r="I14183" t="s">
        <v>43</v>
      </c>
      <c r="J14183" t="s">
        <v>30680</v>
      </c>
      <c r="K14183">
        <v>9054</v>
      </c>
      <c r="L14183" t="s">
        <v>23</v>
      </c>
      <c r="M14183" t="s">
        <v>30679</v>
      </c>
      <c r="N14183" t="s">
        <v>10710</v>
      </c>
      <c r="O14183" t="s">
        <v>43</v>
      </c>
      <c r="P14183" t="s">
        <v>30680</v>
      </c>
      <c r="Q14183">
        <v>9054</v>
      </c>
      <c r="R14183" t="s">
        <v>23</v>
      </c>
      <c r="S14183" s="1" t="s">
        <v>34218</v>
      </c>
    </row>
    <row r="14184" spans="1:19" x14ac:dyDescent="0.25">
      <c r="A14184">
        <v>101057441</v>
      </c>
      <c r="B14184" t="s">
        <v>12719</v>
      </c>
      <c r="C14184" t="s">
        <v>1492</v>
      </c>
      <c r="G14184" t="s">
        <v>30681</v>
      </c>
      <c r="H14184" t="s">
        <v>198</v>
      </c>
      <c r="I14184" t="s">
        <v>22</v>
      </c>
      <c r="J14184" t="s">
        <v>30682</v>
      </c>
      <c r="K14184">
        <v>5564</v>
      </c>
      <c r="L14184" t="s">
        <v>23</v>
      </c>
      <c r="M14184" t="s">
        <v>30681</v>
      </c>
      <c r="N14184" t="s">
        <v>198</v>
      </c>
      <c r="O14184" t="s">
        <v>22</v>
      </c>
      <c r="P14184" t="s">
        <v>30682</v>
      </c>
      <c r="Q14184">
        <v>5564</v>
      </c>
      <c r="R14184" t="s">
        <v>23</v>
      </c>
      <c r="S14184" s="1" t="s">
        <v>34218</v>
      </c>
    </row>
    <row r="14185" spans="1:19" x14ac:dyDescent="0.25">
      <c r="A14185">
        <v>101431481</v>
      </c>
      <c r="B14185" t="s">
        <v>3494</v>
      </c>
      <c r="C14185" t="s">
        <v>30683</v>
      </c>
      <c r="G14185" t="s">
        <v>30684</v>
      </c>
      <c r="H14185" t="s">
        <v>4929</v>
      </c>
      <c r="I14185" t="s">
        <v>178</v>
      </c>
      <c r="J14185" t="s">
        <v>30685</v>
      </c>
      <c r="K14185">
        <v>5229</v>
      </c>
      <c r="L14185" t="s">
        <v>23</v>
      </c>
      <c r="M14185" t="s">
        <v>30684</v>
      </c>
      <c r="N14185" t="s">
        <v>4929</v>
      </c>
      <c r="O14185" t="s">
        <v>178</v>
      </c>
      <c r="P14185" t="s">
        <v>30685</v>
      </c>
      <c r="Q14185">
        <v>5229</v>
      </c>
      <c r="R14185" t="s">
        <v>23</v>
      </c>
      <c r="S14185" s="1" t="s">
        <v>34218</v>
      </c>
    </row>
    <row r="14186" spans="1:19" x14ac:dyDescent="0.25">
      <c r="A14186">
        <v>100945073</v>
      </c>
      <c r="B14186" t="s">
        <v>30686</v>
      </c>
      <c r="C14186" t="s">
        <v>820</v>
      </c>
      <c r="G14186" t="s">
        <v>30687</v>
      </c>
      <c r="H14186" t="s">
        <v>11984</v>
      </c>
      <c r="I14186" t="s">
        <v>43</v>
      </c>
      <c r="J14186" t="s">
        <v>30688</v>
      </c>
      <c r="K14186">
        <v>6653</v>
      </c>
      <c r="L14186" t="s">
        <v>23</v>
      </c>
      <c r="M14186" t="s">
        <v>30687</v>
      </c>
      <c r="N14186" t="s">
        <v>11984</v>
      </c>
      <c r="O14186" t="s">
        <v>43</v>
      </c>
      <c r="P14186" t="s">
        <v>30688</v>
      </c>
      <c r="Q14186">
        <v>6653</v>
      </c>
      <c r="R14186" t="s">
        <v>23</v>
      </c>
      <c r="S14186" s="1" t="s">
        <v>34218</v>
      </c>
    </row>
    <row r="14187" spans="1:19" x14ac:dyDescent="0.25">
      <c r="A14187">
        <v>100861419</v>
      </c>
      <c r="B14187" t="s">
        <v>11232</v>
      </c>
      <c r="C14187" t="s">
        <v>1107</v>
      </c>
      <c r="G14187" t="s">
        <v>30689</v>
      </c>
      <c r="H14187" t="s">
        <v>198</v>
      </c>
      <c r="I14187" t="s">
        <v>22</v>
      </c>
      <c r="J14187" t="s">
        <v>30690</v>
      </c>
      <c r="K14187">
        <v>2620</v>
      </c>
      <c r="L14187" t="s">
        <v>23</v>
      </c>
      <c r="M14187" t="s">
        <v>30689</v>
      </c>
      <c r="N14187" t="s">
        <v>198</v>
      </c>
      <c r="O14187" t="s">
        <v>22</v>
      </c>
      <c r="P14187" t="s">
        <v>30690</v>
      </c>
      <c r="Q14187">
        <v>2620</v>
      </c>
      <c r="R14187" t="s">
        <v>23</v>
      </c>
      <c r="S14187" s="1" t="s">
        <v>34218</v>
      </c>
    </row>
    <row r="14188" spans="1:19" x14ac:dyDescent="0.25">
      <c r="A14188">
        <v>101431011</v>
      </c>
      <c r="B14188" t="s">
        <v>17463</v>
      </c>
      <c r="C14188" t="s">
        <v>22907</v>
      </c>
      <c r="G14188" t="s">
        <v>30691</v>
      </c>
      <c r="H14188" t="s">
        <v>1026</v>
      </c>
      <c r="I14188" t="s">
        <v>135</v>
      </c>
      <c r="J14188" t="s">
        <v>30692</v>
      </c>
      <c r="K14188">
        <v>9046</v>
      </c>
      <c r="L14188" t="s">
        <v>23</v>
      </c>
      <c r="M14188" t="s">
        <v>30691</v>
      </c>
      <c r="N14188" t="s">
        <v>1026</v>
      </c>
      <c r="O14188" t="s">
        <v>135</v>
      </c>
      <c r="P14188" t="s">
        <v>30692</v>
      </c>
      <c r="Q14188">
        <v>9046</v>
      </c>
      <c r="R14188" t="s">
        <v>23</v>
      </c>
      <c r="S14188" s="1" t="s">
        <v>34218</v>
      </c>
    </row>
    <row r="14189" spans="1:19" x14ac:dyDescent="0.25">
      <c r="A14189">
        <v>101229901</v>
      </c>
      <c r="B14189" t="s">
        <v>30693</v>
      </c>
      <c r="C14189" t="s">
        <v>6315</v>
      </c>
      <c r="G14189" t="s">
        <v>30694</v>
      </c>
      <c r="H14189" t="s">
        <v>638</v>
      </c>
      <c r="I14189" t="s">
        <v>639</v>
      </c>
      <c r="J14189" t="s">
        <v>30695</v>
      </c>
      <c r="K14189">
        <v>5333</v>
      </c>
      <c r="L14189" t="s">
        <v>23</v>
      </c>
      <c r="M14189" t="s">
        <v>30694</v>
      </c>
      <c r="N14189" t="s">
        <v>638</v>
      </c>
      <c r="O14189" t="s">
        <v>639</v>
      </c>
      <c r="P14189" t="s">
        <v>30695</v>
      </c>
      <c r="Q14189">
        <v>5333</v>
      </c>
      <c r="R14189" t="s">
        <v>23</v>
      </c>
      <c r="S14189" s="1" t="s">
        <v>34218</v>
      </c>
    </row>
    <row r="14190" spans="1:19" x14ac:dyDescent="0.25">
      <c r="A14190">
        <v>101251320</v>
      </c>
      <c r="B14190" t="s">
        <v>30696</v>
      </c>
      <c r="C14190" t="s">
        <v>575</v>
      </c>
      <c r="G14190" t="s">
        <v>30697</v>
      </c>
      <c r="H14190" t="s">
        <v>7540</v>
      </c>
      <c r="I14190" t="s">
        <v>702</v>
      </c>
      <c r="J14190" t="s">
        <v>30698</v>
      </c>
      <c r="K14190">
        <v>9513</v>
      </c>
      <c r="L14190" t="s">
        <v>23</v>
      </c>
      <c r="M14190" t="s">
        <v>30697</v>
      </c>
      <c r="N14190" t="s">
        <v>7540</v>
      </c>
      <c r="O14190" t="s">
        <v>702</v>
      </c>
      <c r="P14190" t="s">
        <v>30698</v>
      </c>
      <c r="Q14190">
        <v>9513</v>
      </c>
      <c r="R14190" t="s">
        <v>23</v>
      </c>
      <c r="S14190" s="1" t="s">
        <v>34218</v>
      </c>
    </row>
    <row r="14191" spans="1:19" x14ac:dyDescent="0.25">
      <c r="A14191">
        <v>101308138</v>
      </c>
      <c r="B14191" t="s">
        <v>30699</v>
      </c>
      <c r="C14191" t="s">
        <v>30</v>
      </c>
      <c r="G14191" t="s">
        <v>30700</v>
      </c>
      <c r="H14191" t="s">
        <v>2514</v>
      </c>
      <c r="I14191" t="s">
        <v>236</v>
      </c>
      <c r="J14191" t="s">
        <v>30701</v>
      </c>
      <c r="K14191">
        <v>3235</v>
      </c>
      <c r="L14191" t="s">
        <v>23</v>
      </c>
      <c r="M14191" t="s">
        <v>30700</v>
      </c>
      <c r="N14191" t="s">
        <v>2514</v>
      </c>
      <c r="O14191" t="s">
        <v>236</v>
      </c>
      <c r="P14191" t="s">
        <v>30701</v>
      </c>
      <c r="Q14191">
        <v>3235</v>
      </c>
      <c r="R14191" t="s">
        <v>23</v>
      </c>
      <c r="S14191" s="1" t="s">
        <v>34218</v>
      </c>
    </row>
    <row r="14192" spans="1:19" x14ac:dyDescent="0.25">
      <c r="A14192">
        <v>100784885</v>
      </c>
      <c r="B14192" t="s">
        <v>30702</v>
      </c>
      <c r="C14192" t="s">
        <v>1374</v>
      </c>
      <c r="G14192" t="s">
        <v>30703</v>
      </c>
      <c r="H14192" t="s">
        <v>30704</v>
      </c>
      <c r="I14192" t="s">
        <v>22</v>
      </c>
      <c r="J14192" t="s">
        <v>30705</v>
      </c>
      <c r="K14192">
        <v>383</v>
      </c>
      <c r="L14192" t="s">
        <v>23</v>
      </c>
      <c r="M14192" t="s">
        <v>30703</v>
      </c>
      <c r="N14192" t="s">
        <v>30704</v>
      </c>
      <c r="O14192" t="s">
        <v>22</v>
      </c>
      <c r="P14192" t="s">
        <v>30705</v>
      </c>
      <c r="Q14192">
        <v>383</v>
      </c>
      <c r="R14192" t="s">
        <v>23</v>
      </c>
      <c r="S14192" s="1" t="s">
        <v>34218</v>
      </c>
    </row>
    <row r="14193" spans="1:19" x14ac:dyDescent="0.25">
      <c r="A14193">
        <v>101439076</v>
      </c>
      <c r="B14193" t="s">
        <v>786</v>
      </c>
      <c r="C14193" t="s">
        <v>1153</v>
      </c>
      <c r="G14193" t="s">
        <v>30706</v>
      </c>
      <c r="H14193" t="s">
        <v>694</v>
      </c>
      <c r="I14193" t="s">
        <v>135</v>
      </c>
      <c r="J14193">
        <v>60565</v>
      </c>
      <c r="K14193">
        <v>2607</v>
      </c>
      <c r="L14193" t="s">
        <v>23</v>
      </c>
      <c r="M14193" t="s">
        <v>30706</v>
      </c>
      <c r="N14193" t="s">
        <v>694</v>
      </c>
      <c r="O14193" t="s">
        <v>135</v>
      </c>
      <c r="P14193">
        <v>60565</v>
      </c>
      <c r="Q14193">
        <v>2607</v>
      </c>
      <c r="R14193" t="s">
        <v>23</v>
      </c>
      <c r="S14193" s="1" t="s">
        <v>34218</v>
      </c>
    </row>
    <row r="14194" spans="1:19" x14ac:dyDescent="0.25">
      <c r="A14194">
        <v>101428182</v>
      </c>
      <c r="B14194" t="s">
        <v>30707</v>
      </c>
      <c r="C14194" t="s">
        <v>8186</v>
      </c>
      <c r="G14194" t="s">
        <v>30708</v>
      </c>
      <c r="H14194" t="s">
        <v>412</v>
      </c>
      <c r="I14194" t="s">
        <v>117</v>
      </c>
      <c r="J14194">
        <v>11226</v>
      </c>
      <c r="K14194">
        <v>4900</v>
      </c>
      <c r="L14194" t="s">
        <v>23</v>
      </c>
      <c r="M14194" t="s">
        <v>30708</v>
      </c>
      <c r="N14194" t="s">
        <v>412</v>
      </c>
      <c r="O14194" t="s">
        <v>117</v>
      </c>
      <c r="P14194">
        <v>11226</v>
      </c>
      <c r="Q14194">
        <v>4900</v>
      </c>
      <c r="R14194" t="s">
        <v>23</v>
      </c>
      <c r="S14194" s="1" t="s">
        <v>34218</v>
      </c>
    </row>
    <row r="14195" spans="1:19" x14ac:dyDescent="0.25">
      <c r="A14195">
        <v>101434572</v>
      </c>
      <c r="B14195" t="s">
        <v>30709</v>
      </c>
      <c r="C14195" t="s">
        <v>432</v>
      </c>
      <c r="G14195" t="s">
        <v>30710</v>
      </c>
      <c r="H14195" t="s">
        <v>9439</v>
      </c>
      <c r="I14195" t="s">
        <v>140</v>
      </c>
      <c r="J14195">
        <v>49316</v>
      </c>
      <c r="K14195">
        <v>8977</v>
      </c>
      <c r="L14195" t="s">
        <v>23</v>
      </c>
      <c r="M14195" t="s">
        <v>30710</v>
      </c>
      <c r="N14195" t="s">
        <v>9439</v>
      </c>
      <c r="O14195" t="s">
        <v>140</v>
      </c>
      <c r="P14195">
        <v>49316</v>
      </c>
      <c r="Q14195">
        <v>8977</v>
      </c>
      <c r="R14195" t="s">
        <v>23</v>
      </c>
      <c r="S14195" s="1" t="s">
        <v>34218</v>
      </c>
    </row>
    <row r="14196" spans="1:19" x14ac:dyDescent="0.25">
      <c r="A14196">
        <v>101471144</v>
      </c>
      <c r="B14196" t="s">
        <v>3629</v>
      </c>
      <c r="C14196" t="s">
        <v>11643</v>
      </c>
      <c r="G14196" t="s">
        <v>30711</v>
      </c>
      <c r="H14196" t="s">
        <v>12997</v>
      </c>
      <c r="I14196" t="s">
        <v>140</v>
      </c>
      <c r="J14196">
        <v>48036</v>
      </c>
      <c r="K14196">
        <v>1566</v>
      </c>
      <c r="L14196" t="s">
        <v>23</v>
      </c>
      <c r="M14196" t="s">
        <v>30711</v>
      </c>
      <c r="N14196" t="s">
        <v>12997</v>
      </c>
      <c r="O14196" t="s">
        <v>140</v>
      </c>
      <c r="P14196">
        <v>48036</v>
      </c>
      <c r="Q14196">
        <v>1566</v>
      </c>
      <c r="R14196" t="s">
        <v>23</v>
      </c>
      <c r="S14196" s="1" t="s">
        <v>34218</v>
      </c>
    </row>
    <row r="14197" spans="1:19" x14ac:dyDescent="0.25">
      <c r="A14197">
        <v>101407533</v>
      </c>
      <c r="B14197" t="s">
        <v>27153</v>
      </c>
      <c r="C14197" t="s">
        <v>575</v>
      </c>
      <c r="G14197" t="s">
        <v>30712</v>
      </c>
      <c r="H14197" t="s">
        <v>14286</v>
      </c>
      <c r="I14197" t="s">
        <v>135</v>
      </c>
      <c r="J14197" t="s">
        <v>30713</v>
      </c>
      <c r="K14197">
        <v>4443</v>
      </c>
      <c r="L14197" t="s">
        <v>23</v>
      </c>
      <c r="M14197" t="s">
        <v>30712</v>
      </c>
      <c r="N14197" t="s">
        <v>14286</v>
      </c>
      <c r="O14197" t="s">
        <v>135</v>
      </c>
      <c r="P14197" t="s">
        <v>30713</v>
      </c>
      <c r="Q14197">
        <v>4443</v>
      </c>
      <c r="R14197" t="s">
        <v>23</v>
      </c>
      <c r="S14197" s="1" t="s">
        <v>34218</v>
      </c>
    </row>
    <row r="14198" spans="1:19" x14ac:dyDescent="0.25">
      <c r="A14198">
        <v>101420597</v>
      </c>
      <c r="B14198" t="s">
        <v>30714</v>
      </c>
      <c r="C14198" t="s">
        <v>2497</v>
      </c>
      <c r="G14198" t="s">
        <v>30715</v>
      </c>
      <c r="H14198" t="s">
        <v>1196</v>
      </c>
      <c r="I14198" t="s">
        <v>52</v>
      </c>
      <c r="J14198" t="s">
        <v>30716</v>
      </c>
      <c r="K14198">
        <v>7652</v>
      </c>
      <c r="L14198" t="s">
        <v>23</v>
      </c>
      <c r="M14198" t="s">
        <v>30715</v>
      </c>
      <c r="N14198" t="s">
        <v>1196</v>
      </c>
      <c r="O14198" t="s">
        <v>52</v>
      </c>
      <c r="P14198" t="s">
        <v>30716</v>
      </c>
      <c r="Q14198">
        <v>7652</v>
      </c>
      <c r="R14198" t="s">
        <v>23</v>
      </c>
      <c r="S14198" s="1" t="s">
        <v>34218</v>
      </c>
    </row>
    <row r="14199" spans="1:19" x14ac:dyDescent="0.25">
      <c r="A14199">
        <v>101480879</v>
      </c>
      <c r="B14199" t="s">
        <v>30717</v>
      </c>
      <c r="C14199" t="s">
        <v>8676</v>
      </c>
      <c r="G14199" t="s">
        <v>30718</v>
      </c>
      <c r="H14199" t="s">
        <v>653</v>
      </c>
      <c r="I14199" t="s">
        <v>117</v>
      </c>
      <c r="J14199">
        <v>10012</v>
      </c>
      <c r="K14199">
        <v>1024</v>
      </c>
      <c r="L14199" t="s">
        <v>23</v>
      </c>
      <c r="M14199" t="s">
        <v>30718</v>
      </c>
      <c r="N14199" t="s">
        <v>653</v>
      </c>
      <c r="O14199" t="s">
        <v>117</v>
      </c>
      <c r="P14199">
        <v>10012</v>
      </c>
      <c r="Q14199">
        <v>1024</v>
      </c>
      <c r="R14199" t="s">
        <v>23</v>
      </c>
      <c r="S14199" s="1" t="s">
        <v>34218</v>
      </c>
    </row>
    <row r="14200" spans="1:19" x14ac:dyDescent="0.25">
      <c r="A14200">
        <v>101314117</v>
      </c>
      <c r="B14200" t="s">
        <v>30719</v>
      </c>
      <c r="C14200" t="s">
        <v>30720</v>
      </c>
      <c r="G14200" t="s">
        <v>30721</v>
      </c>
      <c r="H14200" t="s">
        <v>30722</v>
      </c>
      <c r="I14200" t="s">
        <v>43</v>
      </c>
      <c r="J14200">
        <v>51600</v>
      </c>
      <c r="L14200" t="s">
        <v>23</v>
      </c>
      <c r="M14200" t="s">
        <v>30721</v>
      </c>
      <c r="N14200" t="s">
        <v>30722</v>
      </c>
      <c r="O14200" t="s">
        <v>43</v>
      </c>
      <c r="P14200">
        <v>51600</v>
      </c>
      <c r="R14200" t="s">
        <v>23</v>
      </c>
      <c r="S14200" s="1" t="s">
        <v>34218</v>
      </c>
    </row>
    <row r="14201" spans="1:19" x14ac:dyDescent="0.25">
      <c r="A14201">
        <v>101480882</v>
      </c>
      <c r="B14201" t="s">
        <v>30723</v>
      </c>
      <c r="C14201" t="s">
        <v>617</v>
      </c>
      <c r="G14201" t="s">
        <v>30724</v>
      </c>
      <c r="H14201" t="s">
        <v>30725</v>
      </c>
      <c r="I14201" t="s">
        <v>140</v>
      </c>
      <c r="J14201">
        <v>49660</v>
      </c>
      <c r="K14201">
        <v>9542</v>
      </c>
      <c r="L14201" t="s">
        <v>23</v>
      </c>
      <c r="M14201" t="s">
        <v>30724</v>
      </c>
      <c r="N14201" t="s">
        <v>30725</v>
      </c>
      <c r="O14201" t="s">
        <v>140</v>
      </c>
      <c r="P14201">
        <v>49660</v>
      </c>
      <c r="Q14201">
        <v>9542</v>
      </c>
      <c r="R14201" t="s">
        <v>23</v>
      </c>
      <c r="S14201" s="1" t="s">
        <v>34218</v>
      </c>
    </row>
    <row r="14202" spans="1:19" x14ac:dyDescent="0.25">
      <c r="A14202">
        <v>100926614</v>
      </c>
      <c r="B14202" t="s">
        <v>30726</v>
      </c>
      <c r="C14202" t="s">
        <v>54</v>
      </c>
      <c r="G14202" t="s">
        <v>30727</v>
      </c>
      <c r="H14202" t="s">
        <v>569</v>
      </c>
      <c r="I14202" t="s">
        <v>187</v>
      </c>
      <c r="J14202">
        <v>55419</v>
      </c>
      <c r="K14202">
        <v>2037</v>
      </c>
      <c r="L14202" t="s">
        <v>23</v>
      </c>
      <c r="M14202" t="s">
        <v>30727</v>
      </c>
      <c r="N14202" t="s">
        <v>569</v>
      </c>
      <c r="O14202" t="s">
        <v>187</v>
      </c>
      <c r="P14202">
        <v>55419</v>
      </c>
      <c r="Q14202">
        <v>2037</v>
      </c>
      <c r="R14202" t="s">
        <v>23</v>
      </c>
      <c r="S14202" s="1" t="s">
        <v>34218</v>
      </c>
    </row>
    <row r="14203" spans="1:19" x14ac:dyDescent="0.25">
      <c r="A14203">
        <v>101480885</v>
      </c>
      <c r="B14203" t="s">
        <v>1446</v>
      </c>
      <c r="C14203" t="s">
        <v>30728</v>
      </c>
      <c r="G14203" t="s">
        <v>30729</v>
      </c>
      <c r="H14203" t="s">
        <v>5738</v>
      </c>
      <c r="I14203" t="s">
        <v>135</v>
      </c>
      <c r="J14203">
        <v>60076</v>
      </c>
      <c r="K14203">
        <v>3513</v>
      </c>
      <c r="L14203" t="s">
        <v>23</v>
      </c>
      <c r="M14203" t="s">
        <v>30729</v>
      </c>
      <c r="N14203" t="s">
        <v>5738</v>
      </c>
      <c r="O14203" t="s">
        <v>135</v>
      </c>
      <c r="P14203">
        <v>60076</v>
      </c>
      <c r="Q14203">
        <v>3513</v>
      </c>
      <c r="R14203" t="s">
        <v>23</v>
      </c>
      <c r="S14203" s="1" t="s">
        <v>34218</v>
      </c>
    </row>
    <row r="14204" spans="1:19" x14ac:dyDescent="0.25">
      <c r="A14204">
        <v>101269185</v>
      </c>
      <c r="B14204" t="s">
        <v>30730</v>
      </c>
      <c r="C14204" t="s">
        <v>90</v>
      </c>
      <c r="G14204" t="s">
        <v>30731</v>
      </c>
      <c r="H14204" t="s">
        <v>30732</v>
      </c>
      <c r="I14204" t="s">
        <v>236</v>
      </c>
      <c r="J14204">
        <v>2648</v>
      </c>
      <c r="K14204">
        <v>1944</v>
      </c>
      <c r="L14204" t="s">
        <v>23</v>
      </c>
      <c r="M14204" t="s">
        <v>30731</v>
      </c>
      <c r="N14204" t="s">
        <v>30732</v>
      </c>
      <c r="O14204" t="s">
        <v>236</v>
      </c>
      <c r="P14204">
        <v>2648</v>
      </c>
      <c r="Q14204">
        <v>1944</v>
      </c>
      <c r="R14204" t="s">
        <v>23</v>
      </c>
      <c r="S14204" s="1" t="s">
        <v>34218</v>
      </c>
    </row>
    <row r="14205" spans="1:19" x14ac:dyDescent="0.25">
      <c r="A14205">
        <v>101268512</v>
      </c>
      <c r="B14205" t="s">
        <v>1204</v>
      </c>
      <c r="C14205" t="s">
        <v>9629</v>
      </c>
      <c r="G14205" t="s">
        <v>30733</v>
      </c>
      <c r="H14205" t="s">
        <v>30734</v>
      </c>
      <c r="I14205" t="s">
        <v>28</v>
      </c>
      <c r="J14205">
        <v>30739</v>
      </c>
      <c r="K14205">
        <v>3207</v>
      </c>
      <c r="L14205" t="s">
        <v>23</v>
      </c>
      <c r="M14205" t="s">
        <v>30733</v>
      </c>
      <c r="N14205" t="s">
        <v>30734</v>
      </c>
      <c r="O14205" t="s">
        <v>28</v>
      </c>
      <c r="P14205">
        <v>30739</v>
      </c>
      <c r="Q14205">
        <v>3207</v>
      </c>
      <c r="R14205" t="s">
        <v>23</v>
      </c>
      <c r="S14205" s="1" t="s">
        <v>34218</v>
      </c>
    </row>
    <row r="14206" spans="1:19" x14ac:dyDescent="0.25">
      <c r="A14206">
        <v>101477944</v>
      </c>
      <c r="B14206" t="s">
        <v>30735</v>
      </c>
      <c r="C14206" t="s">
        <v>1632</v>
      </c>
      <c r="G14206" t="s">
        <v>30736</v>
      </c>
      <c r="H14206" t="s">
        <v>11453</v>
      </c>
      <c r="I14206" t="s">
        <v>100</v>
      </c>
      <c r="J14206">
        <v>53029</v>
      </c>
      <c r="K14206">
        <v>9000</v>
      </c>
      <c r="L14206" t="s">
        <v>23</v>
      </c>
      <c r="M14206" t="s">
        <v>30736</v>
      </c>
      <c r="N14206" t="s">
        <v>11453</v>
      </c>
      <c r="O14206" t="s">
        <v>100</v>
      </c>
      <c r="P14206">
        <v>53029</v>
      </c>
      <c r="Q14206">
        <v>9000</v>
      </c>
      <c r="R14206" t="s">
        <v>23</v>
      </c>
      <c r="S14206" s="1" t="s">
        <v>34218</v>
      </c>
    </row>
    <row r="14207" spans="1:19" x14ac:dyDescent="0.25">
      <c r="A14207">
        <v>100853591</v>
      </c>
      <c r="B14207" t="s">
        <v>2531</v>
      </c>
      <c r="C14207" t="s">
        <v>217</v>
      </c>
      <c r="G14207" t="s">
        <v>30737</v>
      </c>
      <c r="H14207" t="s">
        <v>638</v>
      </c>
      <c r="I14207" t="s">
        <v>639</v>
      </c>
      <c r="J14207">
        <v>87112</v>
      </c>
      <c r="L14207" t="s">
        <v>23</v>
      </c>
      <c r="M14207" t="s">
        <v>30737</v>
      </c>
      <c r="N14207" t="s">
        <v>638</v>
      </c>
      <c r="O14207" t="s">
        <v>639</v>
      </c>
      <c r="P14207">
        <v>87112</v>
      </c>
      <c r="R14207" t="s">
        <v>23</v>
      </c>
      <c r="S14207" s="1" t="s">
        <v>34218</v>
      </c>
    </row>
    <row r="14208" spans="1:19" x14ac:dyDescent="0.25">
      <c r="A14208">
        <v>101480952</v>
      </c>
      <c r="B14208" t="s">
        <v>30738</v>
      </c>
      <c r="C14208" t="s">
        <v>2453</v>
      </c>
      <c r="G14208" t="s">
        <v>30739</v>
      </c>
      <c r="H14208" t="s">
        <v>2407</v>
      </c>
      <c r="I14208" t="s">
        <v>52</v>
      </c>
      <c r="J14208">
        <v>33755</v>
      </c>
      <c r="K14208">
        <v>1307</v>
      </c>
      <c r="L14208" t="s">
        <v>23</v>
      </c>
      <c r="M14208" t="s">
        <v>30739</v>
      </c>
      <c r="N14208" t="s">
        <v>2407</v>
      </c>
      <c r="O14208" t="s">
        <v>52</v>
      </c>
      <c r="P14208">
        <v>33755</v>
      </c>
      <c r="Q14208">
        <v>1307</v>
      </c>
      <c r="R14208" t="s">
        <v>23</v>
      </c>
      <c r="S14208" s="1" t="s">
        <v>34218</v>
      </c>
    </row>
    <row r="14209" spans="1:19" x14ac:dyDescent="0.25">
      <c r="A14209">
        <v>101450075</v>
      </c>
      <c r="B14209" t="s">
        <v>19487</v>
      </c>
      <c r="C14209" t="s">
        <v>22852</v>
      </c>
      <c r="G14209" t="s">
        <v>9593</v>
      </c>
      <c r="H14209" t="s">
        <v>9594</v>
      </c>
      <c r="I14209" t="s">
        <v>241</v>
      </c>
      <c r="J14209">
        <v>66002</v>
      </c>
      <c r="K14209">
        <v>2724</v>
      </c>
      <c r="L14209" t="s">
        <v>23</v>
      </c>
      <c r="M14209" t="s">
        <v>9593</v>
      </c>
      <c r="N14209" t="s">
        <v>9594</v>
      </c>
      <c r="O14209" t="s">
        <v>241</v>
      </c>
      <c r="P14209">
        <v>66002</v>
      </c>
      <c r="Q14209">
        <v>2724</v>
      </c>
      <c r="R14209" t="s">
        <v>23</v>
      </c>
      <c r="S14209" s="1" t="s">
        <v>34218</v>
      </c>
    </row>
    <row r="14210" spans="1:19" x14ac:dyDescent="0.25">
      <c r="A14210">
        <v>101480954</v>
      </c>
      <c r="B14210" t="s">
        <v>30740</v>
      </c>
      <c r="C14210" t="s">
        <v>2790</v>
      </c>
      <c r="G14210" t="s">
        <v>30741</v>
      </c>
      <c r="H14210" t="s">
        <v>30742</v>
      </c>
      <c r="I14210" t="s">
        <v>52</v>
      </c>
      <c r="J14210">
        <v>33772</v>
      </c>
      <c r="K14210">
        <v>3942</v>
      </c>
      <c r="L14210" t="s">
        <v>23</v>
      </c>
      <c r="M14210" t="s">
        <v>30741</v>
      </c>
      <c r="N14210" t="s">
        <v>30742</v>
      </c>
      <c r="O14210" t="s">
        <v>52</v>
      </c>
      <c r="P14210">
        <v>33772</v>
      </c>
      <c r="Q14210">
        <v>3942</v>
      </c>
      <c r="R14210" t="s">
        <v>23</v>
      </c>
      <c r="S14210" s="1" t="s">
        <v>34218</v>
      </c>
    </row>
    <row r="14211" spans="1:19" x14ac:dyDescent="0.25">
      <c r="A14211">
        <v>101480955</v>
      </c>
      <c r="B14211" t="s">
        <v>30743</v>
      </c>
      <c r="C14211" t="s">
        <v>1050</v>
      </c>
      <c r="G14211" t="s">
        <v>30744</v>
      </c>
      <c r="H14211" t="s">
        <v>1431</v>
      </c>
      <c r="I14211" t="s">
        <v>639</v>
      </c>
      <c r="J14211">
        <v>87506</v>
      </c>
      <c r="L14211" t="s">
        <v>23</v>
      </c>
      <c r="M14211" t="s">
        <v>30744</v>
      </c>
      <c r="N14211" t="s">
        <v>1431</v>
      </c>
      <c r="O14211" t="s">
        <v>639</v>
      </c>
      <c r="P14211">
        <v>87506</v>
      </c>
      <c r="R14211" t="s">
        <v>23</v>
      </c>
      <c r="S14211" s="1" t="s">
        <v>34218</v>
      </c>
    </row>
    <row r="14212" spans="1:19" x14ac:dyDescent="0.25">
      <c r="A14212">
        <v>101451253</v>
      </c>
      <c r="B14212" t="s">
        <v>30745</v>
      </c>
      <c r="C14212" t="s">
        <v>579</v>
      </c>
      <c r="G14212" t="s">
        <v>30746</v>
      </c>
      <c r="H14212" t="s">
        <v>380</v>
      </c>
      <c r="I14212" t="s">
        <v>38</v>
      </c>
      <c r="J14212">
        <v>75243</v>
      </c>
      <c r="K14212">
        <v>8078</v>
      </c>
      <c r="L14212" t="s">
        <v>23</v>
      </c>
      <c r="M14212" t="s">
        <v>30746</v>
      </c>
      <c r="N14212" t="s">
        <v>380</v>
      </c>
      <c r="O14212" t="s">
        <v>38</v>
      </c>
      <c r="P14212">
        <v>75243</v>
      </c>
      <c r="Q14212">
        <v>8078</v>
      </c>
      <c r="R14212" t="s">
        <v>23</v>
      </c>
      <c r="S14212" s="1" t="s">
        <v>34218</v>
      </c>
    </row>
    <row r="14213" spans="1:19" x14ac:dyDescent="0.25">
      <c r="A14213">
        <v>101480964</v>
      </c>
      <c r="B14213" t="s">
        <v>11609</v>
      </c>
      <c r="C14213" t="s">
        <v>498</v>
      </c>
      <c r="G14213" t="s">
        <v>19807</v>
      </c>
      <c r="H14213" t="s">
        <v>5528</v>
      </c>
      <c r="I14213" t="s">
        <v>22</v>
      </c>
      <c r="J14213">
        <v>94573</v>
      </c>
      <c r="K14213">
        <v>514</v>
      </c>
      <c r="L14213" t="s">
        <v>23</v>
      </c>
      <c r="M14213" t="s">
        <v>19807</v>
      </c>
      <c r="N14213" t="s">
        <v>5528</v>
      </c>
      <c r="O14213" t="s">
        <v>22</v>
      </c>
      <c r="P14213">
        <v>94573</v>
      </c>
      <c r="Q14213">
        <v>514</v>
      </c>
      <c r="R14213" t="s">
        <v>23</v>
      </c>
      <c r="S14213" s="1" t="s">
        <v>34218</v>
      </c>
    </row>
    <row r="14214" spans="1:19" x14ac:dyDescent="0.25">
      <c r="A14214">
        <v>101449912</v>
      </c>
      <c r="B14214" t="s">
        <v>17340</v>
      </c>
      <c r="C14214" t="s">
        <v>4719</v>
      </c>
      <c r="G14214" t="s">
        <v>30747</v>
      </c>
      <c r="H14214" t="s">
        <v>28881</v>
      </c>
      <c r="I14214" t="s">
        <v>52</v>
      </c>
      <c r="J14214">
        <v>33040</v>
      </c>
      <c r="K14214">
        <v>6996</v>
      </c>
      <c r="L14214" t="s">
        <v>23</v>
      </c>
      <c r="M14214" t="s">
        <v>30747</v>
      </c>
      <c r="N14214" t="s">
        <v>28881</v>
      </c>
      <c r="O14214" t="s">
        <v>52</v>
      </c>
      <c r="P14214">
        <v>33040</v>
      </c>
      <c r="Q14214">
        <v>6996</v>
      </c>
      <c r="R14214" t="s">
        <v>23</v>
      </c>
      <c r="S14214" s="1" t="s">
        <v>34218</v>
      </c>
    </row>
    <row r="14215" spans="1:19" x14ac:dyDescent="0.25">
      <c r="A14215">
        <v>101480965</v>
      </c>
      <c r="B14215" t="s">
        <v>30748</v>
      </c>
      <c r="C14215" t="s">
        <v>30749</v>
      </c>
      <c r="G14215" t="s">
        <v>30750</v>
      </c>
      <c r="H14215" t="s">
        <v>481</v>
      </c>
      <c r="I14215" t="s">
        <v>22</v>
      </c>
      <c r="J14215">
        <v>95122</v>
      </c>
      <c r="K14215">
        <v>3248</v>
      </c>
      <c r="L14215" t="s">
        <v>23</v>
      </c>
      <c r="M14215" t="s">
        <v>30750</v>
      </c>
      <c r="N14215" t="s">
        <v>481</v>
      </c>
      <c r="O14215" t="s">
        <v>22</v>
      </c>
      <c r="P14215">
        <v>95122</v>
      </c>
      <c r="Q14215">
        <v>3248</v>
      </c>
      <c r="R14215" t="s">
        <v>23</v>
      </c>
      <c r="S14215" s="1" t="s">
        <v>34218</v>
      </c>
    </row>
    <row r="14216" spans="1:19" x14ac:dyDescent="0.25">
      <c r="A14216">
        <v>101480966</v>
      </c>
      <c r="B14216" t="s">
        <v>30751</v>
      </c>
      <c r="C14216" t="s">
        <v>30752</v>
      </c>
      <c r="G14216" t="s">
        <v>30753</v>
      </c>
      <c r="H14216" t="s">
        <v>2218</v>
      </c>
      <c r="I14216" t="s">
        <v>327</v>
      </c>
      <c r="J14216">
        <v>26330</v>
      </c>
      <c r="K14216">
        <v>1176</v>
      </c>
      <c r="L14216" t="s">
        <v>23</v>
      </c>
      <c r="M14216" t="s">
        <v>30753</v>
      </c>
      <c r="N14216" t="s">
        <v>2218</v>
      </c>
      <c r="O14216" t="s">
        <v>327</v>
      </c>
      <c r="P14216">
        <v>26330</v>
      </c>
      <c r="Q14216">
        <v>1176</v>
      </c>
      <c r="R14216" t="s">
        <v>23</v>
      </c>
      <c r="S14216" s="1" t="s">
        <v>34218</v>
      </c>
    </row>
    <row r="14217" spans="1:19" x14ac:dyDescent="0.25">
      <c r="A14217">
        <v>101480973</v>
      </c>
      <c r="B14217" t="s">
        <v>30754</v>
      </c>
      <c r="C14217" t="s">
        <v>21196</v>
      </c>
      <c r="G14217" t="s">
        <v>30755</v>
      </c>
      <c r="H14217" t="s">
        <v>30756</v>
      </c>
      <c r="I14217" t="s">
        <v>22</v>
      </c>
      <c r="J14217">
        <v>95320</v>
      </c>
      <c r="K14217">
        <v>1870</v>
      </c>
      <c r="L14217" t="s">
        <v>23</v>
      </c>
      <c r="M14217" t="s">
        <v>30755</v>
      </c>
      <c r="N14217" t="s">
        <v>30756</v>
      </c>
      <c r="O14217" t="s">
        <v>22</v>
      </c>
      <c r="P14217">
        <v>95320</v>
      </c>
      <c r="Q14217">
        <v>1870</v>
      </c>
      <c r="R14217" t="s">
        <v>23</v>
      </c>
      <c r="S14217" s="1" t="s">
        <v>34218</v>
      </c>
    </row>
    <row r="14218" spans="1:19" x14ac:dyDescent="0.25">
      <c r="A14218">
        <v>101480983</v>
      </c>
      <c r="B14218" t="s">
        <v>9518</v>
      </c>
      <c r="C14218" t="s">
        <v>4502</v>
      </c>
      <c r="G14218" t="s">
        <v>30757</v>
      </c>
      <c r="H14218" t="s">
        <v>653</v>
      </c>
      <c r="I14218" t="s">
        <v>117</v>
      </c>
      <c r="J14218">
        <v>10028</v>
      </c>
      <c r="K14218">
        <v>7142</v>
      </c>
      <c r="L14218" t="s">
        <v>23</v>
      </c>
      <c r="M14218" t="s">
        <v>30757</v>
      </c>
      <c r="N14218" t="s">
        <v>653</v>
      </c>
      <c r="O14218" t="s">
        <v>117</v>
      </c>
      <c r="P14218">
        <v>10028</v>
      </c>
      <c r="Q14218">
        <v>7142</v>
      </c>
      <c r="R14218" t="s">
        <v>23</v>
      </c>
      <c r="S14218" s="1" t="s">
        <v>34218</v>
      </c>
    </row>
    <row r="14219" spans="1:19" x14ac:dyDescent="0.25">
      <c r="A14219">
        <v>101480985</v>
      </c>
      <c r="B14219" t="s">
        <v>1335</v>
      </c>
      <c r="C14219" t="s">
        <v>2151</v>
      </c>
      <c r="G14219" t="s">
        <v>30758</v>
      </c>
      <c r="H14219" t="s">
        <v>2701</v>
      </c>
      <c r="I14219" t="s">
        <v>446</v>
      </c>
      <c r="J14219">
        <v>28734</v>
      </c>
      <c r="K14219">
        <v>3044</v>
      </c>
      <c r="L14219" t="s">
        <v>23</v>
      </c>
      <c r="M14219" t="s">
        <v>30758</v>
      </c>
      <c r="N14219" t="s">
        <v>2701</v>
      </c>
      <c r="O14219" t="s">
        <v>446</v>
      </c>
      <c r="P14219">
        <v>28734</v>
      </c>
      <c r="Q14219">
        <v>3044</v>
      </c>
      <c r="R14219" t="s">
        <v>23</v>
      </c>
      <c r="S14219" s="1" t="s">
        <v>34218</v>
      </c>
    </row>
    <row r="14220" spans="1:19" x14ac:dyDescent="0.25">
      <c r="A14220">
        <v>101480987</v>
      </c>
      <c r="B14220" t="s">
        <v>1335</v>
      </c>
      <c r="C14220" t="s">
        <v>1879</v>
      </c>
      <c r="G14220" t="s">
        <v>30758</v>
      </c>
      <c r="H14220" t="s">
        <v>2701</v>
      </c>
      <c r="I14220" t="s">
        <v>446</v>
      </c>
      <c r="J14220">
        <v>28734</v>
      </c>
      <c r="K14220">
        <v>3044</v>
      </c>
      <c r="L14220" t="s">
        <v>23</v>
      </c>
      <c r="M14220" t="s">
        <v>30758</v>
      </c>
      <c r="N14220" t="s">
        <v>2701</v>
      </c>
      <c r="O14220" t="s">
        <v>446</v>
      </c>
      <c r="P14220">
        <v>28734</v>
      </c>
      <c r="Q14220">
        <v>3044</v>
      </c>
      <c r="R14220" t="s">
        <v>23</v>
      </c>
      <c r="S14220" s="1" t="s">
        <v>34218</v>
      </c>
    </row>
    <row r="14221" spans="1:19" x14ac:dyDescent="0.25">
      <c r="A14221">
        <v>100589708</v>
      </c>
      <c r="B14221" t="s">
        <v>30759</v>
      </c>
      <c r="C14221" t="s">
        <v>30760</v>
      </c>
      <c r="G14221" t="s">
        <v>30761</v>
      </c>
      <c r="H14221" t="s">
        <v>481</v>
      </c>
      <c r="I14221" t="s">
        <v>22</v>
      </c>
      <c r="J14221">
        <v>95125</v>
      </c>
      <c r="K14221">
        <v>5032</v>
      </c>
      <c r="L14221" t="s">
        <v>23</v>
      </c>
      <c r="M14221" t="s">
        <v>30761</v>
      </c>
      <c r="N14221" t="s">
        <v>481</v>
      </c>
      <c r="O14221" t="s">
        <v>22</v>
      </c>
      <c r="P14221">
        <v>95125</v>
      </c>
      <c r="Q14221">
        <v>5032</v>
      </c>
      <c r="R14221" t="s">
        <v>23</v>
      </c>
      <c r="S14221" s="1" t="s">
        <v>34218</v>
      </c>
    </row>
    <row r="14222" spans="1:19" x14ac:dyDescent="0.25">
      <c r="A14222">
        <v>101399262</v>
      </c>
      <c r="B14222" t="s">
        <v>30762</v>
      </c>
      <c r="C14222" t="s">
        <v>90</v>
      </c>
      <c r="G14222" t="s">
        <v>30763</v>
      </c>
      <c r="H14222" t="s">
        <v>2495</v>
      </c>
      <c r="I14222" t="s">
        <v>161</v>
      </c>
      <c r="J14222">
        <v>0</v>
      </c>
      <c r="L14222" t="s">
        <v>23</v>
      </c>
      <c r="M14222" t="s">
        <v>30763</v>
      </c>
      <c r="N14222" t="s">
        <v>2495</v>
      </c>
      <c r="O14222" t="s">
        <v>161</v>
      </c>
      <c r="P14222">
        <v>0</v>
      </c>
      <c r="R14222" t="s">
        <v>23</v>
      </c>
      <c r="S14222" s="1" t="s">
        <v>34218</v>
      </c>
    </row>
    <row r="14223" spans="1:19" x14ac:dyDescent="0.25">
      <c r="A14223">
        <v>101457384</v>
      </c>
      <c r="B14223" t="s">
        <v>24004</v>
      </c>
      <c r="C14223" t="s">
        <v>180</v>
      </c>
      <c r="G14223" t="s">
        <v>30764</v>
      </c>
      <c r="H14223" t="s">
        <v>15475</v>
      </c>
      <c r="I14223" t="s">
        <v>52</v>
      </c>
      <c r="J14223">
        <v>32792</v>
      </c>
      <c r="L14223" t="s">
        <v>23</v>
      </c>
      <c r="M14223" t="s">
        <v>30764</v>
      </c>
      <c r="N14223" t="s">
        <v>15475</v>
      </c>
      <c r="O14223" t="s">
        <v>52</v>
      </c>
      <c r="P14223">
        <v>32792</v>
      </c>
      <c r="R14223" t="s">
        <v>23</v>
      </c>
      <c r="S14223" s="1" t="s">
        <v>34218</v>
      </c>
    </row>
    <row r="14224" spans="1:19" x14ac:dyDescent="0.25">
      <c r="A14224">
        <v>101481003</v>
      </c>
      <c r="B14224" t="s">
        <v>303</v>
      </c>
      <c r="C14224" t="s">
        <v>1117</v>
      </c>
      <c r="G14224" t="s">
        <v>30765</v>
      </c>
      <c r="H14224" t="s">
        <v>299</v>
      </c>
      <c r="I14224" t="s">
        <v>22</v>
      </c>
      <c r="J14224">
        <v>90046</v>
      </c>
      <c r="K14224">
        <v>4223</v>
      </c>
      <c r="L14224" t="s">
        <v>23</v>
      </c>
      <c r="M14224" t="s">
        <v>30765</v>
      </c>
      <c r="N14224" t="s">
        <v>299</v>
      </c>
      <c r="O14224" t="s">
        <v>22</v>
      </c>
      <c r="P14224">
        <v>90046</v>
      </c>
      <c r="Q14224">
        <v>4223</v>
      </c>
      <c r="R14224" t="s">
        <v>23</v>
      </c>
      <c r="S14224" s="1" t="s">
        <v>34218</v>
      </c>
    </row>
    <row r="14225" spans="1:19" x14ac:dyDescent="0.25">
      <c r="A14225">
        <v>101091409</v>
      </c>
      <c r="B14225" t="s">
        <v>30766</v>
      </c>
      <c r="C14225" t="s">
        <v>145</v>
      </c>
      <c r="G14225" t="s">
        <v>30767</v>
      </c>
      <c r="H14225" t="s">
        <v>9399</v>
      </c>
      <c r="I14225" t="s">
        <v>22</v>
      </c>
      <c r="J14225">
        <v>94022</v>
      </c>
      <c r="K14225">
        <v>3569</v>
      </c>
      <c r="L14225" t="s">
        <v>23</v>
      </c>
      <c r="M14225" t="s">
        <v>30767</v>
      </c>
      <c r="N14225" t="s">
        <v>9399</v>
      </c>
      <c r="O14225" t="s">
        <v>22</v>
      </c>
      <c r="P14225">
        <v>94022</v>
      </c>
      <c r="Q14225">
        <v>3569</v>
      </c>
      <c r="R14225" t="s">
        <v>23</v>
      </c>
      <c r="S14225" s="1" t="s">
        <v>34218</v>
      </c>
    </row>
    <row r="14226" spans="1:19" x14ac:dyDescent="0.25">
      <c r="A14226">
        <v>101283089</v>
      </c>
      <c r="B14226" t="s">
        <v>3089</v>
      </c>
      <c r="C14226" t="s">
        <v>193</v>
      </c>
      <c r="G14226" t="s">
        <v>30768</v>
      </c>
      <c r="H14226" t="s">
        <v>1352</v>
      </c>
      <c r="I14226" t="s">
        <v>22</v>
      </c>
      <c r="J14226">
        <v>92009</v>
      </c>
      <c r="K14226">
        <v>7342</v>
      </c>
      <c r="L14226" t="s">
        <v>23</v>
      </c>
      <c r="M14226" t="s">
        <v>30768</v>
      </c>
      <c r="N14226" t="s">
        <v>1352</v>
      </c>
      <c r="O14226" t="s">
        <v>22</v>
      </c>
      <c r="P14226">
        <v>92009</v>
      </c>
      <c r="Q14226">
        <v>7342</v>
      </c>
      <c r="R14226" t="s">
        <v>23</v>
      </c>
      <c r="S14226" s="1" t="s">
        <v>34218</v>
      </c>
    </row>
    <row r="14227" spans="1:19" x14ac:dyDescent="0.25">
      <c r="A14227">
        <v>101091532</v>
      </c>
      <c r="B14227" t="s">
        <v>30769</v>
      </c>
      <c r="C14227" t="s">
        <v>8042</v>
      </c>
      <c r="G14227" t="s">
        <v>30770</v>
      </c>
      <c r="H14227" t="s">
        <v>30771</v>
      </c>
      <c r="I14227" t="s">
        <v>250</v>
      </c>
      <c r="J14227">
        <v>8502</v>
      </c>
      <c r="K14227">
        <v>6432</v>
      </c>
      <c r="L14227" t="s">
        <v>23</v>
      </c>
      <c r="M14227" t="s">
        <v>30770</v>
      </c>
      <c r="N14227" t="s">
        <v>30771</v>
      </c>
      <c r="O14227" t="s">
        <v>250</v>
      </c>
      <c r="P14227">
        <v>8502</v>
      </c>
      <c r="Q14227">
        <v>6432</v>
      </c>
      <c r="R14227" t="s">
        <v>23</v>
      </c>
      <c r="S14227" s="1" t="s">
        <v>34218</v>
      </c>
    </row>
    <row r="14228" spans="1:19" x14ac:dyDescent="0.25">
      <c r="A14228">
        <v>101411635</v>
      </c>
      <c r="B14228" t="s">
        <v>30772</v>
      </c>
      <c r="C14228" t="s">
        <v>1598</v>
      </c>
      <c r="G14228" t="s">
        <v>30773</v>
      </c>
      <c r="H14228" t="s">
        <v>1337</v>
      </c>
      <c r="I14228" t="s">
        <v>71</v>
      </c>
      <c r="J14228">
        <v>81005</v>
      </c>
      <c r="K14228">
        <v>1209</v>
      </c>
      <c r="L14228" t="s">
        <v>23</v>
      </c>
      <c r="M14228" t="s">
        <v>30773</v>
      </c>
      <c r="N14228" t="s">
        <v>1337</v>
      </c>
      <c r="O14228" t="s">
        <v>71</v>
      </c>
      <c r="P14228">
        <v>81005</v>
      </c>
      <c r="Q14228">
        <v>1209</v>
      </c>
      <c r="R14228" t="s">
        <v>23</v>
      </c>
      <c r="S14228" s="1" t="s">
        <v>34218</v>
      </c>
    </row>
    <row r="14229" spans="1:19" x14ac:dyDescent="0.25">
      <c r="A14229">
        <v>101297891</v>
      </c>
      <c r="B14229" t="s">
        <v>30774</v>
      </c>
      <c r="C14229" t="s">
        <v>10389</v>
      </c>
      <c r="G14229" t="s">
        <v>30775</v>
      </c>
      <c r="H14229" t="s">
        <v>8986</v>
      </c>
      <c r="I14229" t="s">
        <v>22</v>
      </c>
      <c r="J14229">
        <v>94566</v>
      </c>
      <c r="K14229">
        <v>6372</v>
      </c>
      <c r="L14229" t="s">
        <v>23</v>
      </c>
      <c r="M14229" t="s">
        <v>30775</v>
      </c>
      <c r="N14229" t="s">
        <v>8986</v>
      </c>
      <c r="O14229" t="s">
        <v>22</v>
      </c>
      <c r="P14229">
        <v>94566</v>
      </c>
      <c r="Q14229">
        <v>6372</v>
      </c>
      <c r="R14229" t="s">
        <v>23</v>
      </c>
      <c r="S14229" s="1" t="s">
        <v>34218</v>
      </c>
    </row>
    <row r="14230" spans="1:19" x14ac:dyDescent="0.25">
      <c r="A14230">
        <v>101219074</v>
      </c>
      <c r="B14230" t="s">
        <v>30776</v>
      </c>
      <c r="C14230" t="s">
        <v>1377</v>
      </c>
      <c r="G14230" t="s">
        <v>30777</v>
      </c>
      <c r="H14230" t="s">
        <v>30704</v>
      </c>
      <c r="I14230" t="s">
        <v>22</v>
      </c>
      <c r="J14230">
        <v>95703</v>
      </c>
      <c r="L14230" t="s">
        <v>23</v>
      </c>
      <c r="M14230" t="s">
        <v>30777</v>
      </c>
      <c r="N14230" t="s">
        <v>30704</v>
      </c>
      <c r="O14230" t="s">
        <v>22</v>
      </c>
      <c r="P14230">
        <v>95703</v>
      </c>
      <c r="R14230" t="s">
        <v>23</v>
      </c>
      <c r="S14230" s="1" t="s">
        <v>34218</v>
      </c>
    </row>
    <row r="14231" spans="1:19" x14ac:dyDescent="0.25">
      <c r="A14231">
        <v>101481023</v>
      </c>
      <c r="B14231" t="s">
        <v>30778</v>
      </c>
      <c r="C14231" t="s">
        <v>123</v>
      </c>
      <c r="G14231" t="s">
        <v>30779</v>
      </c>
      <c r="H14231" t="s">
        <v>7169</v>
      </c>
      <c r="I14231" t="s">
        <v>22</v>
      </c>
      <c r="J14231">
        <v>93012</v>
      </c>
      <c r="K14231">
        <v>9116</v>
      </c>
      <c r="L14231" t="s">
        <v>23</v>
      </c>
      <c r="M14231" t="s">
        <v>30779</v>
      </c>
      <c r="N14231" t="s">
        <v>7169</v>
      </c>
      <c r="O14231" t="s">
        <v>22</v>
      </c>
      <c r="P14231">
        <v>93012</v>
      </c>
      <c r="Q14231">
        <v>9116</v>
      </c>
      <c r="R14231" t="s">
        <v>23</v>
      </c>
      <c r="S14231" s="1" t="s">
        <v>34218</v>
      </c>
    </row>
    <row r="14232" spans="1:19" x14ac:dyDescent="0.25">
      <c r="A14232">
        <v>101263741</v>
      </c>
      <c r="B14232" t="s">
        <v>30780</v>
      </c>
      <c r="C14232" t="s">
        <v>894</v>
      </c>
      <c r="G14232" t="s">
        <v>30781</v>
      </c>
      <c r="H14232" t="s">
        <v>30782</v>
      </c>
      <c r="I14232" t="s">
        <v>565</v>
      </c>
      <c r="J14232">
        <v>50230</v>
      </c>
      <c r="K14232">
        <v>7513</v>
      </c>
      <c r="L14232" t="s">
        <v>23</v>
      </c>
      <c r="M14232" t="s">
        <v>30781</v>
      </c>
      <c r="N14232" t="s">
        <v>30782</v>
      </c>
      <c r="O14232" t="s">
        <v>565</v>
      </c>
      <c r="P14232">
        <v>50230</v>
      </c>
      <c r="Q14232">
        <v>7513</v>
      </c>
      <c r="R14232" t="s">
        <v>23</v>
      </c>
      <c r="S14232" s="1" t="s">
        <v>34218</v>
      </c>
    </row>
    <row r="14233" spans="1:19" x14ac:dyDescent="0.25">
      <c r="A14233">
        <v>100921190</v>
      </c>
      <c r="B14233" t="s">
        <v>1710</v>
      </c>
      <c r="C14233" t="s">
        <v>9644</v>
      </c>
      <c r="G14233" t="s">
        <v>30783</v>
      </c>
      <c r="H14233" t="s">
        <v>10093</v>
      </c>
      <c r="I14233" t="s">
        <v>84</v>
      </c>
      <c r="J14233">
        <v>98382</v>
      </c>
      <c r="L14233" t="s">
        <v>23</v>
      </c>
      <c r="M14233" t="s">
        <v>30783</v>
      </c>
      <c r="N14233" t="s">
        <v>10093</v>
      </c>
      <c r="O14233" t="s">
        <v>84</v>
      </c>
      <c r="P14233">
        <v>98382</v>
      </c>
      <c r="R14233" t="s">
        <v>23</v>
      </c>
      <c r="S14233" s="1" t="s">
        <v>34218</v>
      </c>
    </row>
    <row r="14234" spans="1:19" x14ac:dyDescent="0.25">
      <c r="A14234">
        <v>100669901</v>
      </c>
      <c r="B14234" t="s">
        <v>4098</v>
      </c>
      <c r="C14234" t="s">
        <v>8877</v>
      </c>
      <c r="G14234" t="s">
        <v>30784</v>
      </c>
      <c r="H14234" t="s">
        <v>30785</v>
      </c>
      <c r="I14234" t="s">
        <v>52</v>
      </c>
      <c r="J14234">
        <v>33541</v>
      </c>
      <c r="K14234">
        <v>2060</v>
      </c>
      <c r="L14234" t="s">
        <v>23</v>
      </c>
      <c r="M14234" t="s">
        <v>30784</v>
      </c>
      <c r="N14234" t="s">
        <v>30785</v>
      </c>
      <c r="O14234" t="s">
        <v>52</v>
      </c>
      <c r="P14234">
        <v>33541</v>
      </c>
      <c r="Q14234">
        <v>2060</v>
      </c>
      <c r="R14234" t="s">
        <v>23</v>
      </c>
      <c r="S14234" s="1" t="s">
        <v>34218</v>
      </c>
    </row>
    <row r="14235" spans="1:19" x14ac:dyDescent="0.25">
      <c r="A14235">
        <v>101481030</v>
      </c>
      <c r="B14235" t="s">
        <v>30786</v>
      </c>
      <c r="C14235" t="s">
        <v>2127</v>
      </c>
      <c r="G14235" t="s">
        <v>30787</v>
      </c>
      <c r="H14235" t="s">
        <v>19366</v>
      </c>
      <c r="I14235" t="s">
        <v>140</v>
      </c>
      <c r="J14235">
        <v>49841</v>
      </c>
      <c r="K14235">
        <v>2729</v>
      </c>
      <c r="L14235" t="s">
        <v>23</v>
      </c>
      <c r="M14235" t="s">
        <v>30787</v>
      </c>
      <c r="N14235" t="s">
        <v>19366</v>
      </c>
      <c r="O14235" t="s">
        <v>140</v>
      </c>
      <c r="P14235">
        <v>49841</v>
      </c>
      <c r="Q14235">
        <v>2729</v>
      </c>
      <c r="R14235" t="s">
        <v>23</v>
      </c>
      <c r="S14235" s="1" t="s">
        <v>34218</v>
      </c>
    </row>
    <row r="14236" spans="1:19" x14ac:dyDescent="0.25">
      <c r="A14236">
        <v>101225472</v>
      </c>
      <c r="B14236" t="s">
        <v>10915</v>
      </c>
      <c r="C14236" t="s">
        <v>2232</v>
      </c>
      <c r="G14236" t="s">
        <v>30788</v>
      </c>
      <c r="H14236" t="s">
        <v>481</v>
      </c>
      <c r="I14236" t="s">
        <v>22</v>
      </c>
      <c r="J14236">
        <v>95113</v>
      </c>
      <c r="K14236">
        <v>2306</v>
      </c>
      <c r="L14236" t="s">
        <v>23</v>
      </c>
      <c r="M14236" t="s">
        <v>30788</v>
      </c>
      <c r="N14236" t="s">
        <v>481</v>
      </c>
      <c r="O14236" t="s">
        <v>22</v>
      </c>
      <c r="P14236">
        <v>95113</v>
      </c>
      <c r="Q14236">
        <v>2306</v>
      </c>
      <c r="R14236" t="s">
        <v>23</v>
      </c>
      <c r="S14236" s="1" t="s">
        <v>34218</v>
      </c>
    </row>
    <row r="14237" spans="1:19" x14ac:dyDescent="0.25">
      <c r="A14237">
        <v>101357615</v>
      </c>
      <c r="B14237" t="s">
        <v>30789</v>
      </c>
      <c r="C14237" t="s">
        <v>11906</v>
      </c>
      <c r="G14237" t="s">
        <v>30790</v>
      </c>
      <c r="H14237" t="s">
        <v>4127</v>
      </c>
      <c r="I14237" t="s">
        <v>71</v>
      </c>
      <c r="J14237">
        <v>80540</v>
      </c>
      <c r="K14237">
        <v>8835</v>
      </c>
      <c r="L14237" t="s">
        <v>23</v>
      </c>
      <c r="M14237" t="s">
        <v>30790</v>
      </c>
      <c r="N14237" t="s">
        <v>4127</v>
      </c>
      <c r="O14237" t="s">
        <v>71</v>
      </c>
      <c r="P14237">
        <v>80540</v>
      </c>
      <c r="Q14237">
        <v>8835</v>
      </c>
      <c r="R14237" t="s">
        <v>23</v>
      </c>
      <c r="S14237" s="1" t="s">
        <v>34218</v>
      </c>
    </row>
    <row r="14238" spans="1:19" x14ac:dyDescent="0.25">
      <c r="A14238">
        <v>101270969</v>
      </c>
      <c r="B14238" t="s">
        <v>30791</v>
      </c>
      <c r="C14238" t="s">
        <v>3518</v>
      </c>
      <c r="G14238" t="s">
        <v>30792</v>
      </c>
      <c r="H14238" t="s">
        <v>75</v>
      </c>
      <c r="I14238" t="s">
        <v>22</v>
      </c>
      <c r="J14238">
        <v>94559</v>
      </c>
      <c r="K14238">
        <v>3138</v>
      </c>
      <c r="L14238" t="s">
        <v>23</v>
      </c>
      <c r="M14238" t="s">
        <v>30792</v>
      </c>
      <c r="N14238" t="s">
        <v>75</v>
      </c>
      <c r="O14238" t="s">
        <v>22</v>
      </c>
      <c r="P14238">
        <v>94559</v>
      </c>
      <c r="Q14238">
        <v>3138</v>
      </c>
      <c r="R14238" t="s">
        <v>23</v>
      </c>
      <c r="S14238" s="1" t="s">
        <v>34218</v>
      </c>
    </row>
    <row r="14239" spans="1:19" x14ac:dyDescent="0.25">
      <c r="A14239">
        <v>101472621</v>
      </c>
      <c r="B14239" t="s">
        <v>17713</v>
      </c>
      <c r="C14239" t="s">
        <v>16085</v>
      </c>
      <c r="G14239" t="s">
        <v>17714</v>
      </c>
      <c r="H14239" t="s">
        <v>1904</v>
      </c>
      <c r="I14239" t="s">
        <v>135</v>
      </c>
      <c r="J14239">
        <v>60126</v>
      </c>
      <c r="K14239">
        <v>2316</v>
      </c>
      <c r="L14239" t="s">
        <v>23</v>
      </c>
      <c r="M14239" t="s">
        <v>17714</v>
      </c>
      <c r="N14239" t="s">
        <v>1904</v>
      </c>
      <c r="O14239" t="s">
        <v>135</v>
      </c>
      <c r="P14239">
        <v>60126</v>
      </c>
      <c r="Q14239">
        <v>2316</v>
      </c>
      <c r="R14239" t="s">
        <v>23</v>
      </c>
      <c r="S14239" s="1" t="s">
        <v>34218</v>
      </c>
    </row>
    <row r="14240" spans="1:19" x14ac:dyDescent="0.25">
      <c r="A14240">
        <v>101468524</v>
      </c>
      <c r="B14240" t="s">
        <v>30793</v>
      </c>
      <c r="C14240" t="s">
        <v>2727</v>
      </c>
      <c r="G14240" t="s">
        <v>30794</v>
      </c>
      <c r="H14240" t="s">
        <v>924</v>
      </c>
      <c r="I14240" t="s">
        <v>135</v>
      </c>
      <c r="J14240">
        <v>60026</v>
      </c>
      <c r="K14240">
        <v>8055</v>
      </c>
      <c r="L14240" t="s">
        <v>23</v>
      </c>
      <c r="M14240" t="s">
        <v>30794</v>
      </c>
      <c r="N14240" t="s">
        <v>924</v>
      </c>
      <c r="O14240" t="s">
        <v>135</v>
      </c>
      <c r="P14240">
        <v>60026</v>
      </c>
      <c r="Q14240">
        <v>8055</v>
      </c>
      <c r="R14240" t="s">
        <v>23</v>
      </c>
      <c r="S14240" s="1" t="s">
        <v>34218</v>
      </c>
    </row>
    <row r="14241" spans="1:19" x14ac:dyDescent="0.25">
      <c r="A14241">
        <v>101465922</v>
      </c>
      <c r="B14241" t="s">
        <v>30795</v>
      </c>
      <c r="C14241" t="s">
        <v>1157</v>
      </c>
      <c r="G14241" t="s">
        <v>30796</v>
      </c>
      <c r="H14241" t="s">
        <v>24698</v>
      </c>
      <c r="I14241" t="s">
        <v>117</v>
      </c>
      <c r="J14241">
        <v>14522</v>
      </c>
      <c r="K14241">
        <v>9316</v>
      </c>
      <c r="L14241" t="s">
        <v>23</v>
      </c>
      <c r="M14241" t="s">
        <v>30796</v>
      </c>
      <c r="N14241" t="s">
        <v>24698</v>
      </c>
      <c r="O14241" t="s">
        <v>117</v>
      </c>
      <c r="P14241">
        <v>14522</v>
      </c>
      <c r="Q14241">
        <v>9316</v>
      </c>
      <c r="R14241" t="s">
        <v>23</v>
      </c>
      <c r="S14241" s="1" t="s">
        <v>34218</v>
      </c>
    </row>
    <row r="14242" spans="1:19" x14ac:dyDescent="0.25">
      <c r="A14242">
        <v>101342381</v>
      </c>
      <c r="B14242" t="s">
        <v>30797</v>
      </c>
      <c r="C14242" t="s">
        <v>1069</v>
      </c>
      <c r="G14242" t="s">
        <v>30798</v>
      </c>
      <c r="H14242" t="s">
        <v>14571</v>
      </c>
      <c r="I14242" t="s">
        <v>117</v>
      </c>
      <c r="J14242" t="s">
        <v>30799</v>
      </c>
      <c r="K14242">
        <v>1713</v>
      </c>
      <c r="L14242" t="s">
        <v>23</v>
      </c>
      <c r="M14242" t="s">
        <v>30798</v>
      </c>
      <c r="N14242" t="s">
        <v>14571</v>
      </c>
      <c r="O14242" t="s">
        <v>117</v>
      </c>
      <c r="P14242" t="s">
        <v>30799</v>
      </c>
      <c r="Q14242">
        <v>1713</v>
      </c>
      <c r="R14242" t="s">
        <v>23</v>
      </c>
      <c r="S14242" s="1" t="s">
        <v>34218</v>
      </c>
    </row>
    <row r="14243" spans="1:19" x14ac:dyDescent="0.25">
      <c r="A14243">
        <v>101449790</v>
      </c>
      <c r="B14243" t="s">
        <v>30800</v>
      </c>
      <c r="C14243" t="s">
        <v>1374</v>
      </c>
      <c r="G14243" t="s">
        <v>30801</v>
      </c>
      <c r="H14243" t="s">
        <v>1625</v>
      </c>
      <c r="I14243" t="s">
        <v>702</v>
      </c>
      <c r="J14243">
        <v>89002</v>
      </c>
      <c r="K14243">
        <v>9188</v>
      </c>
      <c r="L14243" t="s">
        <v>23</v>
      </c>
      <c r="M14243" t="s">
        <v>30801</v>
      </c>
      <c r="N14243" t="s">
        <v>1625</v>
      </c>
      <c r="O14243" t="s">
        <v>702</v>
      </c>
      <c r="P14243">
        <v>89002</v>
      </c>
      <c r="Q14243">
        <v>9188</v>
      </c>
      <c r="R14243" t="s">
        <v>23</v>
      </c>
      <c r="S14243" s="1" t="s">
        <v>34218</v>
      </c>
    </row>
    <row r="14244" spans="1:19" x14ac:dyDescent="0.25">
      <c r="A14244">
        <v>101304255</v>
      </c>
      <c r="B14244" t="s">
        <v>2637</v>
      </c>
      <c r="C14244" t="s">
        <v>1533</v>
      </c>
      <c r="G14244" t="s">
        <v>30802</v>
      </c>
      <c r="H14244" t="s">
        <v>30803</v>
      </c>
      <c r="I14244" t="s">
        <v>28</v>
      </c>
      <c r="J14244">
        <v>30024</v>
      </c>
      <c r="K14244">
        <v>2053</v>
      </c>
      <c r="L14244" t="s">
        <v>23</v>
      </c>
      <c r="M14244" t="s">
        <v>30802</v>
      </c>
      <c r="N14244" t="s">
        <v>30803</v>
      </c>
      <c r="O14244" t="s">
        <v>28</v>
      </c>
      <c r="P14244">
        <v>30024</v>
      </c>
      <c r="Q14244">
        <v>2053</v>
      </c>
      <c r="R14244" t="s">
        <v>23</v>
      </c>
      <c r="S14244" s="1" t="s">
        <v>34218</v>
      </c>
    </row>
    <row r="14245" spans="1:19" x14ac:dyDescent="0.25">
      <c r="A14245">
        <v>101251172</v>
      </c>
      <c r="B14245" t="s">
        <v>1164</v>
      </c>
      <c r="C14245" t="s">
        <v>739</v>
      </c>
      <c r="G14245" t="s">
        <v>30804</v>
      </c>
      <c r="H14245" t="s">
        <v>814</v>
      </c>
      <c r="I14245" t="s">
        <v>161</v>
      </c>
      <c r="J14245">
        <v>6457</v>
      </c>
      <c r="K14245">
        <v>3925</v>
      </c>
      <c r="L14245" t="s">
        <v>23</v>
      </c>
      <c r="M14245" t="s">
        <v>30804</v>
      </c>
      <c r="N14245" t="s">
        <v>814</v>
      </c>
      <c r="O14245" t="s">
        <v>161</v>
      </c>
      <c r="P14245">
        <v>6457</v>
      </c>
      <c r="Q14245">
        <v>3925</v>
      </c>
      <c r="R14245" t="s">
        <v>23</v>
      </c>
      <c r="S14245" s="1" t="s">
        <v>34218</v>
      </c>
    </row>
    <row r="14246" spans="1:19" x14ac:dyDescent="0.25">
      <c r="A14246">
        <v>101371690</v>
      </c>
      <c r="B14246" t="s">
        <v>30805</v>
      </c>
      <c r="C14246" t="s">
        <v>1873</v>
      </c>
      <c r="G14246" t="s">
        <v>30806</v>
      </c>
      <c r="H14246" t="s">
        <v>30807</v>
      </c>
      <c r="I14246" t="s">
        <v>52</v>
      </c>
      <c r="J14246">
        <v>33149</v>
      </c>
      <c r="K14246">
        <v>1538</v>
      </c>
      <c r="L14246" t="s">
        <v>23</v>
      </c>
      <c r="M14246" t="s">
        <v>30806</v>
      </c>
      <c r="N14246" t="s">
        <v>30807</v>
      </c>
      <c r="O14246" t="s">
        <v>52</v>
      </c>
      <c r="P14246">
        <v>33149</v>
      </c>
      <c r="Q14246">
        <v>1538</v>
      </c>
      <c r="R14246" t="s">
        <v>23</v>
      </c>
      <c r="S14246" s="1" t="s">
        <v>34218</v>
      </c>
    </row>
    <row r="14247" spans="1:19" x14ac:dyDescent="0.25">
      <c r="A14247">
        <v>101433023</v>
      </c>
      <c r="B14247" t="s">
        <v>4716</v>
      </c>
      <c r="C14247" t="s">
        <v>1773</v>
      </c>
      <c r="G14247" t="s">
        <v>30808</v>
      </c>
      <c r="H14247" t="s">
        <v>79</v>
      </c>
      <c r="I14247" t="s">
        <v>22</v>
      </c>
      <c r="J14247">
        <v>90210</v>
      </c>
      <c r="K14247">
        <v>1015</v>
      </c>
      <c r="L14247" t="s">
        <v>23</v>
      </c>
      <c r="M14247" t="s">
        <v>30808</v>
      </c>
      <c r="N14247" t="s">
        <v>79</v>
      </c>
      <c r="O14247" t="s">
        <v>22</v>
      </c>
      <c r="P14247">
        <v>90210</v>
      </c>
      <c r="Q14247">
        <v>1015</v>
      </c>
      <c r="R14247" t="s">
        <v>23</v>
      </c>
      <c r="S14247" s="1" t="s">
        <v>34218</v>
      </c>
    </row>
    <row r="14248" spans="1:19" x14ac:dyDescent="0.25">
      <c r="A14248">
        <v>100575389</v>
      </c>
      <c r="B14248" t="s">
        <v>30809</v>
      </c>
      <c r="C14248" t="s">
        <v>59</v>
      </c>
      <c r="G14248" t="s">
        <v>30810</v>
      </c>
      <c r="H14248" t="s">
        <v>13480</v>
      </c>
      <c r="I14248" t="s">
        <v>191</v>
      </c>
      <c r="J14248">
        <v>4330</v>
      </c>
      <c r="K14248">
        <v>4649</v>
      </c>
      <c r="L14248" t="s">
        <v>23</v>
      </c>
      <c r="M14248" t="s">
        <v>30810</v>
      </c>
      <c r="N14248" t="s">
        <v>13480</v>
      </c>
      <c r="O14248" t="s">
        <v>191</v>
      </c>
      <c r="P14248">
        <v>4330</v>
      </c>
      <c r="Q14248">
        <v>4649</v>
      </c>
      <c r="R14248" t="s">
        <v>23</v>
      </c>
      <c r="S14248" s="1" t="s">
        <v>34218</v>
      </c>
    </row>
    <row r="14249" spans="1:19" x14ac:dyDescent="0.25">
      <c r="A14249">
        <v>101449690</v>
      </c>
      <c r="B14249" t="s">
        <v>5585</v>
      </c>
      <c r="C14249" t="s">
        <v>522</v>
      </c>
      <c r="G14249" t="s">
        <v>30811</v>
      </c>
      <c r="H14249" t="s">
        <v>2792</v>
      </c>
      <c r="I14249" t="s">
        <v>446</v>
      </c>
      <c r="J14249">
        <v>27513</v>
      </c>
      <c r="K14249">
        <v>2824</v>
      </c>
      <c r="L14249" t="s">
        <v>23</v>
      </c>
      <c r="M14249" t="s">
        <v>30811</v>
      </c>
      <c r="N14249" t="s">
        <v>2792</v>
      </c>
      <c r="O14249" t="s">
        <v>446</v>
      </c>
      <c r="P14249">
        <v>27513</v>
      </c>
      <c r="Q14249">
        <v>2824</v>
      </c>
      <c r="R14249" t="s">
        <v>23</v>
      </c>
      <c r="S14249" s="1" t="s">
        <v>34218</v>
      </c>
    </row>
    <row r="14250" spans="1:19" x14ac:dyDescent="0.25">
      <c r="A14250">
        <v>101059527</v>
      </c>
      <c r="B14250" t="s">
        <v>14443</v>
      </c>
      <c r="C14250" t="s">
        <v>621</v>
      </c>
      <c r="G14250" t="s">
        <v>30812</v>
      </c>
      <c r="H14250" t="s">
        <v>2701</v>
      </c>
      <c r="I14250" t="s">
        <v>914</v>
      </c>
      <c r="J14250">
        <v>37067</v>
      </c>
      <c r="K14250">
        <v>5620</v>
      </c>
      <c r="L14250" t="s">
        <v>23</v>
      </c>
      <c r="M14250" t="s">
        <v>30812</v>
      </c>
      <c r="N14250" t="s">
        <v>2701</v>
      </c>
      <c r="O14250" t="s">
        <v>914</v>
      </c>
      <c r="P14250">
        <v>37067</v>
      </c>
      <c r="Q14250">
        <v>5620</v>
      </c>
      <c r="R14250" t="s">
        <v>23</v>
      </c>
      <c r="S14250" s="1" t="s">
        <v>34218</v>
      </c>
    </row>
    <row r="14251" spans="1:19" x14ac:dyDescent="0.25">
      <c r="A14251">
        <v>101480929</v>
      </c>
      <c r="B14251" t="s">
        <v>30813</v>
      </c>
      <c r="C14251" t="s">
        <v>406</v>
      </c>
      <c r="G14251" t="s">
        <v>30814</v>
      </c>
      <c r="H14251" t="s">
        <v>2100</v>
      </c>
      <c r="I14251" t="s">
        <v>52</v>
      </c>
      <c r="J14251">
        <v>33308</v>
      </c>
      <c r="K14251">
        <v>7230</v>
      </c>
      <c r="L14251" t="s">
        <v>23</v>
      </c>
      <c r="M14251" t="s">
        <v>30814</v>
      </c>
      <c r="N14251" t="s">
        <v>2100</v>
      </c>
      <c r="O14251" t="s">
        <v>52</v>
      </c>
      <c r="P14251">
        <v>33308</v>
      </c>
      <c r="Q14251">
        <v>7230</v>
      </c>
      <c r="R14251" t="s">
        <v>23</v>
      </c>
      <c r="S14251" s="1" t="s">
        <v>34218</v>
      </c>
    </row>
    <row r="14252" spans="1:19" x14ac:dyDescent="0.25">
      <c r="A14252">
        <v>101474886</v>
      </c>
      <c r="B14252" t="s">
        <v>30815</v>
      </c>
      <c r="C14252" t="s">
        <v>627</v>
      </c>
      <c r="G14252" t="s">
        <v>30816</v>
      </c>
      <c r="H14252" t="s">
        <v>869</v>
      </c>
      <c r="I14252" t="s">
        <v>52</v>
      </c>
      <c r="J14252">
        <v>33137</v>
      </c>
      <c r="K14252">
        <v>5136</v>
      </c>
      <c r="L14252" t="s">
        <v>23</v>
      </c>
      <c r="M14252" t="s">
        <v>30816</v>
      </c>
      <c r="N14252" t="s">
        <v>869</v>
      </c>
      <c r="O14252" t="s">
        <v>52</v>
      </c>
      <c r="P14252">
        <v>33137</v>
      </c>
      <c r="Q14252">
        <v>5136</v>
      </c>
      <c r="R14252" t="s">
        <v>23</v>
      </c>
      <c r="S14252" s="1" t="s">
        <v>34218</v>
      </c>
    </row>
    <row r="14253" spans="1:19" x14ac:dyDescent="0.25">
      <c r="A14253">
        <v>100775529</v>
      </c>
      <c r="B14253" t="s">
        <v>12747</v>
      </c>
      <c r="C14253" t="s">
        <v>5613</v>
      </c>
      <c r="G14253" t="s">
        <v>30817</v>
      </c>
      <c r="H14253" t="s">
        <v>30818</v>
      </c>
      <c r="I14253" t="s">
        <v>33</v>
      </c>
      <c r="J14253">
        <v>15636</v>
      </c>
      <c r="K14253">
        <v>1264</v>
      </c>
      <c r="L14253" t="s">
        <v>23</v>
      </c>
      <c r="M14253" t="s">
        <v>30817</v>
      </c>
      <c r="N14253" t="s">
        <v>30818</v>
      </c>
      <c r="O14253" t="s">
        <v>33</v>
      </c>
      <c r="P14253">
        <v>15636</v>
      </c>
      <c r="Q14253">
        <v>1264</v>
      </c>
      <c r="R14253" t="s">
        <v>23</v>
      </c>
      <c r="S14253" s="1" t="s">
        <v>34218</v>
      </c>
    </row>
    <row r="14254" spans="1:19" x14ac:dyDescent="0.25">
      <c r="A14254">
        <v>101352558</v>
      </c>
      <c r="B14254" t="s">
        <v>30819</v>
      </c>
      <c r="C14254" t="s">
        <v>30820</v>
      </c>
      <c r="G14254" t="s">
        <v>30821</v>
      </c>
      <c r="H14254" t="s">
        <v>30822</v>
      </c>
      <c r="I14254" t="s">
        <v>191</v>
      </c>
      <c r="J14254">
        <v>4096</v>
      </c>
      <c r="K14254">
        <v>7927</v>
      </c>
      <c r="L14254" t="s">
        <v>23</v>
      </c>
      <c r="M14254" t="s">
        <v>30821</v>
      </c>
      <c r="N14254" t="s">
        <v>30822</v>
      </c>
      <c r="O14254" t="s">
        <v>191</v>
      </c>
      <c r="P14254">
        <v>4096</v>
      </c>
      <c r="Q14254">
        <v>7927</v>
      </c>
      <c r="R14254" t="s">
        <v>23</v>
      </c>
      <c r="S14254" s="1" t="s">
        <v>34218</v>
      </c>
    </row>
    <row r="14255" spans="1:19" x14ac:dyDescent="0.25">
      <c r="A14255">
        <v>101190856</v>
      </c>
      <c r="B14255" t="s">
        <v>3123</v>
      </c>
      <c r="C14255" t="s">
        <v>90</v>
      </c>
      <c r="G14255" t="s">
        <v>30823</v>
      </c>
      <c r="H14255" t="s">
        <v>445</v>
      </c>
      <c r="I14255" t="s">
        <v>446</v>
      </c>
      <c r="J14255">
        <v>28803</v>
      </c>
      <c r="K14255">
        <v>8577</v>
      </c>
      <c r="L14255" t="s">
        <v>23</v>
      </c>
      <c r="M14255" t="s">
        <v>30823</v>
      </c>
      <c r="N14255" t="s">
        <v>445</v>
      </c>
      <c r="O14255" t="s">
        <v>446</v>
      </c>
      <c r="P14255">
        <v>28803</v>
      </c>
      <c r="Q14255">
        <v>8577</v>
      </c>
      <c r="R14255" t="s">
        <v>23</v>
      </c>
      <c r="S14255" s="1" t="s">
        <v>34218</v>
      </c>
    </row>
    <row r="14256" spans="1:19" x14ac:dyDescent="0.25">
      <c r="A14256">
        <v>101420652</v>
      </c>
      <c r="B14256" t="s">
        <v>22750</v>
      </c>
      <c r="C14256" t="s">
        <v>40</v>
      </c>
      <c r="G14256" t="s">
        <v>30824</v>
      </c>
      <c r="H14256" t="s">
        <v>4117</v>
      </c>
      <c r="I14256" t="s">
        <v>187</v>
      </c>
      <c r="J14256">
        <v>55042</v>
      </c>
      <c r="K14256">
        <v>8530</v>
      </c>
      <c r="L14256" t="s">
        <v>23</v>
      </c>
      <c r="M14256" t="s">
        <v>30824</v>
      </c>
      <c r="N14256" t="s">
        <v>4117</v>
      </c>
      <c r="O14256" t="s">
        <v>187</v>
      </c>
      <c r="P14256">
        <v>55042</v>
      </c>
      <c r="Q14256">
        <v>8530</v>
      </c>
      <c r="R14256" t="s">
        <v>23</v>
      </c>
      <c r="S14256" s="1" t="s">
        <v>34218</v>
      </c>
    </row>
    <row r="14257" spans="1:19" x14ac:dyDescent="0.25">
      <c r="A14257">
        <v>101480939</v>
      </c>
      <c r="B14257" t="s">
        <v>9983</v>
      </c>
      <c r="C14257" t="s">
        <v>2512</v>
      </c>
      <c r="G14257" t="s">
        <v>30825</v>
      </c>
      <c r="H14257" t="s">
        <v>1827</v>
      </c>
      <c r="I14257" t="s">
        <v>1000</v>
      </c>
      <c r="J14257">
        <v>59840</v>
      </c>
      <c r="K14257">
        <v>2560</v>
      </c>
      <c r="L14257" t="s">
        <v>23</v>
      </c>
      <c r="M14257" t="s">
        <v>30825</v>
      </c>
      <c r="N14257" t="s">
        <v>1827</v>
      </c>
      <c r="O14257" t="s">
        <v>1000</v>
      </c>
      <c r="P14257">
        <v>59840</v>
      </c>
      <c r="Q14257">
        <v>2560</v>
      </c>
      <c r="R14257" t="s">
        <v>23</v>
      </c>
      <c r="S14257" s="1" t="s">
        <v>34218</v>
      </c>
    </row>
    <row r="14258" spans="1:19" x14ac:dyDescent="0.25">
      <c r="A14258">
        <v>101480940</v>
      </c>
      <c r="B14258" t="s">
        <v>11089</v>
      </c>
      <c r="C14258" t="s">
        <v>5274</v>
      </c>
      <c r="G14258" t="s">
        <v>11090</v>
      </c>
      <c r="H14258" t="s">
        <v>1113</v>
      </c>
      <c r="I14258" t="s">
        <v>365</v>
      </c>
      <c r="J14258">
        <v>86004</v>
      </c>
      <c r="K14258">
        <v>2360</v>
      </c>
      <c r="L14258" t="s">
        <v>23</v>
      </c>
      <c r="M14258" t="s">
        <v>11090</v>
      </c>
      <c r="N14258" t="s">
        <v>1113</v>
      </c>
      <c r="O14258" t="s">
        <v>365</v>
      </c>
      <c r="P14258">
        <v>86004</v>
      </c>
      <c r="Q14258">
        <v>2360</v>
      </c>
      <c r="R14258" t="s">
        <v>23</v>
      </c>
      <c r="S14258" s="1" t="s">
        <v>34218</v>
      </c>
    </row>
    <row r="14259" spans="1:19" x14ac:dyDescent="0.25">
      <c r="A14259">
        <v>100577698</v>
      </c>
      <c r="B14259" t="s">
        <v>30826</v>
      </c>
      <c r="C14259" t="s">
        <v>367</v>
      </c>
      <c r="G14259" t="s">
        <v>30827</v>
      </c>
      <c r="H14259" t="s">
        <v>11012</v>
      </c>
      <c r="I14259" t="s">
        <v>332</v>
      </c>
      <c r="J14259">
        <v>84010</v>
      </c>
      <c r="K14259">
        <v>5076</v>
      </c>
      <c r="L14259" t="s">
        <v>23</v>
      </c>
      <c r="M14259" t="s">
        <v>30827</v>
      </c>
      <c r="N14259" t="s">
        <v>11012</v>
      </c>
      <c r="O14259" t="s">
        <v>332</v>
      </c>
      <c r="P14259">
        <v>84010</v>
      </c>
      <c r="Q14259">
        <v>5076</v>
      </c>
      <c r="R14259" t="s">
        <v>23</v>
      </c>
      <c r="S14259" s="1" t="s">
        <v>34218</v>
      </c>
    </row>
    <row r="14260" spans="1:19" x14ac:dyDescent="0.25">
      <c r="A14260">
        <v>101480945</v>
      </c>
      <c r="B14260" t="s">
        <v>30828</v>
      </c>
      <c r="C14260" t="s">
        <v>30829</v>
      </c>
      <c r="G14260" t="s">
        <v>30830</v>
      </c>
      <c r="H14260" t="s">
        <v>1766</v>
      </c>
      <c r="I14260" t="s">
        <v>22</v>
      </c>
      <c r="J14260">
        <v>94590</v>
      </c>
      <c r="K14260">
        <v>6453</v>
      </c>
      <c r="L14260" t="s">
        <v>23</v>
      </c>
      <c r="M14260" t="s">
        <v>30830</v>
      </c>
      <c r="N14260" t="s">
        <v>1766</v>
      </c>
      <c r="O14260" t="s">
        <v>22</v>
      </c>
      <c r="P14260">
        <v>94590</v>
      </c>
      <c r="Q14260">
        <v>6453</v>
      </c>
      <c r="R14260" t="s">
        <v>23</v>
      </c>
      <c r="S14260" s="1" t="s">
        <v>34218</v>
      </c>
    </row>
    <row r="14261" spans="1:19" x14ac:dyDescent="0.25">
      <c r="A14261">
        <v>100673918</v>
      </c>
      <c r="B14261" t="s">
        <v>30831</v>
      </c>
      <c r="C14261" t="s">
        <v>123</v>
      </c>
      <c r="G14261" t="s">
        <v>30832</v>
      </c>
      <c r="H14261" t="s">
        <v>12543</v>
      </c>
      <c r="I14261" t="s">
        <v>148</v>
      </c>
      <c r="J14261">
        <v>20715</v>
      </c>
      <c r="K14261">
        <v>3234</v>
      </c>
      <c r="L14261" t="s">
        <v>23</v>
      </c>
      <c r="M14261" t="s">
        <v>30832</v>
      </c>
      <c r="N14261" t="s">
        <v>12543</v>
      </c>
      <c r="O14261" t="s">
        <v>148</v>
      </c>
      <c r="P14261">
        <v>20715</v>
      </c>
      <c r="Q14261">
        <v>3234</v>
      </c>
      <c r="R14261" t="s">
        <v>23</v>
      </c>
      <c r="S14261" s="1" t="s">
        <v>34218</v>
      </c>
    </row>
    <row r="14262" spans="1:19" x14ac:dyDescent="0.25">
      <c r="A14262">
        <v>100876077</v>
      </c>
      <c r="B14262" t="s">
        <v>30833</v>
      </c>
      <c r="C14262" t="s">
        <v>7884</v>
      </c>
      <c r="G14262" t="s">
        <v>30834</v>
      </c>
      <c r="H14262" t="s">
        <v>30835</v>
      </c>
      <c r="I14262" t="s">
        <v>28</v>
      </c>
      <c r="J14262">
        <v>31793</v>
      </c>
      <c r="K14262">
        <v>8374</v>
      </c>
      <c r="L14262" t="s">
        <v>23</v>
      </c>
      <c r="M14262" t="s">
        <v>30834</v>
      </c>
      <c r="N14262" t="s">
        <v>30835</v>
      </c>
      <c r="O14262" t="s">
        <v>28</v>
      </c>
      <c r="P14262">
        <v>31793</v>
      </c>
      <c r="Q14262">
        <v>8374</v>
      </c>
      <c r="R14262" t="s">
        <v>23</v>
      </c>
      <c r="S14262" s="1" t="s">
        <v>34218</v>
      </c>
    </row>
    <row r="14263" spans="1:19" x14ac:dyDescent="0.25">
      <c r="A14263">
        <v>101480958</v>
      </c>
      <c r="B14263" t="s">
        <v>6084</v>
      </c>
      <c r="C14263" t="s">
        <v>6891</v>
      </c>
      <c r="G14263" t="s">
        <v>30836</v>
      </c>
      <c r="H14263" t="s">
        <v>1979</v>
      </c>
      <c r="I14263" t="s">
        <v>22</v>
      </c>
      <c r="J14263">
        <v>94937</v>
      </c>
      <c r="K14263">
        <v>68</v>
      </c>
      <c r="L14263" t="s">
        <v>23</v>
      </c>
      <c r="M14263" t="s">
        <v>30836</v>
      </c>
      <c r="N14263" t="s">
        <v>1979</v>
      </c>
      <c r="O14263" t="s">
        <v>22</v>
      </c>
      <c r="P14263">
        <v>94937</v>
      </c>
      <c r="Q14263">
        <v>68</v>
      </c>
      <c r="R14263" t="s">
        <v>23</v>
      </c>
      <c r="S14263" s="1" t="s">
        <v>34218</v>
      </c>
    </row>
    <row r="14264" spans="1:19" x14ac:dyDescent="0.25">
      <c r="A14264">
        <v>101406068</v>
      </c>
      <c r="B14264" t="s">
        <v>654</v>
      </c>
      <c r="C14264" t="s">
        <v>114</v>
      </c>
      <c r="G14264" t="s">
        <v>30837</v>
      </c>
      <c r="H14264" t="s">
        <v>30838</v>
      </c>
      <c r="I14264" t="s">
        <v>43</v>
      </c>
      <c r="J14264">
        <v>0</v>
      </c>
      <c r="L14264" t="s">
        <v>23</v>
      </c>
      <c r="M14264" t="s">
        <v>30837</v>
      </c>
      <c r="N14264" t="s">
        <v>30838</v>
      </c>
      <c r="O14264" t="s">
        <v>43</v>
      </c>
      <c r="P14264">
        <v>0</v>
      </c>
      <c r="R14264" t="s">
        <v>23</v>
      </c>
      <c r="S14264" s="1" t="s">
        <v>34218</v>
      </c>
    </row>
    <row r="14265" spans="1:19" x14ac:dyDescent="0.25">
      <c r="A14265">
        <v>101465632</v>
      </c>
      <c r="B14265" t="s">
        <v>3303</v>
      </c>
      <c r="C14265" t="s">
        <v>1298</v>
      </c>
      <c r="G14265" t="s">
        <v>2544</v>
      </c>
      <c r="H14265" t="s">
        <v>11980</v>
      </c>
      <c r="I14265" t="s">
        <v>43</v>
      </c>
      <c r="J14265">
        <v>97540</v>
      </c>
      <c r="K14265">
        <v>701</v>
      </c>
      <c r="L14265" t="s">
        <v>23</v>
      </c>
      <c r="M14265" t="s">
        <v>2544</v>
      </c>
      <c r="N14265" t="s">
        <v>11980</v>
      </c>
      <c r="O14265" t="s">
        <v>43</v>
      </c>
      <c r="P14265">
        <v>97540</v>
      </c>
      <c r="Q14265">
        <v>701</v>
      </c>
      <c r="R14265" t="s">
        <v>23</v>
      </c>
      <c r="S14265" s="1" t="s">
        <v>34218</v>
      </c>
    </row>
    <row r="14266" spans="1:19" x14ac:dyDescent="0.25">
      <c r="A14266">
        <v>100894175</v>
      </c>
      <c r="B14266" t="s">
        <v>1545</v>
      </c>
      <c r="C14266" t="s">
        <v>30839</v>
      </c>
      <c r="G14266" t="s">
        <v>30840</v>
      </c>
      <c r="H14266" t="s">
        <v>299</v>
      </c>
      <c r="I14266" t="s">
        <v>22</v>
      </c>
      <c r="J14266">
        <v>90019</v>
      </c>
      <c r="K14266">
        <v>2532</v>
      </c>
      <c r="L14266" t="s">
        <v>23</v>
      </c>
      <c r="M14266" t="s">
        <v>30840</v>
      </c>
      <c r="N14266" t="s">
        <v>299</v>
      </c>
      <c r="O14266" t="s">
        <v>22</v>
      </c>
      <c r="P14266">
        <v>90019</v>
      </c>
      <c r="Q14266">
        <v>2532</v>
      </c>
      <c r="R14266" t="s">
        <v>23</v>
      </c>
      <c r="S14266" s="1" t="s">
        <v>34218</v>
      </c>
    </row>
    <row r="14267" spans="1:19" x14ac:dyDescent="0.25">
      <c r="A14267">
        <v>101411741</v>
      </c>
      <c r="B14267" t="s">
        <v>13577</v>
      </c>
      <c r="C14267" t="s">
        <v>2802</v>
      </c>
      <c r="G14267" t="s">
        <v>30841</v>
      </c>
      <c r="H14267" t="s">
        <v>1229</v>
      </c>
      <c r="I14267" t="s">
        <v>38</v>
      </c>
      <c r="J14267">
        <v>78228</v>
      </c>
      <c r="L14267" t="s">
        <v>23</v>
      </c>
      <c r="M14267" t="s">
        <v>30841</v>
      </c>
      <c r="N14267" t="s">
        <v>1229</v>
      </c>
      <c r="O14267" t="s">
        <v>38</v>
      </c>
      <c r="P14267">
        <v>78228</v>
      </c>
      <c r="R14267" t="s">
        <v>23</v>
      </c>
      <c r="S14267" s="1" t="s">
        <v>34218</v>
      </c>
    </row>
    <row r="14268" spans="1:19" x14ac:dyDescent="0.25">
      <c r="A14268">
        <v>101097661</v>
      </c>
      <c r="B14268" t="s">
        <v>30842</v>
      </c>
      <c r="C14268" t="s">
        <v>30843</v>
      </c>
      <c r="G14268" t="s">
        <v>30844</v>
      </c>
      <c r="H14268" t="s">
        <v>2218</v>
      </c>
      <c r="I14268" t="s">
        <v>161</v>
      </c>
      <c r="J14268">
        <v>6605</v>
      </c>
      <c r="K14268">
        <v>2736</v>
      </c>
      <c r="L14268" t="s">
        <v>23</v>
      </c>
      <c r="M14268" t="s">
        <v>30844</v>
      </c>
      <c r="N14268" t="s">
        <v>2218</v>
      </c>
      <c r="O14268" t="s">
        <v>161</v>
      </c>
      <c r="P14268">
        <v>6605</v>
      </c>
      <c r="Q14268">
        <v>2736</v>
      </c>
      <c r="R14268" t="s">
        <v>23</v>
      </c>
      <c r="S14268" s="1" t="s">
        <v>34218</v>
      </c>
    </row>
    <row r="14269" spans="1:19" x14ac:dyDescent="0.25">
      <c r="A14269">
        <v>101478640</v>
      </c>
      <c r="B14269" t="s">
        <v>19035</v>
      </c>
      <c r="C14269" t="s">
        <v>763</v>
      </c>
      <c r="G14269" t="s">
        <v>30845</v>
      </c>
      <c r="H14269" t="s">
        <v>11145</v>
      </c>
      <c r="I14269" t="s">
        <v>38</v>
      </c>
      <c r="J14269">
        <v>79413</v>
      </c>
      <c r="L14269" t="s">
        <v>23</v>
      </c>
      <c r="M14269" t="s">
        <v>30845</v>
      </c>
      <c r="N14269" t="s">
        <v>11145</v>
      </c>
      <c r="O14269" t="s">
        <v>38</v>
      </c>
      <c r="P14269">
        <v>79413</v>
      </c>
      <c r="R14269" t="s">
        <v>23</v>
      </c>
      <c r="S14269" s="1" t="s">
        <v>34218</v>
      </c>
    </row>
    <row r="14270" spans="1:19" x14ac:dyDescent="0.25">
      <c r="A14270">
        <v>101306774</v>
      </c>
      <c r="B14270" t="s">
        <v>402</v>
      </c>
      <c r="C14270" t="s">
        <v>30</v>
      </c>
      <c r="G14270" t="s">
        <v>30846</v>
      </c>
      <c r="H14270" t="s">
        <v>2279</v>
      </c>
      <c r="I14270" t="s">
        <v>52</v>
      </c>
      <c r="J14270">
        <v>33604</v>
      </c>
      <c r="K14270">
        <v>4308</v>
      </c>
      <c r="L14270" t="s">
        <v>23</v>
      </c>
      <c r="M14270" t="s">
        <v>30846</v>
      </c>
      <c r="N14270" t="s">
        <v>2279</v>
      </c>
      <c r="O14270" t="s">
        <v>52</v>
      </c>
      <c r="P14270">
        <v>33604</v>
      </c>
      <c r="Q14270">
        <v>4308</v>
      </c>
      <c r="R14270" t="s">
        <v>23</v>
      </c>
      <c r="S14270" s="1" t="s">
        <v>34218</v>
      </c>
    </row>
    <row r="14271" spans="1:19" x14ac:dyDescent="0.25">
      <c r="A14271">
        <v>100524800</v>
      </c>
      <c r="B14271" t="s">
        <v>11232</v>
      </c>
      <c r="C14271" t="s">
        <v>30847</v>
      </c>
      <c r="G14271" t="s">
        <v>9291</v>
      </c>
      <c r="H14271" t="s">
        <v>19399</v>
      </c>
      <c r="I14271" t="s">
        <v>28</v>
      </c>
      <c r="J14271">
        <v>30058</v>
      </c>
      <c r="K14271">
        <v>917</v>
      </c>
      <c r="L14271" t="s">
        <v>23</v>
      </c>
      <c r="M14271" t="s">
        <v>9291</v>
      </c>
      <c r="N14271" t="s">
        <v>19399</v>
      </c>
      <c r="O14271" t="s">
        <v>28</v>
      </c>
      <c r="P14271">
        <v>30058</v>
      </c>
      <c r="Q14271">
        <v>917</v>
      </c>
      <c r="R14271" t="s">
        <v>23</v>
      </c>
      <c r="S14271" s="1" t="s">
        <v>34218</v>
      </c>
    </row>
    <row r="14272" spans="1:19" x14ac:dyDescent="0.25">
      <c r="A14272">
        <v>101471856</v>
      </c>
      <c r="B14272" t="s">
        <v>3545</v>
      </c>
      <c r="C14272" t="s">
        <v>3705</v>
      </c>
      <c r="G14272">
        <v>123</v>
      </c>
      <c r="H14272" t="s">
        <v>17995</v>
      </c>
      <c r="I14272" t="s">
        <v>135</v>
      </c>
      <c r="J14272">
        <v>60188</v>
      </c>
      <c r="L14272" t="s">
        <v>23</v>
      </c>
      <c r="M14272">
        <v>123</v>
      </c>
      <c r="N14272" t="s">
        <v>17995</v>
      </c>
      <c r="O14272" t="s">
        <v>135</v>
      </c>
      <c r="P14272">
        <v>60188</v>
      </c>
      <c r="R14272" t="s">
        <v>23</v>
      </c>
      <c r="S14272" s="1" t="s">
        <v>34218</v>
      </c>
    </row>
    <row r="14273" spans="1:19" x14ac:dyDescent="0.25">
      <c r="A14273">
        <v>100633947</v>
      </c>
      <c r="B14273" t="s">
        <v>30848</v>
      </c>
      <c r="C14273" t="s">
        <v>252</v>
      </c>
      <c r="G14273" t="s">
        <v>25835</v>
      </c>
      <c r="H14273" t="s">
        <v>177</v>
      </c>
      <c r="I14273" t="s">
        <v>43</v>
      </c>
      <c r="J14273">
        <v>97520</v>
      </c>
      <c r="K14273">
        <v>2653</v>
      </c>
      <c r="L14273" t="s">
        <v>23</v>
      </c>
      <c r="M14273" t="s">
        <v>25835</v>
      </c>
      <c r="N14273" t="s">
        <v>177</v>
      </c>
      <c r="O14273" t="s">
        <v>43</v>
      </c>
      <c r="P14273">
        <v>97520</v>
      </c>
      <c r="Q14273">
        <v>2653</v>
      </c>
      <c r="R14273" t="s">
        <v>23</v>
      </c>
      <c r="S14273" s="1" t="s">
        <v>34218</v>
      </c>
    </row>
    <row r="14274" spans="1:19" x14ac:dyDescent="0.25">
      <c r="A14274">
        <v>100948932</v>
      </c>
      <c r="B14274" t="s">
        <v>20699</v>
      </c>
      <c r="C14274" t="s">
        <v>119</v>
      </c>
      <c r="G14274" t="s">
        <v>30849</v>
      </c>
      <c r="H14274" t="s">
        <v>4262</v>
      </c>
      <c r="I14274" t="s">
        <v>365</v>
      </c>
      <c r="J14274">
        <v>85387</v>
      </c>
      <c r="K14274">
        <v>1155</v>
      </c>
      <c r="L14274" t="s">
        <v>23</v>
      </c>
      <c r="M14274" t="s">
        <v>30849</v>
      </c>
      <c r="N14274" t="s">
        <v>4262</v>
      </c>
      <c r="O14274" t="s">
        <v>365</v>
      </c>
      <c r="P14274">
        <v>85387</v>
      </c>
      <c r="Q14274">
        <v>1155</v>
      </c>
      <c r="R14274" t="s">
        <v>23</v>
      </c>
      <c r="S14274" s="1" t="s">
        <v>34218</v>
      </c>
    </row>
    <row r="14275" spans="1:19" x14ac:dyDescent="0.25">
      <c r="A14275">
        <v>101333095</v>
      </c>
      <c r="B14275" t="s">
        <v>880</v>
      </c>
      <c r="C14275" t="s">
        <v>4407</v>
      </c>
      <c r="G14275" t="s">
        <v>30850</v>
      </c>
      <c r="H14275" t="s">
        <v>134</v>
      </c>
      <c r="I14275" t="s">
        <v>135</v>
      </c>
      <c r="J14275">
        <v>60613</v>
      </c>
      <c r="K14275">
        <v>4407</v>
      </c>
      <c r="L14275" t="s">
        <v>23</v>
      </c>
      <c r="M14275" t="s">
        <v>30850</v>
      </c>
      <c r="N14275" t="s">
        <v>134</v>
      </c>
      <c r="O14275" t="s">
        <v>135</v>
      </c>
      <c r="P14275">
        <v>60613</v>
      </c>
      <c r="Q14275">
        <v>4407</v>
      </c>
      <c r="R14275" t="s">
        <v>23</v>
      </c>
      <c r="S14275" s="1" t="s">
        <v>34218</v>
      </c>
    </row>
    <row r="14276" spans="1:19" x14ac:dyDescent="0.25">
      <c r="A14276">
        <v>101225564</v>
      </c>
      <c r="B14276" t="s">
        <v>927</v>
      </c>
      <c r="C14276" t="s">
        <v>30851</v>
      </c>
      <c r="G14276" t="s">
        <v>30852</v>
      </c>
      <c r="H14276" t="s">
        <v>14608</v>
      </c>
      <c r="I14276" t="s">
        <v>22</v>
      </c>
      <c r="J14276">
        <v>95758</v>
      </c>
      <c r="K14276">
        <v>7031</v>
      </c>
      <c r="L14276" t="s">
        <v>23</v>
      </c>
      <c r="M14276" t="s">
        <v>30852</v>
      </c>
      <c r="N14276" t="s">
        <v>14608</v>
      </c>
      <c r="O14276" t="s">
        <v>22</v>
      </c>
      <c r="P14276">
        <v>95758</v>
      </c>
      <c r="Q14276">
        <v>7031</v>
      </c>
      <c r="R14276" t="s">
        <v>23</v>
      </c>
      <c r="S14276" s="1" t="s">
        <v>34218</v>
      </c>
    </row>
    <row r="14277" spans="1:19" x14ac:dyDescent="0.25">
      <c r="A14277">
        <v>101449232</v>
      </c>
      <c r="B14277" t="s">
        <v>30853</v>
      </c>
      <c r="C14277" t="s">
        <v>1452</v>
      </c>
      <c r="G14277" t="s">
        <v>30854</v>
      </c>
      <c r="H14277" t="s">
        <v>2701</v>
      </c>
      <c r="I14277" t="s">
        <v>117</v>
      </c>
      <c r="J14277">
        <v>13775</v>
      </c>
      <c r="L14277" t="s">
        <v>23</v>
      </c>
      <c r="M14277" t="s">
        <v>30854</v>
      </c>
      <c r="N14277" t="s">
        <v>2701</v>
      </c>
      <c r="O14277" t="s">
        <v>117</v>
      </c>
      <c r="P14277">
        <v>13775</v>
      </c>
      <c r="R14277" t="s">
        <v>23</v>
      </c>
      <c r="S14277" s="1" t="s">
        <v>34218</v>
      </c>
    </row>
    <row r="14278" spans="1:19" x14ac:dyDescent="0.25">
      <c r="A14278">
        <v>101480914</v>
      </c>
      <c r="B14278" t="s">
        <v>6084</v>
      </c>
      <c r="C14278" t="s">
        <v>3643</v>
      </c>
      <c r="G14278" t="s">
        <v>30855</v>
      </c>
      <c r="H14278" t="s">
        <v>16681</v>
      </c>
      <c r="I14278" t="s">
        <v>28</v>
      </c>
      <c r="J14278">
        <v>30087</v>
      </c>
      <c r="K14278">
        <v>4846</v>
      </c>
      <c r="L14278" t="s">
        <v>23</v>
      </c>
      <c r="M14278" t="s">
        <v>30855</v>
      </c>
      <c r="N14278" t="s">
        <v>16681</v>
      </c>
      <c r="O14278" t="s">
        <v>28</v>
      </c>
      <c r="P14278">
        <v>30087</v>
      </c>
      <c r="Q14278">
        <v>4846</v>
      </c>
      <c r="R14278" t="s">
        <v>23</v>
      </c>
      <c r="S14278" s="1" t="s">
        <v>34218</v>
      </c>
    </row>
    <row r="14279" spans="1:19" x14ac:dyDescent="0.25">
      <c r="A14279">
        <v>101324594</v>
      </c>
      <c r="B14279" t="s">
        <v>4127</v>
      </c>
      <c r="C14279" t="s">
        <v>2518</v>
      </c>
      <c r="G14279" t="s">
        <v>30856</v>
      </c>
      <c r="H14279" t="s">
        <v>1787</v>
      </c>
      <c r="I14279" t="s">
        <v>702</v>
      </c>
      <c r="J14279">
        <v>89141</v>
      </c>
      <c r="K14279">
        <v>4112</v>
      </c>
      <c r="L14279" t="s">
        <v>23</v>
      </c>
      <c r="M14279" t="s">
        <v>30856</v>
      </c>
      <c r="N14279" t="s">
        <v>1787</v>
      </c>
      <c r="O14279" t="s">
        <v>702</v>
      </c>
      <c r="P14279">
        <v>89141</v>
      </c>
      <c r="Q14279">
        <v>4112</v>
      </c>
      <c r="R14279" t="s">
        <v>23</v>
      </c>
      <c r="S14279" s="1" t="s">
        <v>34218</v>
      </c>
    </row>
    <row r="14280" spans="1:19" x14ac:dyDescent="0.25">
      <c r="A14280">
        <v>101480917</v>
      </c>
      <c r="B14280" t="s">
        <v>30857</v>
      </c>
      <c r="C14280" t="s">
        <v>30858</v>
      </c>
      <c r="G14280" t="s">
        <v>30859</v>
      </c>
      <c r="H14280" t="s">
        <v>30860</v>
      </c>
      <c r="I14280" t="s">
        <v>22</v>
      </c>
      <c r="J14280">
        <v>23570</v>
      </c>
      <c r="L14280" t="s">
        <v>23</v>
      </c>
      <c r="M14280" t="s">
        <v>30859</v>
      </c>
      <c r="N14280" t="s">
        <v>30860</v>
      </c>
      <c r="O14280" t="s">
        <v>22</v>
      </c>
      <c r="P14280">
        <v>23570</v>
      </c>
      <c r="R14280" t="s">
        <v>23</v>
      </c>
      <c r="S14280" s="1" t="s">
        <v>34218</v>
      </c>
    </row>
    <row r="14281" spans="1:19" x14ac:dyDescent="0.25">
      <c r="A14281">
        <v>101480922</v>
      </c>
      <c r="B14281" t="s">
        <v>30861</v>
      </c>
      <c r="C14281" t="s">
        <v>867</v>
      </c>
      <c r="G14281" t="s">
        <v>30862</v>
      </c>
      <c r="H14281" t="s">
        <v>6273</v>
      </c>
      <c r="I14281" t="s">
        <v>161</v>
      </c>
      <c r="J14281">
        <v>6477</v>
      </c>
      <c r="K14281">
        <v>3715</v>
      </c>
      <c r="L14281" t="s">
        <v>23</v>
      </c>
      <c r="M14281" t="s">
        <v>30862</v>
      </c>
      <c r="N14281" t="s">
        <v>6273</v>
      </c>
      <c r="O14281" t="s">
        <v>161</v>
      </c>
      <c r="P14281">
        <v>6477</v>
      </c>
      <c r="Q14281">
        <v>3715</v>
      </c>
      <c r="R14281" t="s">
        <v>23</v>
      </c>
      <c r="S14281" s="1" t="s">
        <v>34218</v>
      </c>
    </row>
    <row r="14282" spans="1:19" x14ac:dyDescent="0.25">
      <c r="A14282">
        <v>101480925</v>
      </c>
      <c r="B14282" t="s">
        <v>12827</v>
      </c>
      <c r="C14282" t="s">
        <v>30863</v>
      </c>
      <c r="G14282" t="s">
        <v>30864</v>
      </c>
      <c r="H14282" t="s">
        <v>682</v>
      </c>
      <c r="I14282" t="s">
        <v>365</v>
      </c>
      <c r="J14282">
        <v>85020</v>
      </c>
      <c r="K14282">
        <v>4701</v>
      </c>
      <c r="L14282" t="s">
        <v>23</v>
      </c>
      <c r="M14282" t="s">
        <v>30864</v>
      </c>
      <c r="N14282" t="s">
        <v>682</v>
      </c>
      <c r="O14282" t="s">
        <v>365</v>
      </c>
      <c r="P14282">
        <v>85020</v>
      </c>
      <c r="Q14282">
        <v>4701</v>
      </c>
      <c r="R14282" t="s">
        <v>23</v>
      </c>
      <c r="S14282" s="1" t="s">
        <v>34218</v>
      </c>
    </row>
    <row r="14283" spans="1:19" x14ac:dyDescent="0.25">
      <c r="A14283">
        <v>101473869</v>
      </c>
      <c r="B14283" t="s">
        <v>30865</v>
      </c>
      <c r="C14283" t="s">
        <v>403</v>
      </c>
      <c r="G14283" t="s">
        <v>30866</v>
      </c>
      <c r="H14283" t="s">
        <v>7125</v>
      </c>
      <c r="I14283" t="s">
        <v>1482</v>
      </c>
      <c r="J14283">
        <v>29707</v>
      </c>
      <c r="K14283">
        <v>7725</v>
      </c>
      <c r="L14283" t="s">
        <v>23</v>
      </c>
      <c r="M14283" t="s">
        <v>30866</v>
      </c>
      <c r="N14283" t="s">
        <v>7125</v>
      </c>
      <c r="O14283" t="s">
        <v>1482</v>
      </c>
      <c r="P14283">
        <v>29707</v>
      </c>
      <c r="Q14283">
        <v>7725</v>
      </c>
      <c r="R14283" t="s">
        <v>23</v>
      </c>
      <c r="S14283" s="1" t="s">
        <v>34218</v>
      </c>
    </row>
    <row r="14284" spans="1:19" x14ac:dyDescent="0.25">
      <c r="A14284">
        <v>101342279</v>
      </c>
      <c r="B14284" t="s">
        <v>30867</v>
      </c>
      <c r="C14284" t="s">
        <v>1588</v>
      </c>
      <c r="G14284" t="s">
        <v>30868</v>
      </c>
      <c r="H14284" t="s">
        <v>7857</v>
      </c>
      <c r="I14284" t="s">
        <v>148</v>
      </c>
      <c r="J14284">
        <v>21093</v>
      </c>
      <c r="K14284">
        <v>5251</v>
      </c>
      <c r="L14284" t="s">
        <v>23</v>
      </c>
      <c r="M14284" t="s">
        <v>30868</v>
      </c>
      <c r="N14284" t="s">
        <v>7857</v>
      </c>
      <c r="O14284" t="s">
        <v>148</v>
      </c>
      <c r="P14284">
        <v>21093</v>
      </c>
      <c r="Q14284">
        <v>5251</v>
      </c>
      <c r="R14284" t="s">
        <v>23</v>
      </c>
      <c r="S14284" s="1" t="s">
        <v>34218</v>
      </c>
    </row>
    <row r="14285" spans="1:19" x14ac:dyDescent="0.25">
      <c r="A14285">
        <v>100672370</v>
      </c>
      <c r="B14285" t="s">
        <v>2087</v>
      </c>
      <c r="C14285" t="s">
        <v>1124</v>
      </c>
      <c r="G14285" t="s">
        <v>30869</v>
      </c>
      <c r="H14285" t="s">
        <v>737</v>
      </c>
      <c r="I14285" t="s">
        <v>255</v>
      </c>
      <c r="J14285">
        <v>23466</v>
      </c>
      <c r="K14285">
        <v>1961</v>
      </c>
      <c r="L14285" t="s">
        <v>23</v>
      </c>
      <c r="M14285" t="s">
        <v>30869</v>
      </c>
      <c r="N14285" t="s">
        <v>737</v>
      </c>
      <c r="O14285" t="s">
        <v>255</v>
      </c>
      <c r="P14285">
        <v>23466</v>
      </c>
      <c r="Q14285">
        <v>1961</v>
      </c>
      <c r="R14285" t="s">
        <v>23</v>
      </c>
      <c r="S14285" s="1" t="s">
        <v>34218</v>
      </c>
    </row>
    <row r="14286" spans="1:19" x14ac:dyDescent="0.25">
      <c r="A14286">
        <v>101229848</v>
      </c>
      <c r="B14286" t="s">
        <v>1330</v>
      </c>
      <c r="C14286" t="s">
        <v>305</v>
      </c>
      <c r="G14286" t="s">
        <v>30870</v>
      </c>
      <c r="H14286" t="s">
        <v>7649</v>
      </c>
      <c r="I14286" t="s">
        <v>57</v>
      </c>
      <c r="J14286">
        <v>46260</v>
      </c>
      <c r="K14286">
        <v>3139</v>
      </c>
      <c r="L14286" t="s">
        <v>23</v>
      </c>
      <c r="M14286" t="s">
        <v>30870</v>
      </c>
      <c r="N14286" t="s">
        <v>7649</v>
      </c>
      <c r="O14286" t="s">
        <v>57</v>
      </c>
      <c r="P14286">
        <v>46260</v>
      </c>
      <c r="Q14286">
        <v>3139</v>
      </c>
      <c r="R14286" t="s">
        <v>23</v>
      </c>
      <c r="S14286" s="1" t="s">
        <v>34218</v>
      </c>
    </row>
    <row r="14287" spans="1:19" x14ac:dyDescent="0.25">
      <c r="A14287">
        <v>100968261</v>
      </c>
      <c r="B14287" t="s">
        <v>5950</v>
      </c>
      <c r="C14287" t="s">
        <v>1933</v>
      </c>
      <c r="G14287" t="s">
        <v>30871</v>
      </c>
      <c r="H14287" t="s">
        <v>15729</v>
      </c>
      <c r="I14287" t="s">
        <v>117</v>
      </c>
      <c r="J14287">
        <v>12491</v>
      </c>
      <c r="K14287">
        <v>5441</v>
      </c>
      <c r="L14287" t="s">
        <v>23</v>
      </c>
      <c r="M14287" t="s">
        <v>30871</v>
      </c>
      <c r="N14287" t="s">
        <v>15729</v>
      </c>
      <c r="O14287" t="s">
        <v>117</v>
      </c>
      <c r="P14287">
        <v>12491</v>
      </c>
      <c r="Q14287">
        <v>5441</v>
      </c>
      <c r="R14287" t="s">
        <v>23</v>
      </c>
      <c r="S14287" s="1" t="s">
        <v>34218</v>
      </c>
    </row>
    <row r="14288" spans="1:19" x14ac:dyDescent="0.25">
      <c r="A14288">
        <v>101474091</v>
      </c>
      <c r="B14288" t="s">
        <v>30661</v>
      </c>
      <c r="C14288" t="s">
        <v>731</v>
      </c>
      <c r="G14288" t="s">
        <v>30662</v>
      </c>
      <c r="H14288" t="s">
        <v>16651</v>
      </c>
      <c r="I14288" t="s">
        <v>191</v>
      </c>
      <c r="J14288">
        <v>4429</v>
      </c>
      <c r="K14288">
        <v>7222</v>
      </c>
      <c r="L14288" t="s">
        <v>23</v>
      </c>
      <c r="M14288" t="s">
        <v>30662</v>
      </c>
      <c r="N14288" t="s">
        <v>16651</v>
      </c>
      <c r="O14288" t="s">
        <v>191</v>
      </c>
      <c r="P14288">
        <v>4429</v>
      </c>
      <c r="Q14288">
        <v>7222</v>
      </c>
      <c r="R14288" t="s">
        <v>23</v>
      </c>
      <c r="S14288" s="1" t="s">
        <v>34218</v>
      </c>
    </row>
    <row r="14289" spans="1:19" x14ac:dyDescent="0.25">
      <c r="A14289">
        <v>100859773</v>
      </c>
      <c r="B14289" t="s">
        <v>30872</v>
      </c>
      <c r="C14289" t="s">
        <v>30873</v>
      </c>
      <c r="G14289" t="s">
        <v>30874</v>
      </c>
      <c r="H14289" t="s">
        <v>2169</v>
      </c>
      <c r="I14289" t="s">
        <v>365</v>
      </c>
      <c r="J14289">
        <v>85281</v>
      </c>
      <c r="K14289">
        <v>3449</v>
      </c>
      <c r="L14289" t="s">
        <v>23</v>
      </c>
      <c r="M14289" t="s">
        <v>30874</v>
      </c>
      <c r="N14289" t="s">
        <v>2169</v>
      </c>
      <c r="O14289" t="s">
        <v>365</v>
      </c>
      <c r="P14289">
        <v>85281</v>
      </c>
      <c r="Q14289">
        <v>3449</v>
      </c>
      <c r="R14289" t="s">
        <v>23</v>
      </c>
      <c r="S14289" s="1" t="s">
        <v>34218</v>
      </c>
    </row>
    <row r="14290" spans="1:19" x14ac:dyDescent="0.25">
      <c r="A14290">
        <v>101445816</v>
      </c>
      <c r="B14290" t="s">
        <v>30875</v>
      </c>
      <c r="C14290" t="s">
        <v>2767</v>
      </c>
      <c r="G14290" t="s">
        <v>30876</v>
      </c>
      <c r="H14290" t="s">
        <v>88</v>
      </c>
      <c r="I14290" t="s">
        <v>22</v>
      </c>
      <c r="J14290">
        <v>94618</v>
      </c>
      <c r="L14290" t="s">
        <v>23</v>
      </c>
      <c r="M14290" t="s">
        <v>30876</v>
      </c>
      <c r="N14290" t="s">
        <v>88</v>
      </c>
      <c r="O14290" t="s">
        <v>22</v>
      </c>
      <c r="P14290">
        <v>94618</v>
      </c>
      <c r="R14290" t="s">
        <v>23</v>
      </c>
      <c r="S14290" s="1" t="s">
        <v>34218</v>
      </c>
    </row>
    <row r="14291" spans="1:19" x14ac:dyDescent="0.25">
      <c r="A14291">
        <v>101177457</v>
      </c>
      <c r="B14291" t="s">
        <v>24066</v>
      </c>
      <c r="C14291" t="s">
        <v>483</v>
      </c>
      <c r="G14291" t="s">
        <v>30877</v>
      </c>
      <c r="H14291" t="s">
        <v>20490</v>
      </c>
      <c r="I14291" t="s">
        <v>241</v>
      </c>
      <c r="J14291">
        <v>66227</v>
      </c>
      <c r="K14291">
        <v>7369</v>
      </c>
      <c r="L14291" t="s">
        <v>23</v>
      </c>
      <c r="M14291" t="s">
        <v>30877</v>
      </c>
      <c r="N14291" t="s">
        <v>20490</v>
      </c>
      <c r="O14291" t="s">
        <v>241</v>
      </c>
      <c r="P14291">
        <v>66227</v>
      </c>
      <c r="Q14291">
        <v>7369</v>
      </c>
      <c r="R14291" t="s">
        <v>23</v>
      </c>
      <c r="S14291" s="1" t="s">
        <v>34218</v>
      </c>
    </row>
    <row r="14292" spans="1:19" x14ac:dyDescent="0.25">
      <c r="A14292">
        <v>101457912</v>
      </c>
      <c r="B14292" t="s">
        <v>30878</v>
      </c>
      <c r="C14292" t="s">
        <v>1588</v>
      </c>
      <c r="G14292" t="s">
        <v>30879</v>
      </c>
      <c r="H14292" t="s">
        <v>9689</v>
      </c>
      <c r="I14292" t="s">
        <v>84</v>
      </c>
      <c r="J14292">
        <v>98249</v>
      </c>
      <c r="K14292">
        <v>9474</v>
      </c>
      <c r="L14292" t="s">
        <v>23</v>
      </c>
      <c r="M14292" t="s">
        <v>30879</v>
      </c>
      <c r="N14292" t="s">
        <v>9689</v>
      </c>
      <c r="O14292" t="s">
        <v>84</v>
      </c>
      <c r="P14292">
        <v>98249</v>
      </c>
      <c r="Q14292">
        <v>9474</v>
      </c>
      <c r="R14292" t="s">
        <v>23</v>
      </c>
      <c r="S14292" s="1" t="s">
        <v>34218</v>
      </c>
    </row>
    <row r="14293" spans="1:19" x14ac:dyDescent="0.25">
      <c r="A14293">
        <v>101480944</v>
      </c>
      <c r="B14293" t="s">
        <v>30880</v>
      </c>
      <c r="C14293" t="s">
        <v>7054</v>
      </c>
      <c r="G14293" t="s">
        <v>30881</v>
      </c>
      <c r="H14293" t="s">
        <v>419</v>
      </c>
      <c r="I14293" t="s">
        <v>38</v>
      </c>
      <c r="J14293">
        <v>76114</v>
      </c>
      <c r="K14293">
        <v>1154</v>
      </c>
      <c r="L14293" t="s">
        <v>23</v>
      </c>
      <c r="M14293" t="s">
        <v>30881</v>
      </c>
      <c r="N14293" t="s">
        <v>419</v>
      </c>
      <c r="O14293" t="s">
        <v>38</v>
      </c>
      <c r="P14293">
        <v>76114</v>
      </c>
      <c r="Q14293">
        <v>1154</v>
      </c>
      <c r="R14293" t="s">
        <v>23</v>
      </c>
      <c r="S14293" s="1" t="s">
        <v>34218</v>
      </c>
    </row>
    <row r="14294" spans="1:19" x14ac:dyDescent="0.25">
      <c r="A14294">
        <v>101228737</v>
      </c>
      <c r="B14294" t="s">
        <v>7081</v>
      </c>
      <c r="C14294" t="s">
        <v>8920</v>
      </c>
      <c r="G14294" t="s">
        <v>30882</v>
      </c>
      <c r="H14294" t="s">
        <v>6533</v>
      </c>
      <c r="I14294" t="s">
        <v>43</v>
      </c>
      <c r="J14294">
        <v>97110</v>
      </c>
      <c r="L14294" t="s">
        <v>23</v>
      </c>
      <c r="M14294" t="s">
        <v>30882</v>
      </c>
      <c r="N14294" t="s">
        <v>6533</v>
      </c>
      <c r="O14294" t="s">
        <v>43</v>
      </c>
      <c r="P14294">
        <v>97110</v>
      </c>
      <c r="R14294" t="s">
        <v>23</v>
      </c>
      <c r="S14294" s="1" t="s">
        <v>34218</v>
      </c>
    </row>
    <row r="14295" spans="1:19" x14ac:dyDescent="0.25">
      <c r="A14295">
        <v>101452775</v>
      </c>
      <c r="B14295" t="s">
        <v>800</v>
      </c>
      <c r="C14295" t="s">
        <v>158</v>
      </c>
      <c r="G14295" t="s">
        <v>30883</v>
      </c>
      <c r="H14295" t="s">
        <v>931</v>
      </c>
      <c r="I14295" t="s">
        <v>22</v>
      </c>
      <c r="J14295">
        <v>95032</v>
      </c>
      <c r="K14295">
        <v>2542</v>
      </c>
      <c r="L14295" t="s">
        <v>23</v>
      </c>
      <c r="M14295" t="s">
        <v>30883</v>
      </c>
      <c r="N14295" t="s">
        <v>931</v>
      </c>
      <c r="O14295" t="s">
        <v>22</v>
      </c>
      <c r="P14295">
        <v>95032</v>
      </c>
      <c r="Q14295">
        <v>2542</v>
      </c>
      <c r="R14295" t="s">
        <v>23</v>
      </c>
      <c r="S14295" s="1" t="s">
        <v>34218</v>
      </c>
    </row>
    <row r="14296" spans="1:19" x14ac:dyDescent="0.25">
      <c r="A14296">
        <v>101101115</v>
      </c>
      <c r="B14296" t="s">
        <v>30884</v>
      </c>
      <c r="C14296" t="s">
        <v>6420</v>
      </c>
      <c r="G14296" t="s">
        <v>30885</v>
      </c>
      <c r="H14296" t="s">
        <v>595</v>
      </c>
      <c r="I14296" t="s">
        <v>178</v>
      </c>
      <c r="J14296">
        <v>43420</v>
      </c>
      <c r="K14296">
        <v>9528</v>
      </c>
      <c r="L14296" t="s">
        <v>23</v>
      </c>
      <c r="M14296" t="s">
        <v>30885</v>
      </c>
      <c r="N14296" t="s">
        <v>595</v>
      </c>
      <c r="O14296" t="s">
        <v>178</v>
      </c>
      <c r="P14296">
        <v>43420</v>
      </c>
      <c r="Q14296">
        <v>9528</v>
      </c>
      <c r="R14296" t="s">
        <v>23</v>
      </c>
      <c r="S14296" s="1" t="s">
        <v>34218</v>
      </c>
    </row>
    <row r="14297" spans="1:19" x14ac:dyDescent="0.25">
      <c r="A14297">
        <v>101249262</v>
      </c>
      <c r="B14297" t="s">
        <v>30886</v>
      </c>
      <c r="C14297" t="s">
        <v>12745</v>
      </c>
      <c r="G14297" t="s">
        <v>30887</v>
      </c>
      <c r="H14297" t="s">
        <v>13983</v>
      </c>
      <c r="I14297" t="s">
        <v>52</v>
      </c>
      <c r="J14297">
        <v>33334</v>
      </c>
      <c r="K14297">
        <v>2965</v>
      </c>
      <c r="L14297" t="s">
        <v>23</v>
      </c>
      <c r="M14297" t="s">
        <v>30887</v>
      </c>
      <c r="N14297" t="s">
        <v>13983</v>
      </c>
      <c r="O14297" t="s">
        <v>52</v>
      </c>
      <c r="P14297">
        <v>33334</v>
      </c>
      <c r="Q14297">
        <v>2965</v>
      </c>
      <c r="R14297" t="s">
        <v>23</v>
      </c>
      <c r="S14297" s="1" t="s">
        <v>34218</v>
      </c>
    </row>
    <row r="14298" spans="1:19" x14ac:dyDescent="0.25">
      <c r="A14298">
        <v>100809592</v>
      </c>
      <c r="B14298" t="s">
        <v>30888</v>
      </c>
      <c r="C14298" t="s">
        <v>2084</v>
      </c>
      <c r="G14298" t="s">
        <v>30889</v>
      </c>
      <c r="H14298" t="s">
        <v>2069</v>
      </c>
      <c r="I14298" t="s">
        <v>22</v>
      </c>
      <c r="J14298">
        <v>95472</v>
      </c>
      <c r="K14298">
        <v>3559</v>
      </c>
      <c r="L14298" t="s">
        <v>23</v>
      </c>
      <c r="M14298" t="s">
        <v>30889</v>
      </c>
      <c r="N14298" t="s">
        <v>2069</v>
      </c>
      <c r="O14298" t="s">
        <v>22</v>
      </c>
      <c r="P14298">
        <v>95472</v>
      </c>
      <c r="Q14298">
        <v>3559</v>
      </c>
      <c r="R14298" t="s">
        <v>23</v>
      </c>
      <c r="S14298" s="1" t="s">
        <v>34218</v>
      </c>
    </row>
    <row r="14299" spans="1:19" x14ac:dyDescent="0.25">
      <c r="A14299">
        <v>101471881</v>
      </c>
      <c r="B14299" t="s">
        <v>3438</v>
      </c>
      <c r="C14299" t="s">
        <v>30890</v>
      </c>
      <c r="G14299" t="s">
        <v>30891</v>
      </c>
      <c r="H14299" t="s">
        <v>10093</v>
      </c>
      <c r="I14299" t="s">
        <v>84</v>
      </c>
      <c r="J14299">
        <v>98382</v>
      </c>
      <c r="K14299">
        <v>8090</v>
      </c>
      <c r="L14299" t="s">
        <v>23</v>
      </c>
      <c r="M14299" t="s">
        <v>30891</v>
      </c>
      <c r="N14299" t="s">
        <v>10093</v>
      </c>
      <c r="O14299" t="s">
        <v>84</v>
      </c>
      <c r="P14299">
        <v>98382</v>
      </c>
      <c r="Q14299">
        <v>8090</v>
      </c>
      <c r="R14299" t="s">
        <v>23</v>
      </c>
      <c r="S14299" s="1" t="s">
        <v>34218</v>
      </c>
    </row>
    <row r="14300" spans="1:19" x14ac:dyDescent="0.25">
      <c r="A14300">
        <v>101473970</v>
      </c>
      <c r="B14300" t="s">
        <v>28897</v>
      </c>
      <c r="C14300" t="s">
        <v>4228</v>
      </c>
      <c r="G14300" t="s">
        <v>28898</v>
      </c>
      <c r="H14300" t="s">
        <v>1477</v>
      </c>
      <c r="I14300" t="s">
        <v>84</v>
      </c>
      <c r="J14300">
        <v>98056</v>
      </c>
      <c r="K14300">
        <v>1522</v>
      </c>
      <c r="L14300" t="s">
        <v>23</v>
      </c>
      <c r="M14300" t="s">
        <v>28898</v>
      </c>
      <c r="N14300" t="s">
        <v>1477</v>
      </c>
      <c r="O14300" t="s">
        <v>84</v>
      </c>
      <c r="P14300">
        <v>98056</v>
      </c>
      <c r="Q14300">
        <v>1522</v>
      </c>
      <c r="R14300" t="s">
        <v>23</v>
      </c>
      <c r="S14300" s="1" t="s">
        <v>34218</v>
      </c>
    </row>
    <row r="14301" spans="1:19" x14ac:dyDescent="0.25">
      <c r="A14301">
        <v>101340482</v>
      </c>
      <c r="B14301" t="s">
        <v>30892</v>
      </c>
      <c r="C14301" t="s">
        <v>8541</v>
      </c>
      <c r="G14301" t="s">
        <v>30893</v>
      </c>
      <c r="H14301" t="s">
        <v>2762</v>
      </c>
      <c r="I14301" t="s">
        <v>1097</v>
      </c>
      <c r="J14301">
        <v>41042</v>
      </c>
      <c r="K14301">
        <v>1050</v>
      </c>
      <c r="L14301" t="s">
        <v>23</v>
      </c>
      <c r="M14301" t="s">
        <v>30893</v>
      </c>
      <c r="N14301" t="s">
        <v>2762</v>
      </c>
      <c r="O14301" t="s">
        <v>1097</v>
      </c>
      <c r="P14301">
        <v>41042</v>
      </c>
      <c r="Q14301">
        <v>1050</v>
      </c>
      <c r="R14301" t="s">
        <v>23</v>
      </c>
      <c r="S14301" s="1" t="s">
        <v>34218</v>
      </c>
    </row>
    <row r="14302" spans="1:19" x14ac:dyDescent="0.25">
      <c r="A14302">
        <v>101480980</v>
      </c>
      <c r="B14302" t="s">
        <v>3828</v>
      </c>
      <c r="C14302" t="s">
        <v>24577</v>
      </c>
      <c r="G14302" t="s">
        <v>30894</v>
      </c>
      <c r="H14302" t="s">
        <v>30895</v>
      </c>
      <c r="I14302" t="s">
        <v>250</v>
      </c>
      <c r="J14302">
        <v>8060</v>
      </c>
      <c r="K14302">
        <v>3727</v>
      </c>
      <c r="L14302" t="s">
        <v>23</v>
      </c>
      <c r="M14302" t="s">
        <v>30894</v>
      </c>
      <c r="N14302" t="s">
        <v>30895</v>
      </c>
      <c r="O14302" t="s">
        <v>250</v>
      </c>
      <c r="P14302">
        <v>8060</v>
      </c>
      <c r="Q14302">
        <v>3727</v>
      </c>
      <c r="R14302" t="s">
        <v>23</v>
      </c>
      <c r="S14302" s="1" t="s">
        <v>34218</v>
      </c>
    </row>
    <row r="14303" spans="1:19" x14ac:dyDescent="0.25">
      <c r="A14303">
        <v>101467642</v>
      </c>
      <c r="B14303" t="s">
        <v>30896</v>
      </c>
      <c r="C14303" t="s">
        <v>4828</v>
      </c>
      <c r="G14303" t="s">
        <v>30897</v>
      </c>
      <c r="H14303" t="s">
        <v>7459</v>
      </c>
      <c r="I14303" t="s">
        <v>140</v>
      </c>
      <c r="J14303">
        <v>48307</v>
      </c>
      <c r="K14303">
        <v>1160</v>
      </c>
      <c r="L14303" t="s">
        <v>23</v>
      </c>
      <c r="M14303" t="s">
        <v>30897</v>
      </c>
      <c r="N14303" t="s">
        <v>7459</v>
      </c>
      <c r="O14303" t="s">
        <v>140</v>
      </c>
      <c r="P14303">
        <v>48307</v>
      </c>
      <c r="Q14303">
        <v>1160</v>
      </c>
      <c r="R14303" t="s">
        <v>23</v>
      </c>
      <c r="S14303" s="1" t="s">
        <v>34218</v>
      </c>
    </row>
    <row r="14304" spans="1:19" x14ac:dyDescent="0.25">
      <c r="A14304">
        <v>101480988</v>
      </c>
      <c r="B14304" t="s">
        <v>12408</v>
      </c>
      <c r="C14304" t="s">
        <v>2417</v>
      </c>
      <c r="G14304" t="s">
        <v>30898</v>
      </c>
      <c r="H14304" t="s">
        <v>30899</v>
      </c>
      <c r="I14304" t="s">
        <v>33</v>
      </c>
      <c r="J14304">
        <v>17257</v>
      </c>
      <c r="K14304">
        <v>9638</v>
      </c>
      <c r="L14304" t="s">
        <v>23</v>
      </c>
      <c r="M14304" t="s">
        <v>30898</v>
      </c>
      <c r="N14304" t="s">
        <v>30899</v>
      </c>
      <c r="O14304" t="s">
        <v>33</v>
      </c>
      <c r="P14304">
        <v>17257</v>
      </c>
      <c r="Q14304">
        <v>9638</v>
      </c>
      <c r="R14304" t="s">
        <v>23</v>
      </c>
      <c r="S14304" s="1" t="s">
        <v>34218</v>
      </c>
    </row>
    <row r="14305" spans="1:19" x14ac:dyDescent="0.25">
      <c r="A14305">
        <v>101473862</v>
      </c>
      <c r="B14305" t="s">
        <v>14513</v>
      </c>
      <c r="C14305" t="s">
        <v>1487</v>
      </c>
      <c r="G14305" t="s">
        <v>30900</v>
      </c>
      <c r="H14305" t="s">
        <v>16199</v>
      </c>
      <c r="I14305" t="s">
        <v>255</v>
      </c>
      <c r="J14305">
        <v>23606</v>
      </c>
      <c r="K14305">
        <v>4217</v>
      </c>
      <c r="L14305" t="s">
        <v>23</v>
      </c>
      <c r="M14305" t="s">
        <v>30900</v>
      </c>
      <c r="N14305" t="s">
        <v>16199</v>
      </c>
      <c r="O14305" t="s">
        <v>255</v>
      </c>
      <c r="P14305">
        <v>23606</v>
      </c>
      <c r="Q14305">
        <v>4217</v>
      </c>
      <c r="R14305" t="s">
        <v>23</v>
      </c>
      <c r="S14305" s="1" t="s">
        <v>34218</v>
      </c>
    </row>
    <row r="14306" spans="1:19" x14ac:dyDescent="0.25">
      <c r="A14306">
        <v>101480992</v>
      </c>
      <c r="B14306" t="s">
        <v>30901</v>
      </c>
      <c r="C14306" t="s">
        <v>1176</v>
      </c>
      <c r="G14306" t="s">
        <v>30902</v>
      </c>
      <c r="H14306" t="s">
        <v>1402</v>
      </c>
      <c r="I14306" t="s">
        <v>38</v>
      </c>
      <c r="J14306">
        <v>77096</v>
      </c>
      <c r="K14306">
        <v>4038</v>
      </c>
      <c r="L14306" t="s">
        <v>23</v>
      </c>
      <c r="M14306" t="s">
        <v>30902</v>
      </c>
      <c r="N14306" t="s">
        <v>1402</v>
      </c>
      <c r="O14306" t="s">
        <v>38</v>
      </c>
      <c r="P14306">
        <v>77096</v>
      </c>
      <c r="Q14306">
        <v>4038</v>
      </c>
      <c r="R14306" t="s">
        <v>23</v>
      </c>
      <c r="S14306" s="1" t="s">
        <v>34218</v>
      </c>
    </row>
    <row r="14307" spans="1:19" x14ac:dyDescent="0.25">
      <c r="A14307">
        <v>101415354</v>
      </c>
      <c r="B14307" t="s">
        <v>918</v>
      </c>
      <c r="C14307" t="s">
        <v>4136</v>
      </c>
      <c r="G14307" t="s">
        <v>30903</v>
      </c>
      <c r="H14307" t="s">
        <v>653</v>
      </c>
      <c r="I14307" t="s">
        <v>117</v>
      </c>
      <c r="J14307">
        <v>10018</v>
      </c>
      <c r="L14307" t="s">
        <v>23</v>
      </c>
      <c r="M14307" t="s">
        <v>30903</v>
      </c>
      <c r="N14307" t="s">
        <v>653</v>
      </c>
      <c r="O14307" t="s">
        <v>117</v>
      </c>
      <c r="P14307">
        <v>10018</v>
      </c>
      <c r="R14307" t="s">
        <v>23</v>
      </c>
      <c r="S14307" s="1" t="s">
        <v>34218</v>
      </c>
    </row>
    <row r="14308" spans="1:19" x14ac:dyDescent="0.25">
      <c r="A14308">
        <v>101480999</v>
      </c>
      <c r="B14308" t="s">
        <v>8933</v>
      </c>
      <c r="C14308" t="s">
        <v>1906</v>
      </c>
      <c r="G14308" t="s">
        <v>8934</v>
      </c>
      <c r="H14308" t="s">
        <v>2613</v>
      </c>
      <c r="I14308" t="s">
        <v>22</v>
      </c>
      <c r="J14308">
        <v>95667</v>
      </c>
      <c r="K14308">
        <v>7702</v>
      </c>
      <c r="L14308" t="s">
        <v>23</v>
      </c>
      <c r="M14308" t="s">
        <v>8934</v>
      </c>
      <c r="N14308" t="s">
        <v>2613</v>
      </c>
      <c r="O14308" t="s">
        <v>22</v>
      </c>
      <c r="P14308">
        <v>95667</v>
      </c>
      <c r="Q14308">
        <v>7702</v>
      </c>
      <c r="R14308" t="s">
        <v>23</v>
      </c>
      <c r="S14308" s="1" t="s">
        <v>34218</v>
      </c>
    </row>
    <row r="14309" spans="1:19" x14ac:dyDescent="0.25">
      <c r="A14309">
        <v>101430953</v>
      </c>
      <c r="B14309" t="s">
        <v>14656</v>
      </c>
      <c r="C14309" t="s">
        <v>123</v>
      </c>
      <c r="G14309" t="s">
        <v>30904</v>
      </c>
      <c r="H14309" t="s">
        <v>3466</v>
      </c>
      <c r="I14309" t="s">
        <v>255</v>
      </c>
      <c r="J14309">
        <v>23227</v>
      </c>
      <c r="K14309">
        <v>4514</v>
      </c>
      <c r="L14309" t="s">
        <v>23</v>
      </c>
      <c r="M14309" t="s">
        <v>30904</v>
      </c>
      <c r="N14309" t="s">
        <v>3466</v>
      </c>
      <c r="O14309" t="s">
        <v>255</v>
      </c>
      <c r="P14309">
        <v>23227</v>
      </c>
      <c r="Q14309">
        <v>4514</v>
      </c>
      <c r="R14309" t="s">
        <v>23</v>
      </c>
      <c r="S14309" s="1" t="s">
        <v>34218</v>
      </c>
    </row>
    <row r="14310" spans="1:19" x14ac:dyDescent="0.25">
      <c r="A14310">
        <v>101258722</v>
      </c>
      <c r="B14310" t="s">
        <v>2032</v>
      </c>
      <c r="C14310" t="s">
        <v>621</v>
      </c>
      <c r="G14310" t="s">
        <v>30905</v>
      </c>
      <c r="H14310" t="s">
        <v>5644</v>
      </c>
      <c r="I14310" t="s">
        <v>370</v>
      </c>
      <c r="J14310">
        <v>68102</v>
      </c>
      <c r="K14310">
        <v>2604</v>
      </c>
      <c r="L14310" t="s">
        <v>23</v>
      </c>
      <c r="M14310" t="s">
        <v>30905</v>
      </c>
      <c r="N14310" t="s">
        <v>5644</v>
      </c>
      <c r="O14310" t="s">
        <v>370</v>
      </c>
      <c r="P14310">
        <v>68102</v>
      </c>
      <c r="Q14310">
        <v>2604</v>
      </c>
      <c r="R14310" t="s">
        <v>23</v>
      </c>
      <c r="S14310" s="1" t="s">
        <v>34218</v>
      </c>
    </row>
    <row r="14311" spans="1:19" x14ac:dyDescent="0.25">
      <c r="A14311">
        <v>101481002</v>
      </c>
      <c r="B14311" t="s">
        <v>30906</v>
      </c>
      <c r="C14311" t="s">
        <v>158</v>
      </c>
      <c r="G14311" t="s">
        <v>30907</v>
      </c>
      <c r="H14311" t="s">
        <v>5688</v>
      </c>
      <c r="I14311" t="s">
        <v>161</v>
      </c>
      <c r="J14311">
        <v>6405</v>
      </c>
      <c r="K14311">
        <v>5742</v>
      </c>
      <c r="L14311" t="s">
        <v>23</v>
      </c>
      <c r="M14311" t="s">
        <v>30907</v>
      </c>
      <c r="N14311" t="s">
        <v>5688</v>
      </c>
      <c r="O14311" t="s">
        <v>161</v>
      </c>
      <c r="P14311">
        <v>6405</v>
      </c>
      <c r="Q14311">
        <v>5742</v>
      </c>
      <c r="R14311" t="s">
        <v>23</v>
      </c>
      <c r="S14311" s="1" t="s">
        <v>34218</v>
      </c>
    </row>
    <row r="14312" spans="1:19" x14ac:dyDescent="0.25">
      <c r="A14312">
        <v>101474889</v>
      </c>
      <c r="B14312" t="s">
        <v>4033</v>
      </c>
      <c r="C14312" t="s">
        <v>780</v>
      </c>
      <c r="G14312" t="s">
        <v>30908</v>
      </c>
      <c r="H14312" t="s">
        <v>4580</v>
      </c>
      <c r="I14312" t="s">
        <v>117</v>
      </c>
      <c r="J14312">
        <v>12477</v>
      </c>
      <c r="K14312">
        <v>3664</v>
      </c>
      <c r="L14312" t="s">
        <v>23</v>
      </c>
      <c r="M14312" t="s">
        <v>30908</v>
      </c>
      <c r="N14312" t="s">
        <v>4580</v>
      </c>
      <c r="O14312" t="s">
        <v>117</v>
      </c>
      <c r="P14312">
        <v>12477</v>
      </c>
      <c r="Q14312">
        <v>3664</v>
      </c>
      <c r="R14312" t="s">
        <v>23</v>
      </c>
      <c r="S14312" s="1" t="s">
        <v>34218</v>
      </c>
    </row>
    <row r="14313" spans="1:19" x14ac:dyDescent="0.25">
      <c r="A14313">
        <v>101089027</v>
      </c>
      <c r="B14313" t="s">
        <v>557</v>
      </c>
      <c r="C14313" t="s">
        <v>1153</v>
      </c>
      <c r="G14313" t="s">
        <v>30909</v>
      </c>
      <c r="H14313" t="s">
        <v>30910</v>
      </c>
      <c r="I14313" t="s">
        <v>43</v>
      </c>
      <c r="J14313">
        <v>12499</v>
      </c>
      <c r="L14313" t="s">
        <v>23</v>
      </c>
      <c r="M14313" t="s">
        <v>30909</v>
      </c>
      <c r="N14313" t="s">
        <v>30910</v>
      </c>
      <c r="O14313" t="s">
        <v>43</v>
      </c>
      <c r="P14313">
        <v>12499</v>
      </c>
      <c r="R14313" t="s">
        <v>23</v>
      </c>
      <c r="S14313" s="1" t="s">
        <v>34218</v>
      </c>
    </row>
    <row r="14314" spans="1:19" x14ac:dyDescent="0.25">
      <c r="A14314">
        <v>101478650</v>
      </c>
      <c r="B14314" t="s">
        <v>30911</v>
      </c>
      <c r="C14314" t="s">
        <v>30912</v>
      </c>
      <c r="G14314" t="s">
        <v>30913</v>
      </c>
      <c r="H14314" t="s">
        <v>1877</v>
      </c>
      <c r="I14314" t="s">
        <v>43</v>
      </c>
      <c r="J14314">
        <v>97306</v>
      </c>
      <c r="K14314">
        <v>2954</v>
      </c>
      <c r="L14314" t="s">
        <v>23</v>
      </c>
      <c r="M14314" t="s">
        <v>30913</v>
      </c>
      <c r="N14314" t="s">
        <v>1877</v>
      </c>
      <c r="O14314" t="s">
        <v>43</v>
      </c>
      <c r="P14314">
        <v>97306</v>
      </c>
      <c r="Q14314">
        <v>2954</v>
      </c>
      <c r="R14314" t="s">
        <v>23</v>
      </c>
      <c r="S14314" s="1" t="s">
        <v>34218</v>
      </c>
    </row>
    <row r="14315" spans="1:19" x14ac:dyDescent="0.25">
      <c r="A14315">
        <v>101478956</v>
      </c>
      <c r="B14315" t="s">
        <v>30914</v>
      </c>
      <c r="C14315" t="s">
        <v>30915</v>
      </c>
      <c r="G14315" t="s">
        <v>30916</v>
      </c>
      <c r="H14315" t="s">
        <v>227</v>
      </c>
      <c r="I14315" t="s">
        <v>43</v>
      </c>
      <c r="J14315">
        <v>97239</v>
      </c>
      <c r="K14315">
        <v>2013</v>
      </c>
      <c r="L14315" t="s">
        <v>23</v>
      </c>
      <c r="M14315" t="s">
        <v>30916</v>
      </c>
      <c r="N14315" t="s">
        <v>227</v>
      </c>
      <c r="O14315" t="s">
        <v>43</v>
      </c>
      <c r="P14315">
        <v>97239</v>
      </c>
      <c r="Q14315">
        <v>2013</v>
      </c>
      <c r="R14315" t="s">
        <v>23</v>
      </c>
      <c r="S14315" s="1" t="s">
        <v>34218</v>
      </c>
    </row>
    <row r="14316" spans="1:19" x14ac:dyDescent="0.25">
      <c r="A14316">
        <v>101481017</v>
      </c>
      <c r="B14316" t="s">
        <v>199</v>
      </c>
      <c r="C14316" t="s">
        <v>216</v>
      </c>
      <c r="G14316" t="s">
        <v>30917</v>
      </c>
      <c r="H14316" t="s">
        <v>227</v>
      </c>
      <c r="I14316" t="s">
        <v>43</v>
      </c>
      <c r="J14316">
        <v>97229</v>
      </c>
      <c r="K14316">
        <v>8347</v>
      </c>
      <c r="L14316" t="s">
        <v>23</v>
      </c>
      <c r="M14316" t="s">
        <v>30917</v>
      </c>
      <c r="N14316" t="s">
        <v>227</v>
      </c>
      <c r="O14316" t="s">
        <v>43</v>
      </c>
      <c r="P14316">
        <v>97229</v>
      </c>
      <c r="Q14316">
        <v>8347</v>
      </c>
      <c r="R14316" t="s">
        <v>23</v>
      </c>
      <c r="S14316" s="1" t="s">
        <v>34218</v>
      </c>
    </row>
    <row r="14317" spans="1:19" x14ac:dyDescent="0.25">
      <c r="A14317">
        <v>101424915</v>
      </c>
      <c r="B14317" t="s">
        <v>30918</v>
      </c>
      <c r="C14317" t="s">
        <v>329</v>
      </c>
      <c r="G14317" t="s">
        <v>30919</v>
      </c>
      <c r="H14317" t="s">
        <v>30920</v>
      </c>
      <c r="I14317" t="s">
        <v>52</v>
      </c>
      <c r="J14317">
        <v>32970</v>
      </c>
      <c r="K14317">
        <v>13</v>
      </c>
      <c r="L14317" t="s">
        <v>23</v>
      </c>
      <c r="M14317" t="s">
        <v>30919</v>
      </c>
      <c r="N14317" t="s">
        <v>30920</v>
      </c>
      <c r="O14317" t="s">
        <v>52</v>
      </c>
      <c r="P14317">
        <v>32970</v>
      </c>
      <c r="Q14317">
        <v>13</v>
      </c>
      <c r="R14317" t="s">
        <v>23</v>
      </c>
      <c r="S14317" s="1" t="s">
        <v>34218</v>
      </c>
    </row>
    <row r="14318" spans="1:19" x14ac:dyDescent="0.25">
      <c r="A14318">
        <v>101481018</v>
      </c>
      <c r="B14318" t="s">
        <v>3869</v>
      </c>
      <c r="C14318" t="s">
        <v>30921</v>
      </c>
      <c r="G14318" t="s">
        <v>30922</v>
      </c>
      <c r="H14318" t="s">
        <v>130</v>
      </c>
      <c r="I14318" t="s">
        <v>22</v>
      </c>
      <c r="J14318">
        <v>94110</v>
      </c>
      <c r="K14318">
        <v>5101</v>
      </c>
      <c r="L14318" t="s">
        <v>23</v>
      </c>
      <c r="M14318" t="s">
        <v>30922</v>
      </c>
      <c r="N14318" t="s">
        <v>130</v>
      </c>
      <c r="O14318" t="s">
        <v>22</v>
      </c>
      <c r="P14318">
        <v>94110</v>
      </c>
      <c r="Q14318">
        <v>5101</v>
      </c>
      <c r="R14318" t="s">
        <v>23</v>
      </c>
      <c r="S14318" s="1" t="s">
        <v>34218</v>
      </c>
    </row>
    <row r="14319" spans="1:19" x14ac:dyDescent="0.25">
      <c r="A14319">
        <v>101435419</v>
      </c>
      <c r="B14319" t="s">
        <v>30923</v>
      </c>
      <c r="C14319" t="s">
        <v>1350</v>
      </c>
      <c r="G14319" t="s">
        <v>30924</v>
      </c>
      <c r="H14319" t="s">
        <v>4400</v>
      </c>
      <c r="I14319" t="s">
        <v>117</v>
      </c>
      <c r="J14319">
        <v>10705</v>
      </c>
      <c r="K14319">
        <v>5501</v>
      </c>
      <c r="L14319" t="s">
        <v>23</v>
      </c>
      <c r="M14319" t="s">
        <v>30924</v>
      </c>
      <c r="N14319" t="s">
        <v>4400</v>
      </c>
      <c r="O14319" t="s">
        <v>117</v>
      </c>
      <c r="P14319">
        <v>10705</v>
      </c>
      <c r="Q14319">
        <v>5501</v>
      </c>
      <c r="R14319" t="s">
        <v>23</v>
      </c>
      <c r="S14319" s="1" t="s">
        <v>34218</v>
      </c>
    </row>
    <row r="14320" spans="1:19" x14ac:dyDescent="0.25">
      <c r="A14320">
        <v>101476884</v>
      </c>
      <c r="B14320" t="s">
        <v>30925</v>
      </c>
      <c r="C14320" t="s">
        <v>1069</v>
      </c>
      <c r="G14320" t="s">
        <v>30926</v>
      </c>
      <c r="H14320" t="s">
        <v>1799</v>
      </c>
      <c r="I14320" t="s">
        <v>241</v>
      </c>
      <c r="J14320">
        <v>66208</v>
      </c>
      <c r="K14320">
        <v>2111</v>
      </c>
      <c r="L14320" t="s">
        <v>23</v>
      </c>
      <c r="M14320" t="s">
        <v>30926</v>
      </c>
      <c r="N14320" t="s">
        <v>1799</v>
      </c>
      <c r="O14320" t="s">
        <v>241</v>
      </c>
      <c r="P14320">
        <v>66208</v>
      </c>
      <c r="Q14320">
        <v>2111</v>
      </c>
      <c r="R14320" t="s">
        <v>23</v>
      </c>
      <c r="S14320" s="1" t="s">
        <v>34218</v>
      </c>
    </row>
    <row r="14321" spans="1:19" x14ac:dyDescent="0.25">
      <c r="A14321">
        <v>101479172</v>
      </c>
      <c r="B14321" t="s">
        <v>17310</v>
      </c>
      <c r="C14321" t="s">
        <v>403</v>
      </c>
      <c r="G14321" t="s">
        <v>30927</v>
      </c>
      <c r="H14321" t="s">
        <v>1052</v>
      </c>
      <c r="I14321" t="s">
        <v>22</v>
      </c>
      <c r="J14321">
        <v>94706</v>
      </c>
      <c r="K14321">
        <v>2143</v>
      </c>
      <c r="L14321" t="s">
        <v>23</v>
      </c>
      <c r="M14321" t="s">
        <v>30927</v>
      </c>
      <c r="N14321" t="s">
        <v>1052</v>
      </c>
      <c r="O14321" t="s">
        <v>22</v>
      </c>
      <c r="P14321">
        <v>94706</v>
      </c>
      <c r="Q14321">
        <v>2143</v>
      </c>
      <c r="R14321" t="s">
        <v>23</v>
      </c>
      <c r="S14321" s="1" t="s">
        <v>34218</v>
      </c>
    </row>
    <row r="14322" spans="1:19" x14ac:dyDescent="0.25">
      <c r="A14322">
        <v>100821469</v>
      </c>
      <c r="B14322" t="s">
        <v>30928</v>
      </c>
      <c r="C14322" t="s">
        <v>1363</v>
      </c>
      <c r="G14322" t="s">
        <v>30929</v>
      </c>
      <c r="H14322" t="s">
        <v>1246</v>
      </c>
      <c r="I14322" t="s">
        <v>140</v>
      </c>
      <c r="J14322">
        <v>49525</v>
      </c>
      <c r="K14322">
        <v>7008</v>
      </c>
      <c r="L14322" t="s">
        <v>23</v>
      </c>
      <c r="M14322" t="s">
        <v>30929</v>
      </c>
      <c r="N14322" t="s">
        <v>1246</v>
      </c>
      <c r="O14322" t="s">
        <v>140</v>
      </c>
      <c r="P14322">
        <v>49525</v>
      </c>
      <c r="Q14322">
        <v>7008</v>
      </c>
      <c r="R14322" t="s">
        <v>23</v>
      </c>
      <c r="S14322" s="1" t="s">
        <v>34218</v>
      </c>
    </row>
    <row r="14323" spans="1:19" x14ac:dyDescent="0.25">
      <c r="A14323">
        <v>101431843</v>
      </c>
      <c r="B14323" t="s">
        <v>9091</v>
      </c>
      <c r="C14323" t="s">
        <v>2603</v>
      </c>
      <c r="G14323" t="s">
        <v>30930</v>
      </c>
      <c r="H14323" t="s">
        <v>1716</v>
      </c>
      <c r="I14323" t="s">
        <v>38</v>
      </c>
      <c r="J14323">
        <v>79915</v>
      </c>
      <c r="K14323">
        <v>1932</v>
      </c>
      <c r="L14323" t="s">
        <v>23</v>
      </c>
      <c r="M14323" t="s">
        <v>30930</v>
      </c>
      <c r="N14323" t="s">
        <v>1716</v>
      </c>
      <c r="O14323" t="s">
        <v>38</v>
      </c>
      <c r="P14323">
        <v>79915</v>
      </c>
      <c r="Q14323">
        <v>1932</v>
      </c>
      <c r="R14323" t="s">
        <v>23</v>
      </c>
      <c r="S14323" s="1" t="s">
        <v>34218</v>
      </c>
    </row>
    <row r="14324" spans="1:19" x14ac:dyDescent="0.25">
      <c r="A14324">
        <v>101479195</v>
      </c>
      <c r="B14324" t="s">
        <v>30931</v>
      </c>
      <c r="C14324" t="s">
        <v>2127</v>
      </c>
      <c r="G14324" t="s">
        <v>30932</v>
      </c>
      <c r="H14324" t="s">
        <v>2499</v>
      </c>
      <c r="I14324" t="s">
        <v>22</v>
      </c>
      <c r="J14324">
        <v>94920</v>
      </c>
      <c r="K14324">
        <v>4277</v>
      </c>
      <c r="L14324" t="s">
        <v>23</v>
      </c>
      <c r="M14324" t="s">
        <v>30932</v>
      </c>
      <c r="N14324" t="s">
        <v>2499</v>
      </c>
      <c r="O14324" t="s">
        <v>22</v>
      </c>
      <c r="P14324">
        <v>94920</v>
      </c>
      <c r="Q14324">
        <v>4277</v>
      </c>
      <c r="R14324" t="s">
        <v>23</v>
      </c>
      <c r="S14324" s="1" t="s">
        <v>34218</v>
      </c>
    </row>
    <row r="14325" spans="1:19" x14ac:dyDescent="0.25">
      <c r="A14325">
        <v>101473933</v>
      </c>
      <c r="B14325" t="s">
        <v>18803</v>
      </c>
      <c r="C14325" t="s">
        <v>4249</v>
      </c>
      <c r="G14325" t="s">
        <v>4250</v>
      </c>
      <c r="H14325" t="s">
        <v>4251</v>
      </c>
      <c r="I14325" t="s">
        <v>914</v>
      </c>
      <c r="J14325">
        <v>37890</v>
      </c>
      <c r="K14325">
        <v>4903</v>
      </c>
      <c r="L14325" t="s">
        <v>23</v>
      </c>
      <c r="M14325" t="s">
        <v>4250</v>
      </c>
      <c r="N14325" t="s">
        <v>4251</v>
      </c>
      <c r="O14325" t="s">
        <v>914</v>
      </c>
      <c r="P14325">
        <v>37890</v>
      </c>
      <c r="Q14325">
        <v>4903</v>
      </c>
      <c r="R14325" t="s">
        <v>23</v>
      </c>
      <c r="S14325" s="1" t="s">
        <v>34218</v>
      </c>
    </row>
    <row r="14326" spans="1:19" x14ac:dyDescent="0.25">
      <c r="A14326">
        <v>100941971</v>
      </c>
      <c r="B14326" t="s">
        <v>22701</v>
      </c>
      <c r="C14326" t="s">
        <v>30933</v>
      </c>
      <c r="G14326" t="s">
        <v>30934</v>
      </c>
      <c r="H14326" t="s">
        <v>30935</v>
      </c>
      <c r="I14326" t="s">
        <v>43</v>
      </c>
      <c r="J14326">
        <v>62577</v>
      </c>
      <c r="L14326" t="s">
        <v>23</v>
      </c>
      <c r="M14326" t="s">
        <v>30934</v>
      </c>
      <c r="N14326" t="s">
        <v>30935</v>
      </c>
      <c r="O14326" t="s">
        <v>43</v>
      </c>
      <c r="P14326">
        <v>62577</v>
      </c>
      <c r="R14326" t="s">
        <v>23</v>
      </c>
      <c r="S14326" s="1" t="s">
        <v>34218</v>
      </c>
    </row>
    <row r="14327" spans="1:19" x14ac:dyDescent="0.25">
      <c r="A14327">
        <v>101480960</v>
      </c>
      <c r="B14327" t="s">
        <v>2238</v>
      </c>
      <c r="C14327" t="s">
        <v>30936</v>
      </c>
      <c r="G14327" t="s">
        <v>30937</v>
      </c>
      <c r="H14327" t="s">
        <v>6010</v>
      </c>
      <c r="I14327" t="s">
        <v>639</v>
      </c>
      <c r="J14327">
        <v>87571</v>
      </c>
      <c r="K14327">
        <v>9512</v>
      </c>
      <c r="L14327" t="s">
        <v>23</v>
      </c>
      <c r="M14327" t="s">
        <v>30937</v>
      </c>
      <c r="N14327" t="s">
        <v>6010</v>
      </c>
      <c r="O14327" t="s">
        <v>639</v>
      </c>
      <c r="P14327">
        <v>87571</v>
      </c>
      <c r="Q14327">
        <v>9512</v>
      </c>
      <c r="R14327" t="s">
        <v>23</v>
      </c>
      <c r="S14327" s="1" t="s">
        <v>34218</v>
      </c>
    </row>
    <row r="14328" spans="1:19" x14ac:dyDescent="0.25">
      <c r="A14328">
        <v>101364681</v>
      </c>
      <c r="B14328" t="s">
        <v>29637</v>
      </c>
      <c r="C14328" t="s">
        <v>1638</v>
      </c>
      <c r="G14328" t="s">
        <v>30938</v>
      </c>
      <c r="H14328" t="s">
        <v>1531</v>
      </c>
      <c r="I14328" t="s">
        <v>84</v>
      </c>
      <c r="J14328">
        <v>98103</v>
      </c>
      <c r="K14328">
        <v>3543</v>
      </c>
      <c r="L14328" t="s">
        <v>23</v>
      </c>
      <c r="M14328" t="s">
        <v>30938</v>
      </c>
      <c r="N14328" t="s">
        <v>1531</v>
      </c>
      <c r="O14328" t="s">
        <v>84</v>
      </c>
      <c r="P14328">
        <v>98103</v>
      </c>
      <c r="Q14328">
        <v>3543</v>
      </c>
      <c r="R14328" t="s">
        <v>23</v>
      </c>
      <c r="S14328" s="1" t="s">
        <v>34218</v>
      </c>
    </row>
    <row r="14329" spans="1:19" x14ac:dyDescent="0.25">
      <c r="A14329">
        <v>101480967</v>
      </c>
      <c r="B14329" t="s">
        <v>1632</v>
      </c>
      <c r="C14329" t="s">
        <v>225</v>
      </c>
      <c r="G14329" t="s">
        <v>30939</v>
      </c>
      <c r="H14329" t="s">
        <v>7169</v>
      </c>
      <c r="I14329" t="s">
        <v>22</v>
      </c>
      <c r="J14329">
        <v>93010</v>
      </c>
      <c r="K14329">
        <v>2938</v>
      </c>
      <c r="L14329" t="s">
        <v>23</v>
      </c>
      <c r="M14329" t="s">
        <v>30939</v>
      </c>
      <c r="N14329" t="s">
        <v>7169</v>
      </c>
      <c r="O14329" t="s">
        <v>22</v>
      </c>
      <c r="P14329">
        <v>93010</v>
      </c>
      <c r="Q14329">
        <v>2938</v>
      </c>
      <c r="R14329" t="s">
        <v>23</v>
      </c>
      <c r="S14329" s="1" t="s">
        <v>34218</v>
      </c>
    </row>
    <row r="14330" spans="1:19" x14ac:dyDescent="0.25">
      <c r="A14330">
        <v>101467477</v>
      </c>
      <c r="B14330" t="s">
        <v>30940</v>
      </c>
      <c r="C14330" t="s">
        <v>30941</v>
      </c>
      <c r="G14330" t="s">
        <v>30942</v>
      </c>
      <c r="H14330" t="s">
        <v>1861</v>
      </c>
      <c r="I14330" t="s">
        <v>22</v>
      </c>
      <c r="J14330">
        <v>94530</v>
      </c>
      <c r="K14330">
        <v>3336</v>
      </c>
      <c r="L14330" t="s">
        <v>23</v>
      </c>
      <c r="M14330" t="s">
        <v>30942</v>
      </c>
      <c r="N14330" t="s">
        <v>1861</v>
      </c>
      <c r="O14330" t="s">
        <v>22</v>
      </c>
      <c r="P14330">
        <v>94530</v>
      </c>
      <c r="Q14330">
        <v>3336</v>
      </c>
      <c r="R14330" t="s">
        <v>23</v>
      </c>
      <c r="S14330" s="1" t="s">
        <v>34218</v>
      </c>
    </row>
    <row r="14331" spans="1:19" x14ac:dyDescent="0.25">
      <c r="A14331">
        <v>101473879</v>
      </c>
      <c r="B14331" t="s">
        <v>12933</v>
      </c>
      <c r="C14331" t="s">
        <v>432</v>
      </c>
      <c r="G14331" t="s">
        <v>11737</v>
      </c>
      <c r="H14331" t="s">
        <v>21</v>
      </c>
      <c r="I14331" t="s">
        <v>22</v>
      </c>
      <c r="J14331">
        <v>95401</v>
      </c>
      <c r="K14331">
        <v>4911</v>
      </c>
      <c r="L14331" t="s">
        <v>23</v>
      </c>
      <c r="M14331" t="s">
        <v>11737</v>
      </c>
      <c r="N14331" t="s">
        <v>21</v>
      </c>
      <c r="O14331" t="s">
        <v>22</v>
      </c>
      <c r="P14331">
        <v>95401</v>
      </c>
      <c r="Q14331">
        <v>4911</v>
      </c>
      <c r="R14331" t="s">
        <v>23</v>
      </c>
      <c r="S14331" s="1" t="s">
        <v>34218</v>
      </c>
    </row>
    <row r="14332" spans="1:19" x14ac:dyDescent="0.25">
      <c r="A14332">
        <v>101443390</v>
      </c>
      <c r="B14332" t="s">
        <v>30943</v>
      </c>
      <c r="C14332" t="s">
        <v>554</v>
      </c>
      <c r="G14332" t="s">
        <v>30944</v>
      </c>
      <c r="H14332" t="s">
        <v>21820</v>
      </c>
      <c r="I14332" t="s">
        <v>33</v>
      </c>
      <c r="J14332">
        <v>19002</v>
      </c>
      <c r="K14332">
        <v>1316</v>
      </c>
      <c r="L14332" t="s">
        <v>23</v>
      </c>
      <c r="M14332" t="s">
        <v>30944</v>
      </c>
      <c r="N14332" t="s">
        <v>21820</v>
      </c>
      <c r="O14332" t="s">
        <v>33</v>
      </c>
      <c r="P14332">
        <v>19002</v>
      </c>
      <c r="Q14332">
        <v>1316</v>
      </c>
      <c r="R14332" t="s">
        <v>23</v>
      </c>
      <c r="S14332" s="1" t="s">
        <v>34218</v>
      </c>
    </row>
    <row r="14333" spans="1:19" x14ac:dyDescent="0.25">
      <c r="A14333">
        <v>101480974</v>
      </c>
      <c r="B14333" t="s">
        <v>30945</v>
      </c>
      <c r="C14333" t="s">
        <v>1050</v>
      </c>
      <c r="G14333" t="s">
        <v>30946</v>
      </c>
      <c r="H14333" t="s">
        <v>1405</v>
      </c>
      <c r="I14333" t="s">
        <v>187</v>
      </c>
      <c r="J14333">
        <v>55108</v>
      </c>
      <c r="K14333">
        <v>2642</v>
      </c>
      <c r="L14333" t="s">
        <v>23</v>
      </c>
      <c r="M14333" t="s">
        <v>30946</v>
      </c>
      <c r="N14333" t="s">
        <v>1405</v>
      </c>
      <c r="O14333" t="s">
        <v>187</v>
      </c>
      <c r="P14333">
        <v>55108</v>
      </c>
      <c r="Q14333">
        <v>2642</v>
      </c>
      <c r="R14333" t="s">
        <v>23</v>
      </c>
      <c r="S14333" s="1" t="s">
        <v>34218</v>
      </c>
    </row>
    <row r="14334" spans="1:19" x14ac:dyDescent="0.25">
      <c r="A14334">
        <v>101312276</v>
      </c>
      <c r="B14334" t="s">
        <v>30947</v>
      </c>
      <c r="C14334" t="s">
        <v>30948</v>
      </c>
      <c r="G14334" t="s">
        <v>30949</v>
      </c>
      <c r="H14334" t="s">
        <v>30950</v>
      </c>
      <c r="I14334" t="s">
        <v>126</v>
      </c>
      <c r="J14334">
        <v>63028</v>
      </c>
      <c r="K14334">
        <v>5473</v>
      </c>
      <c r="L14334" t="s">
        <v>23</v>
      </c>
      <c r="M14334" t="s">
        <v>30949</v>
      </c>
      <c r="N14334" t="s">
        <v>30950</v>
      </c>
      <c r="O14334" t="s">
        <v>126</v>
      </c>
      <c r="P14334">
        <v>63028</v>
      </c>
      <c r="Q14334">
        <v>5473</v>
      </c>
      <c r="R14334" t="s">
        <v>23</v>
      </c>
      <c r="S14334" s="1" t="s">
        <v>34218</v>
      </c>
    </row>
    <row r="14335" spans="1:19" x14ac:dyDescent="0.25">
      <c r="A14335">
        <v>101432723</v>
      </c>
      <c r="B14335" t="s">
        <v>3123</v>
      </c>
      <c r="C14335" t="s">
        <v>11643</v>
      </c>
      <c r="G14335" t="s">
        <v>30951</v>
      </c>
      <c r="H14335" t="s">
        <v>682</v>
      </c>
      <c r="I14335" t="s">
        <v>365</v>
      </c>
      <c r="J14335">
        <v>85028</v>
      </c>
      <c r="K14335">
        <v>6137</v>
      </c>
      <c r="L14335" t="s">
        <v>23</v>
      </c>
      <c r="M14335" t="s">
        <v>30951</v>
      </c>
      <c r="N14335" t="s">
        <v>682</v>
      </c>
      <c r="O14335" t="s">
        <v>365</v>
      </c>
      <c r="P14335">
        <v>85028</v>
      </c>
      <c r="Q14335">
        <v>6137</v>
      </c>
      <c r="R14335" t="s">
        <v>23</v>
      </c>
      <c r="S14335" s="1" t="s">
        <v>34218</v>
      </c>
    </row>
    <row r="14336" spans="1:19" x14ac:dyDescent="0.25">
      <c r="A14336">
        <v>101007889</v>
      </c>
      <c r="B14336" t="s">
        <v>30952</v>
      </c>
      <c r="C14336" t="s">
        <v>1647</v>
      </c>
      <c r="G14336" t="s">
        <v>30953</v>
      </c>
      <c r="H14336" t="s">
        <v>1985</v>
      </c>
      <c r="I14336" t="s">
        <v>71</v>
      </c>
      <c r="J14336">
        <v>80924</v>
      </c>
      <c r="K14336">
        <v>4429</v>
      </c>
      <c r="L14336" t="s">
        <v>23</v>
      </c>
      <c r="M14336" t="s">
        <v>30953</v>
      </c>
      <c r="N14336" t="s">
        <v>1985</v>
      </c>
      <c r="O14336" t="s">
        <v>71</v>
      </c>
      <c r="P14336">
        <v>80924</v>
      </c>
      <c r="Q14336">
        <v>4429</v>
      </c>
      <c r="R14336" t="s">
        <v>23</v>
      </c>
      <c r="S14336" s="1" t="s">
        <v>34218</v>
      </c>
    </row>
    <row r="14337" spans="1:19" x14ac:dyDescent="0.25">
      <c r="A14337">
        <v>101480989</v>
      </c>
      <c r="B14337" t="s">
        <v>30925</v>
      </c>
      <c r="C14337" t="s">
        <v>7162</v>
      </c>
      <c r="G14337" t="s">
        <v>30954</v>
      </c>
      <c r="H14337" t="s">
        <v>4382</v>
      </c>
      <c r="I14337" t="s">
        <v>639</v>
      </c>
      <c r="J14337">
        <v>88005</v>
      </c>
      <c r="K14337">
        <v>2505</v>
      </c>
      <c r="L14337" t="s">
        <v>23</v>
      </c>
      <c r="M14337" t="s">
        <v>30954</v>
      </c>
      <c r="N14337" t="s">
        <v>4382</v>
      </c>
      <c r="O14337" t="s">
        <v>639</v>
      </c>
      <c r="P14337">
        <v>88005</v>
      </c>
      <c r="Q14337">
        <v>2505</v>
      </c>
      <c r="R14337" t="s">
        <v>23</v>
      </c>
      <c r="S14337" s="1" t="s">
        <v>34218</v>
      </c>
    </row>
    <row r="14338" spans="1:19" x14ac:dyDescent="0.25">
      <c r="A14338">
        <v>101480993</v>
      </c>
      <c r="B14338" t="s">
        <v>4440</v>
      </c>
      <c r="C14338" t="s">
        <v>19953</v>
      </c>
      <c r="G14338" t="s">
        <v>30955</v>
      </c>
      <c r="H14338" t="s">
        <v>10619</v>
      </c>
      <c r="I14338" t="s">
        <v>84</v>
      </c>
      <c r="J14338">
        <v>98133</v>
      </c>
      <c r="K14338">
        <v>4114</v>
      </c>
      <c r="L14338" t="s">
        <v>23</v>
      </c>
      <c r="M14338" t="s">
        <v>30955</v>
      </c>
      <c r="N14338" t="s">
        <v>10619</v>
      </c>
      <c r="O14338" t="s">
        <v>84</v>
      </c>
      <c r="P14338">
        <v>98133</v>
      </c>
      <c r="Q14338">
        <v>4114</v>
      </c>
      <c r="R14338" t="s">
        <v>23</v>
      </c>
      <c r="S14338" s="1" t="s">
        <v>34218</v>
      </c>
    </row>
    <row r="14339" spans="1:19" x14ac:dyDescent="0.25">
      <c r="A14339">
        <v>101449155</v>
      </c>
      <c r="B14339" t="s">
        <v>1800</v>
      </c>
      <c r="C14339" t="s">
        <v>30956</v>
      </c>
      <c r="G14339" t="s">
        <v>30957</v>
      </c>
      <c r="H14339" t="s">
        <v>496</v>
      </c>
      <c r="I14339" t="s">
        <v>22</v>
      </c>
      <c r="J14339">
        <v>94952</v>
      </c>
      <c r="K14339">
        <v>2066</v>
      </c>
      <c r="L14339" t="s">
        <v>23</v>
      </c>
      <c r="M14339" t="s">
        <v>30957</v>
      </c>
      <c r="N14339" t="s">
        <v>496</v>
      </c>
      <c r="O14339" t="s">
        <v>22</v>
      </c>
      <c r="P14339">
        <v>94952</v>
      </c>
      <c r="Q14339">
        <v>2066</v>
      </c>
      <c r="R14339" t="s">
        <v>23</v>
      </c>
      <c r="S14339" s="1" t="s">
        <v>34218</v>
      </c>
    </row>
    <row r="14340" spans="1:19" x14ac:dyDescent="0.25">
      <c r="A14340">
        <v>101453218</v>
      </c>
      <c r="B14340" t="s">
        <v>4966</v>
      </c>
      <c r="C14340" t="s">
        <v>1540</v>
      </c>
      <c r="G14340" t="s">
        <v>30958</v>
      </c>
      <c r="H14340" t="s">
        <v>17777</v>
      </c>
      <c r="I14340" t="s">
        <v>914</v>
      </c>
      <c r="J14340">
        <v>37066</v>
      </c>
      <c r="K14340">
        <v>7577</v>
      </c>
      <c r="L14340" t="s">
        <v>23</v>
      </c>
      <c r="M14340" t="s">
        <v>30958</v>
      </c>
      <c r="N14340" t="s">
        <v>17777</v>
      </c>
      <c r="O14340" t="s">
        <v>914</v>
      </c>
      <c r="P14340">
        <v>37066</v>
      </c>
      <c r="Q14340">
        <v>7577</v>
      </c>
      <c r="R14340" t="s">
        <v>23</v>
      </c>
      <c r="S14340" s="1" t="s">
        <v>34218</v>
      </c>
    </row>
    <row r="14341" spans="1:19" x14ac:dyDescent="0.25">
      <c r="A14341">
        <v>101272158</v>
      </c>
      <c r="B14341" t="s">
        <v>30959</v>
      </c>
      <c r="C14341" t="s">
        <v>4502</v>
      </c>
      <c r="G14341" t="s">
        <v>30960</v>
      </c>
      <c r="H14341" t="s">
        <v>30961</v>
      </c>
      <c r="I14341" t="s">
        <v>117</v>
      </c>
      <c r="J14341">
        <v>11964</v>
      </c>
      <c r="K14341">
        <v>1734</v>
      </c>
      <c r="L14341" t="s">
        <v>23</v>
      </c>
      <c r="M14341" t="s">
        <v>30960</v>
      </c>
      <c r="N14341" t="s">
        <v>30961</v>
      </c>
      <c r="O14341" t="s">
        <v>117</v>
      </c>
      <c r="P14341">
        <v>11964</v>
      </c>
      <c r="Q14341">
        <v>1734</v>
      </c>
      <c r="R14341" t="s">
        <v>23</v>
      </c>
      <c r="S14341" s="1" t="s">
        <v>34218</v>
      </c>
    </row>
    <row r="14342" spans="1:19" x14ac:dyDescent="0.25">
      <c r="A14342">
        <v>101358429</v>
      </c>
      <c r="B14342" t="s">
        <v>30962</v>
      </c>
      <c r="C14342" t="s">
        <v>247</v>
      </c>
      <c r="G14342" t="s">
        <v>30963</v>
      </c>
      <c r="H14342" t="s">
        <v>30964</v>
      </c>
      <c r="I14342" t="s">
        <v>187</v>
      </c>
      <c r="J14342">
        <v>55118</v>
      </c>
      <c r="K14342">
        <v>1021</v>
      </c>
      <c r="L14342" t="s">
        <v>23</v>
      </c>
      <c r="M14342" t="s">
        <v>30963</v>
      </c>
      <c r="N14342" t="s">
        <v>30964</v>
      </c>
      <c r="O14342" t="s">
        <v>187</v>
      </c>
      <c r="P14342">
        <v>55118</v>
      </c>
      <c r="Q14342">
        <v>1021</v>
      </c>
      <c r="R14342" t="s">
        <v>23</v>
      </c>
      <c r="S14342" s="1" t="s">
        <v>34218</v>
      </c>
    </row>
    <row r="14343" spans="1:19" x14ac:dyDescent="0.25">
      <c r="A14343">
        <v>100941200</v>
      </c>
      <c r="B14343" t="s">
        <v>30965</v>
      </c>
      <c r="C14343" t="s">
        <v>1933</v>
      </c>
      <c r="G14343" t="s">
        <v>30966</v>
      </c>
      <c r="H14343" t="s">
        <v>1355</v>
      </c>
      <c r="I14343" t="s">
        <v>161</v>
      </c>
      <c r="J14343">
        <v>6468</v>
      </c>
      <c r="K14343">
        <v>2608</v>
      </c>
      <c r="L14343" t="s">
        <v>23</v>
      </c>
      <c r="M14343" t="s">
        <v>30966</v>
      </c>
      <c r="N14343" t="s">
        <v>1355</v>
      </c>
      <c r="O14343" t="s">
        <v>161</v>
      </c>
      <c r="P14343">
        <v>6468</v>
      </c>
      <c r="Q14343">
        <v>2608</v>
      </c>
      <c r="R14343" t="s">
        <v>23</v>
      </c>
      <c r="S14343" s="1" t="s">
        <v>34218</v>
      </c>
    </row>
    <row r="14344" spans="1:19" x14ac:dyDescent="0.25">
      <c r="A14344">
        <v>101481006</v>
      </c>
      <c r="B14344" t="s">
        <v>21540</v>
      </c>
      <c r="C14344" t="s">
        <v>1069</v>
      </c>
      <c r="G14344" t="s">
        <v>24328</v>
      </c>
      <c r="H14344" t="s">
        <v>24329</v>
      </c>
      <c r="I14344" t="s">
        <v>22</v>
      </c>
      <c r="J14344">
        <v>90638</v>
      </c>
      <c r="K14344">
        <v>3517</v>
      </c>
      <c r="L14344" t="s">
        <v>23</v>
      </c>
      <c r="M14344" t="s">
        <v>24328</v>
      </c>
      <c r="N14344" t="s">
        <v>24329</v>
      </c>
      <c r="O14344" t="s">
        <v>22</v>
      </c>
      <c r="P14344">
        <v>90638</v>
      </c>
      <c r="Q14344">
        <v>3517</v>
      </c>
      <c r="R14344" t="s">
        <v>23</v>
      </c>
      <c r="S14344" s="1" t="s">
        <v>34218</v>
      </c>
    </row>
    <row r="14345" spans="1:19" x14ac:dyDescent="0.25">
      <c r="A14345">
        <v>101064477</v>
      </c>
      <c r="B14345" t="s">
        <v>1297</v>
      </c>
      <c r="C14345" t="s">
        <v>711</v>
      </c>
      <c r="G14345" t="s">
        <v>30967</v>
      </c>
      <c r="H14345" t="s">
        <v>3214</v>
      </c>
      <c r="I14345" t="s">
        <v>22</v>
      </c>
      <c r="J14345">
        <v>91362</v>
      </c>
      <c r="K14345">
        <v>1725</v>
      </c>
      <c r="L14345" t="s">
        <v>23</v>
      </c>
      <c r="M14345" t="s">
        <v>30967</v>
      </c>
      <c r="N14345" t="s">
        <v>3214</v>
      </c>
      <c r="O14345" t="s">
        <v>22</v>
      </c>
      <c r="P14345">
        <v>91362</v>
      </c>
      <c r="Q14345">
        <v>1725</v>
      </c>
      <c r="R14345" t="s">
        <v>23</v>
      </c>
      <c r="S14345" s="1" t="s">
        <v>34218</v>
      </c>
    </row>
    <row r="14346" spans="1:19" x14ac:dyDescent="0.25">
      <c r="A14346">
        <v>101301062</v>
      </c>
      <c r="B14346" t="s">
        <v>22760</v>
      </c>
      <c r="C14346" t="s">
        <v>6384</v>
      </c>
      <c r="G14346">
        <v>123</v>
      </c>
      <c r="H14346" t="s">
        <v>15337</v>
      </c>
      <c r="I14346" t="s">
        <v>178</v>
      </c>
      <c r="J14346">
        <v>44839</v>
      </c>
      <c r="L14346" t="s">
        <v>23</v>
      </c>
      <c r="M14346">
        <v>123</v>
      </c>
      <c r="N14346" t="s">
        <v>15337</v>
      </c>
      <c r="O14346" t="s">
        <v>178</v>
      </c>
      <c r="P14346">
        <v>44839</v>
      </c>
      <c r="R14346" t="s">
        <v>23</v>
      </c>
      <c r="S14346" s="1" t="s">
        <v>34218</v>
      </c>
    </row>
    <row r="14347" spans="1:19" x14ac:dyDescent="0.25">
      <c r="A14347">
        <v>100876848</v>
      </c>
      <c r="B14347" t="s">
        <v>25546</v>
      </c>
      <c r="C14347" t="s">
        <v>15822</v>
      </c>
      <c r="G14347" t="s">
        <v>30968</v>
      </c>
      <c r="H14347" t="s">
        <v>311</v>
      </c>
      <c r="I14347" t="s">
        <v>22</v>
      </c>
      <c r="J14347">
        <v>90802</v>
      </c>
      <c r="L14347" t="s">
        <v>23</v>
      </c>
      <c r="M14347" t="s">
        <v>30968</v>
      </c>
      <c r="N14347" t="s">
        <v>311</v>
      </c>
      <c r="O14347" t="s">
        <v>22</v>
      </c>
      <c r="P14347">
        <v>90802</v>
      </c>
      <c r="R14347" t="s">
        <v>23</v>
      </c>
      <c r="S14347" s="1" t="s">
        <v>34218</v>
      </c>
    </row>
    <row r="14348" spans="1:19" x14ac:dyDescent="0.25">
      <c r="A14348">
        <v>100879532</v>
      </c>
      <c r="B14348" t="s">
        <v>3069</v>
      </c>
      <c r="C14348" t="s">
        <v>30969</v>
      </c>
      <c r="G14348" t="s">
        <v>30970</v>
      </c>
      <c r="H14348" t="s">
        <v>6846</v>
      </c>
      <c r="I14348" t="s">
        <v>187</v>
      </c>
      <c r="J14348">
        <v>55435</v>
      </c>
      <c r="K14348">
        <v>1601</v>
      </c>
      <c r="L14348" t="s">
        <v>23</v>
      </c>
      <c r="M14348" t="s">
        <v>30970</v>
      </c>
      <c r="N14348" t="s">
        <v>6846</v>
      </c>
      <c r="O14348" t="s">
        <v>187</v>
      </c>
      <c r="P14348">
        <v>55435</v>
      </c>
      <c r="Q14348">
        <v>1601</v>
      </c>
      <c r="R14348" t="s">
        <v>23</v>
      </c>
      <c r="S14348" s="1" t="s">
        <v>34218</v>
      </c>
    </row>
    <row r="14349" spans="1:19" x14ac:dyDescent="0.25">
      <c r="A14349">
        <v>101474437</v>
      </c>
      <c r="B14349" t="s">
        <v>706</v>
      </c>
      <c r="C14349" t="s">
        <v>30971</v>
      </c>
      <c r="G14349" t="s">
        <v>30972</v>
      </c>
      <c r="H14349" t="s">
        <v>1489</v>
      </c>
      <c r="I14349" t="s">
        <v>62</v>
      </c>
      <c r="J14349">
        <v>74132</v>
      </c>
      <c r="K14349">
        <v>5602</v>
      </c>
      <c r="L14349" t="s">
        <v>23</v>
      </c>
      <c r="M14349" t="s">
        <v>30972</v>
      </c>
      <c r="N14349" t="s">
        <v>1489</v>
      </c>
      <c r="O14349" t="s">
        <v>62</v>
      </c>
      <c r="P14349">
        <v>74132</v>
      </c>
      <c r="Q14349">
        <v>5602</v>
      </c>
      <c r="R14349" t="s">
        <v>23</v>
      </c>
      <c r="S14349" s="1" t="s">
        <v>34218</v>
      </c>
    </row>
    <row r="14350" spans="1:19" x14ac:dyDescent="0.25">
      <c r="A14350">
        <v>101415848</v>
      </c>
      <c r="B14350" t="s">
        <v>30973</v>
      </c>
      <c r="C14350" t="s">
        <v>554</v>
      </c>
      <c r="G14350" t="s">
        <v>30974</v>
      </c>
      <c r="H14350" t="s">
        <v>1405</v>
      </c>
      <c r="I14350" t="s">
        <v>187</v>
      </c>
      <c r="J14350">
        <v>55114</v>
      </c>
      <c r="K14350">
        <v>1121</v>
      </c>
      <c r="L14350" t="s">
        <v>23</v>
      </c>
      <c r="M14350" t="s">
        <v>30974</v>
      </c>
      <c r="N14350" t="s">
        <v>1405</v>
      </c>
      <c r="O14350" t="s">
        <v>187</v>
      </c>
      <c r="P14350">
        <v>55114</v>
      </c>
      <c r="Q14350">
        <v>1121</v>
      </c>
      <c r="R14350" t="s">
        <v>23</v>
      </c>
      <c r="S14350" s="1" t="s">
        <v>34218</v>
      </c>
    </row>
    <row r="14351" spans="1:19" x14ac:dyDescent="0.25">
      <c r="A14351">
        <v>101423514</v>
      </c>
      <c r="B14351" t="s">
        <v>30975</v>
      </c>
      <c r="C14351" t="s">
        <v>579</v>
      </c>
      <c r="G14351" t="s">
        <v>30976</v>
      </c>
      <c r="H14351" t="s">
        <v>19707</v>
      </c>
      <c r="I14351" t="s">
        <v>187</v>
      </c>
      <c r="J14351">
        <v>55068</v>
      </c>
      <c r="K14351">
        <v>1261</v>
      </c>
      <c r="L14351" t="s">
        <v>23</v>
      </c>
      <c r="M14351" t="s">
        <v>30976</v>
      </c>
      <c r="N14351" t="s">
        <v>19707</v>
      </c>
      <c r="O14351" t="s">
        <v>187</v>
      </c>
      <c r="P14351">
        <v>55068</v>
      </c>
      <c r="Q14351">
        <v>1261</v>
      </c>
      <c r="R14351" t="s">
        <v>23</v>
      </c>
      <c r="S14351" s="1" t="s">
        <v>34218</v>
      </c>
    </row>
    <row r="14352" spans="1:19" x14ac:dyDescent="0.25">
      <c r="A14352">
        <v>101475233</v>
      </c>
      <c r="B14352" t="s">
        <v>30977</v>
      </c>
      <c r="C14352" t="s">
        <v>54</v>
      </c>
      <c r="G14352" t="s">
        <v>30978</v>
      </c>
      <c r="H14352" t="s">
        <v>17825</v>
      </c>
      <c r="I14352" t="s">
        <v>446</v>
      </c>
      <c r="J14352">
        <v>28779</v>
      </c>
      <c r="K14352">
        <v>2613</v>
      </c>
      <c r="L14352" t="s">
        <v>23</v>
      </c>
      <c r="M14352" t="s">
        <v>30978</v>
      </c>
      <c r="N14352" t="s">
        <v>17825</v>
      </c>
      <c r="O14352" t="s">
        <v>446</v>
      </c>
      <c r="P14352">
        <v>28779</v>
      </c>
      <c r="Q14352">
        <v>2613</v>
      </c>
      <c r="R14352" t="s">
        <v>23</v>
      </c>
      <c r="S14352" s="1" t="s">
        <v>34218</v>
      </c>
    </row>
    <row r="14353" spans="1:19" x14ac:dyDescent="0.25">
      <c r="A14353">
        <v>101469364</v>
      </c>
      <c r="B14353" t="s">
        <v>2331</v>
      </c>
      <c r="C14353" t="s">
        <v>30979</v>
      </c>
      <c r="G14353" t="s">
        <v>30980</v>
      </c>
      <c r="H14353" t="s">
        <v>1048</v>
      </c>
      <c r="I14353" t="s">
        <v>446</v>
      </c>
      <c r="J14353">
        <v>28792</v>
      </c>
      <c r="L14353" t="s">
        <v>23</v>
      </c>
      <c r="M14353" t="s">
        <v>30980</v>
      </c>
      <c r="N14353" t="s">
        <v>1048</v>
      </c>
      <c r="O14353" t="s">
        <v>446</v>
      </c>
      <c r="P14353">
        <v>28792</v>
      </c>
      <c r="R14353" t="s">
        <v>23</v>
      </c>
      <c r="S14353" s="1" t="s">
        <v>34218</v>
      </c>
    </row>
    <row r="14354" spans="1:19" x14ac:dyDescent="0.25">
      <c r="A14354">
        <v>101248227</v>
      </c>
      <c r="B14354" t="s">
        <v>30335</v>
      </c>
      <c r="C14354" t="s">
        <v>123</v>
      </c>
      <c r="G14354" t="s">
        <v>30336</v>
      </c>
      <c r="H14354" t="s">
        <v>4527</v>
      </c>
      <c r="I14354" t="s">
        <v>33</v>
      </c>
      <c r="J14354">
        <v>17402</v>
      </c>
      <c r="K14354">
        <v>5060</v>
      </c>
      <c r="L14354" t="s">
        <v>23</v>
      </c>
      <c r="M14354" t="s">
        <v>30336</v>
      </c>
      <c r="N14354" t="s">
        <v>4527</v>
      </c>
      <c r="O14354" t="s">
        <v>33</v>
      </c>
      <c r="P14354">
        <v>17402</v>
      </c>
      <c r="Q14354">
        <v>5060</v>
      </c>
      <c r="R14354" t="s">
        <v>23</v>
      </c>
      <c r="S14354" s="1" t="s">
        <v>34218</v>
      </c>
    </row>
    <row r="14355" spans="1:19" x14ac:dyDescent="0.25">
      <c r="A14355">
        <v>101481031</v>
      </c>
      <c r="B14355" t="s">
        <v>30819</v>
      </c>
      <c r="C14355" t="s">
        <v>274</v>
      </c>
      <c r="G14355" t="s">
        <v>30981</v>
      </c>
      <c r="H14355" t="s">
        <v>8826</v>
      </c>
      <c r="I14355" t="s">
        <v>22</v>
      </c>
      <c r="J14355">
        <v>92021</v>
      </c>
      <c r="K14355">
        <v>5900</v>
      </c>
      <c r="L14355" t="s">
        <v>23</v>
      </c>
      <c r="M14355" t="s">
        <v>30981</v>
      </c>
      <c r="N14355" t="s">
        <v>8826</v>
      </c>
      <c r="O14355" t="s">
        <v>22</v>
      </c>
      <c r="P14355">
        <v>92021</v>
      </c>
      <c r="Q14355">
        <v>5900</v>
      </c>
      <c r="R14355" t="s">
        <v>23</v>
      </c>
      <c r="S14355" s="1" t="s">
        <v>34218</v>
      </c>
    </row>
    <row r="14356" spans="1:19" x14ac:dyDescent="0.25">
      <c r="A14356">
        <v>101481034</v>
      </c>
      <c r="B14356" t="s">
        <v>276</v>
      </c>
      <c r="C14356" t="s">
        <v>1859</v>
      </c>
      <c r="G14356" t="s">
        <v>30982</v>
      </c>
      <c r="H14356" t="s">
        <v>130</v>
      </c>
      <c r="I14356" t="s">
        <v>22</v>
      </c>
      <c r="J14356">
        <v>94102</v>
      </c>
      <c r="K14356">
        <v>4000</v>
      </c>
      <c r="L14356" t="s">
        <v>23</v>
      </c>
      <c r="M14356" t="s">
        <v>30982</v>
      </c>
      <c r="N14356" t="s">
        <v>130</v>
      </c>
      <c r="O14356" t="s">
        <v>22</v>
      </c>
      <c r="P14356">
        <v>94102</v>
      </c>
      <c r="Q14356">
        <v>4000</v>
      </c>
      <c r="R14356" t="s">
        <v>23</v>
      </c>
      <c r="S14356" s="1" t="s">
        <v>34218</v>
      </c>
    </row>
    <row r="14357" spans="1:19" x14ac:dyDescent="0.25">
      <c r="A14357">
        <v>100689387</v>
      </c>
      <c r="B14357" t="s">
        <v>30983</v>
      </c>
      <c r="C14357" t="s">
        <v>916</v>
      </c>
      <c r="G14357" t="s">
        <v>30984</v>
      </c>
      <c r="H14357" t="s">
        <v>18159</v>
      </c>
      <c r="I14357" t="s">
        <v>255</v>
      </c>
      <c r="J14357">
        <v>23235</v>
      </c>
      <c r="K14357">
        <v>3104</v>
      </c>
      <c r="L14357" t="s">
        <v>23</v>
      </c>
      <c r="M14357" t="s">
        <v>30984</v>
      </c>
      <c r="N14357" t="s">
        <v>18159</v>
      </c>
      <c r="O14357" t="s">
        <v>255</v>
      </c>
      <c r="P14357">
        <v>23235</v>
      </c>
      <c r="Q14357">
        <v>3104</v>
      </c>
      <c r="R14357" t="s">
        <v>23</v>
      </c>
      <c r="S14357" s="1" t="s">
        <v>34218</v>
      </c>
    </row>
    <row r="14358" spans="1:19" x14ac:dyDescent="0.25">
      <c r="A14358">
        <v>100996212</v>
      </c>
      <c r="B14358" t="s">
        <v>30985</v>
      </c>
      <c r="C14358" t="s">
        <v>167</v>
      </c>
      <c r="G14358" t="s">
        <v>30986</v>
      </c>
      <c r="H14358" t="s">
        <v>30961</v>
      </c>
      <c r="I14358" t="s">
        <v>117</v>
      </c>
      <c r="J14358">
        <v>11964</v>
      </c>
      <c r="K14358">
        <v>523</v>
      </c>
      <c r="L14358" t="s">
        <v>23</v>
      </c>
      <c r="M14358" t="s">
        <v>30986</v>
      </c>
      <c r="N14358" t="s">
        <v>30961</v>
      </c>
      <c r="O14358" t="s">
        <v>117</v>
      </c>
      <c r="P14358">
        <v>11964</v>
      </c>
      <c r="Q14358">
        <v>523</v>
      </c>
      <c r="R14358" t="s">
        <v>23</v>
      </c>
      <c r="S14358" s="1" t="s">
        <v>34218</v>
      </c>
    </row>
    <row r="14359" spans="1:19" x14ac:dyDescent="0.25">
      <c r="A14359">
        <v>101340884</v>
      </c>
      <c r="B14359" t="s">
        <v>30987</v>
      </c>
      <c r="C14359" t="s">
        <v>30988</v>
      </c>
      <c r="F14359" t="str">
        <f>"2102159296"</f>
        <v>2102159296</v>
      </c>
      <c r="G14359" t="s">
        <v>30989</v>
      </c>
      <c r="H14359" t="s">
        <v>30990</v>
      </c>
      <c r="I14359" t="s">
        <v>702</v>
      </c>
      <c r="J14359">
        <v>89447</v>
      </c>
      <c r="K14359">
        <v>9419</v>
      </c>
      <c r="L14359" t="s">
        <v>23</v>
      </c>
      <c r="M14359" t="s">
        <v>30989</v>
      </c>
      <c r="N14359" t="s">
        <v>30990</v>
      </c>
      <c r="O14359" t="s">
        <v>702</v>
      </c>
      <c r="P14359">
        <v>89447</v>
      </c>
      <c r="Q14359">
        <v>9419</v>
      </c>
      <c r="R14359" t="s">
        <v>23</v>
      </c>
      <c r="S14359" s="1" t="s">
        <v>34218</v>
      </c>
    </row>
    <row r="14360" spans="1:19" x14ac:dyDescent="0.25">
      <c r="A14360">
        <v>101455329</v>
      </c>
      <c r="B14360" t="s">
        <v>3003</v>
      </c>
      <c r="C14360" t="s">
        <v>4273</v>
      </c>
      <c r="G14360" t="s">
        <v>30991</v>
      </c>
      <c r="H14360" t="s">
        <v>4460</v>
      </c>
      <c r="I14360" t="s">
        <v>307</v>
      </c>
      <c r="J14360">
        <v>5301</v>
      </c>
      <c r="K14360">
        <v>6564</v>
      </c>
      <c r="L14360" t="s">
        <v>23</v>
      </c>
      <c r="M14360" t="s">
        <v>30991</v>
      </c>
      <c r="N14360" t="s">
        <v>4460</v>
      </c>
      <c r="O14360" t="s">
        <v>307</v>
      </c>
      <c r="P14360">
        <v>5301</v>
      </c>
      <c r="Q14360">
        <v>6564</v>
      </c>
      <c r="R14360" t="s">
        <v>23</v>
      </c>
      <c r="S14360" s="1" t="s">
        <v>34218</v>
      </c>
    </row>
    <row r="14361" spans="1:19" x14ac:dyDescent="0.25">
      <c r="A14361">
        <v>101260794</v>
      </c>
      <c r="B14361" t="s">
        <v>1685</v>
      </c>
      <c r="C14361" t="s">
        <v>5599</v>
      </c>
      <c r="G14361" t="s">
        <v>30992</v>
      </c>
      <c r="H14361" t="s">
        <v>3466</v>
      </c>
      <c r="I14361" t="s">
        <v>1097</v>
      </c>
      <c r="J14361">
        <v>40475</v>
      </c>
      <c r="K14361">
        <v>7566</v>
      </c>
      <c r="L14361" t="s">
        <v>23</v>
      </c>
      <c r="M14361" t="s">
        <v>30992</v>
      </c>
      <c r="N14361" t="s">
        <v>3466</v>
      </c>
      <c r="O14361" t="s">
        <v>1097</v>
      </c>
      <c r="P14361">
        <v>40475</v>
      </c>
      <c r="Q14361">
        <v>7566</v>
      </c>
      <c r="R14361" t="s">
        <v>23</v>
      </c>
      <c r="S14361" s="1" t="s">
        <v>34218</v>
      </c>
    </row>
    <row r="14362" spans="1:19" x14ac:dyDescent="0.25">
      <c r="A14362">
        <v>101301957</v>
      </c>
      <c r="B14362" t="s">
        <v>30993</v>
      </c>
      <c r="C14362" t="s">
        <v>7844</v>
      </c>
      <c r="F14362" t="str">
        <f>"9259383708"</f>
        <v>9259383708</v>
      </c>
      <c r="G14362" t="s">
        <v>30994</v>
      </c>
      <c r="H14362" t="s">
        <v>1318</v>
      </c>
      <c r="I14362" t="s">
        <v>22</v>
      </c>
      <c r="J14362">
        <v>94595</v>
      </c>
      <c r="K14362">
        <v>2310</v>
      </c>
      <c r="L14362" t="s">
        <v>23</v>
      </c>
      <c r="M14362" t="s">
        <v>30994</v>
      </c>
      <c r="N14362" t="s">
        <v>1318</v>
      </c>
      <c r="O14362" t="s">
        <v>22</v>
      </c>
      <c r="P14362">
        <v>94595</v>
      </c>
      <c r="Q14362">
        <v>2310</v>
      </c>
      <c r="R14362" t="s">
        <v>23</v>
      </c>
      <c r="S14362" s="1" t="s">
        <v>34218</v>
      </c>
    </row>
    <row r="14363" spans="1:19" x14ac:dyDescent="0.25">
      <c r="A14363">
        <v>101470781</v>
      </c>
      <c r="B14363" t="s">
        <v>30995</v>
      </c>
      <c r="C14363" t="s">
        <v>1647</v>
      </c>
      <c r="G14363" t="s">
        <v>30996</v>
      </c>
      <c r="H14363" t="s">
        <v>3680</v>
      </c>
      <c r="I14363" t="s">
        <v>161</v>
      </c>
      <c r="J14363">
        <v>6824</v>
      </c>
      <c r="K14363">
        <v>6946</v>
      </c>
      <c r="L14363" t="s">
        <v>23</v>
      </c>
      <c r="M14363" t="s">
        <v>30996</v>
      </c>
      <c r="N14363" t="s">
        <v>3680</v>
      </c>
      <c r="O14363" t="s">
        <v>161</v>
      </c>
      <c r="P14363">
        <v>6824</v>
      </c>
      <c r="Q14363">
        <v>6946</v>
      </c>
      <c r="R14363" t="s">
        <v>23</v>
      </c>
      <c r="S14363" s="1" t="s">
        <v>34218</v>
      </c>
    </row>
    <row r="14364" spans="1:19" x14ac:dyDescent="0.25">
      <c r="A14364">
        <v>101470782</v>
      </c>
      <c r="B14364" t="s">
        <v>11178</v>
      </c>
      <c r="C14364" t="s">
        <v>30997</v>
      </c>
      <c r="G14364" t="s">
        <v>30998</v>
      </c>
      <c r="H14364" t="s">
        <v>653</v>
      </c>
      <c r="I14364" t="s">
        <v>117</v>
      </c>
      <c r="J14364">
        <v>10003</v>
      </c>
      <c r="K14364">
        <v>5513</v>
      </c>
      <c r="L14364" t="s">
        <v>23</v>
      </c>
      <c r="M14364" t="s">
        <v>30998</v>
      </c>
      <c r="N14364" t="s">
        <v>653</v>
      </c>
      <c r="O14364" t="s">
        <v>117</v>
      </c>
      <c r="P14364">
        <v>10003</v>
      </c>
      <c r="Q14364">
        <v>5513</v>
      </c>
      <c r="R14364" t="s">
        <v>23</v>
      </c>
      <c r="S14364" s="1" t="s">
        <v>34218</v>
      </c>
    </row>
    <row r="14365" spans="1:19" x14ac:dyDescent="0.25">
      <c r="A14365">
        <v>101254647</v>
      </c>
      <c r="B14365" t="s">
        <v>30999</v>
      </c>
      <c r="C14365" t="s">
        <v>1374</v>
      </c>
      <c r="G14365" t="s">
        <v>31000</v>
      </c>
      <c r="H14365" t="s">
        <v>2359</v>
      </c>
      <c r="I14365" t="s">
        <v>22</v>
      </c>
      <c r="J14365">
        <v>92672</v>
      </c>
      <c r="L14365" t="s">
        <v>23</v>
      </c>
      <c r="M14365" t="s">
        <v>31000</v>
      </c>
      <c r="N14365" t="s">
        <v>2359</v>
      </c>
      <c r="O14365" t="s">
        <v>22</v>
      </c>
      <c r="P14365">
        <v>92672</v>
      </c>
      <c r="R14365" t="s">
        <v>23</v>
      </c>
      <c r="S14365" s="1" t="s">
        <v>34218</v>
      </c>
    </row>
    <row r="14366" spans="1:19" x14ac:dyDescent="0.25">
      <c r="A14366">
        <v>101470798</v>
      </c>
      <c r="B14366" t="s">
        <v>31001</v>
      </c>
      <c r="C14366" t="s">
        <v>585</v>
      </c>
      <c r="G14366" t="s">
        <v>24839</v>
      </c>
      <c r="H14366" t="s">
        <v>2696</v>
      </c>
      <c r="I14366" t="s">
        <v>52</v>
      </c>
      <c r="J14366">
        <v>33024</v>
      </c>
      <c r="K14366">
        <v>2125</v>
      </c>
      <c r="L14366" t="s">
        <v>23</v>
      </c>
      <c r="M14366" t="s">
        <v>24839</v>
      </c>
      <c r="N14366" t="s">
        <v>2696</v>
      </c>
      <c r="O14366" t="s">
        <v>52</v>
      </c>
      <c r="P14366">
        <v>33024</v>
      </c>
      <c r="Q14366">
        <v>2125</v>
      </c>
      <c r="R14366" t="s">
        <v>23</v>
      </c>
      <c r="S14366" s="1" t="s">
        <v>34218</v>
      </c>
    </row>
    <row r="14367" spans="1:19" x14ac:dyDescent="0.25">
      <c r="A14367">
        <v>101453132</v>
      </c>
      <c r="B14367" t="s">
        <v>19912</v>
      </c>
      <c r="C14367" t="s">
        <v>7894</v>
      </c>
      <c r="G14367" t="s">
        <v>31002</v>
      </c>
      <c r="H14367" t="s">
        <v>31003</v>
      </c>
      <c r="I14367" t="s">
        <v>100</v>
      </c>
      <c r="J14367">
        <v>54630</v>
      </c>
      <c r="K14367">
        <v>8224</v>
      </c>
      <c r="L14367" t="s">
        <v>23</v>
      </c>
      <c r="M14367" t="s">
        <v>31002</v>
      </c>
      <c r="N14367" t="s">
        <v>31003</v>
      </c>
      <c r="O14367" t="s">
        <v>100</v>
      </c>
      <c r="P14367">
        <v>54630</v>
      </c>
      <c r="Q14367">
        <v>8224</v>
      </c>
      <c r="R14367" t="s">
        <v>23</v>
      </c>
      <c r="S14367" s="1" t="s">
        <v>34218</v>
      </c>
    </row>
    <row r="14368" spans="1:19" x14ac:dyDescent="0.25">
      <c r="A14368">
        <v>101481049</v>
      </c>
      <c r="B14368" t="s">
        <v>199</v>
      </c>
      <c r="C14368" t="s">
        <v>4228</v>
      </c>
      <c r="G14368" t="s">
        <v>31004</v>
      </c>
      <c r="H14368" t="s">
        <v>1766</v>
      </c>
      <c r="I14368" t="s">
        <v>22</v>
      </c>
      <c r="J14368">
        <v>94591</v>
      </c>
      <c r="L14368" t="s">
        <v>23</v>
      </c>
      <c r="M14368" t="s">
        <v>31004</v>
      </c>
      <c r="N14368" t="s">
        <v>1766</v>
      </c>
      <c r="O14368" t="s">
        <v>22</v>
      </c>
      <c r="P14368">
        <v>94591</v>
      </c>
      <c r="R14368" t="s">
        <v>23</v>
      </c>
      <c r="S14368" s="1" t="s">
        <v>34218</v>
      </c>
    </row>
    <row r="14369" spans="1:19" x14ac:dyDescent="0.25">
      <c r="A14369">
        <v>101429806</v>
      </c>
      <c r="B14369" t="s">
        <v>31005</v>
      </c>
      <c r="C14369" t="s">
        <v>123</v>
      </c>
      <c r="G14369" t="s">
        <v>31006</v>
      </c>
      <c r="H14369" t="s">
        <v>5908</v>
      </c>
      <c r="I14369" t="s">
        <v>52</v>
      </c>
      <c r="J14369">
        <v>32960</v>
      </c>
      <c r="K14369">
        <v>3268</v>
      </c>
      <c r="L14369" t="s">
        <v>23</v>
      </c>
      <c r="M14369" t="s">
        <v>31006</v>
      </c>
      <c r="N14369" t="s">
        <v>5908</v>
      </c>
      <c r="O14369" t="s">
        <v>52</v>
      </c>
      <c r="P14369">
        <v>32960</v>
      </c>
      <c r="Q14369">
        <v>3268</v>
      </c>
      <c r="R14369" t="s">
        <v>23</v>
      </c>
      <c r="S14369" s="1" t="s">
        <v>34218</v>
      </c>
    </row>
    <row r="14370" spans="1:19" x14ac:dyDescent="0.25">
      <c r="A14370">
        <v>101475976</v>
      </c>
      <c r="B14370" t="s">
        <v>31007</v>
      </c>
      <c r="C14370" t="s">
        <v>403</v>
      </c>
      <c r="G14370" t="s">
        <v>31008</v>
      </c>
      <c r="H14370" t="s">
        <v>16723</v>
      </c>
      <c r="I14370" t="s">
        <v>178</v>
      </c>
      <c r="J14370">
        <v>44867</v>
      </c>
      <c r="L14370" t="s">
        <v>23</v>
      </c>
      <c r="M14370" t="s">
        <v>31008</v>
      </c>
      <c r="N14370" t="s">
        <v>16723</v>
      </c>
      <c r="O14370" t="s">
        <v>178</v>
      </c>
      <c r="P14370">
        <v>44867</v>
      </c>
      <c r="R14370" t="s">
        <v>23</v>
      </c>
      <c r="S14370" s="1" t="s">
        <v>34218</v>
      </c>
    </row>
    <row r="14371" spans="1:19" x14ac:dyDescent="0.25">
      <c r="A14371">
        <v>101472058</v>
      </c>
      <c r="B14371" t="s">
        <v>3545</v>
      </c>
      <c r="C14371" t="s">
        <v>25115</v>
      </c>
      <c r="G14371" t="s">
        <v>31009</v>
      </c>
      <c r="H14371" t="s">
        <v>380</v>
      </c>
      <c r="I14371" t="s">
        <v>38</v>
      </c>
      <c r="J14371">
        <v>75228</v>
      </c>
      <c r="L14371" t="s">
        <v>23</v>
      </c>
      <c r="M14371" t="s">
        <v>31009</v>
      </c>
      <c r="N14371" t="s">
        <v>380</v>
      </c>
      <c r="O14371" t="s">
        <v>38</v>
      </c>
      <c r="P14371">
        <v>75228</v>
      </c>
      <c r="R14371" t="s">
        <v>23</v>
      </c>
      <c r="S14371" s="1" t="s">
        <v>34218</v>
      </c>
    </row>
    <row r="14372" spans="1:19" x14ac:dyDescent="0.25">
      <c r="A14372">
        <v>100701223</v>
      </c>
      <c r="B14372" t="s">
        <v>31010</v>
      </c>
      <c r="C14372" t="s">
        <v>428</v>
      </c>
      <c r="G14372" t="s">
        <v>31011</v>
      </c>
      <c r="H14372" t="s">
        <v>27</v>
      </c>
      <c r="I14372" t="s">
        <v>28</v>
      </c>
      <c r="J14372">
        <v>30357</v>
      </c>
      <c r="K14372">
        <v>1088</v>
      </c>
      <c r="L14372" t="s">
        <v>23</v>
      </c>
      <c r="M14372" t="s">
        <v>31011</v>
      </c>
      <c r="N14372" t="s">
        <v>27</v>
      </c>
      <c r="O14372" t="s">
        <v>28</v>
      </c>
      <c r="P14372">
        <v>30357</v>
      </c>
      <c r="Q14372">
        <v>1088</v>
      </c>
      <c r="R14372" t="s">
        <v>23</v>
      </c>
      <c r="S14372" s="1" t="s">
        <v>34218</v>
      </c>
    </row>
    <row r="14373" spans="1:19" x14ac:dyDescent="0.25">
      <c r="A14373">
        <v>101481060</v>
      </c>
      <c r="B14373" t="s">
        <v>31012</v>
      </c>
      <c r="C14373" t="s">
        <v>8472</v>
      </c>
      <c r="G14373" t="s">
        <v>31013</v>
      </c>
      <c r="H14373" t="s">
        <v>1217</v>
      </c>
      <c r="I14373" t="s">
        <v>332</v>
      </c>
      <c r="J14373">
        <v>84044</v>
      </c>
      <c r="L14373" t="s">
        <v>23</v>
      </c>
      <c r="M14373" t="s">
        <v>31013</v>
      </c>
      <c r="N14373" t="s">
        <v>1217</v>
      </c>
      <c r="O14373" t="s">
        <v>332</v>
      </c>
      <c r="P14373">
        <v>84044</v>
      </c>
      <c r="R14373" t="s">
        <v>23</v>
      </c>
      <c r="S14373" s="1" t="s">
        <v>34218</v>
      </c>
    </row>
    <row r="14374" spans="1:19" x14ac:dyDescent="0.25">
      <c r="A14374">
        <v>101473554</v>
      </c>
      <c r="B14374" t="s">
        <v>31014</v>
      </c>
      <c r="C14374" t="s">
        <v>2603</v>
      </c>
      <c r="G14374" t="s">
        <v>31015</v>
      </c>
      <c r="H14374" t="s">
        <v>31016</v>
      </c>
      <c r="I14374" t="s">
        <v>332</v>
      </c>
      <c r="J14374">
        <v>84663</v>
      </c>
      <c r="K14374">
        <v>5854</v>
      </c>
      <c r="L14374" t="s">
        <v>23</v>
      </c>
      <c r="M14374" t="s">
        <v>31015</v>
      </c>
      <c r="N14374" t="s">
        <v>31016</v>
      </c>
      <c r="O14374" t="s">
        <v>332</v>
      </c>
      <c r="P14374">
        <v>84663</v>
      </c>
      <c r="Q14374">
        <v>5854</v>
      </c>
      <c r="R14374" t="s">
        <v>23</v>
      </c>
      <c r="S14374" s="1" t="s">
        <v>34218</v>
      </c>
    </row>
    <row r="14375" spans="1:19" x14ac:dyDescent="0.25">
      <c r="A14375">
        <v>101481062</v>
      </c>
      <c r="B14375" t="s">
        <v>31017</v>
      </c>
      <c r="C14375" t="s">
        <v>535</v>
      </c>
      <c r="G14375" t="s">
        <v>31018</v>
      </c>
      <c r="H14375" t="s">
        <v>1193</v>
      </c>
      <c r="I14375" t="s">
        <v>126</v>
      </c>
      <c r="J14375">
        <v>63303</v>
      </c>
      <c r="K14375">
        <v>5932</v>
      </c>
      <c r="L14375" t="s">
        <v>23</v>
      </c>
      <c r="M14375" t="s">
        <v>31018</v>
      </c>
      <c r="N14375" t="s">
        <v>1193</v>
      </c>
      <c r="O14375" t="s">
        <v>126</v>
      </c>
      <c r="P14375">
        <v>63303</v>
      </c>
      <c r="Q14375">
        <v>5932</v>
      </c>
      <c r="R14375" t="s">
        <v>23</v>
      </c>
      <c r="S14375" s="1" t="s">
        <v>34218</v>
      </c>
    </row>
    <row r="14376" spans="1:19" x14ac:dyDescent="0.25">
      <c r="A14376">
        <v>101481064</v>
      </c>
      <c r="B14376" t="s">
        <v>31019</v>
      </c>
      <c r="C14376" t="s">
        <v>18391</v>
      </c>
      <c r="G14376" t="s">
        <v>31020</v>
      </c>
      <c r="H14376" t="s">
        <v>412</v>
      </c>
      <c r="I14376" t="s">
        <v>117</v>
      </c>
      <c r="J14376">
        <v>11205</v>
      </c>
      <c r="K14376">
        <v>1317</v>
      </c>
      <c r="L14376" t="s">
        <v>23</v>
      </c>
      <c r="M14376" t="s">
        <v>31020</v>
      </c>
      <c r="N14376" t="s">
        <v>412</v>
      </c>
      <c r="O14376" t="s">
        <v>117</v>
      </c>
      <c r="P14376">
        <v>11205</v>
      </c>
      <c r="Q14376">
        <v>1317</v>
      </c>
      <c r="R14376" t="s">
        <v>23</v>
      </c>
      <c r="S14376" s="1" t="s">
        <v>34218</v>
      </c>
    </row>
    <row r="14377" spans="1:19" x14ac:dyDescent="0.25">
      <c r="A14377">
        <v>101481065</v>
      </c>
      <c r="B14377" t="s">
        <v>4949</v>
      </c>
      <c r="C14377" t="s">
        <v>3705</v>
      </c>
      <c r="G14377" t="s">
        <v>31021</v>
      </c>
      <c r="H14377" t="s">
        <v>299</v>
      </c>
      <c r="I14377" t="s">
        <v>22</v>
      </c>
      <c r="J14377">
        <v>90066</v>
      </c>
      <c r="K14377">
        <v>5112</v>
      </c>
      <c r="L14377" t="s">
        <v>23</v>
      </c>
      <c r="M14377" t="s">
        <v>31021</v>
      </c>
      <c r="N14377" t="s">
        <v>299</v>
      </c>
      <c r="O14377" t="s">
        <v>22</v>
      </c>
      <c r="P14377">
        <v>90066</v>
      </c>
      <c r="Q14377">
        <v>5112</v>
      </c>
      <c r="R14377" t="s">
        <v>23</v>
      </c>
      <c r="S14377" s="1" t="s">
        <v>34218</v>
      </c>
    </row>
    <row r="14378" spans="1:19" x14ac:dyDescent="0.25">
      <c r="A14378">
        <v>100667694</v>
      </c>
      <c r="B14378" t="s">
        <v>3089</v>
      </c>
      <c r="C14378" t="s">
        <v>644</v>
      </c>
      <c r="G14378" t="s">
        <v>31022</v>
      </c>
      <c r="H14378" t="s">
        <v>1439</v>
      </c>
      <c r="I14378" t="s">
        <v>365</v>
      </c>
      <c r="J14378">
        <v>85704</v>
      </c>
      <c r="K14378">
        <v>6915</v>
      </c>
      <c r="L14378" t="s">
        <v>23</v>
      </c>
      <c r="M14378" t="s">
        <v>31022</v>
      </c>
      <c r="N14378" t="s">
        <v>1439</v>
      </c>
      <c r="O14378" t="s">
        <v>365</v>
      </c>
      <c r="P14378">
        <v>85704</v>
      </c>
      <c r="Q14378">
        <v>6915</v>
      </c>
      <c r="R14378" t="s">
        <v>23</v>
      </c>
      <c r="S14378" s="1" t="s">
        <v>34218</v>
      </c>
    </row>
    <row r="14379" spans="1:19" x14ac:dyDescent="0.25">
      <c r="A14379">
        <v>101268325</v>
      </c>
      <c r="B14379" t="s">
        <v>1800</v>
      </c>
      <c r="C14379" t="s">
        <v>31023</v>
      </c>
      <c r="G14379" t="s">
        <v>31024</v>
      </c>
      <c r="H14379" t="s">
        <v>1604</v>
      </c>
      <c r="I14379" t="s">
        <v>914</v>
      </c>
      <c r="J14379">
        <v>38401</v>
      </c>
      <c r="K14379">
        <v>6156</v>
      </c>
      <c r="L14379" t="s">
        <v>23</v>
      </c>
      <c r="M14379" t="s">
        <v>31024</v>
      </c>
      <c r="N14379" t="s">
        <v>1604</v>
      </c>
      <c r="O14379" t="s">
        <v>914</v>
      </c>
      <c r="P14379">
        <v>38401</v>
      </c>
      <c r="Q14379">
        <v>6156</v>
      </c>
      <c r="R14379" t="s">
        <v>23</v>
      </c>
      <c r="S14379" s="1" t="s">
        <v>34218</v>
      </c>
    </row>
    <row r="14380" spans="1:19" x14ac:dyDescent="0.25">
      <c r="A14380">
        <v>101452696</v>
      </c>
      <c r="B14380" t="s">
        <v>6376</v>
      </c>
      <c r="C14380" t="s">
        <v>286</v>
      </c>
      <c r="G14380" t="s">
        <v>31025</v>
      </c>
      <c r="H14380" t="s">
        <v>595</v>
      </c>
      <c r="I14380" t="s">
        <v>370</v>
      </c>
      <c r="J14380">
        <v>68025</v>
      </c>
      <c r="K14380">
        <v>6175</v>
      </c>
      <c r="L14380" t="s">
        <v>23</v>
      </c>
      <c r="M14380" t="s">
        <v>31025</v>
      </c>
      <c r="N14380" t="s">
        <v>595</v>
      </c>
      <c r="O14380" t="s">
        <v>370</v>
      </c>
      <c r="P14380">
        <v>68025</v>
      </c>
      <c r="Q14380">
        <v>6175</v>
      </c>
      <c r="R14380" t="s">
        <v>23</v>
      </c>
      <c r="S14380" s="1" t="s">
        <v>34218</v>
      </c>
    </row>
    <row r="14381" spans="1:19" x14ac:dyDescent="0.25">
      <c r="A14381">
        <v>101481071</v>
      </c>
      <c r="B14381" t="s">
        <v>31026</v>
      </c>
      <c r="C14381" t="s">
        <v>6897</v>
      </c>
      <c r="G14381" t="s">
        <v>31027</v>
      </c>
      <c r="H14381" t="s">
        <v>3668</v>
      </c>
      <c r="I14381" t="s">
        <v>148</v>
      </c>
      <c r="J14381">
        <v>21210</v>
      </c>
      <c r="K14381">
        <v>2914</v>
      </c>
      <c r="L14381" t="s">
        <v>23</v>
      </c>
      <c r="M14381" t="s">
        <v>31027</v>
      </c>
      <c r="N14381" t="s">
        <v>3668</v>
      </c>
      <c r="O14381" t="s">
        <v>148</v>
      </c>
      <c r="P14381">
        <v>21210</v>
      </c>
      <c r="Q14381">
        <v>2914</v>
      </c>
      <c r="R14381" t="s">
        <v>23</v>
      </c>
      <c r="S14381" s="1" t="s">
        <v>34218</v>
      </c>
    </row>
    <row r="14382" spans="1:19" x14ac:dyDescent="0.25">
      <c r="A14382">
        <v>101481074</v>
      </c>
      <c r="B14382" t="s">
        <v>28030</v>
      </c>
      <c r="C14382" t="s">
        <v>31028</v>
      </c>
      <c r="G14382" t="s">
        <v>28031</v>
      </c>
      <c r="H14382" t="s">
        <v>28032</v>
      </c>
      <c r="I14382" t="s">
        <v>52</v>
      </c>
      <c r="J14382">
        <v>32533</v>
      </c>
      <c r="K14382">
        <v>8268</v>
      </c>
      <c r="L14382" t="s">
        <v>23</v>
      </c>
      <c r="M14382" t="s">
        <v>28031</v>
      </c>
      <c r="N14382" t="s">
        <v>28032</v>
      </c>
      <c r="O14382" t="s">
        <v>52</v>
      </c>
      <c r="P14382">
        <v>32533</v>
      </c>
      <c r="Q14382">
        <v>8268</v>
      </c>
      <c r="R14382" t="s">
        <v>23</v>
      </c>
      <c r="S14382" s="1" t="s">
        <v>34218</v>
      </c>
    </row>
    <row r="14383" spans="1:19" x14ac:dyDescent="0.25">
      <c r="A14383">
        <v>100691900</v>
      </c>
      <c r="B14383" t="s">
        <v>31029</v>
      </c>
      <c r="C14383" t="s">
        <v>4184</v>
      </c>
      <c r="G14383" t="s">
        <v>31030</v>
      </c>
      <c r="H14383" t="s">
        <v>818</v>
      </c>
      <c r="I14383" t="s">
        <v>43</v>
      </c>
      <c r="J14383">
        <v>97005</v>
      </c>
      <c r="K14383">
        <v>3755</v>
      </c>
      <c r="L14383" t="s">
        <v>23</v>
      </c>
      <c r="M14383" t="s">
        <v>31030</v>
      </c>
      <c r="N14383" t="s">
        <v>818</v>
      </c>
      <c r="O14383" t="s">
        <v>43</v>
      </c>
      <c r="P14383">
        <v>97005</v>
      </c>
      <c r="Q14383">
        <v>3755</v>
      </c>
      <c r="R14383" t="s">
        <v>23</v>
      </c>
      <c r="S14383" s="1" t="s">
        <v>34218</v>
      </c>
    </row>
    <row r="14384" spans="1:19" x14ac:dyDescent="0.25">
      <c r="A14384">
        <v>101430528</v>
      </c>
      <c r="B14384" t="s">
        <v>31031</v>
      </c>
      <c r="C14384" t="s">
        <v>31032</v>
      </c>
      <c r="G14384" t="s">
        <v>31033</v>
      </c>
      <c r="H14384" t="s">
        <v>130</v>
      </c>
      <c r="I14384" t="s">
        <v>22</v>
      </c>
      <c r="J14384">
        <v>94117</v>
      </c>
      <c r="K14384">
        <v>2609</v>
      </c>
      <c r="L14384" t="s">
        <v>23</v>
      </c>
      <c r="M14384" t="s">
        <v>31033</v>
      </c>
      <c r="N14384" t="s">
        <v>130</v>
      </c>
      <c r="O14384" t="s">
        <v>22</v>
      </c>
      <c r="P14384">
        <v>94117</v>
      </c>
      <c r="Q14384">
        <v>2609</v>
      </c>
      <c r="R14384" t="s">
        <v>23</v>
      </c>
      <c r="S14384" s="1" t="s">
        <v>34218</v>
      </c>
    </row>
    <row r="14385" spans="1:19" x14ac:dyDescent="0.25">
      <c r="A14385">
        <v>101474732</v>
      </c>
      <c r="B14385" t="s">
        <v>31034</v>
      </c>
      <c r="C14385" t="s">
        <v>31035</v>
      </c>
      <c r="G14385" t="s">
        <v>31036</v>
      </c>
      <c r="H14385" t="s">
        <v>15158</v>
      </c>
      <c r="I14385" t="s">
        <v>2537</v>
      </c>
      <c r="J14385">
        <v>10446</v>
      </c>
      <c r="L14385" t="s">
        <v>23</v>
      </c>
      <c r="M14385" t="s">
        <v>31036</v>
      </c>
      <c r="N14385" t="s">
        <v>15158</v>
      </c>
      <c r="O14385" t="s">
        <v>2537</v>
      </c>
      <c r="P14385">
        <v>10446</v>
      </c>
      <c r="R14385" t="s">
        <v>23</v>
      </c>
      <c r="S14385" s="1" t="s">
        <v>34218</v>
      </c>
    </row>
    <row r="14386" spans="1:19" x14ac:dyDescent="0.25">
      <c r="A14386">
        <v>101477024</v>
      </c>
      <c r="B14386" t="s">
        <v>19914</v>
      </c>
      <c r="C14386" t="s">
        <v>575</v>
      </c>
      <c r="G14386" t="s">
        <v>19916</v>
      </c>
      <c r="H14386" t="s">
        <v>147</v>
      </c>
      <c r="I14386" t="s">
        <v>22</v>
      </c>
      <c r="J14386">
        <v>91105</v>
      </c>
      <c r="K14386">
        <v>1922</v>
      </c>
      <c r="L14386" t="s">
        <v>23</v>
      </c>
      <c r="M14386" t="s">
        <v>19916</v>
      </c>
      <c r="N14386" t="s">
        <v>147</v>
      </c>
      <c r="O14386" t="s">
        <v>22</v>
      </c>
      <c r="P14386">
        <v>91105</v>
      </c>
      <c r="Q14386">
        <v>1922</v>
      </c>
      <c r="R14386" t="s">
        <v>23</v>
      </c>
      <c r="S14386" s="1" t="s">
        <v>34218</v>
      </c>
    </row>
    <row r="14387" spans="1:19" x14ac:dyDescent="0.25">
      <c r="A14387">
        <v>100742268</v>
      </c>
      <c r="B14387" t="s">
        <v>23120</v>
      </c>
      <c r="C14387" t="s">
        <v>1502</v>
      </c>
      <c r="G14387" t="s">
        <v>31037</v>
      </c>
      <c r="H14387" t="s">
        <v>761</v>
      </c>
      <c r="I14387" t="s">
        <v>22</v>
      </c>
      <c r="J14387">
        <v>94521</v>
      </c>
      <c r="L14387" t="s">
        <v>23</v>
      </c>
      <c r="M14387" t="s">
        <v>31037</v>
      </c>
      <c r="N14387" t="s">
        <v>761</v>
      </c>
      <c r="O14387" t="s">
        <v>22</v>
      </c>
      <c r="P14387">
        <v>94521</v>
      </c>
      <c r="R14387" t="s">
        <v>23</v>
      </c>
      <c r="S14387" s="1" t="s">
        <v>34218</v>
      </c>
    </row>
    <row r="14388" spans="1:19" x14ac:dyDescent="0.25">
      <c r="A14388">
        <v>101466162</v>
      </c>
      <c r="B14388" t="s">
        <v>3956</v>
      </c>
      <c r="C14388" t="s">
        <v>535</v>
      </c>
      <c r="G14388" t="s">
        <v>31038</v>
      </c>
      <c r="H14388" t="s">
        <v>968</v>
      </c>
      <c r="I14388" t="s">
        <v>22</v>
      </c>
      <c r="J14388">
        <v>95350</v>
      </c>
      <c r="K14388">
        <v>5926</v>
      </c>
      <c r="L14388" t="s">
        <v>23</v>
      </c>
      <c r="M14388" t="s">
        <v>31038</v>
      </c>
      <c r="N14388" t="s">
        <v>968</v>
      </c>
      <c r="O14388" t="s">
        <v>22</v>
      </c>
      <c r="P14388">
        <v>95350</v>
      </c>
      <c r="Q14388">
        <v>5926</v>
      </c>
      <c r="R14388" t="s">
        <v>23</v>
      </c>
      <c r="S14388" s="1" t="s">
        <v>34218</v>
      </c>
    </row>
    <row r="14389" spans="1:19" x14ac:dyDescent="0.25">
      <c r="A14389">
        <v>101427062</v>
      </c>
      <c r="B14389" t="s">
        <v>1370</v>
      </c>
      <c r="C14389" t="s">
        <v>90</v>
      </c>
      <c r="G14389" t="s">
        <v>31039</v>
      </c>
      <c r="H14389" t="s">
        <v>653</v>
      </c>
      <c r="I14389" t="s">
        <v>117</v>
      </c>
      <c r="J14389">
        <v>10029</v>
      </c>
      <c r="K14389">
        <v>1624</v>
      </c>
      <c r="L14389" t="s">
        <v>23</v>
      </c>
      <c r="M14389" t="s">
        <v>31039</v>
      </c>
      <c r="N14389" t="s">
        <v>653</v>
      </c>
      <c r="O14389" t="s">
        <v>117</v>
      </c>
      <c r="P14389">
        <v>10029</v>
      </c>
      <c r="Q14389">
        <v>1624</v>
      </c>
      <c r="R14389" t="s">
        <v>23</v>
      </c>
      <c r="S14389" s="1" t="s">
        <v>34218</v>
      </c>
    </row>
    <row r="14390" spans="1:19" x14ac:dyDescent="0.25">
      <c r="A14390">
        <v>101481043</v>
      </c>
      <c r="B14390" t="s">
        <v>31040</v>
      </c>
      <c r="C14390" t="s">
        <v>208</v>
      </c>
      <c r="G14390" t="s">
        <v>31041</v>
      </c>
      <c r="H14390" t="s">
        <v>3592</v>
      </c>
      <c r="I14390" t="s">
        <v>22</v>
      </c>
      <c r="J14390">
        <v>95608</v>
      </c>
      <c r="K14390">
        <v>4823</v>
      </c>
      <c r="L14390" t="s">
        <v>23</v>
      </c>
      <c r="M14390" t="s">
        <v>31041</v>
      </c>
      <c r="N14390" t="s">
        <v>3592</v>
      </c>
      <c r="O14390" t="s">
        <v>22</v>
      </c>
      <c r="P14390">
        <v>95608</v>
      </c>
      <c r="Q14390">
        <v>4823</v>
      </c>
      <c r="R14390" t="s">
        <v>23</v>
      </c>
      <c r="S14390" s="1" t="s">
        <v>34218</v>
      </c>
    </row>
    <row r="14391" spans="1:19" x14ac:dyDescent="0.25">
      <c r="A14391">
        <v>101377052</v>
      </c>
      <c r="B14391" t="s">
        <v>31042</v>
      </c>
      <c r="C14391" t="s">
        <v>2298</v>
      </c>
      <c r="G14391" t="s">
        <v>31043</v>
      </c>
      <c r="H14391" t="s">
        <v>1333</v>
      </c>
      <c r="I14391" t="s">
        <v>446</v>
      </c>
      <c r="J14391">
        <v>28601</v>
      </c>
      <c r="K14391">
        <v>569</v>
      </c>
      <c r="L14391" t="s">
        <v>23</v>
      </c>
      <c r="M14391" t="s">
        <v>31043</v>
      </c>
      <c r="N14391" t="s">
        <v>1333</v>
      </c>
      <c r="O14391" t="s">
        <v>446</v>
      </c>
      <c r="P14391">
        <v>28601</v>
      </c>
      <c r="Q14391">
        <v>569</v>
      </c>
      <c r="R14391" t="s">
        <v>23</v>
      </c>
      <c r="S14391" s="1" t="s">
        <v>34218</v>
      </c>
    </row>
    <row r="14392" spans="1:19" x14ac:dyDescent="0.25">
      <c r="A14392">
        <v>100529153</v>
      </c>
      <c r="B14392" t="s">
        <v>31044</v>
      </c>
      <c r="C14392" t="s">
        <v>90</v>
      </c>
      <c r="G14392" t="s">
        <v>31045</v>
      </c>
      <c r="H14392" t="s">
        <v>5014</v>
      </c>
      <c r="I14392" t="s">
        <v>353</v>
      </c>
      <c r="J14392">
        <v>3801</v>
      </c>
      <c r="K14392">
        <v>4956</v>
      </c>
      <c r="L14392" t="s">
        <v>23</v>
      </c>
      <c r="M14392" t="s">
        <v>31045</v>
      </c>
      <c r="N14392" t="s">
        <v>5014</v>
      </c>
      <c r="O14392" t="s">
        <v>353</v>
      </c>
      <c r="P14392">
        <v>3801</v>
      </c>
      <c r="Q14392">
        <v>4956</v>
      </c>
      <c r="R14392" t="s">
        <v>23</v>
      </c>
      <c r="S14392" s="1" t="s">
        <v>34218</v>
      </c>
    </row>
    <row r="14393" spans="1:19" x14ac:dyDescent="0.25">
      <c r="A14393">
        <v>100829791</v>
      </c>
      <c r="B14393" t="s">
        <v>17062</v>
      </c>
      <c r="C14393" t="s">
        <v>31046</v>
      </c>
      <c r="G14393" t="s">
        <v>31047</v>
      </c>
      <c r="H14393" t="s">
        <v>2175</v>
      </c>
      <c r="I14393" t="s">
        <v>250</v>
      </c>
      <c r="J14393">
        <v>7631</v>
      </c>
      <c r="K14393">
        <v>3166</v>
      </c>
      <c r="L14393" t="s">
        <v>23</v>
      </c>
      <c r="M14393" t="s">
        <v>31047</v>
      </c>
      <c r="N14393" t="s">
        <v>2175</v>
      </c>
      <c r="O14393" t="s">
        <v>250</v>
      </c>
      <c r="P14393">
        <v>7631</v>
      </c>
      <c r="Q14393">
        <v>3166</v>
      </c>
      <c r="R14393" t="s">
        <v>23</v>
      </c>
      <c r="S14393" s="1" t="s">
        <v>34218</v>
      </c>
    </row>
    <row r="14394" spans="1:19" x14ac:dyDescent="0.25">
      <c r="A14394">
        <v>101451197</v>
      </c>
      <c r="B14394" t="s">
        <v>25594</v>
      </c>
      <c r="C14394" t="s">
        <v>15194</v>
      </c>
      <c r="G14394" t="s">
        <v>31048</v>
      </c>
      <c r="H14394" t="s">
        <v>9229</v>
      </c>
      <c r="I14394" t="s">
        <v>52</v>
      </c>
      <c r="J14394">
        <v>33908</v>
      </c>
      <c r="K14394">
        <v>1722</v>
      </c>
      <c r="L14394" t="s">
        <v>23</v>
      </c>
      <c r="M14394" t="s">
        <v>31048</v>
      </c>
      <c r="N14394" t="s">
        <v>9229</v>
      </c>
      <c r="O14394" t="s">
        <v>52</v>
      </c>
      <c r="P14394">
        <v>33908</v>
      </c>
      <c r="Q14394">
        <v>1722</v>
      </c>
      <c r="R14394" t="s">
        <v>23</v>
      </c>
      <c r="S14394" s="1" t="s">
        <v>34218</v>
      </c>
    </row>
    <row r="14395" spans="1:19" x14ac:dyDescent="0.25">
      <c r="A14395">
        <v>100603713</v>
      </c>
      <c r="B14395" t="s">
        <v>14323</v>
      </c>
      <c r="C14395" t="s">
        <v>3482</v>
      </c>
      <c r="G14395" t="s">
        <v>31049</v>
      </c>
      <c r="H14395" t="s">
        <v>573</v>
      </c>
      <c r="I14395" t="s">
        <v>33</v>
      </c>
      <c r="J14395">
        <v>19147</v>
      </c>
      <c r="K14395">
        <v>3912</v>
      </c>
      <c r="L14395" t="s">
        <v>23</v>
      </c>
      <c r="M14395" t="s">
        <v>31049</v>
      </c>
      <c r="N14395" t="s">
        <v>573</v>
      </c>
      <c r="O14395" t="s">
        <v>33</v>
      </c>
      <c r="P14395">
        <v>19147</v>
      </c>
      <c r="Q14395">
        <v>3912</v>
      </c>
      <c r="R14395" t="s">
        <v>23</v>
      </c>
      <c r="S14395" s="1" t="s">
        <v>34218</v>
      </c>
    </row>
    <row r="14396" spans="1:19" x14ac:dyDescent="0.25">
      <c r="A14396">
        <v>101330352</v>
      </c>
      <c r="B14396" t="s">
        <v>1164</v>
      </c>
      <c r="C14396" t="s">
        <v>9911</v>
      </c>
      <c r="G14396" t="s">
        <v>31050</v>
      </c>
      <c r="H14396" t="s">
        <v>31051</v>
      </c>
      <c r="I14396" t="s">
        <v>84</v>
      </c>
      <c r="J14396">
        <v>98325</v>
      </c>
      <c r="K14396">
        <v>93</v>
      </c>
      <c r="L14396" t="s">
        <v>23</v>
      </c>
      <c r="M14396" t="s">
        <v>31050</v>
      </c>
      <c r="N14396" t="s">
        <v>31051</v>
      </c>
      <c r="O14396" t="s">
        <v>84</v>
      </c>
      <c r="P14396">
        <v>98325</v>
      </c>
      <c r="Q14396">
        <v>93</v>
      </c>
      <c r="R14396" t="s">
        <v>23</v>
      </c>
      <c r="S14396" s="1" t="s">
        <v>34218</v>
      </c>
    </row>
    <row r="14397" spans="1:19" x14ac:dyDescent="0.25">
      <c r="A14397">
        <v>101481051</v>
      </c>
      <c r="B14397" t="s">
        <v>31052</v>
      </c>
      <c r="C14397" t="s">
        <v>846</v>
      </c>
      <c r="G14397" t="s">
        <v>31053</v>
      </c>
      <c r="H14397" t="s">
        <v>31054</v>
      </c>
      <c r="I14397" t="s">
        <v>117</v>
      </c>
      <c r="J14397">
        <v>13736</v>
      </c>
      <c r="K14397">
        <v>2111</v>
      </c>
      <c r="L14397" t="s">
        <v>23</v>
      </c>
      <c r="M14397" t="s">
        <v>31053</v>
      </c>
      <c r="N14397" t="s">
        <v>31054</v>
      </c>
      <c r="O14397" t="s">
        <v>117</v>
      </c>
      <c r="P14397">
        <v>13736</v>
      </c>
      <c r="Q14397">
        <v>2111</v>
      </c>
      <c r="R14397" t="s">
        <v>23</v>
      </c>
      <c r="S14397" s="1" t="s">
        <v>34218</v>
      </c>
    </row>
    <row r="14398" spans="1:19" x14ac:dyDescent="0.25">
      <c r="A14398">
        <v>100705867</v>
      </c>
      <c r="B14398" t="s">
        <v>31055</v>
      </c>
      <c r="C14398" t="s">
        <v>3124</v>
      </c>
      <c r="G14398" t="s">
        <v>31056</v>
      </c>
      <c r="H14398" t="s">
        <v>1396</v>
      </c>
      <c r="I14398" t="s">
        <v>117</v>
      </c>
      <c r="J14398">
        <v>13021</v>
      </c>
      <c r="K14398">
        <v>2335</v>
      </c>
      <c r="L14398" t="s">
        <v>23</v>
      </c>
      <c r="M14398" t="s">
        <v>31056</v>
      </c>
      <c r="N14398" t="s">
        <v>1396</v>
      </c>
      <c r="O14398" t="s">
        <v>117</v>
      </c>
      <c r="P14398">
        <v>13021</v>
      </c>
      <c r="Q14398">
        <v>2335</v>
      </c>
      <c r="R14398" t="s">
        <v>23</v>
      </c>
      <c r="S14398" s="1" t="s">
        <v>34218</v>
      </c>
    </row>
    <row r="14399" spans="1:19" x14ac:dyDescent="0.25">
      <c r="A14399">
        <v>101481059</v>
      </c>
      <c r="B14399" t="s">
        <v>31057</v>
      </c>
      <c r="C14399" t="s">
        <v>282</v>
      </c>
      <c r="G14399" t="s">
        <v>31058</v>
      </c>
      <c r="H14399" t="s">
        <v>31059</v>
      </c>
      <c r="I14399" t="s">
        <v>178</v>
      </c>
      <c r="J14399">
        <v>44077</v>
      </c>
      <c r="K14399">
        <v>2122</v>
      </c>
      <c r="L14399" t="s">
        <v>23</v>
      </c>
      <c r="M14399" t="s">
        <v>31058</v>
      </c>
      <c r="N14399" t="s">
        <v>31059</v>
      </c>
      <c r="O14399" t="s">
        <v>178</v>
      </c>
      <c r="P14399">
        <v>44077</v>
      </c>
      <c r="Q14399">
        <v>2122</v>
      </c>
      <c r="R14399" t="s">
        <v>23</v>
      </c>
      <c r="S14399" s="1" t="s">
        <v>34218</v>
      </c>
    </row>
    <row r="14400" spans="1:19" x14ac:dyDescent="0.25">
      <c r="A14400">
        <v>101434324</v>
      </c>
      <c r="B14400" t="s">
        <v>31060</v>
      </c>
      <c r="C14400" t="s">
        <v>68</v>
      </c>
      <c r="G14400" t="s">
        <v>31061</v>
      </c>
      <c r="H14400" t="s">
        <v>850</v>
      </c>
      <c r="I14400" t="s">
        <v>1387</v>
      </c>
      <c r="J14400">
        <v>36526</v>
      </c>
      <c r="K14400">
        <v>4760</v>
      </c>
      <c r="L14400" t="s">
        <v>23</v>
      </c>
      <c r="M14400" t="s">
        <v>31061</v>
      </c>
      <c r="N14400" t="s">
        <v>850</v>
      </c>
      <c r="O14400" t="s">
        <v>1387</v>
      </c>
      <c r="P14400">
        <v>36526</v>
      </c>
      <c r="Q14400">
        <v>4760</v>
      </c>
      <c r="R14400" t="s">
        <v>23</v>
      </c>
      <c r="S14400" s="1" t="s">
        <v>34218</v>
      </c>
    </row>
    <row r="14401" spans="1:19" x14ac:dyDescent="0.25">
      <c r="A14401">
        <v>101466008</v>
      </c>
      <c r="B14401" t="s">
        <v>744</v>
      </c>
      <c r="C14401" t="s">
        <v>2287</v>
      </c>
      <c r="G14401" t="s">
        <v>31062</v>
      </c>
      <c r="H14401" t="s">
        <v>31063</v>
      </c>
      <c r="I14401" t="s">
        <v>353</v>
      </c>
      <c r="J14401">
        <v>3260</v>
      </c>
      <c r="L14401" t="s">
        <v>23</v>
      </c>
      <c r="M14401" t="s">
        <v>31062</v>
      </c>
      <c r="N14401" t="s">
        <v>31063</v>
      </c>
      <c r="O14401" t="s">
        <v>353</v>
      </c>
      <c r="P14401">
        <v>3260</v>
      </c>
      <c r="R14401" t="s">
        <v>23</v>
      </c>
      <c r="S14401" s="1" t="s">
        <v>34218</v>
      </c>
    </row>
    <row r="14402" spans="1:19" x14ac:dyDescent="0.25">
      <c r="A14402">
        <v>101354523</v>
      </c>
      <c r="B14402" t="s">
        <v>3892</v>
      </c>
      <c r="C14402" t="s">
        <v>1623</v>
      </c>
      <c r="G14402" t="s">
        <v>31064</v>
      </c>
      <c r="H14402" t="s">
        <v>3021</v>
      </c>
      <c r="I14402" t="s">
        <v>1482</v>
      </c>
      <c r="J14402">
        <v>29578</v>
      </c>
      <c r="K14402">
        <v>762</v>
      </c>
      <c r="L14402" t="s">
        <v>23</v>
      </c>
      <c r="M14402" t="s">
        <v>31064</v>
      </c>
      <c r="N14402" t="s">
        <v>3021</v>
      </c>
      <c r="O14402" t="s">
        <v>1482</v>
      </c>
      <c r="P14402">
        <v>29578</v>
      </c>
      <c r="Q14402">
        <v>762</v>
      </c>
      <c r="R14402" t="s">
        <v>23</v>
      </c>
      <c r="S14402" s="1" t="s">
        <v>34218</v>
      </c>
    </row>
    <row r="14403" spans="1:19" x14ac:dyDescent="0.25">
      <c r="A14403">
        <v>100820597</v>
      </c>
      <c r="B14403" t="s">
        <v>31065</v>
      </c>
      <c r="C14403" t="s">
        <v>180</v>
      </c>
      <c r="G14403" t="s">
        <v>31066</v>
      </c>
      <c r="H14403" t="s">
        <v>18113</v>
      </c>
      <c r="I14403" t="s">
        <v>161</v>
      </c>
      <c r="J14403">
        <v>6068</v>
      </c>
      <c r="K14403">
        <v>1708</v>
      </c>
      <c r="L14403" t="s">
        <v>23</v>
      </c>
      <c r="M14403" t="s">
        <v>31066</v>
      </c>
      <c r="N14403" t="s">
        <v>18113</v>
      </c>
      <c r="O14403" t="s">
        <v>161</v>
      </c>
      <c r="P14403">
        <v>6068</v>
      </c>
      <c r="Q14403">
        <v>1708</v>
      </c>
      <c r="R14403" t="s">
        <v>23</v>
      </c>
      <c r="S14403" s="1" t="s">
        <v>34218</v>
      </c>
    </row>
    <row r="14404" spans="1:19" x14ac:dyDescent="0.25">
      <c r="A14404">
        <v>101081440</v>
      </c>
      <c r="B14404" t="s">
        <v>28661</v>
      </c>
      <c r="C14404" t="s">
        <v>838</v>
      </c>
      <c r="G14404" t="s">
        <v>31067</v>
      </c>
      <c r="H14404" t="s">
        <v>31068</v>
      </c>
      <c r="I14404" t="s">
        <v>84</v>
      </c>
      <c r="J14404">
        <v>98065</v>
      </c>
      <c r="K14404">
        <v>9062</v>
      </c>
      <c r="L14404" t="s">
        <v>23</v>
      </c>
      <c r="M14404" t="s">
        <v>31067</v>
      </c>
      <c r="N14404" t="s">
        <v>31068</v>
      </c>
      <c r="O14404" t="s">
        <v>84</v>
      </c>
      <c r="P14404">
        <v>98065</v>
      </c>
      <c r="Q14404">
        <v>9062</v>
      </c>
      <c r="R14404" t="s">
        <v>23</v>
      </c>
      <c r="S14404" s="1" t="s">
        <v>34218</v>
      </c>
    </row>
    <row r="14405" spans="1:19" x14ac:dyDescent="0.25">
      <c r="A14405">
        <v>101302398</v>
      </c>
      <c r="B14405" t="s">
        <v>31069</v>
      </c>
      <c r="C14405" t="s">
        <v>5711</v>
      </c>
      <c r="G14405" t="s">
        <v>31070</v>
      </c>
      <c r="H14405" t="s">
        <v>31071</v>
      </c>
      <c r="I14405" t="s">
        <v>43</v>
      </c>
      <c r="J14405">
        <v>7340</v>
      </c>
      <c r="L14405" t="s">
        <v>23</v>
      </c>
      <c r="M14405" t="s">
        <v>31070</v>
      </c>
      <c r="N14405" t="s">
        <v>31071</v>
      </c>
      <c r="O14405" t="s">
        <v>43</v>
      </c>
      <c r="P14405">
        <v>7340</v>
      </c>
      <c r="R14405" t="s">
        <v>23</v>
      </c>
      <c r="S14405" s="1" t="s">
        <v>34218</v>
      </c>
    </row>
    <row r="14406" spans="1:19" x14ac:dyDescent="0.25">
      <c r="A14406">
        <v>101295116</v>
      </c>
      <c r="B14406" t="s">
        <v>31072</v>
      </c>
      <c r="C14406" t="s">
        <v>31073</v>
      </c>
      <c r="G14406" t="s">
        <v>31074</v>
      </c>
      <c r="H14406" t="s">
        <v>4819</v>
      </c>
      <c r="I14406" t="s">
        <v>1387</v>
      </c>
      <c r="J14406">
        <v>1410</v>
      </c>
      <c r="L14406" t="s">
        <v>23</v>
      </c>
      <c r="M14406" t="s">
        <v>31074</v>
      </c>
      <c r="N14406" t="s">
        <v>4819</v>
      </c>
      <c r="O14406" t="s">
        <v>1387</v>
      </c>
      <c r="P14406">
        <v>1410</v>
      </c>
      <c r="R14406" t="s">
        <v>23</v>
      </c>
      <c r="S14406" s="1" t="s">
        <v>34218</v>
      </c>
    </row>
    <row r="14407" spans="1:19" x14ac:dyDescent="0.25">
      <c r="A14407">
        <v>101172541</v>
      </c>
      <c r="B14407" t="s">
        <v>5551</v>
      </c>
      <c r="C14407" t="s">
        <v>4488</v>
      </c>
      <c r="G14407" t="s">
        <v>31075</v>
      </c>
      <c r="H14407" t="s">
        <v>1229</v>
      </c>
      <c r="I14407" t="s">
        <v>38</v>
      </c>
      <c r="J14407">
        <v>78230</v>
      </c>
      <c r="K14407">
        <v>3333</v>
      </c>
      <c r="L14407" t="s">
        <v>23</v>
      </c>
      <c r="M14407" t="s">
        <v>31075</v>
      </c>
      <c r="N14407" t="s">
        <v>1229</v>
      </c>
      <c r="O14407" t="s">
        <v>38</v>
      </c>
      <c r="P14407">
        <v>78230</v>
      </c>
      <c r="Q14407">
        <v>3333</v>
      </c>
      <c r="R14407" t="s">
        <v>23</v>
      </c>
      <c r="S14407" s="1" t="s">
        <v>34218</v>
      </c>
    </row>
    <row r="14408" spans="1:19" x14ac:dyDescent="0.25">
      <c r="A14408">
        <v>101297269</v>
      </c>
      <c r="B14408" t="s">
        <v>3089</v>
      </c>
      <c r="C14408" t="s">
        <v>911</v>
      </c>
      <c r="G14408" t="s">
        <v>31076</v>
      </c>
      <c r="H14408" t="s">
        <v>1254</v>
      </c>
      <c r="I14408" t="s">
        <v>52</v>
      </c>
      <c r="J14408">
        <v>33467</v>
      </c>
      <c r="K14408">
        <v>6808</v>
      </c>
      <c r="L14408" t="s">
        <v>23</v>
      </c>
      <c r="M14408" t="s">
        <v>31076</v>
      </c>
      <c r="N14408" t="s">
        <v>1254</v>
      </c>
      <c r="O14408" t="s">
        <v>52</v>
      </c>
      <c r="P14408">
        <v>33467</v>
      </c>
      <c r="Q14408">
        <v>6808</v>
      </c>
      <c r="R14408" t="s">
        <v>23</v>
      </c>
      <c r="S14408" s="1" t="s">
        <v>34218</v>
      </c>
    </row>
    <row r="14409" spans="1:19" x14ac:dyDescent="0.25">
      <c r="A14409">
        <v>101305402</v>
      </c>
      <c r="B14409" t="s">
        <v>3609</v>
      </c>
      <c r="C14409" t="s">
        <v>167</v>
      </c>
      <c r="G14409" t="s">
        <v>26370</v>
      </c>
      <c r="H14409" t="s">
        <v>357</v>
      </c>
      <c r="I14409" t="s">
        <v>255</v>
      </c>
      <c r="J14409">
        <v>22314</v>
      </c>
      <c r="K14409">
        <v>3813</v>
      </c>
      <c r="L14409" t="s">
        <v>23</v>
      </c>
      <c r="M14409" t="s">
        <v>26370</v>
      </c>
      <c r="N14409" t="s">
        <v>357</v>
      </c>
      <c r="O14409" t="s">
        <v>255</v>
      </c>
      <c r="P14409">
        <v>22314</v>
      </c>
      <c r="Q14409">
        <v>3813</v>
      </c>
      <c r="R14409" t="s">
        <v>23</v>
      </c>
      <c r="S14409" s="1" t="s">
        <v>34218</v>
      </c>
    </row>
    <row r="14410" spans="1:19" x14ac:dyDescent="0.25">
      <c r="A14410">
        <v>101481096</v>
      </c>
      <c r="B14410" t="s">
        <v>1446</v>
      </c>
      <c r="C14410" t="s">
        <v>4245</v>
      </c>
      <c r="G14410" t="s">
        <v>8931</v>
      </c>
      <c r="H14410" t="s">
        <v>8932</v>
      </c>
      <c r="I14410" t="s">
        <v>33</v>
      </c>
      <c r="J14410">
        <v>19422</v>
      </c>
      <c r="K14410">
        <v>3274</v>
      </c>
      <c r="L14410" t="s">
        <v>23</v>
      </c>
      <c r="M14410" t="s">
        <v>8931</v>
      </c>
      <c r="N14410" t="s">
        <v>8932</v>
      </c>
      <c r="O14410" t="s">
        <v>33</v>
      </c>
      <c r="P14410">
        <v>19422</v>
      </c>
      <c r="Q14410">
        <v>3274</v>
      </c>
      <c r="R14410" t="s">
        <v>23</v>
      </c>
      <c r="S14410" s="1" t="s">
        <v>34218</v>
      </c>
    </row>
    <row r="14411" spans="1:19" x14ac:dyDescent="0.25">
      <c r="A14411">
        <v>101347857</v>
      </c>
      <c r="B14411" t="s">
        <v>1545</v>
      </c>
      <c r="C14411" t="s">
        <v>387</v>
      </c>
      <c r="G14411" t="s">
        <v>31077</v>
      </c>
      <c r="H14411" t="s">
        <v>37</v>
      </c>
      <c r="I14411" t="s">
        <v>38</v>
      </c>
      <c r="J14411">
        <v>78745</v>
      </c>
      <c r="K14411">
        <v>8093</v>
      </c>
      <c r="L14411" t="s">
        <v>23</v>
      </c>
      <c r="M14411" t="s">
        <v>31077</v>
      </c>
      <c r="N14411" t="s">
        <v>37</v>
      </c>
      <c r="O14411" t="s">
        <v>38</v>
      </c>
      <c r="P14411">
        <v>78745</v>
      </c>
      <c r="Q14411">
        <v>8093</v>
      </c>
      <c r="R14411" t="s">
        <v>23</v>
      </c>
      <c r="S14411" s="1" t="s">
        <v>34218</v>
      </c>
    </row>
    <row r="14412" spans="1:19" x14ac:dyDescent="0.25">
      <c r="A14412">
        <v>101481101</v>
      </c>
      <c r="B14412" t="s">
        <v>7412</v>
      </c>
      <c r="C14412" t="s">
        <v>31078</v>
      </c>
      <c r="G14412" t="s">
        <v>31079</v>
      </c>
      <c r="H14412" t="s">
        <v>2943</v>
      </c>
      <c r="I14412" t="s">
        <v>117</v>
      </c>
      <c r="J14412">
        <v>10520</v>
      </c>
      <c r="L14412" t="s">
        <v>23</v>
      </c>
      <c r="M14412" t="s">
        <v>31079</v>
      </c>
      <c r="N14412" t="s">
        <v>2943</v>
      </c>
      <c r="O14412" t="s">
        <v>117</v>
      </c>
      <c r="P14412">
        <v>10520</v>
      </c>
      <c r="R14412" t="s">
        <v>23</v>
      </c>
      <c r="S14412" s="1" t="s">
        <v>34218</v>
      </c>
    </row>
    <row r="14413" spans="1:19" x14ac:dyDescent="0.25">
      <c r="A14413">
        <v>101481102</v>
      </c>
      <c r="B14413" t="s">
        <v>31080</v>
      </c>
      <c r="C14413" t="s">
        <v>1043</v>
      </c>
      <c r="G14413" t="s">
        <v>31081</v>
      </c>
      <c r="H14413" t="s">
        <v>31082</v>
      </c>
      <c r="I14413" t="s">
        <v>117</v>
      </c>
      <c r="J14413">
        <v>12106</v>
      </c>
      <c r="K14413">
        <v>2910</v>
      </c>
      <c r="L14413" t="s">
        <v>23</v>
      </c>
      <c r="M14413" t="s">
        <v>31081</v>
      </c>
      <c r="N14413" t="s">
        <v>31082</v>
      </c>
      <c r="O14413" t="s">
        <v>117</v>
      </c>
      <c r="P14413">
        <v>12106</v>
      </c>
      <c r="Q14413">
        <v>2910</v>
      </c>
      <c r="R14413" t="s">
        <v>23</v>
      </c>
      <c r="S14413" s="1" t="s">
        <v>34218</v>
      </c>
    </row>
    <row r="14414" spans="1:19" x14ac:dyDescent="0.25">
      <c r="A14414">
        <v>100541448</v>
      </c>
      <c r="B14414" t="s">
        <v>10903</v>
      </c>
      <c r="C14414" t="s">
        <v>1638</v>
      </c>
      <c r="G14414" t="s">
        <v>31083</v>
      </c>
      <c r="H14414" t="s">
        <v>2769</v>
      </c>
      <c r="I14414" t="s">
        <v>52</v>
      </c>
      <c r="J14414">
        <v>34109</v>
      </c>
      <c r="K14414">
        <v>575</v>
      </c>
      <c r="L14414" t="s">
        <v>23</v>
      </c>
      <c r="M14414" t="s">
        <v>31083</v>
      </c>
      <c r="N14414" t="s">
        <v>2769</v>
      </c>
      <c r="O14414" t="s">
        <v>52</v>
      </c>
      <c r="P14414">
        <v>34109</v>
      </c>
      <c r="Q14414">
        <v>575</v>
      </c>
      <c r="R14414" t="s">
        <v>23</v>
      </c>
      <c r="S14414" s="1" t="s">
        <v>34218</v>
      </c>
    </row>
    <row r="14415" spans="1:19" x14ac:dyDescent="0.25">
      <c r="A14415">
        <v>101311034</v>
      </c>
      <c r="B14415" t="s">
        <v>23274</v>
      </c>
      <c r="C14415" t="s">
        <v>1726</v>
      </c>
      <c r="G14415" t="s">
        <v>31084</v>
      </c>
      <c r="H14415" t="s">
        <v>8210</v>
      </c>
      <c r="I14415" t="s">
        <v>117</v>
      </c>
      <c r="J14415">
        <v>14472</v>
      </c>
      <c r="K14415">
        <v>9750</v>
      </c>
      <c r="L14415" t="s">
        <v>23</v>
      </c>
      <c r="M14415" t="s">
        <v>31084</v>
      </c>
      <c r="N14415" t="s">
        <v>8210</v>
      </c>
      <c r="O14415" t="s">
        <v>117</v>
      </c>
      <c r="P14415">
        <v>14472</v>
      </c>
      <c r="Q14415">
        <v>9750</v>
      </c>
      <c r="R14415" t="s">
        <v>23</v>
      </c>
      <c r="S14415" s="1" t="s">
        <v>34218</v>
      </c>
    </row>
    <row r="14416" spans="1:19" x14ac:dyDescent="0.25">
      <c r="A14416">
        <v>101481086</v>
      </c>
      <c r="B14416" t="s">
        <v>31085</v>
      </c>
      <c r="C14416" t="s">
        <v>3017</v>
      </c>
      <c r="G14416" t="s">
        <v>31086</v>
      </c>
      <c r="H14416" t="s">
        <v>31087</v>
      </c>
      <c r="I14416" t="s">
        <v>148</v>
      </c>
      <c r="J14416">
        <v>20794</v>
      </c>
      <c r="K14416">
        <v>9108</v>
      </c>
      <c r="L14416" t="s">
        <v>23</v>
      </c>
      <c r="M14416" t="s">
        <v>31086</v>
      </c>
      <c r="N14416" t="s">
        <v>31087</v>
      </c>
      <c r="O14416" t="s">
        <v>148</v>
      </c>
      <c r="P14416">
        <v>20794</v>
      </c>
      <c r="Q14416">
        <v>9108</v>
      </c>
      <c r="R14416" t="s">
        <v>23</v>
      </c>
      <c r="S14416" s="1" t="s">
        <v>34218</v>
      </c>
    </row>
    <row r="14417" spans="1:19" x14ac:dyDescent="0.25">
      <c r="A14417">
        <v>101304787</v>
      </c>
      <c r="B14417" t="s">
        <v>93</v>
      </c>
      <c r="C14417" t="s">
        <v>217</v>
      </c>
      <c r="G14417" t="s">
        <v>31088</v>
      </c>
      <c r="H14417" t="s">
        <v>7091</v>
      </c>
      <c r="I14417" t="s">
        <v>236</v>
      </c>
      <c r="J14417">
        <v>1845</v>
      </c>
      <c r="K14417">
        <v>1212</v>
      </c>
      <c r="L14417" t="s">
        <v>23</v>
      </c>
      <c r="M14417" t="s">
        <v>31088</v>
      </c>
      <c r="N14417" t="s">
        <v>7091</v>
      </c>
      <c r="O14417" t="s">
        <v>236</v>
      </c>
      <c r="P14417">
        <v>1845</v>
      </c>
      <c r="Q14417">
        <v>1212</v>
      </c>
      <c r="R14417" t="s">
        <v>23</v>
      </c>
      <c r="S14417" s="1" t="s">
        <v>34218</v>
      </c>
    </row>
    <row r="14418" spans="1:19" x14ac:dyDescent="0.25">
      <c r="A14418">
        <v>101481092</v>
      </c>
      <c r="B14418" t="s">
        <v>31089</v>
      </c>
      <c r="C14418" t="s">
        <v>1327</v>
      </c>
      <c r="G14418" t="s">
        <v>23514</v>
      </c>
      <c r="H14418" t="s">
        <v>31090</v>
      </c>
      <c r="I14418" t="s">
        <v>348</v>
      </c>
      <c r="J14418">
        <v>83464</v>
      </c>
      <c r="K14418">
        <v>9999</v>
      </c>
      <c r="L14418" t="s">
        <v>23</v>
      </c>
      <c r="M14418" t="s">
        <v>23514</v>
      </c>
      <c r="N14418" t="s">
        <v>31090</v>
      </c>
      <c r="O14418" t="s">
        <v>348</v>
      </c>
      <c r="P14418">
        <v>83464</v>
      </c>
      <c r="Q14418">
        <v>9999</v>
      </c>
      <c r="R14418" t="s">
        <v>23</v>
      </c>
      <c r="S14418" s="1" t="s">
        <v>34218</v>
      </c>
    </row>
    <row r="14419" spans="1:19" x14ac:dyDescent="0.25">
      <c r="A14419">
        <v>101297546</v>
      </c>
      <c r="B14419" t="s">
        <v>31091</v>
      </c>
      <c r="C14419" t="s">
        <v>4644</v>
      </c>
      <c r="G14419" t="s">
        <v>31092</v>
      </c>
      <c r="H14419" t="s">
        <v>511</v>
      </c>
      <c r="I14419" t="s">
        <v>33</v>
      </c>
      <c r="J14419">
        <v>16510</v>
      </c>
      <c r="K14419">
        <v>3316</v>
      </c>
      <c r="L14419" t="s">
        <v>23</v>
      </c>
      <c r="M14419" t="s">
        <v>31092</v>
      </c>
      <c r="N14419" t="s">
        <v>511</v>
      </c>
      <c r="O14419" t="s">
        <v>33</v>
      </c>
      <c r="P14419">
        <v>16510</v>
      </c>
      <c r="Q14419">
        <v>3316</v>
      </c>
      <c r="R14419" t="s">
        <v>23</v>
      </c>
      <c r="S14419" s="1" t="s">
        <v>34218</v>
      </c>
    </row>
    <row r="14420" spans="1:19" x14ac:dyDescent="0.25">
      <c r="A14420">
        <v>101289745</v>
      </c>
      <c r="B14420" t="s">
        <v>18696</v>
      </c>
      <c r="C14420" t="s">
        <v>1992</v>
      </c>
      <c r="G14420" t="s">
        <v>31093</v>
      </c>
      <c r="H14420" t="s">
        <v>31094</v>
      </c>
      <c r="I14420" t="s">
        <v>914</v>
      </c>
      <c r="J14420">
        <v>37138</v>
      </c>
      <c r="K14420">
        <v>1234</v>
      </c>
      <c r="L14420" t="s">
        <v>23</v>
      </c>
      <c r="M14420" t="s">
        <v>31093</v>
      </c>
      <c r="N14420" t="s">
        <v>31094</v>
      </c>
      <c r="O14420" t="s">
        <v>914</v>
      </c>
      <c r="P14420">
        <v>37138</v>
      </c>
      <c r="Q14420">
        <v>1234</v>
      </c>
      <c r="R14420" t="s">
        <v>23</v>
      </c>
      <c r="S14420" s="1" t="s">
        <v>34218</v>
      </c>
    </row>
    <row r="14421" spans="1:19" x14ac:dyDescent="0.25">
      <c r="A14421">
        <v>101390631</v>
      </c>
      <c r="B14421" t="s">
        <v>18938</v>
      </c>
      <c r="C14421" t="s">
        <v>17106</v>
      </c>
      <c r="G14421" t="s">
        <v>31095</v>
      </c>
      <c r="H14421" t="s">
        <v>12646</v>
      </c>
      <c r="I14421" t="s">
        <v>2566</v>
      </c>
      <c r="J14421">
        <v>3159</v>
      </c>
      <c r="L14421" t="s">
        <v>23</v>
      </c>
      <c r="M14421" t="s">
        <v>31095</v>
      </c>
      <c r="N14421" t="s">
        <v>12646</v>
      </c>
      <c r="O14421" t="s">
        <v>2566</v>
      </c>
      <c r="P14421">
        <v>3159</v>
      </c>
      <c r="R14421" t="s">
        <v>23</v>
      </c>
      <c r="S14421" s="1" t="s">
        <v>34218</v>
      </c>
    </row>
    <row r="14422" spans="1:19" x14ac:dyDescent="0.25">
      <c r="A14422">
        <v>101481107</v>
      </c>
      <c r="B14422" t="s">
        <v>31096</v>
      </c>
      <c r="C14422" t="s">
        <v>5599</v>
      </c>
      <c r="G14422" t="s">
        <v>31097</v>
      </c>
      <c r="H14422" t="s">
        <v>818</v>
      </c>
      <c r="I14422" t="s">
        <v>43</v>
      </c>
      <c r="J14422">
        <v>97005</v>
      </c>
      <c r="L14422" t="s">
        <v>23</v>
      </c>
      <c r="M14422" t="s">
        <v>31097</v>
      </c>
      <c r="N14422" t="s">
        <v>818</v>
      </c>
      <c r="O14422" t="s">
        <v>43</v>
      </c>
      <c r="P14422">
        <v>97005</v>
      </c>
      <c r="R14422" t="s">
        <v>23</v>
      </c>
      <c r="S14422" s="1" t="s">
        <v>34218</v>
      </c>
    </row>
    <row r="14423" spans="1:19" x14ac:dyDescent="0.25">
      <c r="A14423">
        <v>101481120</v>
      </c>
      <c r="B14423" t="s">
        <v>497</v>
      </c>
      <c r="C14423" t="s">
        <v>313</v>
      </c>
      <c r="G14423" t="s">
        <v>31098</v>
      </c>
      <c r="H14423" t="s">
        <v>6273</v>
      </c>
      <c r="I14423" t="s">
        <v>22</v>
      </c>
      <c r="J14423">
        <v>92869</v>
      </c>
      <c r="K14423">
        <v>5439</v>
      </c>
      <c r="L14423" t="s">
        <v>23</v>
      </c>
      <c r="M14423" t="s">
        <v>31098</v>
      </c>
      <c r="N14423" t="s">
        <v>6273</v>
      </c>
      <c r="O14423" t="s">
        <v>22</v>
      </c>
      <c r="P14423">
        <v>92869</v>
      </c>
      <c r="Q14423">
        <v>5439</v>
      </c>
      <c r="R14423" t="s">
        <v>23</v>
      </c>
      <c r="S14423" s="1" t="s">
        <v>34218</v>
      </c>
    </row>
    <row r="14424" spans="1:19" x14ac:dyDescent="0.25">
      <c r="A14424">
        <v>101481123</v>
      </c>
      <c r="B14424" t="s">
        <v>2331</v>
      </c>
      <c r="C14424" t="s">
        <v>31099</v>
      </c>
      <c r="G14424" t="s">
        <v>31100</v>
      </c>
      <c r="H14424" t="s">
        <v>869</v>
      </c>
      <c r="I14424" t="s">
        <v>52</v>
      </c>
      <c r="J14424">
        <v>33133</v>
      </c>
      <c r="K14424">
        <v>4614</v>
      </c>
      <c r="L14424" t="s">
        <v>23</v>
      </c>
      <c r="M14424" t="s">
        <v>31100</v>
      </c>
      <c r="N14424" t="s">
        <v>869</v>
      </c>
      <c r="O14424" t="s">
        <v>52</v>
      </c>
      <c r="P14424">
        <v>33133</v>
      </c>
      <c r="Q14424">
        <v>4614</v>
      </c>
      <c r="R14424" t="s">
        <v>23</v>
      </c>
      <c r="S14424" s="1" t="s">
        <v>34218</v>
      </c>
    </row>
    <row r="14425" spans="1:19" x14ac:dyDescent="0.25">
      <c r="A14425">
        <v>101481129</v>
      </c>
      <c r="B14425" t="s">
        <v>31101</v>
      </c>
      <c r="C14425" t="s">
        <v>1153</v>
      </c>
      <c r="G14425" t="s">
        <v>31102</v>
      </c>
      <c r="H14425" t="s">
        <v>5786</v>
      </c>
      <c r="I14425" t="s">
        <v>84</v>
      </c>
      <c r="J14425">
        <v>98072</v>
      </c>
      <c r="L14425" t="s">
        <v>23</v>
      </c>
      <c r="M14425" t="s">
        <v>31102</v>
      </c>
      <c r="N14425" t="s">
        <v>5786</v>
      </c>
      <c r="O14425" t="s">
        <v>84</v>
      </c>
      <c r="P14425">
        <v>98072</v>
      </c>
      <c r="R14425" t="s">
        <v>23</v>
      </c>
      <c r="S14425" s="1" t="s">
        <v>34218</v>
      </c>
    </row>
    <row r="14426" spans="1:19" x14ac:dyDescent="0.25">
      <c r="A14426">
        <v>101481135</v>
      </c>
      <c r="B14426" t="s">
        <v>2531</v>
      </c>
      <c r="C14426" t="s">
        <v>18069</v>
      </c>
      <c r="G14426" t="s">
        <v>31103</v>
      </c>
      <c r="H14426" t="s">
        <v>412</v>
      </c>
      <c r="I14426" t="s">
        <v>117</v>
      </c>
      <c r="J14426">
        <v>11201</v>
      </c>
      <c r="K14426">
        <v>3956</v>
      </c>
      <c r="L14426" t="s">
        <v>23</v>
      </c>
      <c r="M14426" t="s">
        <v>31103</v>
      </c>
      <c r="N14426" t="s">
        <v>412</v>
      </c>
      <c r="O14426" t="s">
        <v>117</v>
      </c>
      <c r="P14426">
        <v>11201</v>
      </c>
      <c r="Q14426">
        <v>3956</v>
      </c>
      <c r="R14426" t="s">
        <v>23</v>
      </c>
      <c r="S14426" s="1" t="s">
        <v>34218</v>
      </c>
    </row>
    <row r="14427" spans="1:19" x14ac:dyDescent="0.25">
      <c r="A14427">
        <v>101437675</v>
      </c>
      <c r="B14427" t="s">
        <v>3513</v>
      </c>
      <c r="C14427" t="s">
        <v>180</v>
      </c>
      <c r="G14427" t="s">
        <v>31104</v>
      </c>
      <c r="H14427" t="s">
        <v>7296</v>
      </c>
      <c r="I14427" t="s">
        <v>22</v>
      </c>
      <c r="J14427">
        <v>95020</v>
      </c>
      <c r="K14427">
        <v>8143</v>
      </c>
      <c r="L14427" t="s">
        <v>23</v>
      </c>
      <c r="M14427" t="s">
        <v>31104</v>
      </c>
      <c r="N14427" t="s">
        <v>7296</v>
      </c>
      <c r="O14427" t="s">
        <v>22</v>
      </c>
      <c r="P14427">
        <v>95020</v>
      </c>
      <c r="Q14427">
        <v>8143</v>
      </c>
      <c r="R14427" t="s">
        <v>23</v>
      </c>
      <c r="S14427" s="1" t="s">
        <v>34218</v>
      </c>
    </row>
    <row r="14428" spans="1:19" x14ac:dyDescent="0.25">
      <c r="A14428">
        <v>101452343</v>
      </c>
      <c r="B14428" t="s">
        <v>31105</v>
      </c>
      <c r="C14428" t="s">
        <v>956</v>
      </c>
      <c r="G14428" t="s">
        <v>31106</v>
      </c>
      <c r="H14428" t="s">
        <v>1355</v>
      </c>
      <c r="I14428" t="s">
        <v>100</v>
      </c>
      <c r="J14428">
        <v>53566</v>
      </c>
      <c r="K14428">
        <v>3515</v>
      </c>
      <c r="L14428" t="s">
        <v>23</v>
      </c>
      <c r="M14428" t="s">
        <v>31106</v>
      </c>
      <c r="N14428" t="s">
        <v>1355</v>
      </c>
      <c r="O14428" t="s">
        <v>100</v>
      </c>
      <c r="P14428">
        <v>53566</v>
      </c>
      <c r="Q14428">
        <v>3515</v>
      </c>
      <c r="R14428" t="s">
        <v>23</v>
      </c>
      <c r="S14428" s="1" t="s">
        <v>34218</v>
      </c>
    </row>
    <row r="14429" spans="1:19" x14ac:dyDescent="0.25">
      <c r="A14429">
        <v>101481149</v>
      </c>
      <c r="B14429" t="s">
        <v>11361</v>
      </c>
      <c r="C14429" t="s">
        <v>1879</v>
      </c>
      <c r="G14429" t="s">
        <v>31107</v>
      </c>
      <c r="H14429" t="s">
        <v>1765</v>
      </c>
      <c r="I14429" t="s">
        <v>84</v>
      </c>
      <c r="J14429">
        <v>98502</v>
      </c>
      <c r="K14429">
        <v>509</v>
      </c>
      <c r="L14429" t="s">
        <v>23</v>
      </c>
      <c r="M14429" t="s">
        <v>31107</v>
      </c>
      <c r="N14429" t="s">
        <v>1765</v>
      </c>
      <c r="O14429" t="s">
        <v>84</v>
      </c>
      <c r="P14429">
        <v>98502</v>
      </c>
      <c r="Q14429">
        <v>509</v>
      </c>
      <c r="R14429" t="s">
        <v>23</v>
      </c>
      <c r="S14429" s="1" t="s">
        <v>34218</v>
      </c>
    </row>
    <row r="14430" spans="1:19" x14ac:dyDescent="0.25">
      <c r="A14430">
        <v>101416222</v>
      </c>
      <c r="B14430" t="s">
        <v>31108</v>
      </c>
      <c r="C14430" t="s">
        <v>286</v>
      </c>
      <c r="G14430" t="s">
        <v>31109</v>
      </c>
      <c r="H14430" t="s">
        <v>17553</v>
      </c>
      <c r="I14430" t="s">
        <v>52</v>
      </c>
      <c r="J14430">
        <v>34695</v>
      </c>
      <c r="K14430">
        <v>3222</v>
      </c>
      <c r="L14430" t="s">
        <v>23</v>
      </c>
      <c r="M14430" t="s">
        <v>31109</v>
      </c>
      <c r="N14430" t="s">
        <v>17553</v>
      </c>
      <c r="O14430" t="s">
        <v>52</v>
      </c>
      <c r="P14430">
        <v>34695</v>
      </c>
      <c r="Q14430">
        <v>3222</v>
      </c>
      <c r="R14430" t="s">
        <v>23</v>
      </c>
      <c r="S14430" s="1" t="s">
        <v>34218</v>
      </c>
    </row>
    <row r="14431" spans="1:19" x14ac:dyDescent="0.25">
      <c r="A14431">
        <v>101481157</v>
      </c>
      <c r="B14431" t="s">
        <v>1010</v>
      </c>
      <c r="C14431" t="s">
        <v>172</v>
      </c>
      <c r="G14431" t="s">
        <v>31110</v>
      </c>
      <c r="H14431" t="s">
        <v>12065</v>
      </c>
      <c r="I14431" t="s">
        <v>135</v>
      </c>
      <c r="J14431">
        <v>61801</v>
      </c>
      <c r="K14431">
        <v>6711</v>
      </c>
      <c r="L14431" t="s">
        <v>23</v>
      </c>
      <c r="M14431" t="s">
        <v>31110</v>
      </c>
      <c r="N14431" t="s">
        <v>12065</v>
      </c>
      <c r="O14431" t="s">
        <v>135</v>
      </c>
      <c r="P14431">
        <v>61801</v>
      </c>
      <c r="Q14431">
        <v>6711</v>
      </c>
      <c r="R14431" t="s">
        <v>23</v>
      </c>
      <c r="S14431" s="1" t="s">
        <v>34218</v>
      </c>
    </row>
    <row r="14432" spans="1:19" x14ac:dyDescent="0.25">
      <c r="A14432">
        <v>100658688</v>
      </c>
      <c r="B14432" t="s">
        <v>31111</v>
      </c>
      <c r="C14432" t="s">
        <v>4502</v>
      </c>
      <c r="G14432" t="s">
        <v>31112</v>
      </c>
      <c r="H14432" t="s">
        <v>202</v>
      </c>
      <c r="I14432" t="s">
        <v>117</v>
      </c>
      <c r="J14432" t="s">
        <v>31113</v>
      </c>
      <c r="K14432">
        <v>2320</v>
      </c>
      <c r="L14432" t="s">
        <v>23</v>
      </c>
      <c r="M14432" t="s">
        <v>31112</v>
      </c>
      <c r="N14432" t="s">
        <v>202</v>
      </c>
      <c r="O14432" t="s">
        <v>117</v>
      </c>
      <c r="P14432" t="s">
        <v>31113</v>
      </c>
      <c r="Q14432">
        <v>2320</v>
      </c>
      <c r="R14432" t="s">
        <v>23</v>
      </c>
      <c r="S14432" s="1" t="s">
        <v>34218</v>
      </c>
    </row>
    <row r="14433" spans="1:19" x14ac:dyDescent="0.25">
      <c r="A14433">
        <v>101445695</v>
      </c>
      <c r="B14433" t="s">
        <v>5557</v>
      </c>
      <c r="C14433" t="s">
        <v>2447</v>
      </c>
      <c r="G14433" t="s">
        <v>31114</v>
      </c>
      <c r="H14433" t="s">
        <v>1113</v>
      </c>
      <c r="I14433" t="s">
        <v>365</v>
      </c>
      <c r="J14433" t="s">
        <v>31115</v>
      </c>
      <c r="K14433">
        <v>2629</v>
      </c>
      <c r="L14433" t="s">
        <v>23</v>
      </c>
      <c r="M14433" t="s">
        <v>31114</v>
      </c>
      <c r="N14433" t="s">
        <v>1113</v>
      </c>
      <c r="O14433" t="s">
        <v>365</v>
      </c>
      <c r="P14433" t="s">
        <v>31115</v>
      </c>
      <c r="Q14433">
        <v>2629</v>
      </c>
      <c r="R14433" t="s">
        <v>23</v>
      </c>
      <c r="S14433" s="1" t="s">
        <v>34218</v>
      </c>
    </row>
    <row r="14434" spans="1:19" x14ac:dyDescent="0.25">
      <c r="A14434">
        <v>101432196</v>
      </c>
      <c r="B14434" t="s">
        <v>1698</v>
      </c>
      <c r="C14434" t="s">
        <v>582</v>
      </c>
      <c r="G14434" t="s">
        <v>31116</v>
      </c>
      <c r="H14434" t="s">
        <v>130</v>
      </c>
      <c r="I14434" t="s">
        <v>22</v>
      </c>
      <c r="J14434" t="s">
        <v>31117</v>
      </c>
      <c r="K14434">
        <v>1829</v>
      </c>
      <c r="L14434" t="s">
        <v>23</v>
      </c>
      <c r="M14434" t="s">
        <v>31116</v>
      </c>
      <c r="N14434" t="s">
        <v>130</v>
      </c>
      <c r="O14434" t="s">
        <v>22</v>
      </c>
      <c r="P14434" t="s">
        <v>31117</v>
      </c>
      <c r="Q14434">
        <v>1829</v>
      </c>
      <c r="R14434" t="s">
        <v>23</v>
      </c>
      <c r="S14434" s="1" t="s">
        <v>34218</v>
      </c>
    </row>
    <row r="14435" spans="1:19" x14ac:dyDescent="0.25">
      <c r="A14435">
        <v>101445700</v>
      </c>
      <c r="B14435" t="s">
        <v>31118</v>
      </c>
      <c r="C14435" t="s">
        <v>1043</v>
      </c>
      <c r="G14435" t="s">
        <v>31119</v>
      </c>
      <c r="H14435" t="s">
        <v>1166</v>
      </c>
      <c r="I14435" t="s">
        <v>178</v>
      </c>
      <c r="J14435" t="s">
        <v>31120</v>
      </c>
      <c r="K14435">
        <v>2092</v>
      </c>
      <c r="L14435" t="s">
        <v>23</v>
      </c>
      <c r="M14435" t="s">
        <v>31119</v>
      </c>
      <c r="N14435" t="s">
        <v>1166</v>
      </c>
      <c r="O14435" t="s">
        <v>178</v>
      </c>
      <c r="P14435" t="s">
        <v>31120</v>
      </c>
      <c r="Q14435">
        <v>2092</v>
      </c>
      <c r="R14435" t="s">
        <v>23</v>
      </c>
      <c r="S14435" s="1" t="s">
        <v>34218</v>
      </c>
    </row>
    <row r="14436" spans="1:19" x14ac:dyDescent="0.25">
      <c r="A14436">
        <v>101422193</v>
      </c>
      <c r="B14436" t="s">
        <v>31121</v>
      </c>
      <c r="C14436" t="s">
        <v>31122</v>
      </c>
      <c r="G14436" t="s">
        <v>31123</v>
      </c>
      <c r="H14436" t="s">
        <v>16246</v>
      </c>
      <c r="I14436" t="s">
        <v>43</v>
      </c>
      <c r="J14436" t="s">
        <v>31124</v>
      </c>
      <c r="K14436">
        <v>7833</v>
      </c>
      <c r="L14436" t="s">
        <v>23</v>
      </c>
      <c r="M14436" t="s">
        <v>31123</v>
      </c>
      <c r="N14436" t="s">
        <v>16246</v>
      </c>
      <c r="O14436" t="s">
        <v>43</v>
      </c>
      <c r="P14436" t="s">
        <v>31124</v>
      </c>
      <c r="Q14436">
        <v>7833</v>
      </c>
      <c r="R14436" t="s">
        <v>23</v>
      </c>
      <c r="S14436" s="1" t="s">
        <v>34218</v>
      </c>
    </row>
    <row r="14437" spans="1:19" x14ac:dyDescent="0.25">
      <c r="A14437">
        <v>100649731</v>
      </c>
      <c r="B14437" t="s">
        <v>31125</v>
      </c>
      <c r="C14437" t="s">
        <v>274</v>
      </c>
      <c r="F14437" t="str">
        <f>"4083484526"</f>
        <v>4083484526</v>
      </c>
      <c r="G14437" t="s">
        <v>31126</v>
      </c>
      <c r="H14437" t="s">
        <v>481</v>
      </c>
      <c r="I14437" t="s">
        <v>22</v>
      </c>
      <c r="J14437">
        <v>95135</v>
      </c>
      <c r="L14437" t="s">
        <v>23</v>
      </c>
      <c r="M14437" t="s">
        <v>31126</v>
      </c>
      <c r="N14437" t="s">
        <v>481</v>
      </c>
      <c r="O14437" t="s">
        <v>22</v>
      </c>
      <c r="P14437">
        <v>95135</v>
      </c>
      <c r="R14437" t="s">
        <v>23</v>
      </c>
      <c r="S14437" s="1" t="s">
        <v>34218</v>
      </c>
    </row>
    <row r="14438" spans="1:19" x14ac:dyDescent="0.25">
      <c r="A14438">
        <v>101445725</v>
      </c>
      <c r="B14438" t="s">
        <v>31127</v>
      </c>
      <c r="C14438" t="s">
        <v>1859</v>
      </c>
      <c r="G14438" t="s">
        <v>31128</v>
      </c>
      <c r="H14438" t="s">
        <v>567</v>
      </c>
      <c r="I14438" t="s">
        <v>446</v>
      </c>
      <c r="J14438" t="s">
        <v>31129</v>
      </c>
      <c r="K14438">
        <v>8661</v>
      </c>
      <c r="L14438" t="s">
        <v>23</v>
      </c>
      <c r="M14438" t="s">
        <v>31128</v>
      </c>
      <c r="N14438" t="s">
        <v>567</v>
      </c>
      <c r="O14438" t="s">
        <v>446</v>
      </c>
      <c r="P14438" t="s">
        <v>31129</v>
      </c>
      <c r="Q14438">
        <v>8661</v>
      </c>
      <c r="R14438" t="s">
        <v>23</v>
      </c>
      <c r="S14438" s="1" t="s">
        <v>34218</v>
      </c>
    </row>
    <row r="14439" spans="1:19" x14ac:dyDescent="0.25">
      <c r="A14439">
        <v>101432169</v>
      </c>
      <c r="B14439" t="s">
        <v>276</v>
      </c>
      <c r="C14439" t="s">
        <v>31130</v>
      </c>
      <c r="G14439" t="s">
        <v>31131</v>
      </c>
      <c r="H14439" t="s">
        <v>8206</v>
      </c>
      <c r="I14439" t="s">
        <v>140</v>
      </c>
      <c r="J14439" t="s">
        <v>31132</v>
      </c>
      <c r="K14439">
        <v>2425</v>
      </c>
      <c r="L14439" t="s">
        <v>23</v>
      </c>
      <c r="M14439" t="s">
        <v>31131</v>
      </c>
      <c r="N14439" t="s">
        <v>8206</v>
      </c>
      <c r="O14439" t="s">
        <v>140</v>
      </c>
      <c r="P14439" t="s">
        <v>31132</v>
      </c>
      <c r="Q14439">
        <v>2425</v>
      </c>
      <c r="R14439" t="s">
        <v>23</v>
      </c>
      <c r="S14439" s="1" t="s">
        <v>34218</v>
      </c>
    </row>
    <row r="14440" spans="1:19" x14ac:dyDescent="0.25">
      <c r="A14440">
        <v>101360253</v>
      </c>
      <c r="B14440" t="s">
        <v>320</v>
      </c>
      <c r="C14440" t="s">
        <v>1036</v>
      </c>
      <c r="G14440" t="s">
        <v>31133</v>
      </c>
      <c r="H14440" t="s">
        <v>5142</v>
      </c>
      <c r="I14440" t="s">
        <v>446</v>
      </c>
      <c r="J14440" t="s">
        <v>31134</v>
      </c>
      <c r="K14440">
        <v>9721</v>
      </c>
      <c r="L14440" t="s">
        <v>23</v>
      </c>
      <c r="M14440" t="s">
        <v>31133</v>
      </c>
      <c r="N14440" t="s">
        <v>5142</v>
      </c>
      <c r="O14440" t="s">
        <v>446</v>
      </c>
      <c r="P14440" t="s">
        <v>31134</v>
      </c>
      <c r="Q14440">
        <v>9721</v>
      </c>
      <c r="R14440" t="s">
        <v>23</v>
      </c>
      <c r="S14440" s="1" t="s">
        <v>34218</v>
      </c>
    </row>
    <row r="14441" spans="1:19" x14ac:dyDescent="0.25">
      <c r="A14441">
        <v>100906792</v>
      </c>
      <c r="B14441" t="s">
        <v>31135</v>
      </c>
      <c r="C14441" t="s">
        <v>575</v>
      </c>
      <c r="G14441" t="s">
        <v>31136</v>
      </c>
      <c r="H14441" t="s">
        <v>1625</v>
      </c>
      <c r="I14441" t="s">
        <v>702</v>
      </c>
      <c r="J14441" t="s">
        <v>31137</v>
      </c>
      <c r="K14441">
        <v>161</v>
      </c>
      <c r="L14441" t="s">
        <v>23</v>
      </c>
      <c r="M14441" t="s">
        <v>31136</v>
      </c>
      <c r="N14441" t="s">
        <v>1625</v>
      </c>
      <c r="O14441" t="s">
        <v>702</v>
      </c>
      <c r="P14441" t="s">
        <v>31137</v>
      </c>
      <c r="Q14441">
        <v>161</v>
      </c>
      <c r="R14441" t="s">
        <v>23</v>
      </c>
      <c r="S14441" s="1" t="s">
        <v>34218</v>
      </c>
    </row>
    <row r="14442" spans="1:19" x14ac:dyDescent="0.25">
      <c r="A14442">
        <v>101409671</v>
      </c>
      <c r="B14442" t="s">
        <v>31138</v>
      </c>
      <c r="C14442" t="s">
        <v>31139</v>
      </c>
      <c r="G14442" t="s">
        <v>31140</v>
      </c>
      <c r="H14442" t="s">
        <v>11716</v>
      </c>
      <c r="I14442" t="s">
        <v>250</v>
      </c>
      <c r="J14442" t="s">
        <v>31141</v>
      </c>
      <c r="K14442">
        <v>5536</v>
      </c>
      <c r="L14442" t="s">
        <v>23</v>
      </c>
      <c r="M14442" t="s">
        <v>31140</v>
      </c>
      <c r="N14442" t="s">
        <v>11716</v>
      </c>
      <c r="O14442" t="s">
        <v>250</v>
      </c>
      <c r="P14442" t="s">
        <v>31141</v>
      </c>
      <c r="Q14442">
        <v>5536</v>
      </c>
      <c r="R14442" t="s">
        <v>23</v>
      </c>
      <c r="S14442" s="1" t="s">
        <v>34218</v>
      </c>
    </row>
    <row r="14443" spans="1:19" x14ac:dyDescent="0.25">
      <c r="A14443">
        <v>100515476</v>
      </c>
      <c r="B14443" t="s">
        <v>31142</v>
      </c>
      <c r="C14443" t="s">
        <v>636</v>
      </c>
      <c r="G14443" t="s">
        <v>31143</v>
      </c>
      <c r="H14443" t="s">
        <v>31144</v>
      </c>
      <c r="I14443" t="s">
        <v>22</v>
      </c>
      <c r="J14443">
        <v>90630</v>
      </c>
      <c r="K14443">
        <v>3508</v>
      </c>
      <c r="L14443" t="s">
        <v>23</v>
      </c>
      <c r="M14443" t="s">
        <v>31143</v>
      </c>
      <c r="N14443" t="s">
        <v>31144</v>
      </c>
      <c r="O14443" t="s">
        <v>22</v>
      </c>
      <c r="P14443">
        <v>90630</v>
      </c>
      <c r="Q14443">
        <v>3508</v>
      </c>
      <c r="R14443" t="s">
        <v>23</v>
      </c>
      <c r="S14443" s="1" t="s">
        <v>34218</v>
      </c>
    </row>
    <row r="14444" spans="1:19" x14ac:dyDescent="0.25">
      <c r="A14444">
        <v>101481035</v>
      </c>
      <c r="B14444" t="s">
        <v>31145</v>
      </c>
      <c r="C14444" t="s">
        <v>329</v>
      </c>
      <c r="G14444" t="s">
        <v>31146</v>
      </c>
      <c r="H14444" t="s">
        <v>1283</v>
      </c>
      <c r="I14444" t="s">
        <v>22</v>
      </c>
      <c r="J14444">
        <v>93923</v>
      </c>
      <c r="K14444">
        <v>9538</v>
      </c>
      <c r="L14444" t="s">
        <v>23</v>
      </c>
      <c r="M14444" t="s">
        <v>31146</v>
      </c>
      <c r="N14444" t="s">
        <v>1283</v>
      </c>
      <c r="O14444" t="s">
        <v>22</v>
      </c>
      <c r="P14444">
        <v>93923</v>
      </c>
      <c r="Q14444">
        <v>9538</v>
      </c>
      <c r="R14444" t="s">
        <v>23</v>
      </c>
      <c r="S14444" s="1" t="s">
        <v>34218</v>
      </c>
    </row>
    <row r="14445" spans="1:19" x14ac:dyDescent="0.25">
      <c r="A14445">
        <v>101429317</v>
      </c>
      <c r="B14445" t="s">
        <v>31147</v>
      </c>
      <c r="C14445" t="s">
        <v>2758</v>
      </c>
      <c r="G14445" t="s">
        <v>31148</v>
      </c>
      <c r="H14445" t="s">
        <v>29493</v>
      </c>
      <c r="I14445" t="s">
        <v>22</v>
      </c>
      <c r="J14445">
        <v>94010</v>
      </c>
      <c r="K14445">
        <v>5962</v>
      </c>
      <c r="L14445" t="s">
        <v>23</v>
      </c>
      <c r="M14445" t="s">
        <v>31148</v>
      </c>
      <c r="N14445" t="s">
        <v>29493</v>
      </c>
      <c r="O14445" t="s">
        <v>22</v>
      </c>
      <c r="P14445">
        <v>94010</v>
      </c>
      <c r="Q14445">
        <v>5962</v>
      </c>
      <c r="R14445" t="s">
        <v>23</v>
      </c>
      <c r="S14445" s="1" t="s">
        <v>34218</v>
      </c>
    </row>
    <row r="14446" spans="1:19" x14ac:dyDescent="0.25">
      <c r="A14446">
        <v>101481038</v>
      </c>
      <c r="B14446" t="s">
        <v>31149</v>
      </c>
      <c r="C14446" t="s">
        <v>31150</v>
      </c>
      <c r="G14446" t="s">
        <v>31151</v>
      </c>
      <c r="H14446" t="s">
        <v>2069</v>
      </c>
      <c r="I14446" t="s">
        <v>22</v>
      </c>
      <c r="J14446">
        <v>95472</v>
      </c>
      <c r="K14446">
        <v>9270</v>
      </c>
      <c r="L14446" t="s">
        <v>23</v>
      </c>
      <c r="M14446" t="s">
        <v>31151</v>
      </c>
      <c r="N14446" t="s">
        <v>2069</v>
      </c>
      <c r="O14446" t="s">
        <v>22</v>
      </c>
      <c r="P14446">
        <v>95472</v>
      </c>
      <c r="Q14446">
        <v>9270</v>
      </c>
      <c r="R14446" t="s">
        <v>23</v>
      </c>
      <c r="S14446" s="1" t="s">
        <v>34218</v>
      </c>
    </row>
    <row r="14447" spans="1:19" x14ac:dyDescent="0.25">
      <c r="A14447">
        <v>101426485</v>
      </c>
      <c r="B14447" t="s">
        <v>31152</v>
      </c>
      <c r="C14447" t="s">
        <v>1208</v>
      </c>
      <c r="G14447" t="s">
        <v>31153</v>
      </c>
      <c r="H14447" t="s">
        <v>569</v>
      </c>
      <c r="I14447" t="s">
        <v>187</v>
      </c>
      <c r="J14447">
        <v>55426</v>
      </c>
      <c r="K14447">
        <v>2332</v>
      </c>
      <c r="L14447" t="s">
        <v>23</v>
      </c>
      <c r="M14447" t="s">
        <v>31153</v>
      </c>
      <c r="N14447" t="s">
        <v>569</v>
      </c>
      <c r="O14447" t="s">
        <v>187</v>
      </c>
      <c r="P14447">
        <v>55426</v>
      </c>
      <c r="Q14447">
        <v>2332</v>
      </c>
      <c r="R14447" t="s">
        <v>23</v>
      </c>
      <c r="S14447" s="1" t="s">
        <v>34218</v>
      </c>
    </row>
    <row r="14448" spans="1:19" x14ac:dyDescent="0.25">
      <c r="A14448">
        <v>101473180</v>
      </c>
      <c r="B14448" t="s">
        <v>4064</v>
      </c>
      <c r="C14448" t="s">
        <v>18280</v>
      </c>
      <c r="G14448" t="s">
        <v>31154</v>
      </c>
      <c r="H14448" t="s">
        <v>4105</v>
      </c>
      <c r="I14448" t="s">
        <v>117</v>
      </c>
      <c r="J14448">
        <v>11375</v>
      </c>
      <c r="K14448">
        <v>5042</v>
      </c>
      <c r="L14448" t="s">
        <v>23</v>
      </c>
      <c r="M14448" t="s">
        <v>31154</v>
      </c>
      <c r="N14448" t="s">
        <v>4105</v>
      </c>
      <c r="O14448" t="s">
        <v>117</v>
      </c>
      <c r="P14448">
        <v>11375</v>
      </c>
      <c r="Q14448">
        <v>5042</v>
      </c>
      <c r="R14448" t="s">
        <v>23</v>
      </c>
      <c r="S14448" s="1" t="s">
        <v>34218</v>
      </c>
    </row>
    <row r="14449" spans="1:19" x14ac:dyDescent="0.25">
      <c r="A14449">
        <v>101022209</v>
      </c>
      <c r="B14449" t="s">
        <v>2891</v>
      </c>
      <c r="C14449" t="s">
        <v>6185</v>
      </c>
      <c r="G14449" t="s">
        <v>31155</v>
      </c>
      <c r="H14449" t="s">
        <v>31156</v>
      </c>
      <c r="I14449" t="s">
        <v>126</v>
      </c>
      <c r="J14449">
        <v>63367</v>
      </c>
      <c r="K14449">
        <v>4386</v>
      </c>
      <c r="L14449" t="s">
        <v>23</v>
      </c>
      <c r="M14449" t="s">
        <v>31155</v>
      </c>
      <c r="N14449" t="s">
        <v>31156</v>
      </c>
      <c r="O14449" t="s">
        <v>126</v>
      </c>
      <c r="P14449">
        <v>63367</v>
      </c>
      <c r="Q14449">
        <v>4386</v>
      </c>
      <c r="R14449" t="s">
        <v>23</v>
      </c>
      <c r="S14449" s="1" t="s">
        <v>34218</v>
      </c>
    </row>
    <row r="14450" spans="1:19" x14ac:dyDescent="0.25">
      <c r="A14450">
        <v>100536064</v>
      </c>
      <c r="B14450" t="s">
        <v>2300</v>
      </c>
      <c r="C14450" t="s">
        <v>8613</v>
      </c>
      <c r="G14450" t="s">
        <v>31157</v>
      </c>
      <c r="H14450" t="s">
        <v>1560</v>
      </c>
      <c r="I14450" t="s">
        <v>191</v>
      </c>
      <c r="J14450">
        <v>4106</v>
      </c>
      <c r="K14450">
        <v>2847</v>
      </c>
      <c r="L14450" t="s">
        <v>23</v>
      </c>
      <c r="M14450" t="s">
        <v>31157</v>
      </c>
      <c r="N14450" t="s">
        <v>1560</v>
      </c>
      <c r="O14450" t="s">
        <v>191</v>
      </c>
      <c r="P14450">
        <v>4106</v>
      </c>
      <c r="Q14450">
        <v>2847</v>
      </c>
      <c r="R14450" t="s">
        <v>23</v>
      </c>
      <c r="S14450" s="1" t="s">
        <v>34218</v>
      </c>
    </row>
    <row r="14451" spans="1:19" x14ac:dyDescent="0.25">
      <c r="A14451">
        <v>101454458</v>
      </c>
      <c r="B14451" t="s">
        <v>8126</v>
      </c>
      <c r="C14451" t="s">
        <v>1298</v>
      </c>
      <c r="G14451" t="s">
        <v>31158</v>
      </c>
      <c r="H14451" t="s">
        <v>10734</v>
      </c>
      <c r="I14451" t="s">
        <v>135</v>
      </c>
      <c r="J14451">
        <v>60190</v>
      </c>
      <c r="K14451">
        <v>1570</v>
      </c>
      <c r="L14451" t="s">
        <v>23</v>
      </c>
      <c r="M14451" t="s">
        <v>31158</v>
      </c>
      <c r="N14451" t="s">
        <v>10734</v>
      </c>
      <c r="O14451" t="s">
        <v>135</v>
      </c>
      <c r="P14451">
        <v>60190</v>
      </c>
      <c r="Q14451">
        <v>1570</v>
      </c>
      <c r="R14451" t="s">
        <v>23</v>
      </c>
      <c r="S14451" s="1" t="s">
        <v>34218</v>
      </c>
    </row>
    <row r="14452" spans="1:19" x14ac:dyDescent="0.25">
      <c r="A14452">
        <v>101453869</v>
      </c>
      <c r="B14452" t="s">
        <v>31159</v>
      </c>
      <c r="C14452" t="s">
        <v>1327</v>
      </c>
      <c r="G14452" t="s">
        <v>31160</v>
      </c>
      <c r="H14452" t="s">
        <v>10093</v>
      </c>
      <c r="I14452" t="s">
        <v>84</v>
      </c>
      <c r="J14452">
        <v>98382</v>
      </c>
      <c r="K14452">
        <v>8636</v>
      </c>
      <c r="L14452" t="s">
        <v>23</v>
      </c>
      <c r="M14452" t="s">
        <v>31160</v>
      </c>
      <c r="N14452" t="s">
        <v>10093</v>
      </c>
      <c r="O14452" t="s">
        <v>84</v>
      </c>
      <c r="P14452">
        <v>98382</v>
      </c>
      <c r="Q14452">
        <v>8636</v>
      </c>
      <c r="R14452" t="s">
        <v>23</v>
      </c>
      <c r="S14452" s="1" t="s">
        <v>34218</v>
      </c>
    </row>
    <row r="14453" spans="1:19" x14ac:dyDescent="0.25">
      <c r="A14453">
        <v>101031778</v>
      </c>
      <c r="B14453" t="s">
        <v>11551</v>
      </c>
      <c r="C14453" t="s">
        <v>3113</v>
      </c>
      <c r="G14453" t="s">
        <v>31161</v>
      </c>
      <c r="H14453" t="s">
        <v>380</v>
      </c>
      <c r="I14453" t="s">
        <v>38</v>
      </c>
      <c r="J14453">
        <v>75225</v>
      </c>
      <c r="K14453">
        <v>4853</v>
      </c>
      <c r="L14453" t="s">
        <v>23</v>
      </c>
      <c r="M14453" t="s">
        <v>31161</v>
      </c>
      <c r="N14453" t="s">
        <v>380</v>
      </c>
      <c r="O14453" t="s">
        <v>38</v>
      </c>
      <c r="P14453">
        <v>75225</v>
      </c>
      <c r="Q14453">
        <v>4853</v>
      </c>
      <c r="R14453" t="s">
        <v>23</v>
      </c>
      <c r="S14453" s="1" t="s">
        <v>34218</v>
      </c>
    </row>
    <row r="14454" spans="1:19" x14ac:dyDescent="0.25">
      <c r="A14454">
        <v>101453485</v>
      </c>
      <c r="B14454" t="s">
        <v>31162</v>
      </c>
      <c r="C14454" t="s">
        <v>664</v>
      </c>
      <c r="G14454" t="s">
        <v>31163</v>
      </c>
      <c r="H14454" t="s">
        <v>16814</v>
      </c>
      <c r="I14454" t="s">
        <v>565</v>
      </c>
      <c r="J14454">
        <v>50003</v>
      </c>
      <c r="K14454">
        <v>4455</v>
      </c>
      <c r="L14454" t="s">
        <v>23</v>
      </c>
      <c r="M14454" t="s">
        <v>31163</v>
      </c>
      <c r="N14454" t="s">
        <v>16814</v>
      </c>
      <c r="O14454" t="s">
        <v>565</v>
      </c>
      <c r="P14454">
        <v>50003</v>
      </c>
      <c r="Q14454">
        <v>4455</v>
      </c>
      <c r="R14454" t="s">
        <v>23</v>
      </c>
      <c r="S14454" s="1" t="s">
        <v>34218</v>
      </c>
    </row>
    <row r="14455" spans="1:19" x14ac:dyDescent="0.25">
      <c r="A14455">
        <v>101449480</v>
      </c>
      <c r="B14455" t="s">
        <v>31164</v>
      </c>
      <c r="C14455" t="s">
        <v>1161</v>
      </c>
      <c r="G14455" t="s">
        <v>31165</v>
      </c>
      <c r="H14455" t="s">
        <v>412</v>
      </c>
      <c r="I14455" t="s">
        <v>117</v>
      </c>
      <c r="J14455">
        <v>11234</v>
      </c>
      <c r="K14455">
        <v>5712</v>
      </c>
      <c r="L14455" t="s">
        <v>23</v>
      </c>
      <c r="M14455" t="s">
        <v>31165</v>
      </c>
      <c r="N14455" t="s">
        <v>412</v>
      </c>
      <c r="O14455" t="s">
        <v>117</v>
      </c>
      <c r="P14455">
        <v>11234</v>
      </c>
      <c r="Q14455">
        <v>5712</v>
      </c>
      <c r="R14455" t="s">
        <v>23</v>
      </c>
      <c r="S14455" s="1" t="s">
        <v>34218</v>
      </c>
    </row>
    <row r="14456" spans="1:19" x14ac:dyDescent="0.25">
      <c r="A14456">
        <v>101241805</v>
      </c>
      <c r="B14456" t="s">
        <v>5323</v>
      </c>
      <c r="C14456" t="s">
        <v>1179</v>
      </c>
      <c r="G14456" t="s">
        <v>31166</v>
      </c>
      <c r="H14456" t="s">
        <v>12554</v>
      </c>
      <c r="I14456" t="s">
        <v>984</v>
      </c>
      <c r="J14456">
        <v>96755</v>
      </c>
      <c r="L14456" t="s">
        <v>23</v>
      </c>
      <c r="M14456" t="s">
        <v>31166</v>
      </c>
      <c r="N14456" t="s">
        <v>12554</v>
      </c>
      <c r="O14456" t="s">
        <v>984</v>
      </c>
      <c r="P14456">
        <v>96755</v>
      </c>
      <c r="R14456" t="s">
        <v>23</v>
      </c>
      <c r="S14456" s="1" t="s">
        <v>34218</v>
      </c>
    </row>
    <row r="14457" spans="1:19" x14ac:dyDescent="0.25">
      <c r="A14457">
        <v>101454172</v>
      </c>
      <c r="B14457" t="s">
        <v>31167</v>
      </c>
      <c r="C14457" t="s">
        <v>102</v>
      </c>
      <c r="G14457" t="s">
        <v>31168</v>
      </c>
      <c r="H14457" t="s">
        <v>8206</v>
      </c>
      <c r="I14457" t="s">
        <v>2310</v>
      </c>
      <c r="J14457">
        <v>19963</v>
      </c>
      <c r="L14457" t="s">
        <v>23</v>
      </c>
      <c r="M14457" t="s">
        <v>31168</v>
      </c>
      <c r="N14457" t="s">
        <v>8206</v>
      </c>
      <c r="O14457" t="s">
        <v>2310</v>
      </c>
      <c r="P14457">
        <v>19963</v>
      </c>
      <c r="R14457" t="s">
        <v>23</v>
      </c>
      <c r="S14457" s="1" t="s">
        <v>34218</v>
      </c>
    </row>
    <row r="14458" spans="1:19" x14ac:dyDescent="0.25">
      <c r="A14458">
        <v>101473050</v>
      </c>
      <c r="B14458" t="s">
        <v>31169</v>
      </c>
      <c r="C14458" t="s">
        <v>286</v>
      </c>
      <c r="G14458" t="s">
        <v>31170</v>
      </c>
      <c r="H14458" t="s">
        <v>18113</v>
      </c>
      <c r="I14458" t="s">
        <v>236</v>
      </c>
      <c r="J14458">
        <v>1952</v>
      </c>
      <c r="K14458">
        <v>2807</v>
      </c>
      <c r="L14458" t="s">
        <v>23</v>
      </c>
      <c r="M14458" t="s">
        <v>31170</v>
      </c>
      <c r="N14458" t="s">
        <v>18113</v>
      </c>
      <c r="O14458" t="s">
        <v>236</v>
      </c>
      <c r="P14458">
        <v>1952</v>
      </c>
      <c r="Q14458">
        <v>2807</v>
      </c>
      <c r="R14458" t="s">
        <v>23</v>
      </c>
      <c r="S14458" s="1" t="s">
        <v>34218</v>
      </c>
    </row>
    <row r="14459" spans="1:19" x14ac:dyDescent="0.25">
      <c r="A14459">
        <v>100998631</v>
      </c>
      <c r="B14459" t="s">
        <v>11601</v>
      </c>
      <c r="C14459" t="s">
        <v>7764</v>
      </c>
      <c r="G14459" t="s">
        <v>31171</v>
      </c>
      <c r="H14459" t="s">
        <v>31172</v>
      </c>
      <c r="I14459" t="s">
        <v>348</v>
      </c>
      <c r="J14459">
        <v>83823</v>
      </c>
      <c r="K14459">
        <v>85</v>
      </c>
      <c r="L14459" t="s">
        <v>23</v>
      </c>
      <c r="M14459" t="s">
        <v>31171</v>
      </c>
      <c r="N14459" t="s">
        <v>31172</v>
      </c>
      <c r="O14459" t="s">
        <v>348</v>
      </c>
      <c r="P14459">
        <v>83823</v>
      </c>
      <c r="Q14459">
        <v>85</v>
      </c>
      <c r="R14459" t="s">
        <v>23</v>
      </c>
      <c r="S14459" s="1" t="s">
        <v>34218</v>
      </c>
    </row>
    <row r="14460" spans="1:19" x14ac:dyDescent="0.25">
      <c r="A14460">
        <v>101465758</v>
      </c>
      <c r="B14460" t="s">
        <v>31173</v>
      </c>
      <c r="C14460" t="s">
        <v>535</v>
      </c>
      <c r="G14460" t="s">
        <v>31174</v>
      </c>
      <c r="H14460" t="s">
        <v>11092</v>
      </c>
      <c r="I14460" t="s">
        <v>984</v>
      </c>
      <c r="J14460">
        <v>96734</v>
      </c>
      <c r="K14460">
        <v>473</v>
      </c>
      <c r="L14460" t="s">
        <v>23</v>
      </c>
      <c r="M14460" t="s">
        <v>31174</v>
      </c>
      <c r="N14460" t="s">
        <v>11092</v>
      </c>
      <c r="O14460" t="s">
        <v>984</v>
      </c>
      <c r="P14460">
        <v>96734</v>
      </c>
      <c r="Q14460">
        <v>473</v>
      </c>
      <c r="R14460" t="s">
        <v>23</v>
      </c>
      <c r="S14460" s="1" t="s">
        <v>34218</v>
      </c>
    </row>
    <row r="14461" spans="1:19" x14ac:dyDescent="0.25">
      <c r="A14461">
        <v>101481069</v>
      </c>
      <c r="B14461" t="s">
        <v>31175</v>
      </c>
      <c r="C14461" t="s">
        <v>119</v>
      </c>
      <c r="G14461" t="s">
        <v>31176</v>
      </c>
      <c r="H14461" t="s">
        <v>1337</v>
      </c>
      <c r="I14461" t="s">
        <v>71</v>
      </c>
      <c r="J14461">
        <v>81007</v>
      </c>
      <c r="K14461">
        <v>1363</v>
      </c>
      <c r="L14461" t="s">
        <v>23</v>
      </c>
      <c r="M14461" t="s">
        <v>31176</v>
      </c>
      <c r="N14461" t="s">
        <v>1337</v>
      </c>
      <c r="O14461" t="s">
        <v>71</v>
      </c>
      <c r="P14461">
        <v>81007</v>
      </c>
      <c r="Q14461">
        <v>1363</v>
      </c>
      <c r="R14461" t="s">
        <v>23</v>
      </c>
      <c r="S14461" s="1" t="s">
        <v>34218</v>
      </c>
    </row>
    <row r="14462" spans="1:19" x14ac:dyDescent="0.25">
      <c r="A14462">
        <v>101481075</v>
      </c>
      <c r="B14462" t="s">
        <v>31177</v>
      </c>
      <c r="C14462" t="s">
        <v>4133</v>
      </c>
      <c r="G14462" t="s">
        <v>31178</v>
      </c>
      <c r="H14462" t="s">
        <v>31179</v>
      </c>
      <c r="I14462" t="s">
        <v>28</v>
      </c>
      <c r="J14462">
        <v>30741</v>
      </c>
      <c r="K14462">
        <v>2044</v>
      </c>
      <c r="L14462" t="s">
        <v>23</v>
      </c>
      <c r="M14462" t="s">
        <v>31178</v>
      </c>
      <c r="N14462" t="s">
        <v>31179</v>
      </c>
      <c r="O14462" t="s">
        <v>28</v>
      </c>
      <c r="P14462">
        <v>30741</v>
      </c>
      <c r="Q14462">
        <v>2044</v>
      </c>
      <c r="R14462" t="s">
        <v>23</v>
      </c>
      <c r="S14462" s="1" t="s">
        <v>34218</v>
      </c>
    </row>
    <row r="14463" spans="1:19" x14ac:dyDescent="0.25">
      <c r="A14463">
        <v>101332877</v>
      </c>
      <c r="B14463" t="s">
        <v>31180</v>
      </c>
      <c r="C14463" t="s">
        <v>466</v>
      </c>
      <c r="G14463" t="s">
        <v>31181</v>
      </c>
      <c r="H14463" t="s">
        <v>19476</v>
      </c>
      <c r="I14463" t="s">
        <v>307</v>
      </c>
      <c r="J14463">
        <v>5461</v>
      </c>
      <c r="K14463">
        <v>4430</v>
      </c>
      <c r="L14463" t="s">
        <v>23</v>
      </c>
      <c r="M14463" t="s">
        <v>31181</v>
      </c>
      <c r="N14463" t="s">
        <v>19476</v>
      </c>
      <c r="O14463" t="s">
        <v>307</v>
      </c>
      <c r="P14463">
        <v>5461</v>
      </c>
      <c r="Q14463">
        <v>4430</v>
      </c>
      <c r="R14463" t="s">
        <v>23</v>
      </c>
      <c r="S14463" s="1" t="s">
        <v>34218</v>
      </c>
    </row>
    <row r="14464" spans="1:19" x14ac:dyDescent="0.25">
      <c r="A14464">
        <v>101481085</v>
      </c>
      <c r="B14464" t="s">
        <v>5627</v>
      </c>
      <c r="C14464" t="s">
        <v>763</v>
      </c>
      <c r="G14464" t="s">
        <v>31182</v>
      </c>
      <c r="H14464" t="s">
        <v>445</v>
      </c>
      <c r="I14464" t="s">
        <v>446</v>
      </c>
      <c r="J14464">
        <v>28801</v>
      </c>
      <c r="K14464">
        <v>2803</v>
      </c>
      <c r="L14464" t="s">
        <v>23</v>
      </c>
      <c r="M14464" t="s">
        <v>31182</v>
      </c>
      <c r="N14464" t="s">
        <v>445</v>
      </c>
      <c r="O14464" t="s">
        <v>446</v>
      </c>
      <c r="P14464">
        <v>28801</v>
      </c>
      <c r="Q14464">
        <v>2803</v>
      </c>
      <c r="R14464" t="s">
        <v>23</v>
      </c>
      <c r="S14464" s="1" t="s">
        <v>34218</v>
      </c>
    </row>
    <row r="14465" spans="1:19" x14ac:dyDescent="0.25">
      <c r="A14465">
        <v>101230931</v>
      </c>
      <c r="B14465" t="s">
        <v>5558</v>
      </c>
      <c r="C14465" t="s">
        <v>1309</v>
      </c>
      <c r="G14465" t="s">
        <v>31183</v>
      </c>
      <c r="H14465" t="s">
        <v>30266</v>
      </c>
      <c r="I14465" t="s">
        <v>178</v>
      </c>
      <c r="J14465">
        <v>43512</v>
      </c>
      <c r="K14465">
        <v>1942</v>
      </c>
      <c r="L14465" t="s">
        <v>23</v>
      </c>
      <c r="M14465" t="s">
        <v>31183</v>
      </c>
      <c r="N14465" t="s">
        <v>30266</v>
      </c>
      <c r="O14465" t="s">
        <v>178</v>
      </c>
      <c r="P14465">
        <v>43512</v>
      </c>
      <c r="Q14465">
        <v>1942</v>
      </c>
      <c r="R14465" t="s">
        <v>23</v>
      </c>
      <c r="S14465" s="1" t="s">
        <v>34218</v>
      </c>
    </row>
    <row r="14466" spans="1:19" x14ac:dyDescent="0.25">
      <c r="A14466">
        <v>101473322</v>
      </c>
      <c r="B14466" t="s">
        <v>31184</v>
      </c>
      <c r="C14466" t="s">
        <v>31185</v>
      </c>
      <c r="G14466" t="s">
        <v>31186</v>
      </c>
      <c r="H14466" t="s">
        <v>380</v>
      </c>
      <c r="I14466" t="s">
        <v>38</v>
      </c>
      <c r="J14466">
        <v>75230</v>
      </c>
      <c r="K14466">
        <v>4657</v>
      </c>
      <c r="L14466" t="s">
        <v>23</v>
      </c>
      <c r="M14466" t="s">
        <v>31186</v>
      </c>
      <c r="N14466" t="s">
        <v>380</v>
      </c>
      <c r="O14466" t="s">
        <v>38</v>
      </c>
      <c r="P14466">
        <v>75230</v>
      </c>
      <c r="Q14466">
        <v>4657</v>
      </c>
      <c r="R14466" t="s">
        <v>23</v>
      </c>
      <c r="S14466" s="1" t="s">
        <v>34218</v>
      </c>
    </row>
    <row r="14467" spans="1:19" x14ac:dyDescent="0.25">
      <c r="A14467">
        <v>101469231</v>
      </c>
      <c r="B14467" t="s">
        <v>27153</v>
      </c>
      <c r="C14467" t="s">
        <v>763</v>
      </c>
      <c r="H14467" t="s">
        <v>1311</v>
      </c>
      <c r="I14467" t="s">
        <v>126</v>
      </c>
      <c r="J14467">
        <v>64093</v>
      </c>
      <c r="L14467" t="s">
        <v>23</v>
      </c>
      <c r="N14467" t="s">
        <v>1311</v>
      </c>
      <c r="O14467" t="s">
        <v>126</v>
      </c>
      <c r="P14467">
        <v>64093</v>
      </c>
      <c r="R14467" t="s">
        <v>23</v>
      </c>
      <c r="S14467" s="1" t="s">
        <v>34218</v>
      </c>
    </row>
    <row r="14468" spans="1:19" x14ac:dyDescent="0.25">
      <c r="A14468">
        <v>101194192</v>
      </c>
      <c r="B14468" t="s">
        <v>31187</v>
      </c>
      <c r="C14468" t="s">
        <v>1218</v>
      </c>
      <c r="G14468" t="s">
        <v>31188</v>
      </c>
      <c r="H14468" t="s">
        <v>818</v>
      </c>
      <c r="I14468" t="s">
        <v>43</v>
      </c>
      <c r="J14468">
        <v>97005</v>
      </c>
      <c r="L14468" t="s">
        <v>23</v>
      </c>
      <c r="M14468" t="s">
        <v>31188</v>
      </c>
      <c r="N14468" t="s">
        <v>818</v>
      </c>
      <c r="O14468" t="s">
        <v>43</v>
      </c>
      <c r="P14468">
        <v>97005</v>
      </c>
      <c r="R14468" t="s">
        <v>23</v>
      </c>
      <c r="S14468" s="1" t="s">
        <v>34218</v>
      </c>
    </row>
    <row r="14469" spans="1:19" x14ac:dyDescent="0.25">
      <c r="A14469">
        <v>100605311</v>
      </c>
      <c r="B14469" t="s">
        <v>4515</v>
      </c>
      <c r="C14469" t="s">
        <v>1179</v>
      </c>
      <c r="G14469" t="s">
        <v>31189</v>
      </c>
      <c r="H14469" t="s">
        <v>31190</v>
      </c>
      <c r="I14469" t="s">
        <v>57</v>
      </c>
      <c r="J14469">
        <v>46038</v>
      </c>
      <c r="L14469" t="s">
        <v>23</v>
      </c>
      <c r="M14469" t="s">
        <v>31189</v>
      </c>
      <c r="N14469" t="s">
        <v>31190</v>
      </c>
      <c r="O14469" t="s">
        <v>57</v>
      </c>
      <c r="P14469">
        <v>46038</v>
      </c>
      <c r="R14469" t="s">
        <v>23</v>
      </c>
      <c r="S14469" s="1" t="s">
        <v>34218</v>
      </c>
    </row>
    <row r="14470" spans="1:19" x14ac:dyDescent="0.25">
      <c r="A14470">
        <v>101473203</v>
      </c>
      <c r="B14470" t="s">
        <v>19501</v>
      </c>
      <c r="C14470" t="s">
        <v>132</v>
      </c>
      <c r="G14470" t="s">
        <v>31191</v>
      </c>
      <c r="H14470" t="s">
        <v>1344</v>
      </c>
      <c r="I14470" t="s">
        <v>984</v>
      </c>
      <c r="J14470">
        <v>96778</v>
      </c>
      <c r="L14470" t="s">
        <v>23</v>
      </c>
      <c r="M14470" t="s">
        <v>31191</v>
      </c>
      <c r="N14470" t="s">
        <v>1344</v>
      </c>
      <c r="O14470" t="s">
        <v>984</v>
      </c>
      <c r="P14470">
        <v>96778</v>
      </c>
      <c r="R14470" t="s">
        <v>23</v>
      </c>
      <c r="S14470" s="1" t="s">
        <v>34218</v>
      </c>
    </row>
    <row r="14471" spans="1:19" x14ac:dyDescent="0.25">
      <c r="A14471">
        <v>101474071</v>
      </c>
      <c r="B14471" t="s">
        <v>31192</v>
      </c>
      <c r="C14471" t="s">
        <v>1350</v>
      </c>
      <c r="G14471" t="s">
        <v>31193</v>
      </c>
      <c r="H14471" t="s">
        <v>1439</v>
      </c>
      <c r="I14471" t="s">
        <v>365</v>
      </c>
      <c r="J14471">
        <v>85701</v>
      </c>
      <c r="K14471">
        <v>2520</v>
      </c>
      <c r="L14471" t="s">
        <v>23</v>
      </c>
      <c r="M14471" t="s">
        <v>31193</v>
      </c>
      <c r="N14471" t="s">
        <v>1439</v>
      </c>
      <c r="O14471" t="s">
        <v>365</v>
      </c>
      <c r="P14471">
        <v>85701</v>
      </c>
      <c r="Q14471">
        <v>2520</v>
      </c>
      <c r="R14471" t="s">
        <v>23</v>
      </c>
      <c r="S14471" s="1" t="s">
        <v>34218</v>
      </c>
    </row>
    <row r="14472" spans="1:19" x14ac:dyDescent="0.25">
      <c r="A14472">
        <v>101473627</v>
      </c>
      <c r="B14472" t="s">
        <v>12763</v>
      </c>
      <c r="C14472" t="s">
        <v>4140</v>
      </c>
      <c r="G14472">
        <v>196</v>
      </c>
      <c r="H14472" t="s">
        <v>6518</v>
      </c>
      <c r="I14472" t="s">
        <v>22</v>
      </c>
      <c r="J14472">
        <v>91010</v>
      </c>
      <c r="L14472" t="s">
        <v>23</v>
      </c>
      <c r="M14472">
        <v>196</v>
      </c>
      <c r="N14472" t="s">
        <v>6518</v>
      </c>
      <c r="O14472" t="s">
        <v>22</v>
      </c>
      <c r="P14472">
        <v>91010</v>
      </c>
      <c r="R14472" t="s">
        <v>23</v>
      </c>
      <c r="S14472" s="1" t="s">
        <v>34218</v>
      </c>
    </row>
    <row r="14473" spans="1:19" x14ac:dyDescent="0.25">
      <c r="A14473">
        <v>101446784</v>
      </c>
      <c r="B14473" t="s">
        <v>1714</v>
      </c>
      <c r="C14473" t="s">
        <v>929</v>
      </c>
      <c r="G14473" t="s">
        <v>31194</v>
      </c>
      <c r="H14473" t="s">
        <v>134</v>
      </c>
      <c r="I14473" t="s">
        <v>135</v>
      </c>
      <c r="J14473">
        <v>60602</v>
      </c>
      <c r="K14473">
        <v>4712</v>
      </c>
      <c r="L14473" t="s">
        <v>23</v>
      </c>
      <c r="M14473" t="s">
        <v>31194</v>
      </c>
      <c r="N14473" t="s">
        <v>134</v>
      </c>
      <c r="O14473" t="s">
        <v>135</v>
      </c>
      <c r="P14473">
        <v>60602</v>
      </c>
      <c r="Q14473">
        <v>4712</v>
      </c>
      <c r="R14473" t="s">
        <v>23</v>
      </c>
      <c r="S14473" s="1" t="s">
        <v>34218</v>
      </c>
    </row>
    <row r="14474" spans="1:19" x14ac:dyDescent="0.25">
      <c r="A14474">
        <v>101481112</v>
      </c>
      <c r="B14474" t="s">
        <v>4130</v>
      </c>
      <c r="C14474" t="s">
        <v>31195</v>
      </c>
      <c r="G14474" t="s">
        <v>31196</v>
      </c>
      <c r="H14474" t="s">
        <v>537</v>
      </c>
      <c r="I14474" t="s">
        <v>52</v>
      </c>
      <c r="J14474">
        <v>32086</v>
      </c>
      <c r="K14474">
        <v>6229</v>
      </c>
      <c r="L14474" t="s">
        <v>23</v>
      </c>
      <c r="M14474" t="s">
        <v>31196</v>
      </c>
      <c r="N14474" t="s">
        <v>537</v>
      </c>
      <c r="O14474" t="s">
        <v>52</v>
      </c>
      <c r="P14474">
        <v>32086</v>
      </c>
      <c r="Q14474">
        <v>6229</v>
      </c>
      <c r="R14474" t="s">
        <v>23</v>
      </c>
      <c r="S14474" s="1" t="s">
        <v>34218</v>
      </c>
    </row>
    <row r="14475" spans="1:19" x14ac:dyDescent="0.25">
      <c r="A14475">
        <v>101450017</v>
      </c>
      <c r="B14475" t="s">
        <v>9366</v>
      </c>
      <c r="C14475" t="s">
        <v>3951</v>
      </c>
      <c r="G14475" t="s">
        <v>31197</v>
      </c>
      <c r="H14475" t="s">
        <v>1787</v>
      </c>
      <c r="I14475" t="s">
        <v>702</v>
      </c>
      <c r="J14475">
        <v>89133</v>
      </c>
      <c r="K14475">
        <v>5471</v>
      </c>
      <c r="L14475" t="s">
        <v>23</v>
      </c>
      <c r="M14475" t="s">
        <v>31197</v>
      </c>
      <c r="N14475" t="s">
        <v>1787</v>
      </c>
      <c r="O14475" t="s">
        <v>702</v>
      </c>
      <c r="P14475">
        <v>89133</v>
      </c>
      <c r="Q14475">
        <v>5471</v>
      </c>
      <c r="R14475" t="s">
        <v>23</v>
      </c>
      <c r="S14475" s="1" t="s">
        <v>34218</v>
      </c>
    </row>
    <row r="14476" spans="1:19" x14ac:dyDescent="0.25">
      <c r="A14476">
        <v>101481114</v>
      </c>
      <c r="B14476" t="s">
        <v>276</v>
      </c>
      <c r="C14476" t="s">
        <v>252</v>
      </c>
      <c r="G14476" t="s">
        <v>31198</v>
      </c>
      <c r="H14476" t="s">
        <v>198</v>
      </c>
      <c r="I14476" t="s">
        <v>22</v>
      </c>
      <c r="J14476">
        <v>92109</v>
      </c>
      <c r="K14476">
        <v>3648</v>
      </c>
      <c r="L14476" t="s">
        <v>23</v>
      </c>
      <c r="M14476" t="s">
        <v>31198</v>
      </c>
      <c r="N14476" t="s">
        <v>198</v>
      </c>
      <c r="O14476" t="s">
        <v>22</v>
      </c>
      <c r="P14476">
        <v>92109</v>
      </c>
      <c r="Q14476">
        <v>3648</v>
      </c>
      <c r="R14476" t="s">
        <v>23</v>
      </c>
      <c r="S14476" s="1" t="s">
        <v>34218</v>
      </c>
    </row>
    <row r="14477" spans="1:19" x14ac:dyDescent="0.25">
      <c r="A14477">
        <v>101481117</v>
      </c>
      <c r="B14477" t="s">
        <v>9911</v>
      </c>
      <c r="C14477" t="s">
        <v>15768</v>
      </c>
      <c r="G14477" t="s">
        <v>20408</v>
      </c>
      <c r="H14477" t="s">
        <v>18540</v>
      </c>
      <c r="I14477" t="s">
        <v>255</v>
      </c>
      <c r="J14477">
        <v>22920</v>
      </c>
      <c r="K14477">
        <v>1917</v>
      </c>
      <c r="L14477" t="s">
        <v>23</v>
      </c>
      <c r="M14477" t="s">
        <v>20408</v>
      </c>
      <c r="N14477" t="s">
        <v>18540</v>
      </c>
      <c r="O14477" t="s">
        <v>255</v>
      </c>
      <c r="P14477">
        <v>22920</v>
      </c>
      <c r="Q14477">
        <v>1917</v>
      </c>
      <c r="R14477" t="s">
        <v>23</v>
      </c>
      <c r="S14477" s="1" t="s">
        <v>34218</v>
      </c>
    </row>
    <row r="14478" spans="1:19" x14ac:dyDescent="0.25">
      <c r="A14478">
        <v>101344305</v>
      </c>
      <c r="B14478" t="s">
        <v>654</v>
      </c>
      <c r="C14478" t="s">
        <v>309</v>
      </c>
      <c r="G14478" t="s">
        <v>31199</v>
      </c>
      <c r="H14478" t="s">
        <v>1361</v>
      </c>
      <c r="I14478" t="s">
        <v>135</v>
      </c>
      <c r="J14478">
        <v>60142</v>
      </c>
      <c r="K14478">
        <v>6361</v>
      </c>
      <c r="L14478" t="s">
        <v>23</v>
      </c>
      <c r="M14478" t="s">
        <v>31199</v>
      </c>
      <c r="N14478" t="s">
        <v>1361</v>
      </c>
      <c r="O14478" t="s">
        <v>135</v>
      </c>
      <c r="P14478">
        <v>60142</v>
      </c>
      <c r="Q14478">
        <v>6361</v>
      </c>
      <c r="R14478" t="s">
        <v>23</v>
      </c>
      <c r="S14478" s="1" t="s">
        <v>34218</v>
      </c>
    </row>
    <row r="14479" spans="1:19" x14ac:dyDescent="0.25">
      <c r="A14479">
        <v>101481134</v>
      </c>
      <c r="B14479" t="s">
        <v>18074</v>
      </c>
      <c r="C14479" t="s">
        <v>31200</v>
      </c>
      <c r="G14479" t="s">
        <v>31201</v>
      </c>
      <c r="H14479" t="s">
        <v>5395</v>
      </c>
      <c r="I14479" t="s">
        <v>38</v>
      </c>
      <c r="J14479">
        <v>78130</v>
      </c>
      <c r="K14479">
        <v>4029</v>
      </c>
      <c r="L14479" t="s">
        <v>23</v>
      </c>
      <c r="M14479" t="s">
        <v>31201</v>
      </c>
      <c r="N14479" t="s">
        <v>5395</v>
      </c>
      <c r="O14479" t="s">
        <v>38</v>
      </c>
      <c r="P14479">
        <v>78130</v>
      </c>
      <c r="Q14479">
        <v>4029</v>
      </c>
      <c r="R14479" t="s">
        <v>23</v>
      </c>
      <c r="S14479" s="1" t="s">
        <v>34218</v>
      </c>
    </row>
    <row r="14480" spans="1:19" x14ac:dyDescent="0.25">
      <c r="A14480">
        <v>101471339</v>
      </c>
      <c r="B14480" t="s">
        <v>31202</v>
      </c>
      <c r="C14480" t="s">
        <v>31203</v>
      </c>
      <c r="G14480" t="s">
        <v>31204</v>
      </c>
      <c r="H14480" t="s">
        <v>682</v>
      </c>
      <c r="I14480" t="s">
        <v>365</v>
      </c>
      <c r="J14480">
        <v>85013</v>
      </c>
      <c r="K14480">
        <v>3714</v>
      </c>
      <c r="L14480" t="s">
        <v>23</v>
      </c>
      <c r="M14480" t="s">
        <v>31204</v>
      </c>
      <c r="N14480" t="s">
        <v>682</v>
      </c>
      <c r="O14480" t="s">
        <v>365</v>
      </c>
      <c r="P14480">
        <v>85013</v>
      </c>
      <c r="Q14480">
        <v>3714</v>
      </c>
      <c r="R14480" t="s">
        <v>23</v>
      </c>
      <c r="S14480" s="1" t="s">
        <v>34218</v>
      </c>
    </row>
    <row r="14481" spans="1:19" x14ac:dyDescent="0.25">
      <c r="A14481">
        <v>101083576</v>
      </c>
      <c r="B14481" t="s">
        <v>31205</v>
      </c>
      <c r="C14481" t="s">
        <v>8852</v>
      </c>
      <c r="G14481" t="s">
        <v>31206</v>
      </c>
      <c r="H14481" t="s">
        <v>7505</v>
      </c>
      <c r="I14481" t="s">
        <v>84</v>
      </c>
      <c r="J14481">
        <v>98110</v>
      </c>
      <c r="K14481">
        <v>1637</v>
      </c>
      <c r="L14481" t="s">
        <v>23</v>
      </c>
      <c r="M14481" t="s">
        <v>31206</v>
      </c>
      <c r="N14481" t="s">
        <v>7505</v>
      </c>
      <c r="O14481" t="s">
        <v>84</v>
      </c>
      <c r="P14481">
        <v>98110</v>
      </c>
      <c r="Q14481">
        <v>1637</v>
      </c>
      <c r="R14481" t="s">
        <v>23</v>
      </c>
      <c r="S14481" s="1" t="s">
        <v>34218</v>
      </c>
    </row>
    <row r="14482" spans="1:19" x14ac:dyDescent="0.25">
      <c r="A14482">
        <v>101186774</v>
      </c>
      <c r="B14482" t="s">
        <v>2459</v>
      </c>
      <c r="C14482" t="s">
        <v>894</v>
      </c>
      <c r="G14482" t="s">
        <v>31207</v>
      </c>
      <c r="H14482" t="s">
        <v>31208</v>
      </c>
      <c r="I14482" t="s">
        <v>140</v>
      </c>
      <c r="J14482">
        <v>48422</v>
      </c>
      <c r="K14482">
        <v>8486</v>
      </c>
      <c r="L14482" t="s">
        <v>23</v>
      </c>
      <c r="M14482" t="s">
        <v>31207</v>
      </c>
      <c r="N14482" t="s">
        <v>31208</v>
      </c>
      <c r="O14482" t="s">
        <v>140</v>
      </c>
      <c r="P14482">
        <v>48422</v>
      </c>
      <c r="Q14482">
        <v>8486</v>
      </c>
      <c r="R14482" t="s">
        <v>23</v>
      </c>
      <c r="S14482" s="1" t="s">
        <v>34218</v>
      </c>
    </row>
    <row r="14483" spans="1:19" x14ac:dyDescent="0.25">
      <c r="A14483">
        <v>101280451</v>
      </c>
      <c r="B14483" t="s">
        <v>3583</v>
      </c>
      <c r="C14483" t="s">
        <v>4407</v>
      </c>
      <c r="G14483" t="s">
        <v>31209</v>
      </c>
      <c r="H14483" t="s">
        <v>29707</v>
      </c>
      <c r="I14483" t="s">
        <v>914</v>
      </c>
      <c r="J14483">
        <v>37681</v>
      </c>
      <c r="K14483">
        <v>4819</v>
      </c>
      <c r="L14483" t="s">
        <v>23</v>
      </c>
      <c r="M14483" t="s">
        <v>31209</v>
      </c>
      <c r="N14483" t="s">
        <v>29707</v>
      </c>
      <c r="O14483" t="s">
        <v>914</v>
      </c>
      <c r="P14483">
        <v>37681</v>
      </c>
      <c r="Q14483">
        <v>4819</v>
      </c>
      <c r="R14483" t="s">
        <v>23</v>
      </c>
      <c r="S14483" s="1" t="s">
        <v>34218</v>
      </c>
    </row>
    <row r="14484" spans="1:19" x14ac:dyDescent="0.25">
      <c r="A14484">
        <v>101292734</v>
      </c>
      <c r="B14484" t="s">
        <v>12040</v>
      </c>
      <c r="C14484" t="s">
        <v>4133</v>
      </c>
      <c r="G14484" t="s">
        <v>31210</v>
      </c>
      <c r="H14484" t="s">
        <v>746</v>
      </c>
      <c r="I14484" t="s">
        <v>126</v>
      </c>
      <c r="J14484" t="s">
        <v>31211</v>
      </c>
      <c r="K14484">
        <v>2710</v>
      </c>
      <c r="L14484" t="s">
        <v>23</v>
      </c>
      <c r="M14484" t="s">
        <v>31210</v>
      </c>
      <c r="N14484" t="s">
        <v>746</v>
      </c>
      <c r="O14484" t="s">
        <v>126</v>
      </c>
      <c r="P14484" t="s">
        <v>31211</v>
      </c>
      <c r="Q14484">
        <v>2710</v>
      </c>
      <c r="R14484" t="s">
        <v>23</v>
      </c>
      <c r="S14484" s="1" t="s">
        <v>34218</v>
      </c>
    </row>
    <row r="14485" spans="1:19" x14ac:dyDescent="0.25">
      <c r="A14485">
        <v>101430593</v>
      </c>
      <c r="B14485" t="s">
        <v>31212</v>
      </c>
      <c r="C14485" t="s">
        <v>2220</v>
      </c>
      <c r="G14485" t="s">
        <v>31213</v>
      </c>
      <c r="H14485" t="s">
        <v>14142</v>
      </c>
      <c r="I14485" t="s">
        <v>117</v>
      </c>
      <c r="J14485" t="s">
        <v>31214</v>
      </c>
      <c r="K14485">
        <v>4102</v>
      </c>
      <c r="L14485" t="s">
        <v>23</v>
      </c>
      <c r="M14485" t="s">
        <v>31213</v>
      </c>
      <c r="N14485" t="s">
        <v>14142</v>
      </c>
      <c r="O14485" t="s">
        <v>117</v>
      </c>
      <c r="P14485" t="s">
        <v>31214</v>
      </c>
      <c r="Q14485">
        <v>4102</v>
      </c>
      <c r="R14485" t="s">
        <v>23</v>
      </c>
      <c r="S14485" s="1" t="s">
        <v>34218</v>
      </c>
    </row>
    <row r="14486" spans="1:19" x14ac:dyDescent="0.25">
      <c r="A14486">
        <v>101110675</v>
      </c>
      <c r="B14486" t="s">
        <v>31215</v>
      </c>
      <c r="C14486" t="s">
        <v>123</v>
      </c>
      <c r="G14486" t="s">
        <v>31216</v>
      </c>
      <c r="H14486" t="s">
        <v>10773</v>
      </c>
      <c r="I14486" t="s">
        <v>662</v>
      </c>
      <c r="J14486" t="s">
        <v>31217</v>
      </c>
      <c r="K14486">
        <v>444</v>
      </c>
      <c r="L14486" t="s">
        <v>23</v>
      </c>
      <c r="M14486" t="s">
        <v>31216</v>
      </c>
      <c r="N14486" t="s">
        <v>10773</v>
      </c>
      <c r="O14486" t="s">
        <v>662</v>
      </c>
      <c r="P14486" t="s">
        <v>31217</v>
      </c>
      <c r="Q14486">
        <v>444</v>
      </c>
      <c r="R14486" t="s">
        <v>23</v>
      </c>
      <c r="S14486" s="1" t="s">
        <v>34218</v>
      </c>
    </row>
    <row r="14487" spans="1:19" x14ac:dyDescent="0.25">
      <c r="A14487">
        <v>101334949</v>
      </c>
      <c r="B14487" t="s">
        <v>31218</v>
      </c>
      <c r="C14487" t="s">
        <v>543</v>
      </c>
      <c r="G14487" t="s">
        <v>31219</v>
      </c>
      <c r="H14487" t="s">
        <v>28887</v>
      </c>
      <c r="I14487" t="s">
        <v>33</v>
      </c>
      <c r="J14487" t="s">
        <v>31220</v>
      </c>
      <c r="K14487">
        <v>7815</v>
      </c>
      <c r="L14487" t="s">
        <v>23</v>
      </c>
      <c r="M14487" t="s">
        <v>31219</v>
      </c>
      <c r="N14487" t="s">
        <v>28887</v>
      </c>
      <c r="O14487" t="s">
        <v>33</v>
      </c>
      <c r="P14487" t="s">
        <v>31220</v>
      </c>
      <c r="Q14487">
        <v>7815</v>
      </c>
      <c r="R14487" t="s">
        <v>23</v>
      </c>
      <c r="S14487" s="1" t="s">
        <v>34218</v>
      </c>
    </row>
    <row r="14488" spans="1:19" x14ac:dyDescent="0.25">
      <c r="A14488">
        <v>101220835</v>
      </c>
      <c r="B14488" t="s">
        <v>31221</v>
      </c>
      <c r="C14488" t="s">
        <v>3460</v>
      </c>
      <c r="G14488" t="s">
        <v>31222</v>
      </c>
      <c r="H14488" t="s">
        <v>5014</v>
      </c>
      <c r="I14488" t="s">
        <v>255</v>
      </c>
      <c r="J14488" t="s">
        <v>31223</v>
      </c>
      <c r="K14488">
        <v>1039</v>
      </c>
      <c r="L14488" t="s">
        <v>23</v>
      </c>
      <c r="M14488" t="s">
        <v>31222</v>
      </c>
      <c r="N14488" t="s">
        <v>5014</v>
      </c>
      <c r="O14488" t="s">
        <v>255</v>
      </c>
      <c r="P14488" t="s">
        <v>31223</v>
      </c>
      <c r="Q14488">
        <v>1039</v>
      </c>
      <c r="R14488" t="s">
        <v>23</v>
      </c>
      <c r="S14488" s="1" t="s">
        <v>34218</v>
      </c>
    </row>
    <row r="14489" spans="1:19" x14ac:dyDescent="0.25">
      <c r="A14489">
        <v>101426466</v>
      </c>
      <c r="B14489" t="s">
        <v>3927</v>
      </c>
      <c r="C14489" t="s">
        <v>894</v>
      </c>
      <c r="G14489" t="s">
        <v>31224</v>
      </c>
      <c r="H14489" t="s">
        <v>14686</v>
      </c>
      <c r="I14489" t="s">
        <v>250</v>
      </c>
      <c r="J14489" t="s">
        <v>31225</v>
      </c>
      <c r="K14489">
        <v>7675</v>
      </c>
      <c r="L14489" t="s">
        <v>23</v>
      </c>
      <c r="M14489" t="s">
        <v>31224</v>
      </c>
      <c r="N14489" t="s">
        <v>14686</v>
      </c>
      <c r="O14489" t="s">
        <v>250</v>
      </c>
      <c r="P14489" t="s">
        <v>31225</v>
      </c>
      <c r="Q14489">
        <v>7675</v>
      </c>
      <c r="R14489" t="s">
        <v>23</v>
      </c>
      <c r="S14489" s="1" t="s">
        <v>34218</v>
      </c>
    </row>
    <row r="14490" spans="1:19" x14ac:dyDescent="0.25">
      <c r="A14490">
        <v>101429495</v>
      </c>
      <c r="B14490" t="s">
        <v>31226</v>
      </c>
      <c r="C14490" t="s">
        <v>12120</v>
      </c>
      <c r="G14490" t="s">
        <v>31227</v>
      </c>
      <c r="H14490" t="s">
        <v>2178</v>
      </c>
      <c r="I14490" t="s">
        <v>28</v>
      </c>
      <c r="J14490" t="s">
        <v>31228</v>
      </c>
      <c r="K14490">
        <v>7937</v>
      </c>
      <c r="L14490" t="s">
        <v>23</v>
      </c>
      <c r="M14490" t="s">
        <v>31227</v>
      </c>
      <c r="N14490" t="s">
        <v>2178</v>
      </c>
      <c r="O14490" t="s">
        <v>28</v>
      </c>
      <c r="P14490" t="s">
        <v>31228</v>
      </c>
      <c r="Q14490">
        <v>7937</v>
      </c>
      <c r="R14490" t="s">
        <v>23</v>
      </c>
      <c r="S14490" s="1" t="s">
        <v>34218</v>
      </c>
    </row>
    <row r="14491" spans="1:19" x14ac:dyDescent="0.25">
      <c r="A14491">
        <v>101445857</v>
      </c>
      <c r="B14491" t="s">
        <v>31229</v>
      </c>
      <c r="C14491" t="s">
        <v>31230</v>
      </c>
      <c r="G14491" t="s">
        <v>31231</v>
      </c>
      <c r="H14491" t="s">
        <v>1318</v>
      </c>
      <c r="I14491" t="s">
        <v>22</v>
      </c>
      <c r="J14491" t="s">
        <v>31232</v>
      </c>
      <c r="K14491">
        <v>1332</v>
      </c>
      <c r="L14491" t="s">
        <v>23</v>
      </c>
      <c r="M14491" t="s">
        <v>31231</v>
      </c>
      <c r="N14491" t="s">
        <v>1318</v>
      </c>
      <c r="O14491" t="s">
        <v>22</v>
      </c>
      <c r="P14491" t="s">
        <v>31232</v>
      </c>
      <c r="Q14491">
        <v>1332</v>
      </c>
      <c r="R14491" t="s">
        <v>23</v>
      </c>
      <c r="S14491" s="1" t="s">
        <v>34218</v>
      </c>
    </row>
    <row r="14492" spans="1:19" x14ac:dyDescent="0.25">
      <c r="A14492">
        <v>101423344</v>
      </c>
      <c r="B14492" t="s">
        <v>10196</v>
      </c>
      <c r="C14492" t="s">
        <v>31233</v>
      </c>
      <c r="G14492" t="s">
        <v>31234</v>
      </c>
      <c r="H14492" t="s">
        <v>2859</v>
      </c>
      <c r="I14492" t="s">
        <v>33</v>
      </c>
      <c r="J14492" t="s">
        <v>31235</v>
      </c>
      <c r="K14492">
        <v>1440</v>
      </c>
      <c r="L14492" t="s">
        <v>23</v>
      </c>
      <c r="M14492" t="s">
        <v>31234</v>
      </c>
      <c r="N14492" t="s">
        <v>2859</v>
      </c>
      <c r="O14492" t="s">
        <v>33</v>
      </c>
      <c r="P14492" t="s">
        <v>31235</v>
      </c>
      <c r="Q14492">
        <v>1440</v>
      </c>
      <c r="R14492" t="s">
        <v>23</v>
      </c>
      <c r="S14492" s="1" t="s">
        <v>34218</v>
      </c>
    </row>
    <row r="14493" spans="1:19" x14ac:dyDescent="0.25">
      <c r="A14493">
        <v>100990076</v>
      </c>
      <c r="B14493" t="s">
        <v>31236</v>
      </c>
      <c r="C14493" t="s">
        <v>31237</v>
      </c>
      <c r="G14493" t="s">
        <v>31238</v>
      </c>
      <c r="H14493" t="s">
        <v>227</v>
      </c>
      <c r="I14493" t="s">
        <v>43</v>
      </c>
      <c r="J14493" t="s">
        <v>31239</v>
      </c>
      <c r="K14493">
        <v>4744</v>
      </c>
      <c r="L14493" t="s">
        <v>23</v>
      </c>
      <c r="M14493" t="s">
        <v>31238</v>
      </c>
      <c r="N14493" t="s">
        <v>227</v>
      </c>
      <c r="O14493" t="s">
        <v>43</v>
      </c>
      <c r="P14493" t="s">
        <v>31239</v>
      </c>
      <c r="Q14493">
        <v>4744</v>
      </c>
      <c r="R14493" t="s">
        <v>23</v>
      </c>
      <c r="S14493" s="1" t="s">
        <v>34218</v>
      </c>
    </row>
    <row r="14494" spans="1:19" x14ac:dyDescent="0.25">
      <c r="A14494">
        <v>101427174</v>
      </c>
      <c r="B14494" t="s">
        <v>31240</v>
      </c>
      <c r="C14494" t="s">
        <v>30</v>
      </c>
      <c r="G14494" t="s">
        <v>31241</v>
      </c>
      <c r="H14494" t="s">
        <v>1193</v>
      </c>
      <c r="I14494" t="s">
        <v>126</v>
      </c>
      <c r="J14494" t="s">
        <v>31242</v>
      </c>
      <c r="K14494">
        <v>4026</v>
      </c>
      <c r="L14494" t="s">
        <v>23</v>
      </c>
      <c r="M14494" t="s">
        <v>31241</v>
      </c>
      <c r="N14494" t="s">
        <v>1193</v>
      </c>
      <c r="O14494" t="s">
        <v>126</v>
      </c>
      <c r="P14494" t="s">
        <v>31242</v>
      </c>
      <c r="Q14494">
        <v>4026</v>
      </c>
      <c r="R14494" t="s">
        <v>23</v>
      </c>
      <c r="S14494" s="1" t="s">
        <v>34218</v>
      </c>
    </row>
    <row r="14495" spans="1:19" x14ac:dyDescent="0.25">
      <c r="A14495">
        <v>100667732</v>
      </c>
      <c r="B14495" t="s">
        <v>31243</v>
      </c>
      <c r="C14495" t="s">
        <v>410</v>
      </c>
      <c r="G14495" t="s">
        <v>31244</v>
      </c>
      <c r="H14495" t="s">
        <v>682</v>
      </c>
      <c r="I14495" t="s">
        <v>365</v>
      </c>
      <c r="J14495" t="s">
        <v>31245</v>
      </c>
      <c r="K14495">
        <v>3984</v>
      </c>
      <c r="L14495" t="s">
        <v>23</v>
      </c>
      <c r="M14495" t="s">
        <v>31244</v>
      </c>
      <c r="N14495" t="s">
        <v>682</v>
      </c>
      <c r="O14495" t="s">
        <v>365</v>
      </c>
      <c r="P14495" t="s">
        <v>31245</v>
      </c>
      <c r="Q14495">
        <v>3984</v>
      </c>
      <c r="R14495" t="s">
        <v>23</v>
      </c>
      <c r="S14495" s="1" t="s">
        <v>34218</v>
      </c>
    </row>
    <row r="14496" spans="1:19" x14ac:dyDescent="0.25">
      <c r="A14496">
        <v>101423636</v>
      </c>
      <c r="B14496" t="s">
        <v>654</v>
      </c>
      <c r="C14496" t="s">
        <v>313</v>
      </c>
      <c r="G14496" t="s">
        <v>31246</v>
      </c>
      <c r="H14496" t="s">
        <v>13522</v>
      </c>
      <c r="I14496" t="s">
        <v>33</v>
      </c>
      <c r="J14496" t="s">
        <v>31247</v>
      </c>
      <c r="K14496">
        <v>3128</v>
      </c>
      <c r="L14496" t="s">
        <v>23</v>
      </c>
      <c r="M14496" t="s">
        <v>31246</v>
      </c>
      <c r="N14496" t="s">
        <v>13522</v>
      </c>
      <c r="O14496" t="s">
        <v>33</v>
      </c>
      <c r="P14496" t="s">
        <v>31247</v>
      </c>
      <c r="Q14496">
        <v>3128</v>
      </c>
      <c r="R14496" t="s">
        <v>23</v>
      </c>
      <c r="S14496" s="1" t="s">
        <v>34218</v>
      </c>
    </row>
    <row r="14497" spans="1:19" x14ac:dyDescent="0.25">
      <c r="A14497">
        <v>101138129</v>
      </c>
      <c r="B14497" t="s">
        <v>31248</v>
      </c>
      <c r="C14497" t="s">
        <v>535</v>
      </c>
      <c r="G14497" t="s">
        <v>31249</v>
      </c>
      <c r="H14497" t="s">
        <v>31250</v>
      </c>
      <c r="I14497" t="s">
        <v>255</v>
      </c>
      <c r="J14497">
        <v>22712</v>
      </c>
      <c r="L14497" t="s">
        <v>23</v>
      </c>
      <c r="M14497" t="s">
        <v>31249</v>
      </c>
      <c r="N14497" t="s">
        <v>31250</v>
      </c>
      <c r="O14497" t="s">
        <v>255</v>
      </c>
      <c r="P14497">
        <v>22712</v>
      </c>
      <c r="R14497" t="s">
        <v>23</v>
      </c>
      <c r="S14497" s="1" t="s">
        <v>34218</v>
      </c>
    </row>
    <row r="14498" spans="1:19" x14ac:dyDescent="0.25">
      <c r="A14498">
        <v>101445956</v>
      </c>
      <c r="B14498" t="s">
        <v>31251</v>
      </c>
      <c r="C14498" t="s">
        <v>2329</v>
      </c>
      <c r="G14498" t="s">
        <v>31252</v>
      </c>
      <c r="H14498" t="s">
        <v>121</v>
      </c>
      <c r="I14498" t="s">
        <v>22</v>
      </c>
      <c r="J14498" t="s">
        <v>31253</v>
      </c>
      <c r="K14498">
        <v>9197</v>
      </c>
      <c r="L14498" t="s">
        <v>23</v>
      </c>
      <c r="M14498" t="s">
        <v>31252</v>
      </c>
      <c r="N14498" t="s">
        <v>121</v>
      </c>
      <c r="O14498" t="s">
        <v>22</v>
      </c>
      <c r="P14498" t="s">
        <v>31253</v>
      </c>
      <c r="Q14498">
        <v>9197</v>
      </c>
      <c r="R14498" t="s">
        <v>23</v>
      </c>
      <c r="S14498" s="1" t="s">
        <v>34218</v>
      </c>
    </row>
    <row r="14499" spans="1:19" x14ac:dyDescent="0.25">
      <c r="A14499">
        <v>101419338</v>
      </c>
      <c r="B14499" t="s">
        <v>29983</v>
      </c>
      <c r="C14499" t="s">
        <v>1374</v>
      </c>
      <c r="G14499" t="s">
        <v>31254</v>
      </c>
      <c r="H14499" t="s">
        <v>31255</v>
      </c>
      <c r="I14499" t="s">
        <v>187</v>
      </c>
      <c r="J14499" t="s">
        <v>31256</v>
      </c>
      <c r="K14499">
        <v>9608</v>
      </c>
      <c r="L14499" t="s">
        <v>23</v>
      </c>
      <c r="M14499" t="s">
        <v>31254</v>
      </c>
      <c r="N14499" t="s">
        <v>31255</v>
      </c>
      <c r="O14499" t="s">
        <v>187</v>
      </c>
      <c r="P14499" t="s">
        <v>31256</v>
      </c>
      <c r="Q14499">
        <v>9608</v>
      </c>
      <c r="R14499" t="s">
        <v>23</v>
      </c>
      <c r="S14499" s="1" t="s">
        <v>34218</v>
      </c>
    </row>
    <row r="14500" spans="1:19" x14ac:dyDescent="0.25">
      <c r="A14500">
        <v>100808403</v>
      </c>
      <c r="B14500" t="s">
        <v>31257</v>
      </c>
      <c r="C14500" t="s">
        <v>31258</v>
      </c>
      <c r="G14500" t="s">
        <v>31259</v>
      </c>
      <c r="H14500" t="s">
        <v>10619</v>
      </c>
      <c r="I14500" t="s">
        <v>84</v>
      </c>
      <c r="J14500">
        <v>98155</v>
      </c>
      <c r="K14500">
        <v>7038</v>
      </c>
      <c r="L14500" t="s">
        <v>23</v>
      </c>
      <c r="M14500" t="s">
        <v>31259</v>
      </c>
      <c r="N14500" t="s">
        <v>10619</v>
      </c>
      <c r="O14500" t="s">
        <v>84</v>
      </c>
      <c r="P14500">
        <v>98155</v>
      </c>
      <c r="Q14500">
        <v>7038</v>
      </c>
      <c r="R14500" t="s">
        <v>23</v>
      </c>
      <c r="S14500" s="1" t="s">
        <v>34218</v>
      </c>
    </row>
    <row r="14501" spans="1:19" x14ac:dyDescent="0.25">
      <c r="A14501">
        <v>101004153</v>
      </c>
      <c r="B14501" t="s">
        <v>15012</v>
      </c>
      <c r="C14501" t="s">
        <v>11192</v>
      </c>
      <c r="G14501" t="s">
        <v>31260</v>
      </c>
      <c r="H14501" t="s">
        <v>4514</v>
      </c>
      <c r="I14501" t="s">
        <v>914</v>
      </c>
      <c r="J14501">
        <v>37334</v>
      </c>
      <c r="K14501">
        <v>1072</v>
      </c>
      <c r="L14501" t="s">
        <v>23</v>
      </c>
      <c r="M14501" t="s">
        <v>31260</v>
      </c>
      <c r="N14501" t="s">
        <v>4514</v>
      </c>
      <c r="O14501" t="s">
        <v>914</v>
      </c>
      <c r="P14501">
        <v>37334</v>
      </c>
      <c r="Q14501">
        <v>1072</v>
      </c>
      <c r="R14501" t="s">
        <v>23</v>
      </c>
      <c r="S14501" s="1" t="s">
        <v>34218</v>
      </c>
    </row>
    <row r="14502" spans="1:19" x14ac:dyDescent="0.25">
      <c r="A14502">
        <v>101465877</v>
      </c>
      <c r="B14502" t="s">
        <v>31261</v>
      </c>
      <c r="C14502" t="s">
        <v>554</v>
      </c>
      <c r="G14502" t="s">
        <v>31262</v>
      </c>
      <c r="H14502" t="s">
        <v>47</v>
      </c>
      <c r="I14502" t="s">
        <v>250</v>
      </c>
      <c r="J14502">
        <v>8055</v>
      </c>
      <c r="K14502">
        <v>8942</v>
      </c>
      <c r="L14502" t="s">
        <v>23</v>
      </c>
      <c r="M14502" t="s">
        <v>31262</v>
      </c>
      <c r="N14502" t="s">
        <v>47</v>
      </c>
      <c r="O14502" t="s">
        <v>250</v>
      </c>
      <c r="P14502">
        <v>8055</v>
      </c>
      <c r="Q14502">
        <v>8942</v>
      </c>
      <c r="R14502" t="s">
        <v>23</v>
      </c>
      <c r="S14502" s="1" t="s">
        <v>34218</v>
      </c>
    </row>
    <row r="14503" spans="1:19" x14ac:dyDescent="0.25">
      <c r="A14503">
        <v>101481124</v>
      </c>
      <c r="B14503" t="s">
        <v>31263</v>
      </c>
      <c r="C14503" t="s">
        <v>17838</v>
      </c>
      <c r="G14503" t="s">
        <v>31264</v>
      </c>
      <c r="H14503" t="s">
        <v>10220</v>
      </c>
      <c r="I14503" t="s">
        <v>126</v>
      </c>
      <c r="J14503">
        <v>63376</v>
      </c>
      <c r="K14503">
        <v>7925</v>
      </c>
      <c r="L14503" t="s">
        <v>23</v>
      </c>
      <c r="M14503" t="s">
        <v>31264</v>
      </c>
      <c r="N14503" t="s">
        <v>10220</v>
      </c>
      <c r="O14503" t="s">
        <v>126</v>
      </c>
      <c r="P14503">
        <v>63376</v>
      </c>
      <c r="Q14503">
        <v>7925</v>
      </c>
      <c r="R14503" t="s">
        <v>23</v>
      </c>
      <c r="S14503" s="1" t="s">
        <v>34218</v>
      </c>
    </row>
    <row r="14504" spans="1:19" x14ac:dyDescent="0.25">
      <c r="A14504">
        <v>101481130</v>
      </c>
      <c r="B14504" t="s">
        <v>31265</v>
      </c>
      <c r="C14504" t="s">
        <v>31266</v>
      </c>
      <c r="G14504" t="s">
        <v>31267</v>
      </c>
      <c r="H14504" t="s">
        <v>31268</v>
      </c>
      <c r="I14504" t="s">
        <v>43</v>
      </c>
      <c r="J14504">
        <v>5018</v>
      </c>
      <c r="L14504" t="s">
        <v>23</v>
      </c>
      <c r="M14504" t="s">
        <v>31267</v>
      </c>
      <c r="N14504" t="s">
        <v>31268</v>
      </c>
      <c r="O14504" t="s">
        <v>43</v>
      </c>
      <c r="P14504">
        <v>5018</v>
      </c>
      <c r="R14504" t="s">
        <v>23</v>
      </c>
      <c r="S14504" s="1" t="s">
        <v>34218</v>
      </c>
    </row>
    <row r="14505" spans="1:19" x14ac:dyDescent="0.25">
      <c r="A14505">
        <v>101476281</v>
      </c>
      <c r="B14505" t="s">
        <v>31269</v>
      </c>
      <c r="C14505" t="s">
        <v>403</v>
      </c>
      <c r="G14505" t="s">
        <v>31270</v>
      </c>
      <c r="H14505" t="s">
        <v>13967</v>
      </c>
      <c r="I14505" t="s">
        <v>1226</v>
      </c>
      <c r="J14505">
        <v>38655</v>
      </c>
      <c r="K14505">
        <v>2111</v>
      </c>
      <c r="L14505" t="s">
        <v>23</v>
      </c>
      <c r="M14505" t="s">
        <v>31270</v>
      </c>
      <c r="N14505" t="s">
        <v>13967</v>
      </c>
      <c r="O14505" t="s">
        <v>1226</v>
      </c>
      <c r="P14505">
        <v>38655</v>
      </c>
      <c r="Q14505">
        <v>2111</v>
      </c>
      <c r="R14505" t="s">
        <v>23</v>
      </c>
      <c r="S14505" s="1" t="s">
        <v>34218</v>
      </c>
    </row>
    <row r="14506" spans="1:19" x14ac:dyDescent="0.25">
      <c r="A14506">
        <v>101466301</v>
      </c>
      <c r="B14506" t="s">
        <v>31271</v>
      </c>
      <c r="C14506" t="s">
        <v>31272</v>
      </c>
      <c r="G14506" t="s">
        <v>31273</v>
      </c>
      <c r="H14506" t="s">
        <v>18224</v>
      </c>
      <c r="I14506" t="s">
        <v>22</v>
      </c>
      <c r="J14506">
        <v>91320</v>
      </c>
      <c r="K14506">
        <v>4952</v>
      </c>
      <c r="L14506" t="s">
        <v>23</v>
      </c>
      <c r="M14506" t="s">
        <v>31273</v>
      </c>
      <c r="N14506" t="s">
        <v>18224</v>
      </c>
      <c r="O14506" t="s">
        <v>22</v>
      </c>
      <c r="P14506">
        <v>91320</v>
      </c>
      <c r="Q14506">
        <v>4952</v>
      </c>
      <c r="R14506" t="s">
        <v>23</v>
      </c>
      <c r="S14506" s="1" t="s">
        <v>34218</v>
      </c>
    </row>
    <row r="14507" spans="1:19" x14ac:dyDescent="0.25">
      <c r="A14507">
        <v>101481144</v>
      </c>
      <c r="B14507" t="s">
        <v>31274</v>
      </c>
      <c r="C14507" t="s">
        <v>31275</v>
      </c>
      <c r="G14507" t="s">
        <v>31276</v>
      </c>
      <c r="H14507" t="s">
        <v>5820</v>
      </c>
      <c r="I14507" t="s">
        <v>22</v>
      </c>
      <c r="J14507">
        <v>92078</v>
      </c>
      <c r="K14507">
        <v>2824</v>
      </c>
      <c r="L14507" t="s">
        <v>23</v>
      </c>
      <c r="M14507" t="s">
        <v>31276</v>
      </c>
      <c r="N14507" t="s">
        <v>5820</v>
      </c>
      <c r="O14507" t="s">
        <v>22</v>
      </c>
      <c r="P14507">
        <v>92078</v>
      </c>
      <c r="Q14507">
        <v>2824</v>
      </c>
      <c r="R14507" t="s">
        <v>23</v>
      </c>
      <c r="S14507" s="1" t="s">
        <v>34218</v>
      </c>
    </row>
    <row r="14508" spans="1:19" x14ac:dyDescent="0.25">
      <c r="A14508">
        <v>101349959</v>
      </c>
      <c r="B14508" t="s">
        <v>626</v>
      </c>
      <c r="C14508" t="s">
        <v>6818</v>
      </c>
      <c r="G14508" t="s">
        <v>31277</v>
      </c>
      <c r="H14508" t="s">
        <v>31278</v>
      </c>
      <c r="I14508" t="s">
        <v>7839</v>
      </c>
      <c r="J14508">
        <v>58030</v>
      </c>
      <c r="L14508" t="s">
        <v>23</v>
      </c>
      <c r="M14508" t="s">
        <v>31277</v>
      </c>
      <c r="N14508" t="s">
        <v>31278</v>
      </c>
      <c r="O14508" t="s">
        <v>7839</v>
      </c>
      <c r="P14508">
        <v>58030</v>
      </c>
      <c r="R14508" t="s">
        <v>23</v>
      </c>
      <c r="S14508" s="1" t="s">
        <v>34218</v>
      </c>
    </row>
    <row r="14509" spans="1:19" x14ac:dyDescent="0.25">
      <c r="A14509">
        <v>101481148</v>
      </c>
      <c r="B14509" t="s">
        <v>2385</v>
      </c>
      <c r="C14509" t="s">
        <v>31279</v>
      </c>
      <c r="G14509" t="s">
        <v>31280</v>
      </c>
      <c r="H14509" t="s">
        <v>31281</v>
      </c>
      <c r="I14509" t="s">
        <v>1482</v>
      </c>
      <c r="J14509">
        <v>29907</v>
      </c>
      <c r="K14509">
        <v>2610</v>
      </c>
      <c r="L14509" t="s">
        <v>23</v>
      </c>
      <c r="M14509" t="s">
        <v>31280</v>
      </c>
      <c r="N14509" t="s">
        <v>31281</v>
      </c>
      <c r="O14509" t="s">
        <v>1482</v>
      </c>
      <c r="P14509">
        <v>29907</v>
      </c>
      <c r="Q14509">
        <v>2610</v>
      </c>
      <c r="R14509" t="s">
        <v>23</v>
      </c>
      <c r="S14509" s="1" t="s">
        <v>34218</v>
      </c>
    </row>
    <row r="14510" spans="1:19" x14ac:dyDescent="0.25">
      <c r="A14510">
        <v>101241364</v>
      </c>
      <c r="B14510" t="s">
        <v>31282</v>
      </c>
      <c r="C14510" t="s">
        <v>1542</v>
      </c>
      <c r="G14510" t="s">
        <v>31283</v>
      </c>
      <c r="H14510" t="s">
        <v>22149</v>
      </c>
      <c r="I14510" t="s">
        <v>135</v>
      </c>
      <c r="J14510">
        <v>62439</v>
      </c>
      <c r="L14510" t="s">
        <v>23</v>
      </c>
      <c r="M14510" t="s">
        <v>31283</v>
      </c>
      <c r="N14510" t="s">
        <v>22149</v>
      </c>
      <c r="O14510" t="s">
        <v>135</v>
      </c>
      <c r="P14510">
        <v>62439</v>
      </c>
      <c r="R14510" t="s">
        <v>23</v>
      </c>
      <c r="S14510" s="1" t="s">
        <v>34218</v>
      </c>
    </row>
    <row r="14511" spans="1:19" x14ac:dyDescent="0.25">
      <c r="A14511">
        <v>101435736</v>
      </c>
      <c r="B14511" t="s">
        <v>31284</v>
      </c>
      <c r="C14511" t="s">
        <v>40</v>
      </c>
      <c r="G14511" t="s">
        <v>31285</v>
      </c>
      <c r="H14511" t="s">
        <v>134</v>
      </c>
      <c r="I14511" t="s">
        <v>135</v>
      </c>
      <c r="J14511" t="s">
        <v>31286</v>
      </c>
      <c r="K14511">
        <v>6429</v>
      </c>
      <c r="L14511" t="s">
        <v>23</v>
      </c>
      <c r="M14511" t="s">
        <v>31285</v>
      </c>
      <c r="N14511" t="s">
        <v>134</v>
      </c>
      <c r="O14511" t="s">
        <v>135</v>
      </c>
      <c r="P14511" t="s">
        <v>31286</v>
      </c>
      <c r="Q14511">
        <v>6429</v>
      </c>
      <c r="R14511" t="s">
        <v>23</v>
      </c>
      <c r="S14511" s="1" t="s">
        <v>34218</v>
      </c>
    </row>
    <row r="14512" spans="1:19" x14ac:dyDescent="0.25">
      <c r="A14512">
        <v>101327109</v>
      </c>
      <c r="B14512" t="s">
        <v>31287</v>
      </c>
      <c r="C14512" t="s">
        <v>23925</v>
      </c>
      <c r="G14512" t="s">
        <v>31288</v>
      </c>
      <c r="H14512" t="s">
        <v>3798</v>
      </c>
      <c r="I14512" t="s">
        <v>71</v>
      </c>
      <c r="J14512" t="s">
        <v>31289</v>
      </c>
      <c r="K14512">
        <v>2119</v>
      </c>
      <c r="L14512" t="s">
        <v>23</v>
      </c>
      <c r="M14512" t="s">
        <v>31288</v>
      </c>
      <c r="N14512" t="s">
        <v>3798</v>
      </c>
      <c r="O14512" t="s">
        <v>71</v>
      </c>
      <c r="P14512" t="s">
        <v>31289</v>
      </c>
      <c r="Q14512">
        <v>2119</v>
      </c>
      <c r="R14512" t="s">
        <v>23</v>
      </c>
      <c r="S14512" s="1" t="s">
        <v>34218</v>
      </c>
    </row>
    <row r="14513" spans="1:19" x14ac:dyDescent="0.25">
      <c r="A14513">
        <v>101224282</v>
      </c>
      <c r="B14513" t="s">
        <v>9108</v>
      </c>
      <c r="C14513" t="s">
        <v>1327</v>
      </c>
      <c r="G14513" t="s">
        <v>31290</v>
      </c>
      <c r="H14513" t="s">
        <v>1402</v>
      </c>
      <c r="I14513" t="s">
        <v>38</v>
      </c>
      <c r="J14513" t="s">
        <v>31291</v>
      </c>
      <c r="K14513">
        <v>3527</v>
      </c>
      <c r="L14513" t="s">
        <v>23</v>
      </c>
      <c r="M14513" t="s">
        <v>31290</v>
      </c>
      <c r="N14513" t="s">
        <v>1402</v>
      </c>
      <c r="O14513" t="s">
        <v>38</v>
      </c>
      <c r="P14513" t="s">
        <v>31291</v>
      </c>
      <c r="Q14513">
        <v>3527</v>
      </c>
      <c r="R14513" t="s">
        <v>23</v>
      </c>
      <c r="S14513" s="1" t="s">
        <v>34218</v>
      </c>
    </row>
    <row r="14514" spans="1:19" x14ac:dyDescent="0.25">
      <c r="A14514">
        <v>101423350</v>
      </c>
      <c r="B14514" t="s">
        <v>1726</v>
      </c>
      <c r="C14514" t="s">
        <v>28288</v>
      </c>
      <c r="G14514" t="s">
        <v>31292</v>
      </c>
      <c r="H14514" t="s">
        <v>4255</v>
      </c>
      <c r="I14514" t="s">
        <v>135</v>
      </c>
      <c r="J14514" t="s">
        <v>31293</v>
      </c>
      <c r="K14514">
        <v>2156</v>
      </c>
      <c r="L14514" t="s">
        <v>23</v>
      </c>
      <c r="M14514" t="s">
        <v>31292</v>
      </c>
      <c r="N14514" t="s">
        <v>4255</v>
      </c>
      <c r="O14514" t="s">
        <v>135</v>
      </c>
      <c r="P14514" t="s">
        <v>31293</v>
      </c>
      <c r="Q14514">
        <v>2156</v>
      </c>
      <c r="R14514" t="s">
        <v>23</v>
      </c>
      <c r="S14514" s="1" t="s">
        <v>34218</v>
      </c>
    </row>
    <row r="14515" spans="1:19" x14ac:dyDescent="0.25">
      <c r="A14515">
        <v>101445798</v>
      </c>
      <c r="B14515" t="s">
        <v>6658</v>
      </c>
      <c r="C14515" t="s">
        <v>102</v>
      </c>
      <c r="G14515" t="s">
        <v>31294</v>
      </c>
      <c r="H14515" t="s">
        <v>521</v>
      </c>
      <c r="I14515" t="s">
        <v>100</v>
      </c>
      <c r="J14515" t="s">
        <v>31295</v>
      </c>
      <c r="K14515">
        <v>7138</v>
      </c>
      <c r="L14515" t="s">
        <v>23</v>
      </c>
      <c r="M14515" t="s">
        <v>31294</v>
      </c>
      <c r="N14515" t="s">
        <v>521</v>
      </c>
      <c r="O14515" t="s">
        <v>100</v>
      </c>
      <c r="P14515" t="s">
        <v>31295</v>
      </c>
      <c r="Q14515">
        <v>7138</v>
      </c>
      <c r="R14515" t="s">
        <v>23</v>
      </c>
      <c r="S14515" s="1" t="s">
        <v>34218</v>
      </c>
    </row>
    <row r="14516" spans="1:19" x14ac:dyDescent="0.25">
      <c r="A14516">
        <v>101439055</v>
      </c>
      <c r="B14516" t="s">
        <v>1204</v>
      </c>
      <c r="C14516" t="s">
        <v>2127</v>
      </c>
      <c r="G14516" t="s">
        <v>31296</v>
      </c>
      <c r="H14516" t="s">
        <v>169</v>
      </c>
      <c r="I14516" t="s">
        <v>170</v>
      </c>
      <c r="J14516" t="s">
        <v>31297</v>
      </c>
      <c r="K14516">
        <v>1429</v>
      </c>
      <c r="L14516" t="s">
        <v>23</v>
      </c>
      <c r="M14516" t="s">
        <v>31296</v>
      </c>
      <c r="N14516" t="s">
        <v>169</v>
      </c>
      <c r="O14516" t="s">
        <v>170</v>
      </c>
      <c r="P14516" t="s">
        <v>31297</v>
      </c>
      <c r="Q14516">
        <v>1429</v>
      </c>
      <c r="R14516" t="s">
        <v>23</v>
      </c>
      <c r="S14516" s="1" t="s">
        <v>34218</v>
      </c>
    </row>
    <row r="14517" spans="1:19" x14ac:dyDescent="0.25">
      <c r="A14517">
        <v>101433883</v>
      </c>
      <c r="B14517" t="s">
        <v>31298</v>
      </c>
      <c r="C14517" t="s">
        <v>1036</v>
      </c>
      <c r="G14517" t="s">
        <v>31299</v>
      </c>
      <c r="H14517" t="s">
        <v>16651</v>
      </c>
      <c r="I14517" t="s">
        <v>236</v>
      </c>
      <c r="J14517" t="s">
        <v>31300</v>
      </c>
      <c r="K14517">
        <v>1653</v>
      </c>
      <c r="L14517" t="s">
        <v>23</v>
      </c>
      <c r="M14517" t="s">
        <v>31299</v>
      </c>
      <c r="N14517" t="s">
        <v>16651</v>
      </c>
      <c r="O14517" t="s">
        <v>236</v>
      </c>
      <c r="P14517" t="s">
        <v>31300</v>
      </c>
      <c r="Q14517">
        <v>1653</v>
      </c>
      <c r="R14517" t="s">
        <v>23</v>
      </c>
      <c r="S14517" s="1" t="s">
        <v>34218</v>
      </c>
    </row>
    <row r="14518" spans="1:19" x14ac:dyDescent="0.25">
      <c r="A14518">
        <v>101266143</v>
      </c>
      <c r="B14518" t="s">
        <v>16169</v>
      </c>
      <c r="C14518" t="s">
        <v>114</v>
      </c>
      <c r="G14518" t="s">
        <v>31301</v>
      </c>
      <c r="H14518" t="s">
        <v>31302</v>
      </c>
      <c r="I14518" t="s">
        <v>353</v>
      </c>
      <c r="J14518" t="s">
        <v>31303</v>
      </c>
      <c r="K14518">
        <v>3654</v>
      </c>
      <c r="L14518" t="s">
        <v>23</v>
      </c>
      <c r="M14518" t="s">
        <v>31301</v>
      </c>
      <c r="N14518" t="s">
        <v>31302</v>
      </c>
      <c r="O14518" t="s">
        <v>353</v>
      </c>
      <c r="P14518" t="s">
        <v>31303</v>
      </c>
      <c r="Q14518">
        <v>3654</v>
      </c>
      <c r="R14518" t="s">
        <v>23</v>
      </c>
      <c r="S14518" s="1" t="s">
        <v>34218</v>
      </c>
    </row>
    <row r="14519" spans="1:19" x14ac:dyDescent="0.25">
      <c r="A14519">
        <v>101184907</v>
      </c>
      <c r="B14519" t="s">
        <v>1176</v>
      </c>
      <c r="C14519" t="s">
        <v>600</v>
      </c>
      <c r="G14519" t="s">
        <v>31304</v>
      </c>
      <c r="H14519" t="s">
        <v>20530</v>
      </c>
      <c r="I14519" t="s">
        <v>38</v>
      </c>
      <c r="J14519" t="s">
        <v>31305</v>
      </c>
      <c r="K14519">
        <v>8189</v>
      </c>
      <c r="L14519" t="s">
        <v>23</v>
      </c>
      <c r="M14519" t="s">
        <v>31304</v>
      </c>
      <c r="N14519" t="s">
        <v>20530</v>
      </c>
      <c r="O14519" t="s">
        <v>38</v>
      </c>
      <c r="P14519" t="s">
        <v>31305</v>
      </c>
      <c r="Q14519">
        <v>8189</v>
      </c>
      <c r="R14519" t="s">
        <v>23</v>
      </c>
      <c r="S14519" s="1" t="s">
        <v>34218</v>
      </c>
    </row>
    <row r="14520" spans="1:19" x14ac:dyDescent="0.25">
      <c r="A14520">
        <v>101421471</v>
      </c>
      <c r="B14520" t="s">
        <v>31306</v>
      </c>
      <c r="C14520" t="s">
        <v>21986</v>
      </c>
      <c r="G14520" t="s">
        <v>31307</v>
      </c>
      <c r="H14520" t="s">
        <v>12586</v>
      </c>
      <c r="I14520" t="s">
        <v>22</v>
      </c>
      <c r="J14520" t="s">
        <v>31308</v>
      </c>
      <c r="K14520">
        <v>5821</v>
      </c>
      <c r="L14520" t="s">
        <v>23</v>
      </c>
      <c r="M14520" t="s">
        <v>31307</v>
      </c>
      <c r="N14520" t="s">
        <v>12586</v>
      </c>
      <c r="O14520" t="s">
        <v>22</v>
      </c>
      <c r="P14520" t="s">
        <v>31308</v>
      </c>
      <c r="Q14520">
        <v>5821</v>
      </c>
      <c r="R14520" t="s">
        <v>23</v>
      </c>
      <c r="S14520" s="1" t="s">
        <v>34218</v>
      </c>
    </row>
    <row r="14521" spans="1:19" x14ac:dyDescent="0.25">
      <c r="A14521">
        <v>101303436</v>
      </c>
      <c r="B14521" t="s">
        <v>31309</v>
      </c>
      <c r="C14521" t="s">
        <v>9026</v>
      </c>
      <c r="G14521" t="s">
        <v>31310</v>
      </c>
      <c r="H14521" t="s">
        <v>653</v>
      </c>
      <c r="I14521" t="s">
        <v>117</v>
      </c>
      <c r="J14521" t="s">
        <v>31311</v>
      </c>
      <c r="K14521">
        <v>9404</v>
      </c>
      <c r="L14521" t="s">
        <v>23</v>
      </c>
      <c r="M14521" t="s">
        <v>31310</v>
      </c>
      <c r="N14521" t="s">
        <v>653</v>
      </c>
      <c r="O14521" t="s">
        <v>117</v>
      </c>
      <c r="P14521" t="s">
        <v>31311</v>
      </c>
      <c r="Q14521">
        <v>9404</v>
      </c>
      <c r="R14521" t="s">
        <v>23</v>
      </c>
      <c r="S14521" s="1" t="s">
        <v>34218</v>
      </c>
    </row>
    <row r="14522" spans="1:19" x14ac:dyDescent="0.25">
      <c r="A14522">
        <v>101446020</v>
      </c>
      <c r="B14522" t="s">
        <v>16494</v>
      </c>
      <c r="C14522" t="s">
        <v>180</v>
      </c>
      <c r="G14522" t="s">
        <v>31312</v>
      </c>
      <c r="H14522" t="s">
        <v>869</v>
      </c>
      <c r="I14522" t="s">
        <v>52</v>
      </c>
      <c r="J14522" t="s">
        <v>31313</v>
      </c>
      <c r="K14522">
        <v>4639</v>
      </c>
      <c r="L14522" t="s">
        <v>23</v>
      </c>
      <c r="M14522" t="s">
        <v>31312</v>
      </c>
      <c r="N14522" t="s">
        <v>869</v>
      </c>
      <c r="O14522" t="s">
        <v>52</v>
      </c>
      <c r="P14522" t="s">
        <v>31313</v>
      </c>
      <c r="Q14522">
        <v>4639</v>
      </c>
      <c r="R14522" t="s">
        <v>23</v>
      </c>
      <c r="S14522" s="1" t="s">
        <v>34218</v>
      </c>
    </row>
    <row r="14523" spans="1:19" x14ac:dyDescent="0.25">
      <c r="A14523">
        <v>101357681</v>
      </c>
      <c r="B14523" t="s">
        <v>1671</v>
      </c>
      <c r="C14523" t="s">
        <v>31314</v>
      </c>
      <c r="G14523" t="s">
        <v>31315</v>
      </c>
      <c r="H14523" t="s">
        <v>4819</v>
      </c>
      <c r="I14523" t="s">
        <v>565</v>
      </c>
      <c r="J14523" t="s">
        <v>31316</v>
      </c>
      <c r="K14523">
        <v>13</v>
      </c>
      <c r="L14523" t="s">
        <v>23</v>
      </c>
      <c r="M14523" t="s">
        <v>31315</v>
      </c>
      <c r="N14523" t="s">
        <v>4819</v>
      </c>
      <c r="O14523" t="s">
        <v>565</v>
      </c>
      <c r="P14523" t="s">
        <v>31316</v>
      </c>
      <c r="Q14523">
        <v>13</v>
      </c>
      <c r="R14523" t="s">
        <v>23</v>
      </c>
      <c r="S14523" s="1" t="s">
        <v>34218</v>
      </c>
    </row>
    <row r="14524" spans="1:19" x14ac:dyDescent="0.25">
      <c r="A14524">
        <v>100587560</v>
      </c>
      <c r="B14524" t="s">
        <v>15569</v>
      </c>
      <c r="C14524" t="s">
        <v>5868</v>
      </c>
      <c r="G14524" t="s">
        <v>31317</v>
      </c>
      <c r="H14524" t="s">
        <v>1775</v>
      </c>
      <c r="I14524" t="s">
        <v>178</v>
      </c>
      <c r="J14524">
        <v>44406</v>
      </c>
      <c r="L14524" t="s">
        <v>23</v>
      </c>
      <c r="M14524" t="s">
        <v>31317</v>
      </c>
      <c r="N14524" t="s">
        <v>1775</v>
      </c>
      <c r="O14524" t="s">
        <v>178</v>
      </c>
      <c r="P14524">
        <v>44406</v>
      </c>
      <c r="R14524" t="s">
        <v>23</v>
      </c>
      <c r="S14524" s="1" t="s">
        <v>34218</v>
      </c>
    </row>
    <row r="14525" spans="1:19" x14ac:dyDescent="0.25">
      <c r="A14525">
        <v>101421007</v>
      </c>
      <c r="B14525" t="s">
        <v>31318</v>
      </c>
      <c r="C14525" t="s">
        <v>406</v>
      </c>
      <c r="G14525" t="s">
        <v>31319</v>
      </c>
      <c r="H14525" t="s">
        <v>369</v>
      </c>
      <c r="I14525" t="s">
        <v>370</v>
      </c>
      <c r="J14525">
        <v>68506</v>
      </c>
      <c r="K14525">
        <v>3758</v>
      </c>
      <c r="L14525" t="s">
        <v>23</v>
      </c>
      <c r="M14525" t="s">
        <v>31319</v>
      </c>
      <c r="N14525" t="s">
        <v>369</v>
      </c>
      <c r="O14525" t="s">
        <v>370</v>
      </c>
      <c r="P14525">
        <v>68506</v>
      </c>
      <c r="Q14525">
        <v>3758</v>
      </c>
      <c r="R14525" t="s">
        <v>23</v>
      </c>
      <c r="S14525" s="1" t="s">
        <v>34218</v>
      </c>
    </row>
    <row r="14526" spans="1:19" x14ac:dyDescent="0.25">
      <c r="A14526">
        <v>100733369</v>
      </c>
      <c r="B14526" t="s">
        <v>6376</v>
      </c>
      <c r="C14526" t="s">
        <v>31320</v>
      </c>
      <c r="G14526" t="s">
        <v>31321</v>
      </c>
      <c r="H14526" t="s">
        <v>27</v>
      </c>
      <c r="I14526" t="s">
        <v>28</v>
      </c>
      <c r="J14526">
        <v>30338</v>
      </c>
      <c r="L14526" t="s">
        <v>23</v>
      </c>
      <c r="M14526" t="s">
        <v>31321</v>
      </c>
      <c r="N14526" t="s">
        <v>27</v>
      </c>
      <c r="O14526" t="s">
        <v>28</v>
      </c>
      <c r="P14526">
        <v>30338</v>
      </c>
      <c r="R14526" t="s">
        <v>23</v>
      </c>
      <c r="S14526" s="1" t="s">
        <v>34218</v>
      </c>
    </row>
    <row r="14527" spans="1:19" x14ac:dyDescent="0.25">
      <c r="A14527">
        <v>101446384</v>
      </c>
      <c r="B14527" t="s">
        <v>7428</v>
      </c>
      <c r="C14527" t="s">
        <v>3518</v>
      </c>
      <c r="G14527" t="s">
        <v>31322</v>
      </c>
      <c r="H14527" t="s">
        <v>1229</v>
      </c>
      <c r="I14527" t="s">
        <v>38</v>
      </c>
      <c r="J14527">
        <v>78254</v>
      </c>
      <c r="K14527">
        <v>2401</v>
      </c>
      <c r="L14527" t="s">
        <v>23</v>
      </c>
      <c r="M14527" t="s">
        <v>31322</v>
      </c>
      <c r="N14527" t="s">
        <v>1229</v>
      </c>
      <c r="O14527" t="s">
        <v>38</v>
      </c>
      <c r="P14527">
        <v>78254</v>
      </c>
      <c r="Q14527">
        <v>2401</v>
      </c>
      <c r="R14527" t="s">
        <v>23</v>
      </c>
      <c r="S14527" s="1" t="s">
        <v>34218</v>
      </c>
    </row>
    <row r="14528" spans="1:19" x14ac:dyDescent="0.25">
      <c r="A14528">
        <v>101427304</v>
      </c>
      <c r="B14528" t="s">
        <v>31323</v>
      </c>
      <c r="C14528" t="s">
        <v>221</v>
      </c>
      <c r="G14528" t="s">
        <v>31324</v>
      </c>
      <c r="H14528" t="s">
        <v>858</v>
      </c>
      <c r="I14528" t="s">
        <v>22</v>
      </c>
      <c r="J14528">
        <v>94553</v>
      </c>
      <c r="K14528">
        <v>3052</v>
      </c>
      <c r="L14528" t="s">
        <v>23</v>
      </c>
      <c r="M14528" t="s">
        <v>31324</v>
      </c>
      <c r="N14528" t="s">
        <v>858</v>
      </c>
      <c r="O14528" t="s">
        <v>22</v>
      </c>
      <c r="P14528">
        <v>94553</v>
      </c>
      <c r="Q14528">
        <v>3052</v>
      </c>
      <c r="R14528" t="s">
        <v>23</v>
      </c>
      <c r="S14528" s="1" t="s">
        <v>34218</v>
      </c>
    </row>
    <row r="14529" spans="1:19" x14ac:dyDescent="0.25">
      <c r="A14529">
        <v>101417169</v>
      </c>
      <c r="B14529" t="s">
        <v>31325</v>
      </c>
      <c r="C14529" t="s">
        <v>644</v>
      </c>
      <c r="G14529" t="s">
        <v>31326</v>
      </c>
      <c r="H14529" t="s">
        <v>227</v>
      </c>
      <c r="I14529" t="s">
        <v>43</v>
      </c>
      <c r="J14529">
        <v>97220</v>
      </c>
      <c r="K14529">
        <v>5144</v>
      </c>
      <c r="L14529" t="s">
        <v>23</v>
      </c>
      <c r="M14529" t="s">
        <v>31326</v>
      </c>
      <c r="N14529" t="s">
        <v>227</v>
      </c>
      <c r="O14529" t="s">
        <v>43</v>
      </c>
      <c r="P14529">
        <v>97220</v>
      </c>
      <c r="Q14529">
        <v>5144</v>
      </c>
      <c r="R14529" t="s">
        <v>23</v>
      </c>
      <c r="S14529" s="1" t="s">
        <v>34218</v>
      </c>
    </row>
    <row r="14530" spans="1:19" x14ac:dyDescent="0.25">
      <c r="A14530">
        <v>100843241</v>
      </c>
      <c r="B14530" t="s">
        <v>17756</v>
      </c>
      <c r="C14530" t="s">
        <v>1647</v>
      </c>
      <c r="G14530" t="s">
        <v>31327</v>
      </c>
      <c r="H14530" t="s">
        <v>3561</v>
      </c>
      <c r="I14530" t="s">
        <v>22</v>
      </c>
      <c r="J14530" t="s">
        <v>31328</v>
      </c>
      <c r="K14530">
        <v>2407</v>
      </c>
      <c r="L14530" t="s">
        <v>23</v>
      </c>
      <c r="M14530" t="s">
        <v>31327</v>
      </c>
      <c r="N14530" t="s">
        <v>3561</v>
      </c>
      <c r="O14530" t="s">
        <v>22</v>
      </c>
      <c r="P14530" t="s">
        <v>31328</v>
      </c>
      <c r="Q14530">
        <v>2407</v>
      </c>
      <c r="R14530" t="s">
        <v>23</v>
      </c>
      <c r="S14530" s="1" t="s">
        <v>34218</v>
      </c>
    </row>
    <row r="14531" spans="1:19" x14ac:dyDescent="0.25">
      <c r="A14531">
        <v>101439738</v>
      </c>
      <c r="B14531" t="s">
        <v>31329</v>
      </c>
      <c r="C14531" t="s">
        <v>49</v>
      </c>
      <c r="G14531" t="s">
        <v>31330</v>
      </c>
      <c r="H14531" t="s">
        <v>31331</v>
      </c>
      <c r="I14531" t="s">
        <v>236</v>
      </c>
      <c r="J14531" t="s">
        <v>31332</v>
      </c>
      <c r="K14531">
        <v>1514</v>
      </c>
      <c r="L14531" t="s">
        <v>23</v>
      </c>
      <c r="M14531" t="s">
        <v>31330</v>
      </c>
      <c r="N14531" t="s">
        <v>31331</v>
      </c>
      <c r="O14531" t="s">
        <v>236</v>
      </c>
      <c r="P14531" t="s">
        <v>31332</v>
      </c>
      <c r="Q14531">
        <v>1514</v>
      </c>
      <c r="R14531" t="s">
        <v>23</v>
      </c>
      <c r="S14531" s="1" t="s">
        <v>34218</v>
      </c>
    </row>
    <row r="14532" spans="1:19" x14ac:dyDescent="0.25">
      <c r="A14532">
        <v>101348922</v>
      </c>
      <c r="B14532" t="s">
        <v>3462</v>
      </c>
      <c r="C14532" t="s">
        <v>155</v>
      </c>
      <c r="G14532" t="s">
        <v>31333</v>
      </c>
      <c r="H14532" t="s">
        <v>6490</v>
      </c>
      <c r="I14532" t="s">
        <v>250</v>
      </c>
      <c r="J14532">
        <v>7063</v>
      </c>
      <c r="K14532">
        <v>1513</v>
      </c>
      <c r="L14532" t="s">
        <v>23</v>
      </c>
      <c r="M14532" t="s">
        <v>31333</v>
      </c>
      <c r="N14532" t="s">
        <v>6490</v>
      </c>
      <c r="O14532" t="s">
        <v>250</v>
      </c>
      <c r="P14532">
        <v>7063</v>
      </c>
      <c r="Q14532">
        <v>1513</v>
      </c>
      <c r="R14532" t="s">
        <v>23</v>
      </c>
      <c r="S14532" s="1" t="s">
        <v>34218</v>
      </c>
    </row>
    <row r="14533" spans="1:19" x14ac:dyDescent="0.25">
      <c r="A14533">
        <v>101442522</v>
      </c>
      <c r="B14533" t="s">
        <v>31334</v>
      </c>
      <c r="C14533" t="s">
        <v>1422</v>
      </c>
      <c r="G14533" t="s">
        <v>31335</v>
      </c>
      <c r="H14533" t="s">
        <v>2769</v>
      </c>
      <c r="I14533" t="s">
        <v>52</v>
      </c>
      <c r="J14533">
        <v>34102</v>
      </c>
      <c r="K14533">
        <v>7553</v>
      </c>
      <c r="L14533" t="s">
        <v>23</v>
      </c>
      <c r="M14533" t="s">
        <v>31335</v>
      </c>
      <c r="N14533" t="s">
        <v>2769</v>
      </c>
      <c r="O14533" t="s">
        <v>52</v>
      </c>
      <c r="P14533">
        <v>34102</v>
      </c>
      <c r="Q14533">
        <v>7553</v>
      </c>
      <c r="R14533" t="s">
        <v>23</v>
      </c>
      <c r="S14533" s="1" t="s">
        <v>34218</v>
      </c>
    </row>
    <row r="14534" spans="1:19" x14ac:dyDescent="0.25">
      <c r="A14534">
        <v>100717556</v>
      </c>
      <c r="B14534" t="s">
        <v>31336</v>
      </c>
      <c r="C14534" t="s">
        <v>3618</v>
      </c>
      <c r="G14534" t="s">
        <v>31337</v>
      </c>
      <c r="H14534" t="s">
        <v>12209</v>
      </c>
      <c r="I14534" t="s">
        <v>71</v>
      </c>
      <c r="J14534">
        <v>81612</v>
      </c>
      <c r="K14534">
        <v>5043</v>
      </c>
      <c r="L14534" t="s">
        <v>23</v>
      </c>
      <c r="M14534" t="s">
        <v>31337</v>
      </c>
      <c r="N14534" t="s">
        <v>12209</v>
      </c>
      <c r="O14534" t="s">
        <v>71</v>
      </c>
      <c r="P14534">
        <v>81612</v>
      </c>
      <c r="Q14534">
        <v>5043</v>
      </c>
      <c r="R14534" t="s">
        <v>23</v>
      </c>
      <c r="S14534" s="1" t="s">
        <v>34218</v>
      </c>
    </row>
    <row r="14535" spans="1:19" x14ac:dyDescent="0.25">
      <c r="A14535">
        <v>101249770</v>
      </c>
      <c r="B14535" t="s">
        <v>20178</v>
      </c>
      <c r="C14535" t="s">
        <v>286</v>
      </c>
      <c r="G14535" t="s">
        <v>31338</v>
      </c>
      <c r="H14535" t="s">
        <v>11980</v>
      </c>
      <c r="I14535" t="s">
        <v>43</v>
      </c>
      <c r="J14535">
        <v>97540</v>
      </c>
      <c r="L14535" t="s">
        <v>23</v>
      </c>
      <c r="M14535" t="s">
        <v>31338</v>
      </c>
      <c r="N14535" t="s">
        <v>11980</v>
      </c>
      <c r="O14535" t="s">
        <v>43</v>
      </c>
      <c r="P14535">
        <v>97540</v>
      </c>
      <c r="R14535" t="s">
        <v>23</v>
      </c>
      <c r="S14535" s="1" t="s">
        <v>34218</v>
      </c>
    </row>
    <row r="14536" spans="1:19" x14ac:dyDescent="0.25">
      <c r="A14536">
        <v>101304013</v>
      </c>
      <c r="B14536" t="s">
        <v>465</v>
      </c>
      <c r="C14536" t="s">
        <v>579</v>
      </c>
      <c r="G14536" t="s">
        <v>31339</v>
      </c>
      <c r="H14536" t="s">
        <v>1830</v>
      </c>
      <c r="I14536" t="s">
        <v>140</v>
      </c>
      <c r="J14536">
        <v>48219</v>
      </c>
      <c r="K14536">
        <v>3055</v>
      </c>
      <c r="L14536" t="s">
        <v>23</v>
      </c>
      <c r="M14536" t="s">
        <v>31339</v>
      </c>
      <c r="N14536" t="s">
        <v>1830</v>
      </c>
      <c r="O14536" t="s">
        <v>140</v>
      </c>
      <c r="P14536">
        <v>48219</v>
      </c>
      <c r="Q14536">
        <v>3055</v>
      </c>
      <c r="R14536" t="s">
        <v>23</v>
      </c>
      <c r="S14536" s="1" t="s">
        <v>34218</v>
      </c>
    </row>
    <row r="14537" spans="1:19" x14ac:dyDescent="0.25">
      <c r="A14537">
        <v>101285001</v>
      </c>
      <c r="B14537" t="s">
        <v>31340</v>
      </c>
      <c r="C14537" t="s">
        <v>10186</v>
      </c>
      <c r="G14537" t="s">
        <v>31341</v>
      </c>
      <c r="H14537" t="s">
        <v>3211</v>
      </c>
      <c r="I14537" t="s">
        <v>250</v>
      </c>
      <c r="J14537">
        <v>7960</v>
      </c>
      <c r="K14537">
        <v>6956</v>
      </c>
      <c r="L14537" t="s">
        <v>23</v>
      </c>
      <c r="M14537" t="s">
        <v>31341</v>
      </c>
      <c r="N14537" t="s">
        <v>3211</v>
      </c>
      <c r="O14537" t="s">
        <v>250</v>
      </c>
      <c r="P14537">
        <v>7960</v>
      </c>
      <c r="Q14537">
        <v>6956</v>
      </c>
      <c r="R14537" t="s">
        <v>23</v>
      </c>
      <c r="S14537" s="1" t="s">
        <v>34218</v>
      </c>
    </row>
    <row r="14538" spans="1:19" x14ac:dyDescent="0.25">
      <c r="A14538">
        <v>101432225</v>
      </c>
      <c r="B14538" t="s">
        <v>31342</v>
      </c>
      <c r="C14538" t="s">
        <v>2127</v>
      </c>
      <c r="G14538" t="s">
        <v>31343</v>
      </c>
      <c r="H14538" t="s">
        <v>2445</v>
      </c>
      <c r="I14538" t="s">
        <v>84</v>
      </c>
      <c r="J14538">
        <v>98166</v>
      </c>
      <c r="K14538">
        <v>2633</v>
      </c>
      <c r="L14538" t="s">
        <v>23</v>
      </c>
      <c r="M14538" t="s">
        <v>31343</v>
      </c>
      <c r="N14538" t="s">
        <v>2445</v>
      </c>
      <c r="O14538" t="s">
        <v>84</v>
      </c>
      <c r="P14538">
        <v>98166</v>
      </c>
      <c r="Q14538">
        <v>2633</v>
      </c>
      <c r="R14538" t="s">
        <v>23</v>
      </c>
      <c r="S14538" s="1" t="s">
        <v>34218</v>
      </c>
    </row>
    <row r="14539" spans="1:19" x14ac:dyDescent="0.25">
      <c r="A14539">
        <v>101450860</v>
      </c>
      <c r="B14539" t="s">
        <v>2891</v>
      </c>
      <c r="C14539" t="s">
        <v>329</v>
      </c>
      <c r="G14539" t="s">
        <v>31344</v>
      </c>
      <c r="H14539" t="s">
        <v>1060</v>
      </c>
      <c r="I14539" t="s">
        <v>22</v>
      </c>
      <c r="J14539">
        <v>93405</v>
      </c>
      <c r="K14539">
        <v>6341</v>
      </c>
      <c r="L14539" t="s">
        <v>23</v>
      </c>
      <c r="M14539" t="s">
        <v>31344</v>
      </c>
      <c r="N14539" t="s">
        <v>1060</v>
      </c>
      <c r="O14539" t="s">
        <v>22</v>
      </c>
      <c r="P14539">
        <v>93405</v>
      </c>
      <c r="Q14539">
        <v>6341</v>
      </c>
      <c r="R14539" t="s">
        <v>23</v>
      </c>
      <c r="S14539" s="1" t="s">
        <v>34218</v>
      </c>
    </row>
    <row r="14540" spans="1:19" x14ac:dyDescent="0.25">
      <c r="A14540">
        <v>101333169</v>
      </c>
      <c r="B14540" t="s">
        <v>31345</v>
      </c>
      <c r="C14540" t="s">
        <v>31346</v>
      </c>
      <c r="G14540" t="s">
        <v>31347</v>
      </c>
      <c r="H14540" t="s">
        <v>2218</v>
      </c>
      <c r="I14540" t="s">
        <v>161</v>
      </c>
      <c r="J14540" t="s">
        <v>31348</v>
      </c>
      <c r="K14540">
        <v>2556</v>
      </c>
      <c r="L14540" t="s">
        <v>23</v>
      </c>
      <c r="M14540" t="s">
        <v>31347</v>
      </c>
      <c r="N14540" t="s">
        <v>2218</v>
      </c>
      <c r="O14540" t="s">
        <v>161</v>
      </c>
      <c r="P14540" t="s">
        <v>31348</v>
      </c>
      <c r="Q14540">
        <v>2556</v>
      </c>
      <c r="R14540" t="s">
        <v>23</v>
      </c>
      <c r="S14540" s="1" t="s">
        <v>34218</v>
      </c>
    </row>
    <row r="14541" spans="1:19" x14ac:dyDescent="0.25">
      <c r="A14541">
        <v>101468479</v>
      </c>
      <c r="B14541" t="s">
        <v>744</v>
      </c>
      <c r="C14541" t="s">
        <v>1218</v>
      </c>
      <c r="G14541" t="s">
        <v>31349</v>
      </c>
      <c r="H14541" t="s">
        <v>393</v>
      </c>
      <c r="I14541" t="s">
        <v>71</v>
      </c>
      <c r="J14541">
        <v>80238</v>
      </c>
      <c r="K14541">
        <v>3461</v>
      </c>
      <c r="L14541" t="s">
        <v>23</v>
      </c>
      <c r="M14541" t="s">
        <v>31349</v>
      </c>
      <c r="N14541" t="s">
        <v>393</v>
      </c>
      <c r="O14541" t="s">
        <v>71</v>
      </c>
      <c r="P14541">
        <v>80238</v>
      </c>
      <c r="Q14541">
        <v>3461</v>
      </c>
      <c r="R14541" t="s">
        <v>23</v>
      </c>
      <c r="S14541" s="1" t="s">
        <v>34218</v>
      </c>
    </row>
    <row r="14542" spans="1:19" x14ac:dyDescent="0.25">
      <c r="A14542">
        <v>101469267</v>
      </c>
      <c r="B14542" t="s">
        <v>31350</v>
      </c>
      <c r="C14542" t="s">
        <v>1043</v>
      </c>
      <c r="G14542" t="s">
        <v>31351</v>
      </c>
      <c r="H14542" t="s">
        <v>14043</v>
      </c>
      <c r="I14542" t="s">
        <v>84</v>
      </c>
      <c r="J14542">
        <v>98275</v>
      </c>
      <c r="K14542">
        <v>4222</v>
      </c>
      <c r="L14542" t="s">
        <v>23</v>
      </c>
      <c r="M14542" t="s">
        <v>31351</v>
      </c>
      <c r="N14542" t="s">
        <v>14043</v>
      </c>
      <c r="O14542" t="s">
        <v>84</v>
      </c>
      <c r="P14542">
        <v>98275</v>
      </c>
      <c r="Q14542">
        <v>4222</v>
      </c>
      <c r="R14542" t="s">
        <v>23</v>
      </c>
      <c r="S14542" s="1" t="s">
        <v>34218</v>
      </c>
    </row>
    <row r="14543" spans="1:19" x14ac:dyDescent="0.25">
      <c r="A14543">
        <v>101112752</v>
      </c>
      <c r="B14543" t="s">
        <v>10558</v>
      </c>
      <c r="C14543" t="s">
        <v>251</v>
      </c>
      <c r="G14543" t="s">
        <v>31352</v>
      </c>
      <c r="H14543" t="s">
        <v>31353</v>
      </c>
      <c r="I14543" t="s">
        <v>22</v>
      </c>
      <c r="J14543">
        <v>92549</v>
      </c>
      <c r="L14543" t="s">
        <v>23</v>
      </c>
      <c r="M14543" t="s">
        <v>31352</v>
      </c>
      <c r="N14543" t="s">
        <v>31353</v>
      </c>
      <c r="O14543" t="s">
        <v>22</v>
      </c>
      <c r="P14543">
        <v>92549</v>
      </c>
      <c r="R14543" t="s">
        <v>23</v>
      </c>
      <c r="S14543" s="1" t="s">
        <v>34218</v>
      </c>
    </row>
    <row r="14544" spans="1:19" x14ac:dyDescent="0.25">
      <c r="A14544">
        <v>100870698</v>
      </c>
      <c r="B14544" t="s">
        <v>31354</v>
      </c>
      <c r="C14544" t="s">
        <v>81</v>
      </c>
      <c r="G14544" t="s">
        <v>31355</v>
      </c>
      <c r="H14544" t="s">
        <v>11984</v>
      </c>
      <c r="I14544" t="s">
        <v>43</v>
      </c>
      <c r="J14544">
        <v>97035</v>
      </c>
      <c r="K14544">
        <v>2404</v>
      </c>
      <c r="L14544" t="s">
        <v>23</v>
      </c>
      <c r="M14544" t="s">
        <v>31355</v>
      </c>
      <c r="N14544" t="s">
        <v>11984</v>
      </c>
      <c r="O14544" t="s">
        <v>43</v>
      </c>
      <c r="P14544">
        <v>97035</v>
      </c>
      <c r="Q14544">
        <v>2404</v>
      </c>
      <c r="R14544" t="s">
        <v>23</v>
      </c>
      <c r="S14544" s="1" t="s">
        <v>34218</v>
      </c>
    </row>
    <row r="14545" spans="1:19" x14ac:dyDescent="0.25">
      <c r="A14545">
        <v>101425884</v>
      </c>
      <c r="B14545" t="s">
        <v>734</v>
      </c>
      <c r="C14545" t="s">
        <v>31356</v>
      </c>
      <c r="G14545" t="s">
        <v>31357</v>
      </c>
      <c r="H14545" t="s">
        <v>198</v>
      </c>
      <c r="I14545" t="s">
        <v>22</v>
      </c>
      <c r="J14545">
        <v>92139</v>
      </c>
      <c r="K14545">
        <v>1505</v>
      </c>
      <c r="L14545" t="s">
        <v>23</v>
      </c>
      <c r="M14545" t="s">
        <v>31357</v>
      </c>
      <c r="N14545" t="s">
        <v>198</v>
      </c>
      <c r="O14545" t="s">
        <v>22</v>
      </c>
      <c r="P14545">
        <v>92139</v>
      </c>
      <c r="Q14545">
        <v>1505</v>
      </c>
      <c r="R14545" t="s">
        <v>23</v>
      </c>
      <c r="S14545" s="1" t="s">
        <v>34218</v>
      </c>
    </row>
    <row r="14546" spans="1:19" x14ac:dyDescent="0.25">
      <c r="A14546">
        <v>101450531</v>
      </c>
      <c r="B14546" t="s">
        <v>826</v>
      </c>
      <c r="C14546" t="s">
        <v>2401</v>
      </c>
      <c r="G14546" t="s">
        <v>31358</v>
      </c>
      <c r="H14546" t="s">
        <v>31359</v>
      </c>
      <c r="I14546" t="s">
        <v>140</v>
      </c>
      <c r="J14546">
        <v>49010</v>
      </c>
      <c r="K14546">
        <v>9047</v>
      </c>
      <c r="L14546" t="s">
        <v>23</v>
      </c>
      <c r="M14546" t="s">
        <v>31358</v>
      </c>
      <c r="N14546" t="s">
        <v>31359</v>
      </c>
      <c r="O14546" t="s">
        <v>140</v>
      </c>
      <c r="P14546">
        <v>49010</v>
      </c>
      <c r="Q14546">
        <v>9047</v>
      </c>
      <c r="R14546" t="s">
        <v>23</v>
      </c>
      <c r="S14546" s="1" t="s">
        <v>34218</v>
      </c>
    </row>
    <row r="14547" spans="1:19" x14ac:dyDescent="0.25">
      <c r="A14547">
        <v>101450473</v>
      </c>
      <c r="B14547" t="s">
        <v>31360</v>
      </c>
      <c r="C14547" t="s">
        <v>505</v>
      </c>
      <c r="G14547" t="s">
        <v>31361</v>
      </c>
      <c r="H14547" t="s">
        <v>31353</v>
      </c>
      <c r="I14547" t="s">
        <v>22</v>
      </c>
      <c r="J14547">
        <v>92549</v>
      </c>
      <c r="K14547">
        <v>1380</v>
      </c>
      <c r="L14547" t="s">
        <v>23</v>
      </c>
      <c r="M14547" t="s">
        <v>31361</v>
      </c>
      <c r="N14547" t="s">
        <v>31353</v>
      </c>
      <c r="O14547" t="s">
        <v>22</v>
      </c>
      <c r="P14547">
        <v>92549</v>
      </c>
      <c r="Q14547">
        <v>1380</v>
      </c>
      <c r="R14547" t="s">
        <v>23</v>
      </c>
      <c r="S14547" s="1" t="s">
        <v>34218</v>
      </c>
    </row>
    <row r="14548" spans="1:19" x14ac:dyDescent="0.25">
      <c r="A14548">
        <v>100650457</v>
      </c>
      <c r="B14548" t="s">
        <v>626</v>
      </c>
      <c r="C14548" t="s">
        <v>1350</v>
      </c>
      <c r="G14548" t="s">
        <v>31362</v>
      </c>
      <c r="H14548" t="s">
        <v>638</v>
      </c>
      <c r="I14548" t="s">
        <v>639</v>
      </c>
      <c r="J14548">
        <v>87110</v>
      </c>
      <c r="K14548">
        <v>1973</v>
      </c>
      <c r="L14548" t="s">
        <v>23</v>
      </c>
      <c r="M14548" t="s">
        <v>31362</v>
      </c>
      <c r="N14548" t="s">
        <v>638</v>
      </c>
      <c r="O14548" t="s">
        <v>639</v>
      </c>
      <c r="P14548">
        <v>87110</v>
      </c>
      <c r="Q14548">
        <v>1973</v>
      </c>
      <c r="R14548" t="s">
        <v>23</v>
      </c>
      <c r="S14548" s="1" t="s">
        <v>34218</v>
      </c>
    </row>
    <row r="14549" spans="1:19" x14ac:dyDescent="0.25">
      <c r="A14549">
        <v>101449968</v>
      </c>
      <c r="B14549" t="s">
        <v>26159</v>
      </c>
      <c r="C14549" t="s">
        <v>5435</v>
      </c>
      <c r="G14549" t="s">
        <v>31363</v>
      </c>
      <c r="H14549" t="s">
        <v>529</v>
      </c>
      <c r="I14549" t="s">
        <v>71</v>
      </c>
      <c r="J14549">
        <v>80537</v>
      </c>
      <c r="L14549" t="s">
        <v>23</v>
      </c>
      <c r="M14549" t="s">
        <v>31363</v>
      </c>
      <c r="N14549" t="s">
        <v>529</v>
      </c>
      <c r="O14549" t="s">
        <v>71</v>
      </c>
      <c r="P14549">
        <v>80537</v>
      </c>
      <c r="R14549" t="s">
        <v>23</v>
      </c>
      <c r="S14549" s="1" t="s">
        <v>34218</v>
      </c>
    </row>
    <row r="14550" spans="1:19" x14ac:dyDescent="0.25">
      <c r="A14550">
        <v>101467343</v>
      </c>
      <c r="B14550" t="s">
        <v>15207</v>
      </c>
      <c r="C14550" t="s">
        <v>1107</v>
      </c>
      <c r="G14550" t="s">
        <v>31364</v>
      </c>
      <c r="H14550" t="s">
        <v>22553</v>
      </c>
      <c r="I14550" t="s">
        <v>446</v>
      </c>
      <c r="J14550">
        <v>27205</v>
      </c>
      <c r="K14550">
        <v>8685</v>
      </c>
      <c r="L14550" t="s">
        <v>23</v>
      </c>
      <c r="M14550" t="s">
        <v>31364</v>
      </c>
      <c r="N14550" t="s">
        <v>22553</v>
      </c>
      <c r="O14550" t="s">
        <v>446</v>
      </c>
      <c r="P14550">
        <v>27205</v>
      </c>
      <c r="Q14550">
        <v>8685</v>
      </c>
      <c r="R14550" t="s">
        <v>23</v>
      </c>
      <c r="S14550" s="1" t="s">
        <v>34218</v>
      </c>
    </row>
    <row r="14551" spans="1:19" x14ac:dyDescent="0.25">
      <c r="A14551">
        <v>100632518</v>
      </c>
      <c r="B14551" t="s">
        <v>25745</v>
      </c>
      <c r="C14551" t="s">
        <v>7569</v>
      </c>
      <c r="G14551" t="s">
        <v>31365</v>
      </c>
      <c r="H14551" t="s">
        <v>31366</v>
      </c>
      <c r="I14551" t="s">
        <v>100</v>
      </c>
      <c r="J14551">
        <v>54153</v>
      </c>
      <c r="K14551">
        <v>1457</v>
      </c>
      <c r="L14551" t="s">
        <v>23</v>
      </c>
      <c r="M14551" t="s">
        <v>31365</v>
      </c>
      <c r="N14551" t="s">
        <v>31366</v>
      </c>
      <c r="O14551" t="s">
        <v>100</v>
      </c>
      <c r="P14551">
        <v>54153</v>
      </c>
      <c r="Q14551">
        <v>1457</v>
      </c>
      <c r="R14551" t="s">
        <v>23</v>
      </c>
      <c r="S14551" s="1" t="s">
        <v>34218</v>
      </c>
    </row>
    <row r="14552" spans="1:19" x14ac:dyDescent="0.25">
      <c r="A14552">
        <v>101448830</v>
      </c>
      <c r="B14552" t="s">
        <v>31367</v>
      </c>
      <c r="C14552" t="s">
        <v>15351</v>
      </c>
      <c r="G14552" t="s">
        <v>31368</v>
      </c>
      <c r="H14552" t="s">
        <v>198</v>
      </c>
      <c r="I14552" t="s">
        <v>22</v>
      </c>
      <c r="J14552">
        <v>92101</v>
      </c>
      <c r="K14552">
        <v>6525</v>
      </c>
      <c r="L14552" t="s">
        <v>23</v>
      </c>
      <c r="M14552" t="s">
        <v>31368</v>
      </c>
      <c r="N14552" t="s">
        <v>198</v>
      </c>
      <c r="O14552" t="s">
        <v>22</v>
      </c>
      <c r="P14552">
        <v>92101</v>
      </c>
      <c r="Q14552">
        <v>6525</v>
      </c>
      <c r="R14552" t="s">
        <v>23</v>
      </c>
      <c r="S14552" s="1" t="s">
        <v>34218</v>
      </c>
    </row>
    <row r="14553" spans="1:19" x14ac:dyDescent="0.25">
      <c r="A14553">
        <v>100809999</v>
      </c>
      <c r="B14553" t="s">
        <v>31369</v>
      </c>
      <c r="C14553" t="s">
        <v>31370</v>
      </c>
      <c r="G14553" t="s">
        <v>31371</v>
      </c>
      <c r="H14553" t="s">
        <v>2069</v>
      </c>
      <c r="I14553" t="s">
        <v>22</v>
      </c>
      <c r="J14553">
        <v>95472</v>
      </c>
      <c r="K14553">
        <v>2005</v>
      </c>
      <c r="L14553" t="s">
        <v>23</v>
      </c>
      <c r="M14553" t="s">
        <v>31371</v>
      </c>
      <c r="N14553" t="s">
        <v>2069</v>
      </c>
      <c r="O14553" t="s">
        <v>22</v>
      </c>
      <c r="P14553">
        <v>95472</v>
      </c>
      <c r="Q14553">
        <v>2005</v>
      </c>
      <c r="R14553" t="s">
        <v>23</v>
      </c>
      <c r="S14553" s="1" t="s">
        <v>34218</v>
      </c>
    </row>
    <row r="14554" spans="1:19" x14ac:dyDescent="0.25">
      <c r="A14554">
        <v>101469570</v>
      </c>
      <c r="B14554" t="s">
        <v>9717</v>
      </c>
      <c r="C14554" t="s">
        <v>410</v>
      </c>
      <c r="G14554" t="s">
        <v>31372</v>
      </c>
      <c r="H14554" t="s">
        <v>1439</v>
      </c>
      <c r="I14554" t="s">
        <v>365</v>
      </c>
      <c r="J14554">
        <v>85705</v>
      </c>
      <c r="K14554">
        <v>2356</v>
      </c>
      <c r="L14554" t="s">
        <v>23</v>
      </c>
      <c r="M14554" t="s">
        <v>31372</v>
      </c>
      <c r="N14554" t="s">
        <v>1439</v>
      </c>
      <c r="O14554" t="s">
        <v>365</v>
      </c>
      <c r="P14554">
        <v>85705</v>
      </c>
      <c r="Q14554">
        <v>2356</v>
      </c>
      <c r="R14554" t="s">
        <v>23</v>
      </c>
      <c r="S14554" s="1" t="s">
        <v>34218</v>
      </c>
    </row>
    <row r="14555" spans="1:19" x14ac:dyDescent="0.25">
      <c r="A14555">
        <v>101063449</v>
      </c>
      <c r="B14555" t="s">
        <v>21623</v>
      </c>
      <c r="C14555" t="s">
        <v>31373</v>
      </c>
      <c r="G14555" t="s">
        <v>21625</v>
      </c>
      <c r="H14555" t="s">
        <v>21626</v>
      </c>
      <c r="I14555" t="s">
        <v>52</v>
      </c>
      <c r="J14555">
        <v>32168</v>
      </c>
      <c r="K14555">
        <v>5346</v>
      </c>
      <c r="L14555" t="s">
        <v>23</v>
      </c>
      <c r="M14555" t="s">
        <v>21625</v>
      </c>
      <c r="N14555" t="s">
        <v>21626</v>
      </c>
      <c r="O14555" t="s">
        <v>52</v>
      </c>
      <c r="P14555">
        <v>32168</v>
      </c>
      <c r="Q14555">
        <v>5346</v>
      </c>
      <c r="R14555" t="s">
        <v>23</v>
      </c>
      <c r="S14555" s="1" t="s">
        <v>34218</v>
      </c>
    </row>
    <row r="14556" spans="1:19" x14ac:dyDescent="0.25">
      <c r="A14556">
        <v>101450494</v>
      </c>
      <c r="B14556" t="s">
        <v>31374</v>
      </c>
      <c r="C14556" t="s">
        <v>707</v>
      </c>
      <c r="G14556" t="s">
        <v>31375</v>
      </c>
      <c r="H14556" t="s">
        <v>682</v>
      </c>
      <c r="I14556" t="s">
        <v>365</v>
      </c>
      <c r="J14556">
        <v>85028</v>
      </c>
      <c r="K14556">
        <v>2629</v>
      </c>
      <c r="L14556" t="s">
        <v>23</v>
      </c>
      <c r="M14556" t="s">
        <v>31375</v>
      </c>
      <c r="N14556" t="s">
        <v>682</v>
      </c>
      <c r="O14556" t="s">
        <v>365</v>
      </c>
      <c r="P14556">
        <v>85028</v>
      </c>
      <c r="Q14556">
        <v>2629</v>
      </c>
      <c r="R14556" t="s">
        <v>23</v>
      </c>
      <c r="S14556" s="1" t="s">
        <v>34218</v>
      </c>
    </row>
    <row r="14557" spans="1:19" x14ac:dyDescent="0.25">
      <c r="A14557">
        <v>101470968</v>
      </c>
      <c r="B14557" t="s">
        <v>31376</v>
      </c>
      <c r="C14557" t="s">
        <v>390</v>
      </c>
      <c r="G14557" t="s">
        <v>31377</v>
      </c>
      <c r="H14557" t="s">
        <v>31378</v>
      </c>
      <c r="I14557" t="s">
        <v>255</v>
      </c>
      <c r="J14557">
        <v>24347</v>
      </c>
      <c r="K14557">
        <v>2149</v>
      </c>
      <c r="L14557" t="s">
        <v>23</v>
      </c>
      <c r="M14557" t="s">
        <v>31377</v>
      </c>
      <c r="N14557" t="s">
        <v>31378</v>
      </c>
      <c r="O14557" t="s">
        <v>255</v>
      </c>
      <c r="P14557">
        <v>24347</v>
      </c>
      <c r="Q14557">
        <v>2149</v>
      </c>
      <c r="R14557" t="s">
        <v>23</v>
      </c>
      <c r="S14557" s="1" t="s">
        <v>34218</v>
      </c>
    </row>
    <row r="14558" spans="1:19" x14ac:dyDescent="0.25">
      <c r="A14558">
        <v>100647717</v>
      </c>
      <c r="B14558" t="s">
        <v>31379</v>
      </c>
      <c r="C14558" t="s">
        <v>31380</v>
      </c>
      <c r="G14558" t="s">
        <v>31381</v>
      </c>
      <c r="H14558" t="s">
        <v>2765</v>
      </c>
      <c r="I14558" t="s">
        <v>22</v>
      </c>
      <c r="J14558">
        <v>91342</v>
      </c>
      <c r="K14558">
        <v>2908</v>
      </c>
      <c r="L14558" t="s">
        <v>23</v>
      </c>
      <c r="M14558" t="s">
        <v>31381</v>
      </c>
      <c r="N14558" t="s">
        <v>2765</v>
      </c>
      <c r="O14558" t="s">
        <v>22</v>
      </c>
      <c r="P14558">
        <v>91342</v>
      </c>
      <c r="Q14558">
        <v>2908</v>
      </c>
      <c r="R14558" t="s">
        <v>23</v>
      </c>
      <c r="S14558" s="1" t="s">
        <v>34218</v>
      </c>
    </row>
    <row r="14559" spans="1:19" x14ac:dyDescent="0.25">
      <c r="A14559">
        <v>100842732</v>
      </c>
      <c r="B14559" t="s">
        <v>744</v>
      </c>
      <c r="C14559" t="s">
        <v>30</v>
      </c>
      <c r="G14559" t="s">
        <v>31382</v>
      </c>
      <c r="H14559" t="s">
        <v>31383</v>
      </c>
      <c r="I14559" t="s">
        <v>84</v>
      </c>
      <c r="J14559" t="s">
        <v>31384</v>
      </c>
      <c r="K14559">
        <v>9703</v>
      </c>
      <c r="L14559" t="s">
        <v>23</v>
      </c>
      <c r="M14559" t="s">
        <v>31382</v>
      </c>
      <c r="N14559" t="s">
        <v>31383</v>
      </c>
      <c r="O14559" t="s">
        <v>84</v>
      </c>
      <c r="P14559" t="s">
        <v>31384</v>
      </c>
      <c r="Q14559">
        <v>9703</v>
      </c>
      <c r="R14559" t="s">
        <v>23</v>
      </c>
      <c r="S14559" s="1" t="s">
        <v>34218</v>
      </c>
    </row>
    <row r="14560" spans="1:19" x14ac:dyDescent="0.25">
      <c r="A14560">
        <v>101284259</v>
      </c>
      <c r="B14560" t="s">
        <v>31385</v>
      </c>
      <c r="C14560" t="s">
        <v>31386</v>
      </c>
      <c r="G14560" t="s">
        <v>31387</v>
      </c>
      <c r="H14560" t="s">
        <v>5109</v>
      </c>
      <c r="I14560" t="s">
        <v>135</v>
      </c>
      <c r="J14560" t="s">
        <v>31388</v>
      </c>
      <c r="K14560">
        <v>4920</v>
      </c>
      <c r="L14560" t="s">
        <v>23</v>
      </c>
      <c r="M14560" t="s">
        <v>31387</v>
      </c>
      <c r="N14560" t="s">
        <v>5109</v>
      </c>
      <c r="O14560" t="s">
        <v>135</v>
      </c>
      <c r="P14560" t="s">
        <v>31388</v>
      </c>
      <c r="Q14560">
        <v>4920</v>
      </c>
      <c r="R14560" t="s">
        <v>23</v>
      </c>
      <c r="S14560" s="1" t="s">
        <v>34218</v>
      </c>
    </row>
    <row r="14561" spans="1:19" x14ac:dyDescent="0.25">
      <c r="A14561">
        <v>101073402</v>
      </c>
      <c r="B14561" t="s">
        <v>25542</v>
      </c>
      <c r="C14561" t="s">
        <v>158</v>
      </c>
      <c r="G14561" t="s">
        <v>31389</v>
      </c>
      <c r="H14561" t="s">
        <v>198</v>
      </c>
      <c r="I14561" t="s">
        <v>22</v>
      </c>
      <c r="J14561" t="s">
        <v>31390</v>
      </c>
      <c r="K14561">
        <v>1159</v>
      </c>
      <c r="L14561" t="s">
        <v>23</v>
      </c>
      <c r="M14561" t="s">
        <v>31389</v>
      </c>
      <c r="N14561" t="s">
        <v>198</v>
      </c>
      <c r="O14561" t="s">
        <v>22</v>
      </c>
      <c r="P14561" t="s">
        <v>31390</v>
      </c>
      <c r="Q14561">
        <v>1159</v>
      </c>
      <c r="R14561" t="s">
        <v>23</v>
      </c>
      <c r="S14561" s="1" t="s">
        <v>34218</v>
      </c>
    </row>
    <row r="14562" spans="1:19" x14ac:dyDescent="0.25">
      <c r="A14562">
        <v>101214282</v>
      </c>
      <c r="B14562" t="s">
        <v>31391</v>
      </c>
      <c r="C14562" t="s">
        <v>64</v>
      </c>
      <c r="G14562" t="s">
        <v>31392</v>
      </c>
      <c r="H14562" t="s">
        <v>14474</v>
      </c>
      <c r="I14562" t="s">
        <v>52</v>
      </c>
      <c r="J14562" t="s">
        <v>31393</v>
      </c>
      <c r="K14562">
        <v>3026</v>
      </c>
      <c r="L14562" t="s">
        <v>23</v>
      </c>
      <c r="M14562" t="s">
        <v>31392</v>
      </c>
      <c r="N14562" t="s">
        <v>14474</v>
      </c>
      <c r="O14562" t="s">
        <v>52</v>
      </c>
      <c r="P14562" t="s">
        <v>31393</v>
      </c>
      <c r="Q14562">
        <v>3026</v>
      </c>
      <c r="R14562" t="s">
        <v>23</v>
      </c>
      <c r="S14562" s="1" t="s">
        <v>34218</v>
      </c>
    </row>
    <row r="14563" spans="1:19" x14ac:dyDescent="0.25">
      <c r="A14563">
        <v>101303107</v>
      </c>
      <c r="B14563" t="s">
        <v>31394</v>
      </c>
      <c r="C14563" t="s">
        <v>731</v>
      </c>
      <c r="G14563" t="s">
        <v>8670</v>
      </c>
      <c r="H14563" t="s">
        <v>4917</v>
      </c>
      <c r="I14563" t="s">
        <v>241</v>
      </c>
      <c r="J14563" t="s">
        <v>31395</v>
      </c>
      <c r="K14563">
        <v>1637</v>
      </c>
      <c r="L14563" t="s">
        <v>23</v>
      </c>
      <c r="M14563" t="s">
        <v>8670</v>
      </c>
      <c r="N14563" t="s">
        <v>4917</v>
      </c>
      <c r="O14563" t="s">
        <v>241</v>
      </c>
      <c r="P14563" t="s">
        <v>31395</v>
      </c>
      <c r="Q14563">
        <v>1637</v>
      </c>
      <c r="R14563" t="s">
        <v>23</v>
      </c>
      <c r="S14563" s="1" t="s">
        <v>34218</v>
      </c>
    </row>
    <row r="14564" spans="1:19" x14ac:dyDescent="0.25">
      <c r="A14564">
        <v>101189477</v>
      </c>
      <c r="B14564" t="s">
        <v>15430</v>
      </c>
      <c r="C14564" t="s">
        <v>262</v>
      </c>
      <c r="G14564" t="s">
        <v>31396</v>
      </c>
      <c r="H14564" t="s">
        <v>2046</v>
      </c>
      <c r="I14564" t="s">
        <v>446</v>
      </c>
      <c r="J14564" t="s">
        <v>31397</v>
      </c>
      <c r="K14564">
        <v>5600</v>
      </c>
      <c r="L14564" t="s">
        <v>23</v>
      </c>
      <c r="M14564" t="s">
        <v>31396</v>
      </c>
      <c r="N14564" t="s">
        <v>2046</v>
      </c>
      <c r="O14564" t="s">
        <v>446</v>
      </c>
      <c r="P14564" t="s">
        <v>31397</v>
      </c>
      <c r="Q14564">
        <v>5600</v>
      </c>
      <c r="R14564" t="s">
        <v>23</v>
      </c>
      <c r="S14564" s="1" t="s">
        <v>34218</v>
      </c>
    </row>
    <row r="14565" spans="1:19" x14ac:dyDescent="0.25">
      <c r="A14565">
        <v>101239946</v>
      </c>
      <c r="B14565" t="s">
        <v>19301</v>
      </c>
      <c r="C14565" t="s">
        <v>2518</v>
      </c>
      <c r="G14565" t="s">
        <v>31398</v>
      </c>
      <c r="H14565" t="s">
        <v>2231</v>
      </c>
      <c r="I14565" t="s">
        <v>22</v>
      </c>
      <c r="J14565" t="s">
        <v>31399</v>
      </c>
      <c r="K14565">
        <v>2556</v>
      </c>
      <c r="L14565" t="s">
        <v>23</v>
      </c>
      <c r="M14565" t="s">
        <v>31398</v>
      </c>
      <c r="N14565" t="s">
        <v>2231</v>
      </c>
      <c r="O14565" t="s">
        <v>22</v>
      </c>
      <c r="P14565" t="s">
        <v>31399</v>
      </c>
      <c r="Q14565">
        <v>2556</v>
      </c>
      <c r="R14565" t="s">
        <v>23</v>
      </c>
      <c r="S14565" s="1" t="s">
        <v>34218</v>
      </c>
    </row>
    <row r="14566" spans="1:19" x14ac:dyDescent="0.25">
      <c r="A14566">
        <v>101418424</v>
      </c>
      <c r="B14566" t="s">
        <v>25096</v>
      </c>
      <c r="C14566" t="s">
        <v>803</v>
      </c>
      <c r="G14566" t="s">
        <v>31400</v>
      </c>
      <c r="H14566" t="s">
        <v>20688</v>
      </c>
      <c r="I14566" t="s">
        <v>84</v>
      </c>
      <c r="J14566" t="s">
        <v>31401</v>
      </c>
      <c r="K14566">
        <v>6028</v>
      </c>
      <c r="L14566" t="s">
        <v>23</v>
      </c>
      <c r="M14566" t="s">
        <v>31400</v>
      </c>
      <c r="N14566" t="s">
        <v>20688</v>
      </c>
      <c r="O14566" t="s">
        <v>84</v>
      </c>
      <c r="P14566" t="s">
        <v>31401</v>
      </c>
      <c r="Q14566">
        <v>6028</v>
      </c>
      <c r="R14566" t="s">
        <v>23</v>
      </c>
      <c r="S14566" s="1" t="s">
        <v>34218</v>
      </c>
    </row>
    <row r="14567" spans="1:19" x14ac:dyDescent="0.25">
      <c r="A14567">
        <v>101075454</v>
      </c>
      <c r="B14567" t="s">
        <v>4586</v>
      </c>
      <c r="C14567" t="s">
        <v>313</v>
      </c>
      <c r="G14567" t="s">
        <v>31402</v>
      </c>
      <c r="H14567" t="s">
        <v>707</v>
      </c>
      <c r="I14567" t="s">
        <v>332</v>
      </c>
      <c r="J14567" t="s">
        <v>31403</v>
      </c>
      <c r="K14567">
        <v>3537</v>
      </c>
      <c r="L14567" t="s">
        <v>23</v>
      </c>
      <c r="M14567" t="s">
        <v>31402</v>
      </c>
      <c r="N14567" t="s">
        <v>707</v>
      </c>
      <c r="O14567" t="s">
        <v>332</v>
      </c>
      <c r="P14567" t="s">
        <v>31403</v>
      </c>
      <c r="Q14567">
        <v>3537</v>
      </c>
      <c r="R14567" t="s">
        <v>23</v>
      </c>
      <c r="S14567" s="1" t="s">
        <v>34218</v>
      </c>
    </row>
    <row r="14568" spans="1:19" x14ac:dyDescent="0.25">
      <c r="A14568">
        <v>101482323</v>
      </c>
      <c r="B14568" t="s">
        <v>31404</v>
      </c>
      <c r="C14568" t="s">
        <v>3922</v>
      </c>
      <c r="G14568" t="s">
        <v>31405</v>
      </c>
      <c r="H14568" t="s">
        <v>4689</v>
      </c>
      <c r="I14568" t="s">
        <v>7839</v>
      </c>
      <c r="J14568">
        <v>58237</v>
      </c>
      <c r="K14568">
        <v>1712</v>
      </c>
      <c r="L14568" t="s">
        <v>23</v>
      </c>
      <c r="M14568" t="s">
        <v>31405</v>
      </c>
      <c r="N14568" t="s">
        <v>4689</v>
      </c>
      <c r="O14568" t="s">
        <v>7839</v>
      </c>
      <c r="P14568">
        <v>58237</v>
      </c>
      <c r="Q14568">
        <v>1712</v>
      </c>
      <c r="R14568" t="s">
        <v>23</v>
      </c>
      <c r="S14568" s="1" t="s">
        <v>34218</v>
      </c>
    </row>
    <row r="14569" spans="1:19" x14ac:dyDescent="0.25">
      <c r="A14569">
        <v>101062151</v>
      </c>
      <c r="B14569" t="s">
        <v>4139</v>
      </c>
      <c r="C14569" t="s">
        <v>2781</v>
      </c>
      <c r="F14569" t="str">
        <f>"6159045479"</f>
        <v>6159045479</v>
      </c>
      <c r="G14569" t="s">
        <v>31406</v>
      </c>
      <c r="H14569" t="s">
        <v>5838</v>
      </c>
      <c r="I14569" t="s">
        <v>914</v>
      </c>
      <c r="J14569">
        <v>37405</v>
      </c>
      <c r="K14569">
        <v>4020</v>
      </c>
      <c r="L14569" t="s">
        <v>23</v>
      </c>
      <c r="M14569" t="s">
        <v>31406</v>
      </c>
      <c r="N14569" t="s">
        <v>5838</v>
      </c>
      <c r="O14569" t="s">
        <v>914</v>
      </c>
      <c r="P14569">
        <v>37405</v>
      </c>
      <c r="Q14569">
        <v>4020</v>
      </c>
      <c r="R14569" t="s">
        <v>23</v>
      </c>
      <c r="S14569" s="1" t="s">
        <v>34218</v>
      </c>
    </row>
    <row r="14570" spans="1:19" x14ac:dyDescent="0.25">
      <c r="A14570">
        <v>100732694</v>
      </c>
      <c r="B14570" t="s">
        <v>31407</v>
      </c>
      <c r="C14570" t="s">
        <v>266</v>
      </c>
      <c r="G14570" t="s">
        <v>31408</v>
      </c>
      <c r="H14570" t="s">
        <v>2370</v>
      </c>
      <c r="I14570" t="s">
        <v>22</v>
      </c>
      <c r="J14570">
        <v>90230</v>
      </c>
      <c r="L14570" t="s">
        <v>23</v>
      </c>
      <c r="M14570" t="s">
        <v>31408</v>
      </c>
      <c r="N14570" t="s">
        <v>2370</v>
      </c>
      <c r="O14570" t="s">
        <v>22</v>
      </c>
      <c r="P14570">
        <v>90230</v>
      </c>
      <c r="R14570" t="s">
        <v>23</v>
      </c>
      <c r="S14570" s="1" t="s">
        <v>34218</v>
      </c>
    </row>
    <row r="14571" spans="1:19" x14ac:dyDescent="0.25">
      <c r="A14571">
        <v>100565365</v>
      </c>
      <c r="B14571" t="s">
        <v>31409</v>
      </c>
      <c r="C14571" t="s">
        <v>890</v>
      </c>
      <c r="G14571" t="s">
        <v>31410</v>
      </c>
      <c r="H14571" t="s">
        <v>37</v>
      </c>
      <c r="I14571" t="s">
        <v>38</v>
      </c>
      <c r="J14571">
        <v>78753</v>
      </c>
      <c r="K14571">
        <v>3241</v>
      </c>
      <c r="L14571" t="s">
        <v>23</v>
      </c>
      <c r="M14571" t="s">
        <v>31410</v>
      </c>
      <c r="N14571" t="s">
        <v>37</v>
      </c>
      <c r="O14571" t="s">
        <v>38</v>
      </c>
      <c r="P14571">
        <v>78753</v>
      </c>
      <c r="Q14571">
        <v>3241</v>
      </c>
      <c r="R14571" t="s">
        <v>23</v>
      </c>
      <c r="S14571" s="1" t="s">
        <v>34218</v>
      </c>
    </row>
    <row r="14572" spans="1:19" x14ac:dyDescent="0.25">
      <c r="A14572">
        <v>101431281</v>
      </c>
      <c r="B14572" t="s">
        <v>31411</v>
      </c>
      <c r="C14572" t="s">
        <v>2127</v>
      </c>
      <c r="G14572" t="s">
        <v>31412</v>
      </c>
      <c r="H14572" t="s">
        <v>7093</v>
      </c>
      <c r="I14572" t="s">
        <v>148</v>
      </c>
      <c r="J14572">
        <v>21012</v>
      </c>
      <c r="K14572">
        <v>1048</v>
      </c>
      <c r="L14572" t="s">
        <v>23</v>
      </c>
      <c r="M14572" t="s">
        <v>31412</v>
      </c>
      <c r="N14572" t="s">
        <v>7093</v>
      </c>
      <c r="O14572" t="s">
        <v>148</v>
      </c>
      <c r="P14572">
        <v>21012</v>
      </c>
      <c r="Q14572">
        <v>1048</v>
      </c>
      <c r="R14572" t="s">
        <v>23</v>
      </c>
      <c r="S14572" s="1" t="s">
        <v>34218</v>
      </c>
    </row>
    <row r="14573" spans="1:19" x14ac:dyDescent="0.25">
      <c r="A14573">
        <v>101446548</v>
      </c>
      <c r="B14573" t="s">
        <v>12770</v>
      </c>
      <c r="C14573" t="s">
        <v>3545</v>
      </c>
      <c r="G14573" t="s">
        <v>31413</v>
      </c>
      <c r="H14573" t="s">
        <v>1531</v>
      </c>
      <c r="I14573" t="s">
        <v>84</v>
      </c>
      <c r="J14573">
        <v>98144</v>
      </c>
      <c r="K14573">
        <v>4930</v>
      </c>
      <c r="L14573" t="s">
        <v>23</v>
      </c>
      <c r="M14573" t="s">
        <v>31413</v>
      </c>
      <c r="N14573" t="s">
        <v>1531</v>
      </c>
      <c r="O14573" t="s">
        <v>84</v>
      </c>
      <c r="P14573">
        <v>98144</v>
      </c>
      <c r="Q14573">
        <v>4930</v>
      </c>
      <c r="R14573" t="s">
        <v>23</v>
      </c>
      <c r="S14573" s="1" t="s">
        <v>34218</v>
      </c>
    </row>
    <row r="14574" spans="1:19" x14ac:dyDescent="0.25">
      <c r="A14574">
        <v>101356819</v>
      </c>
      <c r="B14574" t="s">
        <v>28340</v>
      </c>
      <c r="C14574" t="s">
        <v>31414</v>
      </c>
      <c r="G14574" t="s">
        <v>31415</v>
      </c>
      <c r="H14574" t="s">
        <v>7505</v>
      </c>
      <c r="I14574" t="s">
        <v>84</v>
      </c>
      <c r="J14574">
        <v>98110</v>
      </c>
      <c r="K14574">
        <v>3623</v>
      </c>
      <c r="L14574" t="s">
        <v>23</v>
      </c>
      <c r="M14574" t="s">
        <v>31415</v>
      </c>
      <c r="N14574" t="s">
        <v>7505</v>
      </c>
      <c r="O14574" t="s">
        <v>84</v>
      </c>
      <c r="P14574">
        <v>98110</v>
      </c>
      <c r="Q14574">
        <v>3623</v>
      </c>
      <c r="R14574" t="s">
        <v>23</v>
      </c>
      <c r="S14574" s="1" t="s">
        <v>34218</v>
      </c>
    </row>
    <row r="14575" spans="1:19" x14ac:dyDescent="0.25">
      <c r="A14575">
        <v>101223602</v>
      </c>
      <c r="B14575" t="s">
        <v>31416</v>
      </c>
      <c r="C14575" t="s">
        <v>543</v>
      </c>
      <c r="G14575" t="s">
        <v>31417</v>
      </c>
      <c r="H14575" t="s">
        <v>5916</v>
      </c>
      <c r="I14575" t="s">
        <v>255</v>
      </c>
      <c r="J14575">
        <v>23838</v>
      </c>
      <c r="K14575">
        <v>1731</v>
      </c>
      <c r="L14575" t="s">
        <v>23</v>
      </c>
      <c r="M14575" t="s">
        <v>31417</v>
      </c>
      <c r="N14575" t="s">
        <v>5916</v>
      </c>
      <c r="O14575" t="s">
        <v>255</v>
      </c>
      <c r="P14575">
        <v>23838</v>
      </c>
      <c r="Q14575">
        <v>1731</v>
      </c>
      <c r="R14575" t="s">
        <v>23</v>
      </c>
      <c r="S14575" s="1" t="s">
        <v>34218</v>
      </c>
    </row>
    <row r="14576" spans="1:19" x14ac:dyDescent="0.25">
      <c r="A14576">
        <v>100954281</v>
      </c>
      <c r="B14576" t="s">
        <v>5789</v>
      </c>
      <c r="C14576" t="s">
        <v>30</v>
      </c>
      <c r="G14576" t="s">
        <v>31418</v>
      </c>
      <c r="H14576" t="s">
        <v>10113</v>
      </c>
      <c r="I14576" t="s">
        <v>353</v>
      </c>
      <c r="J14576">
        <v>3086</v>
      </c>
      <c r="K14576">
        <v>5727</v>
      </c>
      <c r="L14576" t="s">
        <v>23</v>
      </c>
      <c r="M14576" t="s">
        <v>31418</v>
      </c>
      <c r="N14576" t="s">
        <v>10113</v>
      </c>
      <c r="O14576" t="s">
        <v>353</v>
      </c>
      <c r="P14576">
        <v>3086</v>
      </c>
      <c r="Q14576">
        <v>5727</v>
      </c>
      <c r="R14576" t="s">
        <v>23</v>
      </c>
      <c r="S14576" s="1" t="s">
        <v>34218</v>
      </c>
    </row>
    <row r="14577" spans="1:19" x14ac:dyDescent="0.25">
      <c r="A14577">
        <v>101470848</v>
      </c>
      <c r="B14577" t="s">
        <v>8669</v>
      </c>
      <c r="C14577" t="s">
        <v>1107</v>
      </c>
      <c r="G14577" t="s">
        <v>31419</v>
      </c>
      <c r="H14577" t="s">
        <v>31420</v>
      </c>
      <c r="I14577" t="s">
        <v>140</v>
      </c>
      <c r="J14577">
        <v>49908</v>
      </c>
      <c r="L14577" t="s">
        <v>23</v>
      </c>
      <c r="M14577" t="s">
        <v>31419</v>
      </c>
      <c r="N14577" t="s">
        <v>31420</v>
      </c>
      <c r="O14577" t="s">
        <v>140</v>
      </c>
      <c r="P14577">
        <v>49908</v>
      </c>
      <c r="R14577" t="s">
        <v>23</v>
      </c>
      <c r="S14577" s="1" t="s">
        <v>34218</v>
      </c>
    </row>
    <row r="14578" spans="1:19" x14ac:dyDescent="0.25">
      <c r="A14578">
        <v>101450346</v>
      </c>
      <c r="B14578" t="s">
        <v>31421</v>
      </c>
      <c r="C14578" t="s">
        <v>1157</v>
      </c>
      <c r="G14578" t="s">
        <v>31422</v>
      </c>
      <c r="H14578" t="s">
        <v>1783</v>
      </c>
      <c r="I14578" t="s">
        <v>178</v>
      </c>
      <c r="J14578">
        <v>44138</v>
      </c>
      <c r="K14578">
        <v>2564</v>
      </c>
      <c r="L14578" t="s">
        <v>23</v>
      </c>
      <c r="M14578" t="s">
        <v>31422</v>
      </c>
      <c r="N14578" t="s">
        <v>1783</v>
      </c>
      <c r="O14578" t="s">
        <v>178</v>
      </c>
      <c r="P14578">
        <v>44138</v>
      </c>
      <c r="Q14578">
        <v>2564</v>
      </c>
      <c r="R14578" t="s">
        <v>23</v>
      </c>
      <c r="S14578" s="1" t="s">
        <v>34218</v>
      </c>
    </row>
    <row r="14579" spans="1:19" x14ac:dyDescent="0.25">
      <c r="A14579">
        <v>101470867</v>
      </c>
      <c r="B14579" t="s">
        <v>4064</v>
      </c>
      <c r="C14579" t="s">
        <v>2357</v>
      </c>
      <c r="G14579" t="s">
        <v>28886</v>
      </c>
      <c r="H14579" t="s">
        <v>28887</v>
      </c>
      <c r="I14579" t="s">
        <v>33</v>
      </c>
      <c r="J14579">
        <v>17036</v>
      </c>
      <c r="K14579">
        <v>9211</v>
      </c>
      <c r="L14579" t="s">
        <v>23</v>
      </c>
      <c r="M14579" t="s">
        <v>28886</v>
      </c>
      <c r="N14579" t="s">
        <v>28887</v>
      </c>
      <c r="O14579" t="s">
        <v>33</v>
      </c>
      <c r="P14579">
        <v>17036</v>
      </c>
      <c r="Q14579">
        <v>9211</v>
      </c>
      <c r="R14579" t="s">
        <v>23</v>
      </c>
      <c r="S14579" s="1" t="s">
        <v>34218</v>
      </c>
    </row>
    <row r="14580" spans="1:19" x14ac:dyDescent="0.25">
      <c r="A14580">
        <v>100591965</v>
      </c>
      <c r="B14580" t="s">
        <v>31423</v>
      </c>
      <c r="C14580" t="s">
        <v>2044</v>
      </c>
      <c r="G14580" t="s">
        <v>31424</v>
      </c>
      <c r="H14580" t="s">
        <v>13730</v>
      </c>
      <c r="I14580" t="s">
        <v>52</v>
      </c>
      <c r="J14580">
        <v>33936</v>
      </c>
      <c r="K14580">
        <v>4325</v>
      </c>
      <c r="L14580" t="s">
        <v>23</v>
      </c>
      <c r="M14580" t="s">
        <v>31424</v>
      </c>
      <c r="N14580" t="s">
        <v>13730</v>
      </c>
      <c r="O14580" t="s">
        <v>52</v>
      </c>
      <c r="P14580">
        <v>33936</v>
      </c>
      <c r="Q14580">
        <v>4325</v>
      </c>
      <c r="R14580" t="s">
        <v>23</v>
      </c>
      <c r="S14580" s="1" t="s">
        <v>34218</v>
      </c>
    </row>
    <row r="14581" spans="1:19" x14ac:dyDescent="0.25">
      <c r="A14581">
        <v>100781125</v>
      </c>
      <c r="B14581" t="s">
        <v>3956</v>
      </c>
      <c r="C14581" t="s">
        <v>12846</v>
      </c>
      <c r="G14581" t="s">
        <v>31425</v>
      </c>
      <c r="H14581" t="s">
        <v>13062</v>
      </c>
      <c r="I14581" t="s">
        <v>52</v>
      </c>
      <c r="J14581" t="s">
        <v>31426</v>
      </c>
      <c r="K14581">
        <v>1923</v>
      </c>
      <c r="L14581" t="s">
        <v>23</v>
      </c>
      <c r="M14581" t="s">
        <v>31425</v>
      </c>
      <c r="N14581" t="s">
        <v>13062</v>
      </c>
      <c r="O14581" t="s">
        <v>52</v>
      </c>
      <c r="P14581" t="s">
        <v>31426</v>
      </c>
      <c r="Q14581">
        <v>1923</v>
      </c>
      <c r="R14581" t="s">
        <v>23</v>
      </c>
      <c r="S14581" s="1" t="s">
        <v>34218</v>
      </c>
    </row>
    <row r="14582" spans="1:19" x14ac:dyDescent="0.25">
      <c r="A14582">
        <v>101008938</v>
      </c>
      <c r="B14582" t="s">
        <v>31427</v>
      </c>
      <c r="C14582" t="s">
        <v>11242</v>
      </c>
      <c r="G14582" t="s">
        <v>31428</v>
      </c>
      <c r="H14582" t="s">
        <v>1402</v>
      </c>
      <c r="I14582" t="s">
        <v>38</v>
      </c>
      <c r="J14582">
        <v>77092</v>
      </c>
      <c r="K14582">
        <v>3318</v>
      </c>
      <c r="L14582" t="s">
        <v>23</v>
      </c>
      <c r="M14582" t="s">
        <v>31428</v>
      </c>
      <c r="N14582" t="s">
        <v>1402</v>
      </c>
      <c r="O14582" t="s">
        <v>38</v>
      </c>
      <c r="P14582">
        <v>77092</v>
      </c>
      <c r="Q14582">
        <v>3318</v>
      </c>
      <c r="R14582" t="s">
        <v>23</v>
      </c>
      <c r="S14582" s="1" t="s">
        <v>34218</v>
      </c>
    </row>
    <row r="14583" spans="1:19" x14ac:dyDescent="0.25">
      <c r="A14583">
        <v>101454972</v>
      </c>
      <c r="B14583" t="s">
        <v>31429</v>
      </c>
      <c r="C14583" t="s">
        <v>890</v>
      </c>
      <c r="G14583" t="s">
        <v>31430</v>
      </c>
      <c r="H14583" t="s">
        <v>25037</v>
      </c>
      <c r="I14583" t="s">
        <v>307</v>
      </c>
      <c r="J14583">
        <v>5257</v>
      </c>
      <c r="K14583">
        <v>9132</v>
      </c>
      <c r="L14583" t="s">
        <v>23</v>
      </c>
      <c r="M14583" t="s">
        <v>31430</v>
      </c>
      <c r="N14583" t="s">
        <v>25037</v>
      </c>
      <c r="O14583" t="s">
        <v>307</v>
      </c>
      <c r="P14583">
        <v>5257</v>
      </c>
      <c r="Q14583">
        <v>9132</v>
      </c>
      <c r="R14583" t="s">
        <v>23</v>
      </c>
      <c r="S14583" s="1" t="s">
        <v>34218</v>
      </c>
    </row>
    <row r="14584" spans="1:19" x14ac:dyDescent="0.25">
      <c r="A14584">
        <v>101470937</v>
      </c>
      <c r="B14584" t="s">
        <v>31431</v>
      </c>
      <c r="C14584" t="s">
        <v>15594</v>
      </c>
      <c r="G14584" t="s">
        <v>31432</v>
      </c>
      <c r="H14584" t="s">
        <v>31433</v>
      </c>
      <c r="I14584" t="s">
        <v>236</v>
      </c>
      <c r="J14584">
        <v>1945</v>
      </c>
      <c r="K14584">
        <v>1732</v>
      </c>
      <c r="L14584" t="s">
        <v>23</v>
      </c>
      <c r="M14584" t="s">
        <v>31432</v>
      </c>
      <c r="N14584" t="s">
        <v>31433</v>
      </c>
      <c r="O14584" t="s">
        <v>236</v>
      </c>
      <c r="P14584">
        <v>1945</v>
      </c>
      <c r="Q14584">
        <v>1732</v>
      </c>
      <c r="R14584" t="s">
        <v>23</v>
      </c>
      <c r="S14584" s="1" t="s">
        <v>34218</v>
      </c>
    </row>
    <row r="14585" spans="1:19" x14ac:dyDescent="0.25">
      <c r="A14585">
        <v>100577215</v>
      </c>
      <c r="B14585" t="s">
        <v>744</v>
      </c>
      <c r="C14585" t="s">
        <v>3828</v>
      </c>
      <c r="G14585" t="s">
        <v>31434</v>
      </c>
      <c r="H14585" t="s">
        <v>30127</v>
      </c>
      <c r="I14585" t="s">
        <v>38</v>
      </c>
      <c r="J14585">
        <v>77354</v>
      </c>
      <c r="L14585" t="s">
        <v>23</v>
      </c>
      <c r="M14585" t="s">
        <v>31434</v>
      </c>
      <c r="N14585" t="s">
        <v>30127</v>
      </c>
      <c r="O14585" t="s">
        <v>38</v>
      </c>
      <c r="P14585">
        <v>77354</v>
      </c>
      <c r="R14585" t="s">
        <v>23</v>
      </c>
      <c r="S14585" s="1" t="s">
        <v>34218</v>
      </c>
    </row>
    <row r="14586" spans="1:19" x14ac:dyDescent="0.25">
      <c r="A14586">
        <v>101455065</v>
      </c>
      <c r="B14586" t="s">
        <v>1134</v>
      </c>
      <c r="C14586" t="s">
        <v>959</v>
      </c>
      <c r="G14586" t="s">
        <v>31435</v>
      </c>
      <c r="H14586" t="s">
        <v>31436</v>
      </c>
      <c r="I14586" t="s">
        <v>348</v>
      </c>
      <c r="J14586">
        <v>83536</v>
      </c>
      <c r="K14586">
        <v>5019</v>
      </c>
      <c r="L14586" t="s">
        <v>23</v>
      </c>
      <c r="M14586" t="s">
        <v>31435</v>
      </c>
      <c r="N14586" t="s">
        <v>31436</v>
      </c>
      <c r="O14586" t="s">
        <v>348</v>
      </c>
      <c r="P14586">
        <v>83536</v>
      </c>
      <c r="Q14586">
        <v>5019</v>
      </c>
      <c r="R14586" t="s">
        <v>23</v>
      </c>
      <c r="S14586" s="1" t="s">
        <v>34218</v>
      </c>
    </row>
    <row r="14587" spans="1:19" x14ac:dyDescent="0.25">
      <c r="A14587">
        <v>101426702</v>
      </c>
      <c r="B14587" t="s">
        <v>10503</v>
      </c>
      <c r="C14587" t="s">
        <v>1327</v>
      </c>
      <c r="G14587" t="s">
        <v>31437</v>
      </c>
      <c r="H14587" t="s">
        <v>21100</v>
      </c>
      <c r="I14587" t="s">
        <v>117</v>
      </c>
      <c r="J14587" t="s">
        <v>31438</v>
      </c>
      <c r="K14587">
        <v>9779</v>
      </c>
      <c r="L14587" t="s">
        <v>23</v>
      </c>
      <c r="M14587" t="s">
        <v>31437</v>
      </c>
      <c r="N14587" t="s">
        <v>21100</v>
      </c>
      <c r="O14587" t="s">
        <v>117</v>
      </c>
      <c r="P14587" t="s">
        <v>31438</v>
      </c>
      <c r="Q14587">
        <v>9779</v>
      </c>
      <c r="R14587" t="s">
        <v>23</v>
      </c>
      <c r="S14587" s="1" t="s">
        <v>34218</v>
      </c>
    </row>
    <row r="14588" spans="1:19" x14ac:dyDescent="0.25">
      <c r="A14588">
        <v>101305742</v>
      </c>
      <c r="B14588" t="s">
        <v>31439</v>
      </c>
      <c r="C14588" t="s">
        <v>846</v>
      </c>
      <c r="G14588" t="s">
        <v>31440</v>
      </c>
      <c r="H14588" t="s">
        <v>31441</v>
      </c>
      <c r="I14588" t="s">
        <v>250</v>
      </c>
      <c r="J14588">
        <v>7005</v>
      </c>
      <c r="K14588">
        <v>1451</v>
      </c>
      <c r="L14588" t="s">
        <v>23</v>
      </c>
      <c r="M14588" t="s">
        <v>31440</v>
      </c>
      <c r="N14588" t="s">
        <v>31441</v>
      </c>
      <c r="O14588" t="s">
        <v>250</v>
      </c>
      <c r="P14588">
        <v>7005</v>
      </c>
      <c r="Q14588">
        <v>1451</v>
      </c>
      <c r="R14588" t="s">
        <v>23</v>
      </c>
      <c r="S14588" s="1" t="s">
        <v>34218</v>
      </c>
    </row>
    <row r="14589" spans="1:19" x14ac:dyDescent="0.25">
      <c r="A14589">
        <v>101389047</v>
      </c>
      <c r="B14589" t="s">
        <v>31442</v>
      </c>
      <c r="C14589" t="s">
        <v>929</v>
      </c>
      <c r="G14589" t="s">
        <v>31443</v>
      </c>
      <c r="H14589" t="s">
        <v>22974</v>
      </c>
      <c r="I14589" t="s">
        <v>984</v>
      </c>
      <c r="J14589">
        <v>96732</v>
      </c>
      <c r="K14589">
        <v>2348</v>
      </c>
      <c r="L14589" t="s">
        <v>23</v>
      </c>
      <c r="M14589" t="s">
        <v>31443</v>
      </c>
      <c r="N14589" t="s">
        <v>22974</v>
      </c>
      <c r="O14589" t="s">
        <v>984</v>
      </c>
      <c r="P14589">
        <v>96732</v>
      </c>
      <c r="Q14589">
        <v>2348</v>
      </c>
      <c r="R14589" t="s">
        <v>23</v>
      </c>
      <c r="S14589" s="1" t="s">
        <v>34218</v>
      </c>
    </row>
    <row r="14590" spans="1:19" x14ac:dyDescent="0.25">
      <c r="A14590">
        <v>101299217</v>
      </c>
      <c r="B14590" t="s">
        <v>7290</v>
      </c>
      <c r="C14590" t="s">
        <v>1208</v>
      </c>
      <c r="G14590" t="s">
        <v>31444</v>
      </c>
      <c r="H14590" t="s">
        <v>18835</v>
      </c>
      <c r="I14590" t="s">
        <v>236</v>
      </c>
      <c r="J14590">
        <v>1824</v>
      </c>
      <c r="L14590" t="s">
        <v>23</v>
      </c>
      <c r="M14590" t="s">
        <v>31444</v>
      </c>
      <c r="N14590" t="s">
        <v>18835</v>
      </c>
      <c r="O14590" t="s">
        <v>236</v>
      </c>
      <c r="P14590">
        <v>1824</v>
      </c>
      <c r="R14590" t="s">
        <v>23</v>
      </c>
      <c r="S14590" s="1" t="s">
        <v>34218</v>
      </c>
    </row>
    <row r="14591" spans="1:19" x14ac:dyDescent="0.25">
      <c r="A14591">
        <v>101356378</v>
      </c>
      <c r="B14591" t="s">
        <v>31445</v>
      </c>
      <c r="C14591" t="s">
        <v>329</v>
      </c>
      <c r="G14591" t="s">
        <v>31446</v>
      </c>
      <c r="H14591" t="s">
        <v>3485</v>
      </c>
      <c r="I14591" t="s">
        <v>914</v>
      </c>
      <c r="J14591" t="s">
        <v>31447</v>
      </c>
      <c r="K14591">
        <v>6646</v>
      </c>
      <c r="L14591" t="s">
        <v>23</v>
      </c>
      <c r="M14591" t="s">
        <v>31446</v>
      </c>
      <c r="N14591" t="s">
        <v>3485</v>
      </c>
      <c r="O14591" t="s">
        <v>914</v>
      </c>
      <c r="P14591" t="s">
        <v>31447</v>
      </c>
      <c r="Q14591">
        <v>6646</v>
      </c>
      <c r="R14591" t="s">
        <v>23</v>
      </c>
      <c r="S14591" s="1" t="s">
        <v>34218</v>
      </c>
    </row>
    <row r="14592" spans="1:19" x14ac:dyDescent="0.25">
      <c r="A14592">
        <v>100540880</v>
      </c>
      <c r="B14592" t="s">
        <v>31448</v>
      </c>
      <c r="C14592" t="s">
        <v>25</v>
      </c>
      <c r="G14592" t="s">
        <v>31449</v>
      </c>
      <c r="H14592" t="s">
        <v>1765</v>
      </c>
      <c r="I14592" t="s">
        <v>84</v>
      </c>
      <c r="J14592">
        <v>98506</v>
      </c>
      <c r="K14592">
        <v>3293</v>
      </c>
      <c r="L14592" t="s">
        <v>23</v>
      </c>
      <c r="M14592" t="s">
        <v>31449</v>
      </c>
      <c r="N14592" t="s">
        <v>1765</v>
      </c>
      <c r="O14592" t="s">
        <v>84</v>
      </c>
      <c r="P14592">
        <v>98506</v>
      </c>
      <c r="Q14592">
        <v>3293</v>
      </c>
      <c r="R14592" t="s">
        <v>23</v>
      </c>
      <c r="S14592" s="1" t="s">
        <v>34218</v>
      </c>
    </row>
    <row r="14593" spans="1:19" x14ac:dyDescent="0.25">
      <c r="A14593">
        <v>101470910</v>
      </c>
      <c r="B14593" t="s">
        <v>584</v>
      </c>
      <c r="C14593" t="s">
        <v>2776</v>
      </c>
      <c r="G14593" t="s">
        <v>31450</v>
      </c>
      <c r="H14593" t="s">
        <v>18857</v>
      </c>
      <c r="I14593" t="s">
        <v>38</v>
      </c>
      <c r="J14593">
        <v>77301</v>
      </c>
      <c r="L14593" t="s">
        <v>23</v>
      </c>
      <c r="M14593" t="s">
        <v>31450</v>
      </c>
      <c r="N14593" t="s">
        <v>18857</v>
      </c>
      <c r="O14593" t="s">
        <v>38</v>
      </c>
      <c r="P14593">
        <v>77301</v>
      </c>
      <c r="R14593" t="s">
        <v>23</v>
      </c>
      <c r="S14593" s="1" t="s">
        <v>34218</v>
      </c>
    </row>
    <row r="14594" spans="1:19" x14ac:dyDescent="0.25">
      <c r="A14594">
        <v>101341636</v>
      </c>
      <c r="B14594" t="s">
        <v>8746</v>
      </c>
      <c r="C14594" t="s">
        <v>2405</v>
      </c>
      <c r="G14594" t="s">
        <v>31451</v>
      </c>
      <c r="H14594" t="s">
        <v>653</v>
      </c>
      <c r="I14594" t="s">
        <v>117</v>
      </c>
      <c r="J14594">
        <v>10035</v>
      </c>
      <c r="K14594">
        <v>2755</v>
      </c>
      <c r="L14594" t="s">
        <v>23</v>
      </c>
      <c r="M14594" t="s">
        <v>31451</v>
      </c>
      <c r="N14594" t="s">
        <v>653</v>
      </c>
      <c r="O14594" t="s">
        <v>117</v>
      </c>
      <c r="P14594">
        <v>10035</v>
      </c>
      <c r="Q14594">
        <v>2755</v>
      </c>
      <c r="R14594" t="s">
        <v>23</v>
      </c>
      <c r="S14594" s="1" t="s">
        <v>34218</v>
      </c>
    </row>
    <row r="14595" spans="1:19" x14ac:dyDescent="0.25">
      <c r="A14595">
        <v>100643728</v>
      </c>
      <c r="B14595" t="s">
        <v>1807</v>
      </c>
      <c r="C14595" t="s">
        <v>3460</v>
      </c>
      <c r="F14595" t="str">
        <f>"6503213992"</f>
        <v>6503213992</v>
      </c>
      <c r="G14595" t="s">
        <v>31452</v>
      </c>
      <c r="H14595" t="s">
        <v>1325</v>
      </c>
      <c r="I14595" t="s">
        <v>22</v>
      </c>
      <c r="J14595">
        <v>94301</v>
      </c>
      <c r="K14595">
        <v>1501</v>
      </c>
      <c r="L14595" t="s">
        <v>23</v>
      </c>
      <c r="M14595" t="s">
        <v>31452</v>
      </c>
      <c r="N14595" t="s">
        <v>1325</v>
      </c>
      <c r="O14595" t="s">
        <v>22</v>
      </c>
      <c r="P14595">
        <v>94301</v>
      </c>
      <c r="Q14595">
        <v>1501</v>
      </c>
      <c r="R14595" t="s">
        <v>23</v>
      </c>
      <c r="S14595" s="1" t="s">
        <v>34218</v>
      </c>
    </row>
    <row r="14596" spans="1:19" x14ac:dyDescent="0.25">
      <c r="A14596">
        <v>101099199</v>
      </c>
      <c r="B14596" t="s">
        <v>31453</v>
      </c>
      <c r="C14596" t="s">
        <v>252</v>
      </c>
      <c r="G14596" t="s">
        <v>31454</v>
      </c>
      <c r="H14596" t="s">
        <v>3142</v>
      </c>
      <c r="I14596" t="s">
        <v>236</v>
      </c>
      <c r="J14596">
        <v>2472</v>
      </c>
      <c r="K14596">
        <v>1239</v>
      </c>
      <c r="L14596" t="s">
        <v>23</v>
      </c>
      <c r="M14596" t="s">
        <v>31454</v>
      </c>
      <c r="N14596" t="s">
        <v>3142</v>
      </c>
      <c r="O14596" t="s">
        <v>236</v>
      </c>
      <c r="P14596">
        <v>2472</v>
      </c>
      <c r="Q14596">
        <v>1239</v>
      </c>
      <c r="R14596" t="s">
        <v>23</v>
      </c>
      <c r="S14596" s="1" t="s">
        <v>34218</v>
      </c>
    </row>
    <row r="14597" spans="1:19" x14ac:dyDescent="0.25">
      <c r="A14597">
        <v>101429599</v>
      </c>
      <c r="B14597" t="s">
        <v>8864</v>
      </c>
      <c r="C14597" t="s">
        <v>5740</v>
      </c>
      <c r="G14597" t="s">
        <v>31455</v>
      </c>
      <c r="H14597" t="s">
        <v>1614</v>
      </c>
      <c r="I14597" t="s">
        <v>22</v>
      </c>
      <c r="J14597">
        <v>92054</v>
      </c>
      <c r="K14597">
        <v>6022</v>
      </c>
      <c r="L14597" t="s">
        <v>23</v>
      </c>
      <c r="M14597" t="s">
        <v>31455</v>
      </c>
      <c r="N14597" t="s">
        <v>1614</v>
      </c>
      <c r="O14597" t="s">
        <v>22</v>
      </c>
      <c r="P14597">
        <v>92054</v>
      </c>
      <c r="Q14597">
        <v>6022</v>
      </c>
      <c r="R14597" t="s">
        <v>23</v>
      </c>
      <c r="S14597" s="1" t="s">
        <v>34218</v>
      </c>
    </row>
    <row r="14598" spans="1:19" x14ac:dyDescent="0.25">
      <c r="A14598">
        <v>101450873</v>
      </c>
      <c r="B14598" t="s">
        <v>23647</v>
      </c>
      <c r="C14598" t="s">
        <v>3511</v>
      </c>
      <c r="G14598" t="s">
        <v>31456</v>
      </c>
      <c r="H14598" t="s">
        <v>1765</v>
      </c>
      <c r="I14598" t="s">
        <v>84</v>
      </c>
      <c r="J14598">
        <v>98502</v>
      </c>
      <c r="K14598">
        <v>9501</v>
      </c>
      <c r="L14598" t="s">
        <v>23</v>
      </c>
      <c r="M14598" t="s">
        <v>31456</v>
      </c>
      <c r="N14598" t="s">
        <v>1765</v>
      </c>
      <c r="O14598" t="s">
        <v>84</v>
      </c>
      <c r="P14598">
        <v>98502</v>
      </c>
      <c r="Q14598">
        <v>9501</v>
      </c>
      <c r="R14598" t="s">
        <v>23</v>
      </c>
      <c r="S14598" s="1" t="s">
        <v>34218</v>
      </c>
    </row>
    <row r="14599" spans="1:19" x14ac:dyDescent="0.25">
      <c r="A14599">
        <v>101455132</v>
      </c>
      <c r="B14599" t="s">
        <v>31457</v>
      </c>
      <c r="C14599" t="s">
        <v>31458</v>
      </c>
      <c r="G14599" t="s">
        <v>31459</v>
      </c>
      <c r="H14599" t="s">
        <v>2573</v>
      </c>
      <c r="I14599" t="s">
        <v>161</v>
      </c>
      <c r="J14599">
        <v>6492</v>
      </c>
      <c r="K14599">
        <v>3564</v>
      </c>
      <c r="L14599" t="s">
        <v>23</v>
      </c>
      <c r="M14599" t="s">
        <v>31459</v>
      </c>
      <c r="N14599" t="s">
        <v>2573</v>
      </c>
      <c r="O14599" t="s">
        <v>161</v>
      </c>
      <c r="P14599">
        <v>6492</v>
      </c>
      <c r="Q14599">
        <v>3564</v>
      </c>
      <c r="R14599" t="s">
        <v>23</v>
      </c>
      <c r="S14599" s="1" t="s">
        <v>34218</v>
      </c>
    </row>
    <row r="14600" spans="1:19" x14ac:dyDescent="0.25">
      <c r="A14600">
        <v>101428606</v>
      </c>
      <c r="B14600" t="s">
        <v>1274</v>
      </c>
      <c r="C14600" t="s">
        <v>531</v>
      </c>
      <c r="G14600" t="s">
        <v>31460</v>
      </c>
      <c r="H14600" t="s">
        <v>27869</v>
      </c>
      <c r="I14600" t="s">
        <v>117</v>
      </c>
      <c r="J14600">
        <v>12309</v>
      </c>
      <c r="K14600">
        <v>4718</v>
      </c>
      <c r="L14600" t="s">
        <v>23</v>
      </c>
      <c r="M14600" t="s">
        <v>31460</v>
      </c>
      <c r="N14600" t="s">
        <v>27869</v>
      </c>
      <c r="O14600" t="s">
        <v>117</v>
      </c>
      <c r="P14600">
        <v>12309</v>
      </c>
      <c r="Q14600">
        <v>4718</v>
      </c>
      <c r="R14600" t="s">
        <v>23</v>
      </c>
      <c r="S14600" s="1" t="s">
        <v>34218</v>
      </c>
    </row>
    <row r="14601" spans="1:19" x14ac:dyDescent="0.25">
      <c r="A14601">
        <v>101345469</v>
      </c>
      <c r="B14601" t="s">
        <v>24944</v>
      </c>
      <c r="C14601" t="s">
        <v>49</v>
      </c>
      <c r="G14601" t="s">
        <v>31461</v>
      </c>
      <c r="H14601" t="s">
        <v>2231</v>
      </c>
      <c r="I14601" t="s">
        <v>22</v>
      </c>
      <c r="J14601">
        <v>91203</v>
      </c>
      <c r="K14601">
        <v>1373</v>
      </c>
      <c r="L14601" t="s">
        <v>23</v>
      </c>
      <c r="M14601" t="s">
        <v>31461</v>
      </c>
      <c r="N14601" t="s">
        <v>2231</v>
      </c>
      <c r="O14601" t="s">
        <v>22</v>
      </c>
      <c r="P14601">
        <v>91203</v>
      </c>
      <c r="Q14601">
        <v>1373</v>
      </c>
      <c r="R14601" t="s">
        <v>23</v>
      </c>
      <c r="S14601" s="1" t="s">
        <v>34218</v>
      </c>
    </row>
    <row r="14602" spans="1:19" x14ac:dyDescent="0.25">
      <c r="A14602">
        <v>101434107</v>
      </c>
      <c r="B14602" t="s">
        <v>5467</v>
      </c>
      <c r="C14602" t="s">
        <v>1069</v>
      </c>
      <c r="G14602" t="s">
        <v>31462</v>
      </c>
      <c r="H14602" t="s">
        <v>31463</v>
      </c>
      <c r="I14602" t="s">
        <v>353</v>
      </c>
      <c r="J14602">
        <v>3229</v>
      </c>
      <c r="K14602">
        <v>2538</v>
      </c>
      <c r="L14602" t="s">
        <v>23</v>
      </c>
      <c r="M14602" t="s">
        <v>31462</v>
      </c>
      <c r="N14602" t="s">
        <v>31463</v>
      </c>
      <c r="O14602" t="s">
        <v>353</v>
      </c>
      <c r="P14602">
        <v>3229</v>
      </c>
      <c r="Q14602">
        <v>2538</v>
      </c>
      <c r="R14602" t="s">
        <v>23</v>
      </c>
      <c r="S14602" s="1" t="s">
        <v>34218</v>
      </c>
    </row>
    <row r="14603" spans="1:19" x14ac:dyDescent="0.25">
      <c r="A14603">
        <v>101449557</v>
      </c>
      <c r="B14603" t="s">
        <v>10838</v>
      </c>
      <c r="C14603" t="s">
        <v>2232</v>
      </c>
      <c r="G14603" t="s">
        <v>31464</v>
      </c>
      <c r="H14603" t="s">
        <v>24220</v>
      </c>
      <c r="I14603" t="s">
        <v>446</v>
      </c>
      <c r="J14603">
        <v>28712</v>
      </c>
      <c r="K14603">
        <v>4478</v>
      </c>
      <c r="L14603" t="s">
        <v>23</v>
      </c>
      <c r="M14603" t="s">
        <v>31464</v>
      </c>
      <c r="N14603" t="s">
        <v>24220</v>
      </c>
      <c r="O14603" t="s">
        <v>446</v>
      </c>
      <c r="P14603">
        <v>28712</v>
      </c>
      <c r="Q14603">
        <v>4478</v>
      </c>
      <c r="R14603" t="s">
        <v>23</v>
      </c>
      <c r="S14603" s="1" t="s">
        <v>34218</v>
      </c>
    </row>
    <row r="14604" spans="1:19" x14ac:dyDescent="0.25">
      <c r="A14604">
        <v>101041194</v>
      </c>
      <c r="B14604" t="s">
        <v>23941</v>
      </c>
      <c r="C14604" t="s">
        <v>3609</v>
      </c>
      <c r="G14604" t="s">
        <v>31465</v>
      </c>
      <c r="H14604" t="s">
        <v>125</v>
      </c>
      <c r="I14604" t="s">
        <v>126</v>
      </c>
      <c r="J14604">
        <v>63146</v>
      </c>
      <c r="K14604">
        <v>2721</v>
      </c>
      <c r="L14604" t="s">
        <v>23</v>
      </c>
      <c r="M14604" t="s">
        <v>31465</v>
      </c>
      <c r="N14604" t="s">
        <v>125</v>
      </c>
      <c r="O14604" t="s">
        <v>126</v>
      </c>
      <c r="P14604">
        <v>63146</v>
      </c>
      <c r="Q14604">
        <v>2721</v>
      </c>
      <c r="R14604" t="s">
        <v>23</v>
      </c>
      <c r="S14604" s="1" t="s">
        <v>34218</v>
      </c>
    </row>
    <row r="14605" spans="1:19" x14ac:dyDescent="0.25">
      <c r="A14605">
        <v>101465453</v>
      </c>
      <c r="B14605" t="s">
        <v>28470</v>
      </c>
      <c r="C14605" t="s">
        <v>1069</v>
      </c>
      <c r="G14605" t="s">
        <v>31466</v>
      </c>
      <c r="H14605" t="s">
        <v>5644</v>
      </c>
      <c r="I14605" t="s">
        <v>370</v>
      </c>
      <c r="J14605">
        <v>68114</v>
      </c>
      <c r="K14605">
        <v>4465</v>
      </c>
      <c r="L14605" t="s">
        <v>23</v>
      </c>
      <c r="M14605" t="s">
        <v>31466</v>
      </c>
      <c r="N14605" t="s">
        <v>5644</v>
      </c>
      <c r="O14605" t="s">
        <v>370</v>
      </c>
      <c r="P14605">
        <v>68114</v>
      </c>
      <c r="Q14605">
        <v>4465</v>
      </c>
      <c r="R14605" t="s">
        <v>23</v>
      </c>
      <c r="S14605" s="1" t="s">
        <v>34218</v>
      </c>
    </row>
    <row r="14606" spans="1:19" x14ac:dyDescent="0.25">
      <c r="A14606">
        <v>101322352</v>
      </c>
      <c r="B14606" t="s">
        <v>18198</v>
      </c>
      <c r="C14606" t="s">
        <v>31467</v>
      </c>
      <c r="F14606" t="str">
        <f>"8314449464"</f>
        <v>8314449464</v>
      </c>
      <c r="G14606" t="s">
        <v>31468</v>
      </c>
      <c r="H14606" t="s">
        <v>15869</v>
      </c>
      <c r="I14606" t="s">
        <v>84</v>
      </c>
      <c r="J14606">
        <v>98671</v>
      </c>
      <c r="K14606">
        <v>5118</v>
      </c>
      <c r="L14606" t="s">
        <v>23</v>
      </c>
      <c r="M14606" t="s">
        <v>31468</v>
      </c>
      <c r="N14606" t="s">
        <v>15869</v>
      </c>
      <c r="O14606" t="s">
        <v>84</v>
      </c>
      <c r="P14606">
        <v>98671</v>
      </c>
      <c r="Q14606">
        <v>5118</v>
      </c>
      <c r="R14606" t="s">
        <v>23</v>
      </c>
      <c r="S14606" s="1" t="s">
        <v>34218</v>
      </c>
    </row>
    <row r="14607" spans="1:19" x14ac:dyDescent="0.25">
      <c r="A14607">
        <v>101471019</v>
      </c>
      <c r="B14607" t="s">
        <v>31469</v>
      </c>
      <c r="C14607" t="s">
        <v>4136</v>
      </c>
      <c r="G14607" t="s">
        <v>31470</v>
      </c>
      <c r="H14607" t="s">
        <v>88</v>
      </c>
      <c r="I14607" t="s">
        <v>22</v>
      </c>
      <c r="J14607">
        <v>94601</v>
      </c>
      <c r="K14607">
        <v>4354</v>
      </c>
      <c r="L14607" t="s">
        <v>23</v>
      </c>
      <c r="M14607" t="s">
        <v>31470</v>
      </c>
      <c r="N14607" t="s">
        <v>88</v>
      </c>
      <c r="O14607" t="s">
        <v>22</v>
      </c>
      <c r="P14607">
        <v>94601</v>
      </c>
      <c r="Q14607">
        <v>4354</v>
      </c>
      <c r="R14607" t="s">
        <v>23</v>
      </c>
      <c r="S14607" s="1" t="s">
        <v>34218</v>
      </c>
    </row>
    <row r="14608" spans="1:19" x14ac:dyDescent="0.25">
      <c r="A14608">
        <v>101471035</v>
      </c>
      <c r="B14608" t="s">
        <v>27193</v>
      </c>
      <c r="C14608" t="s">
        <v>31471</v>
      </c>
      <c r="G14608" t="s">
        <v>31472</v>
      </c>
      <c r="H14608" t="s">
        <v>5889</v>
      </c>
      <c r="I14608" t="s">
        <v>178</v>
      </c>
      <c r="J14608">
        <v>44827</v>
      </c>
      <c r="K14608">
        <v>1018</v>
      </c>
      <c r="L14608" t="s">
        <v>23</v>
      </c>
      <c r="M14608" t="s">
        <v>31472</v>
      </c>
      <c r="N14608" t="s">
        <v>5889</v>
      </c>
      <c r="O14608" t="s">
        <v>178</v>
      </c>
      <c r="P14608">
        <v>44827</v>
      </c>
      <c r="Q14608">
        <v>1018</v>
      </c>
      <c r="R14608" t="s">
        <v>23</v>
      </c>
      <c r="S14608" s="1" t="s">
        <v>34218</v>
      </c>
    </row>
    <row r="14609" spans="1:19" x14ac:dyDescent="0.25">
      <c r="A14609">
        <v>101453816</v>
      </c>
      <c r="B14609" t="s">
        <v>31473</v>
      </c>
      <c r="C14609" t="s">
        <v>110</v>
      </c>
      <c r="G14609" t="s">
        <v>31474</v>
      </c>
      <c r="H14609" t="s">
        <v>11588</v>
      </c>
      <c r="I14609" t="s">
        <v>33</v>
      </c>
      <c r="J14609">
        <v>15642</v>
      </c>
      <c r="K14609">
        <v>1672</v>
      </c>
      <c r="L14609" t="s">
        <v>23</v>
      </c>
      <c r="M14609" t="s">
        <v>31474</v>
      </c>
      <c r="N14609" t="s">
        <v>11588</v>
      </c>
      <c r="O14609" t="s">
        <v>33</v>
      </c>
      <c r="P14609">
        <v>15642</v>
      </c>
      <c r="Q14609">
        <v>1672</v>
      </c>
      <c r="R14609" t="s">
        <v>23</v>
      </c>
      <c r="S14609" s="1" t="s">
        <v>34218</v>
      </c>
    </row>
    <row r="14610" spans="1:19" x14ac:dyDescent="0.25">
      <c r="A14610">
        <v>101466017</v>
      </c>
      <c r="B14610" t="s">
        <v>744</v>
      </c>
      <c r="C14610" t="s">
        <v>7445</v>
      </c>
      <c r="G14610" t="s">
        <v>31475</v>
      </c>
      <c r="H14610" t="s">
        <v>31476</v>
      </c>
      <c r="I14610" t="s">
        <v>353</v>
      </c>
      <c r="J14610">
        <v>3254</v>
      </c>
      <c r="K14610">
        <v>4618</v>
      </c>
      <c r="L14610" t="s">
        <v>23</v>
      </c>
      <c r="M14610" t="s">
        <v>31475</v>
      </c>
      <c r="N14610" t="s">
        <v>31476</v>
      </c>
      <c r="O14610" t="s">
        <v>353</v>
      </c>
      <c r="P14610">
        <v>3254</v>
      </c>
      <c r="Q14610">
        <v>4618</v>
      </c>
      <c r="R14610" t="s">
        <v>23</v>
      </c>
      <c r="S14610" s="1" t="s">
        <v>34218</v>
      </c>
    </row>
    <row r="14611" spans="1:19" x14ac:dyDescent="0.25">
      <c r="A14611">
        <v>101482244</v>
      </c>
      <c r="B14611" t="s">
        <v>8656</v>
      </c>
      <c r="C14611" t="s">
        <v>1298</v>
      </c>
      <c r="G14611" t="s">
        <v>31477</v>
      </c>
      <c r="H14611" t="s">
        <v>31478</v>
      </c>
      <c r="I14611" t="s">
        <v>135</v>
      </c>
      <c r="J14611">
        <v>60560</v>
      </c>
      <c r="K14611">
        <v>9703</v>
      </c>
      <c r="L14611" t="s">
        <v>23</v>
      </c>
      <c r="M14611" t="s">
        <v>31477</v>
      </c>
      <c r="N14611" t="s">
        <v>31478</v>
      </c>
      <c r="O14611" t="s">
        <v>135</v>
      </c>
      <c r="P14611">
        <v>60560</v>
      </c>
      <c r="Q14611">
        <v>9703</v>
      </c>
      <c r="R14611" t="s">
        <v>23</v>
      </c>
      <c r="S14611" s="1" t="s">
        <v>34218</v>
      </c>
    </row>
    <row r="14612" spans="1:19" x14ac:dyDescent="0.25">
      <c r="A14612">
        <v>100558491</v>
      </c>
      <c r="B14612" t="s">
        <v>31479</v>
      </c>
      <c r="C14612" t="s">
        <v>387</v>
      </c>
      <c r="G14612" t="s">
        <v>31480</v>
      </c>
      <c r="H14612" t="s">
        <v>1857</v>
      </c>
      <c r="I14612" t="s">
        <v>702</v>
      </c>
      <c r="J14612">
        <v>89503</v>
      </c>
      <c r="K14612">
        <v>1635</v>
      </c>
      <c r="L14612" t="s">
        <v>23</v>
      </c>
      <c r="M14612" t="s">
        <v>31480</v>
      </c>
      <c r="N14612" t="s">
        <v>1857</v>
      </c>
      <c r="O14612" t="s">
        <v>702</v>
      </c>
      <c r="P14612">
        <v>89503</v>
      </c>
      <c r="Q14612">
        <v>1635</v>
      </c>
      <c r="R14612" t="s">
        <v>23</v>
      </c>
      <c r="S14612" s="1" t="s">
        <v>34218</v>
      </c>
    </row>
    <row r="14613" spans="1:19" x14ac:dyDescent="0.25">
      <c r="A14613">
        <v>101446629</v>
      </c>
      <c r="B14613" t="s">
        <v>31481</v>
      </c>
      <c r="C14613" t="s">
        <v>31482</v>
      </c>
      <c r="G14613" t="s">
        <v>31483</v>
      </c>
      <c r="H14613" t="s">
        <v>12413</v>
      </c>
      <c r="I14613" t="s">
        <v>565</v>
      </c>
      <c r="J14613">
        <v>52241</v>
      </c>
      <c r="K14613">
        <v>1724</v>
      </c>
      <c r="L14613" t="s">
        <v>23</v>
      </c>
      <c r="M14613" t="s">
        <v>31483</v>
      </c>
      <c r="N14613" t="s">
        <v>12413</v>
      </c>
      <c r="O14613" t="s">
        <v>565</v>
      </c>
      <c r="P14613">
        <v>52241</v>
      </c>
      <c r="Q14613">
        <v>1724</v>
      </c>
      <c r="R14613" t="s">
        <v>23</v>
      </c>
      <c r="S14613" s="1" t="s">
        <v>34218</v>
      </c>
    </row>
    <row r="14614" spans="1:19" x14ac:dyDescent="0.25">
      <c r="A14614">
        <v>101378049</v>
      </c>
      <c r="B14614" t="s">
        <v>402</v>
      </c>
      <c r="C14614" t="s">
        <v>329</v>
      </c>
      <c r="G14614" t="s">
        <v>31484</v>
      </c>
      <c r="H14614" t="s">
        <v>1250</v>
      </c>
      <c r="I14614" t="s">
        <v>52</v>
      </c>
      <c r="J14614">
        <v>34473</v>
      </c>
      <c r="K14614">
        <v>8349</v>
      </c>
      <c r="L14614" t="s">
        <v>23</v>
      </c>
      <c r="M14614" t="s">
        <v>31484</v>
      </c>
      <c r="N14614" t="s">
        <v>1250</v>
      </c>
      <c r="O14614" t="s">
        <v>52</v>
      </c>
      <c r="P14614">
        <v>34473</v>
      </c>
      <c r="Q14614">
        <v>8349</v>
      </c>
      <c r="R14614" t="s">
        <v>23</v>
      </c>
      <c r="S14614" s="1" t="s">
        <v>34218</v>
      </c>
    </row>
    <row r="14615" spans="1:19" x14ac:dyDescent="0.25">
      <c r="A14615">
        <v>101355862</v>
      </c>
      <c r="B14615" t="s">
        <v>1370</v>
      </c>
      <c r="C14615" t="s">
        <v>1306</v>
      </c>
      <c r="G14615" t="s">
        <v>31485</v>
      </c>
      <c r="H14615" t="s">
        <v>227</v>
      </c>
      <c r="I14615" t="s">
        <v>43</v>
      </c>
      <c r="J14615">
        <v>97218</v>
      </c>
      <c r="K14615">
        <v>1645</v>
      </c>
      <c r="L14615" t="s">
        <v>23</v>
      </c>
      <c r="M14615" t="s">
        <v>31485</v>
      </c>
      <c r="N14615" t="s">
        <v>227</v>
      </c>
      <c r="O14615" t="s">
        <v>43</v>
      </c>
      <c r="P14615">
        <v>97218</v>
      </c>
      <c r="Q14615">
        <v>1645</v>
      </c>
      <c r="R14615" t="s">
        <v>23</v>
      </c>
      <c r="S14615" s="1" t="s">
        <v>34218</v>
      </c>
    </row>
    <row r="14616" spans="1:19" x14ac:dyDescent="0.25">
      <c r="A14616">
        <v>101252535</v>
      </c>
      <c r="B14616" t="s">
        <v>31486</v>
      </c>
      <c r="C14616" t="s">
        <v>329</v>
      </c>
      <c r="G14616" t="s">
        <v>31487</v>
      </c>
      <c r="H14616" t="s">
        <v>10889</v>
      </c>
      <c r="I14616" t="s">
        <v>117</v>
      </c>
      <c r="J14616">
        <v>14569</v>
      </c>
      <c r="K14616">
        <v>9564</v>
      </c>
      <c r="L14616" t="s">
        <v>23</v>
      </c>
      <c r="M14616" t="s">
        <v>31487</v>
      </c>
      <c r="N14616" t="s">
        <v>10889</v>
      </c>
      <c r="O14616" t="s">
        <v>117</v>
      </c>
      <c r="P14616">
        <v>14569</v>
      </c>
      <c r="Q14616">
        <v>9564</v>
      </c>
      <c r="R14616" t="s">
        <v>23</v>
      </c>
      <c r="S14616" s="1" t="s">
        <v>34218</v>
      </c>
    </row>
    <row r="14617" spans="1:19" x14ac:dyDescent="0.25">
      <c r="A14617">
        <v>101425333</v>
      </c>
      <c r="B14617" t="s">
        <v>31488</v>
      </c>
      <c r="C14617" t="s">
        <v>1647</v>
      </c>
      <c r="G14617" t="s">
        <v>31489</v>
      </c>
      <c r="H14617" t="s">
        <v>31490</v>
      </c>
      <c r="I14617" t="s">
        <v>565</v>
      </c>
      <c r="J14617">
        <v>52577</v>
      </c>
      <c r="K14617">
        <v>9681</v>
      </c>
      <c r="L14617" t="s">
        <v>23</v>
      </c>
      <c r="M14617" t="s">
        <v>31489</v>
      </c>
      <c r="N14617" t="s">
        <v>31490</v>
      </c>
      <c r="O14617" t="s">
        <v>565</v>
      </c>
      <c r="P14617">
        <v>52577</v>
      </c>
      <c r="Q14617">
        <v>9681</v>
      </c>
      <c r="R14617" t="s">
        <v>23</v>
      </c>
      <c r="S14617" s="1" t="s">
        <v>34218</v>
      </c>
    </row>
    <row r="14618" spans="1:19" x14ac:dyDescent="0.25">
      <c r="A14618">
        <v>101465802</v>
      </c>
      <c r="B14618" t="s">
        <v>31491</v>
      </c>
      <c r="C14618" t="s">
        <v>1298</v>
      </c>
      <c r="G14618" t="s">
        <v>31492</v>
      </c>
      <c r="H14618" t="s">
        <v>569</v>
      </c>
      <c r="I14618" t="s">
        <v>187</v>
      </c>
      <c r="J14618">
        <v>55406</v>
      </c>
      <c r="K14618">
        <v>2141</v>
      </c>
      <c r="L14618" t="s">
        <v>23</v>
      </c>
      <c r="M14618" t="s">
        <v>31492</v>
      </c>
      <c r="N14618" t="s">
        <v>569</v>
      </c>
      <c r="O14618" t="s">
        <v>187</v>
      </c>
      <c r="P14618">
        <v>55406</v>
      </c>
      <c r="Q14618">
        <v>2141</v>
      </c>
      <c r="R14618" t="s">
        <v>23</v>
      </c>
      <c r="S14618" s="1" t="s">
        <v>34218</v>
      </c>
    </row>
    <row r="14619" spans="1:19" x14ac:dyDescent="0.25">
      <c r="A14619">
        <v>100663798</v>
      </c>
      <c r="B14619" t="s">
        <v>10116</v>
      </c>
      <c r="C14619" t="s">
        <v>403</v>
      </c>
      <c r="G14619" t="s">
        <v>31493</v>
      </c>
      <c r="H14619" t="s">
        <v>896</v>
      </c>
      <c r="I14619" t="s">
        <v>22</v>
      </c>
      <c r="J14619">
        <v>91801</v>
      </c>
      <c r="K14619">
        <v>2228</v>
      </c>
      <c r="L14619" t="s">
        <v>23</v>
      </c>
      <c r="M14619" t="s">
        <v>31493</v>
      </c>
      <c r="N14619" t="s">
        <v>896</v>
      </c>
      <c r="O14619" t="s">
        <v>22</v>
      </c>
      <c r="P14619">
        <v>91801</v>
      </c>
      <c r="Q14619">
        <v>2228</v>
      </c>
      <c r="R14619" t="s">
        <v>23</v>
      </c>
      <c r="S14619" s="1" t="s">
        <v>34218</v>
      </c>
    </row>
    <row r="14620" spans="1:19" x14ac:dyDescent="0.25">
      <c r="A14620">
        <v>101245797</v>
      </c>
      <c r="B14620" t="s">
        <v>31494</v>
      </c>
      <c r="C14620" t="s">
        <v>838</v>
      </c>
      <c r="G14620" t="s">
        <v>31495</v>
      </c>
      <c r="H14620" t="s">
        <v>31496</v>
      </c>
      <c r="I14620" t="s">
        <v>28</v>
      </c>
      <c r="J14620" t="s">
        <v>31497</v>
      </c>
      <c r="K14620">
        <v>2801</v>
      </c>
      <c r="L14620" t="s">
        <v>23</v>
      </c>
      <c r="M14620" t="s">
        <v>31495</v>
      </c>
      <c r="N14620" t="s">
        <v>31496</v>
      </c>
      <c r="O14620" t="s">
        <v>28</v>
      </c>
      <c r="P14620" t="s">
        <v>31497</v>
      </c>
      <c r="Q14620">
        <v>2801</v>
      </c>
      <c r="R14620" t="s">
        <v>23</v>
      </c>
      <c r="S14620" s="1" t="s">
        <v>34218</v>
      </c>
    </row>
    <row r="14621" spans="1:19" x14ac:dyDescent="0.25">
      <c r="A14621">
        <v>100978926</v>
      </c>
      <c r="B14621" t="s">
        <v>31498</v>
      </c>
      <c r="C14621" t="s">
        <v>4153</v>
      </c>
      <c r="G14621" t="s">
        <v>31499</v>
      </c>
      <c r="H14621" t="s">
        <v>2608</v>
      </c>
      <c r="I14621" t="s">
        <v>348</v>
      </c>
      <c r="J14621" t="s">
        <v>31500</v>
      </c>
      <c r="K14621">
        <v>5033</v>
      </c>
      <c r="L14621" t="s">
        <v>23</v>
      </c>
      <c r="M14621" t="s">
        <v>31499</v>
      </c>
      <c r="N14621" t="s">
        <v>2608</v>
      </c>
      <c r="O14621" t="s">
        <v>348</v>
      </c>
      <c r="P14621" t="s">
        <v>31500</v>
      </c>
      <c r="Q14621">
        <v>5033</v>
      </c>
      <c r="R14621" t="s">
        <v>23</v>
      </c>
      <c r="S14621" s="1" t="s">
        <v>34218</v>
      </c>
    </row>
    <row r="14622" spans="1:19" x14ac:dyDescent="0.25">
      <c r="A14622">
        <v>101310250</v>
      </c>
      <c r="B14622" t="s">
        <v>31501</v>
      </c>
      <c r="C14622" t="s">
        <v>329</v>
      </c>
      <c r="G14622" t="s">
        <v>31502</v>
      </c>
      <c r="H14622" t="s">
        <v>4902</v>
      </c>
      <c r="I14622" t="s">
        <v>57</v>
      </c>
      <c r="J14622" t="s">
        <v>31503</v>
      </c>
      <c r="K14622">
        <v>1498</v>
      </c>
      <c r="L14622" t="s">
        <v>23</v>
      </c>
      <c r="M14622" t="s">
        <v>31502</v>
      </c>
      <c r="N14622" t="s">
        <v>4902</v>
      </c>
      <c r="O14622" t="s">
        <v>57</v>
      </c>
      <c r="P14622" t="s">
        <v>31503</v>
      </c>
      <c r="Q14622">
        <v>1498</v>
      </c>
      <c r="R14622" t="s">
        <v>23</v>
      </c>
      <c r="S14622" s="1" t="s">
        <v>34218</v>
      </c>
    </row>
    <row r="14623" spans="1:19" x14ac:dyDescent="0.25">
      <c r="A14623">
        <v>101375281</v>
      </c>
      <c r="B14623" t="s">
        <v>1827</v>
      </c>
      <c r="C14623" t="s">
        <v>865</v>
      </c>
      <c r="G14623" t="s">
        <v>31504</v>
      </c>
      <c r="H14623" t="s">
        <v>5592</v>
      </c>
      <c r="I14623" t="s">
        <v>57</v>
      </c>
      <c r="J14623" t="s">
        <v>31505</v>
      </c>
      <c r="K14623">
        <v>8257</v>
      </c>
      <c r="L14623" t="s">
        <v>23</v>
      </c>
      <c r="M14623" t="s">
        <v>31504</v>
      </c>
      <c r="N14623" t="s">
        <v>5592</v>
      </c>
      <c r="O14623" t="s">
        <v>57</v>
      </c>
      <c r="P14623" t="s">
        <v>31505</v>
      </c>
      <c r="Q14623">
        <v>8257</v>
      </c>
      <c r="R14623" t="s">
        <v>23</v>
      </c>
      <c r="S14623" s="1" t="s">
        <v>34218</v>
      </c>
    </row>
    <row r="14624" spans="1:19" x14ac:dyDescent="0.25">
      <c r="A14624">
        <v>101444519</v>
      </c>
      <c r="B14624" t="s">
        <v>31506</v>
      </c>
      <c r="C14624" t="s">
        <v>475</v>
      </c>
      <c r="G14624" t="s">
        <v>31507</v>
      </c>
      <c r="H14624" t="s">
        <v>31508</v>
      </c>
      <c r="I14624" t="s">
        <v>639</v>
      </c>
      <c r="J14624" t="s">
        <v>31509</v>
      </c>
      <c r="K14624">
        <v>7030</v>
      </c>
      <c r="L14624" t="s">
        <v>23</v>
      </c>
      <c r="M14624" t="s">
        <v>31507</v>
      </c>
      <c r="N14624" t="s">
        <v>31508</v>
      </c>
      <c r="O14624" t="s">
        <v>639</v>
      </c>
      <c r="P14624" t="s">
        <v>31509</v>
      </c>
      <c r="Q14624">
        <v>7030</v>
      </c>
      <c r="R14624" t="s">
        <v>23</v>
      </c>
      <c r="S14624" s="1" t="s">
        <v>34218</v>
      </c>
    </row>
    <row r="14625" spans="1:19" x14ac:dyDescent="0.25">
      <c r="A14625">
        <v>101101655</v>
      </c>
      <c r="B14625" t="s">
        <v>31510</v>
      </c>
      <c r="C14625" t="s">
        <v>894</v>
      </c>
      <c r="G14625" t="s">
        <v>31511</v>
      </c>
      <c r="H14625" t="s">
        <v>1452</v>
      </c>
      <c r="I14625" t="s">
        <v>43</v>
      </c>
      <c r="J14625" t="s">
        <v>31512</v>
      </c>
      <c r="K14625">
        <v>2052</v>
      </c>
      <c r="L14625" t="s">
        <v>23</v>
      </c>
      <c r="M14625" t="s">
        <v>31511</v>
      </c>
      <c r="N14625" t="s">
        <v>1452</v>
      </c>
      <c r="O14625" t="s">
        <v>43</v>
      </c>
      <c r="P14625" t="s">
        <v>31512</v>
      </c>
      <c r="Q14625">
        <v>2052</v>
      </c>
      <c r="R14625" t="s">
        <v>23</v>
      </c>
      <c r="S14625" s="1" t="s">
        <v>34218</v>
      </c>
    </row>
    <row r="14626" spans="1:19" x14ac:dyDescent="0.25">
      <c r="A14626">
        <v>101421773</v>
      </c>
      <c r="B14626" t="s">
        <v>31513</v>
      </c>
      <c r="C14626" t="s">
        <v>123</v>
      </c>
      <c r="G14626" t="s">
        <v>31514</v>
      </c>
      <c r="H14626" t="s">
        <v>5269</v>
      </c>
      <c r="I14626" t="s">
        <v>22</v>
      </c>
      <c r="J14626" t="s">
        <v>31515</v>
      </c>
      <c r="K14626">
        <v>4450</v>
      </c>
      <c r="L14626" t="s">
        <v>23</v>
      </c>
      <c r="M14626" t="s">
        <v>31514</v>
      </c>
      <c r="N14626" t="s">
        <v>5269</v>
      </c>
      <c r="O14626" t="s">
        <v>22</v>
      </c>
      <c r="P14626" t="s">
        <v>31515</v>
      </c>
      <c r="Q14626">
        <v>4450</v>
      </c>
      <c r="R14626" t="s">
        <v>23</v>
      </c>
      <c r="S14626" s="1" t="s">
        <v>34218</v>
      </c>
    </row>
    <row r="14627" spans="1:19" x14ac:dyDescent="0.25">
      <c r="A14627">
        <v>101326016</v>
      </c>
      <c r="B14627" t="s">
        <v>31516</v>
      </c>
      <c r="C14627" t="s">
        <v>2603</v>
      </c>
      <c r="G14627" t="s">
        <v>31517</v>
      </c>
      <c r="H14627" t="s">
        <v>2375</v>
      </c>
      <c r="I14627" t="s">
        <v>100</v>
      </c>
      <c r="J14627" t="s">
        <v>31518</v>
      </c>
      <c r="K14627">
        <v>4909</v>
      </c>
      <c r="L14627" t="s">
        <v>23</v>
      </c>
      <c r="M14627" t="s">
        <v>31517</v>
      </c>
      <c r="N14627" t="s">
        <v>2375</v>
      </c>
      <c r="O14627" t="s">
        <v>100</v>
      </c>
      <c r="P14627" t="s">
        <v>31518</v>
      </c>
      <c r="Q14627">
        <v>4909</v>
      </c>
      <c r="R14627" t="s">
        <v>23</v>
      </c>
      <c r="S14627" s="1" t="s">
        <v>34218</v>
      </c>
    </row>
    <row r="14628" spans="1:19" x14ac:dyDescent="0.25">
      <c r="A14628">
        <v>101357232</v>
      </c>
      <c r="B14628" t="s">
        <v>6006</v>
      </c>
      <c r="C14628" t="s">
        <v>8877</v>
      </c>
      <c r="G14628" t="s">
        <v>31519</v>
      </c>
      <c r="H14628" t="s">
        <v>496</v>
      </c>
      <c r="I14628" t="s">
        <v>22</v>
      </c>
      <c r="J14628" t="s">
        <v>31520</v>
      </c>
      <c r="K14628">
        <v>1857</v>
      </c>
      <c r="L14628" t="s">
        <v>23</v>
      </c>
      <c r="M14628" t="s">
        <v>31519</v>
      </c>
      <c r="N14628" t="s">
        <v>496</v>
      </c>
      <c r="O14628" t="s">
        <v>22</v>
      </c>
      <c r="P14628" t="s">
        <v>31520</v>
      </c>
      <c r="Q14628">
        <v>1857</v>
      </c>
      <c r="R14628" t="s">
        <v>23</v>
      </c>
      <c r="S14628" s="1" t="s">
        <v>34218</v>
      </c>
    </row>
    <row r="14629" spans="1:19" x14ac:dyDescent="0.25">
      <c r="A14629">
        <v>101256014</v>
      </c>
      <c r="B14629" t="s">
        <v>31521</v>
      </c>
      <c r="C14629" t="s">
        <v>4159</v>
      </c>
      <c r="G14629" t="s">
        <v>31522</v>
      </c>
      <c r="H14629" t="s">
        <v>2743</v>
      </c>
      <c r="I14629" t="s">
        <v>984</v>
      </c>
      <c r="J14629">
        <v>96761</v>
      </c>
      <c r="K14629">
        <v>6723</v>
      </c>
      <c r="L14629" t="s">
        <v>23</v>
      </c>
      <c r="M14629" t="s">
        <v>31522</v>
      </c>
      <c r="N14629" t="s">
        <v>2743</v>
      </c>
      <c r="O14629" t="s">
        <v>984</v>
      </c>
      <c r="P14629">
        <v>96761</v>
      </c>
      <c r="Q14629">
        <v>6723</v>
      </c>
      <c r="R14629" t="s">
        <v>23</v>
      </c>
      <c r="S14629" s="1" t="s">
        <v>34218</v>
      </c>
    </row>
    <row r="14630" spans="1:19" x14ac:dyDescent="0.25">
      <c r="A14630">
        <v>101444688</v>
      </c>
      <c r="B14630" t="s">
        <v>1800</v>
      </c>
      <c r="C14630" t="s">
        <v>2497</v>
      </c>
      <c r="G14630" t="s">
        <v>31523</v>
      </c>
      <c r="H14630" t="s">
        <v>18159</v>
      </c>
      <c r="I14630" t="s">
        <v>255</v>
      </c>
      <c r="J14630" t="s">
        <v>31524</v>
      </c>
      <c r="K14630">
        <v>3357</v>
      </c>
      <c r="L14630" t="s">
        <v>23</v>
      </c>
      <c r="M14630" t="s">
        <v>31523</v>
      </c>
      <c r="N14630" t="s">
        <v>18159</v>
      </c>
      <c r="O14630" t="s">
        <v>255</v>
      </c>
      <c r="P14630" t="s">
        <v>31524</v>
      </c>
      <c r="Q14630">
        <v>3357</v>
      </c>
      <c r="R14630" t="s">
        <v>23</v>
      </c>
      <c r="S14630" s="1" t="s">
        <v>34218</v>
      </c>
    </row>
    <row r="14631" spans="1:19" x14ac:dyDescent="0.25">
      <c r="A14631">
        <v>101418783</v>
      </c>
      <c r="B14631" t="s">
        <v>31525</v>
      </c>
      <c r="C14631" t="s">
        <v>31526</v>
      </c>
      <c r="G14631" t="s">
        <v>31527</v>
      </c>
      <c r="H14631" t="s">
        <v>28412</v>
      </c>
      <c r="I14631" t="s">
        <v>52</v>
      </c>
      <c r="J14631" t="s">
        <v>31528</v>
      </c>
      <c r="K14631">
        <v>6803</v>
      </c>
      <c r="L14631" t="s">
        <v>23</v>
      </c>
      <c r="M14631" t="s">
        <v>31527</v>
      </c>
      <c r="N14631" t="s">
        <v>28412</v>
      </c>
      <c r="O14631" t="s">
        <v>52</v>
      </c>
      <c r="P14631" t="s">
        <v>31528</v>
      </c>
      <c r="Q14631">
        <v>6803</v>
      </c>
      <c r="R14631" t="s">
        <v>23</v>
      </c>
      <c r="S14631" s="1" t="s">
        <v>34218</v>
      </c>
    </row>
    <row r="14632" spans="1:19" x14ac:dyDescent="0.25">
      <c r="A14632">
        <v>100625281</v>
      </c>
      <c r="B14632" t="s">
        <v>31529</v>
      </c>
      <c r="C14632" t="s">
        <v>3633</v>
      </c>
      <c r="G14632" t="s">
        <v>31530</v>
      </c>
      <c r="H14632" t="s">
        <v>8986</v>
      </c>
      <c r="I14632" t="s">
        <v>38</v>
      </c>
      <c r="J14632" t="s">
        <v>31531</v>
      </c>
      <c r="K14632">
        <v>4720</v>
      </c>
      <c r="L14632" t="s">
        <v>23</v>
      </c>
      <c r="M14632" t="s">
        <v>31530</v>
      </c>
      <c r="N14632" t="s">
        <v>8986</v>
      </c>
      <c r="O14632" t="s">
        <v>38</v>
      </c>
      <c r="P14632" t="s">
        <v>31531</v>
      </c>
      <c r="Q14632">
        <v>4720</v>
      </c>
      <c r="R14632" t="s">
        <v>23</v>
      </c>
      <c r="S14632" s="1" t="s">
        <v>34218</v>
      </c>
    </row>
    <row r="14633" spans="1:19" x14ac:dyDescent="0.25">
      <c r="A14633">
        <v>101429567</v>
      </c>
      <c r="B14633" t="s">
        <v>31532</v>
      </c>
      <c r="C14633" t="s">
        <v>15041</v>
      </c>
      <c r="G14633" t="s">
        <v>31533</v>
      </c>
      <c r="H14633" t="s">
        <v>1293</v>
      </c>
      <c r="I14633" t="s">
        <v>22</v>
      </c>
      <c r="J14633" t="s">
        <v>31534</v>
      </c>
      <c r="K14633">
        <v>1600</v>
      </c>
      <c r="L14633" t="s">
        <v>23</v>
      </c>
      <c r="M14633" t="s">
        <v>31533</v>
      </c>
      <c r="N14633" t="s">
        <v>1293</v>
      </c>
      <c r="O14633" t="s">
        <v>22</v>
      </c>
      <c r="P14633" t="s">
        <v>31534</v>
      </c>
      <c r="Q14633">
        <v>1600</v>
      </c>
      <c r="R14633" t="s">
        <v>23</v>
      </c>
      <c r="S14633" s="1" t="s">
        <v>34218</v>
      </c>
    </row>
    <row r="14634" spans="1:19" x14ac:dyDescent="0.25">
      <c r="A14634">
        <v>101300511</v>
      </c>
      <c r="B14634" t="s">
        <v>7693</v>
      </c>
      <c r="C14634" t="s">
        <v>31535</v>
      </c>
      <c r="G14634" t="s">
        <v>22268</v>
      </c>
      <c r="H14634" t="s">
        <v>9796</v>
      </c>
      <c r="I14634" t="s">
        <v>203</v>
      </c>
      <c r="J14634" t="s">
        <v>31536</v>
      </c>
      <c r="K14634">
        <v>9003</v>
      </c>
      <c r="L14634" t="s">
        <v>23</v>
      </c>
      <c r="M14634" t="s">
        <v>22268</v>
      </c>
      <c r="N14634" t="s">
        <v>9796</v>
      </c>
      <c r="O14634" t="s">
        <v>203</v>
      </c>
      <c r="P14634" t="s">
        <v>31536</v>
      </c>
      <c r="Q14634">
        <v>9003</v>
      </c>
      <c r="R14634" t="s">
        <v>23</v>
      </c>
      <c r="S14634" s="1" t="s">
        <v>34218</v>
      </c>
    </row>
    <row r="14635" spans="1:19" x14ac:dyDescent="0.25">
      <c r="A14635">
        <v>101434457</v>
      </c>
      <c r="B14635" t="s">
        <v>31537</v>
      </c>
      <c r="C14635" t="s">
        <v>403</v>
      </c>
      <c r="G14635" t="s">
        <v>31538</v>
      </c>
      <c r="H14635" t="s">
        <v>299</v>
      </c>
      <c r="I14635" t="s">
        <v>22</v>
      </c>
      <c r="J14635" t="s">
        <v>31539</v>
      </c>
      <c r="K14635">
        <v>6414</v>
      </c>
      <c r="L14635" t="s">
        <v>23</v>
      </c>
      <c r="M14635" t="s">
        <v>31538</v>
      </c>
      <c r="N14635" t="s">
        <v>299</v>
      </c>
      <c r="O14635" t="s">
        <v>22</v>
      </c>
      <c r="P14635" t="s">
        <v>31539</v>
      </c>
      <c r="Q14635">
        <v>6414</v>
      </c>
      <c r="R14635" t="s">
        <v>23</v>
      </c>
      <c r="S14635" s="1" t="s">
        <v>34218</v>
      </c>
    </row>
    <row r="14636" spans="1:19" x14ac:dyDescent="0.25">
      <c r="A14636">
        <v>101436170</v>
      </c>
      <c r="B14636" t="s">
        <v>1554</v>
      </c>
      <c r="C14636" t="s">
        <v>1218</v>
      </c>
      <c r="G14636" t="s">
        <v>31540</v>
      </c>
      <c r="H14636" t="s">
        <v>31541</v>
      </c>
      <c r="I14636" t="s">
        <v>28</v>
      </c>
      <c r="J14636" t="s">
        <v>31542</v>
      </c>
      <c r="K14636">
        <v>9596</v>
      </c>
      <c r="L14636" t="s">
        <v>23</v>
      </c>
      <c r="M14636" t="s">
        <v>31540</v>
      </c>
      <c r="N14636" t="s">
        <v>31541</v>
      </c>
      <c r="O14636" t="s">
        <v>28</v>
      </c>
      <c r="P14636" t="s">
        <v>31542</v>
      </c>
      <c r="Q14636">
        <v>9596</v>
      </c>
      <c r="R14636" t="s">
        <v>23</v>
      </c>
      <c r="S14636" s="1" t="s">
        <v>34218</v>
      </c>
    </row>
    <row r="14637" spans="1:19" x14ac:dyDescent="0.25">
      <c r="A14637">
        <v>101444852</v>
      </c>
      <c r="B14637" t="s">
        <v>16852</v>
      </c>
      <c r="C14637" t="s">
        <v>1107</v>
      </c>
      <c r="G14637" t="s">
        <v>31543</v>
      </c>
      <c r="H14637" t="s">
        <v>8068</v>
      </c>
      <c r="I14637" t="s">
        <v>22</v>
      </c>
      <c r="J14637" t="s">
        <v>31544</v>
      </c>
      <c r="K14637">
        <v>2607</v>
      </c>
      <c r="L14637" t="s">
        <v>23</v>
      </c>
      <c r="M14637" t="s">
        <v>31543</v>
      </c>
      <c r="N14637" t="s">
        <v>8068</v>
      </c>
      <c r="O14637" t="s">
        <v>22</v>
      </c>
      <c r="P14637" t="s">
        <v>31544</v>
      </c>
      <c r="Q14637">
        <v>2607</v>
      </c>
      <c r="R14637" t="s">
        <v>23</v>
      </c>
      <c r="S14637" s="1" t="s">
        <v>34218</v>
      </c>
    </row>
    <row r="14638" spans="1:19" x14ac:dyDescent="0.25">
      <c r="A14638">
        <v>101305891</v>
      </c>
      <c r="B14638" t="s">
        <v>31545</v>
      </c>
      <c r="C14638" t="s">
        <v>31546</v>
      </c>
      <c r="G14638" t="s">
        <v>31547</v>
      </c>
      <c r="H14638" t="s">
        <v>3571</v>
      </c>
      <c r="I14638" t="s">
        <v>62</v>
      </c>
      <c r="J14638">
        <v>74076</v>
      </c>
      <c r="L14638" t="s">
        <v>23</v>
      </c>
      <c r="M14638" t="s">
        <v>31547</v>
      </c>
      <c r="N14638" t="s">
        <v>3571</v>
      </c>
      <c r="O14638" t="s">
        <v>62</v>
      </c>
      <c r="P14638">
        <v>74076</v>
      </c>
      <c r="R14638" t="s">
        <v>23</v>
      </c>
      <c r="S14638" s="1" t="s">
        <v>34218</v>
      </c>
    </row>
    <row r="14639" spans="1:19" x14ac:dyDescent="0.25">
      <c r="A14639">
        <v>101242777</v>
      </c>
      <c r="B14639" t="s">
        <v>10213</v>
      </c>
      <c r="C14639" t="s">
        <v>6840</v>
      </c>
      <c r="G14639" t="s">
        <v>31548</v>
      </c>
      <c r="H14639" t="s">
        <v>6645</v>
      </c>
      <c r="I14639" t="s">
        <v>22</v>
      </c>
      <c r="J14639" t="s">
        <v>31549</v>
      </c>
      <c r="K14639">
        <v>2625</v>
      </c>
      <c r="L14639" t="s">
        <v>23</v>
      </c>
      <c r="M14639" t="s">
        <v>31548</v>
      </c>
      <c r="N14639" t="s">
        <v>6645</v>
      </c>
      <c r="O14639" t="s">
        <v>22</v>
      </c>
      <c r="P14639" t="s">
        <v>31549</v>
      </c>
      <c r="Q14639">
        <v>2625</v>
      </c>
      <c r="R14639" t="s">
        <v>23</v>
      </c>
      <c r="S14639" s="1" t="s">
        <v>34218</v>
      </c>
    </row>
    <row r="14640" spans="1:19" x14ac:dyDescent="0.25">
      <c r="A14640">
        <v>101263061</v>
      </c>
      <c r="B14640" t="s">
        <v>13183</v>
      </c>
      <c r="C14640" t="s">
        <v>28155</v>
      </c>
      <c r="G14640" t="s">
        <v>31550</v>
      </c>
      <c r="H14640" t="s">
        <v>8829</v>
      </c>
      <c r="I14640" t="s">
        <v>22</v>
      </c>
      <c r="J14640" t="s">
        <v>31551</v>
      </c>
      <c r="K14640">
        <v>8973</v>
      </c>
      <c r="L14640" t="s">
        <v>23</v>
      </c>
      <c r="M14640" t="s">
        <v>31550</v>
      </c>
      <c r="N14640" t="s">
        <v>8829</v>
      </c>
      <c r="O14640" t="s">
        <v>22</v>
      </c>
      <c r="P14640" t="s">
        <v>31551</v>
      </c>
      <c r="Q14640">
        <v>8973</v>
      </c>
      <c r="R14640" t="s">
        <v>23</v>
      </c>
      <c r="S14640" s="1" t="s">
        <v>34218</v>
      </c>
    </row>
    <row r="14641" spans="1:19" x14ac:dyDescent="0.25">
      <c r="A14641">
        <v>100530544</v>
      </c>
      <c r="B14641" t="s">
        <v>31552</v>
      </c>
      <c r="C14641" t="s">
        <v>18206</v>
      </c>
      <c r="G14641" t="s">
        <v>31553</v>
      </c>
      <c r="H14641" t="s">
        <v>5379</v>
      </c>
      <c r="I14641" t="s">
        <v>84</v>
      </c>
      <c r="J14641">
        <v>98050</v>
      </c>
      <c r="L14641" t="s">
        <v>23</v>
      </c>
      <c r="M14641" t="s">
        <v>31553</v>
      </c>
      <c r="N14641" t="s">
        <v>5379</v>
      </c>
      <c r="O14641" t="s">
        <v>84</v>
      </c>
      <c r="P14641">
        <v>98050</v>
      </c>
      <c r="R14641" t="s">
        <v>23</v>
      </c>
      <c r="S14641" s="1" t="s">
        <v>34218</v>
      </c>
    </row>
    <row r="14642" spans="1:19" x14ac:dyDescent="0.25">
      <c r="A14642">
        <v>101393640</v>
      </c>
      <c r="B14642" t="s">
        <v>31554</v>
      </c>
      <c r="C14642" t="s">
        <v>2436</v>
      </c>
      <c r="G14642" t="s">
        <v>31555</v>
      </c>
      <c r="H14642" t="s">
        <v>1594</v>
      </c>
      <c r="I14642" t="s">
        <v>84</v>
      </c>
      <c r="J14642" t="s">
        <v>31556</v>
      </c>
      <c r="K14642">
        <v>2561</v>
      </c>
      <c r="L14642" t="s">
        <v>23</v>
      </c>
      <c r="M14642" t="s">
        <v>31555</v>
      </c>
      <c r="N14642" t="s">
        <v>1594</v>
      </c>
      <c r="O14642" t="s">
        <v>84</v>
      </c>
      <c r="P14642" t="s">
        <v>31556</v>
      </c>
      <c r="Q14642">
        <v>2561</v>
      </c>
      <c r="R14642" t="s">
        <v>23</v>
      </c>
      <c r="S14642" s="1" t="s">
        <v>34218</v>
      </c>
    </row>
    <row r="14643" spans="1:19" x14ac:dyDescent="0.25">
      <c r="A14643">
        <v>101435843</v>
      </c>
      <c r="B14643" t="s">
        <v>31557</v>
      </c>
      <c r="C14643" t="s">
        <v>8782</v>
      </c>
      <c r="G14643" t="s">
        <v>31558</v>
      </c>
      <c r="H14643" t="s">
        <v>10031</v>
      </c>
      <c r="I14643" t="s">
        <v>22</v>
      </c>
      <c r="J14643" t="s">
        <v>31559</v>
      </c>
      <c r="K14643">
        <v>8236</v>
      </c>
      <c r="L14643" t="s">
        <v>23</v>
      </c>
      <c r="M14643" t="s">
        <v>31558</v>
      </c>
      <c r="N14643" t="s">
        <v>10031</v>
      </c>
      <c r="O14643" t="s">
        <v>22</v>
      </c>
      <c r="P14643" t="s">
        <v>31559</v>
      </c>
      <c r="Q14643">
        <v>8236</v>
      </c>
      <c r="R14643" t="s">
        <v>23</v>
      </c>
      <c r="S14643" s="1" t="s">
        <v>34218</v>
      </c>
    </row>
    <row r="14644" spans="1:19" x14ac:dyDescent="0.25">
      <c r="A14644">
        <v>101424111</v>
      </c>
      <c r="B14644" t="s">
        <v>31560</v>
      </c>
      <c r="C14644" t="s">
        <v>7975</v>
      </c>
      <c r="G14644" t="s">
        <v>31561</v>
      </c>
      <c r="H14644" t="s">
        <v>5820</v>
      </c>
      <c r="I14644" t="s">
        <v>22</v>
      </c>
      <c r="J14644" t="s">
        <v>31562</v>
      </c>
      <c r="K14644">
        <v>6051</v>
      </c>
      <c r="L14644" t="s">
        <v>23</v>
      </c>
      <c r="M14644" t="s">
        <v>31561</v>
      </c>
      <c r="N14644" t="s">
        <v>5820</v>
      </c>
      <c r="O14644" t="s">
        <v>22</v>
      </c>
      <c r="P14644" t="s">
        <v>31562</v>
      </c>
      <c r="Q14644">
        <v>6051</v>
      </c>
      <c r="R14644" t="s">
        <v>23</v>
      </c>
      <c r="S14644" s="1" t="s">
        <v>34218</v>
      </c>
    </row>
    <row r="14645" spans="1:19" x14ac:dyDescent="0.25">
      <c r="A14645">
        <v>101258429</v>
      </c>
      <c r="B14645" t="s">
        <v>1100</v>
      </c>
      <c r="C14645" t="s">
        <v>200</v>
      </c>
      <c r="G14645" t="s">
        <v>31563</v>
      </c>
      <c r="H14645" t="s">
        <v>1877</v>
      </c>
      <c r="I14645" t="s">
        <v>43</v>
      </c>
      <c r="J14645">
        <v>97317</v>
      </c>
      <c r="K14645">
        <v>9416</v>
      </c>
      <c r="L14645" t="s">
        <v>23</v>
      </c>
      <c r="M14645" t="s">
        <v>31563</v>
      </c>
      <c r="N14645" t="s">
        <v>1877</v>
      </c>
      <c r="O14645" t="s">
        <v>43</v>
      </c>
      <c r="P14645">
        <v>97317</v>
      </c>
      <c r="Q14645">
        <v>9416</v>
      </c>
      <c r="R14645" t="s">
        <v>23</v>
      </c>
      <c r="S14645" s="1" t="s">
        <v>34218</v>
      </c>
    </row>
    <row r="14646" spans="1:19" x14ac:dyDescent="0.25">
      <c r="A14646">
        <v>101430987</v>
      </c>
      <c r="B14646" t="s">
        <v>31564</v>
      </c>
      <c r="C14646" t="s">
        <v>1444</v>
      </c>
      <c r="G14646" t="s">
        <v>31565</v>
      </c>
      <c r="H14646" t="s">
        <v>13632</v>
      </c>
      <c r="I14646" t="s">
        <v>161</v>
      </c>
      <c r="J14646" t="s">
        <v>31566</v>
      </c>
      <c r="K14646">
        <v>7466</v>
      </c>
      <c r="L14646" t="s">
        <v>23</v>
      </c>
      <c r="M14646" t="s">
        <v>31565</v>
      </c>
      <c r="N14646" t="s">
        <v>13632</v>
      </c>
      <c r="O14646" t="s">
        <v>161</v>
      </c>
      <c r="P14646" t="s">
        <v>31566</v>
      </c>
      <c r="Q14646">
        <v>7466</v>
      </c>
      <c r="R14646" t="s">
        <v>23</v>
      </c>
      <c r="S14646" s="1" t="s">
        <v>34218</v>
      </c>
    </row>
    <row r="14647" spans="1:19" x14ac:dyDescent="0.25">
      <c r="A14647">
        <v>101426861</v>
      </c>
      <c r="B14647" t="s">
        <v>25230</v>
      </c>
      <c r="C14647" t="s">
        <v>644</v>
      </c>
      <c r="G14647" t="s">
        <v>31567</v>
      </c>
      <c r="H14647" t="s">
        <v>7920</v>
      </c>
      <c r="I14647" t="s">
        <v>100</v>
      </c>
      <c r="J14647" t="s">
        <v>31568</v>
      </c>
      <c r="K14647">
        <v>2048</v>
      </c>
      <c r="L14647" t="s">
        <v>23</v>
      </c>
      <c r="M14647" t="s">
        <v>31567</v>
      </c>
      <c r="N14647" t="s">
        <v>7920</v>
      </c>
      <c r="O14647" t="s">
        <v>100</v>
      </c>
      <c r="P14647" t="s">
        <v>31568</v>
      </c>
      <c r="Q14647">
        <v>2048</v>
      </c>
      <c r="R14647" t="s">
        <v>23</v>
      </c>
      <c r="S14647" s="1" t="s">
        <v>34218</v>
      </c>
    </row>
    <row r="14648" spans="1:19" x14ac:dyDescent="0.25">
      <c r="A14648">
        <v>101426807</v>
      </c>
      <c r="B14648" t="s">
        <v>31569</v>
      </c>
      <c r="C14648" t="s">
        <v>132</v>
      </c>
      <c r="G14648" t="s">
        <v>31570</v>
      </c>
      <c r="H14648" t="s">
        <v>380</v>
      </c>
      <c r="I14648" t="s">
        <v>38</v>
      </c>
      <c r="J14648" t="s">
        <v>31571</v>
      </c>
      <c r="K14648">
        <v>3163</v>
      </c>
      <c r="L14648" t="s">
        <v>23</v>
      </c>
      <c r="M14648" t="s">
        <v>31570</v>
      </c>
      <c r="N14648" t="s">
        <v>380</v>
      </c>
      <c r="O14648" t="s">
        <v>38</v>
      </c>
      <c r="P14648" t="s">
        <v>31571</v>
      </c>
      <c r="Q14648">
        <v>3163</v>
      </c>
      <c r="R14648" t="s">
        <v>23</v>
      </c>
      <c r="S14648" s="1" t="s">
        <v>34218</v>
      </c>
    </row>
    <row r="14649" spans="1:19" x14ac:dyDescent="0.25">
      <c r="A14649">
        <v>101422754</v>
      </c>
      <c r="B14649" t="s">
        <v>7093</v>
      </c>
      <c r="C14649" t="s">
        <v>1638</v>
      </c>
      <c r="G14649" t="s">
        <v>31572</v>
      </c>
      <c r="H14649" t="s">
        <v>7122</v>
      </c>
      <c r="I14649" t="s">
        <v>22</v>
      </c>
      <c r="J14649" t="s">
        <v>31573</v>
      </c>
      <c r="K14649">
        <v>4819</v>
      </c>
      <c r="L14649" t="s">
        <v>23</v>
      </c>
      <c r="M14649" t="s">
        <v>31572</v>
      </c>
      <c r="N14649" t="s">
        <v>7122</v>
      </c>
      <c r="O14649" t="s">
        <v>22</v>
      </c>
      <c r="P14649" t="s">
        <v>31573</v>
      </c>
      <c r="Q14649">
        <v>4819</v>
      </c>
      <c r="R14649" t="s">
        <v>23</v>
      </c>
      <c r="S14649" s="1" t="s">
        <v>34218</v>
      </c>
    </row>
    <row r="14650" spans="1:19" x14ac:dyDescent="0.25">
      <c r="A14650">
        <v>101422921</v>
      </c>
      <c r="B14650" t="s">
        <v>9349</v>
      </c>
      <c r="C14650" t="s">
        <v>2159</v>
      </c>
      <c r="G14650" t="s">
        <v>31574</v>
      </c>
      <c r="H14650" t="s">
        <v>3847</v>
      </c>
      <c r="I14650" t="s">
        <v>22</v>
      </c>
      <c r="J14650" t="s">
        <v>31575</v>
      </c>
      <c r="K14650">
        <v>4514</v>
      </c>
      <c r="L14650" t="s">
        <v>23</v>
      </c>
      <c r="M14650" t="s">
        <v>31574</v>
      </c>
      <c r="N14650" t="s">
        <v>3847</v>
      </c>
      <c r="O14650" t="s">
        <v>22</v>
      </c>
      <c r="P14650" t="s">
        <v>31575</v>
      </c>
      <c r="Q14650">
        <v>4514</v>
      </c>
      <c r="R14650" t="s">
        <v>23</v>
      </c>
      <c r="S14650" s="1" t="s">
        <v>34218</v>
      </c>
    </row>
    <row r="14651" spans="1:19" x14ac:dyDescent="0.25">
      <c r="A14651">
        <v>101307643</v>
      </c>
      <c r="B14651" t="s">
        <v>31576</v>
      </c>
      <c r="C14651" t="s">
        <v>3063</v>
      </c>
      <c r="G14651" t="s">
        <v>31577</v>
      </c>
      <c r="H14651" t="s">
        <v>6879</v>
      </c>
      <c r="I14651" t="s">
        <v>565</v>
      </c>
      <c r="J14651" t="s">
        <v>31578</v>
      </c>
      <c r="K14651">
        <v>3434</v>
      </c>
      <c r="L14651" t="s">
        <v>23</v>
      </c>
      <c r="M14651" t="s">
        <v>31577</v>
      </c>
      <c r="N14651" t="s">
        <v>6879</v>
      </c>
      <c r="O14651" t="s">
        <v>565</v>
      </c>
      <c r="P14651" t="s">
        <v>31578</v>
      </c>
      <c r="Q14651">
        <v>3434</v>
      </c>
      <c r="R14651" t="s">
        <v>23</v>
      </c>
      <c r="S14651" s="1" t="s">
        <v>34218</v>
      </c>
    </row>
    <row r="14652" spans="1:19" x14ac:dyDescent="0.25">
      <c r="A14652">
        <v>101437457</v>
      </c>
      <c r="B14652" t="s">
        <v>31579</v>
      </c>
      <c r="C14652" t="s">
        <v>31580</v>
      </c>
      <c r="G14652" t="s">
        <v>31581</v>
      </c>
      <c r="H14652" t="s">
        <v>9008</v>
      </c>
      <c r="I14652" t="s">
        <v>52</v>
      </c>
      <c r="J14652" t="s">
        <v>31582</v>
      </c>
      <c r="K14652">
        <v>229</v>
      </c>
      <c r="L14652" t="s">
        <v>23</v>
      </c>
      <c r="M14652" t="s">
        <v>31581</v>
      </c>
      <c r="N14652" t="s">
        <v>9008</v>
      </c>
      <c r="O14652" t="s">
        <v>52</v>
      </c>
      <c r="P14652" t="s">
        <v>31582</v>
      </c>
      <c r="Q14652">
        <v>229</v>
      </c>
      <c r="R14652" t="s">
        <v>23</v>
      </c>
      <c r="S14652" s="1" t="s">
        <v>34218</v>
      </c>
    </row>
    <row r="14653" spans="1:19" x14ac:dyDescent="0.25">
      <c r="A14653">
        <v>101430226</v>
      </c>
      <c r="B14653" t="s">
        <v>31583</v>
      </c>
      <c r="C14653" t="s">
        <v>907</v>
      </c>
      <c r="G14653" t="s">
        <v>31584</v>
      </c>
      <c r="H14653" t="s">
        <v>471</v>
      </c>
      <c r="I14653" t="s">
        <v>365</v>
      </c>
      <c r="J14653" t="s">
        <v>31585</v>
      </c>
      <c r="K14653">
        <v>2024</v>
      </c>
      <c r="L14653" t="s">
        <v>23</v>
      </c>
      <c r="M14653" t="s">
        <v>31584</v>
      </c>
      <c r="N14653" t="s">
        <v>471</v>
      </c>
      <c r="O14653" t="s">
        <v>365</v>
      </c>
      <c r="P14653" t="s">
        <v>31585</v>
      </c>
      <c r="Q14653">
        <v>2024</v>
      </c>
      <c r="R14653" t="s">
        <v>23</v>
      </c>
      <c r="S14653" s="1" t="s">
        <v>34218</v>
      </c>
    </row>
    <row r="14654" spans="1:19" x14ac:dyDescent="0.25">
      <c r="A14654">
        <v>101431854</v>
      </c>
      <c r="B14654" t="s">
        <v>3788</v>
      </c>
      <c r="C14654" t="s">
        <v>180</v>
      </c>
      <c r="G14654" t="s">
        <v>31586</v>
      </c>
      <c r="H14654" t="s">
        <v>24886</v>
      </c>
      <c r="I14654" t="s">
        <v>140</v>
      </c>
      <c r="J14654" t="s">
        <v>31587</v>
      </c>
      <c r="K14654">
        <v>1273</v>
      </c>
      <c r="L14654" t="s">
        <v>23</v>
      </c>
      <c r="M14654" t="s">
        <v>31586</v>
      </c>
      <c r="N14654" t="s">
        <v>24886</v>
      </c>
      <c r="O14654" t="s">
        <v>140</v>
      </c>
      <c r="P14654" t="s">
        <v>31587</v>
      </c>
      <c r="Q14654">
        <v>1273</v>
      </c>
      <c r="R14654" t="s">
        <v>23</v>
      </c>
      <c r="S14654" s="1" t="s">
        <v>34218</v>
      </c>
    </row>
    <row r="14655" spans="1:19" x14ac:dyDescent="0.25">
      <c r="A14655">
        <v>100791954</v>
      </c>
      <c r="B14655" t="s">
        <v>31588</v>
      </c>
      <c r="C14655" t="s">
        <v>1549</v>
      </c>
      <c r="G14655" t="s">
        <v>31589</v>
      </c>
      <c r="H14655" t="s">
        <v>1625</v>
      </c>
      <c r="I14655" t="s">
        <v>702</v>
      </c>
      <c r="J14655" t="s">
        <v>31590</v>
      </c>
      <c r="K14655">
        <v>6342</v>
      </c>
      <c r="L14655" t="s">
        <v>23</v>
      </c>
      <c r="M14655" t="s">
        <v>31589</v>
      </c>
      <c r="N14655" t="s">
        <v>1625</v>
      </c>
      <c r="O14655" t="s">
        <v>702</v>
      </c>
      <c r="P14655" t="s">
        <v>31590</v>
      </c>
      <c r="Q14655">
        <v>6342</v>
      </c>
      <c r="R14655" t="s">
        <v>23</v>
      </c>
      <c r="S14655" s="1" t="s">
        <v>34218</v>
      </c>
    </row>
    <row r="14656" spans="1:19" x14ac:dyDescent="0.25">
      <c r="A14656">
        <v>101440861</v>
      </c>
      <c r="B14656" t="s">
        <v>31591</v>
      </c>
      <c r="C14656" t="s">
        <v>1205</v>
      </c>
      <c r="G14656" t="s">
        <v>31592</v>
      </c>
      <c r="H14656" t="s">
        <v>2987</v>
      </c>
      <c r="I14656" t="s">
        <v>22</v>
      </c>
      <c r="J14656" t="s">
        <v>31593</v>
      </c>
      <c r="K14656">
        <v>4813</v>
      </c>
      <c r="L14656" t="s">
        <v>23</v>
      </c>
      <c r="M14656" t="s">
        <v>31592</v>
      </c>
      <c r="N14656" t="s">
        <v>2987</v>
      </c>
      <c r="O14656" t="s">
        <v>22</v>
      </c>
      <c r="P14656" t="s">
        <v>31593</v>
      </c>
      <c r="Q14656">
        <v>4813</v>
      </c>
      <c r="R14656" t="s">
        <v>23</v>
      </c>
      <c r="S14656" s="1" t="s">
        <v>34218</v>
      </c>
    </row>
    <row r="14657" spans="1:19" x14ac:dyDescent="0.25">
      <c r="A14657">
        <v>101445039</v>
      </c>
      <c r="B14657" t="s">
        <v>4694</v>
      </c>
      <c r="C14657" t="s">
        <v>274</v>
      </c>
      <c r="G14657" t="s">
        <v>31594</v>
      </c>
      <c r="H14657" t="s">
        <v>31595</v>
      </c>
      <c r="I14657" t="s">
        <v>446</v>
      </c>
      <c r="J14657" t="s">
        <v>31596</v>
      </c>
      <c r="K14657">
        <v>70</v>
      </c>
      <c r="L14657" t="s">
        <v>23</v>
      </c>
      <c r="M14657" t="s">
        <v>31594</v>
      </c>
      <c r="N14657" t="s">
        <v>31595</v>
      </c>
      <c r="O14657" t="s">
        <v>446</v>
      </c>
      <c r="P14657" t="s">
        <v>31596</v>
      </c>
      <c r="Q14657">
        <v>70</v>
      </c>
      <c r="R14657" t="s">
        <v>23</v>
      </c>
      <c r="S14657" s="1" t="s">
        <v>34218</v>
      </c>
    </row>
    <row r="14658" spans="1:19" x14ac:dyDescent="0.25">
      <c r="A14658">
        <v>101361838</v>
      </c>
      <c r="B14658" t="s">
        <v>31597</v>
      </c>
      <c r="C14658" t="s">
        <v>1612</v>
      </c>
      <c r="G14658" t="s">
        <v>31598</v>
      </c>
      <c r="H14658" t="s">
        <v>9082</v>
      </c>
      <c r="I14658" t="s">
        <v>639</v>
      </c>
      <c r="J14658" t="s">
        <v>31599</v>
      </c>
      <c r="K14658">
        <v>7919</v>
      </c>
      <c r="L14658" t="s">
        <v>23</v>
      </c>
      <c r="M14658" t="s">
        <v>31598</v>
      </c>
      <c r="N14658" t="s">
        <v>9082</v>
      </c>
      <c r="O14658" t="s">
        <v>639</v>
      </c>
      <c r="P14658" t="s">
        <v>31599</v>
      </c>
      <c r="Q14658">
        <v>7919</v>
      </c>
      <c r="R14658" t="s">
        <v>23</v>
      </c>
      <c r="S14658" s="1" t="s">
        <v>34218</v>
      </c>
    </row>
    <row r="14659" spans="1:19" x14ac:dyDescent="0.25">
      <c r="A14659">
        <v>101102870</v>
      </c>
      <c r="B14659" t="s">
        <v>2656</v>
      </c>
      <c r="C14659" t="s">
        <v>3207</v>
      </c>
      <c r="G14659" t="s">
        <v>31600</v>
      </c>
      <c r="H14659" t="s">
        <v>1531</v>
      </c>
      <c r="I14659" t="s">
        <v>84</v>
      </c>
      <c r="J14659" t="s">
        <v>31601</v>
      </c>
      <c r="K14659">
        <v>2214</v>
      </c>
      <c r="L14659" t="s">
        <v>23</v>
      </c>
      <c r="M14659" t="s">
        <v>31600</v>
      </c>
      <c r="N14659" t="s">
        <v>1531</v>
      </c>
      <c r="O14659" t="s">
        <v>84</v>
      </c>
      <c r="P14659" t="s">
        <v>31601</v>
      </c>
      <c r="Q14659">
        <v>2214</v>
      </c>
      <c r="R14659" t="s">
        <v>23</v>
      </c>
      <c r="S14659" s="1" t="s">
        <v>34218</v>
      </c>
    </row>
    <row r="14660" spans="1:19" x14ac:dyDescent="0.25">
      <c r="A14660">
        <v>101304974</v>
      </c>
      <c r="B14660" t="s">
        <v>3843</v>
      </c>
      <c r="C14660" t="s">
        <v>4273</v>
      </c>
      <c r="G14660" t="s">
        <v>31602</v>
      </c>
      <c r="H14660" t="s">
        <v>3363</v>
      </c>
      <c r="I14660" t="s">
        <v>33</v>
      </c>
      <c r="J14660" t="s">
        <v>31603</v>
      </c>
      <c r="K14660">
        <v>4633</v>
      </c>
      <c r="L14660" t="s">
        <v>23</v>
      </c>
      <c r="M14660" t="s">
        <v>31602</v>
      </c>
      <c r="N14660" t="s">
        <v>3363</v>
      </c>
      <c r="O14660" t="s">
        <v>33</v>
      </c>
      <c r="P14660" t="s">
        <v>31603</v>
      </c>
      <c r="Q14660">
        <v>4633</v>
      </c>
      <c r="R14660" t="s">
        <v>23</v>
      </c>
      <c r="S14660" s="1" t="s">
        <v>34218</v>
      </c>
    </row>
    <row r="14661" spans="1:19" x14ac:dyDescent="0.25">
      <c r="A14661">
        <v>101409891</v>
      </c>
      <c r="B14661" t="s">
        <v>29760</v>
      </c>
      <c r="C14661" t="s">
        <v>31604</v>
      </c>
      <c r="G14661" t="s">
        <v>31605</v>
      </c>
      <c r="H14661" t="s">
        <v>3236</v>
      </c>
      <c r="I14661" t="s">
        <v>140</v>
      </c>
      <c r="J14661" t="s">
        <v>31606</v>
      </c>
      <c r="K14661">
        <v>9649</v>
      </c>
      <c r="L14661" t="s">
        <v>23</v>
      </c>
      <c r="M14661" t="s">
        <v>31605</v>
      </c>
      <c r="N14661" t="s">
        <v>3236</v>
      </c>
      <c r="O14661" t="s">
        <v>140</v>
      </c>
      <c r="P14661" t="s">
        <v>31606</v>
      </c>
      <c r="Q14661">
        <v>9649</v>
      </c>
      <c r="R14661" t="s">
        <v>23</v>
      </c>
      <c r="S14661" s="1" t="s">
        <v>34218</v>
      </c>
    </row>
    <row r="14662" spans="1:19" x14ac:dyDescent="0.25">
      <c r="A14662">
        <v>101440766</v>
      </c>
      <c r="B14662" t="s">
        <v>31607</v>
      </c>
      <c r="C14662" t="s">
        <v>543</v>
      </c>
      <c r="G14662" t="s">
        <v>31608</v>
      </c>
      <c r="H14662" t="s">
        <v>130</v>
      </c>
      <c r="I14662" t="s">
        <v>22</v>
      </c>
      <c r="J14662" t="s">
        <v>31609</v>
      </c>
      <c r="K14662">
        <v>2145</v>
      </c>
      <c r="L14662" t="s">
        <v>23</v>
      </c>
      <c r="M14662" t="s">
        <v>31608</v>
      </c>
      <c r="N14662" t="s">
        <v>130</v>
      </c>
      <c r="O14662" t="s">
        <v>22</v>
      </c>
      <c r="P14662" t="s">
        <v>31609</v>
      </c>
      <c r="Q14662">
        <v>2145</v>
      </c>
      <c r="R14662" t="s">
        <v>23</v>
      </c>
      <c r="S14662" s="1" t="s">
        <v>34218</v>
      </c>
    </row>
    <row r="14663" spans="1:19" x14ac:dyDescent="0.25">
      <c r="A14663">
        <v>101436820</v>
      </c>
      <c r="B14663" t="s">
        <v>16883</v>
      </c>
      <c r="C14663" t="s">
        <v>31610</v>
      </c>
      <c r="G14663" t="s">
        <v>31611</v>
      </c>
      <c r="H14663" t="s">
        <v>560</v>
      </c>
      <c r="I14663" t="s">
        <v>148</v>
      </c>
      <c r="J14663" t="s">
        <v>31612</v>
      </c>
      <c r="K14663">
        <v>5325</v>
      </c>
      <c r="L14663" t="s">
        <v>23</v>
      </c>
      <c r="M14663" t="s">
        <v>31611</v>
      </c>
      <c r="N14663" t="s">
        <v>560</v>
      </c>
      <c r="O14663" t="s">
        <v>148</v>
      </c>
      <c r="P14663" t="s">
        <v>31612</v>
      </c>
      <c r="Q14663">
        <v>5325</v>
      </c>
      <c r="R14663" t="s">
        <v>23</v>
      </c>
      <c r="S14663" s="1" t="s">
        <v>34218</v>
      </c>
    </row>
    <row r="14664" spans="1:19" x14ac:dyDescent="0.25">
      <c r="A14664">
        <v>101292790</v>
      </c>
      <c r="B14664" t="s">
        <v>31613</v>
      </c>
      <c r="C14664" t="s">
        <v>382</v>
      </c>
      <c r="G14664" t="s">
        <v>31614</v>
      </c>
      <c r="H14664" t="s">
        <v>445</v>
      </c>
      <c r="I14664" t="s">
        <v>446</v>
      </c>
      <c r="J14664" t="s">
        <v>31615</v>
      </c>
      <c r="K14664">
        <v>8912</v>
      </c>
      <c r="L14664" t="s">
        <v>23</v>
      </c>
      <c r="M14664" t="s">
        <v>31614</v>
      </c>
      <c r="N14664" t="s">
        <v>445</v>
      </c>
      <c r="O14664" t="s">
        <v>446</v>
      </c>
      <c r="P14664" t="s">
        <v>31615</v>
      </c>
      <c r="Q14664">
        <v>8912</v>
      </c>
      <c r="R14664" t="s">
        <v>23</v>
      </c>
      <c r="S14664" s="1" t="s">
        <v>34218</v>
      </c>
    </row>
    <row r="14665" spans="1:19" x14ac:dyDescent="0.25">
      <c r="A14665">
        <v>101413599</v>
      </c>
      <c r="B14665" t="s">
        <v>265</v>
      </c>
      <c r="C14665" t="s">
        <v>31616</v>
      </c>
      <c r="G14665" t="s">
        <v>31617</v>
      </c>
      <c r="H14665" t="s">
        <v>2391</v>
      </c>
      <c r="I14665" t="s">
        <v>43</v>
      </c>
      <c r="J14665" t="s">
        <v>31618</v>
      </c>
      <c r="K14665">
        <v>9637</v>
      </c>
      <c r="L14665" t="s">
        <v>23</v>
      </c>
      <c r="M14665" t="s">
        <v>31617</v>
      </c>
      <c r="N14665" t="s">
        <v>2391</v>
      </c>
      <c r="O14665" t="s">
        <v>43</v>
      </c>
      <c r="P14665" t="s">
        <v>31618</v>
      </c>
      <c r="Q14665">
        <v>9637</v>
      </c>
      <c r="R14665" t="s">
        <v>23</v>
      </c>
      <c r="S14665" s="1" t="s">
        <v>34218</v>
      </c>
    </row>
    <row r="14666" spans="1:19" x14ac:dyDescent="0.25">
      <c r="A14666">
        <v>101284204</v>
      </c>
      <c r="B14666" t="s">
        <v>31619</v>
      </c>
      <c r="C14666" t="s">
        <v>281</v>
      </c>
      <c r="G14666" t="s">
        <v>31620</v>
      </c>
      <c r="H14666" t="s">
        <v>31621</v>
      </c>
      <c r="I14666" t="s">
        <v>117</v>
      </c>
      <c r="J14666">
        <v>12484</v>
      </c>
      <c r="L14666" t="s">
        <v>23</v>
      </c>
      <c r="M14666" t="s">
        <v>31620</v>
      </c>
      <c r="N14666" t="s">
        <v>31621</v>
      </c>
      <c r="O14666" t="s">
        <v>117</v>
      </c>
      <c r="P14666">
        <v>12484</v>
      </c>
      <c r="R14666" t="s">
        <v>23</v>
      </c>
      <c r="S14666" s="1" t="s">
        <v>34218</v>
      </c>
    </row>
    <row r="14667" spans="1:19" x14ac:dyDescent="0.25">
      <c r="A14667">
        <v>101328521</v>
      </c>
      <c r="B14667" t="s">
        <v>1457</v>
      </c>
      <c r="C14667" t="s">
        <v>2776</v>
      </c>
      <c r="G14667" t="s">
        <v>31622</v>
      </c>
      <c r="H14667" t="s">
        <v>2753</v>
      </c>
      <c r="I14667" t="s">
        <v>332</v>
      </c>
      <c r="J14667" t="s">
        <v>31623</v>
      </c>
      <c r="K14667">
        <v>6703</v>
      </c>
      <c r="L14667" t="s">
        <v>23</v>
      </c>
      <c r="M14667" t="s">
        <v>31622</v>
      </c>
      <c r="N14667" t="s">
        <v>2753</v>
      </c>
      <c r="O14667" t="s">
        <v>332</v>
      </c>
      <c r="P14667" t="s">
        <v>31623</v>
      </c>
      <c r="Q14667">
        <v>6703</v>
      </c>
      <c r="R14667" t="s">
        <v>23</v>
      </c>
      <c r="S14667" s="1" t="s">
        <v>34218</v>
      </c>
    </row>
    <row r="14668" spans="1:19" x14ac:dyDescent="0.25">
      <c r="A14668">
        <v>100552254</v>
      </c>
      <c r="B14668" t="s">
        <v>31624</v>
      </c>
      <c r="C14668" t="s">
        <v>217</v>
      </c>
      <c r="G14668" t="s">
        <v>31625</v>
      </c>
      <c r="H14668" t="s">
        <v>1964</v>
      </c>
      <c r="I14668" t="s">
        <v>22</v>
      </c>
      <c r="J14668" t="s">
        <v>31626</v>
      </c>
      <c r="K14668">
        <v>1310</v>
      </c>
      <c r="L14668" t="s">
        <v>23</v>
      </c>
      <c r="M14668" t="s">
        <v>31625</v>
      </c>
      <c r="N14668" t="s">
        <v>1964</v>
      </c>
      <c r="O14668" t="s">
        <v>22</v>
      </c>
      <c r="P14668" t="s">
        <v>31626</v>
      </c>
      <c r="Q14668">
        <v>1310</v>
      </c>
      <c r="R14668" t="s">
        <v>23</v>
      </c>
      <c r="S14668" s="1" t="s">
        <v>34218</v>
      </c>
    </row>
    <row r="14669" spans="1:19" x14ac:dyDescent="0.25">
      <c r="A14669">
        <v>101430922</v>
      </c>
      <c r="B14669" t="s">
        <v>31627</v>
      </c>
      <c r="C14669" t="s">
        <v>31628</v>
      </c>
      <c r="G14669" t="s">
        <v>31629</v>
      </c>
      <c r="H14669" t="s">
        <v>14658</v>
      </c>
      <c r="I14669" t="s">
        <v>236</v>
      </c>
      <c r="J14669" t="s">
        <v>31630</v>
      </c>
      <c r="K14669">
        <v>4068</v>
      </c>
      <c r="L14669" t="s">
        <v>23</v>
      </c>
      <c r="M14669" t="s">
        <v>31629</v>
      </c>
      <c r="N14669" t="s">
        <v>14658</v>
      </c>
      <c r="O14669" t="s">
        <v>236</v>
      </c>
      <c r="P14669" t="s">
        <v>31630</v>
      </c>
      <c r="Q14669">
        <v>4068</v>
      </c>
      <c r="R14669" t="s">
        <v>23</v>
      </c>
      <c r="S14669" s="1" t="s">
        <v>34218</v>
      </c>
    </row>
    <row r="14670" spans="1:19" x14ac:dyDescent="0.25">
      <c r="A14670">
        <v>101435356</v>
      </c>
      <c r="B14670" t="s">
        <v>31631</v>
      </c>
      <c r="C14670" t="s">
        <v>31632</v>
      </c>
      <c r="G14670" t="s">
        <v>31633</v>
      </c>
      <c r="H14670" t="s">
        <v>389</v>
      </c>
      <c r="I14670" t="s">
        <v>100</v>
      </c>
      <c r="J14670" t="s">
        <v>31634</v>
      </c>
      <c r="K14670">
        <v>3655</v>
      </c>
      <c r="L14670" t="s">
        <v>23</v>
      </c>
      <c r="M14670" t="s">
        <v>31633</v>
      </c>
      <c r="N14670" t="s">
        <v>389</v>
      </c>
      <c r="O14670" t="s">
        <v>100</v>
      </c>
      <c r="P14670" t="s">
        <v>31634</v>
      </c>
      <c r="Q14670">
        <v>3655</v>
      </c>
      <c r="R14670" t="s">
        <v>23</v>
      </c>
      <c r="S14670" s="1" t="s">
        <v>34218</v>
      </c>
    </row>
    <row r="14671" spans="1:19" x14ac:dyDescent="0.25">
      <c r="A14671">
        <v>101065048</v>
      </c>
      <c r="B14671" t="s">
        <v>21535</v>
      </c>
      <c r="C14671" t="s">
        <v>2248</v>
      </c>
      <c r="G14671" t="s">
        <v>31635</v>
      </c>
      <c r="H14671" t="s">
        <v>11932</v>
      </c>
      <c r="I14671" t="s">
        <v>43</v>
      </c>
      <c r="J14671" t="s">
        <v>31636</v>
      </c>
      <c r="K14671">
        <v>6036</v>
      </c>
      <c r="L14671" t="s">
        <v>23</v>
      </c>
      <c r="M14671" t="s">
        <v>31635</v>
      </c>
      <c r="N14671" t="s">
        <v>11932</v>
      </c>
      <c r="O14671" t="s">
        <v>43</v>
      </c>
      <c r="P14671" t="s">
        <v>31636</v>
      </c>
      <c r="Q14671">
        <v>6036</v>
      </c>
      <c r="R14671" t="s">
        <v>23</v>
      </c>
      <c r="S14671" s="1" t="s">
        <v>34218</v>
      </c>
    </row>
    <row r="14672" spans="1:19" x14ac:dyDescent="0.25">
      <c r="A14672">
        <v>101431821</v>
      </c>
      <c r="B14672" t="s">
        <v>1800</v>
      </c>
      <c r="C14672" t="s">
        <v>14254</v>
      </c>
      <c r="G14672" t="s">
        <v>31637</v>
      </c>
      <c r="H14672" t="s">
        <v>1477</v>
      </c>
      <c r="I14672" t="s">
        <v>84</v>
      </c>
      <c r="J14672" t="s">
        <v>31638</v>
      </c>
      <c r="K14672">
        <v>8200</v>
      </c>
      <c r="L14672" t="s">
        <v>23</v>
      </c>
      <c r="M14672" t="s">
        <v>31637</v>
      </c>
      <c r="N14672" t="s">
        <v>1477</v>
      </c>
      <c r="O14672" t="s">
        <v>84</v>
      </c>
      <c r="P14672" t="s">
        <v>31638</v>
      </c>
      <c r="Q14672">
        <v>8200</v>
      </c>
      <c r="R14672" t="s">
        <v>23</v>
      </c>
      <c r="S14672" s="1" t="s">
        <v>34218</v>
      </c>
    </row>
    <row r="14673" spans="1:19" x14ac:dyDescent="0.25">
      <c r="A14673">
        <v>101470971</v>
      </c>
      <c r="B14673" t="s">
        <v>31639</v>
      </c>
      <c r="C14673" t="s">
        <v>31640</v>
      </c>
      <c r="G14673" t="s">
        <v>31641</v>
      </c>
      <c r="H14673" t="s">
        <v>31642</v>
      </c>
      <c r="I14673" t="s">
        <v>100</v>
      </c>
      <c r="J14673">
        <v>53538</v>
      </c>
      <c r="K14673">
        <v>9107</v>
      </c>
      <c r="L14673" t="s">
        <v>23</v>
      </c>
      <c r="M14673" t="s">
        <v>31641</v>
      </c>
      <c r="N14673" t="s">
        <v>31642</v>
      </c>
      <c r="O14673" t="s">
        <v>100</v>
      </c>
      <c r="P14673">
        <v>53538</v>
      </c>
      <c r="Q14673">
        <v>9107</v>
      </c>
      <c r="R14673" t="s">
        <v>23</v>
      </c>
      <c r="S14673" s="1" t="s">
        <v>34218</v>
      </c>
    </row>
    <row r="14674" spans="1:19" x14ac:dyDescent="0.25">
      <c r="A14674">
        <v>101430618</v>
      </c>
      <c r="B14674" t="s">
        <v>31643</v>
      </c>
      <c r="C14674" t="s">
        <v>31644</v>
      </c>
      <c r="G14674" t="s">
        <v>31645</v>
      </c>
      <c r="H14674" t="s">
        <v>6512</v>
      </c>
      <c r="I14674" t="s">
        <v>255</v>
      </c>
      <c r="J14674">
        <v>24011</v>
      </c>
      <c r="K14674">
        <v>2441</v>
      </c>
      <c r="L14674" t="s">
        <v>23</v>
      </c>
      <c r="M14674" t="s">
        <v>31645</v>
      </c>
      <c r="N14674" t="s">
        <v>6512</v>
      </c>
      <c r="O14674" t="s">
        <v>255</v>
      </c>
      <c r="P14674">
        <v>24011</v>
      </c>
      <c r="Q14674">
        <v>2441</v>
      </c>
      <c r="R14674" t="s">
        <v>23</v>
      </c>
      <c r="S14674" s="1" t="s">
        <v>34218</v>
      </c>
    </row>
    <row r="14675" spans="1:19" x14ac:dyDescent="0.25">
      <c r="A14675">
        <v>100866754</v>
      </c>
      <c r="B14675" t="s">
        <v>31646</v>
      </c>
      <c r="C14675" t="s">
        <v>3774</v>
      </c>
      <c r="G14675" t="s">
        <v>31647</v>
      </c>
      <c r="H14675" t="s">
        <v>8256</v>
      </c>
      <c r="I14675" t="s">
        <v>250</v>
      </c>
      <c r="J14675">
        <v>8816</v>
      </c>
      <c r="K14675">
        <v>3050</v>
      </c>
      <c r="L14675" t="s">
        <v>23</v>
      </c>
      <c r="M14675" t="s">
        <v>31647</v>
      </c>
      <c r="N14675" t="s">
        <v>8256</v>
      </c>
      <c r="O14675" t="s">
        <v>250</v>
      </c>
      <c r="P14675">
        <v>8816</v>
      </c>
      <c r="Q14675">
        <v>3050</v>
      </c>
      <c r="R14675" t="s">
        <v>23</v>
      </c>
      <c r="S14675" s="1" t="s">
        <v>34218</v>
      </c>
    </row>
    <row r="14676" spans="1:19" x14ac:dyDescent="0.25">
      <c r="A14676">
        <v>101432798</v>
      </c>
      <c r="B14676" t="s">
        <v>4793</v>
      </c>
      <c r="C14676" t="s">
        <v>2159</v>
      </c>
      <c r="G14676" t="s">
        <v>31648</v>
      </c>
      <c r="H14676" t="s">
        <v>1130</v>
      </c>
      <c r="I14676" t="s">
        <v>22</v>
      </c>
      <c r="J14676">
        <v>92399</v>
      </c>
      <c r="L14676" t="s">
        <v>23</v>
      </c>
      <c r="M14676" t="s">
        <v>31648</v>
      </c>
      <c r="N14676" t="s">
        <v>1130</v>
      </c>
      <c r="O14676" t="s">
        <v>22</v>
      </c>
      <c r="P14676">
        <v>92399</v>
      </c>
      <c r="R14676" t="s">
        <v>23</v>
      </c>
      <c r="S14676" s="1" t="s">
        <v>34218</v>
      </c>
    </row>
    <row r="14677" spans="1:19" x14ac:dyDescent="0.25">
      <c r="A14677">
        <v>101314731</v>
      </c>
      <c r="B14677" t="s">
        <v>31649</v>
      </c>
      <c r="C14677" t="s">
        <v>535</v>
      </c>
      <c r="G14677" t="s">
        <v>31650</v>
      </c>
      <c r="H14677" t="s">
        <v>6685</v>
      </c>
      <c r="I14677" t="s">
        <v>191</v>
      </c>
      <c r="J14677">
        <v>4862</v>
      </c>
      <c r="K14677">
        <v>5831</v>
      </c>
      <c r="L14677" t="s">
        <v>23</v>
      </c>
      <c r="M14677" t="s">
        <v>31650</v>
      </c>
      <c r="N14677" t="s">
        <v>6685</v>
      </c>
      <c r="O14677" t="s">
        <v>191</v>
      </c>
      <c r="P14677">
        <v>4862</v>
      </c>
      <c r="Q14677">
        <v>5831</v>
      </c>
      <c r="R14677" t="s">
        <v>23</v>
      </c>
      <c r="S14677" s="1" t="s">
        <v>34218</v>
      </c>
    </row>
    <row r="14678" spans="1:19" x14ac:dyDescent="0.25">
      <c r="A14678">
        <v>101471075</v>
      </c>
      <c r="B14678" t="s">
        <v>14322</v>
      </c>
      <c r="C14678" t="s">
        <v>31651</v>
      </c>
      <c r="G14678" t="s">
        <v>31652</v>
      </c>
      <c r="H14678" t="s">
        <v>31653</v>
      </c>
      <c r="I14678" t="s">
        <v>140</v>
      </c>
      <c r="J14678">
        <v>48850</v>
      </c>
      <c r="K14678">
        <v>9104</v>
      </c>
      <c r="L14678" t="s">
        <v>23</v>
      </c>
      <c r="M14678" t="s">
        <v>31652</v>
      </c>
      <c r="N14678" t="s">
        <v>31653</v>
      </c>
      <c r="O14678" t="s">
        <v>140</v>
      </c>
      <c r="P14678">
        <v>48850</v>
      </c>
      <c r="Q14678">
        <v>9104</v>
      </c>
      <c r="R14678" t="s">
        <v>23</v>
      </c>
      <c r="S14678" s="1" t="s">
        <v>34218</v>
      </c>
    </row>
    <row r="14679" spans="1:19" x14ac:dyDescent="0.25">
      <c r="A14679">
        <v>100848087</v>
      </c>
      <c r="B14679" t="s">
        <v>11212</v>
      </c>
      <c r="C14679" t="s">
        <v>2420</v>
      </c>
      <c r="G14679" t="s">
        <v>31654</v>
      </c>
      <c r="H14679" t="s">
        <v>653</v>
      </c>
      <c r="I14679" t="s">
        <v>117</v>
      </c>
      <c r="J14679">
        <v>11797</v>
      </c>
      <c r="L14679" t="s">
        <v>23</v>
      </c>
      <c r="M14679" t="s">
        <v>31654</v>
      </c>
      <c r="N14679" t="s">
        <v>653</v>
      </c>
      <c r="O14679" t="s">
        <v>117</v>
      </c>
      <c r="P14679">
        <v>11797</v>
      </c>
      <c r="R14679" t="s">
        <v>23</v>
      </c>
      <c r="S14679" s="1" t="s">
        <v>34218</v>
      </c>
    </row>
    <row r="14680" spans="1:19" x14ac:dyDescent="0.25">
      <c r="A14680">
        <v>101470846</v>
      </c>
      <c r="B14680" t="s">
        <v>31655</v>
      </c>
      <c r="C14680" t="s">
        <v>4502</v>
      </c>
      <c r="G14680" t="s">
        <v>6756</v>
      </c>
      <c r="H14680" t="s">
        <v>31656</v>
      </c>
      <c r="I14680" t="s">
        <v>178</v>
      </c>
      <c r="J14680">
        <v>43064</v>
      </c>
      <c r="K14680">
        <v>126</v>
      </c>
      <c r="L14680" t="s">
        <v>23</v>
      </c>
      <c r="M14680" t="s">
        <v>6756</v>
      </c>
      <c r="N14680" t="s">
        <v>31656</v>
      </c>
      <c r="O14680" t="s">
        <v>178</v>
      </c>
      <c r="P14680">
        <v>43064</v>
      </c>
      <c r="Q14680">
        <v>126</v>
      </c>
      <c r="R14680" t="s">
        <v>23</v>
      </c>
      <c r="S14680" s="1" t="s">
        <v>34218</v>
      </c>
    </row>
    <row r="14681" spans="1:19" x14ac:dyDescent="0.25">
      <c r="A14681">
        <v>101482251</v>
      </c>
      <c r="B14681" t="s">
        <v>7028</v>
      </c>
      <c r="C14681" t="s">
        <v>233</v>
      </c>
      <c r="G14681" t="s">
        <v>31657</v>
      </c>
      <c r="H14681" t="s">
        <v>7705</v>
      </c>
      <c r="I14681" t="s">
        <v>187</v>
      </c>
      <c r="J14681">
        <v>55046</v>
      </c>
      <c r="K14681">
        <v>9551</v>
      </c>
      <c r="L14681" t="s">
        <v>23</v>
      </c>
      <c r="M14681" t="s">
        <v>31657</v>
      </c>
      <c r="N14681" t="s">
        <v>7705</v>
      </c>
      <c r="O14681" t="s">
        <v>187</v>
      </c>
      <c r="P14681">
        <v>55046</v>
      </c>
      <c r="Q14681">
        <v>9551</v>
      </c>
      <c r="R14681" t="s">
        <v>23</v>
      </c>
      <c r="S14681" s="1" t="s">
        <v>34218</v>
      </c>
    </row>
    <row r="14682" spans="1:19" x14ac:dyDescent="0.25">
      <c r="A14682">
        <v>101468313</v>
      </c>
      <c r="B14682" t="s">
        <v>31658</v>
      </c>
      <c r="C14682" t="s">
        <v>2417</v>
      </c>
      <c r="G14682" t="s">
        <v>31659</v>
      </c>
      <c r="H14682" t="s">
        <v>16912</v>
      </c>
      <c r="I14682" t="s">
        <v>43</v>
      </c>
      <c r="J14682">
        <v>97068</v>
      </c>
      <c r="K14682">
        <v>9674</v>
      </c>
      <c r="L14682" t="s">
        <v>23</v>
      </c>
      <c r="M14682" t="s">
        <v>31659</v>
      </c>
      <c r="N14682" t="s">
        <v>16912</v>
      </c>
      <c r="O14682" t="s">
        <v>43</v>
      </c>
      <c r="P14682">
        <v>97068</v>
      </c>
      <c r="Q14682">
        <v>9674</v>
      </c>
      <c r="R14682" t="s">
        <v>23</v>
      </c>
      <c r="S14682" s="1" t="s">
        <v>34218</v>
      </c>
    </row>
    <row r="14683" spans="1:19" x14ac:dyDescent="0.25">
      <c r="A14683">
        <v>101184961</v>
      </c>
      <c r="B14683" t="s">
        <v>31660</v>
      </c>
      <c r="C14683" t="s">
        <v>699</v>
      </c>
      <c r="G14683" t="s">
        <v>31661</v>
      </c>
      <c r="H14683" t="s">
        <v>2279</v>
      </c>
      <c r="I14683" t="s">
        <v>52</v>
      </c>
      <c r="J14683">
        <v>33611</v>
      </c>
      <c r="K14683">
        <v>3377</v>
      </c>
      <c r="L14683" t="s">
        <v>23</v>
      </c>
      <c r="M14683" t="s">
        <v>31661</v>
      </c>
      <c r="N14683" t="s">
        <v>2279</v>
      </c>
      <c r="O14683" t="s">
        <v>52</v>
      </c>
      <c r="P14683">
        <v>33611</v>
      </c>
      <c r="Q14683">
        <v>3377</v>
      </c>
      <c r="R14683" t="s">
        <v>23</v>
      </c>
      <c r="S14683" s="1" t="s">
        <v>34218</v>
      </c>
    </row>
    <row r="14684" spans="1:19" x14ac:dyDescent="0.25">
      <c r="A14684">
        <v>101482312</v>
      </c>
      <c r="B14684" t="s">
        <v>3237</v>
      </c>
      <c r="C14684" t="s">
        <v>22875</v>
      </c>
      <c r="G14684" t="s">
        <v>31662</v>
      </c>
      <c r="H14684" t="s">
        <v>5876</v>
      </c>
      <c r="I14684" t="s">
        <v>52</v>
      </c>
      <c r="J14684">
        <v>34203</v>
      </c>
      <c r="K14684">
        <v>7311</v>
      </c>
      <c r="L14684" t="s">
        <v>23</v>
      </c>
      <c r="M14684" t="s">
        <v>31662</v>
      </c>
      <c r="N14684" t="s">
        <v>5876</v>
      </c>
      <c r="O14684" t="s">
        <v>52</v>
      </c>
      <c r="P14684">
        <v>34203</v>
      </c>
      <c r="Q14684">
        <v>7311</v>
      </c>
      <c r="R14684" t="s">
        <v>23</v>
      </c>
      <c r="S14684" s="1" t="s">
        <v>34218</v>
      </c>
    </row>
    <row r="14685" spans="1:19" x14ac:dyDescent="0.25">
      <c r="A14685">
        <v>101031571</v>
      </c>
      <c r="B14685" t="s">
        <v>31663</v>
      </c>
      <c r="C14685" t="s">
        <v>1124</v>
      </c>
      <c r="G14685" t="s">
        <v>31664</v>
      </c>
      <c r="H14685" t="s">
        <v>15765</v>
      </c>
      <c r="I14685" t="s">
        <v>84</v>
      </c>
      <c r="J14685">
        <v>98277</v>
      </c>
      <c r="L14685" t="s">
        <v>23</v>
      </c>
      <c r="M14685" t="s">
        <v>31664</v>
      </c>
      <c r="N14685" t="s">
        <v>15765</v>
      </c>
      <c r="O14685" t="s">
        <v>84</v>
      </c>
      <c r="P14685">
        <v>98277</v>
      </c>
      <c r="R14685" t="s">
        <v>23</v>
      </c>
      <c r="S14685" s="1" t="s">
        <v>34218</v>
      </c>
    </row>
    <row r="14686" spans="1:19" x14ac:dyDescent="0.25">
      <c r="A14686">
        <v>101455834</v>
      </c>
      <c r="B14686" t="s">
        <v>1167</v>
      </c>
      <c r="C14686" t="s">
        <v>846</v>
      </c>
      <c r="G14686" t="s">
        <v>31665</v>
      </c>
      <c r="H14686" t="s">
        <v>6490</v>
      </c>
      <c r="I14686" t="s">
        <v>307</v>
      </c>
      <c r="J14686">
        <v>5667</v>
      </c>
      <c r="K14686">
        <v>9598</v>
      </c>
      <c r="L14686" t="s">
        <v>23</v>
      </c>
      <c r="M14686" t="s">
        <v>31665</v>
      </c>
      <c r="N14686" t="s">
        <v>6490</v>
      </c>
      <c r="O14686" t="s">
        <v>307</v>
      </c>
      <c r="P14686">
        <v>5667</v>
      </c>
      <c r="Q14686">
        <v>9598</v>
      </c>
      <c r="R14686" t="s">
        <v>23</v>
      </c>
      <c r="S14686" s="1" t="s">
        <v>34218</v>
      </c>
    </row>
    <row r="14687" spans="1:19" x14ac:dyDescent="0.25">
      <c r="A14687">
        <v>101449163</v>
      </c>
      <c r="B14687" t="s">
        <v>16684</v>
      </c>
      <c r="C14687" t="s">
        <v>123</v>
      </c>
      <c r="G14687" t="s">
        <v>31666</v>
      </c>
      <c r="H14687" t="s">
        <v>299</v>
      </c>
      <c r="I14687" t="s">
        <v>22</v>
      </c>
      <c r="J14687">
        <v>90018</v>
      </c>
      <c r="K14687">
        <v>1157</v>
      </c>
      <c r="L14687" t="s">
        <v>23</v>
      </c>
      <c r="M14687" t="s">
        <v>31666</v>
      </c>
      <c r="N14687" t="s">
        <v>299</v>
      </c>
      <c r="O14687" t="s">
        <v>22</v>
      </c>
      <c r="P14687">
        <v>90018</v>
      </c>
      <c r="Q14687">
        <v>1157</v>
      </c>
      <c r="R14687" t="s">
        <v>23</v>
      </c>
      <c r="S14687" s="1" t="s">
        <v>34218</v>
      </c>
    </row>
    <row r="14688" spans="1:19" x14ac:dyDescent="0.25">
      <c r="A14688">
        <v>101467893</v>
      </c>
      <c r="B14688" t="s">
        <v>31667</v>
      </c>
      <c r="C14688" t="s">
        <v>123</v>
      </c>
      <c r="G14688" t="s">
        <v>31668</v>
      </c>
      <c r="H14688" t="s">
        <v>4391</v>
      </c>
      <c r="I14688" t="s">
        <v>84</v>
      </c>
      <c r="J14688">
        <v>99156</v>
      </c>
      <c r="K14688">
        <v>5196</v>
      </c>
      <c r="L14688" t="s">
        <v>23</v>
      </c>
      <c r="M14688" t="s">
        <v>31668</v>
      </c>
      <c r="N14688" t="s">
        <v>4391</v>
      </c>
      <c r="O14688" t="s">
        <v>84</v>
      </c>
      <c r="P14688">
        <v>99156</v>
      </c>
      <c r="Q14688">
        <v>5196</v>
      </c>
      <c r="R14688" t="s">
        <v>23</v>
      </c>
      <c r="S14688" s="1" t="s">
        <v>34218</v>
      </c>
    </row>
    <row r="14689" spans="1:19" x14ac:dyDescent="0.25">
      <c r="A14689">
        <v>101249744</v>
      </c>
      <c r="B14689" t="s">
        <v>1164</v>
      </c>
      <c r="C14689" t="s">
        <v>2515</v>
      </c>
      <c r="G14689" t="s">
        <v>31669</v>
      </c>
      <c r="H14689" t="s">
        <v>2296</v>
      </c>
      <c r="I14689" t="s">
        <v>22</v>
      </c>
      <c r="J14689">
        <v>95003</v>
      </c>
      <c r="L14689" t="s">
        <v>23</v>
      </c>
      <c r="M14689" t="s">
        <v>31669</v>
      </c>
      <c r="N14689" t="s">
        <v>2296</v>
      </c>
      <c r="O14689" t="s">
        <v>22</v>
      </c>
      <c r="P14689">
        <v>95003</v>
      </c>
      <c r="R14689" t="s">
        <v>23</v>
      </c>
      <c r="S14689" s="1" t="s">
        <v>34218</v>
      </c>
    </row>
    <row r="14690" spans="1:19" x14ac:dyDescent="0.25">
      <c r="A14690">
        <v>101465873</v>
      </c>
      <c r="B14690" t="s">
        <v>208</v>
      </c>
      <c r="C14690" t="s">
        <v>180</v>
      </c>
      <c r="G14690" t="s">
        <v>31670</v>
      </c>
      <c r="H14690" t="s">
        <v>591</v>
      </c>
      <c r="I14690" t="s">
        <v>84</v>
      </c>
      <c r="J14690">
        <v>98226</v>
      </c>
      <c r="K14690">
        <v>7600</v>
      </c>
      <c r="L14690" t="s">
        <v>23</v>
      </c>
      <c r="M14690" t="s">
        <v>31670</v>
      </c>
      <c r="N14690" t="s">
        <v>591</v>
      </c>
      <c r="O14690" t="s">
        <v>84</v>
      </c>
      <c r="P14690">
        <v>98226</v>
      </c>
      <c r="Q14690">
        <v>7600</v>
      </c>
      <c r="R14690" t="s">
        <v>23</v>
      </c>
      <c r="S14690" s="1" t="s">
        <v>34218</v>
      </c>
    </row>
    <row r="14691" spans="1:19" x14ac:dyDescent="0.25">
      <c r="A14691">
        <v>101228941</v>
      </c>
      <c r="B14691" t="s">
        <v>31671</v>
      </c>
      <c r="C14691" t="s">
        <v>31672</v>
      </c>
      <c r="F14691" t="str">
        <f>"4103777774"</f>
        <v>4103777774</v>
      </c>
      <c r="G14691" t="s">
        <v>31673</v>
      </c>
      <c r="H14691" t="s">
        <v>3668</v>
      </c>
      <c r="I14691" t="s">
        <v>148</v>
      </c>
      <c r="J14691">
        <v>21212</v>
      </c>
      <c r="K14691">
        <v>1016</v>
      </c>
      <c r="L14691" t="s">
        <v>23</v>
      </c>
      <c r="M14691" t="s">
        <v>31673</v>
      </c>
      <c r="N14691" t="s">
        <v>3668</v>
      </c>
      <c r="O14691" t="s">
        <v>148</v>
      </c>
      <c r="P14691">
        <v>21212</v>
      </c>
      <c r="Q14691">
        <v>1016</v>
      </c>
      <c r="R14691" t="s">
        <v>23</v>
      </c>
      <c r="S14691" s="1" t="s">
        <v>34218</v>
      </c>
    </row>
    <row r="14692" spans="1:19" x14ac:dyDescent="0.25">
      <c r="A14692">
        <v>101360341</v>
      </c>
      <c r="B14692" t="s">
        <v>1164</v>
      </c>
      <c r="C14692" t="s">
        <v>1714</v>
      </c>
      <c r="G14692" t="s">
        <v>31674</v>
      </c>
      <c r="H14692" t="s">
        <v>1748</v>
      </c>
      <c r="I14692" t="s">
        <v>255</v>
      </c>
      <c r="J14692">
        <v>22203</v>
      </c>
      <c r="K14692">
        <v>3025</v>
      </c>
      <c r="L14692" t="s">
        <v>23</v>
      </c>
      <c r="M14692" t="s">
        <v>31674</v>
      </c>
      <c r="N14692" t="s">
        <v>1748</v>
      </c>
      <c r="O14692" t="s">
        <v>255</v>
      </c>
      <c r="P14692">
        <v>22203</v>
      </c>
      <c r="Q14692">
        <v>3025</v>
      </c>
      <c r="R14692" t="s">
        <v>23</v>
      </c>
      <c r="S14692" s="1" t="s">
        <v>34218</v>
      </c>
    </row>
    <row r="14693" spans="1:19" x14ac:dyDescent="0.25">
      <c r="A14693">
        <v>101471046</v>
      </c>
      <c r="B14693" t="s">
        <v>31675</v>
      </c>
      <c r="C14693" t="s">
        <v>2802</v>
      </c>
      <c r="G14693" t="s">
        <v>31676</v>
      </c>
      <c r="H14693" t="s">
        <v>31677</v>
      </c>
      <c r="I14693" t="s">
        <v>148</v>
      </c>
      <c r="J14693">
        <v>21713</v>
      </c>
      <c r="K14693">
        <v>2651</v>
      </c>
      <c r="L14693" t="s">
        <v>23</v>
      </c>
      <c r="M14693" t="s">
        <v>31676</v>
      </c>
      <c r="N14693" t="s">
        <v>31677</v>
      </c>
      <c r="O14693" t="s">
        <v>148</v>
      </c>
      <c r="P14693">
        <v>21713</v>
      </c>
      <c r="Q14693">
        <v>2651</v>
      </c>
      <c r="R14693" t="s">
        <v>23</v>
      </c>
      <c r="S14693" s="1" t="s">
        <v>34218</v>
      </c>
    </row>
    <row r="14694" spans="1:19" x14ac:dyDescent="0.25">
      <c r="A14694">
        <v>100570862</v>
      </c>
      <c r="B14694" t="s">
        <v>31678</v>
      </c>
      <c r="C14694" t="s">
        <v>31679</v>
      </c>
      <c r="G14694" t="s">
        <v>31680</v>
      </c>
      <c r="H14694" t="s">
        <v>5446</v>
      </c>
      <c r="I14694" t="s">
        <v>255</v>
      </c>
      <c r="J14694">
        <v>22193</v>
      </c>
      <c r="L14694" t="s">
        <v>23</v>
      </c>
      <c r="M14694" t="s">
        <v>31680</v>
      </c>
      <c r="N14694" t="s">
        <v>5446</v>
      </c>
      <c r="O14694" t="s">
        <v>255</v>
      </c>
      <c r="P14694">
        <v>22193</v>
      </c>
      <c r="R14694" t="s">
        <v>23</v>
      </c>
      <c r="S14694" s="1" t="s">
        <v>34218</v>
      </c>
    </row>
    <row r="14695" spans="1:19" x14ac:dyDescent="0.25">
      <c r="A14695">
        <v>101330251</v>
      </c>
      <c r="B14695" t="s">
        <v>29</v>
      </c>
      <c r="C14695" t="s">
        <v>31681</v>
      </c>
      <c r="G14695" t="s">
        <v>31682</v>
      </c>
      <c r="H14695" t="s">
        <v>393</v>
      </c>
      <c r="I14695" t="s">
        <v>71</v>
      </c>
      <c r="J14695">
        <v>80218</v>
      </c>
      <c r="K14695">
        <v>1636</v>
      </c>
      <c r="L14695" t="s">
        <v>23</v>
      </c>
      <c r="M14695" t="s">
        <v>31682</v>
      </c>
      <c r="N14695" t="s">
        <v>393</v>
      </c>
      <c r="O14695" t="s">
        <v>71</v>
      </c>
      <c r="P14695">
        <v>80218</v>
      </c>
      <c r="Q14695">
        <v>1636</v>
      </c>
      <c r="R14695" t="s">
        <v>23</v>
      </c>
      <c r="S14695" s="1" t="s">
        <v>34218</v>
      </c>
    </row>
    <row r="14696" spans="1:19" x14ac:dyDescent="0.25">
      <c r="A14696">
        <v>101193394</v>
      </c>
      <c r="B14696" t="s">
        <v>31683</v>
      </c>
      <c r="C14696" t="s">
        <v>31684</v>
      </c>
      <c r="G14696" t="s">
        <v>31685</v>
      </c>
      <c r="H14696" t="s">
        <v>3933</v>
      </c>
      <c r="I14696" t="s">
        <v>984</v>
      </c>
      <c r="J14696">
        <v>96749</v>
      </c>
      <c r="L14696" t="s">
        <v>23</v>
      </c>
      <c r="M14696" t="s">
        <v>31685</v>
      </c>
      <c r="N14696" t="s">
        <v>3933</v>
      </c>
      <c r="O14696" t="s">
        <v>984</v>
      </c>
      <c r="P14696">
        <v>96749</v>
      </c>
      <c r="R14696" t="s">
        <v>23</v>
      </c>
      <c r="S14696" s="1" t="s">
        <v>34218</v>
      </c>
    </row>
    <row r="14697" spans="1:19" x14ac:dyDescent="0.25">
      <c r="A14697">
        <v>100857111</v>
      </c>
      <c r="B14697" t="s">
        <v>20897</v>
      </c>
      <c r="C14697" t="s">
        <v>216</v>
      </c>
      <c r="G14697" t="s">
        <v>31686</v>
      </c>
      <c r="H14697" t="s">
        <v>31687</v>
      </c>
      <c r="I14697" t="s">
        <v>22</v>
      </c>
      <c r="J14697">
        <v>92382</v>
      </c>
      <c r="L14697" t="s">
        <v>23</v>
      </c>
      <c r="M14697" t="s">
        <v>31686</v>
      </c>
      <c r="N14697" t="s">
        <v>31687</v>
      </c>
      <c r="O14697" t="s">
        <v>22</v>
      </c>
      <c r="P14697">
        <v>92382</v>
      </c>
      <c r="R14697" t="s">
        <v>23</v>
      </c>
      <c r="S14697" s="1" t="s">
        <v>34218</v>
      </c>
    </row>
    <row r="14698" spans="1:19" x14ac:dyDescent="0.25">
      <c r="A14698">
        <v>101241429</v>
      </c>
      <c r="B14698" t="s">
        <v>9265</v>
      </c>
      <c r="C14698" t="s">
        <v>110</v>
      </c>
      <c r="G14698" t="s">
        <v>31688</v>
      </c>
      <c r="H14698" t="s">
        <v>299</v>
      </c>
      <c r="I14698" t="s">
        <v>22</v>
      </c>
      <c r="J14698">
        <v>90027</v>
      </c>
      <c r="K14698">
        <v>4022</v>
      </c>
      <c r="L14698" t="s">
        <v>23</v>
      </c>
      <c r="M14698" t="s">
        <v>31688</v>
      </c>
      <c r="N14698" t="s">
        <v>299</v>
      </c>
      <c r="O14698" t="s">
        <v>22</v>
      </c>
      <c r="P14698">
        <v>90027</v>
      </c>
      <c r="Q14698">
        <v>4022</v>
      </c>
      <c r="R14698" t="s">
        <v>23</v>
      </c>
      <c r="S14698" s="1" t="s">
        <v>34218</v>
      </c>
    </row>
    <row r="14699" spans="1:19" x14ac:dyDescent="0.25">
      <c r="A14699">
        <v>101482245</v>
      </c>
      <c r="B14699" t="s">
        <v>31689</v>
      </c>
      <c r="C14699" t="s">
        <v>31690</v>
      </c>
      <c r="G14699" t="s">
        <v>31691</v>
      </c>
      <c r="H14699" t="s">
        <v>1091</v>
      </c>
      <c r="I14699" t="s">
        <v>365</v>
      </c>
      <c r="J14699">
        <v>86351</v>
      </c>
      <c r="K14699">
        <v>9048</v>
      </c>
      <c r="L14699" t="s">
        <v>23</v>
      </c>
      <c r="M14699" t="s">
        <v>31691</v>
      </c>
      <c r="N14699" t="s">
        <v>1091</v>
      </c>
      <c r="O14699" t="s">
        <v>365</v>
      </c>
      <c r="P14699">
        <v>86351</v>
      </c>
      <c r="Q14699">
        <v>9048</v>
      </c>
      <c r="R14699" t="s">
        <v>23</v>
      </c>
      <c r="S14699" s="1" t="s">
        <v>34218</v>
      </c>
    </row>
    <row r="14700" spans="1:19" x14ac:dyDescent="0.25">
      <c r="A14700">
        <v>101482283</v>
      </c>
      <c r="B14700" t="s">
        <v>1164</v>
      </c>
      <c r="C14700" t="s">
        <v>31692</v>
      </c>
      <c r="G14700" t="s">
        <v>31693</v>
      </c>
      <c r="H14700" t="s">
        <v>134</v>
      </c>
      <c r="I14700" t="s">
        <v>135</v>
      </c>
      <c r="J14700">
        <v>60621</v>
      </c>
      <c r="K14700">
        <v>2790</v>
      </c>
      <c r="L14700" t="s">
        <v>23</v>
      </c>
      <c r="M14700" t="s">
        <v>31693</v>
      </c>
      <c r="N14700" t="s">
        <v>134</v>
      </c>
      <c r="O14700" t="s">
        <v>135</v>
      </c>
      <c r="P14700">
        <v>60621</v>
      </c>
      <c r="Q14700">
        <v>2790</v>
      </c>
      <c r="R14700" t="s">
        <v>23</v>
      </c>
      <c r="S14700" s="1" t="s">
        <v>34218</v>
      </c>
    </row>
    <row r="14701" spans="1:19" x14ac:dyDescent="0.25">
      <c r="A14701">
        <v>101446599</v>
      </c>
      <c r="B14701" t="s">
        <v>31694</v>
      </c>
      <c r="C14701" t="s">
        <v>1043</v>
      </c>
      <c r="G14701" t="s">
        <v>31695</v>
      </c>
      <c r="H14701" t="s">
        <v>5335</v>
      </c>
      <c r="I14701" t="s">
        <v>446</v>
      </c>
      <c r="J14701">
        <v>28078</v>
      </c>
      <c r="K14701">
        <v>8080</v>
      </c>
      <c r="L14701" t="s">
        <v>23</v>
      </c>
      <c r="M14701" t="s">
        <v>31695</v>
      </c>
      <c r="N14701" t="s">
        <v>5335</v>
      </c>
      <c r="O14701" t="s">
        <v>446</v>
      </c>
      <c r="P14701">
        <v>28078</v>
      </c>
      <c r="Q14701">
        <v>8080</v>
      </c>
      <c r="R14701" t="s">
        <v>23</v>
      </c>
      <c r="S14701" s="1" t="s">
        <v>34218</v>
      </c>
    </row>
    <row r="14702" spans="1:19" x14ac:dyDescent="0.25">
      <c r="A14702">
        <v>101442585</v>
      </c>
      <c r="B14702" t="s">
        <v>247</v>
      </c>
      <c r="C14702" t="s">
        <v>132</v>
      </c>
      <c r="G14702" t="s">
        <v>31696</v>
      </c>
      <c r="H14702" t="s">
        <v>2385</v>
      </c>
      <c r="I14702" t="s">
        <v>126</v>
      </c>
      <c r="J14702">
        <v>64048</v>
      </c>
      <c r="K14702">
        <v>8740</v>
      </c>
      <c r="L14702" t="s">
        <v>23</v>
      </c>
      <c r="M14702" t="s">
        <v>31696</v>
      </c>
      <c r="N14702" t="s">
        <v>2385</v>
      </c>
      <c r="O14702" t="s">
        <v>126</v>
      </c>
      <c r="P14702">
        <v>64048</v>
      </c>
      <c r="Q14702">
        <v>8740</v>
      </c>
      <c r="R14702" t="s">
        <v>23</v>
      </c>
      <c r="S14702" s="1" t="s">
        <v>34218</v>
      </c>
    </row>
    <row r="14703" spans="1:19" x14ac:dyDescent="0.25">
      <c r="A14703">
        <v>101426723</v>
      </c>
      <c r="B14703" t="s">
        <v>5142</v>
      </c>
      <c r="C14703" t="s">
        <v>16135</v>
      </c>
      <c r="G14703" t="s">
        <v>31697</v>
      </c>
      <c r="H14703" t="s">
        <v>5022</v>
      </c>
      <c r="I14703" t="s">
        <v>914</v>
      </c>
      <c r="J14703">
        <v>37876</v>
      </c>
      <c r="K14703">
        <v>5401</v>
      </c>
      <c r="L14703" t="s">
        <v>23</v>
      </c>
      <c r="M14703" t="s">
        <v>31697</v>
      </c>
      <c r="N14703" t="s">
        <v>5022</v>
      </c>
      <c r="O14703" t="s">
        <v>914</v>
      </c>
      <c r="P14703">
        <v>37876</v>
      </c>
      <c r="Q14703">
        <v>5401</v>
      </c>
      <c r="R14703" t="s">
        <v>23</v>
      </c>
      <c r="S14703" s="1" t="s">
        <v>34218</v>
      </c>
    </row>
    <row r="14704" spans="1:19" x14ac:dyDescent="0.25">
      <c r="A14704">
        <v>101093458</v>
      </c>
      <c r="B14704" t="s">
        <v>15251</v>
      </c>
      <c r="C14704" t="s">
        <v>2269</v>
      </c>
      <c r="G14704" t="s">
        <v>31698</v>
      </c>
      <c r="H14704" t="s">
        <v>26024</v>
      </c>
      <c r="I14704" t="s">
        <v>22</v>
      </c>
      <c r="J14704">
        <v>95689</v>
      </c>
      <c r="K14704">
        <v>9777</v>
      </c>
      <c r="L14704" t="s">
        <v>23</v>
      </c>
      <c r="M14704" t="s">
        <v>31698</v>
      </c>
      <c r="N14704" t="s">
        <v>26024</v>
      </c>
      <c r="O14704" t="s">
        <v>22</v>
      </c>
      <c r="P14704">
        <v>95689</v>
      </c>
      <c r="Q14704">
        <v>9777</v>
      </c>
      <c r="R14704" t="s">
        <v>23</v>
      </c>
      <c r="S14704" s="1" t="s">
        <v>34218</v>
      </c>
    </row>
    <row r="14705" spans="1:19" x14ac:dyDescent="0.25">
      <c r="A14705">
        <v>101311026</v>
      </c>
      <c r="B14705" t="s">
        <v>31699</v>
      </c>
      <c r="C14705" t="s">
        <v>12207</v>
      </c>
      <c r="G14705" t="s">
        <v>31700</v>
      </c>
      <c r="H14705" t="s">
        <v>569</v>
      </c>
      <c r="I14705" t="s">
        <v>187</v>
      </c>
      <c r="J14705">
        <v>55414</v>
      </c>
      <c r="K14705">
        <v>2353</v>
      </c>
      <c r="L14705" t="s">
        <v>23</v>
      </c>
      <c r="M14705" t="s">
        <v>31700</v>
      </c>
      <c r="N14705" t="s">
        <v>569</v>
      </c>
      <c r="O14705" t="s">
        <v>187</v>
      </c>
      <c r="P14705">
        <v>55414</v>
      </c>
      <c r="Q14705">
        <v>2353</v>
      </c>
      <c r="R14705" t="s">
        <v>23</v>
      </c>
      <c r="S14705" s="1" t="s">
        <v>34218</v>
      </c>
    </row>
    <row r="14706" spans="1:19" x14ac:dyDescent="0.25">
      <c r="A14706">
        <v>101436386</v>
      </c>
      <c r="B14706" t="s">
        <v>14567</v>
      </c>
      <c r="C14706" t="s">
        <v>1647</v>
      </c>
      <c r="G14706" t="s">
        <v>25039</v>
      </c>
      <c r="H14706" t="s">
        <v>25040</v>
      </c>
      <c r="I14706" t="s">
        <v>446</v>
      </c>
      <c r="J14706">
        <v>27302</v>
      </c>
      <c r="K14706">
        <v>9232</v>
      </c>
      <c r="L14706" t="s">
        <v>23</v>
      </c>
      <c r="M14706" t="s">
        <v>25039</v>
      </c>
      <c r="N14706" t="s">
        <v>25040</v>
      </c>
      <c r="O14706" t="s">
        <v>446</v>
      </c>
      <c r="P14706">
        <v>27302</v>
      </c>
      <c r="Q14706">
        <v>9232</v>
      </c>
      <c r="R14706" t="s">
        <v>23</v>
      </c>
      <c r="S14706" s="1" t="s">
        <v>34218</v>
      </c>
    </row>
    <row r="14707" spans="1:19" x14ac:dyDescent="0.25">
      <c r="A14707">
        <v>101427074</v>
      </c>
      <c r="B14707" t="s">
        <v>31701</v>
      </c>
      <c r="C14707" t="s">
        <v>1283</v>
      </c>
      <c r="G14707" t="s">
        <v>31702</v>
      </c>
      <c r="H14707" t="s">
        <v>299</v>
      </c>
      <c r="I14707" t="s">
        <v>22</v>
      </c>
      <c r="J14707">
        <v>90048</v>
      </c>
      <c r="K14707">
        <v>4817</v>
      </c>
      <c r="L14707" t="s">
        <v>23</v>
      </c>
      <c r="M14707" t="s">
        <v>31702</v>
      </c>
      <c r="N14707" t="s">
        <v>299</v>
      </c>
      <c r="O14707" t="s">
        <v>22</v>
      </c>
      <c r="P14707">
        <v>90048</v>
      </c>
      <c r="Q14707">
        <v>4817</v>
      </c>
      <c r="R14707" t="s">
        <v>23</v>
      </c>
      <c r="S14707" s="1" t="s">
        <v>34218</v>
      </c>
    </row>
    <row r="14708" spans="1:19" x14ac:dyDescent="0.25">
      <c r="A14708">
        <v>101268354</v>
      </c>
      <c r="B14708" t="s">
        <v>3184</v>
      </c>
      <c r="C14708" t="s">
        <v>25</v>
      </c>
      <c r="G14708" t="s">
        <v>31703</v>
      </c>
      <c r="H14708" t="s">
        <v>688</v>
      </c>
      <c r="I14708" t="s">
        <v>117</v>
      </c>
      <c r="J14708">
        <v>14618</v>
      </c>
      <c r="K14708">
        <v>4833</v>
      </c>
      <c r="L14708" t="s">
        <v>23</v>
      </c>
      <c r="M14708" t="s">
        <v>31703</v>
      </c>
      <c r="N14708" t="s">
        <v>688</v>
      </c>
      <c r="O14708" t="s">
        <v>117</v>
      </c>
      <c r="P14708">
        <v>14618</v>
      </c>
      <c r="Q14708">
        <v>4833</v>
      </c>
      <c r="R14708" t="s">
        <v>23</v>
      </c>
      <c r="S14708" s="1" t="s">
        <v>34218</v>
      </c>
    </row>
    <row r="14709" spans="1:19" x14ac:dyDescent="0.25">
      <c r="A14709">
        <v>101418817</v>
      </c>
      <c r="B14709" t="s">
        <v>31704</v>
      </c>
      <c r="C14709" t="s">
        <v>13249</v>
      </c>
      <c r="G14709" t="s">
        <v>31705</v>
      </c>
      <c r="H14709" t="s">
        <v>1604</v>
      </c>
      <c r="I14709" t="s">
        <v>126</v>
      </c>
      <c r="J14709">
        <v>65203</v>
      </c>
      <c r="K14709">
        <v>3417</v>
      </c>
      <c r="L14709" t="s">
        <v>23</v>
      </c>
      <c r="M14709" t="s">
        <v>31705</v>
      </c>
      <c r="N14709" t="s">
        <v>1604</v>
      </c>
      <c r="O14709" t="s">
        <v>126</v>
      </c>
      <c r="P14709">
        <v>65203</v>
      </c>
      <c r="Q14709">
        <v>3417</v>
      </c>
      <c r="R14709" t="s">
        <v>23</v>
      </c>
      <c r="S14709" s="1" t="s">
        <v>34218</v>
      </c>
    </row>
    <row r="14710" spans="1:19" x14ac:dyDescent="0.25">
      <c r="A14710">
        <v>101407375</v>
      </c>
      <c r="B14710" t="s">
        <v>3514</v>
      </c>
      <c r="C14710" t="s">
        <v>2916</v>
      </c>
      <c r="G14710" t="s">
        <v>31706</v>
      </c>
      <c r="H14710" t="s">
        <v>2701</v>
      </c>
      <c r="I14710" t="s">
        <v>191</v>
      </c>
      <c r="J14710">
        <v>4634</v>
      </c>
      <c r="K14710">
        <v>3221</v>
      </c>
      <c r="L14710" t="s">
        <v>23</v>
      </c>
      <c r="M14710" t="s">
        <v>31706</v>
      </c>
      <c r="N14710" t="s">
        <v>2701</v>
      </c>
      <c r="O14710" t="s">
        <v>191</v>
      </c>
      <c r="P14710">
        <v>4634</v>
      </c>
      <c r="Q14710">
        <v>3221</v>
      </c>
      <c r="R14710" t="s">
        <v>23</v>
      </c>
      <c r="S14710" s="1" t="s">
        <v>34218</v>
      </c>
    </row>
    <row r="14711" spans="1:19" x14ac:dyDescent="0.25">
      <c r="A14711">
        <v>100937589</v>
      </c>
      <c r="B14711" t="s">
        <v>1711</v>
      </c>
      <c r="C14711" t="s">
        <v>907</v>
      </c>
      <c r="G14711" t="s">
        <v>31707</v>
      </c>
      <c r="H14711" t="s">
        <v>13086</v>
      </c>
      <c r="I14711" t="s">
        <v>71</v>
      </c>
      <c r="J14711" t="s">
        <v>31708</v>
      </c>
      <c r="K14711">
        <v>9721</v>
      </c>
      <c r="L14711" t="s">
        <v>23</v>
      </c>
      <c r="M14711" t="s">
        <v>31707</v>
      </c>
      <c r="N14711" t="s">
        <v>13086</v>
      </c>
      <c r="O14711" t="s">
        <v>71</v>
      </c>
      <c r="P14711" t="s">
        <v>31708</v>
      </c>
      <c r="Q14711">
        <v>9721</v>
      </c>
      <c r="R14711" t="s">
        <v>23</v>
      </c>
      <c r="S14711" s="1" t="s">
        <v>34218</v>
      </c>
    </row>
    <row r="14712" spans="1:19" x14ac:dyDescent="0.25">
      <c r="A14712">
        <v>101352262</v>
      </c>
      <c r="B14712" t="s">
        <v>3510</v>
      </c>
      <c r="C14712" t="s">
        <v>31709</v>
      </c>
      <c r="G14712" t="s">
        <v>31710</v>
      </c>
      <c r="H14712" t="s">
        <v>37</v>
      </c>
      <c r="I14712" t="s">
        <v>38</v>
      </c>
      <c r="J14712" t="s">
        <v>31711</v>
      </c>
      <c r="K14712">
        <v>2084</v>
      </c>
      <c r="L14712" t="s">
        <v>23</v>
      </c>
      <c r="M14712" t="s">
        <v>31710</v>
      </c>
      <c r="N14712" t="s">
        <v>37</v>
      </c>
      <c r="O14712" t="s">
        <v>38</v>
      </c>
      <c r="P14712" t="s">
        <v>31711</v>
      </c>
      <c r="Q14712">
        <v>2084</v>
      </c>
      <c r="R14712" t="s">
        <v>23</v>
      </c>
      <c r="S14712" s="1" t="s">
        <v>34218</v>
      </c>
    </row>
    <row r="14713" spans="1:19" x14ac:dyDescent="0.25">
      <c r="A14713">
        <v>101432328</v>
      </c>
      <c r="B14713" t="s">
        <v>1372</v>
      </c>
      <c r="C14713" t="s">
        <v>31712</v>
      </c>
      <c r="G14713" t="s">
        <v>31713</v>
      </c>
      <c r="H14713" t="s">
        <v>2552</v>
      </c>
      <c r="I14713" t="s">
        <v>52</v>
      </c>
      <c r="J14713" t="s">
        <v>31714</v>
      </c>
      <c r="K14713">
        <v>6636</v>
      </c>
      <c r="L14713" t="s">
        <v>23</v>
      </c>
      <c r="M14713" t="s">
        <v>31713</v>
      </c>
      <c r="N14713" t="s">
        <v>2552</v>
      </c>
      <c r="O14713" t="s">
        <v>52</v>
      </c>
      <c r="P14713" t="s">
        <v>31714</v>
      </c>
      <c r="Q14713">
        <v>6636</v>
      </c>
      <c r="R14713" t="s">
        <v>23</v>
      </c>
      <c r="S14713" s="1" t="s">
        <v>34218</v>
      </c>
    </row>
    <row r="14714" spans="1:19" x14ac:dyDescent="0.25">
      <c r="A14714">
        <v>101347871</v>
      </c>
      <c r="B14714" t="s">
        <v>3459</v>
      </c>
      <c r="C14714" t="s">
        <v>4502</v>
      </c>
      <c r="F14714" t="str">
        <f>"5033855234"</f>
        <v>5033855234</v>
      </c>
      <c r="G14714" t="s">
        <v>31715</v>
      </c>
      <c r="H14714" t="s">
        <v>380</v>
      </c>
      <c r="I14714" t="s">
        <v>43</v>
      </c>
      <c r="J14714" t="s">
        <v>31716</v>
      </c>
      <c r="K14714">
        <v>9307</v>
      </c>
      <c r="L14714" t="s">
        <v>23</v>
      </c>
      <c r="M14714" t="s">
        <v>31715</v>
      </c>
      <c r="N14714" t="s">
        <v>380</v>
      </c>
      <c r="O14714" t="s">
        <v>43</v>
      </c>
      <c r="P14714" t="s">
        <v>31716</v>
      </c>
      <c r="Q14714">
        <v>9307</v>
      </c>
      <c r="R14714" t="s">
        <v>23</v>
      </c>
      <c r="S14714" s="1" t="s">
        <v>34218</v>
      </c>
    </row>
    <row r="14715" spans="1:19" x14ac:dyDescent="0.25">
      <c r="A14715">
        <v>101339533</v>
      </c>
      <c r="B14715" t="s">
        <v>31717</v>
      </c>
      <c r="C14715" t="s">
        <v>90</v>
      </c>
      <c r="G14715" t="s">
        <v>31718</v>
      </c>
      <c r="H14715" t="s">
        <v>21904</v>
      </c>
      <c r="I14715" t="s">
        <v>52</v>
      </c>
      <c r="J14715" t="s">
        <v>31719</v>
      </c>
      <c r="K14715">
        <v>7683</v>
      </c>
      <c r="L14715" t="s">
        <v>23</v>
      </c>
      <c r="M14715" t="s">
        <v>31718</v>
      </c>
      <c r="N14715" t="s">
        <v>21904</v>
      </c>
      <c r="O14715" t="s">
        <v>52</v>
      </c>
      <c r="P14715" t="s">
        <v>31719</v>
      </c>
      <c r="Q14715">
        <v>7683</v>
      </c>
      <c r="R14715" t="s">
        <v>23</v>
      </c>
      <c r="S14715" s="1" t="s">
        <v>34218</v>
      </c>
    </row>
    <row r="14716" spans="1:19" x14ac:dyDescent="0.25">
      <c r="A14716">
        <v>101334604</v>
      </c>
      <c r="B14716" t="s">
        <v>31720</v>
      </c>
      <c r="C14716" t="s">
        <v>522</v>
      </c>
      <c r="G14716" t="s">
        <v>31721</v>
      </c>
      <c r="H14716" t="s">
        <v>147</v>
      </c>
      <c r="I14716" t="s">
        <v>22</v>
      </c>
      <c r="J14716" t="s">
        <v>31722</v>
      </c>
      <c r="K14716">
        <v>1107</v>
      </c>
      <c r="L14716" t="s">
        <v>23</v>
      </c>
      <c r="M14716" t="s">
        <v>31721</v>
      </c>
      <c r="N14716" t="s">
        <v>147</v>
      </c>
      <c r="O14716" t="s">
        <v>22</v>
      </c>
      <c r="P14716" t="s">
        <v>31722</v>
      </c>
      <c r="Q14716">
        <v>1107</v>
      </c>
      <c r="R14716" t="s">
        <v>23</v>
      </c>
      <c r="S14716" s="1" t="s">
        <v>34218</v>
      </c>
    </row>
    <row r="14717" spans="1:19" x14ac:dyDescent="0.25">
      <c r="A14717">
        <v>101477636</v>
      </c>
      <c r="B14717" t="s">
        <v>3450</v>
      </c>
      <c r="C14717" t="s">
        <v>890</v>
      </c>
      <c r="G14717" t="s">
        <v>31723</v>
      </c>
      <c r="H14717" t="s">
        <v>2878</v>
      </c>
      <c r="I14717" t="s">
        <v>187</v>
      </c>
      <c r="J14717">
        <v>55125</v>
      </c>
      <c r="L14717" t="s">
        <v>23</v>
      </c>
      <c r="M14717" t="s">
        <v>31723</v>
      </c>
      <c r="N14717" t="s">
        <v>2878</v>
      </c>
      <c r="O14717" t="s">
        <v>187</v>
      </c>
      <c r="P14717">
        <v>55125</v>
      </c>
      <c r="R14717" t="s">
        <v>23</v>
      </c>
      <c r="S14717" s="1" t="s">
        <v>34218</v>
      </c>
    </row>
    <row r="14718" spans="1:19" x14ac:dyDescent="0.25">
      <c r="A14718">
        <v>100578448</v>
      </c>
      <c r="B14718" t="s">
        <v>497</v>
      </c>
      <c r="C14718" t="s">
        <v>208</v>
      </c>
      <c r="G14718" t="s">
        <v>31724</v>
      </c>
      <c r="H14718" t="s">
        <v>1071</v>
      </c>
      <c r="I14718" t="s">
        <v>22</v>
      </c>
      <c r="J14718">
        <v>92067</v>
      </c>
      <c r="K14718">
        <v>8321</v>
      </c>
      <c r="L14718" t="s">
        <v>23</v>
      </c>
      <c r="M14718" t="s">
        <v>31724</v>
      </c>
      <c r="N14718" t="s">
        <v>1071</v>
      </c>
      <c r="O14718" t="s">
        <v>22</v>
      </c>
      <c r="P14718">
        <v>92067</v>
      </c>
      <c r="Q14718">
        <v>8321</v>
      </c>
      <c r="R14718" t="s">
        <v>23</v>
      </c>
      <c r="S14718" s="1" t="s">
        <v>34218</v>
      </c>
    </row>
    <row r="14719" spans="1:19" x14ac:dyDescent="0.25">
      <c r="A14719">
        <v>101298605</v>
      </c>
      <c r="B14719" t="s">
        <v>31725</v>
      </c>
      <c r="C14719" t="s">
        <v>1208</v>
      </c>
      <c r="G14719" t="s">
        <v>31726</v>
      </c>
      <c r="H14719" t="s">
        <v>1748</v>
      </c>
      <c r="I14719" t="s">
        <v>255</v>
      </c>
      <c r="J14719">
        <v>22203</v>
      </c>
      <c r="K14719">
        <v>2762</v>
      </c>
      <c r="L14719" t="s">
        <v>23</v>
      </c>
      <c r="M14719" t="s">
        <v>31726</v>
      </c>
      <c r="N14719" t="s">
        <v>1748</v>
      </c>
      <c r="O14719" t="s">
        <v>255</v>
      </c>
      <c r="P14719">
        <v>22203</v>
      </c>
      <c r="Q14719">
        <v>2762</v>
      </c>
      <c r="R14719" t="s">
        <v>23</v>
      </c>
      <c r="S14719" s="1" t="s">
        <v>34218</v>
      </c>
    </row>
    <row r="14720" spans="1:19" x14ac:dyDescent="0.25">
      <c r="A14720">
        <v>101339696</v>
      </c>
      <c r="B14720" t="s">
        <v>2637</v>
      </c>
      <c r="C14720" t="s">
        <v>54</v>
      </c>
      <c r="G14720" t="s">
        <v>31727</v>
      </c>
      <c r="H14720" t="s">
        <v>6174</v>
      </c>
      <c r="I14720" t="s">
        <v>22</v>
      </c>
      <c r="J14720">
        <v>94546</v>
      </c>
      <c r="K14720">
        <v>1350</v>
      </c>
      <c r="L14720" t="s">
        <v>23</v>
      </c>
      <c r="M14720" t="s">
        <v>31727</v>
      </c>
      <c r="N14720" t="s">
        <v>6174</v>
      </c>
      <c r="O14720" t="s">
        <v>22</v>
      </c>
      <c r="P14720">
        <v>94546</v>
      </c>
      <c r="Q14720">
        <v>1350</v>
      </c>
      <c r="R14720" t="s">
        <v>23</v>
      </c>
      <c r="S14720" s="1" t="s">
        <v>34218</v>
      </c>
    </row>
    <row r="14721" spans="1:19" x14ac:dyDescent="0.25">
      <c r="A14721">
        <v>100715501</v>
      </c>
      <c r="B14721" t="s">
        <v>497</v>
      </c>
      <c r="C14721" t="s">
        <v>4184</v>
      </c>
      <c r="F14721" t="str">
        <f>"2063661782"</f>
        <v>2063661782</v>
      </c>
      <c r="G14721" t="s">
        <v>31728</v>
      </c>
      <c r="H14721" t="s">
        <v>1531</v>
      </c>
      <c r="I14721" t="s">
        <v>84</v>
      </c>
      <c r="J14721">
        <v>98133</v>
      </c>
      <c r="L14721" t="s">
        <v>23</v>
      </c>
      <c r="M14721" t="s">
        <v>31728</v>
      </c>
      <c r="N14721" t="s">
        <v>1531</v>
      </c>
      <c r="O14721" t="s">
        <v>84</v>
      </c>
      <c r="P14721">
        <v>98133</v>
      </c>
      <c r="R14721" t="s">
        <v>23</v>
      </c>
      <c r="S14721" s="1" t="s">
        <v>34218</v>
      </c>
    </row>
    <row r="14722" spans="1:19" x14ac:dyDescent="0.25">
      <c r="A14722">
        <v>101288404</v>
      </c>
      <c r="B14722" t="s">
        <v>31729</v>
      </c>
      <c r="C14722" t="s">
        <v>286</v>
      </c>
      <c r="F14722" t="str">
        <f>"7757210951"</f>
        <v>7757210951</v>
      </c>
      <c r="G14722" t="s">
        <v>31730</v>
      </c>
      <c r="H14722" t="s">
        <v>1857</v>
      </c>
      <c r="I14722" t="s">
        <v>702</v>
      </c>
      <c r="J14722">
        <v>89523</v>
      </c>
      <c r="K14722">
        <v>1791</v>
      </c>
      <c r="L14722" t="s">
        <v>23</v>
      </c>
      <c r="M14722" t="s">
        <v>31730</v>
      </c>
      <c r="N14722" t="s">
        <v>1857</v>
      </c>
      <c r="O14722" t="s">
        <v>702</v>
      </c>
      <c r="P14722">
        <v>89523</v>
      </c>
      <c r="Q14722">
        <v>1791</v>
      </c>
      <c r="R14722" t="s">
        <v>23</v>
      </c>
      <c r="S14722" s="1" t="s">
        <v>34218</v>
      </c>
    </row>
    <row r="14723" spans="1:19" x14ac:dyDescent="0.25">
      <c r="A14723">
        <v>101468130</v>
      </c>
      <c r="B14723" t="s">
        <v>497</v>
      </c>
      <c r="C14723" t="s">
        <v>1463</v>
      </c>
      <c r="G14723" t="s">
        <v>31731</v>
      </c>
      <c r="H14723" t="s">
        <v>4614</v>
      </c>
      <c r="I14723" t="s">
        <v>187</v>
      </c>
      <c r="J14723">
        <v>55787</v>
      </c>
      <c r="L14723" t="s">
        <v>23</v>
      </c>
      <c r="M14723" t="s">
        <v>31731</v>
      </c>
      <c r="N14723" t="s">
        <v>4614</v>
      </c>
      <c r="O14723" t="s">
        <v>187</v>
      </c>
      <c r="P14723">
        <v>55787</v>
      </c>
      <c r="R14723" t="s">
        <v>23</v>
      </c>
      <c r="S14723" s="1" t="s">
        <v>34218</v>
      </c>
    </row>
    <row r="14724" spans="1:19" x14ac:dyDescent="0.25">
      <c r="A14724">
        <v>101441144</v>
      </c>
      <c r="B14724" t="s">
        <v>31732</v>
      </c>
      <c r="C14724" t="s">
        <v>452</v>
      </c>
      <c r="G14724" t="s">
        <v>31733</v>
      </c>
      <c r="H14724" t="s">
        <v>4044</v>
      </c>
      <c r="I14724" t="s">
        <v>250</v>
      </c>
      <c r="J14724" t="s">
        <v>31734</v>
      </c>
      <c r="K14724">
        <v>8602</v>
      </c>
      <c r="L14724" t="s">
        <v>23</v>
      </c>
      <c r="M14724" t="s">
        <v>31733</v>
      </c>
      <c r="N14724" t="s">
        <v>4044</v>
      </c>
      <c r="O14724" t="s">
        <v>250</v>
      </c>
      <c r="P14724" t="s">
        <v>31734</v>
      </c>
      <c r="Q14724">
        <v>8602</v>
      </c>
      <c r="R14724" t="s">
        <v>23</v>
      </c>
      <c r="S14724" s="1" t="s">
        <v>34218</v>
      </c>
    </row>
    <row r="14725" spans="1:19" x14ac:dyDescent="0.25">
      <c r="A14725">
        <v>101431712</v>
      </c>
      <c r="B14725" t="s">
        <v>31735</v>
      </c>
      <c r="C14725" t="s">
        <v>31736</v>
      </c>
      <c r="G14725" t="s">
        <v>31737</v>
      </c>
      <c r="H14725" t="s">
        <v>1321</v>
      </c>
      <c r="I14725" t="s">
        <v>446</v>
      </c>
      <c r="J14725" t="s">
        <v>31738</v>
      </c>
      <c r="K14725">
        <v>5651</v>
      </c>
      <c r="L14725" t="s">
        <v>23</v>
      </c>
      <c r="M14725" t="s">
        <v>31737</v>
      </c>
      <c r="N14725" t="s">
        <v>1321</v>
      </c>
      <c r="O14725" t="s">
        <v>446</v>
      </c>
      <c r="P14725" t="s">
        <v>31738</v>
      </c>
      <c r="Q14725">
        <v>5651</v>
      </c>
      <c r="R14725" t="s">
        <v>23</v>
      </c>
      <c r="S14725" s="1" t="s">
        <v>34218</v>
      </c>
    </row>
    <row r="14726" spans="1:19" x14ac:dyDescent="0.25">
      <c r="A14726">
        <v>101426670</v>
      </c>
      <c r="B14726" t="s">
        <v>31739</v>
      </c>
      <c r="C14726" t="s">
        <v>31740</v>
      </c>
      <c r="G14726" t="s">
        <v>31741</v>
      </c>
      <c r="H14726" t="s">
        <v>5353</v>
      </c>
      <c r="I14726" t="s">
        <v>117</v>
      </c>
      <c r="J14726" t="s">
        <v>31742</v>
      </c>
      <c r="K14726">
        <v>1220</v>
      </c>
      <c r="L14726" t="s">
        <v>23</v>
      </c>
      <c r="M14726" t="s">
        <v>31741</v>
      </c>
      <c r="N14726" t="s">
        <v>5353</v>
      </c>
      <c r="O14726" t="s">
        <v>117</v>
      </c>
      <c r="P14726" t="s">
        <v>31742</v>
      </c>
      <c r="Q14726">
        <v>1220</v>
      </c>
      <c r="R14726" t="s">
        <v>23</v>
      </c>
      <c r="S14726" s="1" t="s">
        <v>34218</v>
      </c>
    </row>
    <row r="14727" spans="1:19" x14ac:dyDescent="0.25">
      <c r="A14727">
        <v>100607048</v>
      </c>
      <c r="B14727" t="s">
        <v>31743</v>
      </c>
      <c r="C14727" t="s">
        <v>475</v>
      </c>
      <c r="G14727" t="s">
        <v>31744</v>
      </c>
      <c r="H14727" t="s">
        <v>5893</v>
      </c>
      <c r="I14727" t="s">
        <v>38</v>
      </c>
      <c r="J14727" t="s">
        <v>31745</v>
      </c>
      <c r="K14727">
        <v>4469</v>
      </c>
      <c r="L14727" t="s">
        <v>23</v>
      </c>
      <c r="M14727" t="s">
        <v>31744</v>
      </c>
      <c r="N14727" t="s">
        <v>5893</v>
      </c>
      <c r="O14727" t="s">
        <v>38</v>
      </c>
      <c r="P14727" t="s">
        <v>31745</v>
      </c>
      <c r="Q14727">
        <v>4469</v>
      </c>
      <c r="R14727" t="s">
        <v>23</v>
      </c>
      <c r="S14727" s="1" t="s">
        <v>34218</v>
      </c>
    </row>
    <row r="14728" spans="1:19" x14ac:dyDescent="0.25">
      <c r="A14728">
        <v>101429505</v>
      </c>
      <c r="B14728" t="s">
        <v>31746</v>
      </c>
      <c r="C14728" t="s">
        <v>31747</v>
      </c>
      <c r="G14728" t="s">
        <v>31748</v>
      </c>
      <c r="H14728" t="s">
        <v>15158</v>
      </c>
      <c r="I14728" t="s">
        <v>178</v>
      </c>
      <c r="J14728" t="s">
        <v>31749</v>
      </c>
      <c r="K14728">
        <v>1478</v>
      </c>
      <c r="L14728" t="s">
        <v>23</v>
      </c>
      <c r="M14728" t="s">
        <v>31748</v>
      </c>
      <c r="N14728" t="s">
        <v>15158</v>
      </c>
      <c r="O14728" t="s">
        <v>178</v>
      </c>
      <c r="P14728" t="s">
        <v>31749</v>
      </c>
      <c r="Q14728">
        <v>1478</v>
      </c>
      <c r="R14728" t="s">
        <v>23</v>
      </c>
      <c r="S14728" s="1" t="s">
        <v>34218</v>
      </c>
    </row>
    <row r="14729" spans="1:19" x14ac:dyDescent="0.25">
      <c r="A14729">
        <v>101431672</v>
      </c>
      <c r="B14729" t="s">
        <v>3022</v>
      </c>
      <c r="C14729" t="s">
        <v>1588</v>
      </c>
      <c r="G14729" t="s">
        <v>31750</v>
      </c>
      <c r="H14729" t="s">
        <v>2449</v>
      </c>
      <c r="I14729" t="s">
        <v>71</v>
      </c>
      <c r="J14729" t="s">
        <v>31751</v>
      </c>
      <c r="K14729">
        <v>4017</v>
      </c>
      <c r="L14729" t="s">
        <v>23</v>
      </c>
      <c r="M14729" t="s">
        <v>31750</v>
      </c>
      <c r="N14729" t="s">
        <v>2449</v>
      </c>
      <c r="O14729" t="s">
        <v>71</v>
      </c>
      <c r="P14729" t="s">
        <v>31751</v>
      </c>
      <c r="Q14729">
        <v>4017</v>
      </c>
      <c r="R14729" t="s">
        <v>23</v>
      </c>
      <c r="S14729" s="1" t="s">
        <v>34218</v>
      </c>
    </row>
    <row r="14730" spans="1:19" x14ac:dyDescent="0.25">
      <c r="A14730">
        <v>101441416</v>
      </c>
      <c r="B14730" t="s">
        <v>2253</v>
      </c>
      <c r="C14730" t="s">
        <v>252</v>
      </c>
      <c r="G14730" t="s">
        <v>31752</v>
      </c>
      <c r="H14730" t="s">
        <v>1885</v>
      </c>
      <c r="I14730" t="s">
        <v>22</v>
      </c>
      <c r="J14730" t="s">
        <v>31753</v>
      </c>
      <c r="K14730">
        <v>2327</v>
      </c>
      <c r="L14730" t="s">
        <v>23</v>
      </c>
      <c r="M14730" t="s">
        <v>31752</v>
      </c>
      <c r="N14730" t="s">
        <v>1885</v>
      </c>
      <c r="O14730" t="s">
        <v>22</v>
      </c>
      <c r="P14730" t="s">
        <v>31753</v>
      </c>
      <c r="Q14730">
        <v>2327</v>
      </c>
      <c r="R14730" t="s">
        <v>23</v>
      </c>
      <c r="S14730" s="1" t="s">
        <v>34218</v>
      </c>
    </row>
    <row r="14731" spans="1:19" x14ac:dyDescent="0.25">
      <c r="A14731">
        <v>100652653</v>
      </c>
      <c r="B14731" t="s">
        <v>31754</v>
      </c>
      <c r="C14731" t="s">
        <v>874</v>
      </c>
      <c r="G14731" t="s">
        <v>31755</v>
      </c>
      <c r="H14731" t="s">
        <v>1765</v>
      </c>
      <c r="I14731" t="s">
        <v>84</v>
      </c>
      <c r="J14731" t="s">
        <v>31756</v>
      </c>
      <c r="K14731">
        <v>1927</v>
      </c>
      <c r="L14731" t="s">
        <v>23</v>
      </c>
      <c r="M14731" t="s">
        <v>31755</v>
      </c>
      <c r="N14731" t="s">
        <v>1765</v>
      </c>
      <c r="O14731" t="s">
        <v>84</v>
      </c>
      <c r="P14731" t="s">
        <v>31756</v>
      </c>
      <c r="Q14731">
        <v>1927</v>
      </c>
      <c r="R14731" t="s">
        <v>23</v>
      </c>
      <c r="S14731" s="1" t="s">
        <v>34218</v>
      </c>
    </row>
    <row r="14732" spans="1:19" x14ac:dyDescent="0.25">
      <c r="A14732">
        <v>101430718</v>
      </c>
      <c r="B14732" t="s">
        <v>557</v>
      </c>
      <c r="C14732" t="s">
        <v>641</v>
      </c>
      <c r="G14732" t="s">
        <v>31757</v>
      </c>
      <c r="H14732" t="s">
        <v>6273</v>
      </c>
      <c r="I14732" t="s">
        <v>22</v>
      </c>
      <c r="J14732" t="s">
        <v>31758</v>
      </c>
      <c r="K14732">
        <v>1503</v>
      </c>
      <c r="L14732" t="s">
        <v>23</v>
      </c>
      <c r="M14732" t="s">
        <v>31757</v>
      </c>
      <c r="N14732" t="s">
        <v>6273</v>
      </c>
      <c r="O14732" t="s">
        <v>22</v>
      </c>
      <c r="P14732" t="s">
        <v>31758</v>
      </c>
      <c r="Q14732">
        <v>1503</v>
      </c>
      <c r="R14732" t="s">
        <v>23</v>
      </c>
      <c r="S14732" s="1" t="s">
        <v>34218</v>
      </c>
    </row>
    <row r="14733" spans="1:19" x14ac:dyDescent="0.25">
      <c r="A14733">
        <v>101242742</v>
      </c>
      <c r="B14733" t="s">
        <v>31759</v>
      </c>
      <c r="C14733" t="s">
        <v>803</v>
      </c>
      <c r="G14733" t="s">
        <v>31760</v>
      </c>
      <c r="H14733" t="s">
        <v>1229</v>
      </c>
      <c r="I14733" t="s">
        <v>38</v>
      </c>
      <c r="J14733" t="s">
        <v>31761</v>
      </c>
      <c r="K14733">
        <v>7322</v>
      </c>
      <c r="L14733" t="s">
        <v>23</v>
      </c>
      <c r="M14733" t="s">
        <v>31760</v>
      </c>
      <c r="N14733" t="s">
        <v>1229</v>
      </c>
      <c r="O14733" t="s">
        <v>38</v>
      </c>
      <c r="P14733" t="s">
        <v>31761</v>
      </c>
      <c r="Q14733">
        <v>7322</v>
      </c>
      <c r="R14733" t="s">
        <v>23</v>
      </c>
      <c r="S14733" s="1" t="s">
        <v>34218</v>
      </c>
    </row>
    <row r="14734" spans="1:19" x14ac:dyDescent="0.25">
      <c r="A14734">
        <v>101299049</v>
      </c>
      <c r="B14734" t="s">
        <v>2132</v>
      </c>
      <c r="C14734" t="s">
        <v>535</v>
      </c>
      <c r="G14734" t="s">
        <v>31762</v>
      </c>
      <c r="H14734" t="s">
        <v>360</v>
      </c>
      <c r="I14734" t="s">
        <v>22</v>
      </c>
      <c r="J14734" t="s">
        <v>31763</v>
      </c>
      <c r="K14734">
        <v>2523</v>
      </c>
      <c r="L14734" t="s">
        <v>23</v>
      </c>
      <c r="M14734" t="s">
        <v>31762</v>
      </c>
      <c r="N14734" t="s">
        <v>360</v>
      </c>
      <c r="O14734" t="s">
        <v>22</v>
      </c>
      <c r="P14734" t="s">
        <v>31763</v>
      </c>
      <c r="Q14734">
        <v>2523</v>
      </c>
      <c r="R14734" t="s">
        <v>23</v>
      </c>
      <c r="S14734" s="1" t="s">
        <v>34218</v>
      </c>
    </row>
    <row r="14735" spans="1:19" x14ac:dyDescent="0.25">
      <c r="A14735">
        <v>101438139</v>
      </c>
      <c r="B14735" t="s">
        <v>10993</v>
      </c>
      <c r="C14735" t="s">
        <v>27386</v>
      </c>
      <c r="G14735" t="s">
        <v>31764</v>
      </c>
      <c r="H14735" t="s">
        <v>4514</v>
      </c>
      <c r="I14735" t="s">
        <v>2537</v>
      </c>
      <c r="J14735" t="s">
        <v>31765</v>
      </c>
      <c r="K14735">
        <v>9362</v>
      </c>
      <c r="L14735" t="s">
        <v>23</v>
      </c>
      <c r="M14735" t="s">
        <v>31764</v>
      </c>
      <c r="N14735" t="s">
        <v>4514</v>
      </c>
      <c r="O14735" t="s">
        <v>2537</v>
      </c>
      <c r="P14735" t="s">
        <v>31765</v>
      </c>
      <c r="Q14735">
        <v>9362</v>
      </c>
      <c r="R14735" t="s">
        <v>23</v>
      </c>
      <c r="S14735" s="1" t="s">
        <v>34218</v>
      </c>
    </row>
    <row r="14736" spans="1:19" x14ac:dyDescent="0.25">
      <c r="A14736">
        <v>100774662</v>
      </c>
      <c r="B14736" t="s">
        <v>15098</v>
      </c>
      <c r="C14736" t="s">
        <v>31766</v>
      </c>
      <c r="G14736" t="s">
        <v>31767</v>
      </c>
      <c r="H14736" t="s">
        <v>66</v>
      </c>
      <c r="I14736" t="s">
        <v>22</v>
      </c>
      <c r="J14736" t="s">
        <v>31768</v>
      </c>
      <c r="K14736">
        <v>1823</v>
      </c>
      <c r="L14736" t="s">
        <v>23</v>
      </c>
      <c r="M14736" t="s">
        <v>31767</v>
      </c>
      <c r="N14736" t="s">
        <v>66</v>
      </c>
      <c r="O14736" t="s">
        <v>22</v>
      </c>
      <c r="P14736" t="s">
        <v>31768</v>
      </c>
      <c r="Q14736">
        <v>1823</v>
      </c>
      <c r="R14736" t="s">
        <v>23</v>
      </c>
      <c r="S14736" s="1" t="s">
        <v>34218</v>
      </c>
    </row>
    <row r="14737" spans="1:19" x14ac:dyDescent="0.25">
      <c r="A14737">
        <v>101430393</v>
      </c>
      <c r="B14737" t="s">
        <v>20079</v>
      </c>
      <c r="C14737" t="s">
        <v>571</v>
      </c>
      <c r="G14737" t="s">
        <v>31769</v>
      </c>
      <c r="H14737" t="s">
        <v>1985</v>
      </c>
      <c r="I14737" t="s">
        <v>71</v>
      </c>
      <c r="J14737" t="s">
        <v>31770</v>
      </c>
      <c r="K14737">
        <v>4605</v>
      </c>
      <c r="L14737" t="s">
        <v>23</v>
      </c>
      <c r="M14737" t="s">
        <v>31769</v>
      </c>
      <c r="N14737" t="s">
        <v>1985</v>
      </c>
      <c r="O14737" t="s">
        <v>71</v>
      </c>
      <c r="P14737" t="s">
        <v>31770</v>
      </c>
      <c r="Q14737">
        <v>4605</v>
      </c>
      <c r="R14737" t="s">
        <v>23</v>
      </c>
      <c r="S14737" s="1" t="s">
        <v>34218</v>
      </c>
    </row>
    <row r="14738" spans="1:19" x14ac:dyDescent="0.25">
      <c r="A14738">
        <v>101445490</v>
      </c>
      <c r="B14738" t="s">
        <v>4754</v>
      </c>
      <c r="C14738" t="s">
        <v>342</v>
      </c>
      <c r="G14738" t="s">
        <v>31771</v>
      </c>
      <c r="H14738" t="s">
        <v>21</v>
      </c>
      <c r="I14738" t="s">
        <v>22</v>
      </c>
      <c r="J14738" t="s">
        <v>31772</v>
      </c>
      <c r="K14738">
        <v>6220</v>
      </c>
      <c r="L14738" t="s">
        <v>23</v>
      </c>
      <c r="M14738" t="s">
        <v>31771</v>
      </c>
      <c r="N14738" t="s">
        <v>21</v>
      </c>
      <c r="O14738" t="s">
        <v>22</v>
      </c>
      <c r="P14738" t="s">
        <v>31772</v>
      </c>
      <c r="Q14738">
        <v>6220</v>
      </c>
      <c r="R14738" t="s">
        <v>23</v>
      </c>
      <c r="S14738" s="1" t="s">
        <v>34218</v>
      </c>
    </row>
    <row r="14739" spans="1:19" x14ac:dyDescent="0.25">
      <c r="A14739">
        <v>101445502</v>
      </c>
      <c r="B14739" t="s">
        <v>31773</v>
      </c>
      <c r="C14739" t="s">
        <v>1933</v>
      </c>
      <c r="G14739" t="s">
        <v>31774</v>
      </c>
      <c r="H14739" t="s">
        <v>20622</v>
      </c>
      <c r="I14739" t="s">
        <v>307</v>
      </c>
      <c r="J14739" t="s">
        <v>31775</v>
      </c>
      <c r="K14739">
        <v>9125</v>
      </c>
      <c r="L14739" t="s">
        <v>23</v>
      </c>
      <c r="M14739" t="s">
        <v>31774</v>
      </c>
      <c r="N14739" t="s">
        <v>20622</v>
      </c>
      <c r="O14739" t="s">
        <v>307</v>
      </c>
      <c r="P14739" t="s">
        <v>31775</v>
      </c>
      <c r="Q14739">
        <v>9125</v>
      </c>
      <c r="R14739" t="s">
        <v>23</v>
      </c>
      <c r="S14739" s="1" t="s">
        <v>34218</v>
      </c>
    </row>
    <row r="14740" spans="1:19" x14ac:dyDescent="0.25">
      <c r="A14740">
        <v>100957231</v>
      </c>
      <c r="B14740" t="s">
        <v>31776</v>
      </c>
      <c r="C14740" t="s">
        <v>31777</v>
      </c>
      <c r="G14740" t="s">
        <v>31778</v>
      </c>
      <c r="H14740" t="s">
        <v>299</v>
      </c>
      <c r="I14740" t="s">
        <v>22</v>
      </c>
      <c r="J14740" t="s">
        <v>31779</v>
      </c>
      <c r="K14740">
        <v>4316</v>
      </c>
      <c r="L14740" t="s">
        <v>23</v>
      </c>
      <c r="M14740" t="s">
        <v>31778</v>
      </c>
      <c r="N14740" t="s">
        <v>299</v>
      </c>
      <c r="O14740" t="s">
        <v>22</v>
      </c>
      <c r="P14740" t="s">
        <v>31779</v>
      </c>
      <c r="Q14740">
        <v>4316</v>
      </c>
      <c r="R14740" t="s">
        <v>23</v>
      </c>
      <c r="S14740" s="1" t="s">
        <v>34218</v>
      </c>
    </row>
    <row r="14741" spans="1:19" x14ac:dyDescent="0.25">
      <c r="A14741">
        <v>101426888</v>
      </c>
      <c r="B14741" t="s">
        <v>26556</v>
      </c>
      <c r="C14741" t="s">
        <v>498</v>
      </c>
      <c r="G14741" t="s">
        <v>26557</v>
      </c>
      <c r="H14741" t="s">
        <v>26558</v>
      </c>
      <c r="I14741" t="s">
        <v>135</v>
      </c>
      <c r="J14741">
        <v>60954</v>
      </c>
      <c r="L14741" t="s">
        <v>23</v>
      </c>
      <c r="M14741" t="s">
        <v>26557</v>
      </c>
      <c r="N14741" t="s">
        <v>26558</v>
      </c>
      <c r="O14741" t="s">
        <v>135</v>
      </c>
      <c r="P14741">
        <v>60954</v>
      </c>
      <c r="R14741" t="s">
        <v>23</v>
      </c>
      <c r="S14741" s="1" t="s">
        <v>34218</v>
      </c>
    </row>
    <row r="14742" spans="1:19" x14ac:dyDescent="0.25">
      <c r="A14742">
        <v>100995254</v>
      </c>
      <c r="B14742" t="s">
        <v>31780</v>
      </c>
      <c r="C14742" t="s">
        <v>7170</v>
      </c>
      <c r="G14742" t="s">
        <v>31781</v>
      </c>
      <c r="H14742" t="s">
        <v>869</v>
      </c>
      <c r="I14742" t="s">
        <v>52</v>
      </c>
      <c r="J14742" t="s">
        <v>31782</v>
      </c>
      <c r="K14742">
        <v>5840</v>
      </c>
      <c r="L14742" t="s">
        <v>23</v>
      </c>
      <c r="M14742" t="s">
        <v>31781</v>
      </c>
      <c r="N14742" t="s">
        <v>869</v>
      </c>
      <c r="O14742" t="s">
        <v>52</v>
      </c>
      <c r="P14742" t="s">
        <v>31782</v>
      </c>
      <c r="Q14742">
        <v>5840</v>
      </c>
      <c r="R14742" t="s">
        <v>23</v>
      </c>
      <c r="S14742" s="1" t="s">
        <v>34218</v>
      </c>
    </row>
    <row r="14743" spans="1:19" x14ac:dyDescent="0.25">
      <c r="A14743">
        <v>100926561</v>
      </c>
      <c r="B14743" t="s">
        <v>9923</v>
      </c>
      <c r="C14743" t="s">
        <v>3670</v>
      </c>
      <c r="G14743" t="s">
        <v>31783</v>
      </c>
      <c r="H14743" t="s">
        <v>3129</v>
      </c>
      <c r="I14743" t="s">
        <v>84</v>
      </c>
      <c r="J14743" t="s">
        <v>31784</v>
      </c>
      <c r="K14743">
        <v>4416</v>
      </c>
      <c r="L14743" t="s">
        <v>23</v>
      </c>
      <c r="M14743" t="s">
        <v>31783</v>
      </c>
      <c r="N14743" t="s">
        <v>3129</v>
      </c>
      <c r="O14743" t="s">
        <v>84</v>
      </c>
      <c r="P14743" t="s">
        <v>31784</v>
      </c>
      <c r="Q14743">
        <v>4416</v>
      </c>
      <c r="R14743" t="s">
        <v>23</v>
      </c>
      <c r="S14743" s="1" t="s">
        <v>34218</v>
      </c>
    </row>
    <row r="14744" spans="1:19" x14ac:dyDescent="0.25">
      <c r="A14744">
        <v>101415045</v>
      </c>
      <c r="B14744" t="s">
        <v>7791</v>
      </c>
      <c r="C14744" t="s">
        <v>1153</v>
      </c>
      <c r="G14744" t="s">
        <v>31785</v>
      </c>
      <c r="H14744" t="s">
        <v>3359</v>
      </c>
      <c r="I14744" t="s">
        <v>135</v>
      </c>
      <c r="J14744" t="s">
        <v>31786</v>
      </c>
      <c r="K14744">
        <v>5318</v>
      </c>
      <c r="L14744" t="s">
        <v>23</v>
      </c>
      <c r="M14744" t="s">
        <v>31785</v>
      </c>
      <c r="N14744" t="s">
        <v>3359</v>
      </c>
      <c r="O14744" t="s">
        <v>135</v>
      </c>
      <c r="P14744" t="s">
        <v>31786</v>
      </c>
      <c r="Q14744">
        <v>5318</v>
      </c>
      <c r="R14744" t="s">
        <v>23</v>
      </c>
      <c r="S14744" s="1" t="s">
        <v>34218</v>
      </c>
    </row>
    <row r="14745" spans="1:19" x14ac:dyDescent="0.25">
      <c r="A14745">
        <v>101295997</v>
      </c>
      <c r="B14745" t="s">
        <v>25305</v>
      </c>
      <c r="C14745" t="s">
        <v>4488</v>
      </c>
      <c r="G14745" t="s">
        <v>31787</v>
      </c>
      <c r="H14745" t="s">
        <v>31788</v>
      </c>
      <c r="I14745" t="s">
        <v>33</v>
      </c>
      <c r="J14745" t="s">
        <v>31789</v>
      </c>
      <c r="K14745">
        <v>9014</v>
      </c>
      <c r="L14745" t="s">
        <v>23</v>
      </c>
      <c r="M14745" t="s">
        <v>31787</v>
      </c>
      <c r="N14745" t="s">
        <v>31788</v>
      </c>
      <c r="O14745" t="s">
        <v>33</v>
      </c>
      <c r="P14745" t="s">
        <v>31789</v>
      </c>
      <c r="Q14745">
        <v>9014</v>
      </c>
      <c r="R14745" t="s">
        <v>23</v>
      </c>
      <c r="S14745" s="1" t="s">
        <v>34218</v>
      </c>
    </row>
    <row r="14746" spans="1:19" x14ac:dyDescent="0.25">
      <c r="A14746">
        <v>101203478</v>
      </c>
      <c r="B14746" t="s">
        <v>10506</v>
      </c>
      <c r="C14746" t="s">
        <v>4488</v>
      </c>
      <c r="G14746" t="s">
        <v>31790</v>
      </c>
      <c r="H14746" t="s">
        <v>4288</v>
      </c>
      <c r="I14746" t="s">
        <v>178</v>
      </c>
      <c r="J14746" t="s">
        <v>31791</v>
      </c>
      <c r="K14746">
        <v>1337</v>
      </c>
      <c r="L14746" t="s">
        <v>23</v>
      </c>
      <c r="M14746" t="s">
        <v>31790</v>
      </c>
      <c r="N14746" t="s">
        <v>4288</v>
      </c>
      <c r="O14746" t="s">
        <v>178</v>
      </c>
      <c r="P14746" t="s">
        <v>31791</v>
      </c>
      <c r="Q14746">
        <v>1337</v>
      </c>
      <c r="R14746" t="s">
        <v>23</v>
      </c>
      <c r="S14746" s="1" t="s">
        <v>34218</v>
      </c>
    </row>
    <row r="14747" spans="1:19" x14ac:dyDescent="0.25">
      <c r="A14747">
        <v>101422825</v>
      </c>
      <c r="B14747" t="s">
        <v>31792</v>
      </c>
      <c r="C14747" t="s">
        <v>543</v>
      </c>
      <c r="G14747" t="s">
        <v>31793</v>
      </c>
      <c r="H14747" t="s">
        <v>16848</v>
      </c>
      <c r="I14747" t="s">
        <v>33</v>
      </c>
      <c r="J14747" t="s">
        <v>31794</v>
      </c>
      <c r="K14747">
        <v>2144</v>
      </c>
      <c r="L14747" t="s">
        <v>23</v>
      </c>
      <c r="M14747" t="s">
        <v>31793</v>
      </c>
      <c r="N14747" t="s">
        <v>16848</v>
      </c>
      <c r="O14747" t="s">
        <v>33</v>
      </c>
      <c r="P14747" t="s">
        <v>31794</v>
      </c>
      <c r="Q14747">
        <v>2144</v>
      </c>
      <c r="R14747" t="s">
        <v>23</v>
      </c>
      <c r="S14747" s="1" t="s">
        <v>34218</v>
      </c>
    </row>
    <row r="14748" spans="1:19" x14ac:dyDescent="0.25">
      <c r="A14748">
        <v>101427326</v>
      </c>
      <c r="B14748" t="s">
        <v>8126</v>
      </c>
      <c r="C14748" t="s">
        <v>31795</v>
      </c>
      <c r="G14748" t="s">
        <v>31796</v>
      </c>
      <c r="H14748" t="s">
        <v>3963</v>
      </c>
      <c r="I14748" t="s">
        <v>52</v>
      </c>
      <c r="J14748" t="s">
        <v>31797</v>
      </c>
      <c r="K14748">
        <v>2035</v>
      </c>
      <c r="L14748" t="s">
        <v>23</v>
      </c>
      <c r="M14748" t="s">
        <v>31796</v>
      </c>
      <c r="N14748" t="s">
        <v>3963</v>
      </c>
      <c r="O14748" t="s">
        <v>52</v>
      </c>
      <c r="P14748" t="s">
        <v>31797</v>
      </c>
      <c r="Q14748">
        <v>2035</v>
      </c>
      <c r="R14748" t="s">
        <v>23</v>
      </c>
      <c r="S14748" s="1" t="s">
        <v>34218</v>
      </c>
    </row>
    <row r="14749" spans="1:19" x14ac:dyDescent="0.25">
      <c r="A14749">
        <v>101451306</v>
      </c>
      <c r="B14749" t="s">
        <v>31798</v>
      </c>
      <c r="C14749" t="s">
        <v>114</v>
      </c>
      <c r="G14749" t="s">
        <v>31799</v>
      </c>
      <c r="H14749" t="s">
        <v>3352</v>
      </c>
      <c r="I14749" t="s">
        <v>135</v>
      </c>
      <c r="J14749">
        <v>60403</v>
      </c>
      <c r="K14749">
        <v>9339</v>
      </c>
      <c r="L14749" t="s">
        <v>23</v>
      </c>
      <c r="M14749" t="s">
        <v>31799</v>
      </c>
      <c r="N14749" t="s">
        <v>3352</v>
      </c>
      <c r="O14749" t="s">
        <v>135</v>
      </c>
      <c r="P14749">
        <v>60403</v>
      </c>
      <c r="Q14749">
        <v>9339</v>
      </c>
      <c r="R14749" t="s">
        <v>23</v>
      </c>
      <c r="S14749" s="1" t="s">
        <v>34218</v>
      </c>
    </row>
    <row r="14750" spans="1:19" x14ac:dyDescent="0.25">
      <c r="A14750">
        <v>101453936</v>
      </c>
      <c r="B14750" t="s">
        <v>10733</v>
      </c>
      <c r="C14750" t="s">
        <v>8241</v>
      </c>
      <c r="G14750" t="s">
        <v>31800</v>
      </c>
      <c r="H14750" t="s">
        <v>737</v>
      </c>
      <c r="I14750" t="s">
        <v>255</v>
      </c>
      <c r="J14750">
        <v>23455</v>
      </c>
      <c r="K14750">
        <v>5827</v>
      </c>
      <c r="L14750" t="s">
        <v>23</v>
      </c>
      <c r="M14750" t="s">
        <v>31800</v>
      </c>
      <c r="N14750" t="s">
        <v>737</v>
      </c>
      <c r="O14750" t="s">
        <v>255</v>
      </c>
      <c r="P14750">
        <v>23455</v>
      </c>
      <c r="Q14750">
        <v>5827</v>
      </c>
      <c r="R14750" t="s">
        <v>23</v>
      </c>
      <c r="S14750" s="1" t="s">
        <v>34218</v>
      </c>
    </row>
    <row r="14751" spans="1:19" x14ac:dyDescent="0.25">
      <c r="A14751">
        <v>101341206</v>
      </c>
      <c r="B14751" t="s">
        <v>216</v>
      </c>
      <c r="C14751" t="s">
        <v>9248</v>
      </c>
      <c r="G14751" t="s">
        <v>31801</v>
      </c>
      <c r="H14751" t="s">
        <v>9008</v>
      </c>
      <c r="I14751" t="s">
        <v>914</v>
      </c>
      <c r="J14751">
        <v>37174</v>
      </c>
      <c r="K14751">
        <v>9221</v>
      </c>
      <c r="L14751" t="s">
        <v>23</v>
      </c>
      <c r="M14751" t="s">
        <v>31801</v>
      </c>
      <c r="N14751" t="s">
        <v>9008</v>
      </c>
      <c r="O14751" t="s">
        <v>914</v>
      </c>
      <c r="P14751">
        <v>37174</v>
      </c>
      <c r="Q14751">
        <v>9221</v>
      </c>
      <c r="R14751" t="s">
        <v>23</v>
      </c>
      <c r="S14751" s="1" t="s">
        <v>34218</v>
      </c>
    </row>
    <row r="14752" spans="1:19" x14ac:dyDescent="0.25">
      <c r="A14752">
        <v>100748263</v>
      </c>
      <c r="B14752" t="s">
        <v>31802</v>
      </c>
      <c r="C14752" t="s">
        <v>31803</v>
      </c>
      <c r="G14752" t="s">
        <v>31804</v>
      </c>
      <c r="H14752" t="s">
        <v>31805</v>
      </c>
      <c r="I14752" t="s">
        <v>43</v>
      </c>
      <c r="J14752">
        <v>97023</v>
      </c>
      <c r="K14752">
        <v>8591</v>
      </c>
      <c r="L14752" t="s">
        <v>23</v>
      </c>
      <c r="M14752" t="s">
        <v>31804</v>
      </c>
      <c r="N14752" t="s">
        <v>31805</v>
      </c>
      <c r="O14752" t="s">
        <v>43</v>
      </c>
      <c r="P14752">
        <v>97023</v>
      </c>
      <c r="Q14752">
        <v>8591</v>
      </c>
      <c r="R14752" t="s">
        <v>23</v>
      </c>
      <c r="S14752" s="1" t="s">
        <v>34218</v>
      </c>
    </row>
    <row r="14753" spans="1:19" x14ac:dyDescent="0.25">
      <c r="A14753">
        <v>101451671</v>
      </c>
      <c r="B14753" t="s">
        <v>31806</v>
      </c>
      <c r="C14753" t="s">
        <v>11755</v>
      </c>
      <c r="G14753" t="s">
        <v>31807</v>
      </c>
      <c r="H14753" t="s">
        <v>14457</v>
      </c>
      <c r="I14753" t="s">
        <v>446</v>
      </c>
      <c r="J14753">
        <v>28054</v>
      </c>
      <c r="K14753">
        <v>6417</v>
      </c>
      <c r="L14753" t="s">
        <v>23</v>
      </c>
      <c r="M14753" t="s">
        <v>31807</v>
      </c>
      <c r="N14753" t="s">
        <v>14457</v>
      </c>
      <c r="O14753" t="s">
        <v>446</v>
      </c>
      <c r="P14753">
        <v>28054</v>
      </c>
      <c r="Q14753">
        <v>6417</v>
      </c>
      <c r="R14753" t="s">
        <v>23</v>
      </c>
      <c r="S14753" s="1" t="s">
        <v>34218</v>
      </c>
    </row>
    <row r="14754" spans="1:19" x14ac:dyDescent="0.25">
      <c r="A14754">
        <v>101432360</v>
      </c>
      <c r="B14754" t="s">
        <v>31808</v>
      </c>
      <c r="C14754" t="s">
        <v>6897</v>
      </c>
      <c r="G14754" t="s">
        <v>31809</v>
      </c>
      <c r="H14754" t="s">
        <v>31810</v>
      </c>
      <c r="I14754" t="s">
        <v>187</v>
      </c>
      <c r="J14754" t="s">
        <v>31811</v>
      </c>
      <c r="K14754">
        <v>3081</v>
      </c>
      <c r="L14754" t="s">
        <v>23</v>
      </c>
      <c r="M14754" t="s">
        <v>31809</v>
      </c>
      <c r="N14754" t="s">
        <v>31810</v>
      </c>
      <c r="O14754" t="s">
        <v>187</v>
      </c>
      <c r="P14754" t="s">
        <v>31811</v>
      </c>
      <c r="Q14754">
        <v>3081</v>
      </c>
      <c r="R14754" t="s">
        <v>23</v>
      </c>
      <c r="S14754" s="1" t="s">
        <v>34218</v>
      </c>
    </row>
    <row r="14755" spans="1:19" x14ac:dyDescent="0.25">
      <c r="A14755">
        <v>101225626</v>
      </c>
      <c r="B14755" t="s">
        <v>21353</v>
      </c>
      <c r="C14755" t="s">
        <v>5283</v>
      </c>
      <c r="G14755" t="s">
        <v>31812</v>
      </c>
      <c r="H14755" t="s">
        <v>2910</v>
      </c>
      <c r="I14755" t="s">
        <v>52</v>
      </c>
      <c r="J14755" t="s">
        <v>31813</v>
      </c>
      <c r="K14755">
        <v>1205</v>
      </c>
      <c r="L14755" t="s">
        <v>23</v>
      </c>
      <c r="M14755" t="s">
        <v>31812</v>
      </c>
      <c r="N14755" t="s">
        <v>2910</v>
      </c>
      <c r="O14755" t="s">
        <v>52</v>
      </c>
      <c r="P14755" t="s">
        <v>31813</v>
      </c>
      <c r="Q14755">
        <v>1205</v>
      </c>
      <c r="R14755" t="s">
        <v>23</v>
      </c>
      <c r="S14755" s="1" t="s">
        <v>34218</v>
      </c>
    </row>
    <row r="14756" spans="1:19" x14ac:dyDescent="0.25">
      <c r="A14756">
        <v>101327561</v>
      </c>
      <c r="B14756" t="s">
        <v>31814</v>
      </c>
      <c r="C14756" t="s">
        <v>1082</v>
      </c>
      <c r="G14756" t="s">
        <v>31815</v>
      </c>
      <c r="H14756" t="s">
        <v>1214</v>
      </c>
      <c r="I14756" t="s">
        <v>140</v>
      </c>
      <c r="J14756" t="s">
        <v>31816</v>
      </c>
      <c r="K14756">
        <v>3511</v>
      </c>
      <c r="L14756" t="s">
        <v>23</v>
      </c>
      <c r="M14756" t="s">
        <v>31815</v>
      </c>
      <c r="N14756" t="s">
        <v>1214</v>
      </c>
      <c r="O14756" t="s">
        <v>140</v>
      </c>
      <c r="P14756" t="s">
        <v>31816</v>
      </c>
      <c r="Q14756">
        <v>3511</v>
      </c>
      <c r="R14756" t="s">
        <v>23</v>
      </c>
      <c r="S14756" s="1" t="s">
        <v>34218</v>
      </c>
    </row>
    <row r="14757" spans="1:19" x14ac:dyDescent="0.25">
      <c r="A14757">
        <v>100723520</v>
      </c>
      <c r="B14757" t="s">
        <v>4679</v>
      </c>
      <c r="C14757" t="s">
        <v>6252</v>
      </c>
      <c r="G14757" t="s">
        <v>31817</v>
      </c>
      <c r="H14757" t="s">
        <v>18113</v>
      </c>
      <c r="I14757" t="s">
        <v>148</v>
      </c>
      <c r="J14757">
        <v>21801</v>
      </c>
      <c r="K14757">
        <v>4275</v>
      </c>
      <c r="L14757" t="s">
        <v>23</v>
      </c>
      <c r="M14757" t="s">
        <v>31817</v>
      </c>
      <c r="N14757" t="s">
        <v>18113</v>
      </c>
      <c r="O14757" t="s">
        <v>148</v>
      </c>
      <c r="P14757">
        <v>21801</v>
      </c>
      <c r="Q14757">
        <v>4275</v>
      </c>
      <c r="R14757" t="s">
        <v>23</v>
      </c>
      <c r="S14757" s="1" t="s">
        <v>34218</v>
      </c>
    </row>
    <row r="14758" spans="1:19" x14ac:dyDescent="0.25">
      <c r="A14758">
        <v>101249733</v>
      </c>
      <c r="B14758" t="s">
        <v>4007</v>
      </c>
      <c r="C14758" t="s">
        <v>26945</v>
      </c>
      <c r="G14758" t="s">
        <v>31818</v>
      </c>
      <c r="H14758" t="s">
        <v>130</v>
      </c>
      <c r="I14758" t="s">
        <v>22</v>
      </c>
      <c r="J14758">
        <v>94114</v>
      </c>
      <c r="K14758">
        <v>3715</v>
      </c>
      <c r="L14758" t="s">
        <v>23</v>
      </c>
      <c r="M14758" t="s">
        <v>31818</v>
      </c>
      <c r="N14758" t="s">
        <v>130</v>
      </c>
      <c r="O14758" t="s">
        <v>22</v>
      </c>
      <c r="P14758">
        <v>94114</v>
      </c>
      <c r="Q14758">
        <v>3715</v>
      </c>
      <c r="R14758" t="s">
        <v>23</v>
      </c>
      <c r="S14758" s="1" t="s">
        <v>34218</v>
      </c>
    </row>
    <row r="14759" spans="1:19" x14ac:dyDescent="0.25">
      <c r="A14759">
        <v>100808482</v>
      </c>
      <c r="B14759" t="s">
        <v>93</v>
      </c>
      <c r="C14759" t="s">
        <v>4124</v>
      </c>
      <c r="G14759" t="s">
        <v>31819</v>
      </c>
      <c r="H14759" t="s">
        <v>31820</v>
      </c>
      <c r="I14759" t="s">
        <v>565</v>
      </c>
      <c r="J14759">
        <v>51355</v>
      </c>
      <c r="L14759" t="s">
        <v>23</v>
      </c>
      <c r="M14759" t="s">
        <v>31819</v>
      </c>
      <c r="N14759" t="s">
        <v>31820</v>
      </c>
      <c r="O14759" t="s">
        <v>565</v>
      </c>
      <c r="P14759">
        <v>51355</v>
      </c>
      <c r="R14759" t="s">
        <v>23</v>
      </c>
      <c r="S14759" s="1" t="s">
        <v>34218</v>
      </c>
    </row>
    <row r="14760" spans="1:19" x14ac:dyDescent="0.25">
      <c r="A14760">
        <v>101295494</v>
      </c>
      <c r="B14760" t="s">
        <v>10315</v>
      </c>
      <c r="C14760" t="s">
        <v>1933</v>
      </c>
      <c r="G14760" t="s">
        <v>31821</v>
      </c>
      <c r="H14760" t="s">
        <v>17172</v>
      </c>
      <c r="I14760" t="s">
        <v>33</v>
      </c>
      <c r="J14760">
        <v>19004</v>
      </c>
      <c r="K14760">
        <v>2427</v>
      </c>
      <c r="L14760" t="s">
        <v>23</v>
      </c>
      <c r="M14760" t="s">
        <v>31821</v>
      </c>
      <c r="N14760" t="s">
        <v>17172</v>
      </c>
      <c r="O14760" t="s">
        <v>33</v>
      </c>
      <c r="P14760">
        <v>19004</v>
      </c>
      <c r="Q14760">
        <v>2427</v>
      </c>
      <c r="R14760" t="s">
        <v>23</v>
      </c>
      <c r="S14760" s="1" t="s">
        <v>34218</v>
      </c>
    </row>
    <row r="14761" spans="1:19" x14ac:dyDescent="0.25">
      <c r="A14761">
        <v>101350129</v>
      </c>
      <c r="B14761" t="s">
        <v>31822</v>
      </c>
      <c r="C14761" t="s">
        <v>1107</v>
      </c>
      <c r="G14761" t="s">
        <v>31823</v>
      </c>
      <c r="H14761" t="s">
        <v>21</v>
      </c>
      <c r="I14761" t="s">
        <v>22</v>
      </c>
      <c r="J14761" t="s">
        <v>31824</v>
      </c>
      <c r="K14761">
        <v>9724</v>
      </c>
      <c r="L14761" t="s">
        <v>23</v>
      </c>
      <c r="M14761" t="s">
        <v>31823</v>
      </c>
      <c r="N14761" t="s">
        <v>21</v>
      </c>
      <c r="O14761" t="s">
        <v>22</v>
      </c>
      <c r="P14761" t="s">
        <v>31824</v>
      </c>
      <c r="Q14761">
        <v>9724</v>
      </c>
      <c r="R14761" t="s">
        <v>23</v>
      </c>
      <c r="S14761" s="1" t="s">
        <v>34218</v>
      </c>
    </row>
    <row r="14762" spans="1:19" x14ac:dyDescent="0.25">
      <c r="A14762">
        <v>101469257</v>
      </c>
      <c r="B14762" t="s">
        <v>31825</v>
      </c>
      <c r="C14762" t="s">
        <v>1377</v>
      </c>
      <c r="G14762" t="s">
        <v>31826</v>
      </c>
      <c r="H14762" t="s">
        <v>537</v>
      </c>
      <c r="I14762" t="s">
        <v>52</v>
      </c>
      <c r="J14762">
        <v>32095</v>
      </c>
      <c r="K14762">
        <v>8885</v>
      </c>
      <c r="L14762" t="s">
        <v>23</v>
      </c>
      <c r="M14762" t="s">
        <v>31826</v>
      </c>
      <c r="N14762" t="s">
        <v>537</v>
      </c>
      <c r="O14762" t="s">
        <v>52</v>
      </c>
      <c r="P14762">
        <v>32095</v>
      </c>
      <c r="Q14762">
        <v>8885</v>
      </c>
      <c r="R14762" t="s">
        <v>23</v>
      </c>
      <c r="S14762" s="1" t="s">
        <v>34218</v>
      </c>
    </row>
    <row r="14763" spans="1:19" x14ac:dyDescent="0.25">
      <c r="A14763">
        <v>101280784</v>
      </c>
      <c r="B14763" t="s">
        <v>31827</v>
      </c>
      <c r="C14763" t="s">
        <v>5868</v>
      </c>
      <c r="G14763" t="s">
        <v>31828</v>
      </c>
      <c r="H14763" t="s">
        <v>37</v>
      </c>
      <c r="I14763" t="s">
        <v>38</v>
      </c>
      <c r="J14763">
        <v>78748</v>
      </c>
      <c r="K14763">
        <v>5596</v>
      </c>
      <c r="L14763" t="s">
        <v>23</v>
      </c>
      <c r="M14763" t="s">
        <v>31828</v>
      </c>
      <c r="N14763" t="s">
        <v>37</v>
      </c>
      <c r="O14763" t="s">
        <v>38</v>
      </c>
      <c r="P14763">
        <v>78748</v>
      </c>
      <c r="Q14763">
        <v>5596</v>
      </c>
      <c r="R14763" t="s">
        <v>23</v>
      </c>
      <c r="S14763" s="1" t="s">
        <v>34218</v>
      </c>
    </row>
    <row r="14764" spans="1:19" x14ac:dyDescent="0.25">
      <c r="A14764">
        <v>101206007</v>
      </c>
      <c r="B14764" t="s">
        <v>31829</v>
      </c>
      <c r="C14764" t="s">
        <v>382</v>
      </c>
      <c r="G14764" t="s">
        <v>31830</v>
      </c>
      <c r="H14764" t="s">
        <v>5304</v>
      </c>
      <c r="I14764" t="s">
        <v>52</v>
      </c>
      <c r="J14764">
        <v>34135</v>
      </c>
      <c r="K14764">
        <v>7196</v>
      </c>
      <c r="L14764" t="s">
        <v>23</v>
      </c>
      <c r="M14764" t="s">
        <v>31830</v>
      </c>
      <c r="N14764" t="s">
        <v>5304</v>
      </c>
      <c r="O14764" t="s">
        <v>52</v>
      </c>
      <c r="P14764">
        <v>34135</v>
      </c>
      <c r="Q14764">
        <v>7196</v>
      </c>
      <c r="R14764" t="s">
        <v>23</v>
      </c>
      <c r="S14764" s="1" t="s">
        <v>34218</v>
      </c>
    </row>
    <row r="14765" spans="1:19" x14ac:dyDescent="0.25">
      <c r="A14765">
        <v>101276682</v>
      </c>
      <c r="B14765" t="s">
        <v>27028</v>
      </c>
      <c r="C14765" t="s">
        <v>6653</v>
      </c>
      <c r="G14765" t="s">
        <v>31831</v>
      </c>
      <c r="H14765" t="s">
        <v>8653</v>
      </c>
      <c r="I14765" t="s">
        <v>191</v>
      </c>
      <c r="J14765">
        <v>4074</v>
      </c>
      <c r="K14765">
        <v>9424</v>
      </c>
      <c r="L14765" t="s">
        <v>23</v>
      </c>
      <c r="M14765" t="s">
        <v>31831</v>
      </c>
      <c r="N14765" t="s">
        <v>8653</v>
      </c>
      <c r="O14765" t="s">
        <v>191</v>
      </c>
      <c r="P14765">
        <v>4074</v>
      </c>
      <c r="Q14765">
        <v>9424</v>
      </c>
      <c r="R14765" t="s">
        <v>23</v>
      </c>
      <c r="S14765" s="1" t="s">
        <v>34218</v>
      </c>
    </row>
    <row r="14766" spans="1:19" x14ac:dyDescent="0.25">
      <c r="A14766">
        <v>101237749</v>
      </c>
      <c r="B14766" t="s">
        <v>6658</v>
      </c>
      <c r="C14766" t="s">
        <v>31832</v>
      </c>
      <c r="G14766" t="s">
        <v>31833</v>
      </c>
      <c r="H14766" t="s">
        <v>227</v>
      </c>
      <c r="I14766" t="s">
        <v>43</v>
      </c>
      <c r="J14766">
        <v>97202</v>
      </c>
      <c r="K14766">
        <v>3509</v>
      </c>
      <c r="L14766" t="s">
        <v>23</v>
      </c>
      <c r="M14766" t="s">
        <v>31833</v>
      </c>
      <c r="N14766" t="s">
        <v>227</v>
      </c>
      <c r="O14766" t="s">
        <v>43</v>
      </c>
      <c r="P14766">
        <v>97202</v>
      </c>
      <c r="Q14766">
        <v>3509</v>
      </c>
      <c r="R14766" t="s">
        <v>23</v>
      </c>
      <c r="S14766" s="1" t="s">
        <v>34218</v>
      </c>
    </row>
    <row r="14767" spans="1:19" x14ac:dyDescent="0.25">
      <c r="A14767">
        <v>101243882</v>
      </c>
      <c r="B14767" t="s">
        <v>6810</v>
      </c>
      <c r="C14767" t="s">
        <v>172</v>
      </c>
      <c r="G14767" t="s">
        <v>31834</v>
      </c>
      <c r="H14767" t="s">
        <v>15104</v>
      </c>
      <c r="I14767" t="s">
        <v>1482</v>
      </c>
      <c r="J14767">
        <v>29464</v>
      </c>
      <c r="K14767">
        <v>5001</v>
      </c>
      <c r="L14767" t="s">
        <v>23</v>
      </c>
      <c r="M14767" t="s">
        <v>31834</v>
      </c>
      <c r="N14767" t="s">
        <v>15104</v>
      </c>
      <c r="O14767" t="s">
        <v>1482</v>
      </c>
      <c r="P14767">
        <v>29464</v>
      </c>
      <c r="Q14767">
        <v>5001</v>
      </c>
      <c r="R14767" t="s">
        <v>23</v>
      </c>
      <c r="S14767" s="1" t="s">
        <v>34218</v>
      </c>
    </row>
    <row r="14768" spans="1:19" x14ac:dyDescent="0.25">
      <c r="A14768">
        <v>101475669</v>
      </c>
      <c r="B14768" t="s">
        <v>31835</v>
      </c>
      <c r="C14768" t="s">
        <v>403</v>
      </c>
      <c r="G14768" t="s">
        <v>31836</v>
      </c>
      <c r="H14768" t="s">
        <v>31837</v>
      </c>
      <c r="I14768" t="s">
        <v>57</v>
      </c>
      <c r="J14768">
        <v>46556</v>
      </c>
      <c r="L14768" t="s">
        <v>23</v>
      </c>
      <c r="M14768" t="s">
        <v>31836</v>
      </c>
      <c r="N14768" t="s">
        <v>31837</v>
      </c>
      <c r="O14768" t="s">
        <v>57</v>
      </c>
      <c r="P14768">
        <v>46556</v>
      </c>
      <c r="R14768" t="s">
        <v>23</v>
      </c>
      <c r="S14768" s="1" t="s">
        <v>34218</v>
      </c>
    </row>
    <row r="14769" spans="1:19" x14ac:dyDescent="0.25">
      <c r="A14769">
        <v>101224732</v>
      </c>
      <c r="B14769" t="s">
        <v>31838</v>
      </c>
      <c r="C14769" t="s">
        <v>1036</v>
      </c>
      <c r="G14769" t="s">
        <v>31839</v>
      </c>
      <c r="H14769" t="s">
        <v>26134</v>
      </c>
      <c r="I14769" t="s">
        <v>117</v>
      </c>
      <c r="J14769">
        <v>12029</v>
      </c>
      <c r="L14769" t="s">
        <v>23</v>
      </c>
      <c r="M14769" t="s">
        <v>31839</v>
      </c>
      <c r="N14769" t="s">
        <v>26134</v>
      </c>
      <c r="O14769" t="s">
        <v>117</v>
      </c>
      <c r="P14769">
        <v>12029</v>
      </c>
      <c r="R14769" t="s">
        <v>23</v>
      </c>
      <c r="S14769" s="1" t="s">
        <v>34218</v>
      </c>
    </row>
    <row r="14770" spans="1:19" x14ac:dyDescent="0.25">
      <c r="A14770">
        <v>101271146</v>
      </c>
      <c r="B14770" t="s">
        <v>24813</v>
      </c>
      <c r="C14770" t="s">
        <v>1824</v>
      </c>
      <c r="G14770" t="s">
        <v>5508</v>
      </c>
      <c r="H14770" t="s">
        <v>31840</v>
      </c>
      <c r="I14770" t="s">
        <v>117</v>
      </c>
      <c r="J14770">
        <v>13468</v>
      </c>
      <c r="K14770">
        <v>302</v>
      </c>
      <c r="L14770" t="s">
        <v>23</v>
      </c>
      <c r="M14770" t="s">
        <v>5508</v>
      </c>
      <c r="N14770" t="s">
        <v>31840</v>
      </c>
      <c r="O14770" t="s">
        <v>117</v>
      </c>
      <c r="P14770">
        <v>13468</v>
      </c>
      <c r="Q14770">
        <v>302</v>
      </c>
      <c r="R14770" t="s">
        <v>23</v>
      </c>
      <c r="S14770" s="1" t="s">
        <v>34218</v>
      </c>
    </row>
    <row r="14771" spans="1:19" x14ac:dyDescent="0.25">
      <c r="A14771">
        <v>100673351</v>
      </c>
      <c r="B14771" t="s">
        <v>4170</v>
      </c>
      <c r="C14771" t="s">
        <v>31841</v>
      </c>
      <c r="G14771" t="s">
        <v>31842</v>
      </c>
      <c r="H14771" t="s">
        <v>31843</v>
      </c>
      <c r="I14771" t="s">
        <v>22</v>
      </c>
      <c r="J14771">
        <v>93550</v>
      </c>
      <c r="K14771">
        <v>1027</v>
      </c>
      <c r="L14771" t="s">
        <v>23</v>
      </c>
      <c r="M14771" t="s">
        <v>31842</v>
      </c>
      <c r="N14771" t="s">
        <v>31843</v>
      </c>
      <c r="O14771" t="s">
        <v>22</v>
      </c>
      <c r="P14771">
        <v>93550</v>
      </c>
      <c r="Q14771">
        <v>1027</v>
      </c>
      <c r="R14771" t="s">
        <v>23</v>
      </c>
      <c r="S14771" s="1" t="s">
        <v>34218</v>
      </c>
    </row>
    <row r="14772" spans="1:19" x14ac:dyDescent="0.25">
      <c r="A14772">
        <v>101424955</v>
      </c>
      <c r="B14772" t="s">
        <v>2007</v>
      </c>
      <c r="C14772" t="s">
        <v>8613</v>
      </c>
      <c r="G14772" t="s">
        <v>31844</v>
      </c>
      <c r="H14772" t="s">
        <v>5571</v>
      </c>
      <c r="I14772" t="s">
        <v>84</v>
      </c>
      <c r="J14772">
        <v>98043</v>
      </c>
      <c r="K14772">
        <v>5145</v>
      </c>
      <c r="L14772" t="s">
        <v>23</v>
      </c>
      <c r="M14772" t="s">
        <v>31844</v>
      </c>
      <c r="N14772" t="s">
        <v>5571</v>
      </c>
      <c r="O14772" t="s">
        <v>84</v>
      </c>
      <c r="P14772">
        <v>98043</v>
      </c>
      <c r="Q14772">
        <v>5145</v>
      </c>
      <c r="R14772" t="s">
        <v>23</v>
      </c>
      <c r="S14772" s="1" t="s">
        <v>34218</v>
      </c>
    </row>
    <row r="14773" spans="1:19" x14ac:dyDescent="0.25">
      <c r="A14773">
        <v>101480901</v>
      </c>
      <c r="B14773" t="s">
        <v>31845</v>
      </c>
      <c r="C14773" t="s">
        <v>110</v>
      </c>
      <c r="G14773" t="s">
        <v>31846</v>
      </c>
      <c r="H14773" t="s">
        <v>24268</v>
      </c>
      <c r="I14773" t="s">
        <v>52</v>
      </c>
      <c r="J14773">
        <v>34990</v>
      </c>
      <c r="L14773" t="s">
        <v>23</v>
      </c>
      <c r="M14773" t="s">
        <v>31846</v>
      </c>
      <c r="N14773" t="s">
        <v>24268</v>
      </c>
      <c r="O14773" t="s">
        <v>52</v>
      </c>
      <c r="P14773">
        <v>34990</v>
      </c>
      <c r="R14773" t="s">
        <v>23</v>
      </c>
      <c r="S14773" s="1" t="s">
        <v>34218</v>
      </c>
    </row>
    <row r="14774" spans="1:19" x14ac:dyDescent="0.25">
      <c r="A14774">
        <v>101480902</v>
      </c>
      <c r="B14774" t="s">
        <v>25171</v>
      </c>
      <c r="C14774" t="s">
        <v>4644</v>
      </c>
      <c r="G14774" t="s">
        <v>31847</v>
      </c>
      <c r="H14774" t="s">
        <v>23365</v>
      </c>
      <c r="I14774" t="s">
        <v>126</v>
      </c>
      <c r="J14774">
        <v>64468</v>
      </c>
      <c r="K14774">
        <v>2503</v>
      </c>
      <c r="L14774" t="s">
        <v>23</v>
      </c>
      <c r="M14774" t="s">
        <v>31847</v>
      </c>
      <c r="N14774" t="s">
        <v>23365</v>
      </c>
      <c r="O14774" t="s">
        <v>126</v>
      </c>
      <c r="P14774">
        <v>64468</v>
      </c>
      <c r="Q14774">
        <v>2503</v>
      </c>
      <c r="R14774" t="s">
        <v>23</v>
      </c>
      <c r="S14774" s="1" t="s">
        <v>34218</v>
      </c>
    </row>
    <row r="14775" spans="1:19" x14ac:dyDescent="0.25">
      <c r="A14775">
        <v>101248384</v>
      </c>
      <c r="B14775" t="s">
        <v>4018</v>
      </c>
      <c r="C14775" t="s">
        <v>3058</v>
      </c>
      <c r="G14775" t="s">
        <v>934</v>
      </c>
      <c r="H14775" t="s">
        <v>1754</v>
      </c>
      <c r="I14775" t="s">
        <v>203</v>
      </c>
      <c r="J14775">
        <v>82931</v>
      </c>
      <c r="K14775">
        <v>142</v>
      </c>
      <c r="L14775" t="s">
        <v>23</v>
      </c>
      <c r="M14775" t="s">
        <v>934</v>
      </c>
      <c r="N14775" t="s">
        <v>1754</v>
      </c>
      <c r="O14775" t="s">
        <v>203</v>
      </c>
      <c r="P14775">
        <v>82931</v>
      </c>
      <c r="Q14775">
        <v>142</v>
      </c>
      <c r="R14775" t="s">
        <v>23</v>
      </c>
      <c r="S14775" s="1" t="s">
        <v>34218</v>
      </c>
    </row>
    <row r="14776" spans="1:19" x14ac:dyDescent="0.25">
      <c r="A14776">
        <v>101480907</v>
      </c>
      <c r="B14776" t="s">
        <v>6058</v>
      </c>
      <c r="C14776" t="s">
        <v>19035</v>
      </c>
      <c r="G14776" t="s">
        <v>31848</v>
      </c>
      <c r="H14776" t="s">
        <v>11620</v>
      </c>
      <c r="I14776" t="s">
        <v>250</v>
      </c>
      <c r="J14776">
        <v>8094</v>
      </c>
      <c r="K14776">
        <v>1635</v>
      </c>
      <c r="L14776" t="s">
        <v>23</v>
      </c>
      <c r="M14776" t="s">
        <v>31848</v>
      </c>
      <c r="N14776" t="s">
        <v>11620</v>
      </c>
      <c r="O14776" t="s">
        <v>250</v>
      </c>
      <c r="P14776">
        <v>8094</v>
      </c>
      <c r="Q14776">
        <v>1635</v>
      </c>
      <c r="R14776" t="s">
        <v>23</v>
      </c>
      <c r="S14776" s="1" t="s">
        <v>34218</v>
      </c>
    </row>
    <row r="14777" spans="1:19" x14ac:dyDescent="0.25">
      <c r="A14777">
        <v>101480910</v>
      </c>
      <c r="B14777" t="s">
        <v>31849</v>
      </c>
      <c r="C14777" t="s">
        <v>7996</v>
      </c>
      <c r="G14777" t="s">
        <v>31850</v>
      </c>
      <c r="H14777" t="s">
        <v>1250</v>
      </c>
      <c r="I14777" t="s">
        <v>52</v>
      </c>
      <c r="J14777">
        <v>34480</v>
      </c>
      <c r="K14777">
        <v>7214</v>
      </c>
      <c r="L14777" t="s">
        <v>23</v>
      </c>
      <c r="M14777" t="s">
        <v>31850</v>
      </c>
      <c r="N14777" t="s">
        <v>1250</v>
      </c>
      <c r="O14777" t="s">
        <v>52</v>
      </c>
      <c r="P14777">
        <v>34480</v>
      </c>
      <c r="Q14777">
        <v>7214</v>
      </c>
      <c r="R14777" t="s">
        <v>23</v>
      </c>
      <c r="S14777" s="1" t="s">
        <v>34218</v>
      </c>
    </row>
    <row r="14778" spans="1:19" x14ac:dyDescent="0.25">
      <c r="A14778">
        <v>101296839</v>
      </c>
      <c r="B14778" t="s">
        <v>4449</v>
      </c>
      <c r="C14778" t="s">
        <v>1818</v>
      </c>
      <c r="G14778" t="s">
        <v>31851</v>
      </c>
      <c r="H14778" t="s">
        <v>13640</v>
      </c>
      <c r="I14778" t="s">
        <v>126</v>
      </c>
      <c r="J14778">
        <v>63366</v>
      </c>
      <c r="K14778">
        <v>3093</v>
      </c>
      <c r="L14778" t="s">
        <v>23</v>
      </c>
      <c r="M14778" t="s">
        <v>31851</v>
      </c>
      <c r="N14778" t="s">
        <v>13640</v>
      </c>
      <c r="O14778" t="s">
        <v>126</v>
      </c>
      <c r="P14778">
        <v>63366</v>
      </c>
      <c r="Q14778">
        <v>3093</v>
      </c>
      <c r="R14778" t="s">
        <v>23</v>
      </c>
      <c r="S14778" s="1" t="s">
        <v>34218</v>
      </c>
    </row>
    <row r="14779" spans="1:19" x14ac:dyDescent="0.25">
      <c r="A14779">
        <v>101480912</v>
      </c>
      <c r="B14779" t="s">
        <v>7493</v>
      </c>
      <c r="C14779" t="s">
        <v>7626</v>
      </c>
      <c r="G14779" t="s">
        <v>7494</v>
      </c>
      <c r="H14779" t="s">
        <v>7495</v>
      </c>
      <c r="I14779" t="s">
        <v>236</v>
      </c>
      <c r="J14779">
        <v>1340</v>
      </c>
      <c r="K14779">
        <v>9633</v>
      </c>
      <c r="L14779" t="s">
        <v>23</v>
      </c>
      <c r="M14779" t="s">
        <v>7494</v>
      </c>
      <c r="N14779" t="s">
        <v>7495</v>
      </c>
      <c r="O14779" t="s">
        <v>236</v>
      </c>
      <c r="P14779">
        <v>1340</v>
      </c>
      <c r="Q14779">
        <v>9633</v>
      </c>
      <c r="R14779" t="s">
        <v>23</v>
      </c>
      <c r="S14779" s="1" t="s">
        <v>34218</v>
      </c>
    </row>
    <row r="14780" spans="1:19" x14ac:dyDescent="0.25">
      <c r="A14780">
        <v>100786486</v>
      </c>
      <c r="B14780" t="s">
        <v>21112</v>
      </c>
      <c r="C14780" t="s">
        <v>30</v>
      </c>
      <c r="G14780" t="s">
        <v>31852</v>
      </c>
      <c r="H14780" t="s">
        <v>2724</v>
      </c>
      <c r="I14780" t="s">
        <v>22</v>
      </c>
      <c r="J14780">
        <v>95678</v>
      </c>
      <c r="K14780">
        <v>3214</v>
      </c>
      <c r="L14780" t="s">
        <v>23</v>
      </c>
      <c r="M14780" t="s">
        <v>31852</v>
      </c>
      <c r="N14780" t="s">
        <v>2724</v>
      </c>
      <c r="O14780" t="s">
        <v>22</v>
      </c>
      <c r="P14780">
        <v>95678</v>
      </c>
      <c r="Q14780">
        <v>3214</v>
      </c>
      <c r="R14780" t="s">
        <v>23</v>
      </c>
      <c r="S14780" s="1" t="s">
        <v>34218</v>
      </c>
    </row>
    <row r="14781" spans="1:19" x14ac:dyDescent="0.25">
      <c r="A14781">
        <v>101438313</v>
      </c>
      <c r="B14781" t="s">
        <v>16161</v>
      </c>
      <c r="C14781" t="s">
        <v>4184</v>
      </c>
      <c r="G14781" t="s">
        <v>31853</v>
      </c>
      <c r="H14781" t="s">
        <v>1716</v>
      </c>
      <c r="I14781" t="s">
        <v>38</v>
      </c>
      <c r="J14781">
        <v>79912</v>
      </c>
      <c r="K14781">
        <v>4237</v>
      </c>
      <c r="L14781" t="s">
        <v>23</v>
      </c>
      <c r="M14781" t="s">
        <v>31853</v>
      </c>
      <c r="N14781" t="s">
        <v>1716</v>
      </c>
      <c r="O14781" t="s">
        <v>38</v>
      </c>
      <c r="P14781">
        <v>79912</v>
      </c>
      <c r="Q14781">
        <v>4237</v>
      </c>
      <c r="R14781" t="s">
        <v>23</v>
      </c>
      <c r="S14781" s="1" t="s">
        <v>34218</v>
      </c>
    </row>
    <row r="14782" spans="1:19" x14ac:dyDescent="0.25">
      <c r="A14782">
        <v>101440247</v>
      </c>
      <c r="B14782" t="s">
        <v>2823</v>
      </c>
      <c r="C14782" t="s">
        <v>3357</v>
      </c>
      <c r="G14782" t="s">
        <v>31854</v>
      </c>
      <c r="H14782" t="s">
        <v>737</v>
      </c>
      <c r="I14782" t="s">
        <v>255</v>
      </c>
      <c r="J14782">
        <v>23454</v>
      </c>
      <c r="K14782">
        <v>7367</v>
      </c>
      <c r="L14782" t="s">
        <v>23</v>
      </c>
      <c r="M14782" t="s">
        <v>31854</v>
      </c>
      <c r="N14782" t="s">
        <v>737</v>
      </c>
      <c r="O14782" t="s">
        <v>255</v>
      </c>
      <c r="P14782">
        <v>23454</v>
      </c>
      <c r="Q14782">
        <v>7367</v>
      </c>
      <c r="R14782" t="s">
        <v>23</v>
      </c>
      <c r="S14782" s="1" t="s">
        <v>34218</v>
      </c>
    </row>
    <row r="14783" spans="1:19" x14ac:dyDescent="0.25">
      <c r="A14783">
        <v>101235016</v>
      </c>
      <c r="B14783" t="s">
        <v>3019</v>
      </c>
      <c r="C14783" t="s">
        <v>19609</v>
      </c>
      <c r="G14783" t="s">
        <v>31855</v>
      </c>
      <c r="H14783" t="s">
        <v>66</v>
      </c>
      <c r="I14783" t="s">
        <v>22</v>
      </c>
      <c r="J14783">
        <v>94708</v>
      </c>
      <c r="K14783">
        <v>1317</v>
      </c>
      <c r="L14783" t="s">
        <v>23</v>
      </c>
      <c r="M14783" t="s">
        <v>31855</v>
      </c>
      <c r="N14783" t="s">
        <v>66</v>
      </c>
      <c r="O14783" t="s">
        <v>22</v>
      </c>
      <c r="P14783">
        <v>94708</v>
      </c>
      <c r="Q14783">
        <v>1317</v>
      </c>
      <c r="R14783" t="s">
        <v>23</v>
      </c>
      <c r="S14783" s="1" t="s">
        <v>34218</v>
      </c>
    </row>
    <row r="14784" spans="1:19" x14ac:dyDescent="0.25">
      <c r="A14784">
        <v>101480930</v>
      </c>
      <c r="B14784" t="s">
        <v>28294</v>
      </c>
      <c r="C14784" t="s">
        <v>1422</v>
      </c>
      <c r="G14784" t="s">
        <v>31856</v>
      </c>
      <c r="H14784" t="s">
        <v>2605</v>
      </c>
      <c r="I14784" t="s">
        <v>33</v>
      </c>
      <c r="J14784">
        <v>18966</v>
      </c>
      <c r="K14784">
        <v>3212</v>
      </c>
      <c r="L14784" t="s">
        <v>23</v>
      </c>
      <c r="M14784" t="s">
        <v>31856</v>
      </c>
      <c r="N14784" t="s">
        <v>2605</v>
      </c>
      <c r="O14784" t="s">
        <v>33</v>
      </c>
      <c r="P14784">
        <v>18966</v>
      </c>
      <c r="Q14784">
        <v>3212</v>
      </c>
      <c r="R14784" t="s">
        <v>23</v>
      </c>
      <c r="S14784" s="1" t="s">
        <v>34218</v>
      </c>
    </row>
    <row r="14785" spans="1:19" x14ac:dyDescent="0.25">
      <c r="A14785">
        <v>101129000</v>
      </c>
      <c r="B14785" t="s">
        <v>31857</v>
      </c>
      <c r="C14785" t="s">
        <v>24013</v>
      </c>
      <c r="G14785" t="s">
        <v>31858</v>
      </c>
      <c r="H14785" t="s">
        <v>5603</v>
      </c>
      <c r="I14785" t="s">
        <v>117</v>
      </c>
      <c r="J14785">
        <v>11040</v>
      </c>
      <c r="K14785">
        <v>2335</v>
      </c>
      <c r="L14785" t="s">
        <v>23</v>
      </c>
      <c r="M14785" t="s">
        <v>31858</v>
      </c>
      <c r="N14785" t="s">
        <v>5603</v>
      </c>
      <c r="O14785" t="s">
        <v>117</v>
      </c>
      <c r="P14785">
        <v>11040</v>
      </c>
      <c r="Q14785">
        <v>2335</v>
      </c>
      <c r="R14785" t="s">
        <v>23</v>
      </c>
      <c r="S14785" s="1" t="s">
        <v>34218</v>
      </c>
    </row>
    <row r="14786" spans="1:19" x14ac:dyDescent="0.25">
      <c r="A14786">
        <v>101457268</v>
      </c>
      <c r="B14786" t="s">
        <v>18541</v>
      </c>
      <c r="C14786" t="s">
        <v>119</v>
      </c>
      <c r="G14786" t="s">
        <v>31859</v>
      </c>
      <c r="H14786" t="s">
        <v>3668</v>
      </c>
      <c r="I14786" t="s">
        <v>148</v>
      </c>
      <c r="J14786">
        <v>21224</v>
      </c>
      <c r="K14786">
        <v>3736</v>
      </c>
      <c r="L14786" t="s">
        <v>23</v>
      </c>
      <c r="M14786" t="s">
        <v>31859</v>
      </c>
      <c r="N14786" t="s">
        <v>3668</v>
      </c>
      <c r="O14786" t="s">
        <v>148</v>
      </c>
      <c r="P14786">
        <v>21224</v>
      </c>
      <c r="Q14786">
        <v>3736</v>
      </c>
      <c r="R14786" t="s">
        <v>23</v>
      </c>
      <c r="S14786" s="1" t="s">
        <v>34218</v>
      </c>
    </row>
    <row r="14787" spans="1:19" x14ac:dyDescent="0.25">
      <c r="A14787">
        <v>100620202</v>
      </c>
      <c r="B14787" t="s">
        <v>966</v>
      </c>
      <c r="C14787" t="s">
        <v>1647</v>
      </c>
      <c r="G14787" t="s">
        <v>31860</v>
      </c>
      <c r="H14787" t="s">
        <v>2378</v>
      </c>
      <c r="I14787" t="s">
        <v>126</v>
      </c>
      <c r="J14787">
        <v>64057</v>
      </c>
      <c r="K14787">
        <v>1985</v>
      </c>
      <c r="L14787" t="s">
        <v>23</v>
      </c>
      <c r="M14787" t="s">
        <v>31860</v>
      </c>
      <c r="N14787" t="s">
        <v>2378</v>
      </c>
      <c r="O14787" t="s">
        <v>126</v>
      </c>
      <c r="P14787">
        <v>64057</v>
      </c>
      <c r="Q14787">
        <v>1985</v>
      </c>
      <c r="R14787" t="s">
        <v>23</v>
      </c>
      <c r="S14787" s="1" t="s">
        <v>34218</v>
      </c>
    </row>
    <row r="14788" spans="1:19" x14ac:dyDescent="0.25">
      <c r="A14788">
        <v>101480938</v>
      </c>
      <c r="B14788" t="s">
        <v>31861</v>
      </c>
      <c r="C14788" t="s">
        <v>1043</v>
      </c>
      <c r="G14788" t="s">
        <v>31862</v>
      </c>
      <c r="H14788" t="s">
        <v>2957</v>
      </c>
      <c r="I14788" t="s">
        <v>178</v>
      </c>
      <c r="J14788">
        <v>44512</v>
      </c>
      <c r="K14788">
        <v>4101</v>
      </c>
      <c r="L14788" t="s">
        <v>23</v>
      </c>
      <c r="M14788" t="s">
        <v>31862</v>
      </c>
      <c r="N14788" t="s">
        <v>2957</v>
      </c>
      <c r="O14788" t="s">
        <v>178</v>
      </c>
      <c r="P14788">
        <v>44512</v>
      </c>
      <c r="Q14788">
        <v>4101</v>
      </c>
      <c r="R14788" t="s">
        <v>23</v>
      </c>
      <c r="S14788" s="1" t="s">
        <v>34218</v>
      </c>
    </row>
    <row r="14789" spans="1:19" x14ac:dyDescent="0.25">
      <c r="A14789">
        <v>101449764</v>
      </c>
      <c r="B14789" t="s">
        <v>31863</v>
      </c>
      <c r="C14789" t="s">
        <v>26205</v>
      </c>
      <c r="G14789" t="s">
        <v>31864</v>
      </c>
      <c r="H14789" t="s">
        <v>2910</v>
      </c>
      <c r="I14789" t="s">
        <v>52</v>
      </c>
      <c r="J14789">
        <v>34237</v>
      </c>
      <c r="K14789">
        <v>4439</v>
      </c>
      <c r="L14789" t="s">
        <v>23</v>
      </c>
      <c r="M14789" t="s">
        <v>31864</v>
      </c>
      <c r="N14789" t="s">
        <v>2910</v>
      </c>
      <c r="O14789" t="s">
        <v>52</v>
      </c>
      <c r="P14789">
        <v>34237</v>
      </c>
      <c r="Q14789">
        <v>4439</v>
      </c>
      <c r="R14789" t="s">
        <v>23</v>
      </c>
      <c r="S14789" s="1" t="s">
        <v>34218</v>
      </c>
    </row>
    <row r="14790" spans="1:19" x14ac:dyDescent="0.25">
      <c r="A14790">
        <v>101454000</v>
      </c>
      <c r="B14790" t="s">
        <v>3159</v>
      </c>
      <c r="C14790" t="s">
        <v>11904</v>
      </c>
      <c r="G14790" t="s">
        <v>31865</v>
      </c>
      <c r="H14790" t="s">
        <v>134</v>
      </c>
      <c r="I14790" t="s">
        <v>135</v>
      </c>
      <c r="J14790">
        <v>60614</v>
      </c>
      <c r="K14790">
        <v>2112</v>
      </c>
      <c r="L14790" t="s">
        <v>23</v>
      </c>
      <c r="M14790" t="s">
        <v>31865</v>
      </c>
      <c r="N14790" t="s">
        <v>134</v>
      </c>
      <c r="O14790" t="s">
        <v>135</v>
      </c>
      <c r="P14790">
        <v>60614</v>
      </c>
      <c r="Q14790">
        <v>2112</v>
      </c>
      <c r="R14790" t="s">
        <v>23</v>
      </c>
      <c r="S14790" s="1" t="s">
        <v>34218</v>
      </c>
    </row>
    <row r="14791" spans="1:19" x14ac:dyDescent="0.25">
      <c r="A14791">
        <v>101365619</v>
      </c>
      <c r="B14791" t="s">
        <v>15640</v>
      </c>
      <c r="C14791" t="s">
        <v>1107</v>
      </c>
      <c r="G14791" t="s">
        <v>31866</v>
      </c>
      <c r="H14791" t="s">
        <v>3794</v>
      </c>
      <c r="I14791" t="s">
        <v>22</v>
      </c>
      <c r="J14791">
        <v>94526</v>
      </c>
      <c r="K14791">
        <v>3670</v>
      </c>
      <c r="L14791" t="s">
        <v>23</v>
      </c>
      <c r="M14791" t="s">
        <v>31866</v>
      </c>
      <c r="N14791" t="s">
        <v>3794</v>
      </c>
      <c r="O14791" t="s">
        <v>22</v>
      </c>
      <c r="P14791">
        <v>94526</v>
      </c>
      <c r="Q14791">
        <v>3670</v>
      </c>
      <c r="R14791" t="s">
        <v>23</v>
      </c>
      <c r="S14791" s="1" t="s">
        <v>34218</v>
      </c>
    </row>
    <row r="14792" spans="1:19" x14ac:dyDescent="0.25">
      <c r="A14792">
        <v>101480946</v>
      </c>
      <c r="B14792" t="s">
        <v>31867</v>
      </c>
      <c r="C14792" t="s">
        <v>4159</v>
      </c>
      <c r="G14792" t="s">
        <v>31868</v>
      </c>
      <c r="H14792" t="s">
        <v>653</v>
      </c>
      <c r="I14792" t="s">
        <v>117</v>
      </c>
      <c r="J14792">
        <v>10023</v>
      </c>
      <c r="K14792">
        <v>5923</v>
      </c>
      <c r="L14792" t="s">
        <v>23</v>
      </c>
      <c r="M14792" t="s">
        <v>31868</v>
      </c>
      <c r="N14792" t="s">
        <v>653</v>
      </c>
      <c r="O14792" t="s">
        <v>117</v>
      </c>
      <c r="P14792">
        <v>10023</v>
      </c>
      <c r="Q14792">
        <v>5923</v>
      </c>
      <c r="R14792" t="s">
        <v>23</v>
      </c>
      <c r="S14792" s="1" t="s">
        <v>34218</v>
      </c>
    </row>
    <row r="14793" spans="1:19" x14ac:dyDescent="0.25">
      <c r="A14793">
        <v>100812234</v>
      </c>
      <c r="B14793" t="s">
        <v>31869</v>
      </c>
      <c r="C14793" t="s">
        <v>25603</v>
      </c>
      <c r="G14793" t="s">
        <v>31870</v>
      </c>
      <c r="H14793" t="s">
        <v>31871</v>
      </c>
      <c r="I14793" t="s">
        <v>43</v>
      </c>
      <c r="J14793">
        <v>36000</v>
      </c>
      <c r="L14793" t="s">
        <v>23</v>
      </c>
      <c r="M14793" t="s">
        <v>31870</v>
      </c>
      <c r="N14793" t="s">
        <v>31871</v>
      </c>
      <c r="O14793" t="s">
        <v>43</v>
      </c>
      <c r="P14793">
        <v>36000</v>
      </c>
      <c r="R14793" t="s">
        <v>23</v>
      </c>
      <c r="S14793" s="1" t="s">
        <v>34218</v>
      </c>
    </row>
    <row r="14794" spans="1:19" x14ac:dyDescent="0.25">
      <c r="A14794">
        <v>100948196</v>
      </c>
      <c r="B14794" t="s">
        <v>31872</v>
      </c>
      <c r="C14794" t="s">
        <v>803</v>
      </c>
      <c r="G14794" t="s">
        <v>31873</v>
      </c>
      <c r="H14794" t="s">
        <v>1531</v>
      </c>
      <c r="I14794" t="s">
        <v>84</v>
      </c>
      <c r="J14794">
        <v>98122</v>
      </c>
      <c r="K14794">
        <v>2609</v>
      </c>
      <c r="L14794" t="s">
        <v>23</v>
      </c>
      <c r="M14794" t="s">
        <v>31873</v>
      </c>
      <c r="N14794" t="s">
        <v>1531</v>
      </c>
      <c r="O14794" t="s">
        <v>84</v>
      </c>
      <c r="P14794">
        <v>98122</v>
      </c>
      <c r="Q14794">
        <v>2609</v>
      </c>
      <c r="R14794" t="s">
        <v>23</v>
      </c>
      <c r="S14794" s="1" t="s">
        <v>34218</v>
      </c>
    </row>
    <row r="14795" spans="1:19" x14ac:dyDescent="0.25">
      <c r="A14795">
        <v>101475572</v>
      </c>
      <c r="B14795" t="s">
        <v>1605</v>
      </c>
      <c r="C14795" t="s">
        <v>367</v>
      </c>
      <c r="G14795" t="s">
        <v>31874</v>
      </c>
      <c r="H14795" t="s">
        <v>31875</v>
      </c>
      <c r="I14795" t="s">
        <v>148</v>
      </c>
      <c r="J14795">
        <v>21108</v>
      </c>
      <c r="K14795">
        <v>1420</v>
      </c>
      <c r="L14795" t="s">
        <v>23</v>
      </c>
      <c r="M14795" t="s">
        <v>31874</v>
      </c>
      <c r="N14795" t="s">
        <v>31875</v>
      </c>
      <c r="O14795" t="s">
        <v>148</v>
      </c>
      <c r="P14795">
        <v>21108</v>
      </c>
      <c r="Q14795">
        <v>1420</v>
      </c>
      <c r="R14795" t="s">
        <v>23</v>
      </c>
      <c r="S14795" s="1" t="s">
        <v>34218</v>
      </c>
    </row>
    <row r="14796" spans="1:19" x14ac:dyDescent="0.25">
      <c r="A14796">
        <v>101480953</v>
      </c>
      <c r="B14796" t="s">
        <v>2238</v>
      </c>
      <c r="C14796" t="s">
        <v>10045</v>
      </c>
      <c r="G14796" t="s">
        <v>31876</v>
      </c>
      <c r="H14796" t="s">
        <v>7505</v>
      </c>
      <c r="I14796" t="s">
        <v>84</v>
      </c>
      <c r="J14796">
        <v>98110</v>
      </c>
      <c r="K14796">
        <v>3505</v>
      </c>
      <c r="L14796" t="s">
        <v>23</v>
      </c>
      <c r="M14796" t="s">
        <v>31876</v>
      </c>
      <c r="N14796" t="s">
        <v>7505</v>
      </c>
      <c r="O14796" t="s">
        <v>84</v>
      </c>
      <c r="P14796">
        <v>98110</v>
      </c>
      <c r="Q14796">
        <v>3505</v>
      </c>
      <c r="R14796" t="s">
        <v>23</v>
      </c>
      <c r="S14796" s="1" t="s">
        <v>34218</v>
      </c>
    </row>
    <row r="14797" spans="1:19" x14ac:dyDescent="0.25">
      <c r="A14797">
        <v>101297259</v>
      </c>
      <c r="B14797" t="s">
        <v>26875</v>
      </c>
      <c r="C14797" t="s">
        <v>31877</v>
      </c>
      <c r="G14797" t="s">
        <v>31878</v>
      </c>
      <c r="H14797" t="s">
        <v>21</v>
      </c>
      <c r="I14797" t="s">
        <v>22</v>
      </c>
      <c r="J14797">
        <v>95403</v>
      </c>
      <c r="K14797">
        <v>5755</v>
      </c>
      <c r="L14797" t="s">
        <v>23</v>
      </c>
      <c r="M14797" t="s">
        <v>31878</v>
      </c>
      <c r="N14797" t="s">
        <v>21</v>
      </c>
      <c r="O14797" t="s">
        <v>22</v>
      </c>
      <c r="P14797">
        <v>95403</v>
      </c>
      <c r="Q14797">
        <v>5755</v>
      </c>
      <c r="R14797" t="s">
        <v>23</v>
      </c>
      <c r="S14797" s="1" t="s">
        <v>34218</v>
      </c>
    </row>
    <row r="14798" spans="1:19" x14ac:dyDescent="0.25">
      <c r="A14798">
        <v>100960567</v>
      </c>
      <c r="B14798" t="s">
        <v>31879</v>
      </c>
      <c r="C14798" t="s">
        <v>655</v>
      </c>
      <c r="G14798" t="s">
        <v>31880</v>
      </c>
      <c r="H14798" t="s">
        <v>7169</v>
      </c>
      <c r="I14798" t="s">
        <v>22</v>
      </c>
      <c r="J14798">
        <v>93012</v>
      </c>
      <c r="L14798" t="s">
        <v>23</v>
      </c>
      <c r="M14798" t="s">
        <v>31880</v>
      </c>
      <c r="N14798" t="s">
        <v>7169</v>
      </c>
      <c r="O14798" t="s">
        <v>22</v>
      </c>
      <c r="P14798">
        <v>93012</v>
      </c>
      <c r="R14798" t="s">
        <v>23</v>
      </c>
      <c r="S14798" s="1" t="s">
        <v>34218</v>
      </c>
    </row>
    <row r="14799" spans="1:19" x14ac:dyDescent="0.25">
      <c r="A14799">
        <v>101419188</v>
      </c>
      <c r="B14799" t="s">
        <v>24853</v>
      </c>
      <c r="C14799" t="s">
        <v>403</v>
      </c>
      <c r="G14799" t="s">
        <v>31881</v>
      </c>
      <c r="H14799" t="s">
        <v>25986</v>
      </c>
      <c r="I14799" t="s">
        <v>307</v>
      </c>
      <c r="J14799">
        <v>5602</v>
      </c>
      <c r="L14799" t="s">
        <v>23</v>
      </c>
      <c r="M14799" t="s">
        <v>31881</v>
      </c>
      <c r="N14799" t="s">
        <v>25986</v>
      </c>
      <c r="O14799" t="s">
        <v>307</v>
      </c>
      <c r="P14799">
        <v>5602</v>
      </c>
      <c r="R14799" t="s">
        <v>23</v>
      </c>
      <c r="S14799" s="1" t="s">
        <v>34218</v>
      </c>
    </row>
    <row r="14800" spans="1:19" x14ac:dyDescent="0.25">
      <c r="A14800">
        <v>101223468</v>
      </c>
      <c r="B14800" t="s">
        <v>31882</v>
      </c>
      <c r="C14800" t="s">
        <v>24909</v>
      </c>
      <c r="G14800" t="s">
        <v>31883</v>
      </c>
      <c r="H14800" t="s">
        <v>11875</v>
      </c>
      <c r="I14800" t="s">
        <v>22</v>
      </c>
      <c r="J14800">
        <v>95610</v>
      </c>
      <c r="K14800">
        <v>2966</v>
      </c>
      <c r="L14800" t="s">
        <v>23</v>
      </c>
      <c r="M14800" t="s">
        <v>31883</v>
      </c>
      <c r="N14800" t="s">
        <v>11875</v>
      </c>
      <c r="O14800" t="s">
        <v>22</v>
      </c>
      <c r="P14800">
        <v>95610</v>
      </c>
      <c r="Q14800">
        <v>2966</v>
      </c>
      <c r="R14800" t="s">
        <v>23</v>
      </c>
      <c r="S14800" s="1" t="s">
        <v>34218</v>
      </c>
    </row>
    <row r="14801" spans="1:19" x14ac:dyDescent="0.25">
      <c r="A14801">
        <v>101443287</v>
      </c>
      <c r="B14801" t="s">
        <v>31884</v>
      </c>
      <c r="C14801" t="s">
        <v>1350</v>
      </c>
      <c r="G14801" t="s">
        <v>31885</v>
      </c>
      <c r="H14801" t="s">
        <v>31886</v>
      </c>
      <c r="I14801" t="s">
        <v>348</v>
      </c>
      <c r="J14801">
        <v>83849</v>
      </c>
      <c r="L14801" t="s">
        <v>23</v>
      </c>
      <c r="M14801" t="s">
        <v>31885</v>
      </c>
      <c r="N14801" t="s">
        <v>31886</v>
      </c>
      <c r="O14801" t="s">
        <v>348</v>
      </c>
      <c r="P14801">
        <v>83849</v>
      </c>
      <c r="R14801" t="s">
        <v>23</v>
      </c>
      <c r="S14801" s="1" t="s">
        <v>34218</v>
      </c>
    </row>
    <row r="14802" spans="1:19" x14ac:dyDescent="0.25">
      <c r="A14802">
        <v>101374052</v>
      </c>
      <c r="B14802" t="s">
        <v>31887</v>
      </c>
      <c r="C14802" t="s">
        <v>21498</v>
      </c>
      <c r="G14802" t="s">
        <v>31888</v>
      </c>
      <c r="H14802" t="s">
        <v>758</v>
      </c>
      <c r="I14802" t="s">
        <v>148</v>
      </c>
      <c r="J14802">
        <v>20905</v>
      </c>
      <c r="K14802">
        <v>4443</v>
      </c>
      <c r="L14802" t="s">
        <v>23</v>
      </c>
      <c r="M14802" t="s">
        <v>31888</v>
      </c>
      <c r="N14802" t="s">
        <v>758</v>
      </c>
      <c r="O14802" t="s">
        <v>148</v>
      </c>
      <c r="P14802">
        <v>20905</v>
      </c>
      <c r="Q14802">
        <v>4443</v>
      </c>
      <c r="R14802" t="s">
        <v>23</v>
      </c>
      <c r="S14802" s="1" t="s">
        <v>34218</v>
      </c>
    </row>
    <row r="14803" spans="1:19" x14ac:dyDescent="0.25">
      <c r="A14803">
        <v>100799010</v>
      </c>
      <c r="B14803" t="s">
        <v>31889</v>
      </c>
      <c r="C14803" t="s">
        <v>1086</v>
      </c>
      <c r="G14803" t="s">
        <v>31890</v>
      </c>
      <c r="H14803" t="s">
        <v>31891</v>
      </c>
      <c r="I14803" t="s">
        <v>33</v>
      </c>
      <c r="J14803">
        <v>18911</v>
      </c>
      <c r="L14803" t="s">
        <v>23</v>
      </c>
      <c r="M14803" t="s">
        <v>31890</v>
      </c>
      <c r="N14803" t="s">
        <v>31891</v>
      </c>
      <c r="O14803" t="s">
        <v>33</v>
      </c>
      <c r="P14803">
        <v>18911</v>
      </c>
      <c r="R14803" t="s">
        <v>23</v>
      </c>
      <c r="S14803" s="1" t="s">
        <v>34218</v>
      </c>
    </row>
    <row r="14804" spans="1:19" x14ac:dyDescent="0.25">
      <c r="A14804">
        <v>101217240</v>
      </c>
      <c r="B14804" t="s">
        <v>31892</v>
      </c>
      <c r="C14804" t="s">
        <v>543</v>
      </c>
      <c r="G14804" t="s">
        <v>31893</v>
      </c>
      <c r="H14804" t="s">
        <v>31894</v>
      </c>
      <c r="I14804" t="s">
        <v>236</v>
      </c>
      <c r="J14804">
        <v>1106</v>
      </c>
      <c r="K14804">
        <v>1101</v>
      </c>
      <c r="L14804" t="s">
        <v>23</v>
      </c>
      <c r="M14804" t="s">
        <v>31893</v>
      </c>
      <c r="N14804" t="s">
        <v>31894</v>
      </c>
      <c r="O14804" t="s">
        <v>236</v>
      </c>
      <c r="P14804">
        <v>1106</v>
      </c>
      <c r="Q14804">
        <v>1101</v>
      </c>
      <c r="R14804" t="s">
        <v>23</v>
      </c>
      <c r="S14804" s="1" t="s">
        <v>34218</v>
      </c>
    </row>
    <row r="14805" spans="1:19" x14ac:dyDescent="0.25">
      <c r="A14805">
        <v>101430686</v>
      </c>
      <c r="B14805" t="s">
        <v>3505</v>
      </c>
      <c r="C14805" t="s">
        <v>1384</v>
      </c>
      <c r="G14805" t="s">
        <v>31895</v>
      </c>
      <c r="H14805" t="s">
        <v>761</v>
      </c>
      <c r="I14805" t="s">
        <v>22</v>
      </c>
      <c r="J14805">
        <v>94518</v>
      </c>
      <c r="K14805">
        <v>2322</v>
      </c>
      <c r="L14805" t="s">
        <v>23</v>
      </c>
      <c r="M14805" t="s">
        <v>31895</v>
      </c>
      <c r="N14805" t="s">
        <v>761</v>
      </c>
      <c r="O14805" t="s">
        <v>22</v>
      </c>
      <c r="P14805">
        <v>94518</v>
      </c>
      <c r="Q14805">
        <v>2322</v>
      </c>
      <c r="R14805" t="s">
        <v>23</v>
      </c>
      <c r="S14805" s="1" t="s">
        <v>34218</v>
      </c>
    </row>
    <row r="14806" spans="1:19" x14ac:dyDescent="0.25">
      <c r="A14806">
        <v>101480979</v>
      </c>
      <c r="B14806" t="s">
        <v>1859</v>
      </c>
      <c r="C14806" t="s">
        <v>3843</v>
      </c>
      <c r="G14806" t="s">
        <v>31896</v>
      </c>
      <c r="H14806" t="s">
        <v>2684</v>
      </c>
      <c r="I14806" t="s">
        <v>22</v>
      </c>
      <c r="J14806">
        <v>94901</v>
      </c>
      <c r="K14806">
        <v>1781</v>
      </c>
      <c r="L14806" t="s">
        <v>23</v>
      </c>
      <c r="M14806" t="s">
        <v>31896</v>
      </c>
      <c r="N14806" t="s">
        <v>2684</v>
      </c>
      <c r="O14806" t="s">
        <v>22</v>
      </c>
      <c r="P14806">
        <v>94901</v>
      </c>
      <c r="Q14806">
        <v>1781</v>
      </c>
      <c r="R14806" t="s">
        <v>23</v>
      </c>
      <c r="S14806" s="1" t="s">
        <v>34218</v>
      </c>
    </row>
    <row r="14807" spans="1:19" x14ac:dyDescent="0.25">
      <c r="A14807">
        <v>101311022</v>
      </c>
      <c r="B14807" t="s">
        <v>31897</v>
      </c>
      <c r="C14807" t="s">
        <v>571</v>
      </c>
      <c r="G14807" t="s">
        <v>31898</v>
      </c>
      <c r="H14807" t="s">
        <v>31899</v>
      </c>
      <c r="I14807" t="s">
        <v>100</v>
      </c>
      <c r="J14807">
        <v>54868</v>
      </c>
      <c r="K14807">
        <v>9072</v>
      </c>
      <c r="L14807" t="s">
        <v>23</v>
      </c>
      <c r="M14807" t="s">
        <v>31898</v>
      </c>
      <c r="N14807" t="s">
        <v>31899</v>
      </c>
      <c r="O14807" t="s">
        <v>100</v>
      </c>
      <c r="P14807">
        <v>54868</v>
      </c>
      <c r="Q14807">
        <v>9072</v>
      </c>
      <c r="R14807" t="s">
        <v>23</v>
      </c>
      <c r="S14807" s="1" t="s">
        <v>34218</v>
      </c>
    </row>
    <row r="14808" spans="1:19" x14ac:dyDescent="0.25">
      <c r="A14808">
        <v>101286434</v>
      </c>
      <c r="B14808" t="s">
        <v>31900</v>
      </c>
      <c r="C14808" t="s">
        <v>31901</v>
      </c>
      <c r="G14808" t="s">
        <v>31902</v>
      </c>
      <c r="H14808" t="s">
        <v>11122</v>
      </c>
      <c r="I14808" t="s">
        <v>38</v>
      </c>
      <c r="J14808">
        <v>78055</v>
      </c>
      <c r="K14808">
        <v>3595</v>
      </c>
      <c r="L14808" t="s">
        <v>23</v>
      </c>
      <c r="M14808" t="s">
        <v>31902</v>
      </c>
      <c r="N14808" t="s">
        <v>11122</v>
      </c>
      <c r="O14808" t="s">
        <v>38</v>
      </c>
      <c r="P14808">
        <v>78055</v>
      </c>
      <c r="Q14808">
        <v>3595</v>
      </c>
      <c r="R14808" t="s">
        <v>23</v>
      </c>
      <c r="S14808" s="1" t="s">
        <v>34218</v>
      </c>
    </row>
    <row r="14809" spans="1:19" x14ac:dyDescent="0.25">
      <c r="A14809">
        <v>100960371</v>
      </c>
      <c r="B14809" t="s">
        <v>31903</v>
      </c>
      <c r="C14809" t="s">
        <v>13897</v>
      </c>
      <c r="G14809" t="s">
        <v>31904</v>
      </c>
      <c r="H14809" t="s">
        <v>1431</v>
      </c>
      <c r="I14809" t="s">
        <v>639</v>
      </c>
      <c r="J14809">
        <v>87505</v>
      </c>
      <c r="L14809" t="s">
        <v>23</v>
      </c>
      <c r="M14809" t="s">
        <v>31904</v>
      </c>
      <c r="N14809" t="s">
        <v>1431</v>
      </c>
      <c r="O14809" t="s">
        <v>639</v>
      </c>
      <c r="P14809">
        <v>87505</v>
      </c>
      <c r="R14809" t="s">
        <v>23</v>
      </c>
      <c r="S14809" s="1" t="s">
        <v>34218</v>
      </c>
    </row>
    <row r="14810" spans="1:19" x14ac:dyDescent="0.25">
      <c r="A14810">
        <v>100646330</v>
      </c>
      <c r="B14810" t="s">
        <v>31905</v>
      </c>
      <c r="C14810" t="s">
        <v>2515</v>
      </c>
      <c r="G14810" t="s">
        <v>31906</v>
      </c>
      <c r="H14810" t="s">
        <v>5517</v>
      </c>
      <c r="I14810" t="s">
        <v>135</v>
      </c>
      <c r="J14810">
        <v>60417</v>
      </c>
      <c r="K14810">
        <v>2021</v>
      </c>
      <c r="L14810" t="s">
        <v>23</v>
      </c>
      <c r="M14810" t="s">
        <v>31906</v>
      </c>
      <c r="N14810" t="s">
        <v>5517</v>
      </c>
      <c r="O14810" t="s">
        <v>135</v>
      </c>
      <c r="P14810">
        <v>60417</v>
      </c>
      <c r="Q14810">
        <v>2021</v>
      </c>
      <c r="R14810" t="s">
        <v>23</v>
      </c>
      <c r="S14810" s="1" t="s">
        <v>34218</v>
      </c>
    </row>
    <row r="14811" spans="1:19" x14ac:dyDescent="0.25">
      <c r="A14811">
        <v>101480996</v>
      </c>
      <c r="B14811" t="s">
        <v>31907</v>
      </c>
      <c r="C14811" t="s">
        <v>959</v>
      </c>
      <c r="G14811" t="s">
        <v>31908</v>
      </c>
      <c r="H14811" t="s">
        <v>4114</v>
      </c>
      <c r="I14811" t="s">
        <v>117</v>
      </c>
      <c r="J14811">
        <v>12306</v>
      </c>
      <c r="K14811">
        <v>3716</v>
      </c>
      <c r="L14811" t="s">
        <v>23</v>
      </c>
      <c r="M14811" t="s">
        <v>31908</v>
      </c>
      <c r="N14811" t="s">
        <v>4114</v>
      </c>
      <c r="O14811" t="s">
        <v>117</v>
      </c>
      <c r="P14811">
        <v>12306</v>
      </c>
      <c r="Q14811">
        <v>3716</v>
      </c>
      <c r="R14811" t="s">
        <v>23</v>
      </c>
      <c r="S14811" s="1" t="s">
        <v>34218</v>
      </c>
    </row>
    <row r="14812" spans="1:19" x14ac:dyDescent="0.25">
      <c r="A14812">
        <v>101449344</v>
      </c>
      <c r="B14812" t="s">
        <v>1376</v>
      </c>
      <c r="C14812" t="s">
        <v>9199</v>
      </c>
      <c r="G14812" t="s">
        <v>31909</v>
      </c>
      <c r="H14812" t="s">
        <v>1904</v>
      </c>
      <c r="I14812" t="s">
        <v>135</v>
      </c>
      <c r="J14812">
        <v>60126</v>
      </c>
      <c r="K14812">
        <v>4236</v>
      </c>
      <c r="L14812" t="s">
        <v>23</v>
      </c>
      <c r="M14812" t="s">
        <v>31909</v>
      </c>
      <c r="N14812" t="s">
        <v>1904</v>
      </c>
      <c r="O14812" t="s">
        <v>135</v>
      </c>
      <c r="P14812">
        <v>60126</v>
      </c>
      <c r="Q14812">
        <v>4236</v>
      </c>
      <c r="R14812" t="s">
        <v>23</v>
      </c>
      <c r="S14812" s="1" t="s">
        <v>34218</v>
      </c>
    </row>
    <row r="14813" spans="1:19" x14ac:dyDescent="0.25">
      <c r="A14813">
        <v>101363185</v>
      </c>
      <c r="B14813" t="s">
        <v>1036</v>
      </c>
      <c r="C14813" t="s">
        <v>251</v>
      </c>
      <c r="G14813" t="s">
        <v>31910</v>
      </c>
      <c r="H14813" t="s">
        <v>5820</v>
      </c>
      <c r="I14813" t="s">
        <v>22</v>
      </c>
      <c r="J14813">
        <v>92078</v>
      </c>
      <c r="K14813">
        <v>4708</v>
      </c>
      <c r="L14813" t="s">
        <v>23</v>
      </c>
      <c r="M14813" t="s">
        <v>31910</v>
      </c>
      <c r="N14813" t="s">
        <v>5820</v>
      </c>
      <c r="O14813" t="s">
        <v>22</v>
      </c>
      <c r="P14813">
        <v>92078</v>
      </c>
      <c r="Q14813">
        <v>4708</v>
      </c>
      <c r="R14813" t="s">
        <v>23</v>
      </c>
      <c r="S14813" s="1" t="s">
        <v>34218</v>
      </c>
    </row>
    <row r="14814" spans="1:19" x14ac:dyDescent="0.25">
      <c r="A14814">
        <v>101481000</v>
      </c>
      <c r="B14814" t="s">
        <v>31911</v>
      </c>
      <c r="C14814" t="s">
        <v>31912</v>
      </c>
      <c r="G14814" t="s">
        <v>31913</v>
      </c>
      <c r="H14814" t="s">
        <v>3668</v>
      </c>
      <c r="I14814" t="s">
        <v>148</v>
      </c>
      <c r="J14814">
        <v>21210</v>
      </c>
      <c r="K14814">
        <v>2908</v>
      </c>
      <c r="L14814" t="s">
        <v>23</v>
      </c>
      <c r="M14814" t="s">
        <v>31913</v>
      </c>
      <c r="N14814" t="s">
        <v>3668</v>
      </c>
      <c r="O14814" t="s">
        <v>148</v>
      </c>
      <c r="P14814">
        <v>21210</v>
      </c>
      <c r="Q14814">
        <v>2908</v>
      </c>
      <c r="R14814" t="s">
        <v>23</v>
      </c>
      <c r="S14814" s="1" t="s">
        <v>34218</v>
      </c>
    </row>
    <row r="14815" spans="1:19" x14ac:dyDescent="0.25">
      <c r="A14815">
        <v>101481005</v>
      </c>
      <c r="B14815" t="s">
        <v>4966</v>
      </c>
      <c r="C14815" t="s">
        <v>247</v>
      </c>
      <c r="G14815" t="s">
        <v>31914</v>
      </c>
      <c r="H14815" t="s">
        <v>1754</v>
      </c>
      <c r="I14815" t="s">
        <v>135</v>
      </c>
      <c r="J14815">
        <v>60202</v>
      </c>
      <c r="K14815">
        <v>3962</v>
      </c>
      <c r="L14815" t="s">
        <v>23</v>
      </c>
      <c r="M14815" t="s">
        <v>31914</v>
      </c>
      <c r="N14815" t="s">
        <v>1754</v>
      </c>
      <c r="O14815" t="s">
        <v>135</v>
      </c>
      <c r="P14815">
        <v>60202</v>
      </c>
      <c r="Q14815">
        <v>3962</v>
      </c>
      <c r="R14815" t="s">
        <v>23</v>
      </c>
      <c r="S14815" s="1" t="s">
        <v>34218</v>
      </c>
    </row>
    <row r="14816" spans="1:19" x14ac:dyDescent="0.25">
      <c r="A14816">
        <v>101328442</v>
      </c>
      <c r="B14816" t="s">
        <v>31915</v>
      </c>
      <c r="C14816" t="s">
        <v>31916</v>
      </c>
      <c r="G14816" t="s">
        <v>31917</v>
      </c>
      <c r="H14816" t="s">
        <v>12589</v>
      </c>
      <c r="I14816" t="s">
        <v>22</v>
      </c>
      <c r="J14816">
        <v>93433</v>
      </c>
      <c r="K14816">
        <v>3207</v>
      </c>
      <c r="L14816" t="s">
        <v>23</v>
      </c>
      <c r="M14816" t="s">
        <v>31917</v>
      </c>
      <c r="N14816" t="s">
        <v>12589</v>
      </c>
      <c r="O14816" t="s">
        <v>22</v>
      </c>
      <c r="P14816">
        <v>93433</v>
      </c>
      <c r="Q14816">
        <v>3207</v>
      </c>
      <c r="R14816" t="s">
        <v>23</v>
      </c>
      <c r="S14816" s="1" t="s">
        <v>34218</v>
      </c>
    </row>
    <row r="14817" spans="1:19" x14ac:dyDescent="0.25">
      <c r="A14817">
        <v>101481008</v>
      </c>
      <c r="B14817" t="s">
        <v>25940</v>
      </c>
      <c r="C14817" t="s">
        <v>2453</v>
      </c>
      <c r="G14817" t="s">
        <v>31918</v>
      </c>
      <c r="H14817" t="s">
        <v>5413</v>
      </c>
      <c r="I14817" t="s">
        <v>187</v>
      </c>
      <c r="J14817">
        <v>55024</v>
      </c>
      <c r="K14817">
        <v>7302</v>
      </c>
      <c r="L14817" t="s">
        <v>23</v>
      </c>
      <c r="M14817" t="s">
        <v>31918</v>
      </c>
      <c r="N14817" t="s">
        <v>5413</v>
      </c>
      <c r="O14817" t="s">
        <v>187</v>
      </c>
      <c r="P14817">
        <v>55024</v>
      </c>
      <c r="Q14817">
        <v>7302</v>
      </c>
      <c r="R14817" t="s">
        <v>23</v>
      </c>
      <c r="S14817" s="1" t="s">
        <v>34218</v>
      </c>
    </row>
    <row r="14818" spans="1:19" x14ac:dyDescent="0.25">
      <c r="A14818">
        <v>101438362</v>
      </c>
      <c r="B14818" t="s">
        <v>119</v>
      </c>
      <c r="C14818" t="s">
        <v>31919</v>
      </c>
      <c r="G14818" t="s">
        <v>31920</v>
      </c>
      <c r="H14818" t="s">
        <v>2668</v>
      </c>
      <c r="I14818" t="s">
        <v>22</v>
      </c>
      <c r="J14818">
        <v>95051</v>
      </c>
      <c r="K14818">
        <v>4393</v>
      </c>
      <c r="L14818" t="s">
        <v>23</v>
      </c>
      <c r="M14818" t="s">
        <v>31920</v>
      </c>
      <c r="N14818" t="s">
        <v>2668</v>
      </c>
      <c r="O14818" t="s">
        <v>22</v>
      </c>
      <c r="P14818">
        <v>95051</v>
      </c>
      <c r="Q14818">
        <v>4393</v>
      </c>
      <c r="R14818" t="s">
        <v>23</v>
      </c>
      <c r="S14818" s="1" t="s">
        <v>34218</v>
      </c>
    </row>
    <row r="14819" spans="1:19" x14ac:dyDescent="0.25">
      <c r="A14819">
        <v>100606401</v>
      </c>
      <c r="B14819" t="s">
        <v>31921</v>
      </c>
      <c r="C14819" t="s">
        <v>1555</v>
      </c>
      <c r="F14819" t="str">
        <f>"4086488807"</f>
        <v>4086488807</v>
      </c>
      <c r="G14819" t="s">
        <v>31922</v>
      </c>
      <c r="H14819" t="s">
        <v>481</v>
      </c>
      <c r="I14819" t="s">
        <v>22</v>
      </c>
      <c r="J14819">
        <v>95127</v>
      </c>
      <c r="K14819">
        <v>2443</v>
      </c>
      <c r="L14819" t="s">
        <v>23</v>
      </c>
      <c r="M14819" t="s">
        <v>31922</v>
      </c>
      <c r="N14819" t="s">
        <v>481</v>
      </c>
      <c r="O14819" t="s">
        <v>22</v>
      </c>
      <c r="P14819">
        <v>95127</v>
      </c>
      <c r="Q14819">
        <v>2443</v>
      </c>
      <c r="R14819" t="s">
        <v>23</v>
      </c>
      <c r="S14819" s="1" t="s">
        <v>34218</v>
      </c>
    </row>
    <row r="14820" spans="1:19" x14ac:dyDescent="0.25">
      <c r="A14820">
        <v>101450162</v>
      </c>
      <c r="B14820" t="s">
        <v>31923</v>
      </c>
      <c r="C14820" t="s">
        <v>14254</v>
      </c>
      <c r="G14820" t="s">
        <v>31924</v>
      </c>
      <c r="H14820" t="s">
        <v>17485</v>
      </c>
      <c r="I14820" t="s">
        <v>22</v>
      </c>
      <c r="J14820">
        <v>96151</v>
      </c>
      <c r="K14820">
        <v>3658</v>
      </c>
      <c r="L14820" t="s">
        <v>23</v>
      </c>
      <c r="M14820" t="s">
        <v>31924</v>
      </c>
      <c r="N14820" t="s">
        <v>17485</v>
      </c>
      <c r="O14820" t="s">
        <v>22</v>
      </c>
      <c r="P14820">
        <v>96151</v>
      </c>
      <c r="Q14820">
        <v>3658</v>
      </c>
      <c r="R14820" t="s">
        <v>23</v>
      </c>
      <c r="S14820" s="1" t="s">
        <v>34218</v>
      </c>
    </row>
    <row r="14821" spans="1:19" x14ac:dyDescent="0.25">
      <c r="A14821">
        <v>101311019</v>
      </c>
      <c r="B14821" t="s">
        <v>2656</v>
      </c>
      <c r="C14821" t="s">
        <v>5420</v>
      </c>
      <c r="G14821" t="s">
        <v>31925</v>
      </c>
      <c r="H14821" t="s">
        <v>3575</v>
      </c>
      <c r="I14821" t="s">
        <v>22</v>
      </c>
      <c r="J14821">
        <v>92082</v>
      </c>
      <c r="L14821" t="s">
        <v>23</v>
      </c>
      <c r="M14821" t="s">
        <v>31925</v>
      </c>
      <c r="N14821" t="s">
        <v>3575</v>
      </c>
      <c r="O14821" t="s">
        <v>22</v>
      </c>
      <c r="P14821">
        <v>92082</v>
      </c>
      <c r="R14821" t="s">
        <v>23</v>
      </c>
      <c r="S14821" s="1" t="s">
        <v>34218</v>
      </c>
    </row>
    <row r="14822" spans="1:19" x14ac:dyDescent="0.25">
      <c r="A14822">
        <v>101479994</v>
      </c>
      <c r="B14822" t="s">
        <v>31926</v>
      </c>
      <c r="C14822" t="s">
        <v>31927</v>
      </c>
      <c r="G14822" t="s">
        <v>31928</v>
      </c>
      <c r="H14822" t="s">
        <v>31929</v>
      </c>
      <c r="I14822" t="s">
        <v>22</v>
      </c>
      <c r="J14822">
        <v>91800</v>
      </c>
      <c r="L14822" t="s">
        <v>23</v>
      </c>
      <c r="M14822" t="s">
        <v>31928</v>
      </c>
      <c r="N14822" t="s">
        <v>31929</v>
      </c>
      <c r="O14822" t="s">
        <v>22</v>
      </c>
      <c r="P14822">
        <v>91800</v>
      </c>
      <c r="R14822" t="s">
        <v>23</v>
      </c>
      <c r="S14822" s="1" t="s">
        <v>34218</v>
      </c>
    </row>
    <row r="14823" spans="1:19" x14ac:dyDescent="0.25">
      <c r="A14823">
        <v>101092474</v>
      </c>
      <c r="B14823" t="s">
        <v>31930</v>
      </c>
      <c r="C14823" t="s">
        <v>4099</v>
      </c>
      <c r="G14823" t="s">
        <v>31931</v>
      </c>
      <c r="H14823" t="s">
        <v>26153</v>
      </c>
      <c r="I14823" t="s">
        <v>140</v>
      </c>
      <c r="J14823">
        <v>49315</v>
      </c>
      <c r="K14823">
        <v>9177</v>
      </c>
      <c r="L14823" t="s">
        <v>23</v>
      </c>
      <c r="M14823" t="s">
        <v>31931</v>
      </c>
      <c r="N14823" t="s">
        <v>26153</v>
      </c>
      <c r="O14823" t="s">
        <v>140</v>
      </c>
      <c r="P14823">
        <v>49315</v>
      </c>
      <c r="Q14823">
        <v>9177</v>
      </c>
      <c r="R14823" t="s">
        <v>23</v>
      </c>
      <c r="S14823" s="1" t="s">
        <v>34218</v>
      </c>
    </row>
    <row r="14824" spans="1:19" x14ac:dyDescent="0.25">
      <c r="A14824">
        <v>101481022</v>
      </c>
      <c r="B14824" t="s">
        <v>3167</v>
      </c>
      <c r="C14824" t="s">
        <v>865</v>
      </c>
      <c r="G14824" t="s">
        <v>23595</v>
      </c>
      <c r="H14824" t="s">
        <v>6104</v>
      </c>
      <c r="I14824" t="s">
        <v>250</v>
      </c>
      <c r="J14824">
        <v>7860</v>
      </c>
      <c r="K14824">
        <v>5370</v>
      </c>
      <c r="L14824" t="s">
        <v>23</v>
      </c>
      <c r="M14824" t="s">
        <v>23595</v>
      </c>
      <c r="N14824" t="s">
        <v>6104</v>
      </c>
      <c r="O14824" t="s">
        <v>250</v>
      </c>
      <c r="P14824">
        <v>7860</v>
      </c>
      <c r="Q14824">
        <v>5370</v>
      </c>
      <c r="R14824" t="s">
        <v>23</v>
      </c>
      <c r="S14824" s="1" t="s">
        <v>34218</v>
      </c>
    </row>
    <row r="14825" spans="1:19" x14ac:dyDescent="0.25">
      <c r="A14825">
        <v>101481026</v>
      </c>
      <c r="B14825" t="s">
        <v>29179</v>
      </c>
      <c r="C14825" t="s">
        <v>6375</v>
      </c>
      <c r="G14825" t="s">
        <v>31932</v>
      </c>
      <c r="H14825" t="s">
        <v>29180</v>
      </c>
      <c r="I14825" t="s">
        <v>332</v>
      </c>
      <c r="J14825">
        <v>84017</v>
      </c>
      <c r="K14825">
        <v>9733</v>
      </c>
      <c r="L14825" t="s">
        <v>23</v>
      </c>
      <c r="M14825" t="s">
        <v>31932</v>
      </c>
      <c r="N14825" t="s">
        <v>29180</v>
      </c>
      <c r="O14825" t="s">
        <v>332</v>
      </c>
      <c r="P14825">
        <v>84017</v>
      </c>
      <c r="Q14825">
        <v>9733</v>
      </c>
      <c r="R14825" t="s">
        <v>23</v>
      </c>
      <c r="S14825" s="1" t="s">
        <v>34218</v>
      </c>
    </row>
    <row r="14826" spans="1:19" x14ac:dyDescent="0.25">
      <c r="A14826">
        <v>101481029</v>
      </c>
      <c r="B14826" t="s">
        <v>2287</v>
      </c>
      <c r="C14826" t="s">
        <v>4956</v>
      </c>
      <c r="G14826" t="s">
        <v>31933</v>
      </c>
      <c r="H14826" t="s">
        <v>24309</v>
      </c>
      <c r="I14826" t="s">
        <v>84</v>
      </c>
      <c r="J14826">
        <v>98019</v>
      </c>
      <c r="L14826" t="s">
        <v>23</v>
      </c>
      <c r="M14826" t="s">
        <v>31933</v>
      </c>
      <c r="N14826" t="s">
        <v>24309</v>
      </c>
      <c r="O14826" t="s">
        <v>84</v>
      </c>
      <c r="P14826">
        <v>98019</v>
      </c>
      <c r="R14826" t="s">
        <v>23</v>
      </c>
      <c r="S14826" s="1" t="s">
        <v>34218</v>
      </c>
    </row>
    <row r="14827" spans="1:19" x14ac:dyDescent="0.25">
      <c r="A14827">
        <v>101317783</v>
      </c>
      <c r="B14827" t="s">
        <v>1554</v>
      </c>
      <c r="C14827" t="s">
        <v>17156</v>
      </c>
      <c r="G14827" t="s">
        <v>31934</v>
      </c>
      <c r="H14827" t="s">
        <v>31935</v>
      </c>
      <c r="I14827" t="s">
        <v>22</v>
      </c>
      <c r="J14827">
        <v>93921</v>
      </c>
      <c r="K14827">
        <v>226</v>
      </c>
      <c r="L14827" t="s">
        <v>23</v>
      </c>
      <c r="M14827" t="s">
        <v>31934</v>
      </c>
      <c r="N14827" t="s">
        <v>31935</v>
      </c>
      <c r="O14827" t="s">
        <v>22</v>
      </c>
      <c r="P14827">
        <v>93921</v>
      </c>
      <c r="Q14827">
        <v>226</v>
      </c>
      <c r="R14827" t="s">
        <v>23</v>
      </c>
      <c r="S14827" s="1" t="s">
        <v>34218</v>
      </c>
    </row>
    <row r="14828" spans="1:19" x14ac:dyDescent="0.25">
      <c r="A14828">
        <v>101481033</v>
      </c>
      <c r="B14828" t="s">
        <v>31936</v>
      </c>
      <c r="C14828" t="s">
        <v>1153</v>
      </c>
      <c r="G14828" t="s">
        <v>31937</v>
      </c>
      <c r="H14828" t="s">
        <v>11331</v>
      </c>
      <c r="I14828" t="s">
        <v>348</v>
      </c>
      <c r="J14828">
        <v>83843</v>
      </c>
      <c r="K14828">
        <v>2140</v>
      </c>
      <c r="L14828" t="s">
        <v>23</v>
      </c>
      <c r="M14828" t="s">
        <v>31937</v>
      </c>
      <c r="N14828" t="s">
        <v>11331</v>
      </c>
      <c r="O14828" t="s">
        <v>348</v>
      </c>
      <c r="P14828">
        <v>83843</v>
      </c>
      <c r="Q14828">
        <v>2140</v>
      </c>
      <c r="R14828" t="s">
        <v>23</v>
      </c>
      <c r="S14828" s="1" t="s">
        <v>34218</v>
      </c>
    </row>
    <row r="14829" spans="1:19" x14ac:dyDescent="0.25">
      <c r="A14829">
        <v>101262480</v>
      </c>
      <c r="B14829" t="s">
        <v>26172</v>
      </c>
      <c r="C14829" t="s">
        <v>8877</v>
      </c>
      <c r="G14829" t="s">
        <v>31938</v>
      </c>
      <c r="H14829" t="s">
        <v>10203</v>
      </c>
      <c r="I14829" t="s">
        <v>1387</v>
      </c>
      <c r="J14829">
        <v>35905</v>
      </c>
      <c r="K14829">
        <v>7231</v>
      </c>
      <c r="L14829" t="s">
        <v>23</v>
      </c>
      <c r="M14829" t="s">
        <v>31938</v>
      </c>
      <c r="N14829" t="s">
        <v>10203</v>
      </c>
      <c r="O14829" t="s">
        <v>1387</v>
      </c>
      <c r="P14829">
        <v>35905</v>
      </c>
      <c r="Q14829">
        <v>7231</v>
      </c>
      <c r="R14829" t="s">
        <v>23</v>
      </c>
      <c r="S14829" s="1" t="s">
        <v>34218</v>
      </c>
    </row>
    <row r="14830" spans="1:19" x14ac:dyDescent="0.25">
      <c r="A14830">
        <v>101346228</v>
      </c>
      <c r="B14830" t="s">
        <v>5009</v>
      </c>
      <c r="C14830" t="s">
        <v>14201</v>
      </c>
      <c r="G14830" t="s">
        <v>31939</v>
      </c>
      <c r="H14830" t="s">
        <v>31940</v>
      </c>
      <c r="I14830" t="s">
        <v>84</v>
      </c>
      <c r="J14830">
        <v>98328</v>
      </c>
      <c r="L14830" t="s">
        <v>23</v>
      </c>
      <c r="M14830" t="s">
        <v>31939</v>
      </c>
      <c r="N14830" t="s">
        <v>31940</v>
      </c>
      <c r="O14830" t="s">
        <v>84</v>
      </c>
      <c r="P14830">
        <v>98328</v>
      </c>
      <c r="R14830" t="s">
        <v>23</v>
      </c>
      <c r="S14830" s="1" t="s">
        <v>34218</v>
      </c>
    </row>
    <row r="14831" spans="1:19" x14ac:dyDescent="0.25">
      <c r="A14831">
        <v>101437941</v>
      </c>
      <c r="B14831" t="s">
        <v>15283</v>
      </c>
      <c r="C14831" t="s">
        <v>4502</v>
      </c>
      <c r="G14831" t="s">
        <v>31941</v>
      </c>
      <c r="H14831" t="s">
        <v>2923</v>
      </c>
      <c r="I14831" t="s">
        <v>22</v>
      </c>
      <c r="J14831">
        <v>93035</v>
      </c>
      <c r="K14831">
        <v>1442</v>
      </c>
      <c r="L14831" t="s">
        <v>23</v>
      </c>
      <c r="M14831" t="s">
        <v>31941</v>
      </c>
      <c r="N14831" t="s">
        <v>2923</v>
      </c>
      <c r="O14831" t="s">
        <v>22</v>
      </c>
      <c r="P14831">
        <v>93035</v>
      </c>
      <c r="Q14831">
        <v>1442</v>
      </c>
      <c r="R14831" t="s">
        <v>23</v>
      </c>
      <c r="S14831" s="1" t="s">
        <v>34218</v>
      </c>
    </row>
    <row r="14832" spans="1:19" x14ac:dyDescent="0.25">
      <c r="A14832">
        <v>101481042</v>
      </c>
      <c r="B14832" t="s">
        <v>31942</v>
      </c>
      <c r="C14832" t="s">
        <v>31943</v>
      </c>
      <c r="G14832" t="s">
        <v>31944</v>
      </c>
      <c r="H14832" t="s">
        <v>9699</v>
      </c>
      <c r="I14832" t="s">
        <v>38</v>
      </c>
      <c r="J14832">
        <v>75181</v>
      </c>
      <c r="K14832">
        <v>1896</v>
      </c>
      <c r="L14832" t="s">
        <v>23</v>
      </c>
      <c r="M14832" t="s">
        <v>31944</v>
      </c>
      <c r="N14832" t="s">
        <v>9699</v>
      </c>
      <c r="O14832" t="s">
        <v>38</v>
      </c>
      <c r="P14832">
        <v>75181</v>
      </c>
      <c r="Q14832">
        <v>1896</v>
      </c>
      <c r="R14832" t="s">
        <v>23</v>
      </c>
      <c r="S14832" s="1" t="s">
        <v>34218</v>
      </c>
    </row>
    <row r="14833" spans="1:19" x14ac:dyDescent="0.25">
      <c r="A14833">
        <v>101223532</v>
      </c>
      <c r="B14833" t="s">
        <v>7840</v>
      </c>
      <c r="C14833" t="s">
        <v>6445</v>
      </c>
      <c r="G14833" t="s">
        <v>24489</v>
      </c>
      <c r="H14833" t="s">
        <v>61</v>
      </c>
      <c r="I14833" t="s">
        <v>62</v>
      </c>
      <c r="J14833">
        <v>73118</v>
      </c>
      <c r="K14833">
        <v>7041</v>
      </c>
      <c r="L14833" t="s">
        <v>23</v>
      </c>
      <c r="M14833" t="s">
        <v>24489</v>
      </c>
      <c r="N14833" t="s">
        <v>61</v>
      </c>
      <c r="O14833" t="s">
        <v>62</v>
      </c>
      <c r="P14833">
        <v>73118</v>
      </c>
      <c r="Q14833">
        <v>7041</v>
      </c>
      <c r="R14833" t="s">
        <v>23</v>
      </c>
      <c r="S14833" s="1" t="s">
        <v>34218</v>
      </c>
    </row>
    <row r="14834" spans="1:19" x14ac:dyDescent="0.25">
      <c r="A14834">
        <v>101084570</v>
      </c>
      <c r="B14834" t="s">
        <v>281</v>
      </c>
      <c r="C14834" t="s">
        <v>31945</v>
      </c>
      <c r="G14834" t="s">
        <v>31946</v>
      </c>
      <c r="H14834" t="s">
        <v>1967</v>
      </c>
      <c r="I14834" t="s">
        <v>984</v>
      </c>
      <c r="J14834">
        <v>96790</v>
      </c>
      <c r="K14834">
        <v>8073</v>
      </c>
      <c r="L14834" t="s">
        <v>23</v>
      </c>
      <c r="M14834" t="s">
        <v>31946</v>
      </c>
      <c r="N14834" t="s">
        <v>1967</v>
      </c>
      <c r="O14834" t="s">
        <v>984</v>
      </c>
      <c r="P14834">
        <v>96790</v>
      </c>
      <c r="Q14834">
        <v>8073</v>
      </c>
      <c r="R14834" t="s">
        <v>23</v>
      </c>
      <c r="S14834" s="1" t="s">
        <v>34218</v>
      </c>
    </row>
    <row r="14835" spans="1:19" x14ac:dyDescent="0.25">
      <c r="A14835">
        <v>101447283</v>
      </c>
      <c r="B14835" t="s">
        <v>44</v>
      </c>
      <c r="C14835" t="s">
        <v>1298</v>
      </c>
      <c r="G14835" t="s">
        <v>31947</v>
      </c>
      <c r="H14835" t="s">
        <v>13452</v>
      </c>
      <c r="I14835" t="s">
        <v>178</v>
      </c>
      <c r="J14835">
        <v>44870</v>
      </c>
      <c r="K14835">
        <v>5666</v>
      </c>
      <c r="L14835" t="s">
        <v>23</v>
      </c>
      <c r="M14835" t="s">
        <v>31947</v>
      </c>
      <c r="N14835" t="s">
        <v>13452</v>
      </c>
      <c r="O14835" t="s">
        <v>178</v>
      </c>
      <c r="P14835">
        <v>44870</v>
      </c>
      <c r="Q14835">
        <v>5666</v>
      </c>
      <c r="R14835" t="s">
        <v>23</v>
      </c>
      <c r="S14835" s="1" t="s">
        <v>34218</v>
      </c>
    </row>
    <row r="14836" spans="1:19" x14ac:dyDescent="0.25">
      <c r="A14836">
        <v>101301972</v>
      </c>
      <c r="B14836" t="s">
        <v>6084</v>
      </c>
      <c r="C14836" t="s">
        <v>890</v>
      </c>
      <c r="G14836" t="s">
        <v>31948</v>
      </c>
      <c r="H14836" t="s">
        <v>1113</v>
      </c>
      <c r="I14836" t="s">
        <v>365</v>
      </c>
      <c r="J14836">
        <v>86001</v>
      </c>
      <c r="K14836">
        <v>5230</v>
      </c>
      <c r="L14836" t="s">
        <v>23</v>
      </c>
      <c r="M14836" t="s">
        <v>31948</v>
      </c>
      <c r="N14836" t="s">
        <v>1113</v>
      </c>
      <c r="O14836" t="s">
        <v>365</v>
      </c>
      <c r="P14836">
        <v>86001</v>
      </c>
      <c r="Q14836">
        <v>5230</v>
      </c>
      <c r="R14836" t="s">
        <v>23</v>
      </c>
      <c r="S14836" s="1" t="s">
        <v>34218</v>
      </c>
    </row>
    <row r="14837" spans="1:19" x14ac:dyDescent="0.25">
      <c r="A14837">
        <v>101450243</v>
      </c>
      <c r="B14837" t="s">
        <v>31949</v>
      </c>
      <c r="C14837" t="s">
        <v>8656</v>
      </c>
      <c r="G14837" t="s">
        <v>31950</v>
      </c>
      <c r="H14837" t="s">
        <v>14373</v>
      </c>
      <c r="I14837" t="s">
        <v>1482</v>
      </c>
      <c r="J14837">
        <v>29582</v>
      </c>
      <c r="K14837">
        <v>4339</v>
      </c>
      <c r="L14837" t="s">
        <v>23</v>
      </c>
      <c r="M14837" t="s">
        <v>31950</v>
      </c>
      <c r="N14837" t="s">
        <v>14373</v>
      </c>
      <c r="O14837" t="s">
        <v>1482</v>
      </c>
      <c r="P14837">
        <v>29582</v>
      </c>
      <c r="Q14837">
        <v>4339</v>
      </c>
      <c r="R14837" t="s">
        <v>23</v>
      </c>
      <c r="S14837" s="1" t="s">
        <v>34218</v>
      </c>
    </row>
    <row r="14838" spans="1:19" x14ac:dyDescent="0.25">
      <c r="A14838">
        <v>100841738</v>
      </c>
      <c r="B14838" t="s">
        <v>31951</v>
      </c>
      <c r="C14838" t="s">
        <v>5009</v>
      </c>
      <c r="G14838" t="s">
        <v>31952</v>
      </c>
      <c r="H14838" t="s">
        <v>682</v>
      </c>
      <c r="I14838" t="s">
        <v>365</v>
      </c>
      <c r="J14838">
        <v>85015</v>
      </c>
      <c r="K14838">
        <v>3742</v>
      </c>
      <c r="L14838" t="s">
        <v>23</v>
      </c>
      <c r="M14838" t="s">
        <v>31952</v>
      </c>
      <c r="N14838" t="s">
        <v>682</v>
      </c>
      <c r="O14838" t="s">
        <v>365</v>
      </c>
      <c r="P14838">
        <v>85015</v>
      </c>
      <c r="Q14838">
        <v>3742</v>
      </c>
      <c r="R14838" t="s">
        <v>23</v>
      </c>
      <c r="S14838" s="1" t="s">
        <v>34218</v>
      </c>
    </row>
    <row r="14839" spans="1:19" x14ac:dyDescent="0.25">
      <c r="A14839">
        <v>101170560</v>
      </c>
      <c r="B14839" t="s">
        <v>858</v>
      </c>
      <c r="C14839" t="s">
        <v>321</v>
      </c>
      <c r="G14839" t="s">
        <v>31953</v>
      </c>
      <c r="H14839" t="s">
        <v>638</v>
      </c>
      <c r="I14839" t="s">
        <v>639</v>
      </c>
      <c r="J14839">
        <v>87120</v>
      </c>
      <c r="K14839">
        <v>2488</v>
      </c>
      <c r="L14839" t="s">
        <v>23</v>
      </c>
      <c r="M14839" t="s">
        <v>31953</v>
      </c>
      <c r="N14839" t="s">
        <v>638</v>
      </c>
      <c r="O14839" t="s">
        <v>639</v>
      </c>
      <c r="P14839">
        <v>87120</v>
      </c>
      <c r="Q14839">
        <v>2488</v>
      </c>
      <c r="R14839" t="s">
        <v>23</v>
      </c>
      <c r="S14839" s="1" t="s">
        <v>34218</v>
      </c>
    </row>
    <row r="14840" spans="1:19" x14ac:dyDescent="0.25">
      <c r="A14840">
        <v>101469818</v>
      </c>
      <c r="B14840" t="s">
        <v>2802</v>
      </c>
      <c r="C14840" t="s">
        <v>2557</v>
      </c>
      <c r="G14840" t="s">
        <v>20823</v>
      </c>
      <c r="H14840" t="s">
        <v>4199</v>
      </c>
      <c r="I14840" t="s">
        <v>57</v>
      </c>
      <c r="J14840">
        <v>47909</v>
      </c>
      <c r="K14840">
        <v>2699</v>
      </c>
      <c r="L14840" t="s">
        <v>23</v>
      </c>
      <c r="M14840" t="s">
        <v>20823</v>
      </c>
      <c r="N14840" t="s">
        <v>4199</v>
      </c>
      <c r="O14840" t="s">
        <v>57</v>
      </c>
      <c r="P14840">
        <v>47909</v>
      </c>
      <c r="Q14840">
        <v>2699</v>
      </c>
      <c r="R14840" t="s">
        <v>23</v>
      </c>
      <c r="S14840" s="1" t="s">
        <v>34218</v>
      </c>
    </row>
    <row r="14841" spans="1:19" x14ac:dyDescent="0.25">
      <c r="A14841">
        <v>101465617</v>
      </c>
      <c r="B14841" t="s">
        <v>31954</v>
      </c>
      <c r="C14841" t="s">
        <v>68</v>
      </c>
      <c r="G14841" t="s">
        <v>31955</v>
      </c>
      <c r="H14841" t="s">
        <v>14996</v>
      </c>
      <c r="I14841" t="s">
        <v>52</v>
      </c>
      <c r="J14841">
        <v>33813</v>
      </c>
      <c r="L14841" t="s">
        <v>23</v>
      </c>
      <c r="M14841" t="s">
        <v>31955</v>
      </c>
      <c r="N14841" t="s">
        <v>14996</v>
      </c>
      <c r="O14841" t="s">
        <v>52</v>
      </c>
      <c r="P14841">
        <v>33813</v>
      </c>
      <c r="R14841" t="s">
        <v>23</v>
      </c>
      <c r="S14841" s="1" t="s">
        <v>34218</v>
      </c>
    </row>
    <row r="14842" spans="1:19" x14ac:dyDescent="0.25">
      <c r="A14842">
        <v>101456160</v>
      </c>
      <c r="B14842" t="s">
        <v>1164</v>
      </c>
      <c r="C14842" t="s">
        <v>1069</v>
      </c>
      <c r="G14842" t="s">
        <v>31956</v>
      </c>
      <c r="H14842" t="s">
        <v>22263</v>
      </c>
      <c r="I14842" t="s">
        <v>52</v>
      </c>
      <c r="J14842">
        <v>33573</v>
      </c>
      <c r="K14842">
        <v>5897</v>
      </c>
      <c r="L14842" t="s">
        <v>23</v>
      </c>
      <c r="M14842" t="s">
        <v>31956</v>
      </c>
      <c r="N14842" t="s">
        <v>22263</v>
      </c>
      <c r="O14842" t="s">
        <v>52</v>
      </c>
      <c r="P14842">
        <v>33573</v>
      </c>
      <c r="Q14842">
        <v>5897</v>
      </c>
      <c r="R14842" t="s">
        <v>23</v>
      </c>
      <c r="S14842" s="1" t="s">
        <v>34218</v>
      </c>
    </row>
    <row r="14843" spans="1:19" x14ac:dyDescent="0.25">
      <c r="A14843">
        <v>100951313</v>
      </c>
      <c r="B14843" t="s">
        <v>5505</v>
      </c>
      <c r="C14843" t="s">
        <v>5288</v>
      </c>
      <c r="G14843" t="s">
        <v>31957</v>
      </c>
      <c r="H14843" t="s">
        <v>198</v>
      </c>
      <c r="I14843" t="s">
        <v>22</v>
      </c>
      <c r="J14843">
        <v>92122</v>
      </c>
      <c r="K14843">
        <v>2626</v>
      </c>
      <c r="L14843" t="s">
        <v>23</v>
      </c>
      <c r="M14843" t="s">
        <v>31957</v>
      </c>
      <c r="N14843" t="s">
        <v>198</v>
      </c>
      <c r="O14843" t="s">
        <v>22</v>
      </c>
      <c r="P14843">
        <v>92122</v>
      </c>
      <c r="Q14843">
        <v>2626</v>
      </c>
      <c r="R14843" t="s">
        <v>23</v>
      </c>
      <c r="S14843" s="1" t="s">
        <v>34218</v>
      </c>
    </row>
    <row r="14844" spans="1:19" x14ac:dyDescent="0.25">
      <c r="A14844">
        <v>101436919</v>
      </c>
      <c r="B14844" t="s">
        <v>31958</v>
      </c>
      <c r="C14844" t="s">
        <v>483</v>
      </c>
      <c r="G14844" t="s">
        <v>31959</v>
      </c>
      <c r="H14844" t="s">
        <v>2714</v>
      </c>
      <c r="I14844" t="s">
        <v>43</v>
      </c>
      <c r="J14844">
        <v>4170</v>
      </c>
      <c r="L14844" t="s">
        <v>23</v>
      </c>
      <c r="M14844" t="s">
        <v>31959</v>
      </c>
      <c r="N14844" t="s">
        <v>2714</v>
      </c>
      <c r="O14844" t="s">
        <v>43</v>
      </c>
      <c r="P14844">
        <v>4170</v>
      </c>
      <c r="R14844" t="s">
        <v>23</v>
      </c>
      <c r="S14844" s="1" t="s">
        <v>34218</v>
      </c>
    </row>
    <row r="14845" spans="1:19" x14ac:dyDescent="0.25">
      <c r="A14845">
        <v>101444365</v>
      </c>
      <c r="B14845" t="s">
        <v>1726</v>
      </c>
      <c r="C14845" t="s">
        <v>205</v>
      </c>
      <c r="G14845" t="s">
        <v>31960</v>
      </c>
      <c r="H14845" t="s">
        <v>311</v>
      </c>
      <c r="I14845" t="s">
        <v>22</v>
      </c>
      <c r="J14845">
        <v>90809</v>
      </c>
      <c r="L14845" t="s">
        <v>23</v>
      </c>
      <c r="M14845" t="s">
        <v>31960</v>
      </c>
      <c r="N14845" t="s">
        <v>311</v>
      </c>
      <c r="O14845" t="s">
        <v>22</v>
      </c>
      <c r="P14845">
        <v>90809</v>
      </c>
      <c r="R14845" t="s">
        <v>23</v>
      </c>
      <c r="S14845" s="1" t="s">
        <v>34218</v>
      </c>
    </row>
    <row r="14846" spans="1:19" x14ac:dyDescent="0.25">
      <c r="A14846">
        <v>100737227</v>
      </c>
      <c r="B14846" t="s">
        <v>5753</v>
      </c>
      <c r="C14846" t="s">
        <v>890</v>
      </c>
      <c r="G14846" t="s">
        <v>31961</v>
      </c>
      <c r="H14846" t="s">
        <v>1273</v>
      </c>
      <c r="I14846" t="s">
        <v>52</v>
      </c>
      <c r="J14846">
        <v>32137</v>
      </c>
      <c r="K14846">
        <v>9115</v>
      </c>
      <c r="L14846" t="s">
        <v>23</v>
      </c>
      <c r="M14846" t="s">
        <v>31961</v>
      </c>
      <c r="N14846" t="s">
        <v>1273</v>
      </c>
      <c r="O14846" t="s">
        <v>52</v>
      </c>
      <c r="P14846">
        <v>32137</v>
      </c>
      <c r="Q14846">
        <v>9115</v>
      </c>
      <c r="R14846" t="s">
        <v>23</v>
      </c>
      <c r="S14846" s="1" t="s">
        <v>34218</v>
      </c>
    </row>
    <row r="14847" spans="1:19" x14ac:dyDescent="0.25">
      <c r="A14847">
        <v>101480586</v>
      </c>
      <c r="B14847" t="s">
        <v>3705</v>
      </c>
      <c r="C14847" t="s">
        <v>11308</v>
      </c>
      <c r="G14847" t="s">
        <v>31962</v>
      </c>
      <c r="H14847" t="s">
        <v>31963</v>
      </c>
      <c r="I14847" t="s">
        <v>236</v>
      </c>
      <c r="J14847">
        <v>2020</v>
      </c>
      <c r="L14847" t="s">
        <v>23</v>
      </c>
      <c r="M14847" t="s">
        <v>31962</v>
      </c>
      <c r="N14847" t="s">
        <v>31963</v>
      </c>
      <c r="O14847" t="s">
        <v>236</v>
      </c>
      <c r="P14847">
        <v>2020</v>
      </c>
      <c r="R14847" t="s">
        <v>23</v>
      </c>
      <c r="S14847" s="1" t="s">
        <v>34218</v>
      </c>
    </row>
    <row r="14848" spans="1:19" x14ac:dyDescent="0.25">
      <c r="A14848">
        <v>101146778</v>
      </c>
      <c r="B14848" t="s">
        <v>31964</v>
      </c>
      <c r="C14848" t="s">
        <v>90</v>
      </c>
      <c r="G14848" t="s">
        <v>31965</v>
      </c>
      <c r="H14848" t="s">
        <v>22135</v>
      </c>
      <c r="I14848" t="s">
        <v>52</v>
      </c>
      <c r="J14848">
        <v>33825</v>
      </c>
      <c r="K14848">
        <v>4447</v>
      </c>
      <c r="L14848" t="s">
        <v>23</v>
      </c>
      <c r="M14848" t="s">
        <v>31965</v>
      </c>
      <c r="N14848" t="s">
        <v>22135</v>
      </c>
      <c r="O14848" t="s">
        <v>52</v>
      </c>
      <c r="P14848">
        <v>33825</v>
      </c>
      <c r="Q14848">
        <v>4447</v>
      </c>
      <c r="R14848" t="s">
        <v>23</v>
      </c>
      <c r="S14848" s="1" t="s">
        <v>34218</v>
      </c>
    </row>
    <row r="14849" spans="1:19" x14ac:dyDescent="0.25">
      <c r="A14849">
        <v>101481067</v>
      </c>
      <c r="B14849" t="s">
        <v>31966</v>
      </c>
      <c r="C14849" t="s">
        <v>7162</v>
      </c>
      <c r="G14849" t="s">
        <v>31967</v>
      </c>
      <c r="H14849" t="s">
        <v>31968</v>
      </c>
      <c r="I14849" t="s">
        <v>1226</v>
      </c>
      <c r="J14849">
        <v>38821</v>
      </c>
      <c r="K14849">
        <v>4436</v>
      </c>
      <c r="L14849" t="s">
        <v>23</v>
      </c>
      <c r="M14849" t="s">
        <v>31967</v>
      </c>
      <c r="N14849" t="s">
        <v>31968</v>
      </c>
      <c r="O14849" t="s">
        <v>1226</v>
      </c>
      <c r="P14849">
        <v>38821</v>
      </c>
      <c r="Q14849">
        <v>4436</v>
      </c>
      <c r="R14849" t="s">
        <v>23</v>
      </c>
      <c r="S14849" s="1" t="s">
        <v>34218</v>
      </c>
    </row>
    <row r="14850" spans="1:19" x14ac:dyDescent="0.25">
      <c r="A14850">
        <v>100599300</v>
      </c>
      <c r="B14850" t="s">
        <v>2509</v>
      </c>
      <c r="C14850" t="s">
        <v>865</v>
      </c>
      <c r="G14850" t="s">
        <v>31969</v>
      </c>
      <c r="H14850" t="s">
        <v>638</v>
      </c>
      <c r="I14850" t="s">
        <v>639</v>
      </c>
      <c r="J14850">
        <v>87106</v>
      </c>
      <c r="K14850">
        <v>2641</v>
      </c>
      <c r="L14850" t="s">
        <v>23</v>
      </c>
      <c r="M14850" t="s">
        <v>31969</v>
      </c>
      <c r="N14850" t="s">
        <v>638</v>
      </c>
      <c r="O14850" t="s">
        <v>639</v>
      </c>
      <c r="P14850">
        <v>87106</v>
      </c>
      <c r="Q14850">
        <v>2641</v>
      </c>
      <c r="R14850" t="s">
        <v>23</v>
      </c>
      <c r="S14850" s="1" t="s">
        <v>34218</v>
      </c>
    </row>
    <row r="14851" spans="1:19" x14ac:dyDescent="0.25">
      <c r="A14851">
        <v>101481072</v>
      </c>
      <c r="B14851" t="s">
        <v>8849</v>
      </c>
      <c r="C14851" t="s">
        <v>410</v>
      </c>
      <c r="G14851" t="s">
        <v>31970</v>
      </c>
      <c r="H14851" t="s">
        <v>3262</v>
      </c>
      <c r="I14851" t="s">
        <v>52</v>
      </c>
      <c r="J14851">
        <v>32095</v>
      </c>
      <c r="K14851">
        <v>8529</v>
      </c>
      <c r="L14851" t="s">
        <v>23</v>
      </c>
      <c r="M14851" t="s">
        <v>31970</v>
      </c>
      <c r="N14851" t="s">
        <v>3262</v>
      </c>
      <c r="O14851" t="s">
        <v>52</v>
      </c>
      <c r="P14851">
        <v>32095</v>
      </c>
      <c r="Q14851">
        <v>8529</v>
      </c>
      <c r="R14851" t="s">
        <v>23</v>
      </c>
      <c r="S14851" s="1" t="s">
        <v>34218</v>
      </c>
    </row>
    <row r="14852" spans="1:19" x14ac:dyDescent="0.25">
      <c r="A14852">
        <v>101481073</v>
      </c>
      <c r="B14852" t="s">
        <v>16508</v>
      </c>
      <c r="C14852" t="s">
        <v>31971</v>
      </c>
      <c r="G14852" t="s">
        <v>31972</v>
      </c>
      <c r="H14852" t="s">
        <v>682</v>
      </c>
      <c r="I14852" t="s">
        <v>365</v>
      </c>
      <c r="J14852">
        <v>85051</v>
      </c>
      <c r="K14852">
        <v>8120</v>
      </c>
      <c r="L14852" t="s">
        <v>23</v>
      </c>
      <c r="M14852" t="s">
        <v>31972</v>
      </c>
      <c r="N14852" t="s">
        <v>682</v>
      </c>
      <c r="O14852" t="s">
        <v>365</v>
      </c>
      <c r="P14852">
        <v>85051</v>
      </c>
      <c r="Q14852">
        <v>8120</v>
      </c>
      <c r="R14852" t="s">
        <v>23</v>
      </c>
      <c r="S14852" s="1" t="s">
        <v>34218</v>
      </c>
    </row>
    <row r="14853" spans="1:19" x14ac:dyDescent="0.25">
      <c r="A14853">
        <v>101325744</v>
      </c>
      <c r="B14853" t="s">
        <v>31973</v>
      </c>
      <c r="C14853" t="s">
        <v>102</v>
      </c>
      <c r="G14853" t="s">
        <v>31974</v>
      </c>
      <c r="H14853" t="s">
        <v>3575</v>
      </c>
      <c r="I14853" t="s">
        <v>241</v>
      </c>
      <c r="J14853">
        <v>67147</v>
      </c>
      <c r="K14853">
        <v>2361</v>
      </c>
      <c r="L14853" t="s">
        <v>23</v>
      </c>
      <c r="M14853" t="s">
        <v>31974</v>
      </c>
      <c r="N14853" t="s">
        <v>3575</v>
      </c>
      <c r="O14853" t="s">
        <v>241</v>
      </c>
      <c r="P14853">
        <v>67147</v>
      </c>
      <c r="Q14853">
        <v>2361</v>
      </c>
      <c r="R14853" t="s">
        <v>23</v>
      </c>
      <c r="S14853" s="1" t="s">
        <v>34218</v>
      </c>
    </row>
    <row r="14854" spans="1:19" x14ac:dyDescent="0.25">
      <c r="A14854">
        <v>101479991</v>
      </c>
      <c r="B14854" t="s">
        <v>216</v>
      </c>
      <c r="C14854" t="s">
        <v>664</v>
      </c>
      <c r="G14854" t="s">
        <v>31975</v>
      </c>
      <c r="H14854" t="s">
        <v>10835</v>
      </c>
      <c r="I14854" t="s">
        <v>22</v>
      </c>
      <c r="J14854">
        <v>91775</v>
      </c>
      <c r="L14854" t="s">
        <v>23</v>
      </c>
      <c r="M14854" t="s">
        <v>31975</v>
      </c>
      <c r="N14854" t="s">
        <v>10835</v>
      </c>
      <c r="O14854" t="s">
        <v>22</v>
      </c>
      <c r="P14854">
        <v>91775</v>
      </c>
      <c r="R14854" t="s">
        <v>23</v>
      </c>
      <c r="S14854" s="1" t="s">
        <v>34218</v>
      </c>
    </row>
    <row r="14855" spans="1:19" x14ac:dyDescent="0.25">
      <c r="A14855">
        <v>101261023</v>
      </c>
      <c r="B14855" t="s">
        <v>31976</v>
      </c>
      <c r="C14855" t="s">
        <v>1153</v>
      </c>
      <c r="G14855" t="s">
        <v>31977</v>
      </c>
      <c r="H14855" t="s">
        <v>5304</v>
      </c>
      <c r="I14855" t="s">
        <v>52</v>
      </c>
      <c r="J14855">
        <v>34135</v>
      </c>
      <c r="K14855">
        <v>854</v>
      </c>
      <c r="L14855" t="s">
        <v>23</v>
      </c>
      <c r="M14855" t="s">
        <v>31977</v>
      </c>
      <c r="N14855" t="s">
        <v>5304</v>
      </c>
      <c r="O14855" t="s">
        <v>52</v>
      </c>
      <c r="P14855">
        <v>34135</v>
      </c>
      <c r="Q14855">
        <v>854</v>
      </c>
      <c r="R14855" t="s">
        <v>23</v>
      </c>
      <c r="S14855" s="1" t="s">
        <v>34218</v>
      </c>
    </row>
    <row r="14856" spans="1:19" x14ac:dyDescent="0.25">
      <c r="A14856">
        <v>101481088</v>
      </c>
      <c r="B14856" t="s">
        <v>31978</v>
      </c>
      <c r="C14856" t="s">
        <v>22788</v>
      </c>
      <c r="G14856" t="s">
        <v>31979</v>
      </c>
      <c r="H14856" t="s">
        <v>1626</v>
      </c>
      <c r="I14856" t="s">
        <v>702</v>
      </c>
      <c r="J14856">
        <v>89436</v>
      </c>
      <c r="K14856">
        <v>7648</v>
      </c>
      <c r="L14856" t="s">
        <v>23</v>
      </c>
      <c r="M14856" t="s">
        <v>31979</v>
      </c>
      <c r="N14856" t="s">
        <v>1626</v>
      </c>
      <c r="O14856" t="s">
        <v>702</v>
      </c>
      <c r="P14856">
        <v>89436</v>
      </c>
      <c r="Q14856">
        <v>7648</v>
      </c>
      <c r="R14856" t="s">
        <v>23</v>
      </c>
      <c r="S14856" s="1" t="s">
        <v>34218</v>
      </c>
    </row>
    <row r="14857" spans="1:19" x14ac:dyDescent="0.25">
      <c r="A14857">
        <v>101214285</v>
      </c>
      <c r="B14857" t="s">
        <v>2170</v>
      </c>
      <c r="C14857" t="s">
        <v>3714</v>
      </c>
      <c r="G14857" t="s">
        <v>31980</v>
      </c>
      <c r="H14857" t="s">
        <v>31981</v>
      </c>
      <c r="I14857" t="s">
        <v>327</v>
      </c>
      <c r="J14857">
        <v>25202</v>
      </c>
      <c r="K14857">
        <v>9716</v>
      </c>
      <c r="L14857" t="s">
        <v>23</v>
      </c>
      <c r="M14857" t="s">
        <v>31980</v>
      </c>
      <c r="N14857" t="s">
        <v>31981</v>
      </c>
      <c r="O14857" t="s">
        <v>327</v>
      </c>
      <c r="P14857">
        <v>25202</v>
      </c>
      <c r="Q14857">
        <v>9716</v>
      </c>
      <c r="R14857" t="s">
        <v>23</v>
      </c>
      <c r="S14857" s="1" t="s">
        <v>34218</v>
      </c>
    </row>
    <row r="14858" spans="1:19" x14ac:dyDescent="0.25">
      <c r="A14858">
        <v>101392644</v>
      </c>
      <c r="B14858" t="s">
        <v>29253</v>
      </c>
      <c r="C14858" t="s">
        <v>410</v>
      </c>
      <c r="G14858" t="s">
        <v>31982</v>
      </c>
      <c r="H14858" t="s">
        <v>1452</v>
      </c>
      <c r="I14858" t="s">
        <v>43</v>
      </c>
      <c r="J14858">
        <v>97405</v>
      </c>
      <c r="K14858">
        <v>4518</v>
      </c>
      <c r="L14858" t="s">
        <v>23</v>
      </c>
      <c r="M14858" t="s">
        <v>31982</v>
      </c>
      <c r="N14858" t="s">
        <v>1452</v>
      </c>
      <c r="O14858" t="s">
        <v>43</v>
      </c>
      <c r="P14858">
        <v>97405</v>
      </c>
      <c r="Q14858">
        <v>4518</v>
      </c>
      <c r="R14858" t="s">
        <v>23</v>
      </c>
      <c r="S14858" s="1" t="s">
        <v>34218</v>
      </c>
    </row>
    <row r="14859" spans="1:19" x14ac:dyDescent="0.25">
      <c r="A14859">
        <v>101481098</v>
      </c>
      <c r="B14859" t="s">
        <v>9665</v>
      </c>
      <c r="C14859" t="s">
        <v>1078</v>
      </c>
      <c r="G14859" t="s">
        <v>31983</v>
      </c>
      <c r="H14859" t="s">
        <v>5998</v>
      </c>
      <c r="I14859" t="s">
        <v>914</v>
      </c>
      <c r="J14859">
        <v>38119</v>
      </c>
      <c r="K14859">
        <v>8606</v>
      </c>
      <c r="L14859" t="s">
        <v>23</v>
      </c>
      <c r="M14859" t="s">
        <v>31983</v>
      </c>
      <c r="N14859" t="s">
        <v>5998</v>
      </c>
      <c r="O14859" t="s">
        <v>914</v>
      </c>
      <c r="P14859">
        <v>38119</v>
      </c>
      <c r="Q14859">
        <v>8606</v>
      </c>
      <c r="R14859" t="s">
        <v>23</v>
      </c>
      <c r="S14859" s="1" t="s">
        <v>34218</v>
      </c>
    </row>
    <row r="14860" spans="1:19" x14ac:dyDescent="0.25">
      <c r="A14860">
        <v>101481099</v>
      </c>
      <c r="B14860" t="s">
        <v>3590</v>
      </c>
      <c r="C14860" t="s">
        <v>3609</v>
      </c>
      <c r="G14860" t="s">
        <v>25960</v>
      </c>
      <c r="H14860" t="s">
        <v>2894</v>
      </c>
      <c r="I14860" t="s">
        <v>178</v>
      </c>
      <c r="J14860">
        <v>43611</v>
      </c>
      <c r="L14860" t="s">
        <v>23</v>
      </c>
      <c r="M14860" t="s">
        <v>25960</v>
      </c>
      <c r="N14860" t="s">
        <v>2894</v>
      </c>
      <c r="O14860" t="s">
        <v>178</v>
      </c>
      <c r="P14860">
        <v>43611</v>
      </c>
      <c r="R14860" t="s">
        <v>23</v>
      </c>
      <c r="S14860" s="1" t="s">
        <v>34218</v>
      </c>
    </row>
    <row r="14861" spans="1:19" x14ac:dyDescent="0.25">
      <c r="A14861">
        <v>101481109</v>
      </c>
      <c r="B14861" t="s">
        <v>31984</v>
      </c>
      <c r="C14861" t="s">
        <v>31985</v>
      </c>
      <c r="G14861" t="s">
        <v>31986</v>
      </c>
      <c r="H14861" t="s">
        <v>24524</v>
      </c>
      <c r="I14861" t="s">
        <v>140</v>
      </c>
      <c r="J14861">
        <v>48324</v>
      </c>
      <c r="K14861">
        <v>1816</v>
      </c>
      <c r="L14861" t="s">
        <v>23</v>
      </c>
      <c r="M14861" t="s">
        <v>31986</v>
      </c>
      <c r="N14861" t="s">
        <v>24524</v>
      </c>
      <c r="O14861" t="s">
        <v>140</v>
      </c>
      <c r="P14861">
        <v>48324</v>
      </c>
      <c r="Q14861">
        <v>1816</v>
      </c>
      <c r="R14861" t="s">
        <v>23</v>
      </c>
      <c r="S14861" s="1" t="s">
        <v>34218</v>
      </c>
    </row>
    <row r="14862" spans="1:19" x14ac:dyDescent="0.25">
      <c r="A14862">
        <v>101436558</v>
      </c>
      <c r="B14862" t="s">
        <v>654</v>
      </c>
      <c r="C14862" t="s">
        <v>350</v>
      </c>
      <c r="G14862" t="s">
        <v>31987</v>
      </c>
      <c r="H14862" t="s">
        <v>7579</v>
      </c>
      <c r="I14862" t="s">
        <v>43</v>
      </c>
      <c r="J14862">
        <v>97223</v>
      </c>
      <c r="K14862">
        <v>2892</v>
      </c>
      <c r="L14862" t="s">
        <v>23</v>
      </c>
      <c r="M14862" t="s">
        <v>31987</v>
      </c>
      <c r="N14862" t="s">
        <v>7579</v>
      </c>
      <c r="O14862" t="s">
        <v>43</v>
      </c>
      <c r="P14862">
        <v>97223</v>
      </c>
      <c r="Q14862">
        <v>2892</v>
      </c>
      <c r="R14862" t="s">
        <v>23</v>
      </c>
      <c r="S14862" s="1" t="s">
        <v>34218</v>
      </c>
    </row>
    <row r="14863" spans="1:19" x14ac:dyDescent="0.25">
      <c r="A14863">
        <v>101481116</v>
      </c>
      <c r="B14863" t="s">
        <v>23884</v>
      </c>
      <c r="C14863" t="s">
        <v>123</v>
      </c>
      <c r="G14863" t="s">
        <v>9186</v>
      </c>
      <c r="H14863" t="s">
        <v>6515</v>
      </c>
      <c r="I14863" t="s">
        <v>22</v>
      </c>
      <c r="J14863">
        <v>90266</v>
      </c>
      <c r="K14863">
        <v>5432</v>
      </c>
      <c r="L14863" t="s">
        <v>23</v>
      </c>
      <c r="M14863" t="s">
        <v>9186</v>
      </c>
      <c r="N14863" t="s">
        <v>6515</v>
      </c>
      <c r="O14863" t="s">
        <v>22</v>
      </c>
      <c r="P14863">
        <v>90266</v>
      </c>
      <c r="Q14863">
        <v>5432</v>
      </c>
      <c r="R14863" t="s">
        <v>23</v>
      </c>
      <c r="S14863" s="1" t="s">
        <v>34218</v>
      </c>
    </row>
    <row r="14864" spans="1:19" x14ac:dyDescent="0.25">
      <c r="A14864">
        <v>101481126</v>
      </c>
      <c r="B14864" t="s">
        <v>10362</v>
      </c>
      <c r="C14864" t="s">
        <v>31988</v>
      </c>
      <c r="G14864" t="s">
        <v>31989</v>
      </c>
      <c r="H14864" t="s">
        <v>9008</v>
      </c>
      <c r="I14864" t="s">
        <v>52</v>
      </c>
      <c r="J14864">
        <v>34608</v>
      </c>
      <c r="K14864">
        <v>6837</v>
      </c>
      <c r="L14864" t="s">
        <v>23</v>
      </c>
      <c r="M14864" t="s">
        <v>31989</v>
      </c>
      <c r="N14864" t="s">
        <v>9008</v>
      </c>
      <c r="O14864" t="s">
        <v>52</v>
      </c>
      <c r="P14864">
        <v>34608</v>
      </c>
      <c r="Q14864">
        <v>6837</v>
      </c>
      <c r="R14864" t="s">
        <v>23</v>
      </c>
      <c r="S14864" s="1" t="s">
        <v>34218</v>
      </c>
    </row>
    <row r="14865" spans="1:19" x14ac:dyDescent="0.25">
      <c r="A14865">
        <v>101481127</v>
      </c>
      <c r="B14865" t="s">
        <v>10362</v>
      </c>
      <c r="C14865" t="s">
        <v>49</v>
      </c>
      <c r="G14865" t="s">
        <v>31989</v>
      </c>
      <c r="H14865" t="s">
        <v>9008</v>
      </c>
      <c r="I14865" t="s">
        <v>52</v>
      </c>
      <c r="J14865">
        <v>34608</v>
      </c>
      <c r="K14865">
        <v>6837</v>
      </c>
      <c r="L14865" t="s">
        <v>23</v>
      </c>
      <c r="M14865" t="s">
        <v>31989</v>
      </c>
      <c r="N14865" t="s">
        <v>9008</v>
      </c>
      <c r="O14865" t="s">
        <v>52</v>
      </c>
      <c r="P14865">
        <v>34608</v>
      </c>
      <c r="Q14865">
        <v>6837</v>
      </c>
      <c r="R14865" t="s">
        <v>23</v>
      </c>
      <c r="S14865" s="1" t="s">
        <v>34218</v>
      </c>
    </row>
    <row r="14866" spans="1:19" x14ac:dyDescent="0.25">
      <c r="A14866">
        <v>101481138</v>
      </c>
      <c r="B14866" t="s">
        <v>31990</v>
      </c>
      <c r="C14866" t="s">
        <v>718</v>
      </c>
      <c r="G14866" t="s">
        <v>31991</v>
      </c>
      <c r="H14866" t="s">
        <v>12726</v>
      </c>
      <c r="I14866" t="s">
        <v>100</v>
      </c>
      <c r="J14866">
        <v>53144</v>
      </c>
      <c r="K14866">
        <v>7724</v>
      </c>
      <c r="L14866" t="s">
        <v>23</v>
      </c>
      <c r="M14866" t="s">
        <v>31991</v>
      </c>
      <c r="N14866" t="s">
        <v>12726</v>
      </c>
      <c r="O14866" t="s">
        <v>100</v>
      </c>
      <c r="P14866">
        <v>53144</v>
      </c>
      <c r="Q14866">
        <v>7724</v>
      </c>
      <c r="R14866" t="s">
        <v>23</v>
      </c>
      <c r="S14866" s="1" t="s">
        <v>34218</v>
      </c>
    </row>
    <row r="14867" spans="1:19" x14ac:dyDescent="0.25">
      <c r="A14867">
        <v>101481139</v>
      </c>
      <c r="B14867" t="s">
        <v>31992</v>
      </c>
      <c r="C14867" t="s">
        <v>894</v>
      </c>
      <c r="G14867" t="s">
        <v>31993</v>
      </c>
      <c r="H14867" t="s">
        <v>134</v>
      </c>
      <c r="I14867" t="s">
        <v>135</v>
      </c>
      <c r="J14867">
        <v>60601</v>
      </c>
      <c r="K14867">
        <v>1606</v>
      </c>
      <c r="L14867" t="s">
        <v>23</v>
      </c>
      <c r="M14867" t="s">
        <v>31993</v>
      </c>
      <c r="N14867" t="s">
        <v>134</v>
      </c>
      <c r="O14867" t="s">
        <v>135</v>
      </c>
      <c r="P14867">
        <v>60601</v>
      </c>
      <c r="Q14867">
        <v>1606</v>
      </c>
      <c r="R14867" t="s">
        <v>23</v>
      </c>
      <c r="S14867" s="1" t="s">
        <v>34218</v>
      </c>
    </row>
    <row r="14868" spans="1:19" x14ac:dyDescent="0.25">
      <c r="A14868">
        <v>101481145</v>
      </c>
      <c r="B14868" t="s">
        <v>31994</v>
      </c>
      <c r="C14868" t="s">
        <v>247</v>
      </c>
      <c r="G14868" t="s">
        <v>31995</v>
      </c>
      <c r="H14868" t="s">
        <v>357</v>
      </c>
      <c r="I14868" t="s">
        <v>255</v>
      </c>
      <c r="J14868">
        <v>22307</v>
      </c>
      <c r="K14868">
        <v>6531</v>
      </c>
      <c r="L14868" t="s">
        <v>23</v>
      </c>
      <c r="M14868" t="s">
        <v>31995</v>
      </c>
      <c r="N14868" t="s">
        <v>357</v>
      </c>
      <c r="O14868" t="s">
        <v>255</v>
      </c>
      <c r="P14868">
        <v>22307</v>
      </c>
      <c r="Q14868">
        <v>6531</v>
      </c>
      <c r="R14868" t="s">
        <v>23</v>
      </c>
      <c r="S14868" s="1" t="s">
        <v>34218</v>
      </c>
    </row>
    <row r="14869" spans="1:19" x14ac:dyDescent="0.25">
      <c r="A14869">
        <v>101254955</v>
      </c>
      <c r="B14869" t="s">
        <v>31996</v>
      </c>
      <c r="C14869" t="s">
        <v>367</v>
      </c>
      <c r="G14869" t="s">
        <v>31997</v>
      </c>
      <c r="H14869" t="s">
        <v>169</v>
      </c>
      <c r="I14869" t="s">
        <v>170</v>
      </c>
      <c r="J14869">
        <v>20008</v>
      </c>
      <c r="L14869" t="s">
        <v>23</v>
      </c>
      <c r="M14869" t="s">
        <v>31997</v>
      </c>
      <c r="N14869" t="s">
        <v>169</v>
      </c>
      <c r="O14869" t="s">
        <v>170</v>
      </c>
      <c r="P14869">
        <v>20008</v>
      </c>
      <c r="R14869" t="s">
        <v>23</v>
      </c>
      <c r="S14869" s="1" t="s">
        <v>34218</v>
      </c>
    </row>
    <row r="14870" spans="1:19" x14ac:dyDescent="0.25">
      <c r="A14870">
        <v>101481154</v>
      </c>
      <c r="B14870" t="s">
        <v>12359</v>
      </c>
      <c r="C14870" t="s">
        <v>3511</v>
      </c>
      <c r="G14870" t="s">
        <v>31998</v>
      </c>
      <c r="H14870" t="s">
        <v>31433</v>
      </c>
      <c r="I14870" t="s">
        <v>236</v>
      </c>
      <c r="J14870">
        <v>1945</v>
      </c>
      <c r="K14870">
        <v>3407</v>
      </c>
      <c r="L14870" t="s">
        <v>23</v>
      </c>
      <c r="M14870" t="s">
        <v>31998</v>
      </c>
      <c r="N14870" t="s">
        <v>31433</v>
      </c>
      <c r="O14870" t="s">
        <v>236</v>
      </c>
      <c r="P14870">
        <v>1945</v>
      </c>
      <c r="Q14870">
        <v>3407</v>
      </c>
      <c r="R14870" t="s">
        <v>23</v>
      </c>
      <c r="S14870" s="1" t="s">
        <v>34218</v>
      </c>
    </row>
    <row r="14871" spans="1:19" x14ac:dyDescent="0.25">
      <c r="A14871">
        <v>101423142</v>
      </c>
      <c r="B14871" t="s">
        <v>9723</v>
      </c>
      <c r="C14871" t="s">
        <v>309</v>
      </c>
      <c r="G14871" t="s">
        <v>31999</v>
      </c>
      <c r="H14871" t="s">
        <v>1431</v>
      </c>
      <c r="I14871" t="s">
        <v>639</v>
      </c>
      <c r="J14871" t="s">
        <v>32000</v>
      </c>
      <c r="K14871">
        <v>8247</v>
      </c>
      <c r="L14871" t="s">
        <v>23</v>
      </c>
      <c r="M14871" t="s">
        <v>31999</v>
      </c>
      <c r="N14871" t="s">
        <v>1431</v>
      </c>
      <c r="O14871" t="s">
        <v>639</v>
      </c>
      <c r="P14871" t="s">
        <v>32000</v>
      </c>
      <c r="Q14871">
        <v>8247</v>
      </c>
      <c r="R14871" t="s">
        <v>23</v>
      </c>
      <c r="S14871" s="1" t="s">
        <v>34218</v>
      </c>
    </row>
    <row r="14872" spans="1:19" x14ac:dyDescent="0.25">
      <c r="A14872">
        <v>101445720</v>
      </c>
      <c r="B14872" t="s">
        <v>32001</v>
      </c>
      <c r="C14872" t="s">
        <v>13429</v>
      </c>
      <c r="G14872" t="s">
        <v>32002</v>
      </c>
      <c r="H14872" t="s">
        <v>423</v>
      </c>
      <c r="I14872" t="s">
        <v>71</v>
      </c>
      <c r="J14872" t="s">
        <v>32003</v>
      </c>
      <c r="K14872">
        <v>1840</v>
      </c>
      <c r="L14872" t="s">
        <v>23</v>
      </c>
      <c r="M14872" t="s">
        <v>32002</v>
      </c>
      <c r="N14872" t="s">
        <v>423</v>
      </c>
      <c r="O14872" t="s">
        <v>71</v>
      </c>
      <c r="P14872" t="s">
        <v>32003</v>
      </c>
      <c r="Q14872">
        <v>1840</v>
      </c>
      <c r="R14872" t="s">
        <v>23</v>
      </c>
      <c r="S14872" s="1" t="s">
        <v>34218</v>
      </c>
    </row>
    <row r="14873" spans="1:19" x14ac:dyDescent="0.25">
      <c r="A14873">
        <v>101435896</v>
      </c>
      <c r="B14873" t="s">
        <v>32004</v>
      </c>
      <c r="C14873" t="s">
        <v>29312</v>
      </c>
      <c r="G14873" t="s">
        <v>32005</v>
      </c>
      <c r="H14873" t="s">
        <v>6010</v>
      </c>
      <c r="I14873" t="s">
        <v>639</v>
      </c>
      <c r="J14873">
        <v>87571</v>
      </c>
      <c r="L14873" t="s">
        <v>23</v>
      </c>
      <c r="M14873" t="s">
        <v>32005</v>
      </c>
      <c r="N14873" t="s">
        <v>6010</v>
      </c>
      <c r="O14873" t="s">
        <v>639</v>
      </c>
      <c r="P14873">
        <v>87571</v>
      </c>
      <c r="R14873" t="s">
        <v>23</v>
      </c>
      <c r="S14873" s="1" t="s">
        <v>34218</v>
      </c>
    </row>
    <row r="14874" spans="1:19" x14ac:dyDescent="0.25">
      <c r="A14874">
        <v>101231579</v>
      </c>
      <c r="B14874" t="s">
        <v>4130</v>
      </c>
      <c r="C14874" t="s">
        <v>155</v>
      </c>
      <c r="G14874" t="s">
        <v>32006</v>
      </c>
      <c r="H14874" t="s">
        <v>32007</v>
      </c>
      <c r="I14874" t="s">
        <v>565</v>
      </c>
      <c r="J14874" t="s">
        <v>32008</v>
      </c>
      <c r="K14874">
        <v>1010</v>
      </c>
      <c r="L14874" t="s">
        <v>23</v>
      </c>
      <c r="M14874" t="s">
        <v>32006</v>
      </c>
      <c r="N14874" t="s">
        <v>32007</v>
      </c>
      <c r="O14874" t="s">
        <v>565</v>
      </c>
      <c r="P14874" t="s">
        <v>32008</v>
      </c>
      <c r="Q14874">
        <v>1010</v>
      </c>
      <c r="R14874" t="s">
        <v>23</v>
      </c>
      <c r="S14874" s="1" t="s">
        <v>34218</v>
      </c>
    </row>
    <row r="14875" spans="1:19" x14ac:dyDescent="0.25">
      <c r="A14875">
        <v>101343064</v>
      </c>
      <c r="B14875" t="s">
        <v>8656</v>
      </c>
      <c r="C14875" t="s">
        <v>11755</v>
      </c>
      <c r="G14875" t="s">
        <v>32009</v>
      </c>
      <c r="H14875" t="s">
        <v>504</v>
      </c>
      <c r="I14875" t="s">
        <v>84</v>
      </c>
      <c r="J14875" t="s">
        <v>32010</v>
      </c>
      <c r="K14875">
        <v>9622</v>
      </c>
      <c r="L14875" t="s">
        <v>23</v>
      </c>
      <c r="M14875" t="s">
        <v>32009</v>
      </c>
      <c r="N14875" t="s">
        <v>504</v>
      </c>
      <c r="O14875" t="s">
        <v>84</v>
      </c>
      <c r="P14875" t="s">
        <v>32010</v>
      </c>
      <c r="Q14875">
        <v>9622</v>
      </c>
      <c r="R14875" t="s">
        <v>23</v>
      </c>
      <c r="S14875" s="1" t="s">
        <v>34218</v>
      </c>
    </row>
    <row r="14876" spans="1:19" x14ac:dyDescent="0.25">
      <c r="A14876">
        <v>101429128</v>
      </c>
      <c r="B14876" t="s">
        <v>3828</v>
      </c>
      <c r="C14876" t="s">
        <v>7058</v>
      </c>
      <c r="G14876" t="s">
        <v>32011</v>
      </c>
      <c r="H14876" t="s">
        <v>198</v>
      </c>
      <c r="I14876" t="s">
        <v>22</v>
      </c>
      <c r="J14876" t="s">
        <v>32012</v>
      </c>
      <c r="K14876">
        <v>2435</v>
      </c>
      <c r="L14876" t="s">
        <v>23</v>
      </c>
      <c r="M14876" t="s">
        <v>32011</v>
      </c>
      <c r="N14876" t="s">
        <v>198</v>
      </c>
      <c r="O14876" t="s">
        <v>22</v>
      </c>
      <c r="P14876" t="s">
        <v>32012</v>
      </c>
      <c r="Q14876">
        <v>2435</v>
      </c>
      <c r="R14876" t="s">
        <v>23</v>
      </c>
      <c r="S14876" s="1" t="s">
        <v>34218</v>
      </c>
    </row>
    <row r="14877" spans="1:19" x14ac:dyDescent="0.25">
      <c r="A14877">
        <v>101057028</v>
      </c>
      <c r="B14877" t="s">
        <v>1807</v>
      </c>
      <c r="C14877" t="s">
        <v>1363</v>
      </c>
      <c r="G14877" t="s">
        <v>32013</v>
      </c>
      <c r="H14877" t="s">
        <v>32014</v>
      </c>
      <c r="I14877" t="s">
        <v>1000</v>
      </c>
      <c r="J14877" t="s">
        <v>32015</v>
      </c>
      <c r="K14877">
        <v>6521</v>
      </c>
      <c r="L14877" t="s">
        <v>23</v>
      </c>
      <c r="M14877" t="s">
        <v>32013</v>
      </c>
      <c r="N14877" t="s">
        <v>32014</v>
      </c>
      <c r="O14877" t="s">
        <v>1000</v>
      </c>
      <c r="P14877" t="s">
        <v>32015</v>
      </c>
      <c r="Q14877">
        <v>6521</v>
      </c>
      <c r="R14877" t="s">
        <v>23</v>
      </c>
      <c r="S14877" s="1" t="s">
        <v>34218</v>
      </c>
    </row>
    <row r="14878" spans="1:19" x14ac:dyDescent="0.25">
      <c r="A14878">
        <v>101429828</v>
      </c>
      <c r="B14878" t="s">
        <v>1669</v>
      </c>
      <c r="C14878" t="s">
        <v>707</v>
      </c>
      <c r="G14878" t="s">
        <v>32016</v>
      </c>
      <c r="H14878" t="s">
        <v>25355</v>
      </c>
      <c r="I14878" t="s">
        <v>52</v>
      </c>
      <c r="J14878" t="s">
        <v>32017</v>
      </c>
      <c r="K14878">
        <v>9576</v>
      </c>
      <c r="L14878" t="s">
        <v>23</v>
      </c>
      <c r="M14878" t="s">
        <v>32016</v>
      </c>
      <c r="N14878" t="s">
        <v>25355</v>
      </c>
      <c r="O14878" t="s">
        <v>52</v>
      </c>
      <c r="P14878" t="s">
        <v>32017</v>
      </c>
      <c r="Q14878">
        <v>9576</v>
      </c>
      <c r="R14878" t="s">
        <v>23</v>
      </c>
      <c r="S14878" s="1" t="s">
        <v>34218</v>
      </c>
    </row>
    <row r="14879" spans="1:19" x14ac:dyDescent="0.25">
      <c r="A14879">
        <v>101290649</v>
      </c>
      <c r="B14879" t="s">
        <v>32018</v>
      </c>
      <c r="C14879" t="s">
        <v>30</v>
      </c>
      <c r="G14879" t="s">
        <v>32019</v>
      </c>
      <c r="H14879" t="s">
        <v>32020</v>
      </c>
      <c r="I14879" t="s">
        <v>446</v>
      </c>
      <c r="J14879" t="s">
        <v>32021</v>
      </c>
      <c r="K14879">
        <v>9656</v>
      </c>
      <c r="L14879" t="s">
        <v>23</v>
      </c>
      <c r="M14879" t="s">
        <v>32019</v>
      </c>
      <c r="N14879" t="s">
        <v>32020</v>
      </c>
      <c r="O14879" t="s">
        <v>446</v>
      </c>
      <c r="P14879" t="s">
        <v>32021</v>
      </c>
      <c r="Q14879">
        <v>9656</v>
      </c>
      <c r="R14879" t="s">
        <v>23</v>
      </c>
      <c r="S14879" s="1" t="s">
        <v>34218</v>
      </c>
    </row>
    <row r="14880" spans="1:19" x14ac:dyDescent="0.25">
      <c r="A14880">
        <v>101387963</v>
      </c>
      <c r="B14880" t="s">
        <v>32022</v>
      </c>
      <c r="C14880" t="s">
        <v>1873</v>
      </c>
      <c r="G14880" t="s">
        <v>32023</v>
      </c>
      <c r="H14880" t="s">
        <v>419</v>
      </c>
      <c r="I14880" t="s">
        <v>38</v>
      </c>
      <c r="J14880" t="s">
        <v>32024</v>
      </c>
      <c r="K14880">
        <v>2829</v>
      </c>
      <c r="L14880" t="s">
        <v>23</v>
      </c>
      <c r="M14880" t="s">
        <v>32023</v>
      </c>
      <c r="N14880" t="s">
        <v>419</v>
      </c>
      <c r="O14880" t="s">
        <v>38</v>
      </c>
      <c r="P14880" t="s">
        <v>32024</v>
      </c>
      <c r="Q14880">
        <v>2829</v>
      </c>
      <c r="R14880" t="s">
        <v>23</v>
      </c>
      <c r="S14880" s="1" t="s">
        <v>34218</v>
      </c>
    </row>
    <row r="14881" spans="1:19" x14ac:dyDescent="0.25">
      <c r="A14881">
        <v>101433395</v>
      </c>
      <c r="B14881" t="s">
        <v>793</v>
      </c>
      <c r="C14881" t="s">
        <v>32025</v>
      </c>
      <c r="G14881" t="s">
        <v>32026</v>
      </c>
      <c r="H14881" t="s">
        <v>32027</v>
      </c>
      <c r="I14881" t="s">
        <v>33</v>
      </c>
      <c r="J14881" t="s">
        <v>32028</v>
      </c>
      <c r="K14881">
        <v>9506</v>
      </c>
      <c r="L14881" t="s">
        <v>23</v>
      </c>
      <c r="M14881" t="s">
        <v>32026</v>
      </c>
      <c r="N14881" t="s">
        <v>32027</v>
      </c>
      <c r="O14881" t="s">
        <v>33</v>
      </c>
      <c r="P14881" t="s">
        <v>32028</v>
      </c>
      <c r="Q14881">
        <v>9506</v>
      </c>
      <c r="R14881" t="s">
        <v>23</v>
      </c>
      <c r="S14881" s="1" t="s">
        <v>34218</v>
      </c>
    </row>
    <row r="14882" spans="1:19" x14ac:dyDescent="0.25">
      <c r="A14882">
        <v>101308139</v>
      </c>
      <c r="B14882" t="s">
        <v>32029</v>
      </c>
      <c r="C14882" t="s">
        <v>32030</v>
      </c>
      <c r="G14882" t="s">
        <v>30700</v>
      </c>
      <c r="H14882" t="s">
        <v>2514</v>
      </c>
      <c r="I14882" t="s">
        <v>236</v>
      </c>
      <c r="J14882" t="s">
        <v>30701</v>
      </c>
      <c r="K14882">
        <v>3235</v>
      </c>
      <c r="L14882" t="s">
        <v>23</v>
      </c>
      <c r="M14882" t="s">
        <v>30700</v>
      </c>
      <c r="N14882" t="s">
        <v>2514</v>
      </c>
      <c r="O14882" t="s">
        <v>236</v>
      </c>
      <c r="P14882" t="s">
        <v>30701</v>
      </c>
      <c r="Q14882">
        <v>3235</v>
      </c>
      <c r="R14882" t="s">
        <v>23</v>
      </c>
      <c r="S14882" s="1" t="s">
        <v>34218</v>
      </c>
    </row>
    <row r="14883" spans="1:19" x14ac:dyDescent="0.25">
      <c r="A14883">
        <v>101404136</v>
      </c>
      <c r="B14883" t="s">
        <v>32031</v>
      </c>
      <c r="C14883" t="s">
        <v>2420</v>
      </c>
      <c r="G14883" t="s">
        <v>30700</v>
      </c>
      <c r="H14883" t="s">
        <v>2514</v>
      </c>
      <c r="I14883" t="s">
        <v>236</v>
      </c>
      <c r="J14883" t="s">
        <v>30701</v>
      </c>
      <c r="K14883">
        <v>3235</v>
      </c>
      <c r="L14883" t="s">
        <v>23</v>
      </c>
      <c r="M14883" t="s">
        <v>30700</v>
      </c>
      <c r="N14883" t="s">
        <v>2514</v>
      </c>
      <c r="O14883" t="s">
        <v>236</v>
      </c>
      <c r="P14883" t="s">
        <v>30701</v>
      </c>
      <c r="Q14883">
        <v>3235</v>
      </c>
      <c r="R14883" t="s">
        <v>23</v>
      </c>
      <c r="S14883" s="1" t="s">
        <v>34218</v>
      </c>
    </row>
    <row r="14884" spans="1:19" x14ac:dyDescent="0.25">
      <c r="A14884">
        <v>101306789</v>
      </c>
      <c r="B14884" t="s">
        <v>9948</v>
      </c>
      <c r="C14884" t="s">
        <v>5879</v>
      </c>
      <c r="G14884" t="s">
        <v>32032</v>
      </c>
      <c r="H14884" t="s">
        <v>26566</v>
      </c>
      <c r="I14884" t="s">
        <v>117</v>
      </c>
      <c r="J14884" t="s">
        <v>32033</v>
      </c>
      <c r="K14884">
        <v>4152</v>
      </c>
      <c r="L14884" t="s">
        <v>23</v>
      </c>
      <c r="M14884" t="s">
        <v>32032</v>
      </c>
      <c r="N14884" t="s">
        <v>26566</v>
      </c>
      <c r="O14884" t="s">
        <v>117</v>
      </c>
      <c r="P14884" t="s">
        <v>32033</v>
      </c>
      <c r="Q14884">
        <v>4152</v>
      </c>
      <c r="R14884" t="s">
        <v>23</v>
      </c>
      <c r="S14884" s="1" t="s">
        <v>34218</v>
      </c>
    </row>
    <row r="14885" spans="1:19" x14ac:dyDescent="0.25">
      <c r="A14885">
        <v>100922930</v>
      </c>
      <c r="B14885" t="s">
        <v>32034</v>
      </c>
      <c r="C14885" t="s">
        <v>699</v>
      </c>
      <c r="G14885" t="s">
        <v>32035</v>
      </c>
      <c r="H14885" t="s">
        <v>19789</v>
      </c>
      <c r="I14885" t="s">
        <v>100</v>
      </c>
      <c r="J14885" t="s">
        <v>32036</v>
      </c>
      <c r="K14885">
        <v>1365</v>
      </c>
      <c r="L14885" t="s">
        <v>23</v>
      </c>
      <c r="M14885" t="s">
        <v>32035</v>
      </c>
      <c r="N14885" t="s">
        <v>19789</v>
      </c>
      <c r="O14885" t="s">
        <v>100</v>
      </c>
      <c r="P14885" t="s">
        <v>32036</v>
      </c>
      <c r="Q14885">
        <v>1365</v>
      </c>
      <c r="R14885" t="s">
        <v>23</v>
      </c>
      <c r="S14885" s="1" t="s">
        <v>34218</v>
      </c>
    </row>
    <row r="14886" spans="1:19" x14ac:dyDescent="0.25">
      <c r="A14886">
        <v>101425847</v>
      </c>
      <c r="B14886" t="s">
        <v>32037</v>
      </c>
      <c r="C14886" t="s">
        <v>5347</v>
      </c>
      <c r="G14886" t="s">
        <v>32038</v>
      </c>
      <c r="H14886" t="s">
        <v>7846</v>
      </c>
      <c r="I14886" t="s">
        <v>22</v>
      </c>
      <c r="J14886" t="s">
        <v>32039</v>
      </c>
      <c r="K14886">
        <v>9200</v>
      </c>
      <c r="L14886" t="s">
        <v>23</v>
      </c>
      <c r="M14886" t="s">
        <v>32038</v>
      </c>
      <c r="N14886" t="s">
        <v>7846</v>
      </c>
      <c r="O14886" t="s">
        <v>22</v>
      </c>
      <c r="P14886" t="s">
        <v>32039</v>
      </c>
      <c r="Q14886">
        <v>9200</v>
      </c>
      <c r="R14886" t="s">
        <v>23</v>
      </c>
      <c r="S14886" s="1" t="s">
        <v>34218</v>
      </c>
    </row>
    <row r="14887" spans="1:19" x14ac:dyDescent="0.25">
      <c r="A14887">
        <v>101421642</v>
      </c>
      <c r="B14887" t="s">
        <v>2446</v>
      </c>
      <c r="C14887" t="s">
        <v>3058</v>
      </c>
      <c r="G14887" t="s">
        <v>32040</v>
      </c>
      <c r="H14887" t="s">
        <v>625</v>
      </c>
      <c r="I14887" t="s">
        <v>365</v>
      </c>
      <c r="J14887">
        <v>85215</v>
      </c>
      <c r="L14887" t="s">
        <v>23</v>
      </c>
      <c r="M14887" t="s">
        <v>32040</v>
      </c>
      <c r="N14887" t="s">
        <v>625</v>
      </c>
      <c r="O14887" t="s">
        <v>365</v>
      </c>
      <c r="P14887">
        <v>85215</v>
      </c>
      <c r="R14887" t="s">
        <v>23</v>
      </c>
      <c r="S14887" s="1" t="s">
        <v>34218</v>
      </c>
    </row>
    <row r="14888" spans="1:19" x14ac:dyDescent="0.25">
      <c r="A14888">
        <v>101456661</v>
      </c>
      <c r="B14888" t="s">
        <v>32041</v>
      </c>
      <c r="C14888" t="s">
        <v>1120</v>
      </c>
      <c r="G14888" t="s">
        <v>32042</v>
      </c>
      <c r="H14888" t="s">
        <v>2069</v>
      </c>
      <c r="I14888" t="s">
        <v>22</v>
      </c>
      <c r="J14888">
        <v>95472</v>
      </c>
      <c r="K14888">
        <v>4531</v>
      </c>
      <c r="L14888" t="s">
        <v>23</v>
      </c>
      <c r="M14888" t="s">
        <v>32042</v>
      </c>
      <c r="N14888" t="s">
        <v>2069</v>
      </c>
      <c r="O14888" t="s">
        <v>22</v>
      </c>
      <c r="P14888">
        <v>95472</v>
      </c>
      <c r="Q14888">
        <v>4531</v>
      </c>
      <c r="R14888" t="s">
        <v>23</v>
      </c>
      <c r="S14888" s="1" t="s">
        <v>34218</v>
      </c>
    </row>
    <row r="14889" spans="1:19" x14ac:dyDescent="0.25">
      <c r="A14889">
        <v>101254987</v>
      </c>
      <c r="B14889" t="s">
        <v>1339</v>
      </c>
      <c r="C14889" t="s">
        <v>15150</v>
      </c>
      <c r="G14889" t="s">
        <v>32043</v>
      </c>
      <c r="H14889" t="s">
        <v>434</v>
      </c>
      <c r="I14889" t="s">
        <v>22</v>
      </c>
      <c r="J14889">
        <v>92651</v>
      </c>
      <c r="K14889">
        <v>1534</v>
      </c>
      <c r="L14889" t="s">
        <v>23</v>
      </c>
      <c r="M14889" t="s">
        <v>32043</v>
      </c>
      <c r="N14889" t="s">
        <v>434</v>
      </c>
      <c r="O14889" t="s">
        <v>22</v>
      </c>
      <c r="P14889">
        <v>92651</v>
      </c>
      <c r="Q14889">
        <v>1534</v>
      </c>
      <c r="R14889" t="s">
        <v>23</v>
      </c>
      <c r="S14889" s="1" t="s">
        <v>34218</v>
      </c>
    </row>
    <row r="14890" spans="1:19" x14ac:dyDescent="0.25">
      <c r="A14890">
        <v>101476056</v>
      </c>
      <c r="B14890" t="s">
        <v>32044</v>
      </c>
      <c r="C14890" t="s">
        <v>32045</v>
      </c>
      <c r="G14890" t="s">
        <v>32046</v>
      </c>
      <c r="H14890" t="s">
        <v>1439</v>
      </c>
      <c r="I14890" t="s">
        <v>365</v>
      </c>
      <c r="J14890">
        <v>85718</v>
      </c>
      <c r="K14890">
        <v>7606</v>
      </c>
      <c r="L14890" t="s">
        <v>23</v>
      </c>
      <c r="M14890" t="s">
        <v>32046</v>
      </c>
      <c r="N14890" t="s">
        <v>1439</v>
      </c>
      <c r="O14890" t="s">
        <v>365</v>
      </c>
      <c r="P14890">
        <v>85718</v>
      </c>
      <c r="Q14890">
        <v>7606</v>
      </c>
      <c r="R14890" t="s">
        <v>23</v>
      </c>
      <c r="S14890" s="1" t="s">
        <v>34218</v>
      </c>
    </row>
    <row r="14891" spans="1:19" x14ac:dyDescent="0.25">
      <c r="A14891">
        <v>100524904</v>
      </c>
      <c r="B14891" t="s">
        <v>800</v>
      </c>
      <c r="C14891" t="s">
        <v>1327</v>
      </c>
      <c r="G14891" t="s">
        <v>32047</v>
      </c>
      <c r="H14891" t="s">
        <v>1531</v>
      </c>
      <c r="I14891" t="s">
        <v>84</v>
      </c>
      <c r="J14891">
        <v>98107</v>
      </c>
      <c r="L14891" t="s">
        <v>23</v>
      </c>
      <c r="M14891" t="s">
        <v>32047</v>
      </c>
      <c r="N14891" t="s">
        <v>1531</v>
      </c>
      <c r="O14891" t="s">
        <v>84</v>
      </c>
      <c r="P14891">
        <v>98107</v>
      </c>
      <c r="R14891" t="s">
        <v>23</v>
      </c>
      <c r="S14891" s="1" t="s">
        <v>34218</v>
      </c>
    </row>
    <row r="14892" spans="1:19" x14ac:dyDescent="0.25">
      <c r="A14892">
        <v>101418553</v>
      </c>
      <c r="B14892" t="s">
        <v>4662</v>
      </c>
      <c r="C14892" t="s">
        <v>494</v>
      </c>
      <c r="G14892" t="s">
        <v>32048</v>
      </c>
      <c r="H14892" t="s">
        <v>471</v>
      </c>
      <c r="I14892" t="s">
        <v>365</v>
      </c>
      <c r="J14892">
        <v>85255</v>
      </c>
      <c r="K14892">
        <v>3644</v>
      </c>
      <c r="L14892" t="s">
        <v>23</v>
      </c>
      <c r="M14892" t="s">
        <v>32048</v>
      </c>
      <c r="N14892" t="s">
        <v>471</v>
      </c>
      <c r="O14892" t="s">
        <v>365</v>
      </c>
      <c r="P14892">
        <v>85255</v>
      </c>
      <c r="Q14892">
        <v>3644</v>
      </c>
      <c r="R14892" t="s">
        <v>23</v>
      </c>
      <c r="S14892" s="1" t="s">
        <v>34218</v>
      </c>
    </row>
    <row r="14893" spans="1:19" x14ac:dyDescent="0.25">
      <c r="A14893">
        <v>101314701</v>
      </c>
      <c r="B14893" t="s">
        <v>32049</v>
      </c>
      <c r="C14893" t="s">
        <v>32050</v>
      </c>
      <c r="G14893" t="s">
        <v>32051</v>
      </c>
      <c r="H14893" t="s">
        <v>108</v>
      </c>
      <c r="I14893" t="s">
        <v>22</v>
      </c>
      <c r="J14893">
        <v>93003</v>
      </c>
      <c r="K14893">
        <v>2110</v>
      </c>
      <c r="L14893" t="s">
        <v>23</v>
      </c>
      <c r="M14893" t="s">
        <v>32051</v>
      </c>
      <c r="N14893" t="s">
        <v>108</v>
      </c>
      <c r="O14893" t="s">
        <v>22</v>
      </c>
      <c r="P14893">
        <v>93003</v>
      </c>
      <c r="Q14893">
        <v>2110</v>
      </c>
      <c r="R14893" t="s">
        <v>23</v>
      </c>
      <c r="S14893" s="1" t="s">
        <v>34218</v>
      </c>
    </row>
    <row r="14894" spans="1:19" x14ac:dyDescent="0.25">
      <c r="A14894">
        <v>101439102</v>
      </c>
      <c r="B14894" t="s">
        <v>32052</v>
      </c>
      <c r="C14894" t="s">
        <v>216</v>
      </c>
      <c r="G14894" t="s">
        <v>32053</v>
      </c>
      <c r="H14894" t="s">
        <v>6492</v>
      </c>
      <c r="I14894" t="s">
        <v>161</v>
      </c>
      <c r="J14894">
        <v>6903</v>
      </c>
      <c r="K14894">
        <v>1023</v>
      </c>
      <c r="L14894" t="s">
        <v>23</v>
      </c>
      <c r="M14894" t="s">
        <v>32053</v>
      </c>
      <c r="N14894" t="s">
        <v>6492</v>
      </c>
      <c r="O14894" t="s">
        <v>161</v>
      </c>
      <c r="P14894">
        <v>6903</v>
      </c>
      <c r="Q14894">
        <v>1023</v>
      </c>
      <c r="R14894" t="s">
        <v>23</v>
      </c>
      <c r="S14894" s="1" t="s">
        <v>34218</v>
      </c>
    </row>
    <row r="14895" spans="1:19" x14ac:dyDescent="0.25">
      <c r="A14895">
        <v>101318270</v>
      </c>
      <c r="B14895" t="s">
        <v>32054</v>
      </c>
      <c r="C14895" t="s">
        <v>382</v>
      </c>
      <c r="G14895" t="s">
        <v>32055</v>
      </c>
      <c r="H14895" t="s">
        <v>2335</v>
      </c>
      <c r="I14895" t="s">
        <v>22</v>
      </c>
      <c r="J14895">
        <v>92602</v>
      </c>
      <c r="K14895">
        <v>6034</v>
      </c>
      <c r="L14895" t="s">
        <v>23</v>
      </c>
      <c r="M14895" t="s">
        <v>32055</v>
      </c>
      <c r="N14895" t="s">
        <v>2335</v>
      </c>
      <c r="O14895" t="s">
        <v>22</v>
      </c>
      <c r="P14895">
        <v>92602</v>
      </c>
      <c r="Q14895">
        <v>6034</v>
      </c>
      <c r="R14895" t="s">
        <v>23</v>
      </c>
      <c r="S14895" s="1" t="s">
        <v>34218</v>
      </c>
    </row>
    <row r="14896" spans="1:19" x14ac:dyDescent="0.25">
      <c r="A14896">
        <v>101438385</v>
      </c>
      <c r="B14896" t="s">
        <v>32056</v>
      </c>
      <c r="C14896" t="s">
        <v>32057</v>
      </c>
      <c r="G14896" t="s">
        <v>32058</v>
      </c>
      <c r="H14896" t="s">
        <v>1246</v>
      </c>
      <c r="I14896" t="s">
        <v>140</v>
      </c>
      <c r="J14896">
        <v>49503</v>
      </c>
      <c r="K14896">
        <v>5505</v>
      </c>
      <c r="L14896" t="s">
        <v>23</v>
      </c>
      <c r="M14896" t="s">
        <v>32058</v>
      </c>
      <c r="N14896" t="s">
        <v>1246</v>
      </c>
      <c r="O14896" t="s">
        <v>140</v>
      </c>
      <c r="P14896">
        <v>49503</v>
      </c>
      <c r="Q14896">
        <v>5505</v>
      </c>
      <c r="R14896" t="s">
        <v>23</v>
      </c>
      <c r="S14896" s="1" t="s">
        <v>34218</v>
      </c>
    </row>
    <row r="14897" spans="1:19" x14ac:dyDescent="0.25">
      <c r="A14897">
        <v>101418696</v>
      </c>
      <c r="B14897" t="s">
        <v>9807</v>
      </c>
      <c r="C14897" t="s">
        <v>582</v>
      </c>
      <c r="G14897" t="s">
        <v>32059</v>
      </c>
      <c r="H14897" t="s">
        <v>264</v>
      </c>
      <c r="I14897" t="s">
        <v>117</v>
      </c>
      <c r="J14897">
        <v>14850</v>
      </c>
      <c r="K14897">
        <v>9311</v>
      </c>
      <c r="L14897" t="s">
        <v>23</v>
      </c>
      <c r="M14897" t="s">
        <v>32059</v>
      </c>
      <c r="N14897" t="s">
        <v>264</v>
      </c>
      <c r="O14897" t="s">
        <v>117</v>
      </c>
      <c r="P14897">
        <v>14850</v>
      </c>
      <c r="Q14897">
        <v>9311</v>
      </c>
      <c r="R14897" t="s">
        <v>23</v>
      </c>
      <c r="S14897" s="1" t="s">
        <v>34218</v>
      </c>
    </row>
    <row r="14898" spans="1:19" x14ac:dyDescent="0.25">
      <c r="A14898">
        <v>101253871</v>
      </c>
      <c r="B14898" t="s">
        <v>22852</v>
      </c>
      <c r="C14898" t="s">
        <v>32060</v>
      </c>
      <c r="G14898" t="s">
        <v>32061</v>
      </c>
      <c r="H14898" t="s">
        <v>2468</v>
      </c>
      <c r="I14898" t="s">
        <v>22</v>
      </c>
      <c r="J14898">
        <v>92081</v>
      </c>
      <c r="K14898">
        <v>4554</v>
      </c>
      <c r="L14898" t="s">
        <v>23</v>
      </c>
      <c r="M14898" t="s">
        <v>32061</v>
      </c>
      <c r="N14898" t="s">
        <v>2468</v>
      </c>
      <c r="O14898" t="s">
        <v>22</v>
      </c>
      <c r="P14898">
        <v>92081</v>
      </c>
      <c r="Q14898">
        <v>4554</v>
      </c>
      <c r="R14898" t="s">
        <v>23</v>
      </c>
      <c r="S14898" s="1" t="s">
        <v>34218</v>
      </c>
    </row>
    <row r="14899" spans="1:19" x14ac:dyDescent="0.25">
      <c r="A14899">
        <v>101449378</v>
      </c>
      <c r="B14899" t="s">
        <v>744</v>
      </c>
      <c r="C14899" t="s">
        <v>1309</v>
      </c>
      <c r="G14899" t="s">
        <v>32062</v>
      </c>
      <c r="H14899" t="s">
        <v>32063</v>
      </c>
      <c r="I14899" t="s">
        <v>100</v>
      </c>
      <c r="J14899">
        <v>54234</v>
      </c>
      <c r="K14899">
        <v>9360</v>
      </c>
      <c r="L14899" t="s">
        <v>23</v>
      </c>
      <c r="M14899" t="s">
        <v>32062</v>
      </c>
      <c r="N14899" t="s">
        <v>32063</v>
      </c>
      <c r="O14899" t="s">
        <v>100</v>
      </c>
      <c r="P14899">
        <v>54234</v>
      </c>
      <c r="Q14899">
        <v>9360</v>
      </c>
      <c r="R14899" t="s">
        <v>23</v>
      </c>
      <c r="S14899" s="1" t="s">
        <v>34218</v>
      </c>
    </row>
    <row r="14900" spans="1:19" x14ac:dyDescent="0.25">
      <c r="A14900">
        <v>101454627</v>
      </c>
      <c r="B14900" t="s">
        <v>32064</v>
      </c>
      <c r="C14900" t="s">
        <v>2127</v>
      </c>
      <c r="G14900" t="s">
        <v>32065</v>
      </c>
      <c r="H14900" t="s">
        <v>1229</v>
      </c>
      <c r="I14900" t="s">
        <v>38</v>
      </c>
      <c r="J14900">
        <v>78238</v>
      </c>
      <c r="K14900">
        <v>2303</v>
      </c>
      <c r="L14900" t="s">
        <v>23</v>
      </c>
      <c r="M14900" t="s">
        <v>32065</v>
      </c>
      <c r="N14900" t="s">
        <v>1229</v>
      </c>
      <c r="O14900" t="s">
        <v>38</v>
      </c>
      <c r="P14900">
        <v>78238</v>
      </c>
      <c r="Q14900">
        <v>2303</v>
      </c>
      <c r="R14900" t="s">
        <v>23</v>
      </c>
      <c r="S14900" s="1" t="s">
        <v>34218</v>
      </c>
    </row>
    <row r="14901" spans="1:19" x14ac:dyDescent="0.25">
      <c r="A14901">
        <v>101450292</v>
      </c>
      <c r="B14901" t="s">
        <v>15328</v>
      </c>
      <c r="C14901" t="s">
        <v>8730</v>
      </c>
      <c r="G14901" t="s">
        <v>32066</v>
      </c>
      <c r="H14901" t="s">
        <v>17585</v>
      </c>
      <c r="I14901" t="s">
        <v>71</v>
      </c>
      <c r="J14901">
        <v>80126</v>
      </c>
      <c r="K14901">
        <v>5619</v>
      </c>
      <c r="L14901" t="s">
        <v>23</v>
      </c>
      <c r="M14901" t="s">
        <v>32066</v>
      </c>
      <c r="N14901" t="s">
        <v>17585</v>
      </c>
      <c r="O14901" t="s">
        <v>71</v>
      </c>
      <c r="P14901">
        <v>80126</v>
      </c>
      <c r="Q14901">
        <v>5619</v>
      </c>
      <c r="R14901" t="s">
        <v>23</v>
      </c>
      <c r="S14901" s="1" t="s">
        <v>34218</v>
      </c>
    </row>
    <row r="14902" spans="1:19" x14ac:dyDescent="0.25">
      <c r="A14902">
        <v>100531868</v>
      </c>
      <c r="B14902" t="s">
        <v>15312</v>
      </c>
      <c r="C14902" t="s">
        <v>1470</v>
      </c>
      <c r="G14902">
        <v>7</v>
      </c>
      <c r="H14902" t="s">
        <v>88</v>
      </c>
      <c r="I14902" t="s">
        <v>22</v>
      </c>
      <c r="J14902">
        <v>94609</v>
      </c>
      <c r="L14902" t="s">
        <v>23</v>
      </c>
      <c r="M14902">
        <v>7</v>
      </c>
      <c r="N14902" t="s">
        <v>88</v>
      </c>
      <c r="O14902" t="s">
        <v>22</v>
      </c>
      <c r="P14902">
        <v>94609</v>
      </c>
      <c r="R14902" t="s">
        <v>23</v>
      </c>
      <c r="S14902" s="1" t="s">
        <v>34218</v>
      </c>
    </row>
    <row r="14903" spans="1:19" x14ac:dyDescent="0.25">
      <c r="A14903">
        <v>101468326</v>
      </c>
      <c r="B14903" t="s">
        <v>32067</v>
      </c>
      <c r="C14903" t="s">
        <v>32068</v>
      </c>
      <c r="G14903" t="s">
        <v>32069</v>
      </c>
      <c r="H14903" t="s">
        <v>1337</v>
      </c>
      <c r="I14903" t="s">
        <v>71</v>
      </c>
      <c r="J14903">
        <v>81005</v>
      </c>
      <c r="K14903">
        <v>1220</v>
      </c>
      <c r="L14903" t="s">
        <v>23</v>
      </c>
      <c r="M14903" t="s">
        <v>32069</v>
      </c>
      <c r="N14903" t="s">
        <v>1337</v>
      </c>
      <c r="O14903" t="s">
        <v>71</v>
      </c>
      <c r="P14903">
        <v>81005</v>
      </c>
      <c r="Q14903">
        <v>1220</v>
      </c>
      <c r="R14903" t="s">
        <v>23</v>
      </c>
      <c r="S14903" s="1" t="s">
        <v>34218</v>
      </c>
    </row>
    <row r="14904" spans="1:19" x14ac:dyDescent="0.25">
      <c r="A14904">
        <v>101226935</v>
      </c>
      <c r="B14904" t="s">
        <v>28124</v>
      </c>
      <c r="C14904" t="s">
        <v>1298</v>
      </c>
      <c r="G14904" t="s">
        <v>32070</v>
      </c>
      <c r="H14904" t="s">
        <v>3766</v>
      </c>
      <c r="I14904" t="s">
        <v>365</v>
      </c>
      <c r="J14904">
        <v>85286</v>
      </c>
      <c r="K14904">
        <v>236</v>
      </c>
      <c r="L14904" t="s">
        <v>23</v>
      </c>
      <c r="M14904" t="s">
        <v>32070</v>
      </c>
      <c r="N14904" t="s">
        <v>3766</v>
      </c>
      <c r="O14904" t="s">
        <v>365</v>
      </c>
      <c r="P14904">
        <v>85286</v>
      </c>
      <c r="Q14904">
        <v>236</v>
      </c>
      <c r="R14904" t="s">
        <v>23</v>
      </c>
      <c r="S14904" s="1" t="s">
        <v>34218</v>
      </c>
    </row>
    <row r="14905" spans="1:19" x14ac:dyDescent="0.25">
      <c r="A14905">
        <v>101322593</v>
      </c>
      <c r="B14905" t="s">
        <v>32071</v>
      </c>
      <c r="C14905" t="s">
        <v>452</v>
      </c>
      <c r="G14905" t="s">
        <v>32072</v>
      </c>
      <c r="H14905" t="s">
        <v>924</v>
      </c>
      <c r="I14905" t="s">
        <v>135</v>
      </c>
      <c r="J14905">
        <v>60025</v>
      </c>
      <c r="K14905">
        <v>7639</v>
      </c>
      <c r="L14905" t="s">
        <v>23</v>
      </c>
      <c r="M14905" t="s">
        <v>32072</v>
      </c>
      <c r="N14905" t="s">
        <v>924</v>
      </c>
      <c r="O14905" t="s">
        <v>135</v>
      </c>
      <c r="P14905">
        <v>60025</v>
      </c>
      <c r="Q14905">
        <v>7639</v>
      </c>
      <c r="R14905" t="s">
        <v>23</v>
      </c>
      <c r="S14905" s="1" t="s">
        <v>34218</v>
      </c>
    </row>
    <row r="14906" spans="1:19" x14ac:dyDescent="0.25">
      <c r="A14906">
        <v>101470862</v>
      </c>
      <c r="B14906" t="s">
        <v>858</v>
      </c>
      <c r="C14906" t="s">
        <v>193</v>
      </c>
      <c r="G14906" t="s">
        <v>32073</v>
      </c>
      <c r="H14906" t="s">
        <v>16818</v>
      </c>
      <c r="I14906" t="s">
        <v>38</v>
      </c>
      <c r="J14906">
        <v>78613</v>
      </c>
      <c r="K14906">
        <v>3246</v>
      </c>
      <c r="L14906" t="s">
        <v>23</v>
      </c>
      <c r="M14906" t="s">
        <v>32073</v>
      </c>
      <c r="N14906" t="s">
        <v>16818</v>
      </c>
      <c r="O14906" t="s">
        <v>38</v>
      </c>
      <c r="P14906">
        <v>78613</v>
      </c>
      <c r="Q14906">
        <v>3246</v>
      </c>
      <c r="R14906" t="s">
        <v>23</v>
      </c>
      <c r="S14906" s="1" t="s">
        <v>34218</v>
      </c>
    </row>
    <row r="14907" spans="1:19" x14ac:dyDescent="0.25">
      <c r="A14907">
        <v>101470873</v>
      </c>
      <c r="B14907" t="s">
        <v>16453</v>
      </c>
      <c r="C14907" t="s">
        <v>472</v>
      </c>
      <c r="G14907" t="s">
        <v>32074</v>
      </c>
      <c r="H14907" t="s">
        <v>650</v>
      </c>
      <c r="I14907" t="s">
        <v>22</v>
      </c>
      <c r="J14907">
        <v>95864</v>
      </c>
      <c r="K14907">
        <v>2857</v>
      </c>
      <c r="L14907" t="s">
        <v>23</v>
      </c>
      <c r="M14907" t="s">
        <v>32074</v>
      </c>
      <c r="N14907" t="s">
        <v>650</v>
      </c>
      <c r="O14907" t="s">
        <v>22</v>
      </c>
      <c r="P14907">
        <v>95864</v>
      </c>
      <c r="Q14907">
        <v>2857</v>
      </c>
      <c r="R14907" t="s">
        <v>23</v>
      </c>
      <c r="S14907" s="1" t="s">
        <v>34218</v>
      </c>
    </row>
    <row r="14908" spans="1:19" x14ac:dyDescent="0.25">
      <c r="A14908">
        <v>101454949</v>
      </c>
      <c r="B14908" t="s">
        <v>3109</v>
      </c>
      <c r="C14908" t="s">
        <v>209</v>
      </c>
      <c r="G14908" t="s">
        <v>32075</v>
      </c>
      <c r="H14908" t="s">
        <v>30734</v>
      </c>
      <c r="I14908" t="s">
        <v>28</v>
      </c>
      <c r="J14908">
        <v>30739</v>
      </c>
      <c r="K14908">
        <v>2365</v>
      </c>
      <c r="L14908" t="s">
        <v>23</v>
      </c>
      <c r="M14908" t="s">
        <v>32075</v>
      </c>
      <c r="N14908" t="s">
        <v>30734</v>
      </c>
      <c r="O14908" t="s">
        <v>28</v>
      </c>
      <c r="P14908">
        <v>30739</v>
      </c>
      <c r="Q14908">
        <v>2365</v>
      </c>
      <c r="R14908" t="s">
        <v>23</v>
      </c>
      <c r="S14908" s="1" t="s">
        <v>34218</v>
      </c>
    </row>
    <row r="14909" spans="1:19" x14ac:dyDescent="0.25">
      <c r="A14909">
        <v>101042324</v>
      </c>
      <c r="B14909" t="s">
        <v>1536</v>
      </c>
      <c r="C14909" t="s">
        <v>32076</v>
      </c>
      <c r="G14909" t="s">
        <v>32077</v>
      </c>
      <c r="H14909" t="s">
        <v>8982</v>
      </c>
      <c r="I14909" t="s">
        <v>52</v>
      </c>
      <c r="J14909">
        <v>32082</v>
      </c>
      <c r="K14909">
        <v>1319</v>
      </c>
      <c r="L14909" t="s">
        <v>23</v>
      </c>
      <c r="M14909" t="s">
        <v>32077</v>
      </c>
      <c r="N14909" t="s">
        <v>8982</v>
      </c>
      <c r="O14909" t="s">
        <v>52</v>
      </c>
      <c r="P14909">
        <v>32082</v>
      </c>
      <c r="Q14909">
        <v>1319</v>
      </c>
      <c r="R14909" t="s">
        <v>23</v>
      </c>
      <c r="S14909" s="1" t="s">
        <v>34218</v>
      </c>
    </row>
    <row r="14910" spans="1:19" x14ac:dyDescent="0.25">
      <c r="A14910">
        <v>101470897</v>
      </c>
      <c r="B14910" t="s">
        <v>32078</v>
      </c>
      <c r="C14910" t="s">
        <v>7620</v>
      </c>
      <c r="G14910" t="s">
        <v>32079</v>
      </c>
      <c r="H14910" t="s">
        <v>5675</v>
      </c>
      <c r="I14910" t="s">
        <v>33</v>
      </c>
      <c r="J14910">
        <v>16801</v>
      </c>
      <c r="K14910">
        <v>2906</v>
      </c>
      <c r="L14910" t="s">
        <v>23</v>
      </c>
      <c r="M14910" t="s">
        <v>32079</v>
      </c>
      <c r="N14910" t="s">
        <v>5675</v>
      </c>
      <c r="O14910" t="s">
        <v>33</v>
      </c>
      <c r="P14910">
        <v>16801</v>
      </c>
      <c r="Q14910">
        <v>2906</v>
      </c>
      <c r="R14910" t="s">
        <v>23</v>
      </c>
      <c r="S14910" s="1" t="s">
        <v>34218</v>
      </c>
    </row>
    <row r="14911" spans="1:19" x14ac:dyDescent="0.25">
      <c r="A14911">
        <v>100806077</v>
      </c>
      <c r="B14911" t="s">
        <v>23210</v>
      </c>
      <c r="C14911" t="s">
        <v>137</v>
      </c>
      <c r="G14911" t="s">
        <v>32080</v>
      </c>
      <c r="H14911" t="s">
        <v>88</v>
      </c>
      <c r="I14911" t="s">
        <v>22</v>
      </c>
      <c r="J14911">
        <v>94602</v>
      </c>
      <c r="K14911">
        <v>2039</v>
      </c>
      <c r="L14911" t="s">
        <v>23</v>
      </c>
      <c r="M14911" t="s">
        <v>32080</v>
      </c>
      <c r="N14911" t="s">
        <v>88</v>
      </c>
      <c r="O14911" t="s">
        <v>22</v>
      </c>
      <c r="P14911">
        <v>94602</v>
      </c>
      <c r="Q14911">
        <v>2039</v>
      </c>
      <c r="R14911" t="s">
        <v>23</v>
      </c>
      <c r="S14911" s="1" t="s">
        <v>34218</v>
      </c>
    </row>
    <row r="14912" spans="1:19" x14ac:dyDescent="0.25">
      <c r="A14912">
        <v>101304714</v>
      </c>
      <c r="B14912" t="s">
        <v>32081</v>
      </c>
      <c r="C14912" t="s">
        <v>440</v>
      </c>
      <c r="G14912" t="s">
        <v>32082</v>
      </c>
      <c r="H14912" t="s">
        <v>2894</v>
      </c>
      <c r="I14912" t="s">
        <v>178</v>
      </c>
      <c r="J14912">
        <v>43617</v>
      </c>
      <c r="K14912">
        <v>2219</v>
      </c>
      <c r="L14912" t="s">
        <v>23</v>
      </c>
      <c r="M14912" t="s">
        <v>32082</v>
      </c>
      <c r="N14912" t="s">
        <v>2894</v>
      </c>
      <c r="O14912" t="s">
        <v>178</v>
      </c>
      <c r="P14912">
        <v>43617</v>
      </c>
      <c r="Q14912">
        <v>2219</v>
      </c>
      <c r="R14912" t="s">
        <v>23</v>
      </c>
      <c r="S14912" s="1" t="s">
        <v>34218</v>
      </c>
    </row>
    <row r="14913" spans="1:19" x14ac:dyDescent="0.25">
      <c r="A14913">
        <v>100645479</v>
      </c>
      <c r="B14913" t="s">
        <v>4696</v>
      </c>
      <c r="C14913" t="s">
        <v>3951</v>
      </c>
      <c r="F14913" t="str">
        <f>"5853435581"</f>
        <v>5853435581</v>
      </c>
      <c r="G14913" t="s">
        <v>32083</v>
      </c>
      <c r="H14913" t="s">
        <v>3513</v>
      </c>
      <c r="I14913" t="s">
        <v>117</v>
      </c>
      <c r="J14913">
        <v>14143</v>
      </c>
      <c r="K14913">
        <v>9501</v>
      </c>
      <c r="L14913" t="s">
        <v>23</v>
      </c>
      <c r="M14913" t="s">
        <v>32083</v>
      </c>
      <c r="N14913" t="s">
        <v>3513</v>
      </c>
      <c r="O14913" t="s">
        <v>117</v>
      </c>
      <c r="P14913">
        <v>14143</v>
      </c>
      <c r="Q14913">
        <v>9501</v>
      </c>
      <c r="R14913" t="s">
        <v>23</v>
      </c>
      <c r="S14913" s="1" t="s">
        <v>34218</v>
      </c>
    </row>
    <row r="14914" spans="1:19" x14ac:dyDescent="0.25">
      <c r="A14914">
        <v>101470913</v>
      </c>
      <c r="B14914" t="s">
        <v>5404</v>
      </c>
      <c r="C14914" t="s">
        <v>440</v>
      </c>
      <c r="G14914" t="s">
        <v>5405</v>
      </c>
      <c r="H14914" t="s">
        <v>5406</v>
      </c>
      <c r="I14914" t="s">
        <v>52</v>
      </c>
      <c r="J14914">
        <v>34698</v>
      </c>
      <c r="K14914">
        <v>4801</v>
      </c>
      <c r="L14914" t="s">
        <v>23</v>
      </c>
      <c r="M14914" t="s">
        <v>5405</v>
      </c>
      <c r="N14914" t="s">
        <v>5406</v>
      </c>
      <c r="O14914" t="s">
        <v>52</v>
      </c>
      <c r="P14914">
        <v>34698</v>
      </c>
      <c r="Q14914">
        <v>4801</v>
      </c>
      <c r="R14914" t="s">
        <v>23</v>
      </c>
      <c r="S14914" s="1" t="s">
        <v>34218</v>
      </c>
    </row>
    <row r="14915" spans="1:19" x14ac:dyDescent="0.25">
      <c r="A14915">
        <v>101451992</v>
      </c>
      <c r="B14915" t="s">
        <v>29310</v>
      </c>
      <c r="C14915" t="s">
        <v>252</v>
      </c>
      <c r="G14915" t="s">
        <v>29311</v>
      </c>
      <c r="H14915" t="s">
        <v>2640</v>
      </c>
      <c r="I14915" t="s">
        <v>52</v>
      </c>
      <c r="J14915">
        <v>33434</v>
      </c>
      <c r="K14915">
        <v>3079</v>
      </c>
      <c r="L14915" t="s">
        <v>23</v>
      </c>
      <c r="M14915" t="s">
        <v>29311</v>
      </c>
      <c r="N14915" t="s">
        <v>2640</v>
      </c>
      <c r="O14915" t="s">
        <v>52</v>
      </c>
      <c r="P14915">
        <v>33434</v>
      </c>
      <c r="Q14915">
        <v>3079</v>
      </c>
      <c r="R14915" t="s">
        <v>23</v>
      </c>
      <c r="S14915" s="1" t="s">
        <v>34218</v>
      </c>
    </row>
    <row r="14916" spans="1:19" x14ac:dyDescent="0.25">
      <c r="A14916">
        <v>100781199</v>
      </c>
      <c r="B14916" t="s">
        <v>6481</v>
      </c>
      <c r="C14916" t="s">
        <v>167</v>
      </c>
      <c r="G14916" t="s">
        <v>32084</v>
      </c>
      <c r="H14916" t="s">
        <v>412</v>
      </c>
      <c r="I14916" t="s">
        <v>117</v>
      </c>
      <c r="J14916">
        <v>11206</v>
      </c>
      <c r="L14916" t="s">
        <v>23</v>
      </c>
      <c r="M14916" t="s">
        <v>32084</v>
      </c>
      <c r="N14916" t="s">
        <v>412</v>
      </c>
      <c r="O14916" t="s">
        <v>117</v>
      </c>
      <c r="P14916">
        <v>11206</v>
      </c>
      <c r="R14916" t="s">
        <v>23</v>
      </c>
      <c r="S14916" s="1" t="s">
        <v>34218</v>
      </c>
    </row>
    <row r="14917" spans="1:19" x14ac:dyDescent="0.25">
      <c r="A14917">
        <v>101453559</v>
      </c>
      <c r="B14917" t="s">
        <v>32085</v>
      </c>
      <c r="C14917" t="s">
        <v>10704</v>
      </c>
      <c r="G14917" t="s">
        <v>32086</v>
      </c>
      <c r="H14917" t="s">
        <v>25033</v>
      </c>
      <c r="I14917" t="s">
        <v>178</v>
      </c>
      <c r="J14917">
        <v>44833</v>
      </c>
      <c r="K14917">
        <v>1038</v>
      </c>
      <c r="L14917" t="s">
        <v>23</v>
      </c>
      <c r="M14917" t="s">
        <v>32086</v>
      </c>
      <c r="N14917" t="s">
        <v>25033</v>
      </c>
      <c r="O14917" t="s">
        <v>178</v>
      </c>
      <c r="P14917">
        <v>44833</v>
      </c>
      <c r="Q14917">
        <v>1038</v>
      </c>
      <c r="R14917" t="s">
        <v>23</v>
      </c>
      <c r="S14917" s="1" t="s">
        <v>34218</v>
      </c>
    </row>
    <row r="14918" spans="1:19" x14ac:dyDescent="0.25">
      <c r="A14918">
        <v>100515754</v>
      </c>
      <c r="B14918" t="s">
        <v>5783</v>
      </c>
      <c r="C14918" t="s">
        <v>4284</v>
      </c>
      <c r="G14918" t="s">
        <v>32087</v>
      </c>
      <c r="H14918" t="s">
        <v>32088</v>
      </c>
      <c r="I14918" t="s">
        <v>117</v>
      </c>
      <c r="J14918">
        <v>11501</v>
      </c>
      <c r="L14918" t="s">
        <v>23</v>
      </c>
      <c r="M14918" t="s">
        <v>32087</v>
      </c>
      <c r="N14918" t="s">
        <v>32088</v>
      </c>
      <c r="O14918" t="s">
        <v>117</v>
      </c>
      <c r="P14918">
        <v>11501</v>
      </c>
      <c r="R14918" t="s">
        <v>23</v>
      </c>
      <c r="S14918" s="1" t="s">
        <v>34218</v>
      </c>
    </row>
    <row r="14919" spans="1:19" x14ac:dyDescent="0.25">
      <c r="A14919">
        <v>101450313</v>
      </c>
      <c r="B14919" t="s">
        <v>11599</v>
      </c>
      <c r="C14919" t="s">
        <v>208</v>
      </c>
      <c r="G14919" t="s">
        <v>32089</v>
      </c>
      <c r="H14919" t="s">
        <v>4170</v>
      </c>
      <c r="I14919" t="s">
        <v>2537</v>
      </c>
      <c r="J14919">
        <v>72756</v>
      </c>
      <c r="K14919">
        <v>3622</v>
      </c>
      <c r="L14919" t="s">
        <v>23</v>
      </c>
      <c r="M14919" t="s">
        <v>32089</v>
      </c>
      <c r="N14919" t="s">
        <v>4170</v>
      </c>
      <c r="O14919" t="s">
        <v>2537</v>
      </c>
      <c r="P14919">
        <v>72756</v>
      </c>
      <c r="Q14919">
        <v>3622</v>
      </c>
      <c r="R14919" t="s">
        <v>23</v>
      </c>
      <c r="S14919" s="1" t="s">
        <v>34218</v>
      </c>
    </row>
    <row r="14920" spans="1:19" x14ac:dyDescent="0.25">
      <c r="A14920">
        <v>101422700</v>
      </c>
      <c r="B14920" t="s">
        <v>32090</v>
      </c>
      <c r="C14920" t="s">
        <v>2642</v>
      </c>
      <c r="G14920" t="s">
        <v>32091</v>
      </c>
      <c r="H14920" t="s">
        <v>2132</v>
      </c>
      <c r="I14920" t="s">
        <v>43</v>
      </c>
      <c r="J14920">
        <v>97053</v>
      </c>
      <c r="K14920">
        <v>9766</v>
      </c>
      <c r="L14920" t="s">
        <v>23</v>
      </c>
      <c r="M14920" t="s">
        <v>32091</v>
      </c>
      <c r="N14920" t="s">
        <v>2132</v>
      </c>
      <c r="O14920" t="s">
        <v>43</v>
      </c>
      <c r="P14920">
        <v>97053</v>
      </c>
      <c r="Q14920">
        <v>9766</v>
      </c>
      <c r="R14920" t="s">
        <v>23</v>
      </c>
      <c r="S14920" s="1" t="s">
        <v>34218</v>
      </c>
    </row>
    <row r="14921" spans="1:19" x14ac:dyDescent="0.25">
      <c r="A14921">
        <v>101340512</v>
      </c>
      <c r="B14921" t="s">
        <v>9708</v>
      </c>
      <c r="C14921" t="s">
        <v>2127</v>
      </c>
      <c r="G14921" t="s">
        <v>32092</v>
      </c>
      <c r="H14921" t="s">
        <v>19170</v>
      </c>
      <c r="I14921" t="s">
        <v>236</v>
      </c>
      <c r="J14921">
        <v>1921</v>
      </c>
      <c r="K14921">
        <v>2705</v>
      </c>
      <c r="L14921" t="s">
        <v>23</v>
      </c>
      <c r="M14921" t="s">
        <v>32092</v>
      </c>
      <c r="N14921" t="s">
        <v>19170</v>
      </c>
      <c r="O14921" t="s">
        <v>236</v>
      </c>
      <c r="P14921">
        <v>1921</v>
      </c>
      <c r="Q14921">
        <v>2705</v>
      </c>
      <c r="R14921" t="s">
        <v>23</v>
      </c>
      <c r="S14921" s="1" t="s">
        <v>34218</v>
      </c>
    </row>
    <row r="14922" spans="1:19" x14ac:dyDescent="0.25">
      <c r="A14922">
        <v>101232971</v>
      </c>
      <c r="B14922" t="s">
        <v>32093</v>
      </c>
      <c r="C14922" t="s">
        <v>579</v>
      </c>
      <c r="G14922" t="s">
        <v>32094</v>
      </c>
      <c r="H14922" t="s">
        <v>125</v>
      </c>
      <c r="I14922" t="s">
        <v>126</v>
      </c>
      <c r="J14922">
        <v>63141</v>
      </c>
      <c r="K14922">
        <v>6045</v>
      </c>
      <c r="L14922" t="s">
        <v>23</v>
      </c>
      <c r="M14922" t="s">
        <v>32094</v>
      </c>
      <c r="N14922" t="s">
        <v>125</v>
      </c>
      <c r="O14922" t="s">
        <v>126</v>
      </c>
      <c r="P14922">
        <v>63141</v>
      </c>
      <c r="Q14922">
        <v>6045</v>
      </c>
      <c r="R14922" t="s">
        <v>23</v>
      </c>
      <c r="S14922" s="1" t="s">
        <v>34218</v>
      </c>
    </row>
    <row r="14923" spans="1:19" x14ac:dyDescent="0.25">
      <c r="A14923">
        <v>101296407</v>
      </c>
      <c r="B14923" t="s">
        <v>32095</v>
      </c>
      <c r="C14923" t="s">
        <v>699</v>
      </c>
      <c r="G14923" t="s">
        <v>32096</v>
      </c>
      <c r="H14923" t="s">
        <v>5190</v>
      </c>
      <c r="I14923" t="s">
        <v>255</v>
      </c>
      <c r="J14923">
        <v>22032</v>
      </c>
      <c r="K14923">
        <v>3709</v>
      </c>
      <c r="L14923" t="s">
        <v>23</v>
      </c>
      <c r="M14923" t="s">
        <v>32096</v>
      </c>
      <c r="N14923" t="s">
        <v>5190</v>
      </c>
      <c r="O14923" t="s">
        <v>255</v>
      </c>
      <c r="P14923">
        <v>22032</v>
      </c>
      <c r="Q14923">
        <v>3709</v>
      </c>
      <c r="R14923" t="s">
        <v>23</v>
      </c>
      <c r="S14923" s="1" t="s">
        <v>34218</v>
      </c>
    </row>
    <row r="14924" spans="1:19" x14ac:dyDescent="0.25">
      <c r="A14924">
        <v>101471041</v>
      </c>
      <c r="B14924" t="s">
        <v>320</v>
      </c>
      <c r="C14924" t="s">
        <v>846</v>
      </c>
      <c r="G14924" t="s">
        <v>32097</v>
      </c>
      <c r="H14924" t="s">
        <v>13618</v>
      </c>
      <c r="I14924" t="s">
        <v>135</v>
      </c>
      <c r="J14924">
        <v>60467</v>
      </c>
      <c r="K14924">
        <v>7490</v>
      </c>
      <c r="L14924" t="s">
        <v>23</v>
      </c>
      <c r="M14924" t="s">
        <v>32097</v>
      </c>
      <c r="N14924" t="s">
        <v>13618</v>
      </c>
      <c r="O14924" t="s">
        <v>135</v>
      </c>
      <c r="P14924">
        <v>60467</v>
      </c>
      <c r="Q14924">
        <v>7490</v>
      </c>
      <c r="R14924" t="s">
        <v>23</v>
      </c>
      <c r="S14924" s="1" t="s">
        <v>34218</v>
      </c>
    </row>
    <row r="14925" spans="1:19" x14ac:dyDescent="0.25">
      <c r="A14925">
        <v>101242937</v>
      </c>
      <c r="B14925" t="s">
        <v>3482</v>
      </c>
      <c r="C14925" t="s">
        <v>180</v>
      </c>
      <c r="G14925" t="s">
        <v>32098</v>
      </c>
      <c r="H14925" t="s">
        <v>21160</v>
      </c>
      <c r="I14925" t="s">
        <v>22</v>
      </c>
      <c r="J14925">
        <v>92335</v>
      </c>
      <c r="K14925">
        <v>3659</v>
      </c>
      <c r="L14925" t="s">
        <v>23</v>
      </c>
      <c r="M14925" t="s">
        <v>32098</v>
      </c>
      <c r="N14925" t="s">
        <v>21160</v>
      </c>
      <c r="O14925" t="s">
        <v>22</v>
      </c>
      <c r="P14925">
        <v>92335</v>
      </c>
      <c r="Q14925">
        <v>3659</v>
      </c>
      <c r="R14925" t="s">
        <v>23</v>
      </c>
      <c r="S14925" s="1" t="s">
        <v>34218</v>
      </c>
    </row>
    <row r="14926" spans="1:19" x14ac:dyDescent="0.25">
      <c r="A14926">
        <v>101294858</v>
      </c>
      <c r="B14926" t="s">
        <v>6740</v>
      </c>
      <c r="C14926" t="s">
        <v>1065</v>
      </c>
      <c r="F14926" t="str">
        <f>"3048762098"</f>
        <v>3048762098</v>
      </c>
      <c r="G14926" t="s">
        <v>32099</v>
      </c>
      <c r="H14926" t="s">
        <v>32100</v>
      </c>
      <c r="I14926" t="s">
        <v>327</v>
      </c>
      <c r="J14926">
        <v>25443</v>
      </c>
      <c r="K14926">
        <v>1575</v>
      </c>
      <c r="L14926" t="s">
        <v>23</v>
      </c>
      <c r="M14926" t="s">
        <v>32099</v>
      </c>
      <c r="N14926" t="s">
        <v>32100</v>
      </c>
      <c r="O14926" t="s">
        <v>327</v>
      </c>
      <c r="P14926">
        <v>25443</v>
      </c>
      <c r="Q14926">
        <v>1575</v>
      </c>
      <c r="R14926" t="s">
        <v>23</v>
      </c>
      <c r="S14926" s="1" t="s">
        <v>34218</v>
      </c>
    </row>
    <row r="14927" spans="1:19" x14ac:dyDescent="0.25">
      <c r="A14927">
        <v>101482254</v>
      </c>
      <c r="B14927" t="s">
        <v>32101</v>
      </c>
      <c r="C14927" t="s">
        <v>30</v>
      </c>
      <c r="G14927" t="s">
        <v>32102</v>
      </c>
      <c r="H14927" t="s">
        <v>1405</v>
      </c>
      <c r="I14927" t="s">
        <v>187</v>
      </c>
      <c r="J14927">
        <v>55105</v>
      </c>
      <c r="K14927">
        <v>1205</v>
      </c>
      <c r="L14927" t="s">
        <v>23</v>
      </c>
      <c r="M14927" t="s">
        <v>32102</v>
      </c>
      <c r="N14927" t="s">
        <v>1405</v>
      </c>
      <c r="O14927" t="s">
        <v>187</v>
      </c>
      <c r="P14927">
        <v>55105</v>
      </c>
      <c r="Q14927">
        <v>1205</v>
      </c>
      <c r="R14927" t="s">
        <v>23</v>
      </c>
      <c r="S14927" s="1" t="s">
        <v>34218</v>
      </c>
    </row>
    <row r="14928" spans="1:19" x14ac:dyDescent="0.25">
      <c r="A14928">
        <v>101482271</v>
      </c>
      <c r="B14928" t="s">
        <v>3877</v>
      </c>
      <c r="C14928" t="s">
        <v>5274</v>
      </c>
      <c r="G14928" t="s">
        <v>32103</v>
      </c>
      <c r="H14928" t="s">
        <v>32104</v>
      </c>
      <c r="I14928" t="s">
        <v>2566</v>
      </c>
      <c r="J14928">
        <v>16976</v>
      </c>
      <c r="L14928" t="s">
        <v>23</v>
      </c>
      <c r="M14928" t="s">
        <v>32103</v>
      </c>
      <c r="N14928" t="s">
        <v>32104</v>
      </c>
      <c r="O14928" t="s">
        <v>2566</v>
      </c>
      <c r="P14928">
        <v>16976</v>
      </c>
      <c r="R14928" t="s">
        <v>23</v>
      </c>
      <c r="S14928" s="1" t="s">
        <v>34218</v>
      </c>
    </row>
    <row r="14929" spans="1:19" x14ac:dyDescent="0.25">
      <c r="A14929">
        <v>101168346</v>
      </c>
      <c r="B14929" t="s">
        <v>6598</v>
      </c>
      <c r="C14929" t="s">
        <v>286</v>
      </c>
      <c r="F14929" t="str">
        <f>"3604802554"</f>
        <v>3604802554</v>
      </c>
      <c r="G14929" t="s">
        <v>32105</v>
      </c>
      <c r="H14929" t="s">
        <v>6685</v>
      </c>
      <c r="I14929" t="s">
        <v>84</v>
      </c>
      <c r="J14929">
        <v>98592</v>
      </c>
      <c r="K14929">
        <v>9501</v>
      </c>
      <c r="L14929" t="s">
        <v>23</v>
      </c>
      <c r="M14929" t="s">
        <v>32105</v>
      </c>
      <c r="N14929" t="s">
        <v>6685</v>
      </c>
      <c r="O14929" t="s">
        <v>84</v>
      </c>
      <c r="P14929">
        <v>98592</v>
      </c>
      <c r="Q14929">
        <v>9501</v>
      </c>
      <c r="R14929" t="s">
        <v>23</v>
      </c>
      <c r="S14929" s="1" t="s">
        <v>34218</v>
      </c>
    </row>
    <row r="14930" spans="1:19" x14ac:dyDescent="0.25">
      <c r="A14930">
        <v>101427857</v>
      </c>
      <c r="B14930" t="s">
        <v>30420</v>
      </c>
      <c r="C14930" t="s">
        <v>585</v>
      </c>
      <c r="G14930" t="s">
        <v>30421</v>
      </c>
      <c r="H14930" t="s">
        <v>134</v>
      </c>
      <c r="I14930" t="s">
        <v>135</v>
      </c>
      <c r="J14930">
        <v>60660</v>
      </c>
      <c r="K14930">
        <v>1916</v>
      </c>
      <c r="L14930" t="s">
        <v>23</v>
      </c>
      <c r="M14930" t="s">
        <v>30421</v>
      </c>
      <c r="N14930" t="s">
        <v>134</v>
      </c>
      <c r="O14930" t="s">
        <v>135</v>
      </c>
      <c r="P14930">
        <v>60660</v>
      </c>
      <c r="Q14930">
        <v>1916</v>
      </c>
      <c r="R14930" t="s">
        <v>23</v>
      </c>
      <c r="S14930" s="1" t="s">
        <v>34218</v>
      </c>
    </row>
    <row r="14931" spans="1:19" x14ac:dyDescent="0.25">
      <c r="A14931">
        <v>100945224</v>
      </c>
      <c r="B14931" t="s">
        <v>32106</v>
      </c>
      <c r="C14931" t="s">
        <v>4856</v>
      </c>
      <c r="G14931" t="s">
        <v>32107</v>
      </c>
      <c r="H14931" t="s">
        <v>11343</v>
      </c>
      <c r="I14931" t="s">
        <v>117</v>
      </c>
      <c r="J14931" t="s">
        <v>32108</v>
      </c>
      <c r="K14931">
        <v>2830</v>
      </c>
      <c r="L14931" t="s">
        <v>23</v>
      </c>
      <c r="M14931" t="s">
        <v>32107</v>
      </c>
      <c r="N14931" t="s">
        <v>11343</v>
      </c>
      <c r="O14931" t="s">
        <v>117</v>
      </c>
      <c r="P14931" t="s">
        <v>32108</v>
      </c>
      <c r="Q14931">
        <v>2830</v>
      </c>
      <c r="R14931" t="s">
        <v>23</v>
      </c>
      <c r="S14931" s="1" t="s">
        <v>34218</v>
      </c>
    </row>
    <row r="14932" spans="1:19" x14ac:dyDescent="0.25">
      <c r="A14932">
        <v>101227720</v>
      </c>
      <c r="B14932" t="s">
        <v>3541</v>
      </c>
      <c r="C14932" t="s">
        <v>10961</v>
      </c>
      <c r="F14932" t="str">
        <f>"9543408677"</f>
        <v>9543408677</v>
      </c>
      <c r="G14932" t="s">
        <v>32109</v>
      </c>
      <c r="H14932" t="s">
        <v>30351</v>
      </c>
      <c r="I14932" t="s">
        <v>52</v>
      </c>
      <c r="J14932" t="s">
        <v>32110</v>
      </c>
      <c r="K14932">
        <v>6774</v>
      </c>
      <c r="L14932" t="s">
        <v>23</v>
      </c>
      <c r="M14932" t="s">
        <v>32109</v>
      </c>
      <c r="N14932" t="s">
        <v>30351</v>
      </c>
      <c r="O14932" t="s">
        <v>52</v>
      </c>
      <c r="P14932" t="s">
        <v>32110</v>
      </c>
      <c r="Q14932">
        <v>6774</v>
      </c>
      <c r="R14932" t="s">
        <v>23</v>
      </c>
      <c r="S14932" s="1" t="s">
        <v>34218</v>
      </c>
    </row>
    <row r="14933" spans="1:19" x14ac:dyDescent="0.25">
      <c r="A14933">
        <v>101409653</v>
      </c>
      <c r="B14933" t="s">
        <v>32111</v>
      </c>
      <c r="C14933" t="s">
        <v>1153</v>
      </c>
      <c r="G14933" t="s">
        <v>32112</v>
      </c>
      <c r="H14933" t="s">
        <v>1538</v>
      </c>
      <c r="I14933" t="s">
        <v>22</v>
      </c>
      <c r="J14933" t="s">
        <v>32113</v>
      </c>
      <c r="K14933">
        <v>4227</v>
      </c>
      <c r="L14933" t="s">
        <v>23</v>
      </c>
      <c r="M14933" t="s">
        <v>32112</v>
      </c>
      <c r="N14933" t="s">
        <v>1538</v>
      </c>
      <c r="O14933" t="s">
        <v>22</v>
      </c>
      <c r="P14933" t="s">
        <v>32113</v>
      </c>
      <c r="Q14933">
        <v>4227</v>
      </c>
      <c r="R14933" t="s">
        <v>23</v>
      </c>
      <c r="S14933" s="1" t="s">
        <v>34218</v>
      </c>
    </row>
    <row r="14934" spans="1:19" x14ac:dyDescent="0.25">
      <c r="A14934">
        <v>100701402</v>
      </c>
      <c r="B14934" t="s">
        <v>2151</v>
      </c>
      <c r="C14934" t="s">
        <v>689</v>
      </c>
      <c r="G14934" t="s">
        <v>32114</v>
      </c>
      <c r="H14934" t="s">
        <v>1052</v>
      </c>
      <c r="I14934" t="s">
        <v>22</v>
      </c>
      <c r="J14934" t="s">
        <v>32115</v>
      </c>
      <c r="K14934">
        <v>2226</v>
      </c>
      <c r="L14934" t="s">
        <v>23</v>
      </c>
      <c r="M14934" t="s">
        <v>32114</v>
      </c>
      <c r="N14934" t="s">
        <v>1052</v>
      </c>
      <c r="O14934" t="s">
        <v>22</v>
      </c>
      <c r="P14934" t="s">
        <v>32115</v>
      </c>
      <c r="Q14934">
        <v>2226</v>
      </c>
      <c r="R14934" t="s">
        <v>23</v>
      </c>
      <c r="S14934" s="1" t="s">
        <v>34218</v>
      </c>
    </row>
    <row r="14935" spans="1:19" x14ac:dyDescent="0.25">
      <c r="A14935">
        <v>101328153</v>
      </c>
      <c r="B14935" t="s">
        <v>32116</v>
      </c>
      <c r="C14935" t="s">
        <v>32117</v>
      </c>
      <c r="G14935" t="s">
        <v>32118</v>
      </c>
      <c r="H14935" t="s">
        <v>299</v>
      </c>
      <c r="I14935" t="s">
        <v>22</v>
      </c>
      <c r="J14935" t="s">
        <v>32119</v>
      </c>
      <c r="K14935">
        <v>1807</v>
      </c>
      <c r="L14935" t="s">
        <v>23</v>
      </c>
      <c r="M14935" t="s">
        <v>32118</v>
      </c>
      <c r="N14935" t="s">
        <v>299</v>
      </c>
      <c r="O14935" t="s">
        <v>22</v>
      </c>
      <c r="P14935" t="s">
        <v>32119</v>
      </c>
      <c r="Q14935">
        <v>1807</v>
      </c>
      <c r="R14935" t="s">
        <v>23</v>
      </c>
      <c r="S14935" s="1" t="s">
        <v>34218</v>
      </c>
    </row>
    <row r="14936" spans="1:19" x14ac:dyDescent="0.25">
      <c r="A14936">
        <v>101286354</v>
      </c>
      <c r="B14936" t="s">
        <v>308</v>
      </c>
      <c r="C14936" t="s">
        <v>7841</v>
      </c>
      <c r="G14936" t="s">
        <v>32120</v>
      </c>
      <c r="H14936" t="s">
        <v>32121</v>
      </c>
      <c r="I14936" t="s">
        <v>241</v>
      </c>
      <c r="J14936" t="s">
        <v>32122</v>
      </c>
      <c r="K14936">
        <v>8631</v>
      </c>
      <c r="L14936" t="s">
        <v>23</v>
      </c>
      <c r="M14936" t="s">
        <v>32120</v>
      </c>
      <c r="N14936" t="s">
        <v>32121</v>
      </c>
      <c r="O14936" t="s">
        <v>241</v>
      </c>
      <c r="P14936" t="s">
        <v>32122</v>
      </c>
      <c r="Q14936">
        <v>8631</v>
      </c>
      <c r="R14936" t="s">
        <v>23</v>
      </c>
      <c r="S14936" s="1" t="s">
        <v>34218</v>
      </c>
    </row>
    <row r="14937" spans="1:19" x14ac:dyDescent="0.25">
      <c r="A14937">
        <v>101295804</v>
      </c>
      <c r="B14937" t="s">
        <v>32123</v>
      </c>
      <c r="C14937" t="s">
        <v>432</v>
      </c>
      <c r="G14937" t="s">
        <v>32124</v>
      </c>
      <c r="H14937" t="s">
        <v>1553</v>
      </c>
      <c r="I14937" t="s">
        <v>236</v>
      </c>
      <c r="J14937" t="s">
        <v>32125</v>
      </c>
      <c r="K14937">
        <v>1155</v>
      </c>
      <c r="L14937" t="s">
        <v>23</v>
      </c>
      <c r="M14937" t="s">
        <v>32124</v>
      </c>
      <c r="N14937" t="s">
        <v>1553</v>
      </c>
      <c r="O14937" t="s">
        <v>236</v>
      </c>
      <c r="P14937" t="s">
        <v>32125</v>
      </c>
      <c r="Q14937">
        <v>1155</v>
      </c>
      <c r="R14937" t="s">
        <v>23</v>
      </c>
      <c r="S14937" s="1" t="s">
        <v>34218</v>
      </c>
    </row>
    <row r="14938" spans="1:19" x14ac:dyDescent="0.25">
      <c r="A14938">
        <v>101017170</v>
      </c>
      <c r="B14938" t="s">
        <v>6481</v>
      </c>
      <c r="C14938" t="s">
        <v>5420</v>
      </c>
      <c r="G14938" t="s">
        <v>32126</v>
      </c>
      <c r="H14938" t="s">
        <v>1625</v>
      </c>
      <c r="I14938" t="s">
        <v>702</v>
      </c>
      <c r="J14938" t="s">
        <v>32127</v>
      </c>
      <c r="K14938">
        <v>3709</v>
      </c>
      <c r="L14938" t="s">
        <v>23</v>
      </c>
      <c r="M14938" t="s">
        <v>32126</v>
      </c>
      <c r="N14938" t="s">
        <v>1625</v>
      </c>
      <c r="O14938" t="s">
        <v>702</v>
      </c>
      <c r="P14938" t="s">
        <v>32127</v>
      </c>
      <c r="Q14938">
        <v>3709</v>
      </c>
      <c r="R14938" t="s">
        <v>23</v>
      </c>
      <c r="S14938" s="1" t="s">
        <v>34218</v>
      </c>
    </row>
    <row r="14939" spans="1:19" x14ac:dyDescent="0.25">
      <c r="A14939">
        <v>101226094</v>
      </c>
      <c r="B14939" t="s">
        <v>32128</v>
      </c>
      <c r="C14939" t="s">
        <v>2232</v>
      </c>
      <c r="G14939" t="s">
        <v>32129</v>
      </c>
      <c r="H14939" t="s">
        <v>4632</v>
      </c>
      <c r="I14939" t="s">
        <v>178</v>
      </c>
      <c r="J14939" t="s">
        <v>32130</v>
      </c>
      <c r="K14939">
        <v>4583</v>
      </c>
      <c r="L14939" t="s">
        <v>23</v>
      </c>
      <c r="M14939" t="s">
        <v>32129</v>
      </c>
      <c r="N14939" t="s">
        <v>4632</v>
      </c>
      <c r="O14939" t="s">
        <v>178</v>
      </c>
      <c r="P14939" t="s">
        <v>32130</v>
      </c>
      <c r="Q14939">
        <v>4583</v>
      </c>
      <c r="R14939" t="s">
        <v>23</v>
      </c>
      <c r="S14939" s="1" t="s">
        <v>34218</v>
      </c>
    </row>
    <row r="14940" spans="1:19" x14ac:dyDescent="0.25">
      <c r="A14940">
        <v>101444510</v>
      </c>
      <c r="B14940" t="s">
        <v>32131</v>
      </c>
      <c r="C14940" t="s">
        <v>1223</v>
      </c>
      <c r="G14940" t="s">
        <v>32132</v>
      </c>
      <c r="H14940" t="s">
        <v>3236</v>
      </c>
      <c r="I14940" t="s">
        <v>140</v>
      </c>
      <c r="J14940" t="s">
        <v>32133</v>
      </c>
      <c r="K14940">
        <v>7750</v>
      </c>
      <c r="L14940" t="s">
        <v>23</v>
      </c>
      <c r="M14940" t="s">
        <v>32132</v>
      </c>
      <c r="N14940" t="s">
        <v>3236</v>
      </c>
      <c r="O14940" t="s">
        <v>140</v>
      </c>
      <c r="P14940" t="s">
        <v>32133</v>
      </c>
      <c r="Q14940">
        <v>7750</v>
      </c>
      <c r="R14940" t="s">
        <v>23</v>
      </c>
      <c r="S14940" s="1" t="s">
        <v>34218</v>
      </c>
    </row>
    <row r="14941" spans="1:19" x14ac:dyDescent="0.25">
      <c r="A14941">
        <v>101123311</v>
      </c>
      <c r="B14941" t="s">
        <v>32134</v>
      </c>
      <c r="C14941" t="s">
        <v>9820</v>
      </c>
      <c r="G14941" t="s">
        <v>32135</v>
      </c>
      <c r="H14941" t="s">
        <v>32136</v>
      </c>
      <c r="I14941" t="s">
        <v>236</v>
      </c>
      <c r="J14941" t="s">
        <v>32137</v>
      </c>
      <c r="K14941">
        <v>1002</v>
      </c>
      <c r="L14941" t="s">
        <v>23</v>
      </c>
      <c r="M14941" t="s">
        <v>32135</v>
      </c>
      <c r="N14941" t="s">
        <v>32136</v>
      </c>
      <c r="O14941" t="s">
        <v>236</v>
      </c>
      <c r="P14941" t="s">
        <v>32137</v>
      </c>
      <c r="Q14941">
        <v>1002</v>
      </c>
      <c r="R14941" t="s">
        <v>23</v>
      </c>
      <c r="S14941" s="1" t="s">
        <v>34218</v>
      </c>
    </row>
    <row r="14942" spans="1:19" x14ac:dyDescent="0.25">
      <c r="A14942">
        <v>101337437</v>
      </c>
      <c r="B14942" t="s">
        <v>1015</v>
      </c>
      <c r="C14942" t="s">
        <v>803</v>
      </c>
      <c r="G14942" t="s">
        <v>32138</v>
      </c>
      <c r="H14942" t="s">
        <v>32139</v>
      </c>
      <c r="I14942" t="s">
        <v>140</v>
      </c>
      <c r="J14942" t="s">
        <v>32140</v>
      </c>
      <c r="K14942">
        <v>3247</v>
      </c>
      <c r="L14942" t="s">
        <v>23</v>
      </c>
      <c r="M14942" t="s">
        <v>32138</v>
      </c>
      <c r="N14942" t="s">
        <v>32139</v>
      </c>
      <c r="O14942" t="s">
        <v>140</v>
      </c>
      <c r="P14942" t="s">
        <v>32140</v>
      </c>
      <c r="Q14942">
        <v>3247</v>
      </c>
      <c r="R14942" t="s">
        <v>23</v>
      </c>
      <c r="S14942" s="1" t="s">
        <v>34218</v>
      </c>
    </row>
    <row r="14943" spans="1:19" x14ac:dyDescent="0.25">
      <c r="A14943">
        <v>100575542</v>
      </c>
      <c r="B14943" t="s">
        <v>32141</v>
      </c>
      <c r="C14943" t="s">
        <v>13249</v>
      </c>
      <c r="G14943" t="s">
        <v>32142</v>
      </c>
      <c r="H14943" t="s">
        <v>32143</v>
      </c>
      <c r="I14943" t="s">
        <v>140</v>
      </c>
      <c r="J14943" t="s">
        <v>32144</v>
      </c>
      <c r="K14943">
        <v>1278</v>
      </c>
      <c r="L14943" t="s">
        <v>23</v>
      </c>
      <c r="M14943" t="s">
        <v>32142</v>
      </c>
      <c r="N14943" t="s">
        <v>32143</v>
      </c>
      <c r="O14943" t="s">
        <v>140</v>
      </c>
      <c r="P14943" t="s">
        <v>32144</v>
      </c>
      <c r="Q14943">
        <v>1278</v>
      </c>
      <c r="R14943" t="s">
        <v>23</v>
      </c>
      <c r="S14943" s="1" t="s">
        <v>34218</v>
      </c>
    </row>
    <row r="14944" spans="1:19" x14ac:dyDescent="0.25">
      <c r="A14944">
        <v>101358161</v>
      </c>
      <c r="B14944" t="s">
        <v>20766</v>
      </c>
      <c r="C14944" t="s">
        <v>5599</v>
      </c>
      <c r="F14944" t="str">
        <f>"6195012012"</f>
        <v>6195012012</v>
      </c>
      <c r="G14944" t="s">
        <v>4948</v>
      </c>
      <c r="H14944" t="s">
        <v>198</v>
      </c>
      <c r="I14944" t="s">
        <v>22</v>
      </c>
      <c r="J14944">
        <v>92105</v>
      </c>
      <c r="K14944">
        <v>5339</v>
      </c>
      <c r="L14944" t="s">
        <v>23</v>
      </c>
      <c r="M14944" t="s">
        <v>4948</v>
      </c>
      <c r="N14944" t="s">
        <v>198</v>
      </c>
      <c r="O14944" t="s">
        <v>22</v>
      </c>
      <c r="P14944">
        <v>92105</v>
      </c>
      <c r="Q14944">
        <v>5339</v>
      </c>
      <c r="R14944" t="s">
        <v>23</v>
      </c>
      <c r="S14944" s="1" t="s">
        <v>34218</v>
      </c>
    </row>
    <row r="14945" spans="1:19" x14ac:dyDescent="0.25">
      <c r="A14945">
        <v>100738954</v>
      </c>
      <c r="B14945" t="s">
        <v>32145</v>
      </c>
      <c r="C14945" t="s">
        <v>119</v>
      </c>
      <c r="G14945" t="s">
        <v>32146</v>
      </c>
      <c r="H14945" t="s">
        <v>726</v>
      </c>
      <c r="I14945" t="s">
        <v>22</v>
      </c>
      <c r="J14945" t="s">
        <v>32147</v>
      </c>
      <c r="K14945">
        <v>5045</v>
      </c>
      <c r="L14945" t="s">
        <v>23</v>
      </c>
      <c r="M14945" t="s">
        <v>32146</v>
      </c>
      <c r="N14945" t="s">
        <v>726</v>
      </c>
      <c r="O14945" t="s">
        <v>22</v>
      </c>
      <c r="P14945" t="s">
        <v>32147</v>
      </c>
      <c r="Q14945">
        <v>5045</v>
      </c>
      <c r="R14945" t="s">
        <v>23</v>
      </c>
      <c r="S14945" s="1" t="s">
        <v>34218</v>
      </c>
    </row>
    <row r="14946" spans="1:19" x14ac:dyDescent="0.25">
      <c r="A14946">
        <v>101298113</v>
      </c>
      <c r="B14946" t="s">
        <v>32148</v>
      </c>
      <c r="C14946" t="s">
        <v>1027</v>
      </c>
      <c r="G14946" t="s">
        <v>32149</v>
      </c>
      <c r="H14946" t="s">
        <v>16641</v>
      </c>
      <c r="I14946" t="s">
        <v>250</v>
      </c>
      <c r="J14946" t="s">
        <v>32150</v>
      </c>
      <c r="K14946">
        <v>3325</v>
      </c>
      <c r="L14946" t="s">
        <v>23</v>
      </c>
      <c r="M14946" t="s">
        <v>32149</v>
      </c>
      <c r="N14946" t="s">
        <v>16641</v>
      </c>
      <c r="O14946" t="s">
        <v>250</v>
      </c>
      <c r="P14946" t="s">
        <v>32150</v>
      </c>
      <c r="Q14946">
        <v>3325</v>
      </c>
      <c r="R14946" t="s">
        <v>23</v>
      </c>
      <c r="S14946" s="1" t="s">
        <v>34218</v>
      </c>
    </row>
    <row r="14947" spans="1:19" x14ac:dyDescent="0.25">
      <c r="A14947">
        <v>100977870</v>
      </c>
      <c r="B14947" t="s">
        <v>12933</v>
      </c>
      <c r="C14947" t="s">
        <v>1581</v>
      </c>
      <c r="J14947">
        <v>2760</v>
      </c>
      <c r="L14947" t="s">
        <v>32151</v>
      </c>
      <c r="P14947">
        <v>2760</v>
      </c>
      <c r="R14947" t="s">
        <v>32151</v>
      </c>
      <c r="S14947" s="1" t="s">
        <v>34218</v>
      </c>
    </row>
    <row r="14948" spans="1:19" x14ac:dyDescent="0.25">
      <c r="A14948">
        <v>100609615</v>
      </c>
      <c r="B14948" t="s">
        <v>1291</v>
      </c>
      <c r="C14948" t="s">
        <v>286</v>
      </c>
      <c r="G14948" t="s">
        <v>32152</v>
      </c>
      <c r="H14948" t="s">
        <v>1967</v>
      </c>
      <c r="I14948" t="s">
        <v>984</v>
      </c>
      <c r="J14948" t="s">
        <v>32153</v>
      </c>
      <c r="K14948">
        <v>8961</v>
      </c>
      <c r="L14948" t="s">
        <v>23</v>
      </c>
      <c r="M14948" t="s">
        <v>32152</v>
      </c>
      <c r="N14948" t="s">
        <v>1967</v>
      </c>
      <c r="O14948" t="s">
        <v>984</v>
      </c>
      <c r="P14948" t="s">
        <v>32153</v>
      </c>
      <c r="Q14948">
        <v>8961</v>
      </c>
      <c r="R14948" t="s">
        <v>23</v>
      </c>
      <c r="S14948" s="1" t="s">
        <v>34218</v>
      </c>
    </row>
    <row r="14949" spans="1:19" x14ac:dyDescent="0.25">
      <c r="A14949">
        <v>101124892</v>
      </c>
      <c r="B14949" t="s">
        <v>32154</v>
      </c>
      <c r="C14949" t="s">
        <v>30</v>
      </c>
      <c r="F14949" t="str">
        <f>"9196998050"</f>
        <v>9196998050</v>
      </c>
      <c r="G14949" t="s">
        <v>32155</v>
      </c>
      <c r="H14949" t="s">
        <v>2046</v>
      </c>
      <c r="I14949" t="s">
        <v>446</v>
      </c>
      <c r="J14949" t="s">
        <v>32156</v>
      </c>
      <c r="K14949">
        <v>1564</v>
      </c>
      <c r="L14949" t="s">
        <v>23</v>
      </c>
      <c r="M14949" t="s">
        <v>32155</v>
      </c>
      <c r="N14949" t="s">
        <v>2046</v>
      </c>
      <c r="O14949" t="s">
        <v>446</v>
      </c>
      <c r="P14949" t="s">
        <v>32156</v>
      </c>
      <c r="Q14949">
        <v>1564</v>
      </c>
      <c r="R14949" t="s">
        <v>23</v>
      </c>
      <c r="S14949" s="1" t="s">
        <v>34218</v>
      </c>
    </row>
    <row r="14950" spans="1:19" x14ac:dyDescent="0.25">
      <c r="A14950">
        <v>101429831</v>
      </c>
      <c r="B14950" t="s">
        <v>32157</v>
      </c>
      <c r="C14950" t="s">
        <v>1873</v>
      </c>
      <c r="G14950" t="s">
        <v>32158</v>
      </c>
      <c r="H14950" t="s">
        <v>32159</v>
      </c>
      <c r="I14950" t="s">
        <v>126</v>
      </c>
      <c r="J14950" t="s">
        <v>32160</v>
      </c>
      <c r="K14950">
        <v>4829</v>
      </c>
      <c r="L14950" t="s">
        <v>23</v>
      </c>
      <c r="M14950" t="s">
        <v>32158</v>
      </c>
      <c r="N14950" t="s">
        <v>32159</v>
      </c>
      <c r="O14950" t="s">
        <v>126</v>
      </c>
      <c r="P14950" t="s">
        <v>32160</v>
      </c>
      <c r="Q14950">
        <v>4829</v>
      </c>
      <c r="R14950" t="s">
        <v>23</v>
      </c>
      <c r="S14950" s="1" t="s">
        <v>34218</v>
      </c>
    </row>
    <row r="14951" spans="1:19" x14ac:dyDescent="0.25">
      <c r="A14951">
        <v>101439521</v>
      </c>
      <c r="B14951" t="s">
        <v>5713</v>
      </c>
      <c r="C14951" t="s">
        <v>369</v>
      </c>
      <c r="G14951" t="s">
        <v>32161</v>
      </c>
      <c r="H14951" t="s">
        <v>130</v>
      </c>
      <c r="I14951" t="s">
        <v>22</v>
      </c>
      <c r="J14951" t="s">
        <v>32162</v>
      </c>
      <c r="K14951">
        <v>3206</v>
      </c>
      <c r="L14951" t="s">
        <v>23</v>
      </c>
      <c r="M14951" t="s">
        <v>32161</v>
      </c>
      <c r="N14951" t="s">
        <v>130</v>
      </c>
      <c r="O14951" t="s">
        <v>22</v>
      </c>
      <c r="P14951" t="s">
        <v>32162</v>
      </c>
      <c r="Q14951">
        <v>3206</v>
      </c>
      <c r="R14951" t="s">
        <v>23</v>
      </c>
      <c r="S14951" s="1" t="s">
        <v>34218</v>
      </c>
    </row>
    <row r="14952" spans="1:19" x14ac:dyDescent="0.25">
      <c r="A14952">
        <v>101423486</v>
      </c>
      <c r="B14952" t="s">
        <v>3608</v>
      </c>
      <c r="C14952" t="s">
        <v>1793</v>
      </c>
      <c r="G14952" t="s">
        <v>32163</v>
      </c>
      <c r="H14952" t="s">
        <v>10093</v>
      </c>
      <c r="I14952" t="s">
        <v>84</v>
      </c>
      <c r="J14952" t="s">
        <v>32164</v>
      </c>
      <c r="K14952">
        <v>8183</v>
      </c>
      <c r="L14952" t="s">
        <v>23</v>
      </c>
      <c r="M14952" t="s">
        <v>32163</v>
      </c>
      <c r="N14952" t="s">
        <v>10093</v>
      </c>
      <c r="O14952" t="s">
        <v>84</v>
      </c>
      <c r="P14952" t="s">
        <v>32164</v>
      </c>
      <c r="Q14952">
        <v>8183</v>
      </c>
      <c r="R14952" t="s">
        <v>23</v>
      </c>
      <c r="S14952" s="1" t="s">
        <v>34218</v>
      </c>
    </row>
    <row r="14953" spans="1:19" x14ac:dyDescent="0.25">
      <c r="A14953">
        <v>101231003</v>
      </c>
      <c r="B14953" t="s">
        <v>32165</v>
      </c>
      <c r="C14953" t="s">
        <v>102</v>
      </c>
      <c r="G14953" t="s">
        <v>32166</v>
      </c>
      <c r="H14953" t="s">
        <v>32167</v>
      </c>
      <c r="I14953" t="s">
        <v>52</v>
      </c>
      <c r="J14953" t="s">
        <v>32168</v>
      </c>
      <c r="K14953">
        <v>6197</v>
      </c>
      <c r="L14953" t="s">
        <v>23</v>
      </c>
      <c r="M14953" t="s">
        <v>32166</v>
      </c>
      <c r="N14953" t="s">
        <v>32167</v>
      </c>
      <c r="O14953" t="s">
        <v>52</v>
      </c>
      <c r="P14953" t="s">
        <v>32168</v>
      </c>
      <c r="Q14953">
        <v>6197</v>
      </c>
      <c r="R14953" t="s">
        <v>23</v>
      </c>
      <c r="S14953" s="1" t="s">
        <v>34218</v>
      </c>
    </row>
    <row r="14954" spans="1:19" x14ac:dyDescent="0.25">
      <c r="A14954">
        <v>101423272</v>
      </c>
      <c r="B14954" t="s">
        <v>32169</v>
      </c>
      <c r="C14954" t="s">
        <v>286</v>
      </c>
      <c r="G14954" t="s">
        <v>32170</v>
      </c>
      <c r="H14954" t="s">
        <v>1563</v>
      </c>
      <c r="I14954" t="s">
        <v>33</v>
      </c>
      <c r="J14954" t="s">
        <v>32171</v>
      </c>
      <c r="K14954">
        <v>2139</v>
      </c>
      <c r="L14954" t="s">
        <v>23</v>
      </c>
      <c r="M14954" t="s">
        <v>32170</v>
      </c>
      <c r="N14954" t="s">
        <v>1563</v>
      </c>
      <c r="O14954" t="s">
        <v>33</v>
      </c>
      <c r="P14954" t="s">
        <v>32171</v>
      </c>
      <c r="Q14954">
        <v>2139</v>
      </c>
      <c r="R14954" t="s">
        <v>23</v>
      </c>
      <c r="S14954" s="1" t="s">
        <v>34218</v>
      </c>
    </row>
    <row r="14955" spans="1:19" x14ac:dyDescent="0.25">
      <c r="A14955">
        <v>101428747</v>
      </c>
      <c r="B14955" t="s">
        <v>3650</v>
      </c>
      <c r="C14955" t="s">
        <v>9185</v>
      </c>
      <c r="G14955" t="s">
        <v>32172</v>
      </c>
      <c r="H14955" t="s">
        <v>707</v>
      </c>
      <c r="I14955" t="s">
        <v>332</v>
      </c>
      <c r="J14955" t="s">
        <v>32173</v>
      </c>
      <c r="K14955">
        <v>273</v>
      </c>
      <c r="L14955" t="s">
        <v>23</v>
      </c>
      <c r="M14955" t="s">
        <v>32172</v>
      </c>
      <c r="N14955" t="s">
        <v>707</v>
      </c>
      <c r="O14955" t="s">
        <v>332</v>
      </c>
      <c r="P14955" t="s">
        <v>32173</v>
      </c>
      <c r="Q14955">
        <v>273</v>
      </c>
      <c r="R14955" t="s">
        <v>23</v>
      </c>
      <c r="S14955" s="1" t="s">
        <v>34218</v>
      </c>
    </row>
    <row r="14956" spans="1:19" x14ac:dyDescent="0.25">
      <c r="A14956">
        <v>101424692</v>
      </c>
      <c r="B14956" t="s">
        <v>2457</v>
      </c>
      <c r="C14956" t="s">
        <v>2427</v>
      </c>
      <c r="G14956" t="s">
        <v>32174</v>
      </c>
      <c r="H14956" t="s">
        <v>5998</v>
      </c>
      <c r="I14956" t="s">
        <v>914</v>
      </c>
      <c r="J14956" t="s">
        <v>32175</v>
      </c>
      <c r="K14956">
        <v>2744</v>
      </c>
      <c r="L14956" t="s">
        <v>23</v>
      </c>
      <c r="M14956" t="s">
        <v>32174</v>
      </c>
      <c r="N14956" t="s">
        <v>5998</v>
      </c>
      <c r="O14956" t="s">
        <v>914</v>
      </c>
      <c r="P14956" t="s">
        <v>32175</v>
      </c>
      <c r="Q14956">
        <v>2744</v>
      </c>
      <c r="R14956" t="s">
        <v>23</v>
      </c>
      <c r="S14956" s="1" t="s">
        <v>34218</v>
      </c>
    </row>
    <row r="14957" spans="1:19" x14ac:dyDescent="0.25">
      <c r="A14957">
        <v>101232641</v>
      </c>
      <c r="B14957" t="s">
        <v>7215</v>
      </c>
      <c r="C14957" t="s">
        <v>32176</v>
      </c>
      <c r="G14957" t="s">
        <v>32177</v>
      </c>
      <c r="H14957" t="s">
        <v>32178</v>
      </c>
      <c r="I14957" t="s">
        <v>100</v>
      </c>
      <c r="J14957" t="s">
        <v>32179</v>
      </c>
      <c r="K14957">
        <v>4525</v>
      </c>
      <c r="L14957" t="s">
        <v>23</v>
      </c>
      <c r="M14957" t="s">
        <v>32177</v>
      </c>
      <c r="N14957" t="s">
        <v>32178</v>
      </c>
      <c r="O14957" t="s">
        <v>100</v>
      </c>
      <c r="P14957" t="s">
        <v>32179</v>
      </c>
      <c r="Q14957">
        <v>4525</v>
      </c>
      <c r="R14957" t="s">
        <v>23</v>
      </c>
      <c r="S14957" s="1" t="s">
        <v>34218</v>
      </c>
    </row>
    <row r="14958" spans="1:19" x14ac:dyDescent="0.25">
      <c r="A14958">
        <v>101351040</v>
      </c>
      <c r="B14958" t="s">
        <v>30459</v>
      </c>
      <c r="C14958" t="s">
        <v>10704</v>
      </c>
      <c r="G14958" t="s">
        <v>32180</v>
      </c>
      <c r="H14958" t="s">
        <v>4819</v>
      </c>
      <c r="I14958" t="s">
        <v>135</v>
      </c>
      <c r="J14958" t="s">
        <v>32181</v>
      </c>
      <c r="K14958">
        <v>1658</v>
      </c>
      <c r="L14958" t="s">
        <v>23</v>
      </c>
      <c r="M14958" t="s">
        <v>32180</v>
      </c>
      <c r="N14958" t="s">
        <v>4819</v>
      </c>
      <c r="O14958" t="s">
        <v>135</v>
      </c>
      <c r="P14958" t="s">
        <v>32181</v>
      </c>
      <c r="Q14958">
        <v>1658</v>
      </c>
      <c r="R14958" t="s">
        <v>23</v>
      </c>
      <c r="S14958" s="1" t="s">
        <v>34218</v>
      </c>
    </row>
    <row r="14959" spans="1:19" x14ac:dyDescent="0.25">
      <c r="A14959">
        <v>101431242</v>
      </c>
      <c r="B14959" t="s">
        <v>32182</v>
      </c>
      <c r="C14959" t="s">
        <v>1027</v>
      </c>
      <c r="G14959" t="s">
        <v>32183</v>
      </c>
      <c r="H14959" t="s">
        <v>1452</v>
      </c>
      <c r="I14959" t="s">
        <v>43</v>
      </c>
      <c r="J14959" t="s">
        <v>32184</v>
      </c>
      <c r="K14959">
        <v>2578</v>
      </c>
      <c r="L14959" t="s">
        <v>23</v>
      </c>
      <c r="M14959" t="s">
        <v>32183</v>
      </c>
      <c r="N14959" t="s">
        <v>1452</v>
      </c>
      <c r="O14959" t="s">
        <v>43</v>
      </c>
      <c r="P14959" t="s">
        <v>32184</v>
      </c>
      <c r="Q14959">
        <v>2578</v>
      </c>
      <c r="R14959" t="s">
        <v>23</v>
      </c>
      <c r="S14959" s="1" t="s">
        <v>34218</v>
      </c>
    </row>
    <row r="14960" spans="1:19" x14ac:dyDescent="0.25">
      <c r="A14960">
        <v>101424295</v>
      </c>
      <c r="B14960" t="s">
        <v>1889</v>
      </c>
      <c r="C14960" t="s">
        <v>12709</v>
      </c>
      <c r="G14960" t="s">
        <v>32185</v>
      </c>
      <c r="H14960" t="s">
        <v>3794</v>
      </c>
      <c r="I14960" t="s">
        <v>22</v>
      </c>
      <c r="J14960" t="s">
        <v>32186</v>
      </c>
      <c r="K14960">
        <v>3669</v>
      </c>
      <c r="L14960" t="s">
        <v>23</v>
      </c>
      <c r="M14960" t="s">
        <v>32185</v>
      </c>
      <c r="N14960" t="s">
        <v>3794</v>
      </c>
      <c r="O14960" t="s">
        <v>22</v>
      </c>
      <c r="P14960" t="s">
        <v>32186</v>
      </c>
      <c r="Q14960">
        <v>3669</v>
      </c>
      <c r="R14960" t="s">
        <v>23</v>
      </c>
      <c r="S14960" s="1" t="s">
        <v>34218</v>
      </c>
    </row>
    <row r="14961" spans="1:19" x14ac:dyDescent="0.25">
      <c r="A14961">
        <v>101442608</v>
      </c>
      <c r="B14961" t="s">
        <v>32187</v>
      </c>
      <c r="C14961" t="s">
        <v>123</v>
      </c>
      <c r="G14961" t="s">
        <v>32188</v>
      </c>
      <c r="H14961" t="s">
        <v>32189</v>
      </c>
      <c r="I14961" t="s">
        <v>639</v>
      </c>
      <c r="J14961" t="s">
        <v>32190</v>
      </c>
      <c r="K14961">
        <v>1243</v>
      </c>
      <c r="L14961" t="s">
        <v>23</v>
      </c>
      <c r="M14961" t="s">
        <v>32188</v>
      </c>
      <c r="N14961" t="s">
        <v>32189</v>
      </c>
      <c r="O14961" t="s">
        <v>639</v>
      </c>
      <c r="P14961" t="s">
        <v>32190</v>
      </c>
      <c r="Q14961">
        <v>1243</v>
      </c>
      <c r="R14961" t="s">
        <v>23</v>
      </c>
      <c r="S14961" s="1" t="s">
        <v>34218</v>
      </c>
    </row>
    <row r="14962" spans="1:19" x14ac:dyDescent="0.25">
      <c r="A14962">
        <v>101423976</v>
      </c>
      <c r="B14962" t="s">
        <v>27193</v>
      </c>
      <c r="C14962" t="s">
        <v>32191</v>
      </c>
      <c r="G14962" t="s">
        <v>32192</v>
      </c>
      <c r="H14962" t="s">
        <v>1531</v>
      </c>
      <c r="I14962" t="s">
        <v>84</v>
      </c>
      <c r="J14962" t="s">
        <v>32193</v>
      </c>
      <c r="K14962">
        <v>6127</v>
      </c>
      <c r="L14962" t="s">
        <v>23</v>
      </c>
      <c r="M14962" t="s">
        <v>32192</v>
      </c>
      <c r="N14962" t="s">
        <v>1531</v>
      </c>
      <c r="O14962" t="s">
        <v>84</v>
      </c>
      <c r="P14962" t="s">
        <v>32193</v>
      </c>
      <c r="Q14962">
        <v>6127</v>
      </c>
      <c r="R14962" t="s">
        <v>23</v>
      </c>
      <c r="S14962" s="1" t="s">
        <v>34218</v>
      </c>
    </row>
    <row r="14963" spans="1:19" x14ac:dyDescent="0.25">
      <c r="A14963">
        <v>101437022</v>
      </c>
      <c r="B14963" t="s">
        <v>3696</v>
      </c>
      <c r="C14963" t="s">
        <v>1161</v>
      </c>
      <c r="G14963" t="s">
        <v>32194</v>
      </c>
      <c r="H14963" t="s">
        <v>21950</v>
      </c>
      <c r="I14963" t="s">
        <v>135</v>
      </c>
      <c r="J14963" t="s">
        <v>32195</v>
      </c>
      <c r="K14963">
        <v>3757</v>
      </c>
      <c r="L14963" t="s">
        <v>23</v>
      </c>
      <c r="M14963" t="s">
        <v>32194</v>
      </c>
      <c r="N14963" t="s">
        <v>21950</v>
      </c>
      <c r="O14963" t="s">
        <v>135</v>
      </c>
      <c r="P14963" t="s">
        <v>32195</v>
      </c>
      <c r="Q14963">
        <v>3757</v>
      </c>
      <c r="R14963" t="s">
        <v>23</v>
      </c>
      <c r="S14963" s="1" t="s">
        <v>34218</v>
      </c>
    </row>
    <row r="14964" spans="1:19" x14ac:dyDescent="0.25">
      <c r="A14964">
        <v>101234616</v>
      </c>
      <c r="B14964" t="s">
        <v>32196</v>
      </c>
      <c r="C14964" t="s">
        <v>2518</v>
      </c>
      <c r="G14964" t="s">
        <v>32197</v>
      </c>
      <c r="H14964" t="s">
        <v>1538</v>
      </c>
      <c r="I14964" t="s">
        <v>22</v>
      </c>
      <c r="J14964" t="s">
        <v>32198</v>
      </c>
      <c r="K14964">
        <v>3493</v>
      </c>
      <c r="L14964" t="s">
        <v>23</v>
      </c>
      <c r="M14964" t="s">
        <v>32197</v>
      </c>
      <c r="N14964" t="s">
        <v>1538</v>
      </c>
      <c r="O14964" t="s">
        <v>22</v>
      </c>
      <c r="P14964" t="s">
        <v>32198</v>
      </c>
      <c r="Q14964">
        <v>3493</v>
      </c>
      <c r="R14964" t="s">
        <v>23</v>
      </c>
      <c r="S14964" s="1" t="s">
        <v>34218</v>
      </c>
    </row>
    <row r="14965" spans="1:19" x14ac:dyDescent="0.25">
      <c r="A14965">
        <v>101428234</v>
      </c>
      <c r="B14965" t="s">
        <v>30766</v>
      </c>
      <c r="C14965" t="s">
        <v>305</v>
      </c>
      <c r="G14965" t="s">
        <v>32199</v>
      </c>
      <c r="H14965" t="s">
        <v>32200</v>
      </c>
      <c r="I14965" t="s">
        <v>117</v>
      </c>
      <c r="J14965" t="s">
        <v>32201</v>
      </c>
      <c r="K14965">
        <v>1231</v>
      </c>
      <c r="L14965" t="s">
        <v>23</v>
      </c>
      <c r="M14965" t="s">
        <v>32199</v>
      </c>
      <c r="N14965" t="s">
        <v>32200</v>
      </c>
      <c r="O14965" t="s">
        <v>117</v>
      </c>
      <c r="P14965" t="s">
        <v>32201</v>
      </c>
      <c r="Q14965">
        <v>1231</v>
      </c>
      <c r="R14965" t="s">
        <v>23</v>
      </c>
      <c r="S14965" s="1" t="s">
        <v>34218</v>
      </c>
    </row>
    <row r="14966" spans="1:19" x14ac:dyDescent="0.25">
      <c r="A14966">
        <v>101431164</v>
      </c>
      <c r="B14966" t="s">
        <v>32202</v>
      </c>
      <c r="C14966" t="s">
        <v>522</v>
      </c>
      <c r="G14966" t="s">
        <v>32203</v>
      </c>
      <c r="H14966" t="s">
        <v>2552</v>
      </c>
      <c r="I14966" t="s">
        <v>52</v>
      </c>
      <c r="J14966" t="s">
        <v>32204</v>
      </c>
      <c r="K14966">
        <v>5264</v>
      </c>
      <c r="L14966" t="s">
        <v>23</v>
      </c>
      <c r="M14966" t="s">
        <v>32203</v>
      </c>
      <c r="N14966" t="s">
        <v>2552</v>
      </c>
      <c r="O14966" t="s">
        <v>52</v>
      </c>
      <c r="P14966" t="s">
        <v>32204</v>
      </c>
      <c r="Q14966">
        <v>5264</v>
      </c>
      <c r="R14966" t="s">
        <v>23</v>
      </c>
      <c r="S14966" s="1" t="s">
        <v>34218</v>
      </c>
    </row>
    <row r="14967" spans="1:19" x14ac:dyDescent="0.25">
      <c r="A14967">
        <v>101430856</v>
      </c>
      <c r="B14967" t="s">
        <v>17851</v>
      </c>
      <c r="C14967" t="s">
        <v>32205</v>
      </c>
      <c r="G14967" t="s">
        <v>32206</v>
      </c>
      <c r="H14967" t="s">
        <v>682</v>
      </c>
      <c r="I14967" t="s">
        <v>365</v>
      </c>
      <c r="J14967" t="s">
        <v>32207</v>
      </c>
      <c r="K14967">
        <v>2817</v>
      </c>
      <c r="L14967" t="s">
        <v>23</v>
      </c>
      <c r="M14967" t="s">
        <v>32206</v>
      </c>
      <c r="N14967" t="s">
        <v>682</v>
      </c>
      <c r="O14967" t="s">
        <v>365</v>
      </c>
      <c r="P14967" t="s">
        <v>32207</v>
      </c>
      <c r="Q14967">
        <v>2817</v>
      </c>
      <c r="R14967" t="s">
        <v>23</v>
      </c>
      <c r="S14967" s="1" t="s">
        <v>34218</v>
      </c>
    </row>
    <row r="14968" spans="1:19" x14ac:dyDescent="0.25">
      <c r="A14968">
        <v>100640087</v>
      </c>
      <c r="B14968" t="s">
        <v>2151</v>
      </c>
      <c r="C14968" t="s">
        <v>1873</v>
      </c>
      <c r="H14968" t="s">
        <v>11072</v>
      </c>
      <c r="J14968">
        <v>75077</v>
      </c>
      <c r="L14968" t="s">
        <v>22</v>
      </c>
      <c r="N14968" t="s">
        <v>11072</v>
      </c>
      <c r="P14968">
        <v>75077</v>
      </c>
      <c r="R14968" t="s">
        <v>22</v>
      </c>
      <c r="S14968" s="1" t="s">
        <v>34218</v>
      </c>
    </row>
    <row r="14969" spans="1:19" x14ac:dyDescent="0.25">
      <c r="A14969">
        <v>101454283</v>
      </c>
      <c r="B14969" t="s">
        <v>32208</v>
      </c>
      <c r="C14969" t="s">
        <v>32209</v>
      </c>
      <c r="G14969" t="s">
        <v>32210</v>
      </c>
      <c r="H14969" t="s">
        <v>458</v>
      </c>
      <c r="I14969" t="s">
        <v>43</v>
      </c>
      <c r="J14969">
        <v>97527</v>
      </c>
      <c r="L14969" t="s">
        <v>23</v>
      </c>
      <c r="M14969" t="s">
        <v>32210</v>
      </c>
      <c r="N14969" t="s">
        <v>458</v>
      </c>
      <c r="O14969" t="s">
        <v>43</v>
      </c>
      <c r="P14969">
        <v>97527</v>
      </c>
      <c r="R14969" t="s">
        <v>23</v>
      </c>
      <c r="S14969" s="1" t="s">
        <v>34218</v>
      </c>
    </row>
    <row r="14970" spans="1:19" x14ac:dyDescent="0.25">
      <c r="A14970">
        <v>101436513</v>
      </c>
      <c r="B14970" t="s">
        <v>32211</v>
      </c>
      <c r="C14970" t="s">
        <v>32212</v>
      </c>
      <c r="G14970" t="s">
        <v>32213</v>
      </c>
      <c r="H14970" t="s">
        <v>19405</v>
      </c>
      <c r="I14970" t="s">
        <v>33</v>
      </c>
      <c r="J14970" t="s">
        <v>32214</v>
      </c>
      <c r="K14970">
        <v>2670</v>
      </c>
      <c r="L14970" t="s">
        <v>23</v>
      </c>
      <c r="M14970" t="s">
        <v>32213</v>
      </c>
      <c r="N14970" t="s">
        <v>19405</v>
      </c>
      <c r="O14970" t="s">
        <v>33</v>
      </c>
      <c r="P14970" t="s">
        <v>32214</v>
      </c>
      <c r="Q14970">
        <v>2670</v>
      </c>
      <c r="R14970" t="s">
        <v>23</v>
      </c>
      <c r="S14970" s="1" t="s">
        <v>34218</v>
      </c>
    </row>
    <row r="14971" spans="1:19" x14ac:dyDescent="0.25">
      <c r="A14971">
        <v>101285634</v>
      </c>
      <c r="B14971" t="s">
        <v>12452</v>
      </c>
      <c r="C14971" t="s">
        <v>9858</v>
      </c>
      <c r="G14971" t="s">
        <v>32215</v>
      </c>
      <c r="H14971" t="s">
        <v>608</v>
      </c>
      <c r="I14971" t="s">
        <v>22</v>
      </c>
      <c r="J14971" t="s">
        <v>32216</v>
      </c>
      <c r="K14971">
        <v>6274</v>
      </c>
      <c r="L14971" t="s">
        <v>23</v>
      </c>
      <c r="M14971" t="s">
        <v>32215</v>
      </c>
      <c r="N14971" t="s">
        <v>608</v>
      </c>
      <c r="O14971" t="s">
        <v>22</v>
      </c>
      <c r="P14971" t="s">
        <v>32216</v>
      </c>
      <c r="Q14971">
        <v>6274</v>
      </c>
      <c r="R14971" t="s">
        <v>23</v>
      </c>
      <c r="S14971" s="1" t="s">
        <v>34218</v>
      </c>
    </row>
    <row r="14972" spans="1:19" x14ac:dyDescent="0.25">
      <c r="A14972">
        <v>101431201</v>
      </c>
      <c r="B14972" t="s">
        <v>32217</v>
      </c>
      <c r="C14972" t="s">
        <v>1671</v>
      </c>
      <c r="G14972" t="s">
        <v>32218</v>
      </c>
      <c r="H14972" t="s">
        <v>299</v>
      </c>
      <c r="I14972" t="s">
        <v>22</v>
      </c>
      <c r="J14972" t="s">
        <v>32219</v>
      </c>
      <c r="K14972">
        <v>3425</v>
      </c>
      <c r="L14972" t="s">
        <v>23</v>
      </c>
      <c r="M14972" t="s">
        <v>32218</v>
      </c>
      <c r="N14972" t="s">
        <v>299</v>
      </c>
      <c r="O14972" t="s">
        <v>22</v>
      </c>
      <c r="P14972" t="s">
        <v>32219</v>
      </c>
      <c r="Q14972">
        <v>3425</v>
      </c>
      <c r="R14972" t="s">
        <v>23</v>
      </c>
      <c r="S14972" s="1" t="s">
        <v>34218</v>
      </c>
    </row>
    <row r="14973" spans="1:19" x14ac:dyDescent="0.25">
      <c r="A14973">
        <v>101426770</v>
      </c>
      <c r="B14973" t="s">
        <v>4130</v>
      </c>
      <c r="C14973" t="s">
        <v>123</v>
      </c>
      <c r="G14973" t="s">
        <v>32220</v>
      </c>
      <c r="H14973" t="s">
        <v>4527</v>
      </c>
      <c r="I14973" t="s">
        <v>33</v>
      </c>
      <c r="J14973" t="s">
        <v>32221</v>
      </c>
      <c r="K14973">
        <v>4751</v>
      </c>
      <c r="L14973" t="s">
        <v>23</v>
      </c>
      <c r="M14973" t="s">
        <v>32220</v>
      </c>
      <c r="N14973" t="s">
        <v>4527</v>
      </c>
      <c r="O14973" t="s">
        <v>33</v>
      </c>
      <c r="P14973" t="s">
        <v>32221</v>
      </c>
      <c r="Q14973">
        <v>4751</v>
      </c>
      <c r="R14973" t="s">
        <v>23</v>
      </c>
      <c r="S14973" s="1" t="s">
        <v>34218</v>
      </c>
    </row>
    <row r="14974" spans="1:19" x14ac:dyDescent="0.25">
      <c r="A14974">
        <v>101424257</v>
      </c>
      <c r="B14974" t="s">
        <v>32222</v>
      </c>
      <c r="C14974" t="s">
        <v>9106</v>
      </c>
      <c r="G14974" t="s">
        <v>32223</v>
      </c>
      <c r="H14974" t="s">
        <v>1210</v>
      </c>
      <c r="I14974" t="s">
        <v>178</v>
      </c>
      <c r="J14974" t="s">
        <v>32224</v>
      </c>
      <c r="K14974">
        <v>9258</v>
      </c>
      <c r="L14974" t="s">
        <v>23</v>
      </c>
      <c r="M14974" t="s">
        <v>32223</v>
      </c>
      <c r="N14974" t="s">
        <v>1210</v>
      </c>
      <c r="O14974" t="s">
        <v>178</v>
      </c>
      <c r="P14974" t="s">
        <v>32224</v>
      </c>
      <c r="Q14974">
        <v>9258</v>
      </c>
      <c r="R14974" t="s">
        <v>23</v>
      </c>
      <c r="S14974" s="1" t="s">
        <v>34218</v>
      </c>
    </row>
    <row r="14975" spans="1:19" x14ac:dyDescent="0.25">
      <c r="A14975">
        <v>101244974</v>
      </c>
      <c r="B14975" t="s">
        <v>21305</v>
      </c>
      <c r="C14975" t="s">
        <v>247</v>
      </c>
      <c r="G14975" t="s">
        <v>32225</v>
      </c>
      <c r="H14975" t="s">
        <v>4432</v>
      </c>
      <c r="I14975" t="s">
        <v>33</v>
      </c>
      <c r="J14975" t="s">
        <v>32226</v>
      </c>
      <c r="K14975">
        <v>5239</v>
      </c>
      <c r="L14975" t="s">
        <v>23</v>
      </c>
      <c r="M14975" t="s">
        <v>32225</v>
      </c>
      <c r="N14975" t="s">
        <v>4432</v>
      </c>
      <c r="O14975" t="s">
        <v>33</v>
      </c>
      <c r="P14975" t="s">
        <v>32226</v>
      </c>
      <c r="Q14975">
        <v>5239</v>
      </c>
      <c r="R14975" t="s">
        <v>23</v>
      </c>
      <c r="S14975" s="1" t="s">
        <v>34218</v>
      </c>
    </row>
    <row r="14976" spans="1:19" x14ac:dyDescent="0.25">
      <c r="A14976">
        <v>100551637</v>
      </c>
      <c r="B14976" t="s">
        <v>17861</v>
      </c>
      <c r="C14976" t="s">
        <v>7844</v>
      </c>
      <c r="G14976" t="s">
        <v>20773</v>
      </c>
      <c r="H14976" t="s">
        <v>32227</v>
      </c>
      <c r="I14976" t="s">
        <v>117</v>
      </c>
      <c r="J14976">
        <v>13669</v>
      </c>
      <c r="L14976" t="s">
        <v>23</v>
      </c>
      <c r="M14976" t="s">
        <v>20773</v>
      </c>
      <c r="N14976" t="s">
        <v>32227</v>
      </c>
      <c r="O14976" t="s">
        <v>117</v>
      </c>
      <c r="P14976">
        <v>13669</v>
      </c>
      <c r="R14976" t="s">
        <v>23</v>
      </c>
      <c r="S14976" s="1" t="s">
        <v>34218</v>
      </c>
    </row>
    <row r="14977" spans="1:19" x14ac:dyDescent="0.25">
      <c r="A14977">
        <v>101240427</v>
      </c>
      <c r="B14977" t="s">
        <v>11722</v>
      </c>
      <c r="C14977" t="s">
        <v>294</v>
      </c>
      <c r="G14977" t="s">
        <v>32228</v>
      </c>
      <c r="H14977" t="s">
        <v>6324</v>
      </c>
      <c r="I14977" t="s">
        <v>117</v>
      </c>
      <c r="J14977" t="s">
        <v>32229</v>
      </c>
      <c r="K14977">
        <v>2598</v>
      </c>
      <c r="L14977" t="s">
        <v>23</v>
      </c>
      <c r="M14977" t="s">
        <v>32228</v>
      </c>
      <c r="N14977" t="s">
        <v>6324</v>
      </c>
      <c r="O14977" t="s">
        <v>117</v>
      </c>
      <c r="P14977" t="s">
        <v>32229</v>
      </c>
      <c r="Q14977">
        <v>2598</v>
      </c>
      <c r="R14977" t="s">
        <v>23</v>
      </c>
      <c r="S14977" s="1" t="s">
        <v>34218</v>
      </c>
    </row>
    <row r="14978" spans="1:19" x14ac:dyDescent="0.25">
      <c r="A14978">
        <v>101313443</v>
      </c>
      <c r="B14978" t="s">
        <v>32230</v>
      </c>
      <c r="C14978" t="s">
        <v>305</v>
      </c>
      <c r="G14978" t="s">
        <v>32231</v>
      </c>
      <c r="H14978" t="s">
        <v>8491</v>
      </c>
      <c r="I14978" t="s">
        <v>52</v>
      </c>
      <c r="J14978" t="s">
        <v>32232</v>
      </c>
      <c r="K14978">
        <v>8913</v>
      </c>
      <c r="L14978" t="s">
        <v>23</v>
      </c>
      <c r="M14978" t="s">
        <v>32231</v>
      </c>
      <c r="N14978" t="s">
        <v>8491</v>
      </c>
      <c r="O14978" t="s">
        <v>52</v>
      </c>
      <c r="P14978" t="s">
        <v>32232</v>
      </c>
      <c r="Q14978">
        <v>8913</v>
      </c>
      <c r="R14978" t="s">
        <v>23</v>
      </c>
      <c r="S14978" s="1" t="s">
        <v>34218</v>
      </c>
    </row>
    <row r="14979" spans="1:19" x14ac:dyDescent="0.25">
      <c r="A14979">
        <v>101348899</v>
      </c>
      <c r="B14979" t="s">
        <v>32233</v>
      </c>
      <c r="C14979" t="s">
        <v>4982</v>
      </c>
      <c r="G14979" t="s">
        <v>32234</v>
      </c>
      <c r="H14979" t="s">
        <v>10031</v>
      </c>
      <c r="I14979" t="s">
        <v>22</v>
      </c>
      <c r="J14979" t="s">
        <v>32235</v>
      </c>
      <c r="K14979">
        <v>4445</v>
      </c>
      <c r="L14979" t="s">
        <v>23</v>
      </c>
      <c r="M14979" t="s">
        <v>32234</v>
      </c>
      <c r="N14979" t="s">
        <v>10031</v>
      </c>
      <c r="O14979" t="s">
        <v>22</v>
      </c>
      <c r="P14979" t="s">
        <v>32235</v>
      </c>
      <c r="Q14979">
        <v>4445</v>
      </c>
      <c r="R14979" t="s">
        <v>23</v>
      </c>
      <c r="S14979" s="1" t="s">
        <v>34218</v>
      </c>
    </row>
    <row r="14980" spans="1:19" x14ac:dyDescent="0.25">
      <c r="A14980">
        <v>101445059</v>
      </c>
      <c r="B14980" t="s">
        <v>32236</v>
      </c>
      <c r="C14980" t="s">
        <v>180</v>
      </c>
      <c r="G14980" t="s">
        <v>32237</v>
      </c>
      <c r="H14980" t="s">
        <v>12185</v>
      </c>
      <c r="I14980" t="s">
        <v>117</v>
      </c>
      <c r="J14980" t="s">
        <v>32238</v>
      </c>
      <c r="K14980">
        <v>8929</v>
      </c>
      <c r="L14980" t="s">
        <v>23</v>
      </c>
      <c r="M14980" t="s">
        <v>32237</v>
      </c>
      <c r="N14980" t="s">
        <v>12185</v>
      </c>
      <c r="O14980" t="s">
        <v>117</v>
      </c>
      <c r="P14980" t="s">
        <v>32238</v>
      </c>
      <c r="Q14980">
        <v>8929</v>
      </c>
      <c r="R14980" t="s">
        <v>23</v>
      </c>
      <c r="S14980" s="1" t="s">
        <v>34218</v>
      </c>
    </row>
    <row r="14981" spans="1:19" x14ac:dyDescent="0.25">
      <c r="A14981">
        <v>101442200</v>
      </c>
      <c r="B14981" t="s">
        <v>32239</v>
      </c>
      <c r="C14981" t="s">
        <v>907</v>
      </c>
      <c r="G14981" t="s">
        <v>32240</v>
      </c>
      <c r="H14981" t="s">
        <v>646</v>
      </c>
      <c r="I14981" t="s">
        <v>178</v>
      </c>
      <c r="J14981" t="s">
        <v>32241</v>
      </c>
      <c r="K14981">
        <v>1419</v>
      </c>
      <c r="L14981" t="s">
        <v>23</v>
      </c>
      <c r="M14981" t="s">
        <v>32240</v>
      </c>
      <c r="N14981" t="s">
        <v>646</v>
      </c>
      <c r="O14981" t="s">
        <v>178</v>
      </c>
      <c r="P14981" t="s">
        <v>32241</v>
      </c>
      <c r="Q14981">
        <v>1419</v>
      </c>
      <c r="R14981" t="s">
        <v>23</v>
      </c>
      <c r="S14981" s="1" t="s">
        <v>34218</v>
      </c>
    </row>
    <row r="14982" spans="1:19" x14ac:dyDescent="0.25">
      <c r="A14982">
        <v>101428112</v>
      </c>
      <c r="B14982" t="s">
        <v>1007</v>
      </c>
      <c r="C14982" t="s">
        <v>32242</v>
      </c>
      <c r="G14982" t="s">
        <v>32243</v>
      </c>
      <c r="H14982" t="s">
        <v>3236</v>
      </c>
      <c r="I14982" t="s">
        <v>236</v>
      </c>
      <c r="J14982" t="s">
        <v>32244</v>
      </c>
      <c r="K14982">
        <v>8113</v>
      </c>
      <c r="L14982" t="s">
        <v>23</v>
      </c>
      <c r="M14982" t="s">
        <v>32243</v>
      </c>
      <c r="N14982" t="s">
        <v>3236</v>
      </c>
      <c r="O14982" t="s">
        <v>236</v>
      </c>
      <c r="P14982" t="s">
        <v>32244</v>
      </c>
      <c r="Q14982">
        <v>8113</v>
      </c>
      <c r="R14982" t="s">
        <v>23</v>
      </c>
      <c r="S14982" s="1" t="s">
        <v>34218</v>
      </c>
    </row>
    <row r="14983" spans="1:19" x14ac:dyDescent="0.25">
      <c r="A14983">
        <v>101423516</v>
      </c>
      <c r="B14983" t="s">
        <v>32245</v>
      </c>
      <c r="C14983" t="s">
        <v>1384</v>
      </c>
      <c r="G14983" t="s">
        <v>32246</v>
      </c>
      <c r="H14983" t="s">
        <v>650</v>
      </c>
      <c r="I14983" t="s">
        <v>22</v>
      </c>
      <c r="J14983" t="s">
        <v>32247</v>
      </c>
      <c r="K14983">
        <v>3740</v>
      </c>
      <c r="L14983" t="s">
        <v>23</v>
      </c>
      <c r="M14983" t="s">
        <v>32246</v>
      </c>
      <c r="N14983" t="s">
        <v>650</v>
      </c>
      <c r="O14983" t="s">
        <v>22</v>
      </c>
      <c r="P14983" t="s">
        <v>32247</v>
      </c>
      <c r="Q14983">
        <v>3740</v>
      </c>
      <c r="R14983" t="s">
        <v>23</v>
      </c>
      <c r="S14983" s="1" t="s">
        <v>34218</v>
      </c>
    </row>
    <row r="14984" spans="1:19" x14ac:dyDescent="0.25">
      <c r="A14984">
        <v>101432011</v>
      </c>
      <c r="B14984" t="s">
        <v>9930</v>
      </c>
      <c r="C14984" t="s">
        <v>4969</v>
      </c>
      <c r="G14984" t="s">
        <v>32248</v>
      </c>
      <c r="H14984" t="s">
        <v>12218</v>
      </c>
      <c r="I14984" t="s">
        <v>140</v>
      </c>
      <c r="J14984" t="s">
        <v>32249</v>
      </c>
      <c r="K14984">
        <v>4602</v>
      </c>
      <c r="L14984" t="s">
        <v>23</v>
      </c>
      <c r="M14984" t="s">
        <v>32248</v>
      </c>
      <c r="N14984" t="s">
        <v>12218</v>
      </c>
      <c r="O14984" t="s">
        <v>140</v>
      </c>
      <c r="P14984" t="s">
        <v>32249</v>
      </c>
      <c r="Q14984">
        <v>4602</v>
      </c>
      <c r="R14984" t="s">
        <v>23</v>
      </c>
      <c r="S14984" s="1" t="s">
        <v>34218</v>
      </c>
    </row>
    <row r="14985" spans="1:19" x14ac:dyDescent="0.25">
      <c r="A14985">
        <v>101409598</v>
      </c>
      <c r="B14985" t="s">
        <v>3535</v>
      </c>
      <c r="C14985" t="s">
        <v>32250</v>
      </c>
      <c r="G14985" t="s">
        <v>32251</v>
      </c>
      <c r="H14985" t="s">
        <v>818</v>
      </c>
      <c r="I14985" t="s">
        <v>43</v>
      </c>
      <c r="J14985" t="s">
        <v>32252</v>
      </c>
      <c r="K14985">
        <v>4615</v>
      </c>
      <c r="L14985" t="s">
        <v>23</v>
      </c>
      <c r="M14985" t="s">
        <v>32251</v>
      </c>
      <c r="N14985" t="s">
        <v>818</v>
      </c>
      <c r="O14985" t="s">
        <v>43</v>
      </c>
      <c r="P14985" t="s">
        <v>32252</v>
      </c>
      <c r="Q14985">
        <v>4615</v>
      </c>
      <c r="R14985" t="s">
        <v>23</v>
      </c>
      <c r="S14985" s="1" t="s">
        <v>34218</v>
      </c>
    </row>
    <row r="14986" spans="1:19" x14ac:dyDescent="0.25">
      <c r="A14986">
        <v>101435211</v>
      </c>
      <c r="B14986" t="s">
        <v>17419</v>
      </c>
      <c r="C14986" t="s">
        <v>5933</v>
      </c>
      <c r="G14986" t="s">
        <v>32253</v>
      </c>
      <c r="H14986" t="s">
        <v>3668</v>
      </c>
      <c r="I14986" t="s">
        <v>148</v>
      </c>
      <c r="J14986" t="s">
        <v>32254</v>
      </c>
      <c r="K14986">
        <v>2483</v>
      </c>
      <c r="L14986" t="s">
        <v>23</v>
      </c>
      <c r="M14986" t="s">
        <v>32253</v>
      </c>
      <c r="N14986" t="s">
        <v>3668</v>
      </c>
      <c r="O14986" t="s">
        <v>148</v>
      </c>
      <c r="P14986" t="s">
        <v>32254</v>
      </c>
      <c r="Q14986">
        <v>2483</v>
      </c>
      <c r="R14986" t="s">
        <v>23</v>
      </c>
      <c r="S14986" s="1" t="s">
        <v>34218</v>
      </c>
    </row>
    <row r="14987" spans="1:19" x14ac:dyDescent="0.25">
      <c r="A14987">
        <v>101321247</v>
      </c>
      <c r="B14987" t="s">
        <v>1726</v>
      </c>
      <c r="C14987" t="s">
        <v>644</v>
      </c>
      <c r="G14987" t="s">
        <v>32255</v>
      </c>
      <c r="H14987" t="s">
        <v>1885</v>
      </c>
      <c r="I14987" t="s">
        <v>22</v>
      </c>
      <c r="J14987" t="s">
        <v>32256</v>
      </c>
      <c r="K14987">
        <v>3812</v>
      </c>
      <c r="L14987" t="s">
        <v>23</v>
      </c>
      <c r="M14987" t="s">
        <v>32255</v>
      </c>
      <c r="N14987" t="s">
        <v>1885</v>
      </c>
      <c r="O14987" t="s">
        <v>22</v>
      </c>
      <c r="P14987" t="s">
        <v>32256</v>
      </c>
      <c r="Q14987">
        <v>3812</v>
      </c>
      <c r="R14987" t="s">
        <v>23</v>
      </c>
      <c r="S14987" s="1" t="s">
        <v>34218</v>
      </c>
    </row>
    <row r="14988" spans="1:19" x14ac:dyDescent="0.25">
      <c r="A14988">
        <v>101204077</v>
      </c>
      <c r="B14988" t="s">
        <v>32257</v>
      </c>
      <c r="C14988" t="s">
        <v>233</v>
      </c>
      <c r="F14988" t="str">
        <f>"9177485046"</f>
        <v>9177485046</v>
      </c>
      <c r="G14988" t="s">
        <v>32258</v>
      </c>
      <c r="H14988" t="s">
        <v>1431</v>
      </c>
      <c r="I14988" t="s">
        <v>639</v>
      </c>
      <c r="J14988" t="s">
        <v>32259</v>
      </c>
      <c r="K14988">
        <v>7004</v>
      </c>
      <c r="L14988" t="s">
        <v>23</v>
      </c>
      <c r="M14988" t="s">
        <v>32258</v>
      </c>
      <c r="N14988" t="s">
        <v>1431</v>
      </c>
      <c r="O14988" t="s">
        <v>639</v>
      </c>
      <c r="P14988" t="s">
        <v>32259</v>
      </c>
      <c r="Q14988">
        <v>7004</v>
      </c>
      <c r="R14988" t="s">
        <v>23</v>
      </c>
      <c r="S14988" s="1" t="s">
        <v>34218</v>
      </c>
    </row>
    <row r="14989" spans="1:19" x14ac:dyDescent="0.25">
      <c r="A14989">
        <v>101300061</v>
      </c>
      <c r="B14989" t="s">
        <v>32260</v>
      </c>
      <c r="C14989" t="s">
        <v>1398</v>
      </c>
      <c r="G14989" t="s">
        <v>32261</v>
      </c>
      <c r="H14989" t="s">
        <v>2077</v>
      </c>
      <c r="I14989" t="s">
        <v>135</v>
      </c>
      <c r="J14989" t="s">
        <v>32262</v>
      </c>
      <c r="K14989">
        <v>2719</v>
      </c>
      <c r="L14989" t="s">
        <v>23</v>
      </c>
      <c r="M14989" t="s">
        <v>32261</v>
      </c>
      <c r="N14989" t="s">
        <v>2077</v>
      </c>
      <c r="O14989" t="s">
        <v>135</v>
      </c>
      <c r="P14989" t="s">
        <v>32262</v>
      </c>
      <c r="Q14989">
        <v>2719</v>
      </c>
      <c r="R14989" t="s">
        <v>23</v>
      </c>
      <c r="S14989" s="1" t="s">
        <v>34218</v>
      </c>
    </row>
    <row r="14990" spans="1:19" x14ac:dyDescent="0.25">
      <c r="A14990">
        <v>101441959</v>
      </c>
      <c r="B14990" t="s">
        <v>3828</v>
      </c>
      <c r="C14990" t="s">
        <v>32263</v>
      </c>
      <c r="G14990" t="s">
        <v>32264</v>
      </c>
      <c r="H14990" t="s">
        <v>496</v>
      </c>
      <c r="I14990" t="s">
        <v>22</v>
      </c>
      <c r="J14990" t="s">
        <v>32265</v>
      </c>
      <c r="K14990">
        <v>1598</v>
      </c>
      <c r="L14990" t="s">
        <v>23</v>
      </c>
      <c r="M14990" t="s">
        <v>32264</v>
      </c>
      <c r="N14990" t="s">
        <v>496</v>
      </c>
      <c r="O14990" t="s">
        <v>22</v>
      </c>
      <c r="P14990" t="s">
        <v>32265</v>
      </c>
      <c r="Q14990">
        <v>1598</v>
      </c>
      <c r="R14990" t="s">
        <v>23</v>
      </c>
      <c r="S14990" s="1" t="s">
        <v>34218</v>
      </c>
    </row>
    <row r="14991" spans="1:19" x14ac:dyDescent="0.25">
      <c r="A14991">
        <v>101269609</v>
      </c>
      <c r="B14991" t="s">
        <v>32266</v>
      </c>
      <c r="C14991" t="s">
        <v>2127</v>
      </c>
      <c r="G14991" t="s">
        <v>32267</v>
      </c>
      <c r="H14991" t="s">
        <v>12997</v>
      </c>
      <c r="I14991" t="s">
        <v>140</v>
      </c>
      <c r="J14991" t="s">
        <v>32268</v>
      </c>
      <c r="K14991">
        <v>1608</v>
      </c>
      <c r="L14991" t="s">
        <v>23</v>
      </c>
      <c r="M14991" t="s">
        <v>32267</v>
      </c>
      <c r="N14991" t="s">
        <v>12997</v>
      </c>
      <c r="O14991" t="s">
        <v>140</v>
      </c>
      <c r="P14991" t="s">
        <v>32268</v>
      </c>
      <c r="Q14991">
        <v>1608</v>
      </c>
      <c r="R14991" t="s">
        <v>23</v>
      </c>
      <c r="S14991" s="1" t="s">
        <v>34218</v>
      </c>
    </row>
    <row r="14992" spans="1:19" x14ac:dyDescent="0.25">
      <c r="A14992">
        <v>101112828</v>
      </c>
      <c r="B14992" t="s">
        <v>32269</v>
      </c>
      <c r="C14992" t="s">
        <v>32270</v>
      </c>
      <c r="F14992" t="str">
        <f>"9735371467"</f>
        <v>9735371467</v>
      </c>
      <c r="G14992" t="s">
        <v>32271</v>
      </c>
      <c r="H14992" t="s">
        <v>16207</v>
      </c>
      <c r="I14992" t="s">
        <v>250</v>
      </c>
      <c r="J14992">
        <v>7885</v>
      </c>
      <c r="L14992" t="s">
        <v>23</v>
      </c>
      <c r="M14992" t="s">
        <v>32271</v>
      </c>
      <c r="N14992" t="s">
        <v>16207</v>
      </c>
      <c r="O14992" t="s">
        <v>250</v>
      </c>
      <c r="P14992">
        <v>7885</v>
      </c>
      <c r="R14992" t="s">
        <v>23</v>
      </c>
      <c r="S14992" s="1" t="s">
        <v>34218</v>
      </c>
    </row>
    <row r="14993" spans="1:19" x14ac:dyDescent="0.25">
      <c r="A14993">
        <v>101467608</v>
      </c>
      <c r="B14993" t="s">
        <v>17914</v>
      </c>
      <c r="C14993" t="s">
        <v>32272</v>
      </c>
      <c r="G14993" t="s">
        <v>32273</v>
      </c>
      <c r="H14993" t="s">
        <v>1996</v>
      </c>
      <c r="I14993" t="s">
        <v>117</v>
      </c>
      <c r="J14993">
        <v>11946</v>
      </c>
      <c r="K14993">
        <v>2819</v>
      </c>
      <c r="L14993" t="s">
        <v>23</v>
      </c>
      <c r="M14993" t="s">
        <v>32273</v>
      </c>
      <c r="N14993" t="s">
        <v>1996</v>
      </c>
      <c r="O14993" t="s">
        <v>117</v>
      </c>
      <c r="P14993">
        <v>11946</v>
      </c>
      <c r="Q14993">
        <v>2819</v>
      </c>
      <c r="R14993" t="s">
        <v>23</v>
      </c>
      <c r="S14993" s="1" t="s">
        <v>34218</v>
      </c>
    </row>
    <row r="14994" spans="1:19" x14ac:dyDescent="0.25">
      <c r="A14994">
        <v>101269494</v>
      </c>
      <c r="B14994" t="s">
        <v>32274</v>
      </c>
      <c r="C14994" t="s">
        <v>19098</v>
      </c>
      <c r="F14994" t="str">
        <f>"3252691936"</f>
        <v>3252691936</v>
      </c>
      <c r="G14994" t="s">
        <v>32275</v>
      </c>
      <c r="H14994" t="s">
        <v>11811</v>
      </c>
      <c r="I14994" t="s">
        <v>38</v>
      </c>
      <c r="J14994">
        <v>79510</v>
      </c>
      <c r="L14994" t="s">
        <v>23</v>
      </c>
      <c r="M14994" t="s">
        <v>32275</v>
      </c>
      <c r="N14994" t="s">
        <v>11811</v>
      </c>
      <c r="O14994" t="s">
        <v>38</v>
      </c>
      <c r="P14994">
        <v>79510</v>
      </c>
      <c r="R14994" t="s">
        <v>23</v>
      </c>
      <c r="S14994" s="1" t="s">
        <v>34218</v>
      </c>
    </row>
    <row r="14995" spans="1:19" x14ac:dyDescent="0.25">
      <c r="A14995">
        <v>100794987</v>
      </c>
      <c r="B14995" t="s">
        <v>32276</v>
      </c>
      <c r="C14995" t="s">
        <v>32277</v>
      </c>
      <c r="G14995" t="s">
        <v>32278</v>
      </c>
      <c r="H14995" t="s">
        <v>1019</v>
      </c>
      <c r="I14995" t="s">
        <v>84</v>
      </c>
      <c r="J14995">
        <v>98034</v>
      </c>
      <c r="L14995" t="s">
        <v>23</v>
      </c>
      <c r="M14995" t="s">
        <v>32278</v>
      </c>
      <c r="N14995" t="s">
        <v>1019</v>
      </c>
      <c r="O14995" t="s">
        <v>84</v>
      </c>
      <c r="P14995">
        <v>98034</v>
      </c>
      <c r="R14995" t="s">
        <v>23</v>
      </c>
      <c r="S14995" s="1" t="s">
        <v>34218</v>
      </c>
    </row>
    <row r="14996" spans="1:19" x14ac:dyDescent="0.25">
      <c r="A14996">
        <v>101241837</v>
      </c>
      <c r="B14996" t="s">
        <v>22378</v>
      </c>
      <c r="C14996" t="s">
        <v>8352</v>
      </c>
      <c r="G14996" t="s">
        <v>32279</v>
      </c>
      <c r="H14996" t="s">
        <v>32280</v>
      </c>
      <c r="I14996" t="s">
        <v>984</v>
      </c>
      <c r="J14996">
        <v>96741</v>
      </c>
      <c r="K14996">
        <v>368</v>
      </c>
      <c r="L14996" t="s">
        <v>23</v>
      </c>
      <c r="M14996" t="s">
        <v>32279</v>
      </c>
      <c r="N14996" t="s">
        <v>32280</v>
      </c>
      <c r="O14996" t="s">
        <v>984</v>
      </c>
      <c r="P14996">
        <v>96741</v>
      </c>
      <c r="Q14996">
        <v>368</v>
      </c>
      <c r="R14996" t="s">
        <v>23</v>
      </c>
      <c r="S14996" s="1" t="s">
        <v>34218</v>
      </c>
    </row>
    <row r="14997" spans="1:19" x14ac:dyDescent="0.25">
      <c r="A14997">
        <v>101257474</v>
      </c>
      <c r="B14997" t="s">
        <v>90</v>
      </c>
      <c r="C14997" t="s">
        <v>403</v>
      </c>
      <c r="G14997" t="s">
        <v>32281</v>
      </c>
      <c r="H14997" t="s">
        <v>21974</v>
      </c>
      <c r="I14997" t="s">
        <v>135</v>
      </c>
      <c r="J14997" t="s">
        <v>32282</v>
      </c>
      <c r="K14997">
        <v>5045</v>
      </c>
      <c r="L14997" t="s">
        <v>23</v>
      </c>
      <c r="M14997" t="s">
        <v>32281</v>
      </c>
      <c r="N14997" t="s">
        <v>21974</v>
      </c>
      <c r="O14997" t="s">
        <v>135</v>
      </c>
      <c r="P14997" t="s">
        <v>32282</v>
      </c>
      <c r="Q14997">
        <v>5045</v>
      </c>
      <c r="R14997" t="s">
        <v>23</v>
      </c>
      <c r="S14997" s="1" t="s">
        <v>34218</v>
      </c>
    </row>
    <row r="14998" spans="1:19" x14ac:dyDescent="0.25">
      <c r="A14998">
        <v>101471587</v>
      </c>
      <c r="B14998" t="s">
        <v>11830</v>
      </c>
      <c r="C14998" t="s">
        <v>2159</v>
      </c>
      <c r="G14998" t="s">
        <v>32283</v>
      </c>
      <c r="H14998" t="s">
        <v>1402</v>
      </c>
      <c r="I14998" t="s">
        <v>38</v>
      </c>
      <c r="J14998">
        <v>77055</v>
      </c>
      <c r="K14998">
        <v>6118</v>
      </c>
      <c r="L14998" t="s">
        <v>23</v>
      </c>
      <c r="M14998" t="s">
        <v>32283</v>
      </c>
      <c r="N14998" t="s">
        <v>1402</v>
      </c>
      <c r="O14998" t="s">
        <v>38</v>
      </c>
      <c r="P14998">
        <v>77055</v>
      </c>
      <c r="Q14998">
        <v>6118</v>
      </c>
      <c r="R14998" t="s">
        <v>23</v>
      </c>
      <c r="S14998" s="1" t="s">
        <v>34218</v>
      </c>
    </row>
    <row r="14999" spans="1:19" x14ac:dyDescent="0.25">
      <c r="A14999">
        <v>100804284</v>
      </c>
      <c r="B14999" t="s">
        <v>32284</v>
      </c>
      <c r="C14999" t="s">
        <v>2127</v>
      </c>
      <c r="F14999" t="str">
        <f>"4804913961"</f>
        <v>4804913961</v>
      </c>
      <c r="G14999" t="s">
        <v>32285</v>
      </c>
      <c r="H14999" t="s">
        <v>625</v>
      </c>
      <c r="I14999" t="s">
        <v>365</v>
      </c>
      <c r="J14999">
        <v>85210</v>
      </c>
      <c r="K14999">
        <v>5941</v>
      </c>
      <c r="L14999" t="s">
        <v>23</v>
      </c>
      <c r="M14999" t="s">
        <v>32285</v>
      </c>
      <c r="N14999" t="s">
        <v>625</v>
      </c>
      <c r="O14999" t="s">
        <v>365</v>
      </c>
      <c r="P14999">
        <v>85210</v>
      </c>
      <c r="Q14999">
        <v>5941</v>
      </c>
      <c r="R14999" t="s">
        <v>23</v>
      </c>
      <c r="S14999" s="1" t="s">
        <v>34218</v>
      </c>
    </row>
    <row r="15000" spans="1:19" x14ac:dyDescent="0.25">
      <c r="A15000">
        <v>101412233</v>
      </c>
      <c r="B15000" t="s">
        <v>32286</v>
      </c>
      <c r="C15000" t="s">
        <v>641</v>
      </c>
      <c r="G15000" t="s">
        <v>32287</v>
      </c>
      <c r="H15000" t="s">
        <v>254</v>
      </c>
      <c r="I15000" t="s">
        <v>255</v>
      </c>
      <c r="J15000">
        <v>22902</v>
      </c>
      <c r="K15000">
        <v>4345</v>
      </c>
      <c r="L15000" t="s">
        <v>23</v>
      </c>
      <c r="M15000" t="s">
        <v>32287</v>
      </c>
      <c r="N15000" t="s">
        <v>254</v>
      </c>
      <c r="O15000" t="s">
        <v>255</v>
      </c>
      <c r="P15000">
        <v>22902</v>
      </c>
      <c r="Q15000">
        <v>4345</v>
      </c>
      <c r="R15000" t="s">
        <v>23</v>
      </c>
      <c r="S15000" s="1" t="s">
        <v>34218</v>
      </c>
    </row>
    <row r="15001" spans="1:19" x14ac:dyDescent="0.25">
      <c r="A15001">
        <v>100634510</v>
      </c>
      <c r="B15001" t="s">
        <v>5375</v>
      </c>
      <c r="C15001" t="s">
        <v>54</v>
      </c>
      <c r="G15001" t="s">
        <v>32288</v>
      </c>
      <c r="H15001" t="s">
        <v>541</v>
      </c>
      <c r="I15001" t="s">
        <v>33</v>
      </c>
      <c r="J15001">
        <v>18343</v>
      </c>
      <c r="K15001">
        <v>5149</v>
      </c>
      <c r="L15001" t="s">
        <v>23</v>
      </c>
      <c r="M15001" t="s">
        <v>32288</v>
      </c>
      <c r="N15001" t="s">
        <v>541</v>
      </c>
      <c r="O15001" t="s">
        <v>33</v>
      </c>
      <c r="P15001">
        <v>18343</v>
      </c>
      <c r="Q15001">
        <v>5149</v>
      </c>
      <c r="R15001" t="s">
        <v>23</v>
      </c>
      <c r="S15001" s="1" t="s">
        <v>34218</v>
      </c>
    </row>
    <row r="15002" spans="1:19" x14ac:dyDescent="0.25">
      <c r="A15002">
        <v>100920373</v>
      </c>
      <c r="B15002" t="s">
        <v>16416</v>
      </c>
      <c r="C15002" t="s">
        <v>2515</v>
      </c>
      <c r="G15002" t="s">
        <v>32289</v>
      </c>
      <c r="H15002" t="s">
        <v>2399</v>
      </c>
      <c r="I15002" t="s">
        <v>71</v>
      </c>
      <c r="J15002">
        <v>80521</v>
      </c>
      <c r="L15002" t="s">
        <v>23</v>
      </c>
      <c r="M15002" t="s">
        <v>32289</v>
      </c>
      <c r="N15002" t="s">
        <v>2399</v>
      </c>
      <c r="O15002" t="s">
        <v>71</v>
      </c>
      <c r="P15002">
        <v>80521</v>
      </c>
      <c r="R15002" t="s">
        <v>23</v>
      </c>
      <c r="S15002" s="1" t="s">
        <v>34218</v>
      </c>
    </row>
    <row r="15003" spans="1:19" x14ac:dyDescent="0.25">
      <c r="A15003">
        <v>100522645</v>
      </c>
      <c r="B15003" t="s">
        <v>7584</v>
      </c>
      <c r="C15003" t="s">
        <v>14963</v>
      </c>
      <c r="G15003" t="s">
        <v>32290</v>
      </c>
      <c r="H15003" t="s">
        <v>14099</v>
      </c>
      <c r="I15003" t="s">
        <v>43</v>
      </c>
      <c r="J15003" t="s">
        <v>32291</v>
      </c>
      <c r="K15003">
        <v>8557</v>
      </c>
      <c r="L15003" t="s">
        <v>23</v>
      </c>
      <c r="M15003" t="s">
        <v>32290</v>
      </c>
      <c r="N15003" t="s">
        <v>14099</v>
      </c>
      <c r="O15003" t="s">
        <v>43</v>
      </c>
      <c r="P15003" t="s">
        <v>32291</v>
      </c>
      <c r="Q15003">
        <v>8557</v>
      </c>
      <c r="R15003" t="s">
        <v>23</v>
      </c>
      <c r="S15003" s="1" t="s">
        <v>34218</v>
      </c>
    </row>
    <row r="15004" spans="1:19" x14ac:dyDescent="0.25">
      <c r="A15004">
        <v>101335544</v>
      </c>
      <c r="B15004" t="s">
        <v>32292</v>
      </c>
      <c r="C15004" t="s">
        <v>1679</v>
      </c>
      <c r="G15004" t="s">
        <v>32293</v>
      </c>
      <c r="H15004" t="s">
        <v>5566</v>
      </c>
      <c r="I15004" t="s">
        <v>135</v>
      </c>
      <c r="J15004" t="s">
        <v>32294</v>
      </c>
      <c r="K15004">
        <v>3522</v>
      </c>
      <c r="L15004" t="s">
        <v>23</v>
      </c>
      <c r="M15004" t="s">
        <v>32293</v>
      </c>
      <c r="N15004" t="s">
        <v>5566</v>
      </c>
      <c r="O15004" t="s">
        <v>135</v>
      </c>
      <c r="P15004" t="s">
        <v>32294</v>
      </c>
      <c r="Q15004">
        <v>3522</v>
      </c>
      <c r="R15004" t="s">
        <v>23</v>
      </c>
      <c r="S15004" s="1" t="s">
        <v>34218</v>
      </c>
    </row>
    <row r="15005" spans="1:19" x14ac:dyDescent="0.25">
      <c r="A15005">
        <v>101400354</v>
      </c>
      <c r="B15005" t="s">
        <v>6376</v>
      </c>
      <c r="C15005" t="s">
        <v>247</v>
      </c>
      <c r="G15005" t="s">
        <v>32295</v>
      </c>
      <c r="H15005" t="s">
        <v>32296</v>
      </c>
      <c r="I15005" t="s">
        <v>140</v>
      </c>
      <c r="J15005" t="s">
        <v>32297</v>
      </c>
      <c r="K15005">
        <v>8013</v>
      </c>
      <c r="L15005" t="s">
        <v>23</v>
      </c>
      <c r="M15005" t="s">
        <v>32295</v>
      </c>
      <c r="N15005" t="s">
        <v>32296</v>
      </c>
      <c r="O15005" t="s">
        <v>140</v>
      </c>
      <c r="P15005" t="s">
        <v>32297</v>
      </c>
      <c r="Q15005">
        <v>8013</v>
      </c>
      <c r="R15005" t="s">
        <v>23</v>
      </c>
      <c r="S15005" s="1" t="s">
        <v>34218</v>
      </c>
    </row>
    <row r="15006" spans="1:19" x14ac:dyDescent="0.25">
      <c r="A15006">
        <v>101281898</v>
      </c>
      <c r="B15006" t="s">
        <v>32298</v>
      </c>
      <c r="C15006" t="s">
        <v>403</v>
      </c>
      <c r="G15006" t="s">
        <v>32299</v>
      </c>
      <c r="H15006" t="s">
        <v>12564</v>
      </c>
      <c r="I15006" t="s">
        <v>446</v>
      </c>
      <c r="J15006" t="s">
        <v>32300</v>
      </c>
      <c r="K15006">
        <v>5920</v>
      </c>
      <c r="L15006" t="s">
        <v>23</v>
      </c>
      <c r="M15006" t="s">
        <v>32299</v>
      </c>
      <c r="N15006" t="s">
        <v>12564</v>
      </c>
      <c r="O15006" t="s">
        <v>446</v>
      </c>
      <c r="P15006" t="s">
        <v>32300</v>
      </c>
      <c r="Q15006">
        <v>5920</v>
      </c>
      <c r="R15006" t="s">
        <v>23</v>
      </c>
      <c r="S15006" s="1" t="s">
        <v>34218</v>
      </c>
    </row>
    <row r="15007" spans="1:19" x14ac:dyDescent="0.25">
      <c r="A15007">
        <v>101427084</v>
      </c>
      <c r="B15007" t="s">
        <v>296</v>
      </c>
      <c r="C15007" t="s">
        <v>1153</v>
      </c>
      <c r="G15007" t="s">
        <v>32301</v>
      </c>
      <c r="H15007" t="s">
        <v>2910</v>
      </c>
      <c r="I15007" t="s">
        <v>52</v>
      </c>
      <c r="J15007" t="s">
        <v>32302</v>
      </c>
      <c r="K15007">
        <v>1816</v>
      </c>
      <c r="L15007" t="s">
        <v>23</v>
      </c>
      <c r="M15007" t="s">
        <v>32301</v>
      </c>
      <c r="N15007" t="s">
        <v>2910</v>
      </c>
      <c r="O15007" t="s">
        <v>52</v>
      </c>
      <c r="P15007" t="s">
        <v>32302</v>
      </c>
      <c r="Q15007">
        <v>1816</v>
      </c>
      <c r="R15007" t="s">
        <v>23</v>
      </c>
      <c r="S15007" s="1" t="s">
        <v>34218</v>
      </c>
    </row>
    <row r="15008" spans="1:19" x14ac:dyDescent="0.25">
      <c r="A15008">
        <v>101420846</v>
      </c>
      <c r="B15008" t="s">
        <v>23305</v>
      </c>
      <c r="C15008" t="s">
        <v>6315</v>
      </c>
      <c r="G15008" t="s">
        <v>23306</v>
      </c>
      <c r="H15008" t="s">
        <v>23307</v>
      </c>
      <c r="I15008" t="s">
        <v>135</v>
      </c>
      <c r="J15008" t="s">
        <v>32303</v>
      </c>
      <c r="K15008">
        <v>2929</v>
      </c>
      <c r="L15008" t="s">
        <v>23</v>
      </c>
      <c r="M15008" t="s">
        <v>23306</v>
      </c>
      <c r="N15008" t="s">
        <v>23307</v>
      </c>
      <c r="O15008" t="s">
        <v>135</v>
      </c>
      <c r="P15008" t="s">
        <v>32303</v>
      </c>
      <c r="Q15008">
        <v>2929</v>
      </c>
      <c r="R15008" t="s">
        <v>23</v>
      </c>
      <c r="S15008" s="1" t="s">
        <v>34218</v>
      </c>
    </row>
    <row r="15009" spans="1:19" x14ac:dyDescent="0.25">
      <c r="A15009">
        <v>101422879</v>
      </c>
      <c r="B15009" t="s">
        <v>32304</v>
      </c>
      <c r="C15009" t="s">
        <v>8884</v>
      </c>
      <c r="G15009" t="s">
        <v>32305</v>
      </c>
      <c r="H15009" t="s">
        <v>3493</v>
      </c>
      <c r="I15009" t="s">
        <v>22</v>
      </c>
      <c r="J15009" t="s">
        <v>32306</v>
      </c>
      <c r="K15009">
        <v>2124</v>
      </c>
      <c r="L15009" t="s">
        <v>23</v>
      </c>
      <c r="M15009" t="s">
        <v>32305</v>
      </c>
      <c r="N15009" t="s">
        <v>3493</v>
      </c>
      <c r="O15009" t="s">
        <v>22</v>
      </c>
      <c r="P15009" t="s">
        <v>32306</v>
      </c>
      <c r="Q15009">
        <v>2124</v>
      </c>
      <c r="R15009" t="s">
        <v>23</v>
      </c>
      <c r="S15009" s="1" t="s">
        <v>34218</v>
      </c>
    </row>
    <row r="15010" spans="1:19" x14ac:dyDescent="0.25">
      <c r="A15010">
        <v>101326534</v>
      </c>
      <c r="B15010" t="s">
        <v>32307</v>
      </c>
      <c r="C15010" t="s">
        <v>1533</v>
      </c>
      <c r="G15010" t="s">
        <v>32308</v>
      </c>
      <c r="H15010" t="s">
        <v>445</v>
      </c>
      <c r="I15010" t="s">
        <v>446</v>
      </c>
      <c r="J15010" t="s">
        <v>32309</v>
      </c>
      <c r="K15010">
        <v>8725</v>
      </c>
      <c r="L15010" t="s">
        <v>23</v>
      </c>
      <c r="M15010" t="s">
        <v>32308</v>
      </c>
      <c r="N15010" t="s">
        <v>445</v>
      </c>
      <c r="O15010" t="s">
        <v>446</v>
      </c>
      <c r="P15010" t="s">
        <v>32309</v>
      </c>
      <c r="Q15010">
        <v>8725</v>
      </c>
      <c r="R15010" t="s">
        <v>23</v>
      </c>
      <c r="S15010" s="1" t="s">
        <v>34218</v>
      </c>
    </row>
    <row r="15011" spans="1:19" x14ac:dyDescent="0.25">
      <c r="A15011">
        <v>101297497</v>
      </c>
      <c r="B15011" t="s">
        <v>4180</v>
      </c>
      <c r="C15011" t="s">
        <v>1036</v>
      </c>
      <c r="G15011" t="s">
        <v>32310</v>
      </c>
      <c r="H15011" t="s">
        <v>10093</v>
      </c>
      <c r="I15011" t="s">
        <v>84</v>
      </c>
      <c r="J15011" t="s">
        <v>32311</v>
      </c>
      <c r="K15011">
        <v>7714</v>
      </c>
      <c r="L15011" t="s">
        <v>23</v>
      </c>
      <c r="M15011" t="s">
        <v>32310</v>
      </c>
      <c r="N15011" t="s">
        <v>10093</v>
      </c>
      <c r="O15011" t="s">
        <v>84</v>
      </c>
      <c r="P15011" t="s">
        <v>32311</v>
      </c>
      <c r="Q15011">
        <v>7714</v>
      </c>
      <c r="R15011" t="s">
        <v>23</v>
      </c>
      <c r="S15011" s="1" t="s">
        <v>34218</v>
      </c>
    </row>
    <row r="15012" spans="1:19" x14ac:dyDescent="0.25">
      <c r="A15012">
        <v>101413672</v>
      </c>
      <c r="B15012" t="s">
        <v>32312</v>
      </c>
      <c r="C15012" t="s">
        <v>7844</v>
      </c>
      <c r="G15012" t="s">
        <v>32313</v>
      </c>
      <c r="H15012" t="s">
        <v>32314</v>
      </c>
      <c r="I15012" t="s">
        <v>28</v>
      </c>
      <c r="J15012" t="s">
        <v>32315</v>
      </c>
      <c r="K15012">
        <v>4072</v>
      </c>
      <c r="L15012" t="s">
        <v>23</v>
      </c>
      <c r="M15012" t="s">
        <v>32313</v>
      </c>
      <c r="N15012" t="s">
        <v>32314</v>
      </c>
      <c r="O15012" t="s">
        <v>28</v>
      </c>
      <c r="P15012" t="s">
        <v>32315</v>
      </c>
      <c r="Q15012">
        <v>4072</v>
      </c>
      <c r="R15012" t="s">
        <v>23</v>
      </c>
      <c r="S15012" s="1" t="s">
        <v>34218</v>
      </c>
    </row>
    <row r="15013" spans="1:19" x14ac:dyDescent="0.25">
      <c r="A15013">
        <v>101131833</v>
      </c>
      <c r="B15013" t="s">
        <v>32316</v>
      </c>
      <c r="C15013" t="s">
        <v>32317</v>
      </c>
      <c r="G15013" t="s">
        <v>32318</v>
      </c>
      <c r="H15013" t="s">
        <v>125</v>
      </c>
      <c r="I15013" t="s">
        <v>126</v>
      </c>
      <c r="J15013" t="s">
        <v>32319</v>
      </c>
      <c r="K15013">
        <v>1011</v>
      </c>
      <c r="L15013" t="s">
        <v>23</v>
      </c>
      <c r="M15013" t="s">
        <v>32318</v>
      </c>
      <c r="N15013" t="s">
        <v>125</v>
      </c>
      <c r="O15013" t="s">
        <v>126</v>
      </c>
      <c r="P15013" t="s">
        <v>32319</v>
      </c>
      <c r="Q15013">
        <v>1011</v>
      </c>
      <c r="R15013" t="s">
        <v>23</v>
      </c>
      <c r="S15013" s="1" t="s">
        <v>34218</v>
      </c>
    </row>
    <row r="15014" spans="1:19" x14ac:dyDescent="0.25">
      <c r="A15014">
        <v>101445405</v>
      </c>
      <c r="B15014" t="s">
        <v>4956</v>
      </c>
      <c r="C15014" t="s">
        <v>362</v>
      </c>
      <c r="G15014" t="s">
        <v>4957</v>
      </c>
      <c r="H15014" t="s">
        <v>4958</v>
      </c>
      <c r="I15014" t="s">
        <v>332</v>
      </c>
      <c r="J15014" t="s">
        <v>32320</v>
      </c>
      <c r="K15014">
        <v>7972</v>
      </c>
      <c r="L15014" t="s">
        <v>23</v>
      </c>
      <c r="M15014" t="s">
        <v>4957</v>
      </c>
      <c r="N15014" t="s">
        <v>4958</v>
      </c>
      <c r="O15014" t="s">
        <v>332</v>
      </c>
      <c r="P15014" t="s">
        <v>32320</v>
      </c>
      <c r="Q15014">
        <v>7972</v>
      </c>
      <c r="R15014" t="s">
        <v>23</v>
      </c>
      <c r="S15014" s="1" t="s">
        <v>34218</v>
      </c>
    </row>
    <row r="15015" spans="1:19" x14ac:dyDescent="0.25">
      <c r="A15015">
        <v>101267847</v>
      </c>
      <c r="B15015" t="s">
        <v>32321</v>
      </c>
      <c r="C15015" t="s">
        <v>247</v>
      </c>
      <c r="G15015" t="s">
        <v>32322</v>
      </c>
      <c r="H15015" t="s">
        <v>11077</v>
      </c>
      <c r="I15015" t="s">
        <v>161</v>
      </c>
      <c r="J15015" t="s">
        <v>32323</v>
      </c>
      <c r="K15015">
        <v>5403</v>
      </c>
      <c r="L15015" t="s">
        <v>23</v>
      </c>
      <c r="M15015" t="s">
        <v>32322</v>
      </c>
      <c r="N15015" t="s">
        <v>11077</v>
      </c>
      <c r="O15015" t="s">
        <v>161</v>
      </c>
      <c r="P15015" t="s">
        <v>32323</v>
      </c>
      <c r="Q15015">
        <v>5403</v>
      </c>
      <c r="R15015" t="s">
        <v>23</v>
      </c>
      <c r="S15015" s="1" t="s">
        <v>34218</v>
      </c>
    </row>
    <row r="15016" spans="1:19" x14ac:dyDescent="0.25">
      <c r="A15016">
        <v>101430598</v>
      </c>
      <c r="B15016" t="s">
        <v>25438</v>
      </c>
      <c r="C15016" t="s">
        <v>3566</v>
      </c>
      <c r="G15016" t="s">
        <v>32324</v>
      </c>
      <c r="H15016" t="s">
        <v>4989</v>
      </c>
      <c r="I15016" t="s">
        <v>84</v>
      </c>
      <c r="J15016" t="s">
        <v>32325</v>
      </c>
      <c r="K15016">
        <v>5025</v>
      </c>
      <c r="L15016" t="s">
        <v>23</v>
      </c>
      <c r="M15016" t="s">
        <v>32324</v>
      </c>
      <c r="N15016" t="s">
        <v>4989</v>
      </c>
      <c r="O15016" t="s">
        <v>84</v>
      </c>
      <c r="P15016" t="s">
        <v>32325</v>
      </c>
      <c r="Q15016">
        <v>5025</v>
      </c>
      <c r="R15016" t="s">
        <v>23</v>
      </c>
      <c r="S15016" s="1" t="s">
        <v>34218</v>
      </c>
    </row>
    <row r="15017" spans="1:19" x14ac:dyDescent="0.25">
      <c r="A15017">
        <v>101445415</v>
      </c>
      <c r="B15017" t="s">
        <v>3992</v>
      </c>
      <c r="C15017" t="s">
        <v>579</v>
      </c>
      <c r="G15017" t="s">
        <v>16858</v>
      </c>
      <c r="H15017" t="s">
        <v>3270</v>
      </c>
      <c r="I15017" t="s">
        <v>348</v>
      </c>
      <c r="J15017" t="s">
        <v>32326</v>
      </c>
      <c r="K15017">
        <v>6102</v>
      </c>
      <c r="L15017" t="s">
        <v>23</v>
      </c>
      <c r="M15017" t="s">
        <v>16858</v>
      </c>
      <c r="N15017" t="s">
        <v>3270</v>
      </c>
      <c r="O15017" t="s">
        <v>348</v>
      </c>
      <c r="P15017" t="s">
        <v>32326</v>
      </c>
      <c r="Q15017">
        <v>6102</v>
      </c>
      <c r="R15017" t="s">
        <v>23</v>
      </c>
      <c r="S15017" s="1" t="s">
        <v>34218</v>
      </c>
    </row>
    <row r="15018" spans="1:19" x14ac:dyDescent="0.25">
      <c r="A15018">
        <v>100577294</v>
      </c>
      <c r="B15018" t="s">
        <v>32327</v>
      </c>
      <c r="C15018" t="s">
        <v>505</v>
      </c>
      <c r="G15018" t="s">
        <v>32328</v>
      </c>
      <c r="H15018" t="s">
        <v>10653</v>
      </c>
      <c r="I15018" t="s">
        <v>135</v>
      </c>
      <c r="J15018">
        <v>60091</v>
      </c>
      <c r="L15018" t="s">
        <v>23</v>
      </c>
      <c r="M15018" t="s">
        <v>32328</v>
      </c>
      <c r="N15018" t="s">
        <v>10653</v>
      </c>
      <c r="O15018" t="s">
        <v>135</v>
      </c>
      <c r="P15018">
        <v>60091</v>
      </c>
      <c r="R15018" t="s">
        <v>23</v>
      </c>
      <c r="S15018" s="1" t="s">
        <v>34218</v>
      </c>
    </row>
    <row r="15019" spans="1:19" x14ac:dyDescent="0.25">
      <c r="A15019">
        <v>101431339</v>
      </c>
      <c r="B15019" t="s">
        <v>3476</v>
      </c>
      <c r="C15019" t="s">
        <v>7106</v>
      </c>
      <c r="G15019" t="s">
        <v>32329</v>
      </c>
      <c r="H15019" t="s">
        <v>389</v>
      </c>
      <c r="I15019" t="s">
        <v>100</v>
      </c>
      <c r="J15019" t="s">
        <v>32330</v>
      </c>
      <c r="K15019">
        <v>2547</v>
      </c>
      <c r="L15019" t="s">
        <v>23</v>
      </c>
      <c r="M15019" t="s">
        <v>32329</v>
      </c>
      <c r="N15019" t="s">
        <v>389</v>
      </c>
      <c r="O15019" t="s">
        <v>100</v>
      </c>
      <c r="P15019" t="s">
        <v>32330</v>
      </c>
      <c r="Q15019">
        <v>2547</v>
      </c>
      <c r="R15019" t="s">
        <v>23</v>
      </c>
      <c r="S15019" s="1" t="s">
        <v>34218</v>
      </c>
    </row>
    <row r="15020" spans="1:19" x14ac:dyDescent="0.25">
      <c r="A15020">
        <v>101267010</v>
      </c>
      <c r="B15020" t="s">
        <v>4471</v>
      </c>
      <c r="C15020" t="s">
        <v>3365</v>
      </c>
      <c r="G15020" t="s">
        <v>32331</v>
      </c>
      <c r="H15020" t="s">
        <v>66</v>
      </c>
      <c r="I15020" t="s">
        <v>22</v>
      </c>
      <c r="J15020" t="s">
        <v>32332</v>
      </c>
      <c r="K15020">
        <v>1416</v>
      </c>
      <c r="L15020" t="s">
        <v>23</v>
      </c>
      <c r="M15020" t="s">
        <v>32331</v>
      </c>
      <c r="N15020" t="s">
        <v>66</v>
      </c>
      <c r="O15020" t="s">
        <v>22</v>
      </c>
      <c r="P15020" t="s">
        <v>32332</v>
      </c>
      <c r="Q15020">
        <v>1416</v>
      </c>
      <c r="R15020" t="s">
        <v>23</v>
      </c>
      <c r="S15020" s="1" t="s">
        <v>34218</v>
      </c>
    </row>
    <row r="15021" spans="1:19" x14ac:dyDescent="0.25">
      <c r="A15021">
        <v>101360116</v>
      </c>
      <c r="B15021" t="s">
        <v>3438</v>
      </c>
      <c r="C15021" t="s">
        <v>1327</v>
      </c>
      <c r="G15021" t="s">
        <v>32333</v>
      </c>
      <c r="H15021" t="s">
        <v>8317</v>
      </c>
      <c r="I15021" t="s">
        <v>33</v>
      </c>
      <c r="J15021" t="s">
        <v>32334</v>
      </c>
      <c r="K15021">
        <v>4101</v>
      </c>
      <c r="L15021" t="s">
        <v>23</v>
      </c>
      <c r="M15021" t="s">
        <v>32333</v>
      </c>
      <c r="N15021" t="s">
        <v>8317</v>
      </c>
      <c r="O15021" t="s">
        <v>33</v>
      </c>
      <c r="P15021" t="s">
        <v>32334</v>
      </c>
      <c r="Q15021">
        <v>4101</v>
      </c>
      <c r="R15021" t="s">
        <v>23</v>
      </c>
      <c r="S15021" s="1" t="s">
        <v>34218</v>
      </c>
    </row>
    <row r="15022" spans="1:19" x14ac:dyDescent="0.25">
      <c r="A15022">
        <v>101438055</v>
      </c>
      <c r="B15022" t="s">
        <v>16362</v>
      </c>
      <c r="C15022" t="s">
        <v>1218</v>
      </c>
      <c r="G15022" t="s">
        <v>32335</v>
      </c>
      <c r="H15022" t="s">
        <v>20341</v>
      </c>
      <c r="I15022" t="s">
        <v>52</v>
      </c>
      <c r="J15022" t="s">
        <v>32336</v>
      </c>
      <c r="K15022">
        <v>2951</v>
      </c>
      <c r="L15022" t="s">
        <v>23</v>
      </c>
      <c r="M15022" t="s">
        <v>32335</v>
      </c>
      <c r="N15022" t="s">
        <v>20341</v>
      </c>
      <c r="O15022" t="s">
        <v>52</v>
      </c>
      <c r="P15022" t="s">
        <v>32336</v>
      </c>
      <c r="Q15022">
        <v>2951</v>
      </c>
      <c r="R15022" t="s">
        <v>23</v>
      </c>
      <c r="S15022" s="1" t="s">
        <v>34218</v>
      </c>
    </row>
    <row r="15023" spans="1:19" x14ac:dyDescent="0.25">
      <c r="A15023">
        <v>101299941</v>
      </c>
      <c r="B15023" t="s">
        <v>585</v>
      </c>
      <c r="C15023" t="s">
        <v>1959</v>
      </c>
      <c r="G15023" t="s">
        <v>32337</v>
      </c>
      <c r="H15023" t="s">
        <v>32338</v>
      </c>
      <c r="I15023" t="s">
        <v>332</v>
      </c>
      <c r="J15023" t="s">
        <v>32339</v>
      </c>
      <c r="K15023">
        <v>5771</v>
      </c>
      <c r="L15023" t="s">
        <v>23</v>
      </c>
      <c r="M15023" t="s">
        <v>32337</v>
      </c>
      <c r="N15023" t="s">
        <v>32338</v>
      </c>
      <c r="O15023" t="s">
        <v>332</v>
      </c>
      <c r="P15023" t="s">
        <v>32339</v>
      </c>
      <c r="Q15023">
        <v>5771</v>
      </c>
      <c r="R15023" t="s">
        <v>23</v>
      </c>
      <c r="S15023" s="1" t="s">
        <v>34218</v>
      </c>
    </row>
    <row r="15024" spans="1:19" x14ac:dyDescent="0.25">
      <c r="A15024">
        <v>101270515</v>
      </c>
      <c r="B15024" t="s">
        <v>32340</v>
      </c>
      <c r="C15024" t="s">
        <v>15579</v>
      </c>
      <c r="G15024" t="s">
        <v>32341</v>
      </c>
      <c r="H15024" t="s">
        <v>12661</v>
      </c>
      <c r="I15024" t="s">
        <v>38</v>
      </c>
      <c r="J15024" t="s">
        <v>32342</v>
      </c>
      <c r="K15024">
        <v>3003</v>
      </c>
      <c r="L15024" t="s">
        <v>23</v>
      </c>
      <c r="M15024" t="s">
        <v>32341</v>
      </c>
      <c r="N15024" t="s">
        <v>12661</v>
      </c>
      <c r="O15024" t="s">
        <v>38</v>
      </c>
      <c r="P15024" t="s">
        <v>32342</v>
      </c>
      <c r="Q15024">
        <v>3003</v>
      </c>
      <c r="R15024" t="s">
        <v>23</v>
      </c>
      <c r="S15024" s="1" t="s">
        <v>34218</v>
      </c>
    </row>
    <row r="15025" spans="1:19" x14ac:dyDescent="0.25">
      <c r="A15025">
        <v>101078635</v>
      </c>
      <c r="B15025" t="s">
        <v>497</v>
      </c>
      <c r="C15025" t="s">
        <v>158</v>
      </c>
      <c r="G15025" t="s">
        <v>32343</v>
      </c>
      <c r="H15025" t="s">
        <v>16920</v>
      </c>
      <c r="I15025" t="s">
        <v>191</v>
      </c>
      <c r="J15025" t="s">
        <v>32344</v>
      </c>
      <c r="K15025">
        <v>4106</v>
      </c>
      <c r="L15025" t="s">
        <v>23</v>
      </c>
      <c r="M15025" t="s">
        <v>32343</v>
      </c>
      <c r="N15025" t="s">
        <v>16920</v>
      </c>
      <c r="O15025" t="s">
        <v>191</v>
      </c>
      <c r="P15025" t="s">
        <v>32344</v>
      </c>
      <c r="Q15025">
        <v>4106</v>
      </c>
      <c r="R15025" t="s">
        <v>23</v>
      </c>
      <c r="S15025" s="1" t="s">
        <v>34218</v>
      </c>
    </row>
    <row r="15026" spans="1:19" x14ac:dyDescent="0.25">
      <c r="A15026">
        <v>101192378</v>
      </c>
      <c r="B15026" t="s">
        <v>32345</v>
      </c>
      <c r="C15026" t="s">
        <v>32346</v>
      </c>
      <c r="G15026" t="s">
        <v>32347</v>
      </c>
      <c r="H15026" t="s">
        <v>3278</v>
      </c>
      <c r="I15026" t="s">
        <v>117</v>
      </c>
      <c r="J15026">
        <v>10580</v>
      </c>
      <c r="K15026">
        <v>1865</v>
      </c>
      <c r="L15026" t="s">
        <v>23</v>
      </c>
      <c r="M15026" t="s">
        <v>32347</v>
      </c>
      <c r="N15026" t="s">
        <v>3278</v>
      </c>
      <c r="O15026" t="s">
        <v>117</v>
      </c>
      <c r="P15026">
        <v>10580</v>
      </c>
      <c r="Q15026">
        <v>1865</v>
      </c>
      <c r="R15026" t="s">
        <v>23</v>
      </c>
      <c r="S15026" s="1" t="s">
        <v>34218</v>
      </c>
    </row>
    <row r="15027" spans="1:19" x14ac:dyDescent="0.25">
      <c r="A15027">
        <v>101423028</v>
      </c>
      <c r="B15027" t="s">
        <v>2689</v>
      </c>
      <c r="C15027" t="s">
        <v>49</v>
      </c>
      <c r="G15027" t="s">
        <v>32348</v>
      </c>
      <c r="H15027" t="s">
        <v>61</v>
      </c>
      <c r="I15027" t="s">
        <v>62</v>
      </c>
      <c r="J15027">
        <v>73120</v>
      </c>
      <c r="K15027">
        <v>5108</v>
      </c>
      <c r="L15027" t="s">
        <v>23</v>
      </c>
      <c r="M15027" t="s">
        <v>32348</v>
      </c>
      <c r="N15027" t="s">
        <v>61</v>
      </c>
      <c r="O15027" t="s">
        <v>62</v>
      </c>
      <c r="P15027">
        <v>73120</v>
      </c>
      <c r="Q15027">
        <v>5108</v>
      </c>
      <c r="R15027" t="s">
        <v>23</v>
      </c>
      <c r="S15027" s="1" t="s">
        <v>34218</v>
      </c>
    </row>
    <row r="15028" spans="1:19" x14ac:dyDescent="0.25">
      <c r="A15028">
        <v>101453865</v>
      </c>
      <c r="B15028" t="s">
        <v>4475</v>
      </c>
      <c r="C15028" t="s">
        <v>3878</v>
      </c>
      <c r="G15028" t="s">
        <v>32349</v>
      </c>
      <c r="H15028" t="s">
        <v>14142</v>
      </c>
      <c r="I15028" t="s">
        <v>117</v>
      </c>
      <c r="J15028">
        <v>14450</v>
      </c>
      <c r="K15028">
        <v>9405</v>
      </c>
      <c r="L15028" t="s">
        <v>23</v>
      </c>
      <c r="M15028" t="s">
        <v>32349</v>
      </c>
      <c r="N15028" t="s">
        <v>14142</v>
      </c>
      <c r="O15028" t="s">
        <v>117</v>
      </c>
      <c r="P15028">
        <v>14450</v>
      </c>
      <c r="Q15028">
        <v>9405</v>
      </c>
      <c r="R15028" t="s">
        <v>23</v>
      </c>
      <c r="S15028" s="1" t="s">
        <v>34218</v>
      </c>
    </row>
    <row r="15029" spans="1:19" x14ac:dyDescent="0.25">
      <c r="A15029">
        <v>101427001</v>
      </c>
      <c r="B15029" t="s">
        <v>32350</v>
      </c>
      <c r="C15029" t="s">
        <v>5180</v>
      </c>
      <c r="G15029" t="s">
        <v>32351</v>
      </c>
      <c r="H15029" t="s">
        <v>3385</v>
      </c>
      <c r="I15029" t="s">
        <v>236</v>
      </c>
      <c r="J15029" t="s">
        <v>32352</v>
      </c>
      <c r="K15029">
        <v>2352</v>
      </c>
      <c r="L15029" t="s">
        <v>23</v>
      </c>
      <c r="M15029" t="s">
        <v>32351</v>
      </c>
      <c r="N15029" t="s">
        <v>3385</v>
      </c>
      <c r="O15029" t="s">
        <v>236</v>
      </c>
      <c r="P15029" t="s">
        <v>32352</v>
      </c>
      <c r="Q15029">
        <v>2352</v>
      </c>
      <c r="R15029" t="s">
        <v>23</v>
      </c>
      <c r="S15029" s="1" t="s">
        <v>34218</v>
      </c>
    </row>
    <row r="15030" spans="1:19" x14ac:dyDescent="0.25">
      <c r="A15030">
        <v>101256254</v>
      </c>
      <c r="B15030" t="s">
        <v>4718</v>
      </c>
      <c r="C15030" t="s">
        <v>1598</v>
      </c>
      <c r="G15030" t="s">
        <v>32353</v>
      </c>
      <c r="H15030" t="s">
        <v>134</v>
      </c>
      <c r="I15030" t="s">
        <v>135</v>
      </c>
      <c r="J15030" t="s">
        <v>32354</v>
      </c>
      <c r="K15030">
        <v>4087</v>
      </c>
      <c r="L15030" t="s">
        <v>23</v>
      </c>
      <c r="M15030" t="s">
        <v>32353</v>
      </c>
      <c r="N15030" t="s">
        <v>134</v>
      </c>
      <c r="O15030" t="s">
        <v>135</v>
      </c>
      <c r="P15030" t="s">
        <v>32354</v>
      </c>
      <c r="Q15030">
        <v>4087</v>
      </c>
      <c r="R15030" t="s">
        <v>23</v>
      </c>
      <c r="S15030" s="1" t="s">
        <v>34218</v>
      </c>
    </row>
    <row r="15031" spans="1:19" x14ac:dyDescent="0.25">
      <c r="A15031">
        <v>101308891</v>
      </c>
      <c r="B15031" t="s">
        <v>32355</v>
      </c>
      <c r="C15031" t="s">
        <v>32356</v>
      </c>
      <c r="G15031" t="s">
        <v>32357</v>
      </c>
      <c r="H15031" t="s">
        <v>32358</v>
      </c>
      <c r="I15031" t="s">
        <v>135</v>
      </c>
      <c r="J15031">
        <v>42312</v>
      </c>
      <c r="L15031" t="s">
        <v>23</v>
      </c>
      <c r="M15031" t="s">
        <v>32357</v>
      </c>
      <c r="N15031" t="s">
        <v>32358</v>
      </c>
      <c r="O15031" t="s">
        <v>135</v>
      </c>
      <c r="P15031">
        <v>42312</v>
      </c>
      <c r="R15031" t="s">
        <v>23</v>
      </c>
      <c r="S15031" s="1" t="s">
        <v>34218</v>
      </c>
    </row>
    <row r="15032" spans="1:19" x14ac:dyDescent="0.25">
      <c r="A15032">
        <v>101480880</v>
      </c>
      <c r="B15032" t="s">
        <v>32359</v>
      </c>
      <c r="C15032" t="s">
        <v>2518</v>
      </c>
      <c r="G15032" t="s">
        <v>32360</v>
      </c>
      <c r="H15032" t="s">
        <v>4929</v>
      </c>
      <c r="I15032" t="s">
        <v>161</v>
      </c>
      <c r="J15032">
        <v>6001</v>
      </c>
      <c r="K15032">
        <v>3109</v>
      </c>
      <c r="L15032" t="s">
        <v>23</v>
      </c>
      <c r="M15032" t="s">
        <v>32360</v>
      </c>
      <c r="N15032" t="s">
        <v>4929</v>
      </c>
      <c r="O15032" t="s">
        <v>161</v>
      </c>
      <c r="P15032">
        <v>6001</v>
      </c>
      <c r="Q15032">
        <v>3109</v>
      </c>
      <c r="R15032" t="s">
        <v>23</v>
      </c>
      <c r="S15032" s="1" t="s">
        <v>34218</v>
      </c>
    </row>
    <row r="15033" spans="1:19" x14ac:dyDescent="0.25">
      <c r="A15033">
        <v>100700036</v>
      </c>
      <c r="B15033" t="s">
        <v>12109</v>
      </c>
      <c r="C15033" t="s">
        <v>4046</v>
      </c>
      <c r="G15033" t="s">
        <v>32361</v>
      </c>
      <c r="H15033" t="s">
        <v>198</v>
      </c>
      <c r="I15033" t="s">
        <v>22</v>
      </c>
      <c r="J15033">
        <v>92108</v>
      </c>
      <c r="K15033">
        <v>1186</v>
      </c>
      <c r="L15033" t="s">
        <v>23</v>
      </c>
      <c r="M15033" t="s">
        <v>32361</v>
      </c>
      <c r="N15033" t="s">
        <v>198</v>
      </c>
      <c r="O15033" t="s">
        <v>22</v>
      </c>
      <c r="P15033">
        <v>92108</v>
      </c>
      <c r="Q15033">
        <v>1186</v>
      </c>
      <c r="R15033" t="s">
        <v>23</v>
      </c>
      <c r="S15033" s="1" t="s">
        <v>34218</v>
      </c>
    </row>
    <row r="15034" spans="1:19" x14ac:dyDescent="0.25">
      <c r="A15034">
        <v>101424270</v>
      </c>
      <c r="B15034" t="s">
        <v>32362</v>
      </c>
      <c r="C15034" t="s">
        <v>301</v>
      </c>
      <c r="G15034" t="s">
        <v>32363</v>
      </c>
      <c r="H15034" t="s">
        <v>653</v>
      </c>
      <c r="I15034" t="s">
        <v>117</v>
      </c>
      <c r="J15034">
        <v>10009</v>
      </c>
      <c r="L15034" t="s">
        <v>23</v>
      </c>
      <c r="M15034" t="s">
        <v>32363</v>
      </c>
      <c r="N15034" t="s">
        <v>653</v>
      </c>
      <c r="O15034" t="s">
        <v>117</v>
      </c>
      <c r="P15034">
        <v>10009</v>
      </c>
      <c r="R15034" t="s">
        <v>23</v>
      </c>
      <c r="S15034" s="1" t="s">
        <v>34218</v>
      </c>
    </row>
    <row r="15035" spans="1:19" x14ac:dyDescent="0.25">
      <c r="A15035">
        <v>101440159</v>
      </c>
      <c r="B15035" t="s">
        <v>32364</v>
      </c>
      <c r="C15035" t="s">
        <v>90</v>
      </c>
      <c r="G15035" t="s">
        <v>32365</v>
      </c>
      <c r="H15035" t="s">
        <v>169</v>
      </c>
      <c r="I15035" t="s">
        <v>170</v>
      </c>
      <c r="J15035">
        <v>20024</v>
      </c>
      <c r="K15035">
        <v>4418</v>
      </c>
      <c r="L15035" t="s">
        <v>23</v>
      </c>
      <c r="M15035" t="s">
        <v>32365</v>
      </c>
      <c r="N15035" t="s">
        <v>169</v>
      </c>
      <c r="O15035" t="s">
        <v>170</v>
      </c>
      <c r="P15035">
        <v>20024</v>
      </c>
      <c r="Q15035">
        <v>4418</v>
      </c>
      <c r="R15035" t="s">
        <v>23</v>
      </c>
      <c r="S15035" s="1" t="s">
        <v>34218</v>
      </c>
    </row>
    <row r="15036" spans="1:19" x14ac:dyDescent="0.25">
      <c r="A15036">
        <v>100656486</v>
      </c>
      <c r="B15036" t="s">
        <v>2125</v>
      </c>
      <c r="C15036" t="s">
        <v>554</v>
      </c>
      <c r="G15036" t="s">
        <v>32366</v>
      </c>
      <c r="H15036" t="s">
        <v>1355</v>
      </c>
      <c r="I15036" t="s">
        <v>153</v>
      </c>
      <c r="J15036">
        <v>71203</v>
      </c>
      <c r="L15036" t="s">
        <v>23</v>
      </c>
      <c r="M15036" t="s">
        <v>32366</v>
      </c>
      <c r="N15036" t="s">
        <v>1355</v>
      </c>
      <c r="O15036" t="s">
        <v>153</v>
      </c>
      <c r="P15036">
        <v>71203</v>
      </c>
      <c r="R15036" t="s">
        <v>23</v>
      </c>
      <c r="S15036" s="1" t="s">
        <v>34218</v>
      </c>
    </row>
    <row r="15037" spans="1:19" x14ac:dyDescent="0.25">
      <c r="A15037">
        <v>101335514</v>
      </c>
      <c r="B15037" t="s">
        <v>32367</v>
      </c>
      <c r="C15037" t="s">
        <v>247</v>
      </c>
      <c r="G15037" t="s">
        <v>32368</v>
      </c>
      <c r="H15037" t="s">
        <v>32369</v>
      </c>
      <c r="I15037" t="s">
        <v>33</v>
      </c>
      <c r="J15037">
        <v>19061</v>
      </c>
      <c r="K15037">
        <v>3752</v>
      </c>
      <c r="L15037" t="s">
        <v>23</v>
      </c>
      <c r="M15037" t="s">
        <v>32368</v>
      </c>
      <c r="N15037" t="s">
        <v>32369</v>
      </c>
      <c r="O15037" t="s">
        <v>33</v>
      </c>
      <c r="P15037">
        <v>19061</v>
      </c>
      <c r="Q15037">
        <v>3752</v>
      </c>
      <c r="R15037" t="s">
        <v>23</v>
      </c>
      <c r="S15037" s="1" t="s">
        <v>34218</v>
      </c>
    </row>
    <row r="15038" spans="1:19" x14ac:dyDescent="0.25">
      <c r="A15038">
        <v>100638128</v>
      </c>
      <c r="B15038" t="s">
        <v>32370</v>
      </c>
      <c r="C15038" t="s">
        <v>12960</v>
      </c>
      <c r="G15038" t="s">
        <v>32371</v>
      </c>
      <c r="H15038" t="s">
        <v>1105</v>
      </c>
      <c r="I15038" t="s">
        <v>117</v>
      </c>
      <c r="J15038">
        <v>10456</v>
      </c>
      <c r="K15038">
        <v>5736</v>
      </c>
      <c r="L15038" t="s">
        <v>23</v>
      </c>
      <c r="M15038" t="s">
        <v>32371</v>
      </c>
      <c r="N15038" t="s">
        <v>1105</v>
      </c>
      <c r="O15038" t="s">
        <v>117</v>
      </c>
      <c r="P15038">
        <v>10456</v>
      </c>
      <c r="Q15038">
        <v>5736</v>
      </c>
      <c r="R15038" t="s">
        <v>23</v>
      </c>
      <c r="S15038" s="1" t="s">
        <v>34218</v>
      </c>
    </row>
    <row r="15039" spans="1:19" x14ac:dyDescent="0.25">
      <c r="A15039">
        <v>101445777</v>
      </c>
      <c r="B15039" t="s">
        <v>32372</v>
      </c>
      <c r="C15039" t="s">
        <v>2151</v>
      </c>
      <c r="G15039" t="s">
        <v>32373</v>
      </c>
      <c r="H15039" t="s">
        <v>10730</v>
      </c>
      <c r="I15039" t="s">
        <v>191</v>
      </c>
      <c r="J15039">
        <v>4903</v>
      </c>
      <c r="K15039">
        <v>1704</v>
      </c>
      <c r="L15039" t="s">
        <v>23</v>
      </c>
      <c r="M15039" t="s">
        <v>32373</v>
      </c>
      <c r="N15039" t="s">
        <v>10730</v>
      </c>
      <c r="O15039" t="s">
        <v>191</v>
      </c>
      <c r="P15039">
        <v>4903</v>
      </c>
      <c r="Q15039">
        <v>1704</v>
      </c>
      <c r="R15039" t="s">
        <v>23</v>
      </c>
      <c r="S15039" s="1" t="s">
        <v>34218</v>
      </c>
    </row>
    <row r="15040" spans="1:19" x14ac:dyDescent="0.25">
      <c r="A15040">
        <v>101480892</v>
      </c>
      <c r="B15040" t="s">
        <v>32374</v>
      </c>
      <c r="C15040" t="s">
        <v>535</v>
      </c>
      <c r="G15040" t="s">
        <v>32375</v>
      </c>
      <c r="H15040" t="s">
        <v>638</v>
      </c>
      <c r="I15040" t="s">
        <v>639</v>
      </c>
      <c r="J15040">
        <v>87122</v>
      </c>
      <c r="K15040">
        <v>4311</v>
      </c>
      <c r="L15040" t="s">
        <v>23</v>
      </c>
      <c r="M15040" t="s">
        <v>32375</v>
      </c>
      <c r="N15040" t="s">
        <v>638</v>
      </c>
      <c r="O15040" t="s">
        <v>639</v>
      </c>
      <c r="P15040">
        <v>87122</v>
      </c>
      <c r="Q15040">
        <v>4311</v>
      </c>
      <c r="R15040" t="s">
        <v>23</v>
      </c>
      <c r="S15040" s="1" t="s">
        <v>34218</v>
      </c>
    </row>
    <row r="15041" spans="1:19" x14ac:dyDescent="0.25">
      <c r="A15041">
        <v>101480647</v>
      </c>
      <c r="B15041" t="s">
        <v>16651</v>
      </c>
      <c r="C15041" t="s">
        <v>440</v>
      </c>
      <c r="G15041" t="s">
        <v>32376</v>
      </c>
      <c r="H15041" t="s">
        <v>2399</v>
      </c>
      <c r="I15041" t="s">
        <v>71</v>
      </c>
      <c r="J15041">
        <v>80524</v>
      </c>
      <c r="K15041">
        <v>3818</v>
      </c>
      <c r="L15041" t="s">
        <v>23</v>
      </c>
      <c r="M15041" t="s">
        <v>32376</v>
      </c>
      <c r="N15041" t="s">
        <v>2399</v>
      </c>
      <c r="O15041" t="s">
        <v>71</v>
      </c>
      <c r="P15041">
        <v>80524</v>
      </c>
      <c r="Q15041">
        <v>3818</v>
      </c>
      <c r="R15041" t="s">
        <v>23</v>
      </c>
      <c r="S15041" s="1" t="s">
        <v>34218</v>
      </c>
    </row>
    <row r="15042" spans="1:19" x14ac:dyDescent="0.25">
      <c r="A15042">
        <v>101202499</v>
      </c>
      <c r="B15042" t="s">
        <v>3187</v>
      </c>
      <c r="C15042" t="s">
        <v>32377</v>
      </c>
      <c r="G15042" t="s">
        <v>32378</v>
      </c>
      <c r="H15042" t="s">
        <v>380</v>
      </c>
      <c r="I15042" t="s">
        <v>38</v>
      </c>
      <c r="J15042">
        <v>75287</v>
      </c>
      <c r="K15042">
        <v>4013</v>
      </c>
      <c r="L15042" t="s">
        <v>23</v>
      </c>
      <c r="M15042" t="s">
        <v>32378</v>
      </c>
      <c r="N15042" t="s">
        <v>380</v>
      </c>
      <c r="O15042" t="s">
        <v>38</v>
      </c>
      <c r="P15042">
        <v>75287</v>
      </c>
      <c r="Q15042">
        <v>4013</v>
      </c>
      <c r="R15042" t="s">
        <v>23</v>
      </c>
      <c r="S15042" s="1" t="s">
        <v>34218</v>
      </c>
    </row>
    <row r="15043" spans="1:19" x14ac:dyDescent="0.25">
      <c r="A15043">
        <v>100969807</v>
      </c>
      <c r="B15043" t="s">
        <v>32379</v>
      </c>
      <c r="C15043" t="s">
        <v>274</v>
      </c>
      <c r="G15043" t="s">
        <v>32380</v>
      </c>
      <c r="H15043" t="s">
        <v>32381</v>
      </c>
      <c r="I15043" t="s">
        <v>250</v>
      </c>
      <c r="J15043">
        <v>8731</v>
      </c>
      <c r="L15043" t="s">
        <v>23</v>
      </c>
      <c r="M15043" t="s">
        <v>32380</v>
      </c>
      <c r="N15043" t="s">
        <v>32381</v>
      </c>
      <c r="O15043" t="s">
        <v>250</v>
      </c>
      <c r="P15043">
        <v>8731</v>
      </c>
      <c r="R15043" t="s">
        <v>23</v>
      </c>
      <c r="S15043" s="1" t="s">
        <v>34218</v>
      </c>
    </row>
    <row r="15044" spans="1:19" x14ac:dyDescent="0.25">
      <c r="A15044">
        <v>101474213</v>
      </c>
      <c r="B15044" t="s">
        <v>32382</v>
      </c>
      <c r="C15044" t="s">
        <v>3670</v>
      </c>
      <c r="G15044" t="s">
        <v>32383</v>
      </c>
      <c r="H15044" t="s">
        <v>11402</v>
      </c>
      <c r="I15044" t="s">
        <v>178</v>
      </c>
      <c r="J15044">
        <v>44022</v>
      </c>
      <c r="K15044">
        <v>3208</v>
      </c>
      <c r="L15044" t="s">
        <v>23</v>
      </c>
      <c r="M15044" t="s">
        <v>32383</v>
      </c>
      <c r="N15044" t="s">
        <v>11402</v>
      </c>
      <c r="O15044" t="s">
        <v>178</v>
      </c>
      <c r="P15044">
        <v>44022</v>
      </c>
      <c r="Q15044">
        <v>3208</v>
      </c>
      <c r="R15044" t="s">
        <v>23</v>
      </c>
      <c r="S15044" s="1" t="s">
        <v>34218</v>
      </c>
    </row>
    <row r="15045" spans="1:19" x14ac:dyDescent="0.25">
      <c r="A15045">
        <v>101432296</v>
      </c>
      <c r="B15045" t="s">
        <v>1717</v>
      </c>
      <c r="C15045" t="s">
        <v>2790</v>
      </c>
      <c r="G15045" t="s">
        <v>32384</v>
      </c>
      <c r="H15045" t="s">
        <v>28987</v>
      </c>
      <c r="I15045" t="s">
        <v>332</v>
      </c>
      <c r="J15045">
        <v>84128</v>
      </c>
      <c r="K15045">
        <v>5664</v>
      </c>
      <c r="L15045" t="s">
        <v>23</v>
      </c>
      <c r="M15045" t="s">
        <v>32384</v>
      </c>
      <c r="N15045" t="s">
        <v>28987</v>
      </c>
      <c r="O15045" t="s">
        <v>332</v>
      </c>
      <c r="P15045">
        <v>84128</v>
      </c>
      <c r="Q15045">
        <v>5664</v>
      </c>
      <c r="R15045" t="s">
        <v>23</v>
      </c>
      <c r="S15045" s="1" t="s">
        <v>34218</v>
      </c>
    </row>
    <row r="15046" spans="1:19" x14ac:dyDescent="0.25">
      <c r="A15046">
        <v>101425724</v>
      </c>
      <c r="B15046" t="s">
        <v>21619</v>
      </c>
      <c r="C15046" t="s">
        <v>286</v>
      </c>
      <c r="G15046" t="s">
        <v>32385</v>
      </c>
      <c r="H15046" t="s">
        <v>688</v>
      </c>
      <c r="I15046" t="s">
        <v>187</v>
      </c>
      <c r="J15046">
        <v>55906</v>
      </c>
      <c r="K15046">
        <v>3447</v>
      </c>
      <c r="L15046" t="s">
        <v>23</v>
      </c>
      <c r="M15046" t="s">
        <v>32385</v>
      </c>
      <c r="N15046" t="s">
        <v>688</v>
      </c>
      <c r="O15046" t="s">
        <v>187</v>
      </c>
      <c r="P15046">
        <v>55906</v>
      </c>
      <c r="Q15046">
        <v>3447</v>
      </c>
      <c r="R15046" t="s">
        <v>23</v>
      </c>
      <c r="S15046" s="1" t="s">
        <v>34218</v>
      </c>
    </row>
    <row r="15047" spans="1:19" x14ac:dyDescent="0.25">
      <c r="A15047">
        <v>101455189</v>
      </c>
      <c r="B15047" t="s">
        <v>727</v>
      </c>
      <c r="C15047" t="s">
        <v>1208</v>
      </c>
      <c r="G15047" t="s">
        <v>32386</v>
      </c>
      <c r="H15047" t="s">
        <v>12591</v>
      </c>
      <c r="I15047" t="s">
        <v>307</v>
      </c>
      <c r="J15047">
        <v>5465</v>
      </c>
      <c r="K15047">
        <v>9608</v>
      </c>
      <c r="L15047" t="s">
        <v>23</v>
      </c>
      <c r="M15047" t="s">
        <v>32386</v>
      </c>
      <c r="N15047" t="s">
        <v>12591</v>
      </c>
      <c r="O15047" t="s">
        <v>307</v>
      </c>
      <c r="P15047">
        <v>5465</v>
      </c>
      <c r="Q15047">
        <v>9608</v>
      </c>
      <c r="R15047" t="s">
        <v>23</v>
      </c>
      <c r="S15047" s="1" t="s">
        <v>34218</v>
      </c>
    </row>
    <row r="15048" spans="1:19" x14ac:dyDescent="0.25">
      <c r="A15048">
        <v>101480903</v>
      </c>
      <c r="B15048" t="s">
        <v>5101</v>
      </c>
      <c r="C15048" t="s">
        <v>1873</v>
      </c>
      <c r="G15048" t="s">
        <v>32387</v>
      </c>
      <c r="H15048" t="s">
        <v>4262</v>
      </c>
      <c r="I15048" t="s">
        <v>365</v>
      </c>
      <c r="J15048">
        <v>85374</v>
      </c>
      <c r="K15048">
        <v>9511</v>
      </c>
      <c r="L15048" t="s">
        <v>23</v>
      </c>
      <c r="M15048" t="s">
        <v>32387</v>
      </c>
      <c r="N15048" t="s">
        <v>4262</v>
      </c>
      <c r="O15048" t="s">
        <v>365</v>
      </c>
      <c r="P15048">
        <v>85374</v>
      </c>
      <c r="Q15048">
        <v>9511</v>
      </c>
      <c r="R15048" t="s">
        <v>23</v>
      </c>
      <c r="S15048" s="1" t="s">
        <v>34218</v>
      </c>
    </row>
    <row r="15049" spans="1:19" x14ac:dyDescent="0.25">
      <c r="A15049">
        <v>100847935</v>
      </c>
      <c r="B15049" t="s">
        <v>6336</v>
      </c>
      <c r="C15049" t="s">
        <v>1616</v>
      </c>
      <c r="G15049" t="s">
        <v>32388</v>
      </c>
      <c r="H15049" t="s">
        <v>4005</v>
      </c>
      <c r="I15049" t="s">
        <v>117</v>
      </c>
      <c r="J15049">
        <v>13077</v>
      </c>
      <c r="K15049">
        <v>1002</v>
      </c>
      <c r="L15049" t="s">
        <v>23</v>
      </c>
      <c r="M15049" t="s">
        <v>32388</v>
      </c>
      <c r="N15049" t="s">
        <v>4005</v>
      </c>
      <c r="O15049" t="s">
        <v>117</v>
      </c>
      <c r="P15049">
        <v>13077</v>
      </c>
      <c r="Q15049">
        <v>1002</v>
      </c>
      <c r="R15049" t="s">
        <v>23</v>
      </c>
      <c r="S15049" s="1" t="s">
        <v>34218</v>
      </c>
    </row>
    <row r="15050" spans="1:19" x14ac:dyDescent="0.25">
      <c r="A15050">
        <v>101480906</v>
      </c>
      <c r="B15050" t="s">
        <v>32389</v>
      </c>
      <c r="C15050" t="s">
        <v>1069</v>
      </c>
      <c r="G15050" t="s">
        <v>32390</v>
      </c>
      <c r="H15050" t="s">
        <v>17099</v>
      </c>
      <c r="I15050" t="s">
        <v>135</v>
      </c>
      <c r="J15050">
        <v>60543</v>
      </c>
      <c r="K15050">
        <v>9128</v>
      </c>
      <c r="L15050" t="s">
        <v>23</v>
      </c>
      <c r="M15050" t="s">
        <v>32390</v>
      </c>
      <c r="N15050" t="s">
        <v>17099</v>
      </c>
      <c r="O15050" t="s">
        <v>135</v>
      </c>
      <c r="P15050">
        <v>60543</v>
      </c>
      <c r="Q15050">
        <v>9128</v>
      </c>
      <c r="R15050" t="s">
        <v>23</v>
      </c>
      <c r="S15050" s="1" t="s">
        <v>34218</v>
      </c>
    </row>
    <row r="15051" spans="1:19" x14ac:dyDescent="0.25">
      <c r="A15051">
        <v>101480908</v>
      </c>
      <c r="B15051" t="s">
        <v>27565</v>
      </c>
      <c r="C15051" t="s">
        <v>562</v>
      </c>
      <c r="G15051" t="s">
        <v>32391</v>
      </c>
      <c r="H15051" t="s">
        <v>32392</v>
      </c>
      <c r="I15051" t="s">
        <v>446</v>
      </c>
      <c r="J15051">
        <v>27886</v>
      </c>
      <c r="K15051">
        <v>2332</v>
      </c>
      <c r="L15051" t="s">
        <v>23</v>
      </c>
      <c r="M15051" t="s">
        <v>32391</v>
      </c>
      <c r="N15051" t="s">
        <v>32392</v>
      </c>
      <c r="O15051" t="s">
        <v>446</v>
      </c>
      <c r="P15051">
        <v>27886</v>
      </c>
      <c r="Q15051">
        <v>2332</v>
      </c>
      <c r="R15051" t="s">
        <v>23</v>
      </c>
      <c r="S15051" s="1" t="s">
        <v>34218</v>
      </c>
    </row>
    <row r="15052" spans="1:19" x14ac:dyDescent="0.25">
      <c r="A15052">
        <v>101480911</v>
      </c>
      <c r="B15052" t="s">
        <v>9923</v>
      </c>
      <c r="C15052" t="s">
        <v>865</v>
      </c>
      <c r="G15052" t="s">
        <v>32393</v>
      </c>
      <c r="H15052" t="s">
        <v>125</v>
      </c>
      <c r="I15052" t="s">
        <v>126</v>
      </c>
      <c r="J15052">
        <v>63128</v>
      </c>
      <c r="K15052">
        <v>4343</v>
      </c>
      <c r="L15052" t="s">
        <v>23</v>
      </c>
      <c r="M15052" t="s">
        <v>32393</v>
      </c>
      <c r="N15052" t="s">
        <v>125</v>
      </c>
      <c r="O15052" t="s">
        <v>126</v>
      </c>
      <c r="P15052">
        <v>63128</v>
      </c>
      <c r="Q15052">
        <v>4343</v>
      </c>
      <c r="R15052" t="s">
        <v>23</v>
      </c>
      <c r="S15052" s="1" t="s">
        <v>34218</v>
      </c>
    </row>
    <row r="15053" spans="1:19" x14ac:dyDescent="0.25">
      <c r="A15053">
        <v>101477196</v>
      </c>
      <c r="B15053" t="s">
        <v>9923</v>
      </c>
      <c r="C15053" t="s">
        <v>13476</v>
      </c>
      <c r="G15053" t="s">
        <v>32393</v>
      </c>
      <c r="H15053" t="s">
        <v>125</v>
      </c>
      <c r="I15053" t="s">
        <v>126</v>
      </c>
      <c r="J15053">
        <v>63128</v>
      </c>
      <c r="K15053">
        <v>4343</v>
      </c>
      <c r="L15053" t="s">
        <v>23</v>
      </c>
      <c r="M15053" t="s">
        <v>32393</v>
      </c>
      <c r="N15053" t="s">
        <v>125</v>
      </c>
      <c r="O15053" t="s">
        <v>126</v>
      </c>
      <c r="P15053">
        <v>63128</v>
      </c>
      <c r="Q15053">
        <v>4343</v>
      </c>
      <c r="R15053" t="s">
        <v>23</v>
      </c>
      <c r="S15053" s="1" t="s">
        <v>34218</v>
      </c>
    </row>
    <row r="15054" spans="1:19" x14ac:dyDescent="0.25">
      <c r="A15054">
        <v>101451039</v>
      </c>
      <c r="B15054" t="s">
        <v>9658</v>
      </c>
      <c r="C15054" t="s">
        <v>8472</v>
      </c>
      <c r="G15054" t="s">
        <v>32394</v>
      </c>
      <c r="H15054" t="s">
        <v>17339</v>
      </c>
      <c r="I15054" t="s">
        <v>236</v>
      </c>
      <c r="J15054">
        <v>2780</v>
      </c>
      <c r="K15054">
        <v>5025</v>
      </c>
      <c r="L15054" t="s">
        <v>23</v>
      </c>
      <c r="M15054" t="s">
        <v>32394</v>
      </c>
      <c r="N15054" t="s">
        <v>17339</v>
      </c>
      <c r="O15054" t="s">
        <v>236</v>
      </c>
      <c r="P15054">
        <v>2780</v>
      </c>
      <c r="Q15054">
        <v>5025</v>
      </c>
      <c r="R15054" t="s">
        <v>23</v>
      </c>
      <c r="S15054" s="1" t="s">
        <v>34218</v>
      </c>
    </row>
    <row r="15055" spans="1:19" x14ac:dyDescent="0.25">
      <c r="A15055">
        <v>101480923</v>
      </c>
      <c r="B15055" t="s">
        <v>32395</v>
      </c>
      <c r="C15055" t="s">
        <v>32396</v>
      </c>
      <c r="G15055" t="s">
        <v>32397</v>
      </c>
      <c r="H15055" t="s">
        <v>31433</v>
      </c>
      <c r="I15055" t="s">
        <v>236</v>
      </c>
      <c r="J15055">
        <v>1945</v>
      </c>
      <c r="K15055">
        <v>3234</v>
      </c>
      <c r="L15055" t="s">
        <v>23</v>
      </c>
      <c r="M15055" t="s">
        <v>32397</v>
      </c>
      <c r="N15055" t="s">
        <v>31433</v>
      </c>
      <c r="O15055" t="s">
        <v>236</v>
      </c>
      <c r="P15055">
        <v>1945</v>
      </c>
      <c r="Q15055">
        <v>3234</v>
      </c>
      <c r="R15055" t="s">
        <v>23</v>
      </c>
      <c r="S15055" s="1" t="s">
        <v>34218</v>
      </c>
    </row>
    <row r="15056" spans="1:19" x14ac:dyDescent="0.25">
      <c r="A15056">
        <v>101480924</v>
      </c>
      <c r="B15056" t="s">
        <v>32398</v>
      </c>
      <c r="C15056" t="s">
        <v>842</v>
      </c>
      <c r="G15056" t="s">
        <v>32399</v>
      </c>
      <c r="H15056" t="s">
        <v>18422</v>
      </c>
      <c r="I15056" t="s">
        <v>639</v>
      </c>
      <c r="J15056">
        <v>87107</v>
      </c>
      <c r="K15056">
        <v>6605</v>
      </c>
      <c r="L15056" t="s">
        <v>23</v>
      </c>
      <c r="M15056" t="s">
        <v>32399</v>
      </c>
      <c r="N15056" t="s">
        <v>18422</v>
      </c>
      <c r="O15056" t="s">
        <v>639</v>
      </c>
      <c r="P15056">
        <v>87107</v>
      </c>
      <c r="Q15056">
        <v>6605</v>
      </c>
      <c r="R15056" t="s">
        <v>23</v>
      </c>
      <c r="S15056" s="1" t="s">
        <v>34218</v>
      </c>
    </row>
    <row r="15057" spans="1:19" x14ac:dyDescent="0.25">
      <c r="A15057">
        <v>100619184</v>
      </c>
      <c r="B15057" t="s">
        <v>12727</v>
      </c>
      <c r="C15057" t="s">
        <v>2108</v>
      </c>
      <c r="G15057" t="s">
        <v>32400</v>
      </c>
      <c r="H15057" t="s">
        <v>9891</v>
      </c>
      <c r="I15057" t="s">
        <v>255</v>
      </c>
      <c r="J15057">
        <v>22102</v>
      </c>
      <c r="L15057" t="s">
        <v>23</v>
      </c>
      <c r="M15057" t="s">
        <v>32400</v>
      </c>
      <c r="N15057" t="s">
        <v>9891</v>
      </c>
      <c r="O15057" t="s">
        <v>255</v>
      </c>
      <c r="P15057">
        <v>22102</v>
      </c>
      <c r="R15057" t="s">
        <v>23</v>
      </c>
      <c r="S15057" s="1" t="s">
        <v>34218</v>
      </c>
    </row>
    <row r="15058" spans="1:19" x14ac:dyDescent="0.25">
      <c r="A15058">
        <v>101450296</v>
      </c>
      <c r="B15058" t="s">
        <v>32401</v>
      </c>
      <c r="C15058" t="s">
        <v>2603</v>
      </c>
      <c r="G15058" t="s">
        <v>32402</v>
      </c>
      <c r="H15058" t="s">
        <v>2231</v>
      </c>
      <c r="I15058" t="s">
        <v>22</v>
      </c>
      <c r="J15058">
        <v>91201</v>
      </c>
      <c r="K15058">
        <v>3812</v>
      </c>
      <c r="L15058" t="s">
        <v>23</v>
      </c>
      <c r="M15058" t="s">
        <v>32402</v>
      </c>
      <c r="N15058" t="s">
        <v>2231</v>
      </c>
      <c r="O15058" t="s">
        <v>22</v>
      </c>
      <c r="P15058">
        <v>91201</v>
      </c>
      <c r="Q15058">
        <v>3812</v>
      </c>
      <c r="R15058" t="s">
        <v>23</v>
      </c>
      <c r="S15058" s="1" t="s">
        <v>34218</v>
      </c>
    </row>
    <row r="15059" spans="1:19" x14ac:dyDescent="0.25">
      <c r="A15059">
        <v>101043861</v>
      </c>
      <c r="B15059" t="s">
        <v>32403</v>
      </c>
      <c r="C15059" t="s">
        <v>209</v>
      </c>
      <c r="G15059" t="s">
        <v>32404</v>
      </c>
      <c r="H15059" t="s">
        <v>2910</v>
      </c>
      <c r="I15059" t="s">
        <v>52</v>
      </c>
      <c r="J15059">
        <v>34235</v>
      </c>
      <c r="L15059" t="s">
        <v>23</v>
      </c>
      <c r="M15059" t="s">
        <v>32404</v>
      </c>
      <c r="N15059" t="s">
        <v>2910</v>
      </c>
      <c r="O15059" t="s">
        <v>52</v>
      </c>
      <c r="P15059">
        <v>34235</v>
      </c>
      <c r="R15059" t="s">
        <v>23</v>
      </c>
      <c r="S15059" s="1" t="s">
        <v>34218</v>
      </c>
    </row>
    <row r="15060" spans="1:19" x14ac:dyDescent="0.25">
      <c r="A15060">
        <v>101480934</v>
      </c>
      <c r="B15060" t="s">
        <v>32405</v>
      </c>
      <c r="C15060" t="s">
        <v>32406</v>
      </c>
      <c r="G15060" t="s">
        <v>32407</v>
      </c>
      <c r="H15060" t="s">
        <v>3571</v>
      </c>
      <c r="I15060" t="s">
        <v>187</v>
      </c>
      <c r="J15060">
        <v>55082</v>
      </c>
      <c r="K15060">
        <v>5090</v>
      </c>
      <c r="L15060" t="s">
        <v>23</v>
      </c>
      <c r="M15060" t="s">
        <v>32407</v>
      </c>
      <c r="N15060" t="s">
        <v>3571</v>
      </c>
      <c r="O15060" t="s">
        <v>187</v>
      </c>
      <c r="P15060">
        <v>55082</v>
      </c>
      <c r="Q15060">
        <v>5090</v>
      </c>
      <c r="R15060" t="s">
        <v>23</v>
      </c>
      <c r="S15060" s="1" t="s">
        <v>34218</v>
      </c>
    </row>
    <row r="15061" spans="1:19" x14ac:dyDescent="0.25">
      <c r="A15061">
        <v>101480937</v>
      </c>
      <c r="B15061" t="s">
        <v>3096</v>
      </c>
      <c r="C15061" t="s">
        <v>3171</v>
      </c>
      <c r="G15061" t="s">
        <v>32408</v>
      </c>
      <c r="H15061" t="s">
        <v>299</v>
      </c>
      <c r="I15061" t="s">
        <v>22</v>
      </c>
      <c r="J15061">
        <v>90029</v>
      </c>
      <c r="K15061">
        <v>1615</v>
      </c>
      <c r="L15061" t="s">
        <v>23</v>
      </c>
      <c r="M15061" t="s">
        <v>32408</v>
      </c>
      <c r="N15061" t="s">
        <v>299</v>
      </c>
      <c r="O15061" t="s">
        <v>22</v>
      </c>
      <c r="P15061">
        <v>90029</v>
      </c>
      <c r="Q15061">
        <v>1615</v>
      </c>
      <c r="R15061" t="s">
        <v>23</v>
      </c>
      <c r="S15061" s="1" t="s">
        <v>34218</v>
      </c>
    </row>
    <row r="15062" spans="1:19" x14ac:dyDescent="0.25">
      <c r="A15062">
        <v>101344067</v>
      </c>
      <c r="B15062" t="s">
        <v>6060</v>
      </c>
      <c r="C15062" t="s">
        <v>102</v>
      </c>
      <c r="G15062" t="s">
        <v>32409</v>
      </c>
      <c r="H15062" t="s">
        <v>9229</v>
      </c>
      <c r="I15062" t="s">
        <v>52</v>
      </c>
      <c r="J15062">
        <v>33967</v>
      </c>
      <c r="K15062">
        <v>2616</v>
      </c>
      <c r="L15062" t="s">
        <v>23</v>
      </c>
      <c r="M15062" t="s">
        <v>32409</v>
      </c>
      <c r="N15062" t="s">
        <v>9229</v>
      </c>
      <c r="O15062" t="s">
        <v>52</v>
      </c>
      <c r="P15062">
        <v>33967</v>
      </c>
      <c r="Q15062">
        <v>2616</v>
      </c>
      <c r="R15062" t="s">
        <v>23</v>
      </c>
      <c r="S15062" s="1" t="s">
        <v>34218</v>
      </c>
    </row>
    <row r="15063" spans="1:19" x14ac:dyDescent="0.25">
      <c r="A15063">
        <v>101474037</v>
      </c>
      <c r="B15063" t="s">
        <v>7173</v>
      </c>
      <c r="C15063" t="s">
        <v>2463</v>
      </c>
      <c r="G15063" t="s">
        <v>32410</v>
      </c>
      <c r="H15063" t="s">
        <v>1096</v>
      </c>
      <c r="I15063" t="s">
        <v>1097</v>
      </c>
      <c r="J15063">
        <v>40205</v>
      </c>
      <c r="K15063">
        <v>2925</v>
      </c>
      <c r="L15063" t="s">
        <v>23</v>
      </c>
      <c r="M15063" t="s">
        <v>32410</v>
      </c>
      <c r="N15063" t="s">
        <v>1096</v>
      </c>
      <c r="O15063" t="s">
        <v>1097</v>
      </c>
      <c r="P15063">
        <v>40205</v>
      </c>
      <c r="Q15063">
        <v>2925</v>
      </c>
      <c r="R15063" t="s">
        <v>23</v>
      </c>
      <c r="S15063" s="1" t="s">
        <v>34218</v>
      </c>
    </row>
    <row r="15064" spans="1:19" x14ac:dyDescent="0.25">
      <c r="A15064">
        <v>101480947</v>
      </c>
      <c r="B15064" t="s">
        <v>18736</v>
      </c>
      <c r="C15064" t="s">
        <v>205</v>
      </c>
      <c r="G15064" t="s">
        <v>32411</v>
      </c>
      <c r="H15064" t="s">
        <v>7027</v>
      </c>
      <c r="I15064" t="s">
        <v>43</v>
      </c>
      <c r="J15064">
        <v>97078</v>
      </c>
      <c r="K15064">
        <v>2254</v>
      </c>
      <c r="L15064" t="s">
        <v>23</v>
      </c>
      <c r="M15064" t="s">
        <v>32411</v>
      </c>
      <c r="N15064" t="s">
        <v>7027</v>
      </c>
      <c r="O15064" t="s">
        <v>43</v>
      </c>
      <c r="P15064">
        <v>97078</v>
      </c>
      <c r="Q15064">
        <v>2254</v>
      </c>
      <c r="R15064" t="s">
        <v>23</v>
      </c>
      <c r="S15064" s="1" t="s">
        <v>34218</v>
      </c>
    </row>
    <row r="15065" spans="1:19" x14ac:dyDescent="0.25">
      <c r="A15065">
        <v>101480948</v>
      </c>
      <c r="B15065" t="s">
        <v>1872</v>
      </c>
      <c r="C15065" t="s">
        <v>403</v>
      </c>
      <c r="G15065" t="s">
        <v>32412</v>
      </c>
      <c r="H15065" t="s">
        <v>125</v>
      </c>
      <c r="I15065" t="s">
        <v>126</v>
      </c>
      <c r="J15065">
        <v>63122</v>
      </c>
      <c r="K15065">
        <v>3704</v>
      </c>
      <c r="L15065" t="s">
        <v>23</v>
      </c>
      <c r="M15065" t="s">
        <v>32412</v>
      </c>
      <c r="N15065" t="s">
        <v>125</v>
      </c>
      <c r="O15065" t="s">
        <v>126</v>
      </c>
      <c r="P15065">
        <v>63122</v>
      </c>
      <c r="Q15065">
        <v>3704</v>
      </c>
      <c r="R15065" t="s">
        <v>23</v>
      </c>
      <c r="S15065" s="1" t="s">
        <v>34218</v>
      </c>
    </row>
    <row r="15066" spans="1:19" x14ac:dyDescent="0.25">
      <c r="A15066">
        <v>101290999</v>
      </c>
      <c r="B15066" t="s">
        <v>32413</v>
      </c>
      <c r="C15066" t="s">
        <v>110</v>
      </c>
      <c r="G15066" t="s">
        <v>32414</v>
      </c>
      <c r="H15066" t="s">
        <v>761</v>
      </c>
      <c r="I15066" t="s">
        <v>22</v>
      </c>
      <c r="J15066">
        <v>94521</v>
      </c>
      <c r="K15066">
        <v>2908</v>
      </c>
      <c r="L15066" t="s">
        <v>23</v>
      </c>
      <c r="M15066" t="s">
        <v>32414</v>
      </c>
      <c r="N15066" t="s">
        <v>761</v>
      </c>
      <c r="O15066" t="s">
        <v>22</v>
      </c>
      <c r="P15066">
        <v>94521</v>
      </c>
      <c r="Q15066">
        <v>2908</v>
      </c>
      <c r="R15066" t="s">
        <v>23</v>
      </c>
      <c r="S15066" s="1" t="s">
        <v>34218</v>
      </c>
    </row>
    <row r="15067" spans="1:19" x14ac:dyDescent="0.25">
      <c r="A15067">
        <v>101265605</v>
      </c>
      <c r="B15067" t="s">
        <v>22852</v>
      </c>
      <c r="C15067" t="s">
        <v>2010</v>
      </c>
      <c r="G15067" t="s">
        <v>32415</v>
      </c>
      <c r="H15067" t="s">
        <v>13916</v>
      </c>
      <c r="I15067" t="s">
        <v>236</v>
      </c>
      <c r="J15067">
        <v>2148</v>
      </c>
      <c r="K15067">
        <v>2651</v>
      </c>
      <c r="L15067" t="s">
        <v>23</v>
      </c>
      <c r="M15067" t="s">
        <v>32415</v>
      </c>
      <c r="N15067" t="s">
        <v>13916</v>
      </c>
      <c r="O15067" t="s">
        <v>236</v>
      </c>
      <c r="P15067">
        <v>2148</v>
      </c>
      <c r="Q15067">
        <v>2651</v>
      </c>
      <c r="R15067" t="s">
        <v>23</v>
      </c>
      <c r="S15067" s="1" t="s">
        <v>34218</v>
      </c>
    </row>
    <row r="15068" spans="1:19" x14ac:dyDescent="0.25">
      <c r="A15068">
        <v>101473901</v>
      </c>
      <c r="B15068" t="s">
        <v>10527</v>
      </c>
      <c r="C15068" t="s">
        <v>894</v>
      </c>
      <c r="G15068" t="s">
        <v>32416</v>
      </c>
      <c r="H15068" t="s">
        <v>7078</v>
      </c>
      <c r="I15068" t="s">
        <v>2537</v>
      </c>
      <c r="J15068">
        <v>72116</v>
      </c>
      <c r="K15068">
        <v>5309</v>
      </c>
      <c r="L15068" t="s">
        <v>23</v>
      </c>
      <c r="M15068" t="s">
        <v>32416</v>
      </c>
      <c r="N15068" t="s">
        <v>7078</v>
      </c>
      <c r="O15068" t="s">
        <v>2537</v>
      </c>
      <c r="P15068">
        <v>72116</v>
      </c>
      <c r="Q15068">
        <v>5309</v>
      </c>
      <c r="R15068" t="s">
        <v>23</v>
      </c>
      <c r="S15068" s="1" t="s">
        <v>34218</v>
      </c>
    </row>
    <row r="15069" spans="1:19" x14ac:dyDescent="0.25">
      <c r="A15069">
        <v>101469197</v>
      </c>
      <c r="B15069" t="s">
        <v>1376</v>
      </c>
      <c r="C15069" t="s">
        <v>1141</v>
      </c>
      <c r="G15069" t="s">
        <v>32417</v>
      </c>
      <c r="H15069" t="s">
        <v>2250</v>
      </c>
      <c r="I15069" t="s">
        <v>148</v>
      </c>
      <c r="J15069">
        <v>21409</v>
      </c>
      <c r="K15069">
        <v>6310</v>
      </c>
      <c r="L15069" t="s">
        <v>23</v>
      </c>
      <c r="M15069" t="s">
        <v>32417</v>
      </c>
      <c r="N15069" t="s">
        <v>2250</v>
      </c>
      <c r="O15069" t="s">
        <v>148</v>
      </c>
      <c r="P15069">
        <v>21409</v>
      </c>
      <c r="Q15069">
        <v>6310</v>
      </c>
      <c r="R15069" t="s">
        <v>23</v>
      </c>
      <c r="S15069" s="1" t="s">
        <v>34218</v>
      </c>
    </row>
    <row r="15070" spans="1:19" x14ac:dyDescent="0.25">
      <c r="A15070">
        <v>100771738</v>
      </c>
      <c r="B15070" t="s">
        <v>6325</v>
      </c>
      <c r="C15070" t="s">
        <v>32418</v>
      </c>
      <c r="G15070" t="s">
        <v>32419</v>
      </c>
      <c r="H15070" t="s">
        <v>29872</v>
      </c>
      <c r="I15070" t="s">
        <v>22</v>
      </c>
      <c r="J15070">
        <v>95023</v>
      </c>
      <c r="K15070">
        <v>6306</v>
      </c>
      <c r="L15070" t="s">
        <v>23</v>
      </c>
      <c r="M15070" t="s">
        <v>32419</v>
      </c>
      <c r="N15070" t="s">
        <v>29872</v>
      </c>
      <c r="O15070" t="s">
        <v>22</v>
      </c>
      <c r="P15070">
        <v>95023</v>
      </c>
      <c r="Q15070">
        <v>6306</v>
      </c>
      <c r="R15070" t="s">
        <v>23</v>
      </c>
      <c r="S15070" s="1" t="s">
        <v>34218</v>
      </c>
    </row>
    <row r="15071" spans="1:19" x14ac:dyDescent="0.25">
      <c r="A15071">
        <v>101479682</v>
      </c>
      <c r="B15071" t="s">
        <v>966</v>
      </c>
      <c r="C15071" t="s">
        <v>1679</v>
      </c>
      <c r="G15071" t="s">
        <v>6700</v>
      </c>
      <c r="H15071" t="s">
        <v>32420</v>
      </c>
      <c r="I15071" t="s">
        <v>22</v>
      </c>
      <c r="J15071">
        <v>92676</v>
      </c>
      <c r="L15071" t="s">
        <v>23</v>
      </c>
      <c r="M15071" t="s">
        <v>6700</v>
      </c>
      <c r="N15071" t="s">
        <v>32420</v>
      </c>
      <c r="O15071" t="s">
        <v>22</v>
      </c>
      <c r="P15071">
        <v>92676</v>
      </c>
      <c r="R15071" t="s">
        <v>23</v>
      </c>
      <c r="S15071" s="1" t="s">
        <v>34218</v>
      </c>
    </row>
    <row r="15072" spans="1:19" x14ac:dyDescent="0.25">
      <c r="A15072">
        <v>101477801</v>
      </c>
      <c r="B15072" t="s">
        <v>32421</v>
      </c>
      <c r="C15072" t="s">
        <v>30</v>
      </c>
      <c r="G15072" t="s">
        <v>32422</v>
      </c>
      <c r="H15072" t="s">
        <v>638</v>
      </c>
      <c r="I15072" t="s">
        <v>639</v>
      </c>
      <c r="J15072">
        <v>87105</v>
      </c>
      <c r="K15072">
        <v>3779</v>
      </c>
      <c r="L15072" t="s">
        <v>23</v>
      </c>
      <c r="M15072" t="s">
        <v>32422</v>
      </c>
      <c r="N15072" t="s">
        <v>638</v>
      </c>
      <c r="O15072" t="s">
        <v>639</v>
      </c>
      <c r="P15072">
        <v>87105</v>
      </c>
      <c r="Q15072">
        <v>3779</v>
      </c>
      <c r="R15072" t="s">
        <v>23</v>
      </c>
      <c r="S15072" s="1" t="s">
        <v>34218</v>
      </c>
    </row>
    <row r="15073" spans="1:19" x14ac:dyDescent="0.25">
      <c r="A15073">
        <v>101480969</v>
      </c>
      <c r="B15073" t="s">
        <v>32423</v>
      </c>
      <c r="C15073" t="s">
        <v>252</v>
      </c>
      <c r="G15073" t="s">
        <v>32424</v>
      </c>
      <c r="H15073" t="s">
        <v>2296</v>
      </c>
      <c r="I15073" t="s">
        <v>22</v>
      </c>
      <c r="J15073">
        <v>95003</v>
      </c>
      <c r="K15073">
        <v>4307</v>
      </c>
      <c r="L15073" t="s">
        <v>23</v>
      </c>
      <c r="M15073" t="s">
        <v>32424</v>
      </c>
      <c r="N15073" t="s">
        <v>2296</v>
      </c>
      <c r="O15073" t="s">
        <v>22</v>
      </c>
      <c r="P15073">
        <v>95003</v>
      </c>
      <c r="Q15073">
        <v>4307</v>
      </c>
      <c r="R15073" t="s">
        <v>23</v>
      </c>
      <c r="S15073" s="1" t="s">
        <v>34218</v>
      </c>
    </row>
    <row r="15074" spans="1:19" x14ac:dyDescent="0.25">
      <c r="A15074">
        <v>101480972</v>
      </c>
      <c r="B15074" t="s">
        <v>12827</v>
      </c>
      <c r="C15074" t="s">
        <v>208</v>
      </c>
      <c r="G15074" t="s">
        <v>32425</v>
      </c>
      <c r="H15074" t="s">
        <v>32426</v>
      </c>
      <c r="I15074" t="s">
        <v>914</v>
      </c>
      <c r="J15074">
        <v>37385</v>
      </c>
      <c r="K15074">
        <v>482</v>
      </c>
      <c r="L15074" t="s">
        <v>23</v>
      </c>
      <c r="M15074" t="s">
        <v>32425</v>
      </c>
      <c r="N15074" t="s">
        <v>32426</v>
      </c>
      <c r="O15074" t="s">
        <v>914</v>
      </c>
      <c r="P15074">
        <v>37385</v>
      </c>
      <c r="Q15074">
        <v>482</v>
      </c>
      <c r="R15074" t="s">
        <v>23</v>
      </c>
      <c r="S15074" s="1" t="s">
        <v>34218</v>
      </c>
    </row>
    <row r="15075" spans="1:19" x14ac:dyDescent="0.25">
      <c r="A15075">
        <v>100942126</v>
      </c>
      <c r="B15075" t="s">
        <v>11010</v>
      </c>
      <c r="C15075" t="s">
        <v>309</v>
      </c>
      <c r="G15075" t="s">
        <v>32427</v>
      </c>
      <c r="H15075" t="s">
        <v>32428</v>
      </c>
      <c r="I15075" t="s">
        <v>702</v>
      </c>
      <c r="J15075">
        <v>89815</v>
      </c>
      <c r="K15075">
        <v>7</v>
      </c>
      <c r="L15075" t="s">
        <v>23</v>
      </c>
      <c r="M15075" t="s">
        <v>32427</v>
      </c>
      <c r="N15075" t="s">
        <v>32428</v>
      </c>
      <c r="O15075" t="s">
        <v>702</v>
      </c>
      <c r="P15075">
        <v>89815</v>
      </c>
      <c r="Q15075">
        <v>7</v>
      </c>
      <c r="R15075" t="s">
        <v>23</v>
      </c>
      <c r="S15075" s="1" t="s">
        <v>34218</v>
      </c>
    </row>
    <row r="15076" spans="1:19" x14ac:dyDescent="0.25">
      <c r="A15076">
        <v>100619135</v>
      </c>
      <c r="B15076" t="s">
        <v>25399</v>
      </c>
      <c r="C15076" t="s">
        <v>309</v>
      </c>
      <c r="G15076" t="s">
        <v>32429</v>
      </c>
      <c r="H15076" t="s">
        <v>8644</v>
      </c>
      <c r="I15076" t="s">
        <v>22</v>
      </c>
      <c r="J15076">
        <v>95946</v>
      </c>
      <c r="K15076">
        <v>9628</v>
      </c>
      <c r="L15076" t="s">
        <v>23</v>
      </c>
      <c r="M15076" t="s">
        <v>32429</v>
      </c>
      <c r="N15076" t="s">
        <v>8644</v>
      </c>
      <c r="O15076" t="s">
        <v>22</v>
      </c>
      <c r="P15076">
        <v>95946</v>
      </c>
      <c r="Q15076">
        <v>9628</v>
      </c>
      <c r="R15076" t="s">
        <v>23</v>
      </c>
      <c r="S15076" s="1" t="s">
        <v>34218</v>
      </c>
    </row>
    <row r="15077" spans="1:19" x14ac:dyDescent="0.25">
      <c r="A15077">
        <v>101480978</v>
      </c>
      <c r="B15077" t="s">
        <v>12229</v>
      </c>
      <c r="C15077" t="s">
        <v>266</v>
      </c>
      <c r="G15077" t="s">
        <v>32430</v>
      </c>
      <c r="H15077" t="s">
        <v>5893</v>
      </c>
      <c r="I15077" t="s">
        <v>38</v>
      </c>
      <c r="J15077">
        <v>77808</v>
      </c>
      <c r="K15077">
        <v>2247</v>
      </c>
      <c r="L15077" t="s">
        <v>23</v>
      </c>
      <c r="M15077" t="s">
        <v>32430</v>
      </c>
      <c r="N15077" t="s">
        <v>5893</v>
      </c>
      <c r="O15077" t="s">
        <v>38</v>
      </c>
      <c r="P15077">
        <v>77808</v>
      </c>
      <c r="Q15077">
        <v>2247</v>
      </c>
      <c r="R15077" t="s">
        <v>23</v>
      </c>
      <c r="S15077" s="1" t="s">
        <v>34218</v>
      </c>
    </row>
    <row r="15078" spans="1:19" x14ac:dyDescent="0.25">
      <c r="A15078">
        <v>100930038</v>
      </c>
      <c r="B15078" t="s">
        <v>32431</v>
      </c>
      <c r="C15078" t="s">
        <v>367</v>
      </c>
      <c r="G15078" t="s">
        <v>32432</v>
      </c>
      <c r="H15078" t="s">
        <v>7803</v>
      </c>
      <c r="I15078" t="s">
        <v>4652</v>
      </c>
      <c r="J15078">
        <v>57702</v>
      </c>
      <c r="K15078">
        <v>6537</v>
      </c>
      <c r="L15078" t="s">
        <v>23</v>
      </c>
      <c r="M15078" t="s">
        <v>32432</v>
      </c>
      <c r="N15078" t="s">
        <v>7803</v>
      </c>
      <c r="O15078" t="s">
        <v>4652</v>
      </c>
      <c r="P15078">
        <v>57702</v>
      </c>
      <c r="Q15078">
        <v>6537</v>
      </c>
      <c r="R15078" t="s">
        <v>23</v>
      </c>
      <c r="S15078" s="1" t="s">
        <v>34218</v>
      </c>
    </row>
    <row r="15079" spans="1:19" x14ac:dyDescent="0.25">
      <c r="A15079">
        <v>101453503</v>
      </c>
      <c r="B15079" t="s">
        <v>2559</v>
      </c>
      <c r="C15079" t="s">
        <v>4427</v>
      </c>
      <c r="G15079" t="s">
        <v>32433</v>
      </c>
      <c r="H15079" t="s">
        <v>32434</v>
      </c>
      <c r="I15079" t="s">
        <v>140</v>
      </c>
      <c r="J15079">
        <v>48849</v>
      </c>
      <c r="K15079">
        <v>9732</v>
      </c>
      <c r="L15079" t="s">
        <v>23</v>
      </c>
      <c r="M15079" t="s">
        <v>32433</v>
      </c>
      <c r="N15079" t="s">
        <v>32434</v>
      </c>
      <c r="O15079" t="s">
        <v>140</v>
      </c>
      <c r="P15079">
        <v>48849</v>
      </c>
      <c r="Q15079">
        <v>9732</v>
      </c>
      <c r="R15079" t="s">
        <v>23</v>
      </c>
      <c r="S15079" s="1" t="s">
        <v>34218</v>
      </c>
    </row>
    <row r="15080" spans="1:19" x14ac:dyDescent="0.25">
      <c r="A15080">
        <v>101480984</v>
      </c>
      <c r="B15080" t="s">
        <v>105</v>
      </c>
      <c r="C15080" t="s">
        <v>4046</v>
      </c>
      <c r="G15080" t="s">
        <v>32435</v>
      </c>
      <c r="H15080" t="s">
        <v>29289</v>
      </c>
      <c r="I15080" t="s">
        <v>117</v>
      </c>
      <c r="J15080">
        <v>13132</v>
      </c>
      <c r="L15080" t="s">
        <v>23</v>
      </c>
      <c r="M15080" t="s">
        <v>32435</v>
      </c>
      <c r="N15080" t="s">
        <v>29289</v>
      </c>
      <c r="O15080" t="s">
        <v>117</v>
      </c>
      <c r="P15080">
        <v>13132</v>
      </c>
      <c r="R15080" t="s">
        <v>23</v>
      </c>
      <c r="S15080" s="1" t="s">
        <v>34218</v>
      </c>
    </row>
    <row r="15081" spans="1:19" x14ac:dyDescent="0.25">
      <c r="A15081">
        <v>101418750</v>
      </c>
      <c r="B15081" t="s">
        <v>1933</v>
      </c>
      <c r="C15081" t="s">
        <v>49</v>
      </c>
      <c r="G15081">
        <v>94203</v>
      </c>
      <c r="H15081" t="s">
        <v>650</v>
      </c>
      <c r="I15081" t="s">
        <v>22</v>
      </c>
      <c r="J15081">
        <v>94203</v>
      </c>
      <c r="K15081">
        <v>1</v>
      </c>
      <c r="L15081" t="s">
        <v>23</v>
      </c>
      <c r="M15081">
        <v>94203</v>
      </c>
      <c r="N15081" t="s">
        <v>650</v>
      </c>
      <c r="O15081" t="s">
        <v>22</v>
      </c>
      <c r="P15081">
        <v>94203</v>
      </c>
      <c r="Q15081">
        <v>1</v>
      </c>
      <c r="R15081" t="s">
        <v>23</v>
      </c>
      <c r="S15081" s="1" t="s">
        <v>34218</v>
      </c>
    </row>
    <row r="15082" spans="1:19" x14ac:dyDescent="0.25">
      <c r="A15082">
        <v>101296150</v>
      </c>
      <c r="B15082" t="s">
        <v>2328</v>
      </c>
      <c r="C15082" t="s">
        <v>890</v>
      </c>
      <c r="G15082" t="s">
        <v>32436</v>
      </c>
      <c r="H15082" t="s">
        <v>1621</v>
      </c>
      <c r="I15082" t="s">
        <v>187</v>
      </c>
      <c r="J15082">
        <v>55416</v>
      </c>
      <c r="K15082">
        <v>1029</v>
      </c>
      <c r="L15082" t="s">
        <v>23</v>
      </c>
      <c r="M15082" t="s">
        <v>32436</v>
      </c>
      <c r="N15082" t="s">
        <v>1621</v>
      </c>
      <c r="O15082" t="s">
        <v>187</v>
      </c>
      <c r="P15082">
        <v>55416</v>
      </c>
      <c r="Q15082">
        <v>1029</v>
      </c>
      <c r="R15082" t="s">
        <v>23</v>
      </c>
      <c r="S15082" s="1" t="s">
        <v>34218</v>
      </c>
    </row>
    <row r="15083" spans="1:19" x14ac:dyDescent="0.25">
      <c r="A15083">
        <v>101480997</v>
      </c>
      <c r="B15083" t="s">
        <v>32437</v>
      </c>
      <c r="C15083" t="s">
        <v>32438</v>
      </c>
      <c r="G15083" t="s">
        <v>32439</v>
      </c>
      <c r="H15083" t="s">
        <v>32440</v>
      </c>
      <c r="I15083" t="s">
        <v>117</v>
      </c>
      <c r="J15083">
        <v>11560</v>
      </c>
      <c r="K15083">
        <v>1212</v>
      </c>
      <c r="L15083" t="s">
        <v>23</v>
      </c>
      <c r="M15083" t="s">
        <v>32439</v>
      </c>
      <c r="N15083" t="s">
        <v>32440</v>
      </c>
      <c r="O15083" t="s">
        <v>117</v>
      </c>
      <c r="P15083">
        <v>11560</v>
      </c>
      <c r="Q15083">
        <v>1212</v>
      </c>
      <c r="R15083" t="s">
        <v>23</v>
      </c>
      <c r="S15083" s="1" t="s">
        <v>34218</v>
      </c>
    </row>
    <row r="15084" spans="1:19" x14ac:dyDescent="0.25">
      <c r="A15084">
        <v>101480998</v>
      </c>
      <c r="B15084" t="s">
        <v>24501</v>
      </c>
      <c r="C15084" t="s">
        <v>3482</v>
      </c>
      <c r="G15084" t="s">
        <v>19522</v>
      </c>
      <c r="H15084" t="s">
        <v>32441</v>
      </c>
      <c r="I15084" t="s">
        <v>71</v>
      </c>
      <c r="J15084">
        <v>80814</v>
      </c>
      <c r="K15084">
        <v>247</v>
      </c>
      <c r="L15084" t="s">
        <v>23</v>
      </c>
      <c r="M15084" t="s">
        <v>19522</v>
      </c>
      <c r="N15084" t="s">
        <v>32441</v>
      </c>
      <c r="O15084" t="s">
        <v>71</v>
      </c>
      <c r="P15084">
        <v>80814</v>
      </c>
      <c r="Q15084">
        <v>247</v>
      </c>
      <c r="R15084" t="s">
        <v>23</v>
      </c>
      <c r="S15084" s="1" t="s">
        <v>34218</v>
      </c>
    </row>
    <row r="15085" spans="1:19" x14ac:dyDescent="0.25">
      <c r="A15085">
        <v>101299179</v>
      </c>
      <c r="B15085" t="s">
        <v>32442</v>
      </c>
      <c r="C15085" t="s">
        <v>172</v>
      </c>
      <c r="G15085" t="s">
        <v>32443</v>
      </c>
      <c r="H15085" t="s">
        <v>29602</v>
      </c>
      <c r="I15085" t="s">
        <v>255</v>
      </c>
      <c r="J15085">
        <v>22101</v>
      </c>
      <c r="K15085">
        <v>2534</v>
      </c>
      <c r="L15085" t="s">
        <v>23</v>
      </c>
      <c r="M15085" t="s">
        <v>32443</v>
      </c>
      <c r="N15085" t="s">
        <v>29602</v>
      </c>
      <c r="O15085" t="s">
        <v>255</v>
      </c>
      <c r="P15085">
        <v>22101</v>
      </c>
      <c r="Q15085">
        <v>2534</v>
      </c>
      <c r="R15085" t="s">
        <v>23</v>
      </c>
      <c r="S15085" s="1" t="s">
        <v>34218</v>
      </c>
    </row>
    <row r="15086" spans="1:19" x14ac:dyDescent="0.25">
      <c r="A15086">
        <v>101481004</v>
      </c>
      <c r="B15086" t="s">
        <v>19180</v>
      </c>
      <c r="C15086" t="s">
        <v>32444</v>
      </c>
      <c r="G15086" t="s">
        <v>32445</v>
      </c>
      <c r="H15086" t="s">
        <v>32446</v>
      </c>
      <c r="I15086" t="s">
        <v>22</v>
      </c>
      <c r="J15086">
        <v>91601</v>
      </c>
      <c r="K15086">
        <v>4613</v>
      </c>
      <c r="L15086" t="s">
        <v>23</v>
      </c>
      <c r="M15086" t="s">
        <v>32445</v>
      </c>
      <c r="N15086" t="s">
        <v>32446</v>
      </c>
      <c r="O15086" t="s">
        <v>22</v>
      </c>
      <c r="P15086">
        <v>91601</v>
      </c>
      <c r="Q15086">
        <v>4613</v>
      </c>
      <c r="R15086" t="s">
        <v>23</v>
      </c>
      <c r="S15086" s="1" t="s">
        <v>34218</v>
      </c>
    </row>
    <row r="15087" spans="1:19" x14ac:dyDescent="0.25">
      <c r="A15087">
        <v>101422571</v>
      </c>
      <c r="B15087" t="s">
        <v>15710</v>
      </c>
      <c r="C15087" t="s">
        <v>90</v>
      </c>
      <c r="G15087" t="s">
        <v>32447</v>
      </c>
      <c r="H15087" t="s">
        <v>12820</v>
      </c>
      <c r="I15087" t="s">
        <v>161</v>
      </c>
      <c r="J15087">
        <v>6831</v>
      </c>
      <c r="K15087">
        <v>3735</v>
      </c>
      <c r="L15087" t="s">
        <v>23</v>
      </c>
      <c r="M15087" t="s">
        <v>32447</v>
      </c>
      <c r="N15087" t="s">
        <v>12820</v>
      </c>
      <c r="O15087" t="s">
        <v>161</v>
      </c>
      <c r="P15087">
        <v>6831</v>
      </c>
      <c r="Q15087">
        <v>3735</v>
      </c>
      <c r="R15087" t="s">
        <v>23</v>
      </c>
      <c r="S15087" s="1" t="s">
        <v>34218</v>
      </c>
    </row>
    <row r="15088" spans="1:19" x14ac:dyDescent="0.25">
      <c r="A15088">
        <v>101481009</v>
      </c>
      <c r="B15088" t="s">
        <v>32448</v>
      </c>
      <c r="C15088" t="s">
        <v>10896</v>
      </c>
      <c r="G15088" t="s">
        <v>32449</v>
      </c>
      <c r="H15088" t="s">
        <v>573</v>
      </c>
      <c r="I15088" t="s">
        <v>33</v>
      </c>
      <c r="J15088">
        <v>19106</v>
      </c>
      <c r="K15088">
        <v>2222</v>
      </c>
      <c r="L15088" t="s">
        <v>23</v>
      </c>
      <c r="M15088" t="s">
        <v>32449</v>
      </c>
      <c r="N15088" t="s">
        <v>573</v>
      </c>
      <c r="O15088" t="s">
        <v>33</v>
      </c>
      <c r="P15088">
        <v>19106</v>
      </c>
      <c r="Q15088">
        <v>2222</v>
      </c>
      <c r="R15088" t="s">
        <v>23</v>
      </c>
      <c r="S15088" s="1" t="s">
        <v>34218</v>
      </c>
    </row>
    <row r="15089" spans="1:19" x14ac:dyDescent="0.25">
      <c r="A15089">
        <v>101159626</v>
      </c>
      <c r="B15089" t="s">
        <v>11122</v>
      </c>
      <c r="C15089" t="s">
        <v>32450</v>
      </c>
      <c r="G15089" t="s">
        <v>32451</v>
      </c>
      <c r="H15089" t="s">
        <v>11047</v>
      </c>
      <c r="I15089" t="s">
        <v>9752</v>
      </c>
      <c r="J15089">
        <v>725</v>
      </c>
      <c r="K15089">
        <v>6200</v>
      </c>
      <c r="L15089" t="s">
        <v>23</v>
      </c>
      <c r="M15089" t="s">
        <v>32451</v>
      </c>
      <c r="N15089" t="s">
        <v>11047</v>
      </c>
      <c r="O15089" t="s">
        <v>9752</v>
      </c>
      <c r="P15089">
        <v>725</v>
      </c>
      <c r="Q15089">
        <v>6200</v>
      </c>
      <c r="R15089" t="s">
        <v>23</v>
      </c>
      <c r="S15089" s="1" t="s">
        <v>34218</v>
      </c>
    </row>
    <row r="15090" spans="1:19" x14ac:dyDescent="0.25">
      <c r="A15090">
        <v>100777347</v>
      </c>
      <c r="B15090" t="s">
        <v>32452</v>
      </c>
      <c r="C15090" t="s">
        <v>32453</v>
      </c>
      <c r="G15090" t="s">
        <v>32454</v>
      </c>
      <c r="H15090" t="s">
        <v>8317</v>
      </c>
      <c r="I15090" t="s">
        <v>33</v>
      </c>
      <c r="J15090">
        <v>15343</v>
      </c>
      <c r="L15090" t="s">
        <v>23</v>
      </c>
      <c r="M15090" t="s">
        <v>32454</v>
      </c>
      <c r="N15090" t="s">
        <v>8317</v>
      </c>
      <c r="O15090" t="s">
        <v>33</v>
      </c>
      <c r="P15090">
        <v>15343</v>
      </c>
      <c r="R15090" t="s">
        <v>23</v>
      </c>
      <c r="S15090" s="1" t="s">
        <v>34218</v>
      </c>
    </row>
    <row r="15091" spans="1:19" x14ac:dyDescent="0.25">
      <c r="A15091">
        <v>101480322</v>
      </c>
      <c r="B15091" t="s">
        <v>32455</v>
      </c>
      <c r="C15091" t="s">
        <v>1377</v>
      </c>
      <c r="G15091" t="s">
        <v>32456</v>
      </c>
      <c r="H15091" t="s">
        <v>6001</v>
      </c>
      <c r="I15091" t="s">
        <v>84</v>
      </c>
      <c r="J15091">
        <v>98290</v>
      </c>
      <c r="K15091">
        <v>9527</v>
      </c>
      <c r="L15091" t="s">
        <v>23</v>
      </c>
      <c r="M15091" t="s">
        <v>32456</v>
      </c>
      <c r="N15091" t="s">
        <v>6001</v>
      </c>
      <c r="O15091" t="s">
        <v>84</v>
      </c>
      <c r="P15091">
        <v>98290</v>
      </c>
      <c r="Q15091">
        <v>9527</v>
      </c>
      <c r="R15091" t="s">
        <v>23</v>
      </c>
      <c r="S15091" s="1" t="s">
        <v>34218</v>
      </c>
    </row>
    <row r="15092" spans="1:19" x14ac:dyDescent="0.25">
      <c r="A15092">
        <v>100997605</v>
      </c>
      <c r="B15092" t="s">
        <v>32457</v>
      </c>
      <c r="C15092" t="s">
        <v>1398</v>
      </c>
      <c r="G15092" t="s">
        <v>32458</v>
      </c>
      <c r="H15092" t="s">
        <v>2990</v>
      </c>
      <c r="I15092" t="s">
        <v>365</v>
      </c>
      <c r="J15092">
        <v>86326</v>
      </c>
      <c r="K15092">
        <v>7737</v>
      </c>
      <c r="L15092" t="s">
        <v>23</v>
      </c>
      <c r="M15092" t="s">
        <v>32458</v>
      </c>
      <c r="N15092" t="s">
        <v>2990</v>
      </c>
      <c r="O15092" t="s">
        <v>365</v>
      </c>
      <c r="P15092">
        <v>86326</v>
      </c>
      <c r="Q15092">
        <v>7737</v>
      </c>
      <c r="R15092" t="s">
        <v>23</v>
      </c>
      <c r="S15092" s="1" t="s">
        <v>34218</v>
      </c>
    </row>
    <row r="15093" spans="1:19" x14ac:dyDescent="0.25">
      <c r="A15093">
        <v>100664381</v>
      </c>
      <c r="B15093" t="s">
        <v>7606</v>
      </c>
      <c r="C15093" t="s">
        <v>4160</v>
      </c>
      <c r="G15093" t="s">
        <v>32459</v>
      </c>
      <c r="H15093" t="s">
        <v>37</v>
      </c>
      <c r="I15093" t="s">
        <v>38</v>
      </c>
      <c r="J15093">
        <v>78745</v>
      </c>
      <c r="K15093">
        <v>6504</v>
      </c>
      <c r="L15093" t="s">
        <v>23</v>
      </c>
      <c r="M15093" t="s">
        <v>32459</v>
      </c>
      <c r="N15093" t="s">
        <v>37</v>
      </c>
      <c r="O15093" t="s">
        <v>38</v>
      </c>
      <c r="P15093">
        <v>78745</v>
      </c>
      <c r="Q15093">
        <v>6504</v>
      </c>
      <c r="R15093" t="s">
        <v>23</v>
      </c>
      <c r="S15093" s="1" t="s">
        <v>34218</v>
      </c>
    </row>
    <row r="15094" spans="1:19" x14ac:dyDescent="0.25">
      <c r="A15094">
        <v>100680359</v>
      </c>
      <c r="B15094" t="s">
        <v>32460</v>
      </c>
      <c r="C15094" t="s">
        <v>846</v>
      </c>
      <c r="G15094" t="s">
        <v>32461</v>
      </c>
      <c r="H15094" t="s">
        <v>32462</v>
      </c>
      <c r="I15094" t="s">
        <v>161</v>
      </c>
      <c r="J15094">
        <v>6074</v>
      </c>
      <c r="K15094">
        <v>7089</v>
      </c>
      <c r="L15094" t="s">
        <v>23</v>
      </c>
      <c r="M15094" t="s">
        <v>32461</v>
      </c>
      <c r="N15094" t="s">
        <v>32462</v>
      </c>
      <c r="O15094" t="s">
        <v>161</v>
      </c>
      <c r="P15094">
        <v>6074</v>
      </c>
      <c r="Q15094">
        <v>7089</v>
      </c>
      <c r="R15094" t="s">
        <v>23</v>
      </c>
      <c r="S15094" s="1" t="s">
        <v>34218</v>
      </c>
    </row>
    <row r="15095" spans="1:19" x14ac:dyDescent="0.25">
      <c r="A15095">
        <v>101353160</v>
      </c>
      <c r="B15095" t="s">
        <v>3089</v>
      </c>
      <c r="C15095" t="s">
        <v>1278</v>
      </c>
      <c r="G15095" t="s">
        <v>32463</v>
      </c>
      <c r="H15095" t="s">
        <v>1579</v>
      </c>
      <c r="I15095" t="s">
        <v>117</v>
      </c>
      <c r="J15095">
        <v>13026</v>
      </c>
      <c r="K15095">
        <v>113</v>
      </c>
      <c r="L15095" t="s">
        <v>23</v>
      </c>
      <c r="M15095" t="s">
        <v>32463</v>
      </c>
      <c r="N15095" t="s">
        <v>1579</v>
      </c>
      <c r="O15095" t="s">
        <v>117</v>
      </c>
      <c r="P15095">
        <v>13026</v>
      </c>
      <c r="Q15095">
        <v>113</v>
      </c>
      <c r="R15095" t="s">
        <v>23</v>
      </c>
      <c r="S15095" s="1" t="s">
        <v>34218</v>
      </c>
    </row>
    <row r="15096" spans="1:19" x14ac:dyDescent="0.25">
      <c r="A15096">
        <v>101481027</v>
      </c>
      <c r="B15096" t="s">
        <v>17524</v>
      </c>
      <c r="C15096" t="s">
        <v>14772</v>
      </c>
      <c r="G15096" t="s">
        <v>32464</v>
      </c>
      <c r="H15096" t="s">
        <v>682</v>
      </c>
      <c r="I15096" t="s">
        <v>365</v>
      </c>
      <c r="J15096">
        <v>85014</v>
      </c>
      <c r="K15096">
        <v>1735</v>
      </c>
      <c r="L15096" t="s">
        <v>23</v>
      </c>
      <c r="M15096" t="s">
        <v>32464</v>
      </c>
      <c r="N15096" t="s">
        <v>682</v>
      </c>
      <c r="O15096" t="s">
        <v>365</v>
      </c>
      <c r="P15096">
        <v>85014</v>
      </c>
      <c r="Q15096">
        <v>1735</v>
      </c>
      <c r="R15096" t="s">
        <v>23</v>
      </c>
      <c r="S15096" s="1" t="s">
        <v>34218</v>
      </c>
    </row>
    <row r="15097" spans="1:19" x14ac:dyDescent="0.25">
      <c r="A15097">
        <v>101481028</v>
      </c>
      <c r="B15097" t="s">
        <v>13610</v>
      </c>
      <c r="C15097" t="s">
        <v>32465</v>
      </c>
      <c r="G15097" t="s">
        <v>32466</v>
      </c>
      <c r="H15097" t="s">
        <v>631</v>
      </c>
      <c r="I15097" t="s">
        <v>22</v>
      </c>
      <c r="J15097">
        <v>94949</v>
      </c>
      <c r="K15097">
        <v>6635</v>
      </c>
      <c r="L15097" t="s">
        <v>23</v>
      </c>
      <c r="M15097" t="s">
        <v>32466</v>
      </c>
      <c r="N15097" t="s">
        <v>631</v>
      </c>
      <c r="O15097" t="s">
        <v>22</v>
      </c>
      <c r="P15097">
        <v>94949</v>
      </c>
      <c r="Q15097">
        <v>6635</v>
      </c>
      <c r="R15097" t="s">
        <v>23</v>
      </c>
      <c r="S15097" s="1" t="s">
        <v>34218</v>
      </c>
    </row>
    <row r="15098" spans="1:19" x14ac:dyDescent="0.25">
      <c r="A15098">
        <v>100867999</v>
      </c>
      <c r="B15098" t="s">
        <v>2244</v>
      </c>
      <c r="C15098" t="s">
        <v>2776</v>
      </c>
      <c r="G15098" t="s">
        <v>32467</v>
      </c>
      <c r="H15098" t="s">
        <v>1531</v>
      </c>
      <c r="I15098" t="s">
        <v>84</v>
      </c>
      <c r="J15098">
        <v>98126</v>
      </c>
      <c r="K15098">
        <v>2822</v>
      </c>
      <c r="L15098" t="s">
        <v>23</v>
      </c>
      <c r="M15098" t="s">
        <v>32467</v>
      </c>
      <c r="N15098" t="s">
        <v>1531</v>
      </c>
      <c r="O15098" t="s">
        <v>84</v>
      </c>
      <c r="P15098">
        <v>98126</v>
      </c>
      <c r="Q15098">
        <v>2822</v>
      </c>
      <c r="R15098" t="s">
        <v>23</v>
      </c>
      <c r="S15098" s="1" t="s">
        <v>34218</v>
      </c>
    </row>
    <row r="15099" spans="1:19" x14ac:dyDescent="0.25">
      <c r="A15099">
        <v>100678499</v>
      </c>
      <c r="B15099" t="s">
        <v>6147</v>
      </c>
      <c r="C15099" t="s">
        <v>1135</v>
      </c>
      <c r="G15099" t="s">
        <v>32468</v>
      </c>
      <c r="H15099" t="s">
        <v>1402</v>
      </c>
      <c r="I15099" t="s">
        <v>38</v>
      </c>
      <c r="J15099">
        <v>77082</v>
      </c>
      <c r="K15099">
        <v>5005</v>
      </c>
      <c r="L15099" t="s">
        <v>23</v>
      </c>
      <c r="M15099" t="s">
        <v>32468</v>
      </c>
      <c r="N15099" t="s">
        <v>1402</v>
      </c>
      <c r="O15099" t="s">
        <v>38</v>
      </c>
      <c r="P15099">
        <v>77082</v>
      </c>
      <c r="Q15099">
        <v>5005</v>
      </c>
      <c r="R15099" t="s">
        <v>23</v>
      </c>
      <c r="S15099" s="1" t="s">
        <v>34218</v>
      </c>
    </row>
    <row r="15100" spans="1:19" x14ac:dyDescent="0.25">
      <c r="A15100">
        <v>101318747</v>
      </c>
      <c r="B15100" t="s">
        <v>5882</v>
      </c>
      <c r="C15100" t="s">
        <v>32469</v>
      </c>
      <c r="G15100" t="s">
        <v>32470</v>
      </c>
      <c r="H15100" t="s">
        <v>10776</v>
      </c>
      <c r="I15100" t="s">
        <v>52</v>
      </c>
      <c r="J15100">
        <v>33324</v>
      </c>
      <c r="K15100">
        <v>1404</v>
      </c>
      <c r="L15100" t="s">
        <v>23</v>
      </c>
      <c r="M15100" t="s">
        <v>32470</v>
      </c>
      <c r="N15100" t="s">
        <v>10776</v>
      </c>
      <c r="O15100" t="s">
        <v>52</v>
      </c>
      <c r="P15100">
        <v>33324</v>
      </c>
      <c r="Q15100">
        <v>1404</v>
      </c>
      <c r="R15100" t="s">
        <v>23</v>
      </c>
      <c r="S15100" s="1" t="s">
        <v>34218</v>
      </c>
    </row>
    <row r="15101" spans="1:19" x14ac:dyDescent="0.25">
      <c r="A15101">
        <v>101481036</v>
      </c>
      <c r="B15101" t="s">
        <v>497</v>
      </c>
      <c r="C15101" t="s">
        <v>286</v>
      </c>
      <c r="G15101" t="s">
        <v>32471</v>
      </c>
      <c r="H15101" t="s">
        <v>4495</v>
      </c>
      <c r="I15101" t="s">
        <v>71</v>
      </c>
      <c r="J15101">
        <v>81401</v>
      </c>
      <c r="K15101">
        <v>3710</v>
      </c>
      <c r="L15101" t="s">
        <v>23</v>
      </c>
      <c r="M15101" t="s">
        <v>32471</v>
      </c>
      <c r="N15101" t="s">
        <v>4495</v>
      </c>
      <c r="O15101" t="s">
        <v>71</v>
      </c>
      <c r="P15101">
        <v>81401</v>
      </c>
      <c r="Q15101">
        <v>3710</v>
      </c>
      <c r="R15101" t="s">
        <v>23</v>
      </c>
      <c r="S15101" s="1" t="s">
        <v>34218</v>
      </c>
    </row>
    <row r="15102" spans="1:19" x14ac:dyDescent="0.25">
      <c r="A15102">
        <v>101424080</v>
      </c>
      <c r="B15102" t="s">
        <v>32472</v>
      </c>
      <c r="C15102" t="s">
        <v>266</v>
      </c>
      <c r="G15102" t="s">
        <v>32473</v>
      </c>
      <c r="H15102" t="s">
        <v>5876</v>
      </c>
      <c r="I15102" t="s">
        <v>52</v>
      </c>
      <c r="J15102">
        <v>34209</v>
      </c>
      <c r="K15102">
        <v>6786</v>
      </c>
      <c r="L15102" t="s">
        <v>23</v>
      </c>
      <c r="M15102" t="s">
        <v>32473</v>
      </c>
      <c r="N15102" t="s">
        <v>5876</v>
      </c>
      <c r="O15102" t="s">
        <v>52</v>
      </c>
      <c r="P15102">
        <v>34209</v>
      </c>
      <c r="Q15102">
        <v>6786</v>
      </c>
      <c r="R15102" t="s">
        <v>23</v>
      </c>
      <c r="S15102" s="1" t="s">
        <v>34218</v>
      </c>
    </row>
    <row r="15103" spans="1:19" x14ac:dyDescent="0.25">
      <c r="A15103">
        <v>101390540</v>
      </c>
      <c r="B15103" t="s">
        <v>15897</v>
      </c>
      <c r="C15103" t="s">
        <v>1602</v>
      </c>
      <c r="G15103" t="s">
        <v>32474</v>
      </c>
      <c r="H15103" t="s">
        <v>12564</v>
      </c>
      <c r="I15103" t="s">
        <v>446</v>
      </c>
      <c r="J15103">
        <v>27403</v>
      </c>
      <c r="K15103">
        <v>1749</v>
      </c>
      <c r="L15103" t="s">
        <v>23</v>
      </c>
      <c r="M15103" t="s">
        <v>32474</v>
      </c>
      <c r="N15103" t="s">
        <v>12564</v>
      </c>
      <c r="O15103" t="s">
        <v>446</v>
      </c>
      <c r="P15103">
        <v>27403</v>
      </c>
      <c r="Q15103">
        <v>1749</v>
      </c>
      <c r="R15103" t="s">
        <v>23</v>
      </c>
      <c r="S15103" s="1" t="s">
        <v>34218</v>
      </c>
    </row>
    <row r="15104" spans="1:19" x14ac:dyDescent="0.25">
      <c r="A15104">
        <v>101481046</v>
      </c>
      <c r="B15104" t="s">
        <v>32475</v>
      </c>
      <c r="C15104" t="s">
        <v>5451</v>
      </c>
      <c r="G15104" t="s">
        <v>32476</v>
      </c>
      <c r="H15104" t="s">
        <v>653</v>
      </c>
      <c r="I15104" t="s">
        <v>117</v>
      </c>
      <c r="J15104">
        <v>10025</v>
      </c>
      <c r="K15104">
        <v>3449</v>
      </c>
      <c r="L15104" t="s">
        <v>23</v>
      </c>
      <c r="M15104" t="s">
        <v>32476</v>
      </c>
      <c r="N15104" t="s">
        <v>653</v>
      </c>
      <c r="O15104" t="s">
        <v>117</v>
      </c>
      <c r="P15104">
        <v>10025</v>
      </c>
      <c r="Q15104">
        <v>3449</v>
      </c>
      <c r="R15104" t="s">
        <v>23</v>
      </c>
      <c r="S15104" s="1" t="s">
        <v>34218</v>
      </c>
    </row>
    <row r="15105" spans="1:19" x14ac:dyDescent="0.25">
      <c r="A15105">
        <v>101448065</v>
      </c>
      <c r="B15105" t="s">
        <v>1049</v>
      </c>
      <c r="C15105" t="s">
        <v>3511</v>
      </c>
      <c r="G15105" t="s">
        <v>32477</v>
      </c>
      <c r="H15105" t="s">
        <v>2375</v>
      </c>
      <c r="I15105" t="s">
        <v>1387</v>
      </c>
      <c r="J15105">
        <v>35756</v>
      </c>
      <c r="K15105">
        <v>3965</v>
      </c>
      <c r="L15105" t="s">
        <v>23</v>
      </c>
      <c r="M15105" t="s">
        <v>32477</v>
      </c>
      <c r="N15105" t="s">
        <v>2375</v>
      </c>
      <c r="O15105" t="s">
        <v>1387</v>
      </c>
      <c r="P15105">
        <v>35756</v>
      </c>
      <c r="Q15105">
        <v>3965</v>
      </c>
      <c r="R15105" t="s">
        <v>23</v>
      </c>
      <c r="S15105" s="1" t="s">
        <v>34218</v>
      </c>
    </row>
    <row r="15106" spans="1:19" x14ac:dyDescent="0.25">
      <c r="A15106">
        <v>101469831</v>
      </c>
      <c r="B15106" t="s">
        <v>3992</v>
      </c>
      <c r="C15106" t="s">
        <v>6932</v>
      </c>
      <c r="G15106" t="s">
        <v>32478</v>
      </c>
      <c r="H15106" t="s">
        <v>1748</v>
      </c>
      <c r="I15106" t="s">
        <v>255</v>
      </c>
      <c r="J15106">
        <v>22207</v>
      </c>
      <c r="K15106">
        <v>1139</v>
      </c>
      <c r="L15106" t="s">
        <v>23</v>
      </c>
      <c r="M15106" t="s">
        <v>32478</v>
      </c>
      <c r="N15106" t="s">
        <v>1748</v>
      </c>
      <c r="O15106" t="s">
        <v>255</v>
      </c>
      <c r="P15106">
        <v>22207</v>
      </c>
      <c r="Q15106">
        <v>1139</v>
      </c>
      <c r="R15106" t="s">
        <v>23</v>
      </c>
      <c r="S15106" s="1" t="s">
        <v>34218</v>
      </c>
    </row>
    <row r="15107" spans="1:19" x14ac:dyDescent="0.25">
      <c r="A15107">
        <v>101413654</v>
      </c>
      <c r="B15107" t="s">
        <v>32479</v>
      </c>
      <c r="C15107" t="s">
        <v>585</v>
      </c>
      <c r="G15107" t="s">
        <v>32480</v>
      </c>
      <c r="H15107" t="s">
        <v>653</v>
      </c>
      <c r="I15107" t="s">
        <v>117</v>
      </c>
      <c r="J15107">
        <v>10025</v>
      </c>
      <c r="K15107">
        <v>3503</v>
      </c>
      <c r="L15107" t="s">
        <v>23</v>
      </c>
      <c r="M15107" t="s">
        <v>32480</v>
      </c>
      <c r="N15107" t="s">
        <v>653</v>
      </c>
      <c r="O15107" t="s">
        <v>117</v>
      </c>
      <c r="P15107">
        <v>10025</v>
      </c>
      <c r="Q15107">
        <v>3503</v>
      </c>
      <c r="R15107" t="s">
        <v>23</v>
      </c>
      <c r="S15107" s="1" t="s">
        <v>34218</v>
      </c>
    </row>
    <row r="15108" spans="1:19" x14ac:dyDescent="0.25">
      <c r="A15108">
        <v>101348116</v>
      </c>
      <c r="B15108" t="s">
        <v>3386</v>
      </c>
      <c r="C15108" t="s">
        <v>32481</v>
      </c>
      <c r="G15108" t="s">
        <v>32482</v>
      </c>
      <c r="H15108" t="s">
        <v>8653</v>
      </c>
      <c r="I15108" t="s">
        <v>191</v>
      </c>
      <c r="J15108">
        <v>4074</v>
      </c>
      <c r="K15108">
        <v>9081</v>
      </c>
      <c r="L15108" t="s">
        <v>23</v>
      </c>
      <c r="M15108" t="s">
        <v>32482</v>
      </c>
      <c r="N15108" t="s">
        <v>8653</v>
      </c>
      <c r="O15108" t="s">
        <v>191</v>
      </c>
      <c r="P15108">
        <v>4074</v>
      </c>
      <c r="Q15108">
        <v>9081</v>
      </c>
      <c r="R15108" t="s">
        <v>23</v>
      </c>
      <c r="S15108" s="1" t="s">
        <v>34218</v>
      </c>
    </row>
    <row r="15109" spans="1:19" x14ac:dyDescent="0.25">
      <c r="A15109">
        <v>101480625</v>
      </c>
      <c r="B15109" t="s">
        <v>10596</v>
      </c>
      <c r="C15109" t="s">
        <v>54</v>
      </c>
      <c r="G15109" t="s">
        <v>32483</v>
      </c>
      <c r="H15109" t="s">
        <v>9796</v>
      </c>
      <c r="I15109" t="s">
        <v>203</v>
      </c>
      <c r="J15109">
        <v>82001</v>
      </c>
      <c r="L15109" t="s">
        <v>23</v>
      </c>
      <c r="M15109" t="s">
        <v>32483</v>
      </c>
      <c r="N15109" t="s">
        <v>9796</v>
      </c>
      <c r="O15109" t="s">
        <v>203</v>
      </c>
      <c r="P15109">
        <v>82001</v>
      </c>
      <c r="R15109" t="s">
        <v>23</v>
      </c>
      <c r="S15109" s="1" t="s">
        <v>34218</v>
      </c>
    </row>
    <row r="15110" spans="1:19" x14ac:dyDescent="0.25">
      <c r="A15110">
        <v>101481050</v>
      </c>
      <c r="B15110" t="s">
        <v>744</v>
      </c>
      <c r="C15110" t="s">
        <v>1179</v>
      </c>
      <c r="G15110" t="s">
        <v>32484</v>
      </c>
      <c r="H15110" t="s">
        <v>88</v>
      </c>
      <c r="I15110" t="s">
        <v>22</v>
      </c>
      <c r="J15110">
        <v>94611</v>
      </c>
      <c r="K15110">
        <v>1806</v>
      </c>
      <c r="L15110" t="s">
        <v>23</v>
      </c>
      <c r="M15110" t="s">
        <v>32484</v>
      </c>
      <c r="N15110" t="s">
        <v>88</v>
      </c>
      <c r="O15110" t="s">
        <v>22</v>
      </c>
      <c r="P15110">
        <v>94611</v>
      </c>
      <c r="Q15110">
        <v>1806</v>
      </c>
      <c r="R15110" t="s">
        <v>23</v>
      </c>
      <c r="S15110" s="1" t="s">
        <v>34218</v>
      </c>
    </row>
    <row r="15111" spans="1:19" x14ac:dyDescent="0.25">
      <c r="A15111">
        <v>101481054</v>
      </c>
      <c r="B15111" t="s">
        <v>557</v>
      </c>
      <c r="C15111" t="s">
        <v>1107</v>
      </c>
      <c r="G15111" t="s">
        <v>32485</v>
      </c>
      <c r="H15111" t="s">
        <v>5471</v>
      </c>
      <c r="I15111" t="s">
        <v>255</v>
      </c>
      <c r="J15111">
        <v>23112</v>
      </c>
      <c r="K15111">
        <v>4612</v>
      </c>
      <c r="L15111" t="s">
        <v>23</v>
      </c>
      <c r="M15111" t="s">
        <v>32485</v>
      </c>
      <c r="N15111" t="s">
        <v>5471</v>
      </c>
      <c r="O15111" t="s">
        <v>255</v>
      </c>
      <c r="P15111">
        <v>23112</v>
      </c>
      <c r="Q15111">
        <v>4612</v>
      </c>
      <c r="R15111" t="s">
        <v>23</v>
      </c>
      <c r="S15111" s="1" t="s">
        <v>34218</v>
      </c>
    </row>
    <row r="15112" spans="1:19" x14ac:dyDescent="0.25">
      <c r="A15112">
        <v>101469419</v>
      </c>
      <c r="B15112" t="s">
        <v>3049</v>
      </c>
      <c r="C15112" t="s">
        <v>217</v>
      </c>
      <c r="G15112" t="s">
        <v>16126</v>
      </c>
      <c r="H15112" t="s">
        <v>2859</v>
      </c>
      <c r="I15112" t="s">
        <v>33</v>
      </c>
      <c r="J15112">
        <v>19604</v>
      </c>
      <c r="K15112">
        <v>2439</v>
      </c>
      <c r="L15112" t="s">
        <v>23</v>
      </c>
      <c r="M15112" t="s">
        <v>16126</v>
      </c>
      <c r="N15112" t="s">
        <v>2859</v>
      </c>
      <c r="O15112" t="s">
        <v>33</v>
      </c>
      <c r="P15112">
        <v>19604</v>
      </c>
      <c r="Q15112">
        <v>2439</v>
      </c>
      <c r="R15112" t="s">
        <v>23</v>
      </c>
      <c r="S15112" s="1" t="s">
        <v>34218</v>
      </c>
    </row>
    <row r="15113" spans="1:19" x14ac:dyDescent="0.25">
      <c r="A15113">
        <v>101446725</v>
      </c>
      <c r="B15113" t="s">
        <v>3545</v>
      </c>
      <c r="C15113" t="s">
        <v>10596</v>
      </c>
      <c r="G15113" t="s">
        <v>25960</v>
      </c>
      <c r="H15113" t="s">
        <v>3186</v>
      </c>
      <c r="I15113" t="s">
        <v>22</v>
      </c>
      <c r="J15113">
        <v>90606</v>
      </c>
      <c r="L15113" t="s">
        <v>23</v>
      </c>
      <c r="M15113" t="s">
        <v>25960</v>
      </c>
      <c r="N15113" t="s">
        <v>3186</v>
      </c>
      <c r="O15113" t="s">
        <v>22</v>
      </c>
      <c r="P15113">
        <v>90606</v>
      </c>
      <c r="R15113" t="s">
        <v>23</v>
      </c>
      <c r="S15113" s="1" t="s">
        <v>34218</v>
      </c>
    </row>
    <row r="15114" spans="1:19" x14ac:dyDescent="0.25">
      <c r="A15114">
        <v>101435723</v>
      </c>
      <c r="B15114" t="s">
        <v>32486</v>
      </c>
      <c r="C15114" t="s">
        <v>2463</v>
      </c>
      <c r="G15114" t="s">
        <v>32487</v>
      </c>
      <c r="H15114" t="s">
        <v>2359</v>
      </c>
      <c r="I15114" t="s">
        <v>22</v>
      </c>
      <c r="J15114">
        <v>92673</v>
      </c>
      <c r="K15114">
        <v>6997</v>
      </c>
      <c r="L15114" t="s">
        <v>23</v>
      </c>
      <c r="M15114" t="s">
        <v>32487</v>
      </c>
      <c r="N15114" t="s">
        <v>2359</v>
      </c>
      <c r="O15114" t="s">
        <v>22</v>
      </c>
      <c r="P15114">
        <v>92673</v>
      </c>
      <c r="Q15114">
        <v>6997</v>
      </c>
      <c r="R15114" t="s">
        <v>23</v>
      </c>
      <c r="S15114" s="1" t="s">
        <v>34218</v>
      </c>
    </row>
    <row r="15115" spans="1:19" x14ac:dyDescent="0.25">
      <c r="A15115">
        <v>101239610</v>
      </c>
      <c r="B15115" t="s">
        <v>10951</v>
      </c>
      <c r="C15115" t="s">
        <v>1327</v>
      </c>
      <c r="G15115" t="s">
        <v>32488</v>
      </c>
      <c r="H15115" t="s">
        <v>6881</v>
      </c>
      <c r="I15115" t="s">
        <v>52</v>
      </c>
      <c r="J15115">
        <v>33072</v>
      </c>
      <c r="L15115" t="s">
        <v>23</v>
      </c>
      <c r="M15115" t="s">
        <v>32488</v>
      </c>
      <c r="N15115" t="s">
        <v>6881</v>
      </c>
      <c r="O15115" t="s">
        <v>52</v>
      </c>
      <c r="P15115">
        <v>33072</v>
      </c>
      <c r="R15115" t="s">
        <v>23</v>
      </c>
      <c r="S15115" s="1" t="s">
        <v>34218</v>
      </c>
    </row>
    <row r="15116" spans="1:19" x14ac:dyDescent="0.25">
      <c r="A15116">
        <v>101351331</v>
      </c>
      <c r="B15116" t="s">
        <v>14046</v>
      </c>
      <c r="C15116" t="s">
        <v>842</v>
      </c>
      <c r="G15116" t="s">
        <v>32489</v>
      </c>
      <c r="H15116" t="s">
        <v>32490</v>
      </c>
      <c r="I15116" t="s">
        <v>100</v>
      </c>
      <c r="J15116">
        <v>53558</v>
      </c>
      <c r="K15116">
        <v>9241</v>
      </c>
      <c r="L15116" t="s">
        <v>23</v>
      </c>
      <c r="M15116" t="s">
        <v>32489</v>
      </c>
      <c r="N15116" t="s">
        <v>32490</v>
      </c>
      <c r="O15116" t="s">
        <v>100</v>
      </c>
      <c r="P15116">
        <v>53558</v>
      </c>
      <c r="Q15116">
        <v>9241</v>
      </c>
      <c r="R15116" t="s">
        <v>23</v>
      </c>
      <c r="S15116" s="1" t="s">
        <v>34218</v>
      </c>
    </row>
    <row r="15117" spans="1:19" x14ac:dyDescent="0.25">
      <c r="A15117">
        <v>100682171</v>
      </c>
      <c r="B15117" t="s">
        <v>23253</v>
      </c>
      <c r="C15117" t="s">
        <v>699</v>
      </c>
      <c r="G15117" t="s">
        <v>32491</v>
      </c>
      <c r="H15117" t="s">
        <v>2445</v>
      </c>
      <c r="I15117" t="s">
        <v>84</v>
      </c>
      <c r="J15117">
        <v>98146</v>
      </c>
      <c r="K15117">
        <v>2519</v>
      </c>
      <c r="L15117" t="s">
        <v>23</v>
      </c>
      <c r="M15117" t="s">
        <v>32491</v>
      </c>
      <c r="N15117" t="s">
        <v>2445</v>
      </c>
      <c r="O15117" t="s">
        <v>84</v>
      </c>
      <c r="P15117">
        <v>98146</v>
      </c>
      <c r="Q15117">
        <v>2519</v>
      </c>
      <c r="R15117" t="s">
        <v>23</v>
      </c>
      <c r="S15117" s="1" t="s">
        <v>34218</v>
      </c>
    </row>
    <row r="15118" spans="1:19" x14ac:dyDescent="0.25">
      <c r="A15118">
        <v>101471416</v>
      </c>
      <c r="B15118" t="s">
        <v>2357</v>
      </c>
      <c r="C15118" t="s">
        <v>3928</v>
      </c>
      <c r="G15118" t="s">
        <v>32492</v>
      </c>
      <c r="H15118" t="s">
        <v>5127</v>
      </c>
      <c r="I15118" t="s">
        <v>178</v>
      </c>
      <c r="J15118">
        <v>45840</v>
      </c>
      <c r="K15118">
        <v>6051</v>
      </c>
      <c r="L15118" t="s">
        <v>23</v>
      </c>
      <c r="M15118" t="s">
        <v>32492</v>
      </c>
      <c r="N15118" t="s">
        <v>5127</v>
      </c>
      <c r="O15118" t="s">
        <v>178</v>
      </c>
      <c r="P15118">
        <v>45840</v>
      </c>
      <c r="Q15118">
        <v>6051</v>
      </c>
      <c r="R15118" t="s">
        <v>23</v>
      </c>
      <c r="S15118" s="1" t="s">
        <v>34218</v>
      </c>
    </row>
    <row r="15119" spans="1:19" x14ac:dyDescent="0.25">
      <c r="A15119">
        <v>101481079</v>
      </c>
      <c r="B15119" t="s">
        <v>4779</v>
      </c>
      <c r="C15119" t="s">
        <v>21519</v>
      </c>
      <c r="G15119" t="s">
        <v>32493</v>
      </c>
      <c r="H15119" t="s">
        <v>37</v>
      </c>
      <c r="I15119" t="s">
        <v>38</v>
      </c>
      <c r="J15119">
        <v>78737</v>
      </c>
      <c r="K15119">
        <v>9057</v>
      </c>
      <c r="L15119" t="s">
        <v>23</v>
      </c>
      <c r="M15119" t="s">
        <v>32493</v>
      </c>
      <c r="N15119" t="s">
        <v>37</v>
      </c>
      <c r="O15119" t="s">
        <v>38</v>
      </c>
      <c r="P15119">
        <v>78737</v>
      </c>
      <c r="Q15119">
        <v>9057</v>
      </c>
      <c r="R15119" t="s">
        <v>23</v>
      </c>
      <c r="S15119" s="1" t="s">
        <v>34218</v>
      </c>
    </row>
    <row r="15120" spans="1:19" x14ac:dyDescent="0.25">
      <c r="A15120">
        <v>100565320</v>
      </c>
      <c r="B15120" t="s">
        <v>3180</v>
      </c>
      <c r="C15120" t="s">
        <v>1323</v>
      </c>
      <c r="G15120" t="s">
        <v>32494</v>
      </c>
      <c r="H15120" t="s">
        <v>1830</v>
      </c>
      <c r="I15120" t="s">
        <v>140</v>
      </c>
      <c r="J15120">
        <v>48201</v>
      </c>
      <c r="L15120" t="s">
        <v>23</v>
      </c>
      <c r="M15120" t="s">
        <v>32494</v>
      </c>
      <c r="N15120" t="s">
        <v>1830</v>
      </c>
      <c r="O15120" t="s">
        <v>140</v>
      </c>
      <c r="P15120">
        <v>48201</v>
      </c>
      <c r="R15120" t="s">
        <v>23</v>
      </c>
      <c r="S15120" s="1" t="s">
        <v>34218</v>
      </c>
    </row>
    <row r="15121" spans="1:19" x14ac:dyDescent="0.25">
      <c r="A15121">
        <v>101443618</v>
      </c>
      <c r="B15121" t="s">
        <v>32495</v>
      </c>
      <c r="C15121" t="s">
        <v>32496</v>
      </c>
      <c r="G15121" t="s">
        <v>32497</v>
      </c>
      <c r="H15121" t="s">
        <v>10895</v>
      </c>
      <c r="I15121" t="s">
        <v>250</v>
      </c>
      <c r="J15121">
        <v>8876</v>
      </c>
      <c r="K15121">
        <v>5450</v>
      </c>
      <c r="L15121" t="s">
        <v>23</v>
      </c>
      <c r="M15121" t="s">
        <v>32497</v>
      </c>
      <c r="N15121" t="s">
        <v>10895</v>
      </c>
      <c r="O15121" t="s">
        <v>250</v>
      </c>
      <c r="P15121">
        <v>8876</v>
      </c>
      <c r="Q15121">
        <v>5450</v>
      </c>
      <c r="R15121" t="s">
        <v>23</v>
      </c>
      <c r="S15121" s="1" t="s">
        <v>34218</v>
      </c>
    </row>
    <row r="15122" spans="1:19" x14ac:dyDescent="0.25">
      <c r="A15122">
        <v>101415174</v>
      </c>
      <c r="B15122" t="s">
        <v>32498</v>
      </c>
      <c r="C15122" t="s">
        <v>216</v>
      </c>
      <c r="G15122" t="s">
        <v>32499</v>
      </c>
      <c r="H15122" t="s">
        <v>143</v>
      </c>
      <c r="I15122" t="s">
        <v>52</v>
      </c>
      <c r="J15122">
        <v>32244</v>
      </c>
      <c r="K15122">
        <v>3014</v>
      </c>
      <c r="L15122" t="s">
        <v>23</v>
      </c>
      <c r="M15122" t="s">
        <v>32499</v>
      </c>
      <c r="N15122" t="s">
        <v>143</v>
      </c>
      <c r="O15122" t="s">
        <v>52</v>
      </c>
      <c r="P15122">
        <v>32244</v>
      </c>
      <c r="Q15122">
        <v>3014</v>
      </c>
      <c r="R15122" t="s">
        <v>23</v>
      </c>
      <c r="S15122" s="1" t="s">
        <v>34218</v>
      </c>
    </row>
    <row r="15123" spans="1:19" x14ac:dyDescent="0.25">
      <c r="A15123">
        <v>100699431</v>
      </c>
      <c r="B15123" t="s">
        <v>32500</v>
      </c>
      <c r="C15123" t="s">
        <v>4956</v>
      </c>
      <c r="G15123" t="s">
        <v>32501</v>
      </c>
      <c r="H15123" t="s">
        <v>8989</v>
      </c>
      <c r="I15123" t="s">
        <v>250</v>
      </c>
      <c r="J15123">
        <v>8857</v>
      </c>
      <c r="L15123" t="s">
        <v>23</v>
      </c>
      <c r="M15123" t="s">
        <v>32501</v>
      </c>
      <c r="N15123" t="s">
        <v>8989</v>
      </c>
      <c r="O15123" t="s">
        <v>250</v>
      </c>
      <c r="P15123">
        <v>8857</v>
      </c>
      <c r="R15123" t="s">
        <v>23</v>
      </c>
      <c r="S15123" s="1" t="s">
        <v>34218</v>
      </c>
    </row>
    <row r="15124" spans="1:19" x14ac:dyDescent="0.25">
      <c r="A15124">
        <v>100544733</v>
      </c>
      <c r="B15124" t="s">
        <v>1234</v>
      </c>
      <c r="C15124" t="s">
        <v>3171</v>
      </c>
      <c r="G15124" t="s">
        <v>32502</v>
      </c>
      <c r="H15124" t="s">
        <v>458</v>
      </c>
      <c r="I15124" t="s">
        <v>43</v>
      </c>
      <c r="J15124">
        <v>97527</v>
      </c>
      <c r="K15124">
        <v>8767</v>
      </c>
      <c r="L15124" t="s">
        <v>23</v>
      </c>
      <c r="M15124" t="s">
        <v>32502</v>
      </c>
      <c r="N15124" t="s">
        <v>458</v>
      </c>
      <c r="O15124" t="s">
        <v>43</v>
      </c>
      <c r="P15124">
        <v>97527</v>
      </c>
      <c r="Q15124">
        <v>8767</v>
      </c>
      <c r="R15124" t="s">
        <v>23</v>
      </c>
      <c r="S15124" s="1" t="s">
        <v>34218</v>
      </c>
    </row>
    <row r="15125" spans="1:19" x14ac:dyDescent="0.25">
      <c r="A15125">
        <v>101481097</v>
      </c>
      <c r="B15125" t="s">
        <v>32503</v>
      </c>
      <c r="C15125" t="s">
        <v>32503</v>
      </c>
      <c r="G15125" t="s">
        <v>32504</v>
      </c>
      <c r="H15125" t="s">
        <v>18388</v>
      </c>
      <c r="I15125" t="s">
        <v>250</v>
      </c>
      <c r="J15125">
        <v>8046</v>
      </c>
      <c r="K15125">
        <v>2611</v>
      </c>
      <c r="L15125" t="s">
        <v>23</v>
      </c>
      <c r="M15125" t="s">
        <v>32504</v>
      </c>
      <c r="N15125" t="s">
        <v>18388</v>
      </c>
      <c r="O15125" t="s">
        <v>250</v>
      </c>
      <c r="P15125">
        <v>8046</v>
      </c>
      <c r="Q15125">
        <v>2611</v>
      </c>
      <c r="R15125" t="s">
        <v>23</v>
      </c>
      <c r="S15125" s="1" t="s">
        <v>34218</v>
      </c>
    </row>
    <row r="15126" spans="1:19" x14ac:dyDescent="0.25">
      <c r="A15126">
        <v>101481100</v>
      </c>
      <c r="B15126" t="s">
        <v>32505</v>
      </c>
      <c r="C15126" t="s">
        <v>3609</v>
      </c>
      <c r="G15126" t="s">
        <v>32506</v>
      </c>
      <c r="H15126" t="s">
        <v>169</v>
      </c>
      <c r="I15126" t="s">
        <v>33</v>
      </c>
      <c r="J15126">
        <v>15301</v>
      </c>
      <c r="K15126">
        <v>6461</v>
      </c>
      <c r="L15126" t="s">
        <v>23</v>
      </c>
      <c r="M15126" t="s">
        <v>32506</v>
      </c>
      <c r="N15126" t="s">
        <v>169</v>
      </c>
      <c r="O15126" t="s">
        <v>33</v>
      </c>
      <c r="P15126">
        <v>15301</v>
      </c>
      <c r="Q15126">
        <v>6461</v>
      </c>
      <c r="R15126" t="s">
        <v>23</v>
      </c>
      <c r="S15126" s="1" t="s">
        <v>34218</v>
      </c>
    </row>
    <row r="15127" spans="1:19" x14ac:dyDescent="0.25">
      <c r="A15127">
        <v>101481108</v>
      </c>
      <c r="B15127" t="s">
        <v>32507</v>
      </c>
      <c r="C15127" t="s">
        <v>3314</v>
      </c>
      <c r="G15127" t="s">
        <v>32508</v>
      </c>
      <c r="H15127" t="s">
        <v>9229</v>
      </c>
      <c r="I15127" t="s">
        <v>52</v>
      </c>
      <c r="J15127">
        <v>33901</v>
      </c>
      <c r="K15127">
        <v>5836</v>
      </c>
      <c r="L15127" t="s">
        <v>23</v>
      </c>
      <c r="M15127" t="s">
        <v>32508</v>
      </c>
      <c r="N15127" t="s">
        <v>9229</v>
      </c>
      <c r="O15127" t="s">
        <v>52</v>
      </c>
      <c r="P15127">
        <v>33901</v>
      </c>
      <c r="Q15127">
        <v>5836</v>
      </c>
      <c r="R15127" t="s">
        <v>23</v>
      </c>
      <c r="S15127" s="1" t="s">
        <v>34218</v>
      </c>
    </row>
    <row r="15128" spans="1:19" x14ac:dyDescent="0.25">
      <c r="A15128">
        <v>101174092</v>
      </c>
      <c r="B15128" t="s">
        <v>29188</v>
      </c>
      <c r="C15128" t="s">
        <v>797</v>
      </c>
      <c r="G15128" t="s">
        <v>32509</v>
      </c>
      <c r="H15128" t="s">
        <v>1105</v>
      </c>
      <c r="I15128" t="s">
        <v>117</v>
      </c>
      <c r="J15128">
        <v>10469</v>
      </c>
      <c r="K15128">
        <v>6413</v>
      </c>
      <c r="L15128" t="s">
        <v>23</v>
      </c>
      <c r="M15128" t="s">
        <v>32509</v>
      </c>
      <c r="N15128" t="s">
        <v>1105</v>
      </c>
      <c r="O15128" t="s">
        <v>117</v>
      </c>
      <c r="P15128">
        <v>10469</v>
      </c>
      <c r="Q15128">
        <v>6413</v>
      </c>
      <c r="R15128" t="s">
        <v>23</v>
      </c>
      <c r="S15128" s="1" t="s">
        <v>34218</v>
      </c>
    </row>
    <row r="15129" spans="1:19" x14ac:dyDescent="0.25">
      <c r="A15129">
        <v>101072161</v>
      </c>
      <c r="B15129" t="s">
        <v>30039</v>
      </c>
      <c r="C15129" t="s">
        <v>554</v>
      </c>
      <c r="G15129" t="s">
        <v>32510</v>
      </c>
      <c r="H15129" t="s">
        <v>4486</v>
      </c>
      <c r="I15129" t="s">
        <v>71</v>
      </c>
      <c r="J15129">
        <v>80550</v>
      </c>
      <c r="K15129">
        <v>3410</v>
      </c>
      <c r="L15129" t="s">
        <v>23</v>
      </c>
      <c r="M15129" t="s">
        <v>32510</v>
      </c>
      <c r="N15129" t="s">
        <v>4486</v>
      </c>
      <c r="O15129" t="s">
        <v>71</v>
      </c>
      <c r="P15129">
        <v>80550</v>
      </c>
      <c r="Q15129">
        <v>3410</v>
      </c>
      <c r="R15129" t="s">
        <v>23</v>
      </c>
      <c r="S15129" s="1" t="s">
        <v>34218</v>
      </c>
    </row>
    <row r="15130" spans="1:19" x14ac:dyDescent="0.25">
      <c r="A15130">
        <v>101481115</v>
      </c>
      <c r="B15130" t="s">
        <v>22133</v>
      </c>
      <c r="C15130" t="s">
        <v>382</v>
      </c>
      <c r="G15130" t="s">
        <v>32511</v>
      </c>
      <c r="H15130" t="s">
        <v>4953</v>
      </c>
      <c r="I15130" t="s">
        <v>2566</v>
      </c>
      <c r="J15130">
        <v>99801</v>
      </c>
      <c r="K15130">
        <v>7620</v>
      </c>
      <c r="L15130" t="s">
        <v>23</v>
      </c>
      <c r="M15130" t="s">
        <v>32511</v>
      </c>
      <c r="N15130" t="s">
        <v>4953</v>
      </c>
      <c r="O15130" t="s">
        <v>2566</v>
      </c>
      <c r="P15130">
        <v>99801</v>
      </c>
      <c r="Q15130">
        <v>7620</v>
      </c>
      <c r="R15130" t="s">
        <v>23</v>
      </c>
      <c r="S15130" s="1" t="s">
        <v>34218</v>
      </c>
    </row>
    <row r="15131" spans="1:19" x14ac:dyDescent="0.25">
      <c r="A15131">
        <v>101481125</v>
      </c>
      <c r="B15131" t="s">
        <v>4048</v>
      </c>
      <c r="C15131" t="s">
        <v>5347</v>
      </c>
      <c r="G15131" t="s">
        <v>32512</v>
      </c>
      <c r="H15131" t="s">
        <v>2189</v>
      </c>
      <c r="I15131" t="s">
        <v>187</v>
      </c>
      <c r="J15131">
        <v>55343</v>
      </c>
      <c r="K15131">
        <v>4119</v>
      </c>
      <c r="L15131" t="s">
        <v>23</v>
      </c>
      <c r="M15131" t="s">
        <v>32512</v>
      </c>
      <c r="N15131" t="s">
        <v>2189</v>
      </c>
      <c r="O15131" t="s">
        <v>187</v>
      </c>
      <c r="P15131">
        <v>55343</v>
      </c>
      <c r="Q15131">
        <v>4119</v>
      </c>
      <c r="R15131" t="s">
        <v>23</v>
      </c>
      <c r="S15131" s="1" t="s">
        <v>34218</v>
      </c>
    </row>
    <row r="15132" spans="1:19" x14ac:dyDescent="0.25">
      <c r="A15132">
        <v>101454595</v>
      </c>
      <c r="B15132" t="s">
        <v>1463</v>
      </c>
      <c r="C15132" t="s">
        <v>617</v>
      </c>
      <c r="G15132" t="s">
        <v>32513</v>
      </c>
      <c r="H15132" t="s">
        <v>5533</v>
      </c>
      <c r="I15132" t="s">
        <v>1387</v>
      </c>
      <c r="J15132">
        <v>35244</v>
      </c>
      <c r="K15132">
        <v>1263</v>
      </c>
      <c r="L15132" t="s">
        <v>23</v>
      </c>
      <c r="M15132" t="s">
        <v>32513</v>
      </c>
      <c r="N15132" t="s">
        <v>5533</v>
      </c>
      <c r="O15132" t="s">
        <v>1387</v>
      </c>
      <c r="P15132">
        <v>35244</v>
      </c>
      <c r="Q15132">
        <v>1263</v>
      </c>
      <c r="R15132" t="s">
        <v>23</v>
      </c>
      <c r="S15132" s="1" t="s">
        <v>34218</v>
      </c>
    </row>
    <row r="15133" spans="1:19" x14ac:dyDescent="0.25">
      <c r="A15133">
        <v>101305800</v>
      </c>
      <c r="B15133" t="s">
        <v>32514</v>
      </c>
      <c r="C15133" t="s">
        <v>32515</v>
      </c>
      <c r="G15133" t="s">
        <v>32516</v>
      </c>
      <c r="H15133" t="s">
        <v>32517</v>
      </c>
      <c r="I15133" t="s">
        <v>565</v>
      </c>
      <c r="J15133">
        <v>50459</v>
      </c>
      <c r="L15133" t="s">
        <v>23</v>
      </c>
      <c r="M15133" t="s">
        <v>32516</v>
      </c>
      <c r="N15133" t="s">
        <v>32517</v>
      </c>
      <c r="O15133" t="s">
        <v>565</v>
      </c>
      <c r="P15133">
        <v>50459</v>
      </c>
      <c r="R15133" t="s">
        <v>23</v>
      </c>
      <c r="S15133" s="1" t="s">
        <v>34218</v>
      </c>
    </row>
    <row r="15134" spans="1:19" x14ac:dyDescent="0.25">
      <c r="A15134">
        <v>101481136</v>
      </c>
      <c r="B15134" t="s">
        <v>4966</v>
      </c>
      <c r="C15134" t="s">
        <v>452</v>
      </c>
      <c r="G15134" t="s">
        <v>32518</v>
      </c>
      <c r="H15134" t="s">
        <v>6685</v>
      </c>
      <c r="I15134" t="s">
        <v>84</v>
      </c>
      <c r="J15134">
        <v>98592</v>
      </c>
      <c r="K15134">
        <v>9516</v>
      </c>
      <c r="L15134" t="s">
        <v>23</v>
      </c>
      <c r="M15134" t="s">
        <v>32518</v>
      </c>
      <c r="N15134" t="s">
        <v>6685</v>
      </c>
      <c r="O15134" t="s">
        <v>84</v>
      </c>
      <c r="P15134">
        <v>98592</v>
      </c>
      <c r="Q15134">
        <v>9516</v>
      </c>
      <c r="R15134" t="s">
        <v>23</v>
      </c>
      <c r="S15134" s="1" t="s">
        <v>34218</v>
      </c>
    </row>
    <row r="15135" spans="1:19" x14ac:dyDescent="0.25">
      <c r="A15135">
        <v>101481137</v>
      </c>
      <c r="B15135" t="s">
        <v>32519</v>
      </c>
      <c r="C15135" t="s">
        <v>3843</v>
      </c>
      <c r="G15135" t="s">
        <v>32520</v>
      </c>
      <c r="H15135" t="s">
        <v>4693</v>
      </c>
      <c r="I15135" t="s">
        <v>52</v>
      </c>
      <c r="J15135">
        <v>33484</v>
      </c>
      <c r="K15135">
        <v>1704</v>
      </c>
      <c r="L15135" t="s">
        <v>23</v>
      </c>
      <c r="M15135" t="s">
        <v>32520</v>
      </c>
      <c r="N15135" t="s">
        <v>4693</v>
      </c>
      <c r="O15135" t="s">
        <v>52</v>
      </c>
      <c r="P15135">
        <v>33484</v>
      </c>
      <c r="Q15135">
        <v>1704</v>
      </c>
      <c r="R15135" t="s">
        <v>23</v>
      </c>
      <c r="S15135" s="1" t="s">
        <v>34218</v>
      </c>
    </row>
    <row r="15136" spans="1:19" x14ac:dyDescent="0.25">
      <c r="A15136">
        <v>101308055</v>
      </c>
      <c r="B15136" t="s">
        <v>32521</v>
      </c>
      <c r="C15136" t="s">
        <v>1416</v>
      </c>
      <c r="G15136" t="s">
        <v>32522</v>
      </c>
      <c r="H15136" t="s">
        <v>31843</v>
      </c>
      <c r="I15136" t="s">
        <v>22</v>
      </c>
      <c r="J15136">
        <v>93552</v>
      </c>
      <c r="K15136">
        <v>5112</v>
      </c>
      <c r="L15136" t="s">
        <v>23</v>
      </c>
      <c r="M15136" t="s">
        <v>32522</v>
      </c>
      <c r="N15136" t="s">
        <v>31843</v>
      </c>
      <c r="O15136" t="s">
        <v>22</v>
      </c>
      <c r="P15136">
        <v>93552</v>
      </c>
      <c r="Q15136">
        <v>5112</v>
      </c>
      <c r="R15136" t="s">
        <v>23</v>
      </c>
      <c r="S15136" s="1" t="s">
        <v>34218</v>
      </c>
    </row>
    <row r="15137" spans="1:19" x14ac:dyDescent="0.25">
      <c r="A15137">
        <v>101481146</v>
      </c>
      <c r="B15137" t="s">
        <v>32523</v>
      </c>
      <c r="C15137" t="s">
        <v>2220</v>
      </c>
      <c r="G15137" t="s">
        <v>32524</v>
      </c>
      <c r="H15137" t="s">
        <v>32525</v>
      </c>
      <c r="I15137" t="s">
        <v>22</v>
      </c>
      <c r="J15137">
        <v>96055</v>
      </c>
      <c r="K15137">
        <v>9534</v>
      </c>
      <c r="L15137" t="s">
        <v>23</v>
      </c>
      <c r="M15137" t="s">
        <v>32524</v>
      </c>
      <c r="N15137" t="s">
        <v>32525</v>
      </c>
      <c r="O15137" t="s">
        <v>22</v>
      </c>
      <c r="P15137">
        <v>96055</v>
      </c>
      <c r="Q15137">
        <v>9534</v>
      </c>
      <c r="R15137" t="s">
        <v>23</v>
      </c>
      <c r="S15137" s="1" t="s">
        <v>34218</v>
      </c>
    </row>
    <row r="15138" spans="1:19" x14ac:dyDescent="0.25">
      <c r="A15138">
        <v>101481152</v>
      </c>
      <c r="B15138" t="s">
        <v>32526</v>
      </c>
      <c r="C15138" t="s">
        <v>2767</v>
      </c>
      <c r="G15138" t="s">
        <v>32527</v>
      </c>
      <c r="H15138" t="s">
        <v>412</v>
      </c>
      <c r="I15138" t="s">
        <v>117</v>
      </c>
      <c r="J15138">
        <v>11201</v>
      </c>
      <c r="K15138">
        <v>5821</v>
      </c>
      <c r="L15138" t="s">
        <v>23</v>
      </c>
      <c r="M15138" t="s">
        <v>32527</v>
      </c>
      <c r="N15138" t="s">
        <v>412</v>
      </c>
      <c r="O15138" t="s">
        <v>117</v>
      </c>
      <c r="P15138">
        <v>11201</v>
      </c>
      <c r="Q15138">
        <v>5821</v>
      </c>
      <c r="R15138" t="s">
        <v>23</v>
      </c>
      <c r="S15138" s="1" t="s">
        <v>34218</v>
      </c>
    </row>
    <row r="15139" spans="1:19" x14ac:dyDescent="0.25">
      <c r="A15139">
        <v>101481156</v>
      </c>
      <c r="B15139" t="s">
        <v>32528</v>
      </c>
      <c r="C15139" t="s">
        <v>5671</v>
      </c>
      <c r="G15139" t="s">
        <v>32529</v>
      </c>
      <c r="H15139" t="s">
        <v>1985</v>
      </c>
      <c r="I15139" t="s">
        <v>71</v>
      </c>
      <c r="J15139">
        <v>80909</v>
      </c>
      <c r="K15139">
        <v>1038</v>
      </c>
      <c r="L15139" t="s">
        <v>23</v>
      </c>
      <c r="M15139" t="s">
        <v>32529</v>
      </c>
      <c r="N15139" t="s">
        <v>1985</v>
      </c>
      <c r="O15139" t="s">
        <v>71</v>
      </c>
      <c r="P15139">
        <v>80909</v>
      </c>
      <c r="Q15139">
        <v>1038</v>
      </c>
      <c r="R15139" t="s">
        <v>23</v>
      </c>
      <c r="S15139" s="1" t="s">
        <v>34218</v>
      </c>
    </row>
    <row r="15140" spans="1:19" x14ac:dyDescent="0.25">
      <c r="A15140">
        <v>101437816</v>
      </c>
      <c r="B15140" t="s">
        <v>5482</v>
      </c>
      <c r="C15140" t="s">
        <v>18274</v>
      </c>
      <c r="G15140" t="s">
        <v>32530</v>
      </c>
      <c r="H15140" t="s">
        <v>1535</v>
      </c>
      <c r="I15140" t="s">
        <v>22</v>
      </c>
      <c r="J15140" t="s">
        <v>32531</v>
      </c>
      <c r="K15140">
        <v>2284</v>
      </c>
      <c r="L15140" t="s">
        <v>23</v>
      </c>
      <c r="M15140" t="s">
        <v>32530</v>
      </c>
      <c r="N15140" t="s">
        <v>1535</v>
      </c>
      <c r="O15140" t="s">
        <v>22</v>
      </c>
      <c r="P15140" t="s">
        <v>32531</v>
      </c>
      <c r="Q15140">
        <v>2284</v>
      </c>
      <c r="R15140" t="s">
        <v>23</v>
      </c>
      <c r="S15140" s="1" t="s">
        <v>34218</v>
      </c>
    </row>
    <row r="15141" spans="1:19" x14ac:dyDescent="0.25">
      <c r="A15141">
        <v>101422127</v>
      </c>
      <c r="B15141" t="s">
        <v>32532</v>
      </c>
      <c r="C15141" t="s">
        <v>6641</v>
      </c>
      <c r="G15141" t="s">
        <v>32533</v>
      </c>
      <c r="H15141" t="s">
        <v>12218</v>
      </c>
      <c r="I15141" t="s">
        <v>140</v>
      </c>
      <c r="J15141" t="s">
        <v>32534</v>
      </c>
      <c r="K15141">
        <v>3180</v>
      </c>
      <c r="L15141" t="s">
        <v>23</v>
      </c>
      <c r="M15141" t="s">
        <v>32533</v>
      </c>
      <c r="N15141" t="s">
        <v>12218</v>
      </c>
      <c r="O15141" t="s">
        <v>140</v>
      </c>
      <c r="P15141" t="s">
        <v>32534</v>
      </c>
      <c r="Q15141">
        <v>3180</v>
      </c>
      <c r="R15141" t="s">
        <v>23</v>
      </c>
      <c r="S15141" s="1" t="s">
        <v>34218</v>
      </c>
    </row>
    <row r="15142" spans="1:19" x14ac:dyDescent="0.25">
      <c r="A15142">
        <v>100874683</v>
      </c>
      <c r="B15142" t="s">
        <v>1807</v>
      </c>
      <c r="C15142" t="s">
        <v>180</v>
      </c>
      <c r="G15142" t="s">
        <v>32535</v>
      </c>
      <c r="H15142" t="s">
        <v>591</v>
      </c>
      <c r="I15142" t="s">
        <v>236</v>
      </c>
      <c r="J15142" t="s">
        <v>32536</v>
      </c>
      <c r="K15142">
        <v>1662</v>
      </c>
      <c r="L15142" t="s">
        <v>23</v>
      </c>
      <c r="M15142" t="s">
        <v>32535</v>
      </c>
      <c r="N15142" t="s">
        <v>591</v>
      </c>
      <c r="O15142" t="s">
        <v>236</v>
      </c>
      <c r="P15142" t="s">
        <v>32536</v>
      </c>
      <c r="Q15142">
        <v>1662</v>
      </c>
      <c r="R15142" t="s">
        <v>23</v>
      </c>
      <c r="S15142" s="1" t="s">
        <v>34218</v>
      </c>
    </row>
    <row r="15143" spans="1:19" x14ac:dyDescent="0.25">
      <c r="A15143">
        <v>101421990</v>
      </c>
      <c r="B15143" t="s">
        <v>32537</v>
      </c>
      <c r="C15143" t="s">
        <v>13764</v>
      </c>
      <c r="G15143" t="s">
        <v>32538</v>
      </c>
      <c r="H15143" t="s">
        <v>4199</v>
      </c>
      <c r="I15143" t="s">
        <v>71</v>
      </c>
      <c r="J15143" t="s">
        <v>32539</v>
      </c>
      <c r="K15143">
        <v>1802</v>
      </c>
      <c r="L15143" t="s">
        <v>23</v>
      </c>
      <c r="M15143" t="s">
        <v>32538</v>
      </c>
      <c r="N15143" t="s">
        <v>4199</v>
      </c>
      <c r="O15143" t="s">
        <v>71</v>
      </c>
      <c r="P15143" t="s">
        <v>32539</v>
      </c>
      <c r="Q15143">
        <v>1802</v>
      </c>
      <c r="R15143" t="s">
        <v>23</v>
      </c>
      <c r="S15143" s="1" t="s">
        <v>34218</v>
      </c>
    </row>
    <row r="15144" spans="1:19" x14ac:dyDescent="0.25">
      <c r="A15144">
        <v>101429295</v>
      </c>
      <c r="B15144" t="s">
        <v>3625</v>
      </c>
      <c r="C15144" t="s">
        <v>1309</v>
      </c>
      <c r="G15144" t="s">
        <v>32540</v>
      </c>
      <c r="H15144" t="s">
        <v>4817</v>
      </c>
      <c r="I15144" t="s">
        <v>22</v>
      </c>
      <c r="J15144" t="s">
        <v>32541</v>
      </c>
      <c r="K15144">
        <v>1636</v>
      </c>
      <c r="L15144" t="s">
        <v>23</v>
      </c>
      <c r="M15144" t="s">
        <v>32540</v>
      </c>
      <c r="N15144" t="s">
        <v>4817</v>
      </c>
      <c r="O15144" t="s">
        <v>22</v>
      </c>
      <c r="P15144" t="s">
        <v>32541</v>
      </c>
      <c r="Q15144">
        <v>1636</v>
      </c>
      <c r="R15144" t="s">
        <v>23</v>
      </c>
      <c r="S15144" s="1" t="s">
        <v>34218</v>
      </c>
    </row>
    <row r="15145" spans="1:19" x14ac:dyDescent="0.25">
      <c r="A15145">
        <v>101319914</v>
      </c>
      <c r="B15145" t="s">
        <v>32542</v>
      </c>
      <c r="C15145" t="s">
        <v>32543</v>
      </c>
      <c r="G15145" t="s">
        <v>32544</v>
      </c>
      <c r="H15145" t="s">
        <v>169</v>
      </c>
      <c r="I15145" t="s">
        <v>170</v>
      </c>
      <c r="J15145" t="s">
        <v>32545</v>
      </c>
      <c r="K15145">
        <v>2019</v>
      </c>
      <c r="L15145" t="s">
        <v>23</v>
      </c>
      <c r="M15145" t="s">
        <v>32544</v>
      </c>
      <c r="N15145" t="s">
        <v>169</v>
      </c>
      <c r="O15145" t="s">
        <v>170</v>
      </c>
      <c r="P15145" t="s">
        <v>32545</v>
      </c>
      <c r="Q15145">
        <v>2019</v>
      </c>
      <c r="R15145" t="s">
        <v>23</v>
      </c>
      <c r="S15145" s="1" t="s">
        <v>34218</v>
      </c>
    </row>
    <row r="15146" spans="1:19" x14ac:dyDescent="0.25">
      <c r="A15146">
        <v>101438649</v>
      </c>
      <c r="B15146" t="s">
        <v>1685</v>
      </c>
      <c r="C15146" t="s">
        <v>810</v>
      </c>
      <c r="G15146" t="s">
        <v>32546</v>
      </c>
      <c r="H15146" t="s">
        <v>3493</v>
      </c>
      <c r="I15146" t="s">
        <v>22</v>
      </c>
      <c r="J15146" t="s">
        <v>32547</v>
      </c>
      <c r="K15146">
        <v>1144</v>
      </c>
      <c r="L15146" t="s">
        <v>23</v>
      </c>
      <c r="M15146" t="s">
        <v>32546</v>
      </c>
      <c r="N15146" t="s">
        <v>3493</v>
      </c>
      <c r="O15146" t="s">
        <v>22</v>
      </c>
      <c r="P15146" t="s">
        <v>32547</v>
      </c>
      <c r="Q15146">
        <v>1144</v>
      </c>
      <c r="R15146" t="s">
        <v>23</v>
      </c>
      <c r="S15146" s="1" t="s">
        <v>34218</v>
      </c>
    </row>
    <row r="15147" spans="1:19" x14ac:dyDescent="0.25">
      <c r="A15147">
        <v>101441867</v>
      </c>
      <c r="B15147" t="s">
        <v>32548</v>
      </c>
      <c r="C15147" t="s">
        <v>2497</v>
      </c>
      <c r="G15147" t="s">
        <v>32549</v>
      </c>
      <c r="H15147" t="s">
        <v>32550</v>
      </c>
      <c r="I15147" t="s">
        <v>117</v>
      </c>
      <c r="J15147" t="s">
        <v>32551</v>
      </c>
      <c r="K15147">
        <v>2264</v>
      </c>
      <c r="L15147" t="s">
        <v>23</v>
      </c>
      <c r="M15147" t="s">
        <v>32549</v>
      </c>
      <c r="N15147" t="s">
        <v>32550</v>
      </c>
      <c r="O15147" t="s">
        <v>117</v>
      </c>
      <c r="P15147" t="s">
        <v>32551</v>
      </c>
      <c r="Q15147">
        <v>2264</v>
      </c>
      <c r="R15147" t="s">
        <v>23</v>
      </c>
      <c r="S15147" s="1" t="s">
        <v>34218</v>
      </c>
    </row>
    <row r="15148" spans="1:19" x14ac:dyDescent="0.25">
      <c r="A15148">
        <v>101416261</v>
      </c>
      <c r="B15148" t="s">
        <v>32552</v>
      </c>
      <c r="C15148" t="s">
        <v>32553</v>
      </c>
      <c r="G15148" t="s">
        <v>32554</v>
      </c>
      <c r="H15148" t="s">
        <v>10995</v>
      </c>
      <c r="I15148" t="s">
        <v>135</v>
      </c>
      <c r="J15148" t="s">
        <v>32555</v>
      </c>
      <c r="K15148">
        <v>5915</v>
      </c>
      <c r="L15148" t="s">
        <v>23</v>
      </c>
      <c r="M15148" t="s">
        <v>32554</v>
      </c>
      <c r="N15148" t="s">
        <v>10995</v>
      </c>
      <c r="O15148" t="s">
        <v>135</v>
      </c>
      <c r="P15148" t="s">
        <v>32555</v>
      </c>
      <c r="Q15148">
        <v>5915</v>
      </c>
      <c r="R15148" t="s">
        <v>23</v>
      </c>
      <c r="S15148" s="1" t="s">
        <v>34218</v>
      </c>
    </row>
    <row r="15149" spans="1:19" x14ac:dyDescent="0.25">
      <c r="A15149">
        <v>101408631</v>
      </c>
      <c r="B15149" t="s">
        <v>32556</v>
      </c>
      <c r="C15149" t="s">
        <v>5665</v>
      </c>
      <c r="G15149" t="s">
        <v>32557</v>
      </c>
      <c r="H15149" t="s">
        <v>1951</v>
      </c>
      <c r="I15149" t="s">
        <v>57</v>
      </c>
      <c r="J15149" t="s">
        <v>32558</v>
      </c>
      <c r="K15149">
        <v>3616</v>
      </c>
      <c r="L15149" t="s">
        <v>23</v>
      </c>
      <c r="M15149" t="s">
        <v>32557</v>
      </c>
      <c r="N15149" t="s">
        <v>1951</v>
      </c>
      <c r="O15149" t="s">
        <v>57</v>
      </c>
      <c r="P15149" t="s">
        <v>32558</v>
      </c>
      <c r="Q15149">
        <v>3616</v>
      </c>
      <c r="R15149" t="s">
        <v>23</v>
      </c>
      <c r="S15149" s="1" t="s">
        <v>34218</v>
      </c>
    </row>
    <row r="15150" spans="1:19" x14ac:dyDescent="0.25">
      <c r="A15150">
        <v>100976452</v>
      </c>
      <c r="B15150" t="s">
        <v>14400</v>
      </c>
      <c r="C15150" t="s">
        <v>1350</v>
      </c>
      <c r="G15150" t="s">
        <v>32559</v>
      </c>
      <c r="H15150" t="s">
        <v>18093</v>
      </c>
      <c r="I15150" t="s">
        <v>140</v>
      </c>
      <c r="J15150" t="s">
        <v>32560</v>
      </c>
      <c r="K15150">
        <v>5263</v>
      </c>
      <c r="L15150" t="s">
        <v>23</v>
      </c>
      <c r="M15150" t="s">
        <v>32559</v>
      </c>
      <c r="N15150" t="s">
        <v>18093</v>
      </c>
      <c r="O15150" t="s">
        <v>140</v>
      </c>
      <c r="P15150" t="s">
        <v>32560</v>
      </c>
      <c r="Q15150">
        <v>5263</v>
      </c>
      <c r="R15150" t="s">
        <v>23</v>
      </c>
      <c r="S15150" s="1" t="s">
        <v>34218</v>
      </c>
    </row>
    <row r="15151" spans="1:19" x14ac:dyDescent="0.25">
      <c r="A15151">
        <v>100685721</v>
      </c>
      <c r="B15151" t="s">
        <v>32561</v>
      </c>
      <c r="C15151" t="s">
        <v>30</v>
      </c>
      <c r="G15151" t="s">
        <v>32562</v>
      </c>
      <c r="H15151" t="s">
        <v>11774</v>
      </c>
      <c r="I15151" t="s">
        <v>33</v>
      </c>
      <c r="J15151" t="s">
        <v>32563</v>
      </c>
      <c r="K15151">
        <v>4719</v>
      </c>
      <c r="L15151" t="s">
        <v>23</v>
      </c>
      <c r="M15151" t="s">
        <v>32562</v>
      </c>
      <c r="N15151" t="s">
        <v>11774</v>
      </c>
      <c r="O15151" t="s">
        <v>33</v>
      </c>
      <c r="P15151" t="s">
        <v>32563</v>
      </c>
      <c r="Q15151">
        <v>4719</v>
      </c>
      <c r="R15151" t="s">
        <v>23</v>
      </c>
      <c r="S15151" s="1" t="s">
        <v>34218</v>
      </c>
    </row>
    <row r="15152" spans="1:19" x14ac:dyDescent="0.25">
      <c r="A15152">
        <v>101445955</v>
      </c>
      <c r="B15152" t="s">
        <v>32564</v>
      </c>
      <c r="C15152" t="s">
        <v>32565</v>
      </c>
      <c r="G15152" t="s">
        <v>32566</v>
      </c>
      <c r="H15152" t="s">
        <v>9840</v>
      </c>
      <c r="I15152" t="s">
        <v>117</v>
      </c>
      <c r="J15152" t="s">
        <v>32567</v>
      </c>
      <c r="K15152">
        <v>2915</v>
      </c>
      <c r="L15152" t="s">
        <v>23</v>
      </c>
      <c r="M15152" t="s">
        <v>32566</v>
      </c>
      <c r="N15152" t="s">
        <v>9840</v>
      </c>
      <c r="O15152" t="s">
        <v>117</v>
      </c>
      <c r="P15152" t="s">
        <v>32567</v>
      </c>
      <c r="Q15152">
        <v>2915</v>
      </c>
      <c r="R15152" t="s">
        <v>23</v>
      </c>
      <c r="S15152" s="1" t="s">
        <v>34218</v>
      </c>
    </row>
    <row r="15153" spans="1:19" x14ac:dyDescent="0.25">
      <c r="A15153">
        <v>101425685</v>
      </c>
      <c r="B15153" t="s">
        <v>2043</v>
      </c>
      <c r="C15153" t="s">
        <v>49</v>
      </c>
      <c r="G15153" t="s">
        <v>32568</v>
      </c>
      <c r="H15153" t="s">
        <v>415</v>
      </c>
      <c r="I15153" t="s">
        <v>178</v>
      </c>
      <c r="J15153" t="s">
        <v>32569</v>
      </c>
      <c r="K15153">
        <v>3727</v>
      </c>
      <c r="L15153" t="s">
        <v>23</v>
      </c>
      <c r="M15153" t="s">
        <v>32568</v>
      </c>
      <c r="N15153" t="s">
        <v>415</v>
      </c>
      <c r="O15153" t="s">
        <v>178</v>
      </c>
      <c r="P15153" t="s">
        <v>32569</v>
      </c>
      <c r="Q15153">
        <v>3727</v>
      </c>
      <c r="R15153" t="s">
        <v>23</v>
      </c>
      <c r="S15153" s="1" t="s">
        <v>34218</v>
      </c>
    </row>
    <row r="15154" spans="1:19" x14ac:dyDescent="0.25">
      <c r="A15154">
        <v>101331890</v>
      </c>
      <c r="B15154" t="s">
        <v>32570</v>
      </c>
      <c r="C15154" t="s">
        <v>6200</v>
      </c>
      <c r="G15154" t="s">
        <v>32571</v>
      </c>
      <c r="H15154" t="s">
        <v>1857</v>
      </c>
      <c r="I15154" t="s">
        <v>702</v>
      </c>
      <c r="J15154" t="s">
        <v>32572</v>
      </c>
      <c r="K15154">
        <v>5811</v>
      </c>
      <c r="L15154" t="s">
        <v>23</v>
      </c>
      <c r="M15154" t="s">
        <v>32571</v>
      </c>
      <c r="N15154" t="s">
        <v>1857</v>
      </c>
      <c r="O15154" t="s">
        <v>702</v>
      </c>
      <c r="P15154" t="s">
        <v>32572</v>
      </c>
      <c r="Q15154">
        <v>5811</v>
      </c>
      <c r="R15154" t="s">
        <v>23</v>
      </c>
      <c r="S15154" s="1" t="s">
        <v>34218</v>
      </c>
    </row>
    <row r="15155" spans="1:19" x14ac:dyDescent="0.25">
      <c r="A15155">
        <v>101310129</v>
      </c>
      <c r="B15155" t="s">
        <v>553</v>
      </c>
      <c r="C15155" t="s">
        <v>636</v>
      </c>
      <c r="G15155" t="s">
        <v>32573</v>
      </c>
      <c r="H15155" t="s">
        <v>1857</v>
      </c>
      <c r="I15155" t="s">
        <v>702</v>
      </c>
      <c r="J15155" t="s">
        <v>32574</v>
      </c>
      <c r="K15155">
        <v>8922</v>
      </c>
      <c r="L15155" t="s">
        <v>23</v>
      </c>
      <c r="M15155" t="s">
        <v>32573</v>
      </c>
      <c r="N15155" t="s">
        <v>1857</v>
      </c>
      <c r="O15155" t="s">
        <v>702</v>
      </c>
      <c r="P15155" t="s">
        <v>32574</v>
      </c>
      <c r="Q15155">
        <v>8922</v>
      </c>
      <c r="R15155" t="s">
        <v>23</v>
      </c>
      <c r="S15155" s="1" t="s">
        <v>34218</v>
      </c>
    </row>
    <row r="15156" spans="1:19" x14ac:dyDescent="0.25">
      <c r="A15156">
        <v>101277317</v>
      </c>
      <c r="B15156" t="s">
        <v>32575</v>
      </c>
      <c r="C15156" t="s">
        <v>119</v>
      </c>
      <c r="G15156" t="s">
        <v>32576</v>
      </c>
      <c r="H15156" t="s">
        <v>9911</v>
      </c>
      <c r="I15156" t="s">
        <v>100</v>
      </c>
      <c r="J15156">
        <v>54452</v>
      </c>
      <c r="K15156">
        <v>9117</v>
      </c>
      <c r="L15156" t="s">
        <v>23</v>
      </c>
      <c r="M15156" t="s">
        <v>32576</v>
      </c>
      <c r="N15156" t="s">
        <v>9911</v>
      </c>
      <c r="O15156" t="s">
        <v>100</v>
      </c>
      <c r="P15156">
        <v>54452</v>
      </c>
      <c r="Q15156">
        <v>9117</v>
      </c>
      <c r="R15156" t="s">
        <v>23</v>
      </c>
      <c r="S15156" s="1" t="s">
        <v>34218</v>
      </c>
    </row>
    <row r="15157" spans="1:19" x14ac:dyDescent="0.25">
      <c r="A15157">
        <v>101430429</v>
      </c>
      <c r="B15157" t="s">
        <v>20100</v>
      </c>
      <c r="C15157" t="s">
        <v>145</v>
      </c>
      <c r="G15157" t="s">
        <v>32577</v>
      </c>
      <c r="H15157" t="s">
        <v>869</v>
      </c>
      <c r="I15157" t="s">
        <v>52</v>
      </c>
      <c r="J15157">
        <v>33156</v>
      </c>
      <c r="K15157">
        <v>5816</v>
      </c>
      <c r="L15157" t="s">
        <v>23</v>
      </c>
      <c r="M15157" t="s">
        <v>32577</v>
      </c>
      <c r="N15157" t="s">
        <v>869</v>
      </c>
      <c r="O15157" t="s">
        <v>52</v>
      </c>
      <c r="P15157">
        <v>33156</v>
      </c>
      <c r="Q15157">
        <v>5816</v>
      </c>
      <c r="R15157" t="s">
        <v>23</v>
      </c>
      <c r="S15157" s="1" t="s">
        <v>34218</v>
      </c>
    </row>
    <row r="15158" spans="1:19" x14ac:dyDescent="0.25">
      <c r="A15158">
        <v>100537672</v>
      </c>
      <c r="B15158" t="s">
        <v>32578</v>
      </c>
      <c r="C15158" t="s">
        <v>1327</v>
      </c>
      <c r="G15158" t="s">
        <v>32579</v>
      </c>
      <c r="H15158" t="s">
        <v>1531</v>
      </c>
      <c r="I15158" t="s">
        <v>84</v>
      </c>
      <c r="J15158">
        <v>98133</v>
      </c>
      <c r="K15158">
        <v>7167</v>
      </c>
      <c r="L15158" t="s">
        <v>23</v>
      </c>
      <c r="M15158" t="s">
        <v>32579</v>
      </c>
      <c r="N15158" t="s">
        <v>1531</v>
      </c>
      <c r="O15158" t="s">
        <v>84</v>
      </c>
      <c r="P15158">
        <v>98133</v>
      </c>
      <c r="Q15158">
        <v>7167</v>
      </c>
      <c r="R15158" t="s">
        <v>23</v>
      </c>
      <c r="S15158" s="1" t="s">
        <v>34218</v>
      </c>
    </row>
    <row r="15159" spans="1:19" x14ac:dyDescent="0.25">
      <c r="A15159">
        <v>101430471</v>
      </c>
      <c r="B15159" t="s">
        <v>32580</v>
      </c>
      <c r="C15159" t="s">
        <v>432</v>
      </c>
      <c r="G15159" t="s">
        <v>32581</v>
      </c>
      <c r="H15159" t="s">
        <v>21829</v>
      </c>
      <c r="I15159" t="s">
        <v>140</v>
      </c>
      <c r="J15159">
        <v>48362</v>
      </c>
      <c r="K15159">
        <v>3542</v>
      </c>
      <c r="L15159" t="s">
        <v>23</v>
      </c>
      <c r="M15159" t="s">
        <v>32581</v>
      </c>
      <c r="N15159" t="s">
        <v>21829</v>
      </c>
      <c r="O15159" t="s">
        <v>140</v>
      </c>
      <c r="P15159">
        <v>48362</v>
      </c>
      <c r="Q15159">
        <v>3542</v>
      </c>
      <c r="R15159" t="s">
        <v>23</v>
      </c>
      <c r="S15159" s="1" t="s">
        <v>34218</v>
      </c>
    </row>
    <row r="15160" spans="1:19" x14ac:dyDescent="0.25">
      <c r="A15160">
        <v>101453141</v>
      </c>
      <c r="B15160" t="s">
        <v>32582</v>
      </c>
      <c r="C15160" t="s">
        <v>32583</v>
      </c>
      <c r="G15160" t="s">
        <v>32584</v>
      </c>
      <c r="H15160" t="s">
        <v>442</v>
      </c>
      <c r="I15160" t="s">
        <v>140</v>
      </c>
      <c r="J15160">
        <v>48421</v>
      </c>
      <c r="K15160">
        <v>9730</v>
      </c>
      <c r="L15160" t="s">
        <v>23</v>
      </c>
      <c r="M15160" t="s">
        <v>32584</v>
      </c>
      <c r="N15160" t="s">
        <v>442</v>
      </c>
      <c r="O15160" t="s">
        <v>140</v>
      </c>
      <c r="P15160">
        <v>48421</v>
      </c>
      <c r="Q15160">
        <v>9730</v>
      </c>
      <c r="R15160" t="s">
        <v>23</v>
      </c>
      <c r="S15160" s="1" t="s">
        <v>34218</v>
      </c>
    </row>
    <row r="15161" spans="1:19" x14ac:dyDescent="0.25">
      <c r="A15161">
        <v>101449535</v>
      </c>
      <c r="B15161" t="s">
        <v>9820</v>
      </c>
      <c r="C15161" t="s">
        <v>32585</v>
      </c>
      <c r="G15161" t="s">
        <v>32586</v>
      </c>
      <c r="H15161" t="s">
        <v>31082</v>
      </c>
      <c r="I15161" t="s">
        <v>117</v>
      </c>
      <c r="J15161">
        <v>12106</v>
      </c>
      <c r="K15161">
        <v>2110</v>
      </c>
      <c r="L15161" t="s">
        <v>23</v>
      </c>
      <c r="M15161" t="s">
        <v>32586</v>
      </c>
      <c r="N15161" t="s">
        <v>31082</v>
      </c>
      <c r="O15161" t="s">
        <v>117</v>
      </c>
      <c r="P15161">
        <v>12106</v>
      </c>
      <c r="Q15161">
        <v>2110</v>
      </c>
      <c r="R15161" t="s">
        <v>23</v>
      </c>
      <c r="S15161" s="1" t="s">
        <v>34218</v>
      </c>
    </row>
    <row r="15162" spans="1:19" x14ac:dyDescent="0.25">
      <c r="A15162">
        <v>101424995</v>
      </c>
      <c r="B15162" t="s">
        <v>11232</v>
      </c>
      <c r="C15162" t="s">
        <v>846</v>
      </c>
      <c r="G15162" t="s">
        <v>32587</v>
      </c>
      <c r="H15162" t="s">
        <v>1250</v>
      </c>
      <c r="I15162" t="s">
        <v>52</v>
      </c>
      <c r="J15162">
        <v>34477</v>
      </c>
      <c r="K15162">
        <v>2521</v>
      </c>
      <c r="L15162" t="s">
        <v>23</v>
      </c>
      <c r="M15162" t="s">
        <v>32587</v>
      </c>
      <c r="N15162" t="s">
        <v>1250</v>
      </c>
      <c r="O15162" t="s">
        <v>52</v>
      </c>
      <c r="P15162">
        <v>34477</v>
      </c>
      <c r="Q15162">
        <v>2521</v>
      </c>
      <c r="R15162" t="s">
        <v>23</v>
      </c>
      <c r="S15162" s="1" t="s">
        <v>34218</v>
      </c>
    </row>
    <row r="15163" spans="1:19" x14ac:dyDescent="0.25">
      <c r="A15163">
        <v>101390792</v>
      </c>
      <c r="B15163" t="s">
        <v>1698</v>
      </c>
      <c r="C15163" t="s">
        <v>32588</v>
      </c>
      <c r="G15163" t="s">
        <v>32589</v>
      </c>
      <c r="H15163" t="s">
        <v>615</v>
      </c>
      <c r="I15163" t="s">
        <v>22</v>
      </c>
      <c r="J15163" t="s">
        <v>32590</v>
      </c>
      <c r="K15163">
        <v>1328</v>
      </c>
      <c r="L15163" t="s">
        <v>23</v>
      </c>
      <c r="M15163" t="s">
        <v>32589</v>
      </c>
      <c r="N15163" t="s">
        <v>615</v>
      </c>
      <c r="O15163" t="s">
        <v>22</v>
      </c>
      <c r="P15163" t="s">
        <v>32590</v>
      </c>
      <c r="Q15163">
        <v>1328</v>
      </c>
      <c r="R15163" t="s">
        <v>23</v>
      </c>
      <c r="S15163" s="1" t="s">
        <v>34218</v>
      </c>
    </row>
    <row r="15164" spans="1:19" x14ac:dyDescent="0.25">
      <c r="A15164">
        <v>101470886</v>
      </c>
      <c r="B15164" t="s">
        <v>3650</v>
      </c>
      <c r="C15164" t="s">
        <v>32591</v>
      </c>
      <c r="G15164" t="s">
        <v>32592</v>
      </c>
      <c r="H15164" t="s">
        <v>389</v>
      </c>
      <c r="I15164" t="s">
        <v>100</v>
      </c>
      <c r="J15164">
        <v>53211</v>
      </c>
      <c r="K15164">
        <v>3137</v>
      </c>
      <c r="L15164" t="s">
        <v>23</v>
      </c>
      <c r="M15164" t="s">
        <v>32592</v>
      </c>
      <c r="N15164" t="s">
        <v>389</v>
      </c>
      <c r="O15164" t="s">
        <v>100</v>
      </c>
      <c r="P15164">
        <v>53211</v>
      </c>
      <c r="Q15164">
        <v>3137</v>
      </c>
      <c r="R15164" t="s">
        <v>23</v>
      </c>
      <c r="S15164" s="1" t="s">
        <v>34218</v>
      </c>
    </row>
    <row r="15165" spans="1:19" x14ac:dyDescent="0.25">
      <c r="A15165">
        <v>101316399</v>
      </c>
      <c r="B15165" t="s">
        <v>5323</v>
      </c>
      <c r="C15165" t="s">
        <v>4046</v>
      </c>
      <c r="G15165" t="s">
        <v>32593</v>
      </c>
      <c r="H15165" t="s">
        <v>2701</v>
      </c>
      <c r="I15165" t="s">
        <v>236</v>
      </c>
      <c r="J15165">
        <v>2038</v>
      </c>
      <c r="K15165">
        <v>2581</v>
      </c>
      <c r="L15165" t="s">
        <v>23</v>
      </c>
      <c r="M15165" t="s">
        <v>32593</v>
      </c>
      <c r="N15165" t="s">
        <v>2701</v>
      </c>
      <c r="O15165" t="s">
        <v>236</v>
      </c>
      <c r="P15165">
        <v>2038</v>
      </c>
      <c r="Q15165">
        <v>2581</v>
      </c>
      <c r="R15165" t="s">
        <v>23</v>
      </c>
      <c r="S15165" s="1" t="s">
        <v>34218</v>
      </c>
    </row>
    <row r="15166" spans="1:19" x14ac:dyDescent="0.25">
      <c r="A15166">
        <v>101456670</v>
      </c>
      <c r="B15166" t="s">
        <v>32594</v>
      </c>
      <c r="C15166" t="s">
        <v>81</v>
      </c>
      <c r="G15166" t="s">
        <v>32595</v>
      </c>
      <c r="H15166" t="s">
        <v>3737</v>
      </c>
      <c r="I15166" t="s">
        <v>203</v>
      </c>
      <c r="J15166">
        <v>82601</v>
      </c>
      <c r="K15166">
        <v>5334</v>
      </c>
      <c r="L15166" t="s">
        <v>23</v>
      </c>
      <c r="M15166" t="s">
        <v>32595</v>
      </c>
      <c r="N15166" t="s">
        <v>3737</v>
      </c>
      <c r="O15166" t="s">
        <v>203</v>
      </c>
      <c r="P15166">
        <v>82601</v>
      </c>
      <c r="Q15166">
        <v>5334</v>
      </c>
      <c r="R15166" t="s">
        <v>23</v>
      </c>
      <c r="S15166" s="1" t="s">
        <v>34218</v>
      </c>
    </row>
    <row r="15167" spans="1:19" x14ac:dyDescent="0.25">
      <c r="A15167">
        <v>101422619</v>
      </c>
      <c r="B15167" t="s">
        <v>497</v>
      </c>
      <c r="C15167" t="s">
        <v>4427</v>
      </c>
      <c r="G15167" t="s">
        <v>32596</v>
      </c>
      <c r="H15167" t="s">
        <v>638</v>
      </c>
      <c r="I15167" t="s">
        <v>639</v>
      </c>
      <c r="J15167">
        <v>87123</v>
      </c>
      <c r="K15167">
        <v>3827</v>
      </c>
      <c r="L15167" t="s">
        <v>23</v>
      </c>
      <c r="M15167" t="s">
        <v>32596</v>
      </c>
      <c r="N15167" t="s">
        <v>638</v>
      </c>
      <c r="O15167" t="s">
        <v>639</v>
      </c>
      <c r="P15167">
        <v>87123</v>
      </c>
      <c r="Q15167">
        <v>3827</v>
      </c>
      <c r="R15167" t="s">
        <v>23</v>
      </c>
      <c r="S15167" s="1" t="s">
        <v>34218</v>
      </c>
    </row>
    <row r="15168" spans="1:19" x14ac:dyDescent="0.25">
      <c r="A15168">
        <v>101167050</v>
      </c>
      <c r="B15168" t="s">
        <v>2223</v>
      </c>
      <c r="C15168" t="s">
        <v>1374</v>
      </c>
      <c r="G15168" t="s">
        <v>32597</v>
      </c>
      <c r="H15168" t="s">
        <v>32598</v>
      </c>
      <c r="I15168" t="s">
        <v>117</v>
      </c>
      <c r="J15168">
        <v>12747</v>
      </c>
      <c r="K15168">
        <v>5446</v>
      </c>
      <c r="L15168" t="s">
        <v>23</v>
      </c>
      <c r="M15168" t="s">
        <v>32597</v>
      </c>
      <c r="N15168" t="s">
        <v>32598</v>
      </c>
      <c r="O15168" t="s">
        <v>117</v>
      </c>
      <c r="P15168">
        <v>12747</v>
      </c>
      <c r="Q15168">
        <v>5446</v>
      </c>
      <c r="R15168" t="s">
        <v>23</v>
      </c>
      <c r="S15168" s="1" t="s">
        <v>34218</v>
      </c>
    </row>
    <row r="15169" spans="1:19" x14ac:dyDescent="0.25">
      <c r="A15169">
        <v>101441865</v>
      </c>
      <c r="B15169" t="s">
        <v>1775</v>
      </c>
      <c r="C15169" t="s">
        <v>294</v>
      </c>
      <c r="G15169" t="s">
        <v>32599</v>
      </c>
      <c r="H15169" t="s">
        <v>1985</v>
      </c>
      <c r="I15169" t="s">
        <v>71</v>
      </c>
      <c r="J15169">
        <v>80915</v>
      </c>
      <c r="L15169" t="s">
        <v>23</v>
      </c>
      <c r="M15169" t="s">
        <v>32599</v>
      </c>
      <c r="N15169" t="s">
        <v>1985</v>
      </c>
      <c r="O15169" t="s">
        <v>71</v>
      </c>
      <c r="P15169">
        <v>80915</v>
      </c>
      <c r="R15169" t="s">
        <v>23</v>
      </c>
      <c r="S15169" s="1" t="s">
        <v>34218</v>
      </c>
    </row>
    <row r="15170" spans="1:19" x14ac:dyDescent="0.25">
      <c r="A15170">
        <v>100636847</v>
      </c>
      <c r="B15170" t="s">
        <v>7876</v>
      </c>
      <c r="C15170" t="s">
        <v>1327</v>
      </c>
      <c r="G15170" t="s">
        <v>32600</v>
      </c>
      <c r="H15170" t="s">
        <v>8055</v>
      </c>
      <c r="I15170" t="s">
        <v>191</v>
      </c>
      <c r="J15170">
        <v>4032</v>
      </c>
      <c r="K15170">
        <v>6756</v>
      </c>
      <c r="L15170" t="s">
        <v>23</v>
      </c>
      <c r="M15170" t="s">
        <v>32600</v>
      </c>
      <c r="N15170" t="s">
        <v>8055</v>
      </c>
      <c r="O15170" t="s">
        <v>191</v>
      </c>
      <c r="P15170">
        <v>4032</v>
      </c>
      <c r="Q15170">
        <v>6756</v>
      </c>
      <c r="R15170" t="s">
        <v>23</v>
      </c>
      <c r="S15170" s="1" t="s">
        <v>34218</v>
      </c>
    </row>
    <row r="15171" spans="1:19" x14ac:dyDescent="0.25">
      <c r="A15171">
        <v>101470945</v>
      </c>
      <c r="B15171" t="s">
        <v>1089</v>
      </c>
      <c r="C15171" t="s">
        <v>32601</v>
      </c>
      <c r="G15171" t="s">
        <v>7328</v>
      </c>
      <c r="H15171" t="s">
        <v>2674</v>
      </c>
      <c r="I15171" t="s">
        <v>22</v>
      </c>
      <c r="J15171">
        <v>95945</v>
      </c>
      <c r="K15171">
        <v>7804</v>
      </c>
      <c r="L15171" t="s">
        <v>23</v>
      </c>
      <c r="M15171" t="s">
        <v>7328</v>
      </c>
      <c r="N15171" t="s">
        <v>2674</v>
      </c>
      <c r="O15171" t="s">
        <v>22</v>
      </c>
      <c r="P15171">
        <v>95945</v>
      </c>
      <c r="Q15171">
        <v>7804</v>
      </c>
      <c r="R15171" t="s">
        <v>23</v>
      </c>
      <c r="S15171" s="1" t="s">
        <v>34218</v>
      </c>
    </row>
    <row r="15172" spans="1:19" x14ac:dyDescent="0.25">
      <c r="A15172">
        <v>101469456</v>
      </c>
      <c r="B15172" t="s">
        <v>13315</v>
      </c>
      <c r="C15172" t="s">
        <v>1526</v>
      </c>
      <c r="G15172" t="s">
        <v>22962</v>
      </c>
      <c r="H15172" t="s">
        <v>4127</v>
      </c>
      <c r="I15172" t="s">
        <v>71</v>
      </c>
      <c r="J15172">
        <v>80540</v>
      </c>
      <c r="K15172">
        <v>4203</v>
      </c>
      <c r="L15172" t="s">
        <v>23</v>
      </c>
      <c r="M15172" t="s">
        <v>22962</v>
      </c>
      <c r="N15172" t="s">
        <v>4127</v>
      </c>
      <c r="O15172" t="s">
        <v>71</v>
      </c>
      <c r="P15172">
        <v>80540</v>
      </c>
      <c r="Q15172">
        <v>4203</v>
      </c>
      <c r="R15172" t="s">
        <v>23</v>
      </c>
      <c r="S15172" s="1" t="s">
        <v>34218</v>
      </c>
    </row>
    <row r="15173" spans="1:19" x14ac:dyDescent="0.25">
      <c r="A15173">
        <v>101010392</v>
      </c>
      <c r="B15173" t="s">
        <v>32602</v>
      </c>
      <c r="C15173" t="s">
        <v>32603</v>
      </c>
      <c r="G15173" t="s">
        <v>32604</v>
      </c>
      <c r="H15173" t="s">
        <v>1355</v>
      </c>
      <c r="I15173" t="s">
        <v>84</v>
      </c>
      <c r="J15173">
        <v>98272</v>
      </c>
      <c r="K15173">
        <v>2331</v>
      </c>
      <c r="L15173" t="s">
        <v>23</v>
      </c>
      <c r="M15173" t="s">
        <v>32604</v>
      </c>
      <c r="N15173" t="s">
        <v>1355</v>
      </c>
      <c r="O15173" t="s">
        <v>84</v>
      </c>
      <c r="P15173">
        <v>98272</v>
      </c>
      <c r="Q15173">
        <v>2331</v>
      </c>
      <c r="R15173" t="s">
        <v>23</v>
      </c>
      <c r="S15173" s="1" t="s">
        <v>34218</v>
      </c>
    </row>
    <row r="15174" spans="1:19" x14ac:dyDescent="0.25">
      <c r="A15174">
        <v>101451106</v>
      </c>
      <c r="B15174" t="s">
        <v>1970</v>
      </c>
      <c r="C15174" t="s">
        <v>406</v>
      </c>
      <c r="G15174" t="s">
        <v>32605</v>
      </c>
      <c r="H15174" t="s">
        <v>1600</v>
      </c>
      <c r="I15174" t="s">
        <v>28</v>
      </c>
      <c r="J15174">
        <v>30062</v>
      </c>
      <c r="K15174">
        <v>1755</v>
      </c>
      <c r="L15174" t="s">
        <v>23</v>
      </c>
      <c r="M15174" t="s">
        <v>32605</v>
      </c>
      <c r="N15174" t="s">
        <v>1600</v>
      </c>
      <c r="O15174" t="s">
        <v>28</v>
      </c>
      <c r="P15174">
        <v>30062</v>
      </c>
      <c r="Q15174">
        <v>1755</v>
      </c>
      <c r="R15174" t="s">
        <v>23</v>
      </c>
      <c r="S15174" s="1" t="s">
        <v>34218</v>
      </c>
    </row>
    <row r="15175" spans="1:19" x14ac:dyDescent="0.25">
      <c r="A15175">
        <v>101470964</v>
      </c>
      <c r="B15175" t="s">
        <v>32606</v>
      </c>
      <c r="C15175" t="s">
        <v>128</v>
      </c>
      <c r="G15175" t="s">
        <v>32607</v>
      </c>
      <c r="H15175" t="s">
        <v>720</v>
      </c>
      <c r="I15175" t="s">
        <v>38</v>
      </c>
      <c r="J15175">
        <v>75791</v>
      </c>
      <c r="K15175">
        <v>8335</v>
      </c>
      <c r="L15175" t="s">
        <v>23</v>
      </c>
      <c r="M15175" t="s">
        <v>32607</v>
      </c>
      <c r="N15175" t="s">
        <v>720</v>
      </c>
      <c r="O15175" t="s">
        <v>38</v>
      </c>
      <c r="P15175">
        <v>75791</v>
      </c>
      <c r="Q15175">
        <v>8335</v>
      </c>
      <c r="R15175" t="s">
        <v>23</v>
      </c>
      <c r="S15175" s="1" t="s">
        <v>34218</v>
      </c>
    </row>
    <row r="15176" spans="1:19" x14ac:dyDescent="0.25">
      <c r="A15176">
        <v>101451625</v>
      </c>
      <c r="B15176" t="s">
        <v>800</v>
      </c>
      <c r="C15176" t="s">
        <v>32608</v>
      </c>
      <c r="G15176" t="s">
        <v>32609</v>
      </c>
      <c r="H15176" t="s">
        <v>11333</v>
      </c>
      <c r="I15176" t="s">
        <v>187</v>
      </c>
      <c r="J15176">
        <v>55449</v>
      </c>
      <c r="K15176">
        <v>4156</v>
      </c>
      <c r="L15176" t="s">
        <v>23</v>
      </c>
      <c r="M15176" t="s">
        <v>32609</v>
      </c>
      <c r="N15176" t="s">
        <v>11333</v>
      </c>
      <c r="O15176" t="s">
        <v>187</v>
      </c>
      <c r="P15176">
        <v>55449</v>
      </c>
      <c r="Q15176">
        <v>4156</v>
      </c>
      <c r="R15176" t="s">
        <v>23</v>
      </c>
      <c r="S15176" s="1" t="s">
        <v>34218</v>
      </c>
    </row>
    <row r="15177" spans="1:19" x14ac:dyDescent="0.25">
      <c r="A15177">
        <v>101452914</v>
      </c>
      <c r="B15177" t="s">
        <v>497</v>
      </c>
      <c r="C15177" t="s">
        <v>225</v>
      </c>
      <c r="G15177" t="s">
        <v>32610</v>
      </c>
      <c r="H15177" t="s">
        <v>573</v>
      </c>
      <c r="I15177" t="s">
        <v>33</v>
      </c>
      <c r="J15177">
        <v>19103</v>
      </c>
      <c r="K15177">
        <v>5693</v>
      </c>
      <c r="L15177" t="s">
        <v>23</v>
      </c>
      <c r="M15177" t="s">
        <v>32610</v>
      </c>
      <c r="N15177" t="s">
        <v>573</v>
      </c>
      <c r="O15177" t="s">
        <v>33</v>
      </c>
      <c r="P15177">
        <v>19103</v>
      </c>
      <c r="Q15177">
        <v>5693</v>
      </c>
      <c r="R15177" t="s">
        <v>23</v>
      </c>
      <c r="S15177" s="1" t="s">
        <v>34218</v>
      </c>
    </row>
    <row r="15178" spans="1:19" x14ac:dyDescent="0.25">
      <c r="A15178">
        <v>101344337</v>
      </c>
      <c r="B15178" t="s">
        <v>32611</v>
      </c>
      <c r="C15178" t="s">
        <v>20173</v>
      </c>
      <c r="G15178" t="s">
        <v>32612</v>
      </c>
      <c r="H15178" t="s">
        <v>32613</v>
      </c>
      <c r="I15178" t="s">
        <v>250</v>
      </c>
      <c r="J15178">
        <v>8550</v>
      </c>
      <c r="K15178">
        <v>2955</v>
      </c>
      <c r="L15178" t="s">
        <v>23</v>
      </c>
      <c r="M15178" t="s">
        <v>32612</v>
      </c>
      <c r="N15178" t="s">
        <v>32613</v>
      </c>
      <c r="O15178" t="s">
        <v>250</v>
      </c>
      <c r="P15178">
        <v>8550</v>
      </c>
      <c r="Q15178">
        <v>2955</v>
      </c>
      <c r="R15178" t="s">
        <v>23</v>
      </c>
      <c r="S15178" s="1" t="s">
        <v>34218</v>
      </c>
    </row>
    <row r="15179" spans="1:19" x14ac:dyDescent="0.25">
      <c r="A15179">
        <v>101393385</v>
      </c>
      <c r="B15179" t="s">
        <v>32614</v>
      </c>
      <c r="C15179" t="s">
        <v>119</v>
      </c>
      <c r="G15179" t="s">
        <v>32615</v>
      </c>
      <c r="H15179" t="s">
        <v>389</v>
      </c>
      <c r="I15179" t="s">
        <v>100</v>
      </c>
      <c r="J15179">
        <v>53212</v>
      </c>
      <c r="K15179">
        <v>2354</v>
      </c>
      <c r="L15179" t="s">
        <v>23</v>
      </c>
      <c r="M15179" t="s">
        <v>32615</v>
      </c>
      <c r="N15179" t="s">
        <v>389</v>
      </c>
      <c r="O15179" t="s">
        <v>100</v>
      </c>
      <c r="P15179">
        <v>53212</v>
      </c>
      <c r="Q15179">
        <v>2354</v>
      </c>
      <c r="R15179" t="s">
        <v>23</v>
      </c>
      <c r="S15179" s="1" t="s">
        <v>34218</v>
      </c>
    </row>
    <row r="15180" spans="1:19" x14ac:dyDescent="0.25">
      <c r="A15180">
        <v>101378018</v>
      </c>
      <c r="B15180" t="s">
        <v>32616</v>
      </c>
      <c r="C15180" t="s">
        <v>558</v>
      </c>
      <c r="G15180" t="s">
        <v>32617</v>
      </c>
      <c r="H15180" t="s">
        <v>5986</v>
      </c>
      <c r="I15180" t="s">
        <v>52</v>
      </c>
      <c r="J15180">
        <v>33952</v>
      </c>
      <c r="K15180">
        <v>4502</v>
      </c>
      <c r="L15180" t="s">
        <v>23</v>
      </c>
      <c r="M15180" t="s">
        <v>32617</v>
      </c>
      <c r="N15180" t="s">
        <v>5986</v>
      </c>
      <c r="O15180" t="s">
        <v>52</v>
      </c>
      <c r="P15180">
        <v>33952</v>
      </c>
      <c r="Q15180">
        <v>4502</v>
      </c>
      <c r="R15180" t="s">
        <v>23</v>
      </c>
      <c r="S15180" s="1" t="s">
        <v>34218</v>
      </c>
    </row>
    <row r="15181" spans="1:19" x14ac:dyDescent="0.25">
      <c r="A15181">
        <v>101262028</v>
      </c>
      <c r="B15181" t="s">
        <v>980</v>
      </c>
      <c r="C15181" t="s">
        <v>24046</v>
      </c>
      <c r="G15181" t="s">
        <v>32618</v>
      </c>
      <c r="H15181" t="s">
        <v>445</v>
      </c>
      <c r="I15181" t="s">
        <v>446</v>
      </c>
      <c r="J15181">
        <v>28804</v>
      </c>
      <c r="K15181">
        <v>8230</v>
      </c>
      <c r="L15181" t="s">
        <v>23</v>
      </c>
      <c r="M15181" t="s">
        <v>32618</v>
      </c>
      <c r="N15181" t="s">
        <v>445</v>
      </c>
      <c r="O15181" t="s">
        <v>446</v>
      </c>
      <c r="P15181">
        <v>28804</v>
      </c>
      <c r="Q15181">
        <v>8230</v>
      </c>
      <c r="R15181" t="s">
        <v>23</v>
      </c>
      <c r="S15181" s="1" t="s">
        <v>34218</v>
      </c>
    </row>
    <row r="15182" spans="1:19" x14ac:dyDescent="0.25">
      <c r="A15182">
        <v>100964375</v>
      </c>
      <c r="B15182" t="s">
        <v>12827</v>
      </c>
      <c r="C15182" t="s">
        <v>32619</v>
      </c>
      <c r="G15182" t="s">
        <v>32620</v>
      </c>
      <c r="H15182" t="s">
        <v>12732</v>
      </c>
      <c r="I15182" t="s">
        <v>135</v>
      </c>
      <c r="J15182">
        <v>60015</v>
      </c>
      <c r="L15182" t="s">
        <v>23</v>
      </c>
      <c r="M15182" t="s">
        <v>32620</v>
      </c>
      <c r="N15182" t="s">
        <v>12732</v>
      </c>
      <c r="O15182" t="s">
        <v>135</v>
      </c>
      <c r="P15182">
        <v>60015</v>
      </c>
      <c r="R15182" t="s">
        <v>23</v>
      </c>
      <c r="S15182" s="1" t="s">
        <v>34218</v>
      </c>
    </row>
    <row r="15183" spans="1:19" x14ac:dyDescent="0.25">
      <c r="A15183">
        <v>101058826</v>
      </c>
      <c r="B15183" t="s">
        <v>32621</v>
      </c>
      <c r="C15183" t="s">
        <v>803</v>
      </c>
      <c r="G15183" t="s">
        <v>32622</v>
      </c>
      <c r="H15183" t="s">
        <v>32623</v>
      </c>
      <c r="I15183" t="s">
        <v>135</v>
      </c>
      <c r="J15183">
        <v>60446</v>
      </c>
      <c r="K15183">
        <v>5082</v>
      </c>
      <c r="L15183" t="s">
        <v>23</v>
      </c>
      <c r="M15183" t="s">
        <v>32622</v>
      </c>
      <c r="N15183" t="s">
        <v>32623</v>
      </c>
      <c r="O15183" t="s">
        <v>135</v>
      </c>
      <c r="P15183">
        <v>60446</v>
      </c>
      <c r="Q15183">
        <v>5082</v>
      </c>
      <c r="R15183" t="s">
        <v>23</v>
      </c>
      <c r="S15183" s="1" t="s">
        <v>34218</v>
      </c>
    </row>
    <row r="15184" spans="1:19" x14ac:dyDescent="0.25">
      <c r="A15184">
        <v>101051441</v>
      </c>
      <c r="B15184" t="s">
        <v>32624</v>
      </c>
      <c r="C15184" t="s">
        <v>9565</v>
      </c>
      <c r="F15184" t="str">
        <f>"7177574967"</f>
        <v>7177574967</v>
      </c>
      <c r="G15184" t="s">
        <v>32625</v>
      </c>
      <c r="H15184" t="s">
        <v>4527</v>
      </c>
      <c r="I15184" t="s">
        <v>33</v>
      </c>
      <c r="J15184">
        <v>17402</v>
      </c>
      <c r="K15184">
        <v>3748</v>
      </c>
      <c r="L15184" t="s">
        <v>23</v>
      </c>
      <c r="M15184" t="s">
        <v>32625</v>
      </c>
      <c r="N15184" t="s">
        <v>4527</v>
      </c>
      <c r="O15184" t="s">
        <v>33</v>
      </c>
      <c r="P15184">
        <v>17402</v>
      </c>
      <c r="Q15184">
        <v>3748</v>
      </c>
      <c r="R15184" t="s">
        <v>23</v>
      </c>
      <c r="S15184" s="1" t="s">
        <v>34218</v>
      </c>
    </row>
    <row r="15185" spans="1:19" x14ac:dyDescent="0.25">
      <c r="A15185">
        <v>101482273</v>
      </c>
      <c r="B15185" t="s">
        <v>27952</v>
      </c>
      <c r="C15185" t="s">
        <v>748</v>
      </c>
      <c r="G15185" t="s">
        <v>32626</v>
      </c>
      <c r="H15185" t="s">
        <v>37</v>
      </c>
      <c r="I15185" t="s">
        <v>38</v>
      </c>
      <c r="J15185">
        <v>78745</v>
      </c>
      <c r="K15185">
        <v>4385</v>
      </c>
      <c r="L15185" t="s">
        <v>23</v>
      </c>
      <c r="M15185" t="s">
        <v>32626</v>
      </c>
      <c r="N15185" t="s">
        <v>37</v>
      </c>
      <c r="O15185" t="s">
        <v>38</v>
      </c>
      <c r="P15185">
        <v>78745</v>
      </c>
      <c r="Q15185">
        <v>4385</v>
      </c>
      <c r="R15185" t="s">
        <v>23</v>
      </c>
      <c r="S15185" s="1" t="s">
        <v>34218</v>
      </c>
    </row>
    <row r="15186" spans="1:19" x14ac:dyDescent="0.25">
      <c r="A15186">
        <v>101408580</v>
      </c>
      <c r="B15186" t="s">
        <v>14997</v>
      </c>
      <c r="C15186" t="s">
        <v>543</v>
      </c>
      <c r="G15186" t="s">
        <v>32627</v>
      </c>
      <c r="H15186" t="s">
        <v>976</v>
      </c>
      <c r="I15186" t="s">
        <v>140</v>
      </c>
      <c r="J15186">
        <v>48103</v>
      </c>
      <c r="K15186">
        <v>4840</v>
      </c>
      <c r="L15186" t="s">
        <v>23</v>
      </c>
      <c r="M15186" t="s">
        <v>32627</v>
      </c>
      <c r="N15186" t="s">
        <v>976</v>
      </c>
      <c r="O15186" t="s">
        <v>140</v>
      </c>
      <c r="P15186">
        <v>48103</v>
      </c>
      <c r="Q15186">
        <v>4840</v>
      </c>
      <c r="R15186" t="s">
        <v>23</v>
      </c>
      <c r="S15186" s="1" t="s">
        <v>34218</v>
      </c>
    </row>
    <row r="15187" spans="1:19" x14ac:dyDescent="0.25">
      <c r="A15187">
        <v>101417273</v>
      </c>
      <c r="B15187" t="s">
        <v>32628</v>
      </c>
      <c r="C15187" t="s">
        <v>1793</v>
      </c>
      <c r="F15187" t="str">
        <f>"5107106712"</f>
        <v>5107106712</v>
      </c>
      <c r="G15187" t="s">
        <v>32629</v>
      </c>
      <c r="H15187" t="s">
        <v>650</v>
      </c>
      <c r="I15187" t="s">
        <v>22</v>
      </c>
      <c r="J15187" t="s">
        <v>32630</v>
      </c>
      <c r="K15187">
        <v>4731</v>
      </c>
      <c r="L15187" t="s">
        <v>23</v>
      </c>
      <c r="M15187" t="s">
        <v>32629</v>
      </c>
      <c r="N15187" t="s">
        <v>650</v>
      </c>
      <c r="O15187" t="s">
        <v>22</v>
      </c>
      <c r="P15187" t="s">
        <v>32630</v>
      </c>
      <c r="Q15187">
        <v>4731</v>
      </c>
      <c r="R15187" t="s">
        <v>23</v>
      </c>
      <c r="S15187" s="1" t="s">
        <v>34218</v>
      </c>
    </row>
    <row r="15188" spans="1:19" x14ac:dyDescent="0.25">
      <c r="A15188">
        <v>101270545</v>
      </c>
      <c r="B15188" t="s">
        <v>276</v>
      </c>
      <c r="C15188" t="s">
        <v>7445</v>
      </c>
      <c r="G15188" t="s">
        <v>32631</v>
      </c>
      <c r="H15188" t="s">
        <v>5535</v>
      </c>
      <c r="I15188" t="s">
        <v>22</v>
      </c>
      <c r="J15188" t="s">
        <v>32632</v>
      </c>
      <c r="K15188">
        <v>2736</v>
      </c>
      <c r="L15188" t="s">
        <v>23</v>
      </c>
      <c r="M15188" t="s">
        <v>32631</v>
      </c>
      <c r="N15188" t="s">
        <v>5535</v>
      </c>
      <c r="O15188" t="s">
        <v>22</v>
      </c>
      <c r="P15188" t="s">
        <v>32632</v>
      </c>
      <c r="Q15188">
        <v>2736</v>
      </c>
      <c r="R15188" t="s">
        <v>23</v>
      </c>
      <c r="S15188" s="1" t="s">
        <v>34218</v>
      </c>
    </row>
    <row r="15189" spans="1:19" x14ac:dyDescent="0.25">
      <c r="A15189">
        <v>100941267</v>
      </c>
      <c r="B15189" t="s">
        <v>32633</v>
      </c>
      <c r="C15189" t="s">
        <v>32634</v>
      </c>
      <c r="G15189" t="s">
        <v>32635</v>
      </c>
      <c r="H15189" t="s">
        <v>3466</v>
      </c>
      <c r="I15189" t="s">
        <v>22</v>
      </c>
      <c r="J15189" t="s">
        <v>32636</v>
      </c>
      <c r="K15189">
        <v>7461</v>
      </c>
      <c r="L15189" t="s">
        <v>23</v>
      </c>
      <c r="M15189" t="s">
        <v>32635</v>
      </c>
      <c r="N15189" t="s">
        <v>3466</v>
      </c>
      <c r="O15189" t="s">
        <v>22</v>
      </c>
      <c r="P15189" t="s">
        <v>32636</v>
      </c>
      <c r="Q15189">
        <v>7461</v>
      </c>
      <c r="R15189" t="s">
        <v>23</v>
      </c>
      <c r="S15189" s="1" t="s">
        <v>34218</v>
      </c>
    </row>
    <row r="15190" spans="1:19" x14ac:dyDescent="0.25">
      <c r="A15190">
        <v>101296425</v>
      </c>
      <c r="B15190" t="s">
        <v>32637</v>
      </c>
      <c r="C15190" t="s">
        <v>2781</v>
      </c>
      <c r="G15190" t="s">
        <v>32638</v>
      </c>
      <c r="H15190" t="s">
        <v>1531</v>
      </c>
      <c r="I15190" t="s">
        <v>84</v>
      </c>
      <c r="J15190" t="s">
        <v>32639</v>
      </c>
      <c r="K15190">
        <v>5607</v>
      </c>
      <c r="L15190" t="s">
        <v>23</v>
      </c>
      <c r="M15190" t="s">
        <v>32638</v>
      </c>
      <c r="N15190" t="s">
        <v>1531</v>
      </c>
      <c r="O15190" t="s">
        <v>84</v>
      </c>
      <c r="P15190" t="s">
        <v>32639</v>
      </c>
      <c r="Q15190">
        <v>5607</v>
      </c>
      <c r="R15190" t="s">
        <v>23</v>
      </c>
      <c r="S15190" s="1" t="s">
        <v>34218</v>
      </c>
    </row>
    <row r="15191" spans="1:19" x14ac:dyDescent="0.25">
      <c r="A15191">
        <v>100973055</v>
      </c>
      <c r="B15191" t="s">
        <v>1204</v>
      </c>
      <c r="C15191" t="s">
        <v>216</v>
      </c>
      <c r="G15191" t="s">
        <v>32640</v>
      </c>
      <c r="H15191" t="s">
        <v>1250</v>
      </c>
      <c r="I15191" t="s">
        <v>52</v>
      </c>
      <c r="J15191" t="s">
        <v>32641</v>
      </c>
      <c r="K15191">
        <v>8213</v>
      </c>
      <c r="L15191" t="s">
        <v>23</v>
      </c>
      <c r="M15191" t="s">
        <v>32640</v>
      </c>
      <c r="N15191" t="s">
        <v>1250</v>
      </c>
      <c r="O15191" t="s">
        <v>52</v>
      </c>
      <c r="P15191" t="s">
        <v>32641</v>
      </c>
      <c r="Q15191">
        <v>8213</v>
      </c>
      <c r="R15191" t="s">
        <v>23</v>
      </c>
      <c r="S15191" s="1" t="s">
        <v>34218</v>
      </c>
    </row>
    <row r="15192" spans="1:19" x14ac:dyDescent="0.25">
      <c r="A15192">
        <v>101409231</v>
      </c>
      <c r="B15192" t="s">
        <v>6366</v>
      </c>
      <c r="C15192" t="s">
        <v>1153</v>
      </c>
      <c r="G15192" t="s">
        <v>6367</v>
      </c>
      <c r="H15192" t="s">
        <v>6368</v>
      </c>
      <c r="I15192" t="s">
        <v>52</v>
      </c>
      <c r="J15192" t="s">
        <v>32642</v>
      </c>
      <c r="K15192">
        <v>3125</v>
      </c>
      <c r="L15192" t="s">
        <v>23</v>
      </c>
      <c r="M15192" t="s">
        <v>6367</v>
      </c>
      <c r="N15192" t="s">
        <v>6368</v>
      </c>
      <c r="O15192" t="s">
        <v>52</v>
      </c>
      <c r="P15192" t="s">
        <v>32642</v>
      </c>
      <c r="Q15192">
        <v>3125</v>
      </c>
      <c r="R15192" t="s">
        <v>23</v>
      </c>
      <c r="S15192" s="1" t="s">
        <v>34218</v>
      </c>
    </row>
    <row r="15193" spans="1:19" x14ac:dyDescent="0.25">
      <c r="A15193">
        <v>101341759</v>
      </c>
      <c r="B15193" t="s">
        <v>276</v>
      </c>
      <c r="C15193" t="s">
        <v>32643</v>
      </c>
      <c r="G15193" t="s">
        <v>32644</v>
      </c>
      <c r="H15193" t="s">
        <v>653</v>
      </c>
      <c r="I15193" t="s">
        <v>117</v>
      </c>
      <c r="J15193" t="s">
        <v>32645</v>
      </c>
      <c r="K15193">
        <v>4764</v>
      </c>
      <c r="L15193" t="s">
        <v>23</v>
      </c>
      <c r="M15193" t="s">
        <v>32644</v>
      </c>
      <c r="N15193" t="s">
        <v>653</v>
      </c>
      <c r="O15193" t="s">
        <v>117</v>
      </c>
      <c r="P15193" t="s">
        <v>32645</v>
      </c>
      <c r="Q15193">
        <v>4764</v>
      </c>
      <c r="R15193" t="s">
        <v>23</v>
      </c>
      <c r="S15193" s="1" t="s">
        <v>34218</v>
      </c>
    </row>
    <row r="15194" spans="1:19" x14ac:dyDescent="0.25">
      <c r="A15194">
        <v>100515670</v>
      </c>
      <c r="B15194" t="s">
        <v>32646</v>
      </c>
      <c r="C15194" t="s">
        <v>1065</v>
      </c>
      <c r="G15194" t="s">
        <v>32647</v>
      </c>
      <c r="H15194" t="s">
        <v>13808</v>
      </c>
      <c r="I15194" t="s">
        <v>135</v>
      </c>
      <c r="J15194">
        <v>60053</v>
      </c>
      <c r="L15194" t="s">
        <v>23</v>
      </c>
      <c r="M15194" t="s">
        <v>32647</v>
      </c>
      <c r="N15194" t="s">
        <v>13808</v>
      </c>
      <c r="O15194" t="s">
        <v>135</v>
      </c>
      <c r="P15194">
        <v>60053</v>
      </c>
      <c r="R15194" t="s">
        <v>23</v>
      </c>
      <c r="S15194" s="1" t="s">
        <v>34218</v>
      </c>
    </row>
    <row r="15195" spans="1:19" x14ac:dyDescent="0.25">
      <c r="A15195">
        <v>101138515</v>
      </c>
      <c r="B15195" t="s">
        <v>32648</v>
      </c>
      <c r="C15195" t="s">
        <v>4284</v>
      </c>
      <c r="G15195" t="s">
        <v>32649</v>
      </c>
      <c r="H15195" t="s">
        <v>32650</v>
      </c>
      <c r="I15195" t="s">
        <v>2566</v>
      </c>
      <c r="J15195">
        <v>99755</v>
      </c>
      <c r="L15195" t="s">
        <v>23</v>
      </c>
      <c r="M15195" t="s">
        <v>32649</v>
      </c>
      <c r="N15195" t="s">
        <v>32650</v>
      </c>
      <c r="O15195" t="s">
        <v>2566</v>
      </c>
      <c r="P15195">
        <v>99755</v>
      </c>
      <c r="R15195" t="s">
        <v>23</v>
      </c>
      <c r="S15195" s="1" t="s">
        <v>34218</v>
      </c>
    </row>
    <row r="15196" spans="1:19" x14ac:dyDescent="0.25">
      <c r="A15196">
        <v>101408461</v>
      </c>
      <c r="B15196" t="s">
        <v>32651</v>
      </c>
      <c r="C15196" t="s">
        <v>621</v>
      </c>
      <c r="G15196" t="s">
        <v>32652</v>
      </c>
      <c r="H15196" t="s">
        <v>37</v>
      </c>
      <c r="I15196" t="s">
        <v>38</v>
      </c>
      <c r="J15196" t="s">
        <v>32653</v>
      </c>
      <c r="K15196">
        <v>3312</v>
      </c>
      <c r="L15196" t="s">
        <v>23</v>
      </c>
      <c r="M15196" t="s">
        <v>32652</v>
      </c>
      <c r="N15196" t="s">
        <v>37</v>
      </c>
      <c r="O15196" t="s">
        <v>38</v>
      </c>
      <c r="P15196" t="s">
        <v>32653</v>
      </c>
      <c r="Q15196">
        <v>3312</v>
      </c>
      <c r="R15196" t="s">
        <v>23</v>
      </c>
      <c r="S15196" s="1" t="s">
        <v>34218</v>
      </c>
    </row>
    <row r="15197" spans="1:19" x14ac:dyDescent="0.25">
      <c r="A15197">
        <v>100674895</v>
      </c>
      <c r="B15197" t="s">
        <v>17554</v>
      </c>
      <c r="C15197" t="s">
        <v>522</v>
      </c>
      <c r="G15197" t="s">
        <v>32654</v>
      </c>
      <c r="H15197" t="s">
        <v>134</v>
      </c>
      <c r="I15197" t="s">
        <v>135</v>
      </c>
      <c r="J15197" t="s">
        <v>32655</v>
      </c>
      <c r="K15197">
        <v>3469</v>
      </c>
      <c r="L15197" t="s">
        <v>23</v>
      </c>
      <c r="M15197" t="s">
        <v>32654</v>
      </c>
      <c r="N15197" t="s">
        <v>134</v>
      </c>
      <c r="O15197" t="s">
        <v>135</v>
      </c>
      <c r="P15197" t="s">
        <v>32655</v>
      </c>
      <c r="Q15197">
        <v>3469</v>
      </c>
      <c r="R15197" t="s">
        <v>23</v>
      </c>
      <c r="S15197" s="1" t="s">
        <v>34218</v>
      </c>
    </row>
    <row r="15198" spans="1:19" x14ac:dyDescent="0.25">
      <c r="A15198">
        <v>100515755</v>
      </c>
      <c r="B15198" t="s">
        <v>32656</v>
      </c>
      <c r="C15198" t="s">
        <v>6143</v>
      </c>
      <c r="G15198" t="s">
        <v>32657</v>
      </c>
      <c r="H15198" t="s">
        <v>12977</v>
      </c>
      <c r="I15198" t="s">
        <v>565</v>
      </c>
      <c r="J15198" t="s">
        <v>32658</v>
      </c>
      <c r="K15198">
        <v>1203</v>
      </c>
      <c r="L15198" t="s">
        <v>23</v>
      </c>
      <c r="M15198" t="s">
        <v>32657</v>
      </c>
      <c r="N15198" t="s">
        <v>12977</v>
      </c>
      <c r="O15198" t="s">
        <v>565</v>
      </c>
      <c r="P15198" t="s">
        <v>32658</v>
      </c>
      <c r="Q15198">
        <v>1203</v>
      </c>
      <c r="R15198" t="s">
        <v>23</v>
      </c>
      <c r="S15198" s="1" t="s">
        <v>34218</v>
      </c>
    </row>
    <row r="15199" spans="1:19" x14ac:dyDescent="0.25">
      <c r="A15199">
        <v>100972944</v>
      </c>
      <c r="B15199" t="s">
        <v>32659</v>
      </c>
      <c r="C15199" t="s">
        <v>894</v>
      </c>
      <c r="G15199" t="s">
        <v>32660</v>
      </c>
      <c r="H15199" t="s">
        <v>2100</v>
      </c>
      <c r="I15199" t="s">
        <v>52</v>
      </c>
      <c r="J15199" t="s">
        <v>32661</v>
      </c>
      <c r="K15199">
        <v>4713</v>
      </c>
      <c r="L15199" t="s">
        <v>23</v>
      </c>
      <c r="M15199" t="s">
        <v>32660</v>
      </c>
      <c r="N15199" t="s">
        <v>2100</v>
      </c>
      <c r="O15199" t="s">
        <v>52</v>
      </c>
      <c r="P15199" t="s">
        <v>32661</v>
      </c>
      <c r="Q15199">
        <v>4713</v>
      </c>
      <c r="R15199" t="s">
        <v>23</v>
      </c>
      <c r="S15199" s="1" t="s">
        <v>34218</v>
      </c>
    </row>
    <row r="15200" spans="1:19" x14ac:dyDescent="0.25">
      <c r="A15200">
        <v>101444412</v>
      </c>
      <c r="B15200" t="s">
        <v>20670</v>
      </c>
      <c r="C15200" t="s">
        <v>1933</v>
      </c>
      <c r="G15200" t="s">
        <v>32662</v>
      </c>
      <c r="H15200" t="s">
        <v>631</v>
      </c>
      <c r="I15200" t="s">
        <v>22</v>
      </c>
      <c r="J15200" t="s">
        <v>32663</v>
      </c>
      <c r="K15200">
        <v>1203</v>
      </c>
      <c r="L15200" t="s">
        <v>23</v>
      </c>
      <c r="M15200" t="s">
        <v>32662</v>
      </c>
      <c r="N15200" t="s">
        <v>631</v>
      </c>
      <c r="O15200" t="s">
        <v>22</v>
      </c>
      <c r="P15200" t="s">
        <v>32663</v>
      </c>
      <c r="Q15200">
        <v>1203</v>
      </c>
      <c r="R15200" t="s">
        <v>23</v>
      </c>
      <c r="S15200" s="1" t="s">
        <v>34218</v>
      </c>
    </row>
    <row r="15201" spans="1:19" x14ac:dyDescent="0.25">
      <c r="A15201">
        <v>101143950</v>
      </c>
      <c r="B15201" t="s">
        <v>9069</v>
      </c>
      <c r="C15201" t="s">
        <v>5283</v>
      </c>
      <c r="G15201" t="s">
        <v>32664</v>
      </c>
      <c r="H15201" t="s">
        <v>3054</v>
      </c>
      <c r="I15201" t="s">
        <v>307</v>
      </c>
      <c r="J15201" t="s">
        <v>32665</v>
      </c>
      <c r="K15201">
        <v>4508</v>
      </c>
      <c r="L15201" t="s">
        <v>23</v>
      </c>
      <c r="M15201" t="s">
        <v>32664</v>
      </c>
      <c r="N15201" t="s">
        <v>3054</v>
      </c>
      <c r="O15201" t="s">
        <v>307</v>
      </c>
      <c r="P15201" t="s">
        <v>32665</v>
      </c>
      <c r="Q15201">
        <v>4508</v>
      </c>
      <c r="R15201" t="s">
        <v>23</v>
      </c>
      <c r="S15201" s="1" t="s">
        <v>34218</v>
      </c>
    </row>
    <row r="15202" spans="1:19" x14ac:dyDescent="0.25">
      <c r="A15202">
        <v>101240423</v>
      </c>
      <c r="B15202" t="s">
        <v>32666</v>
      </c>
      <c r="C15202" t="s">
        <v>119</v>
      </c>
      <c r="G15202" t="s">
        <v>32667</v>
      </c>
      <c r="H15202" t="s">
        <v>2957</v>
      </c>
      <c r="I15202" t="s">
        <v>178</v>
      </c>
      <c r="J15202" t="s">
        <v>32668</v>
      </c>
      <c r="K15202">
        <v>1106</v>
      </c>
      <c r="L15202" t="s">
        <v>23</v>
      </c>
      <c r="M15202" t="s">
        <v>32667</v>
      </c>
      <c r="N15202" t="s">
        <v>2957</v>
      </c>
      <c r="O15202" t="s">
        <v>178</v>
      </c>
      <c r="P15202" t="s">
        <v>32668</v>
      </c>
      <c r="Q15202">
        <v>1106</v>
      </c>
      <c r="R15202" t="s">
        <v>23</v>
      </c>
      <c r="S15202" s="1" t="s">
        <v>34218</v>
      </c>
    </row>
    <row r="15203" spans="1:19" x14ac:dyDescent="0.25">
      <c r="A15203">
        <v>101288586</v>
      </c>
      <c r="B15203" t="s">
        <v>32669</v>
      </c>
      <c r="C15203" t="s">
        <v>1588</v>
      </c>
      <c r="G15203" t="s">
        <v>32670</v>
      </c>
      <c r="H15203" t="s">
        <v>227</v>
      </c>
      <c r="I15203" t="s">
        <v>43</v>
      </c>
      <c r="J15203" t="s">
        <v>32671</v>
      </c>
      <c r="K15203">
        <v>4756</v>
      </c>
      <c r="L15203" t="s">
        <v>23</v>
      </c>
      <c r="M15203" t="s">
        <v>32670</v>
      </c>
      <c r="N15203" t="s">
        <v>227</v>
      </c>
      <c r="O15203" t="s">
        <v>43</v>
      </c>
      <c r="P15203" t="s">
        <v>32671</v>
      </c>
      <c r="Q15203">
        <v>4756</v>
      </c>
      <c r="R15203" t="s">
        <v>23</v>
      </c>
      <c r="S15203" s="1" t="s">
        <v>34218</v>
      </c>
    </row>
    <row r="15204" spans="1:19" x14ac:dyDescent="0.25">
      <c r="A15204">
        <v>101357290</v>
      </c>
      <c r="B15204" t="s">
        <v>1291</v>
      </c>
      <c r="C15204" t="s">
        <v>132</v>
      </c>
      <c r="G15204" t="s">
        <v>21323</v>
      </c>
      <c r="H15204" t="s">
        <v>227</v>
      </c>
      <c r="I15204" t="s">
        <v>43</v>
      </c>
      <c r="J15204" t="s">
        <v>32672</v>
      </c>
      <c r="K15204">
        <v>2108</v>
      </c>
      <c r="L15204" t="s">
        <v>23</v>
      </c>
      <c r="M15204" t="s">
        <v>21323</v>
      </c>
      <c r="N15204" t="s">
        <v>227</v>
      </c>
      <c r="O15204" t="s">
        <v>43</v>
      </c>
      <c r="P15204" t="s">
        <v>32672</v>
      </c>
      <c r="Q15204">
        <v>2108</v>
      </c>
      <c r="R15204" t="s">
        <v>23</v>
      </c>
      <c r="S15204" s="1" t="s">
        <v>34218</v>
      </c>
    </row>
    <row r="15205" spans="1:19" x14ac:dyDescent="0.25">
      <c r="A15205">
        <v>101360882</v>
      </c>
      <c r="B15205" t="s">
        <v>9077</v>
      </c>
      <c r="C15205" t="s">
        <v>4140</v>
      </c>
      <c r="G15205" t="s">
        <v>32673</v>
      </c>
      <c r="H15205" t="s">
        <v>1962</v>
      </c>
      <c r="I15205" t="s">
        <v>117</v>
      </c>
      <c r="J15205" t="s">
        <v>32674</v>
      </c>
      <c r="K15205">
        <v>9255</v>
      </c>
      <c r="L15205" t="s">
        <v>23</v>
      </c>
      <c r="M15205" t="s">
        <v>32673</v>
      </c>
      <c r="N15205" t="s">
        <v>1962</v>
      </c>
      <c r="O15205" t="s">
        <v>117</v>
      </c>
      <c r="P15205" t="s">
        <v>32674</v>
      </c>
      <c r="Q15205">
        <v>9255</v>
      </c>
      <c r="R15205" t="s">
        <v>23</v>
      </c>
      <c r="S15205" s="1" t="s">
        <v>34218</v>
      </c>
    </row>
    <row r="15206" spans="1:19" x14ac:dyDescent="0.25">
      <c r="A15206">
        <v>100602563</v>
      </c>
      <c r="B15206" t="s">
        <v>8226</v>
      </c>
      <c r="C15206" t="s">
        <v>1161</v>
      </c>
      <c r="G15206" t="s">
        <v>32675</v>
      </c>
      <c r="H15206" t="s">
        <v>434</v>
      </c>
      <c r="I15206" t="s">
        <v>22</v>
      </c>
      <c r="J15206" t="s">
        <v>32676</v>
      </c>
      <c r="K15206">
        <v>6865</v>
      </c>
      <c r="L15206" t="s">
        <v>23</v>
      </c>
      <c r="M15206" t="s">
        <v>32675</v>
      </c>
      <c r="N15206" t="s">
        <v>434</v>
      </c>
      <c r="O15206" t="s">
        <v>22</v>
      </c>
      <c r="P15206" t="s">
        <v>32676</v>
      </c>
      <c r="Q15206">
        <v>6865</v>
      </c>
      <c r="R15206" t="s">
        <v>23</v>
      </c>
      <c r="S15206" s="1" t="s">
        <v>34218</v>
      </c>
    </row>
    <row r="15207" spans="1:19" x14ac:dyDescent="0.25">
      <c r="A15207">
        <v>100518846</v>
      </c>
      <c r="B15207" t="s">
        <v>3228</v>
      </c>
      <c r="C15207" t="s">
        <v>32677</v>
      </c>
      <c r="G15207" t="s">
        <v>32678</v>
      </c>
      <c r="H15207" t="s">
        <v>10031</v>
      </c>
      <c r="I15207" t="s">
        <v>22</v>
      </c>
      <c r="J15207" t="s">
        <v>32679</v>
      </c>
      <c r="K15207">
        <v>4649</v>
      </c>
      <c r="L15207" t="s">
        <v>23</v>
      </c>
      <c r="M15207" t="s">
        <v>32678</v>
      </c>
      <c r="N15207" t="s">
        <v>10031</v>
      </c>
      <c r="O15207" t="s">
        <v>22</v>
      </c>
      <c r="P15207" t="s">
        <v>32679</v>
      </c>
      <c r="Q15207">
        <v>4649</v>
      </c>
      <c r="R15207" t="s">
        <v>23</v>
      </c>
      <c r="S15207" s="1" t="s">
        <v>34218</v>
      </c>
    </row>
    <row r="15208" spans="1:19" x14ac:dyDescent="0.25">
      <c r="A15208">
        <v>100876891</v>
      </c>
      <c r="B15208" t="s">
        <v>32680</v>
      </c>
      <c r="C15208" t="s">
        <v>1600</v>
      </c>
      <c r="G15208" t="s">
        <v>32681</v>
      </c>
      <c r="H15208" t="s">
        <v>1531</v>
      </c>
      <c r="I15208" t="s">
        <v>84</v>
      </c>
      <c r="J15208" t="s">
        <v>32682</v>
      </c>
      <c r="K15208">
        <v>2541</v>
      </c>
      <c r="L15208" t="s">
        <v>23</v>
      </c>
      <c r="M15208" t="s">
        <v>32681</v>
      </c>
      <c r="N15208" t="s">
        <v>1531</v>
      </c>
      <c r="O15208" t="s">
        <v>84</v>
      </c>
      <c r="P15208" t="s">
        <v>32682</v>
      </c>
      <c r="Q15208">
        <v>2541</v>
      </c>
      <c r="R15208" t="s">
        <v>23</v>
      </c>
      <c r="S15208" s="1" t="s">
        <v>34218</v>
      </c>
    </row>
    <row r="15209" spans="1:19" x14ac:dyDescent="0.25">
      <c r="A15209">
        <v>100665361</v>
      </c>
      <c r="B15209" t="s">
        <v>4098</v>
      </c>
      <c r="C15209" t="s">
        <v>1212</v>
      </c>
      <c r="G15209" t="s">
        <v>32683</v>
      </c>
      <c r="H15209" t="s">
        <v>1280</v>
      </c>
      <c r="I15209" t="s">
        <v>22</v>
      </c>
      <c r="J15209" t="s">
        <v>32684</v>
      </c>
      <c r="K15209">
        <v>4006</v>
      </c>
      <c r="L15209" t="s">
        <v>23</v>
      </c>
      <c r="M15209" t="s">
        <v>32683</v>
      </c>
      <c r="N15209" t="s">
        <v>1280</v>
      </c>
      <c r="O15209" t="s">
        <v>22</v>
      </c>
      <c r="P15209" t="s">
        <v>32684</v>
      </c>
      <c r="Q15209">
        <v>4006</v>
      </c>
      <c r="R15209" t="s">
        <v>23</v>
      </c>
      <c r="S15209" s="1" t="s">
        <v>34218</v>
      </c>
    </row>
    <row r="15210" spans="1:19" x14ac:dyDescent="0.25">
      <c r="A15210">
        <v>100974781</v>
      </c>
      <c r="B15210" t="s">
        <v>3075</v>
      </c>
      <c r="C15210" t="s">
        <v>8637</v>
      </c>
      <c r="G15210" t="s">
        <v>18355</v>
      </c>
      <c r="H15210" t="s">
        <v>445</v>
      </c>
      <c r="I15210" t="s">
        <v>446</v>
      </c>
      <c r="J15210" t="s">
        <v>32685</v>
      </c>
      <c r="K15210">
        <v>9793</v>
      </c>
      <c r="L15210" t="s">
        <v>23</v>
      </c>
      <c r="M15210" t="s">
        <v>18355</v>
      </c>
      <c r="N15210" t="s">
        <v>445</v>
      </c>
      <c r="O15210" t="s">
        <v>446</v>
      </c>
      <c r="P15210" t="s">
        <v>32685</v>
      </c>
      <c r="Q15210">
        <v>9793</v>
      </c>
      <c r="R15210" t="s">
        <v>23</v>
      </c>
      <c r="S15210" s="1" t="s">
        <v>34218</v>
      </c>
    </row>
    <row r="15211" spans="1:19" x14ac:dyDescent="0.25">
      <c r="A15211">
        <v>100536034</v>
      </c>
      <c r="B15211" t="s">
        <v>4064</v>
      </c>
      <c r="C15211" t="s">
        <v>81</v>
      </c>
      <c r="G15211" t="s">
        <v>32686</v>
      </c>
      <c r="H15211" t="s">
        <v>2712</v>
      </c>
      <c r="I15211" t="s">
        <v>565</v>
      </c>
      <c r="J15211" t="s">
        <v>32687</v>
      </c>
      <c r="K15211">
        <v>1140</v>
      </c>
      <c r="L15211" t="s">
        <v>23</v>
      </c>
      <c r="M15211" t="s">
        <v>32686</v>
      </c>
      <c r="N15211" t="s">
        <v>2712</v>
      </c>
      <c r="O15211" t="s">
        <v>565</v>
      </c>
      <c r="P15211" t="s">
        <v>32687</v>
      </c>
      <c r="Q15211">
        <v>1140</v>
      </c>
      <c r="R15211" t="s">
        <v>23</v>
      </c>
      <c r="S15211" s="1" t="s">
        <v>34218</v>
      </c>
    </row>
    <row r="15212" spans="1:19" x14ac:dyDescent="0.25">
      <c r="A15212">
        <v>100901572</v>
      </c>
      <c r="B15212" t="s">
        <v>32688</v>
      </c>
      <c r="C15212" t="s">
        <v>225</v>
      </c>
      <c r="G15212" t="s">
        <v>32689</v>
      </c>
      <c r="H15212" t="s">
        <v>758</v>
      </c>
      <c r="I15212" t="s">
        <v>148</v>
      </c>
      <c r="J15212">
        <v>20906</v>
      </c>
      <c r="K15212">
        <v>8318</v>
      </c>
      <c r="L15212" t="s">
        <v>23</v>
      </c>
      <c r="M15212" t="s">
        <v>32689</v>
      </c>
      <c r="N15212" t="s">
        <v>758</v>
      </c>
      <c r="O15212" t="s">
        <v>148</v>
      </c>
      <c r="P15212">
        <v>20906</v>
      </c>
      <c r="Q15212">
        <v>8318</v>
      </c>
      <c r="R15212" t="s">
        <v>23</v>
      </c>
      <c r="S15212" s="1" t="s">
        <v>34218</v>
      </c>
    </row>
    <row r="15213" spans="1:19" x14ac:dyDescent="0.25">
      <c r="A15213">
        <v>101291539</v>
      </c>
      <c r="B15213" t="s">
        <v>1800</v>
      </c>
      <c r="C15213" t="s">
        <v>11597</v>
      </c>
      <c r="G15213" t="s">
        <v>32690</v>
      </c>
      <c r="H15213" t="s">
        <v>254</v>
      </c>
      <c r="I15213" t="s">
        <v>255</v>
      </c>
      <c r="J15213" t="s">
        <v>32691</v>
      </c>
      <c r="K15213">
        <v>6229</v>
      </c>
      <c r="L15213" t="s">
        <v>23</v>
      </c>
      <c r="M15213" t="s">
        <v>32690</v>
      </c>
      <c r="N15213" t="s">
        <v>254</v>
      </c>
      <c r="O15213" t="s">
        <v>255</v>
      </c>
      <c r="P15213" t="s">
        <v>32691</v>
      </c>
      <c r="Q15213">
        <v>6229</v>
      </c>
      <c r="R15213" t="s">
        <v>23</v>
      </c>
      <c r="S15213" s="1" t="s">
        <v>34218</v>
      </c>
    </row>
    <row r="15214" spans="1:19" x14ac:dyDescent="0.25">
      <c r="A15214">
        <v>101322840</v>
      </c>
      <c r="B15214" t="s">
        <v>1171</v>
      </c>
      <c r="C15214" t="s">
        <v>1223</v>
      </c>
      <c r="G15214" t="s">
        <v>32692</v>
      </c>
      <c r="H15214" t="s">
        <v>32693</v>
      </c>
      <c r="I15214" t="s">
        <v>1097</v>
      </c>
      <c r="J15214">
        <v>42717</v>
      </c>
      <c r="L15214" t="s">
        <v>23</v>
      </c>
      <c r="M15214" t="s">
        <v>32692</v>
      </c>
      <c r="N15214" t="s">
        <v>32693</v>
      </c>
      <c r="O15214" t="s">
        <v>1097</v>
      </c>
      <c r="P15214">
        <v>42717</v>
      </c>
      <c r="R15214" t="s">
        <v>23</v>
      </c>
      <c r="S15214" s="1" t="s">
        <v>34218</v>
      </c>
    </row>
    <row r="15215" spans="1:19" x14ac:dyDescent="0.25">
      <c r="A15215">
        <v>101444775</v>
      </c>
      <c r="B15215" t="s">
        <v>32694</v>
      </c>
      <c r="C15215" t="s">
        <v>32695</v>
      </c>
      <c r="G15215" t="s">
        <v>32696</v>
      </c>
      <c r="H15215" t="s">
        <v>32697</v>
      </c>
      <c r="I15215" t="s">
        <v>28</v>
      </c>
      <c r="J15215" t="s">
        <v>32698</v>
      </c>
      <c r="K15215">
        <v>4291</v>
      </c>
      <c r="L15215" t="s">
        <v>23</v>
      </c>
      <c r="M15215" t="s">
        <v>32696</v>
      </c>
      <c r="N15215" t="s">
        <v>32697</v>
      </c>
      <c r="O15215" t="s">
        <v>28</v>
      </c>
      <c r="P15215" t="s">
        <v>32698</v>
      </c>
      <c r="Q15215">
        <v>4291</v>
      </c>
      <c r="R15215" t="s">
        <v>23</v>
      </c>
      <c r="S15215" s="1" t="s">
        <v>34218</v>
      </c>
    </row>
    <row r="15216" spans="1:19" x14ac:dyDescent="0.25">
      <c r="A15216">
        <v>101432762</v>
      </c>
      <c r="B15216" t="s">
        <v>2802</v>
      </c>
      <c r="C15216" t="s">
        <v>11242</v>
      </c>
      <c r="G15216" t="s">
        <v>32699</v>
      </c>
      <c r="H15216" t="s">
        <v>4648</v>
      </c>
      <c r="I15216" t="s">
        <v>178</v>
      </c>
      <c r="J15216" t="s">
        <v>32700</v>
      </c>
      <c r="K15216">
        <v>2866</v>
      </c>
      <c r="L15216" t="s">
        <v>23</v>
      </c>
      <c r="M15216" t="s">
        <v>32699</v>
      </c>
      <c r="N15216" t="s">
        <v>4648</v>
      </c>
      <c r="O15216" t="s">
        <v>178</v>
      </c>
      <c r="P15216" t="s">
        <v>32700</v>
      </c>
      <c r="Q15216">
        <v>2866</v>
      </c>
      <c r="R15216" t="s">
        <v>23</v>
      </c>
      <c r="S15216" s="1" t="s">
        <v>34218</v>
      </c>
    </row>
    <row r="15217" spans="1:19" x14ac:dyDescent="0.25">
      <c r="A15217">
        <v>101426849</v>
      </c>
      <c r="B15217" t="s">
        <v>32701</v>
      </c>
      <c r="C15217" t="s">
        <v>30</v>
      </c>
      <c r="G15217" t="s">
        <v>32702</v>
      </c>
      <c r="H15217" t="s">
        <v>560</v>
      </c>
      <c r="I15217" t="s">
        <v>148</v>
      </c>
      <c r="J15217" t="s">
        <v>32703</v>
      </c>
      <c r="K15217">
        <v>3724</v>
      </c>
      <c r="L15217" t="s">
        <v>23</v>
      </c>
      <c r="M15217" t="s">
        <v>32702</v>
      </c>
      <c r="N15217" t="s">
        <v>560</v>
      </c>
      <c r="O15217" t="s">
        <v>148</v>
      </c>
      <c r="P15217" t="s">
        <v>32703</v>
      </c>
      <c r="Q15217">
        <v>3724</v>
      </c>
      <c r="R15217" t="s">
        <v>23</v>
      </c>
      <c r="S15217" s="1" t="s">
        <v>34218</v>
      </c>
    </row>
    <row r="15218" spans="1:19" x14ac:dyDescent="0.25">
      <c r="A15218">
        <v>101422552</v>
      </c>
      <c r="B15218" t="s">
        <v>162</v>
      </c>
      <c r="C15218" t="s">
        <v>32704</v>
      </c>
      <c r="G15218" t="s">
        <v>32705</v>
      </c>
      <c r="H15218" t="s">
        <v>32706</v>
      </c>
      <c r="I15218" t="s">
        <v>191</v>
      </c>
      <c r="J15218" t="s">
        <v>32707</v>
      </c>
      <c r="K15218">
        <v>4024</v>
      </c>
      <c r="L15218" t="s">
        <v>23</v>
      </c>
      <c r="M15218" t="s">
        <v>32705</v>
      </c>
      <c r="N15218" t="s">
        <v>32706</v>
      </c>
      <c r="O15218" t="s">
        <v>191</v>
      </c>
      <c r="P15218" t="s">
        <v>32707</v>
      </c>
      <c r="Q15218">
        <v>4024</v>
      </c>
      <c r="R15218" t="s">
        <v>23</v>
      </c>
      <c r="S15218" s="1" t="s">
        <v>34218</v>
      </c>
    </row>
    <row r="15219" spans="1:19" x14ac:dyDescent="0.25">
      <c r="A15219">
        <v>101439293</v>
      </c>
      <c r="B15219" t="s">
        <v>16296</v>
      </c>
      <c r="C15219" t="s">
        <v>3110</v>
      </c>
      <c r="G15219" t="s">
        <v>32708</v>
      </c>
      <c r="H15219" t="s">
        <v>2319</v>
      </c>
      <c r="I15219" t="s">
        <v>117</v>
      </c>
      <c r="J15219" t="s">
        <v>32709</v>
      </c>
      <c r="K15219">
        <v>2318</v>
      </c>
      <c r="L15219" t="s">
        <v>23</v>
      </c>
      <c r="M15219" t="s">
        <v>32708</v>
      </c>
      <c r="N15219" t="s">
        <v>2319</v>
      </c>
      <c r="O15219" t="s">
        <v>117</v>
      </c>
      <c r="P15219" t="s">
        <v>32709</v>
      </c>
      <c r="Q15219">
        <v>2318</v>
      </c>
      <c r="R15219" t="s">
        <v>23</v>
      </c>
      <c r="S15219" s="1" t="s">
        <v>34218</v>
      </c>
    </row>
    <row r="15220" spans="1:19" x14ac:dyDescent="0.25">
      <c r="A15220">
        <v>101432445</v>
      </c>
      <c r="B15220" t="s">
        <v>6530</v>
      </c>
      <c r="C15220" t="s">
        <v>3670</v>
      </c>
      <c r="G15220" t="s">
        <v>32710</v>
      </c>
      <c r="H15220" t="s">
        <v>198</v>
      </c>
      <c r="I15220" t="s">
        <v>22</v>
      </c>
      <c r="J15220" t="s">
        <v>32711</v>
      </c>
      <c r="K15220">
        <v>2015</v>
      </c>
      <c r="L15220" t="s">
        <v>23</v>
      </c>
      <c r="M15220" t="s">
        <v>32710</v>
      </c>
      <c r="N15220" t="s">
        <v>198</v>
      </c>
      <c r="O15220" t="s">
        <v>22</v>
      </c>
      <c r="P15220" t="s">
        <v>32711</v>
      </c>
      <c r="Q15220">
        <v>2015</v>
      </c>
      <c r="R15220" t="s">
        <v>23</v>
      </c>
      <c r="S15220" s="1" t="s">
        <v>34218</v>
      </c>
    </row>
    <row r="15221" spans="1:19" x14ac:dyDescent="0.25">
      <c r="A15221">
        <v>101435208</v>
      </c>
      <c r="B15221" t="s">
        <v>32712</v>
      </c>
      <c r="C15221" t="s">
        <v>32713</v>
      </c>
      <c r="G15221" t="s">
        <v>32714</v>
      </c>
      <c r="H15221" t="s">
        <v>24236</v>
      </c>
      <c r="I15221" t="s">
        <v>38</v>
      </c>
      <c r="J15221" t="s">
        <v>32715</v>
      </c>
      <c r="K15221">
        <v>6029</v>
      </c>
      <c r="L15221" t="s">
        <v>23</v>
      </c>
      <c r="M15221" t="s">
        <v>32714</v>
      </c>
      <c r="N15221" t="s">
        <v>24236</v>
      </c>
      <c r="O15221" t="s">
        <v>38</v>
      </c>
      <c r="P15221" t="s">
        <v>32715</v>
      </c>
      <c r="Q15221">
        <v>6029</v>
      </c>
      <c r="R15221" t="s">
        <v>23</v>
      </c>
      <c r="S15221" s="1" t="s">
        <v>34218</v>
      </c>
    </row>
    <row r="15222" spans="1:19" x14ac:dyDescent="0.25">
      <c r="A15222">
        <v>100967810</v>
      </c>
      <c r="B15222" t="s">
        <v>2689</v>
      </c>
      <c r="C15222" t="s">
        <v>803</v>
      </c>
      <c r="G15222" t="s">
        <v>32716</v>
      </c>
      <c r="H15222" t="s">
        <v>1535</v>
      </c>
      <c r="I15222" t="s">
        <v>22</v>
      </c>
      <c r="J15222" t="s">
        <v>32717</v>
      </c>
      <c r="K15222">
        <v>3368</v>
      </c>
      <c r="L15222" t="s">
        <v>23</v>
      </c>
      <c r="M15222" t="s">
        <v>32716</v>
      </c>
      <c r="N15222" t="s">
        <v>1535</v>
      </c>
      <c r="O15222" t="s">
        <v>22</v>
      </c>
      <c r="P15222" t="s">
        <v>32717</v>
      </c>
      <c r="Q15222">
        <v>3368</v>
      </c>
      <c r="R15222" t="s">
        <v>23</v>
      </c>
      <c r="S15222" s="1" t="s">
        <v>34218</v>
      </c>
    </row>
    <row r="15223" spans="1:19" x14ac:dyDescent="0.25">
      <c r="A15223">
        <v>101289692</v>
      </c>
      <c r="B15223" t="s">
        <v>32718</v>
      </c>
      <c r="C15223" t="s">
        <v>6500</v>
      </c>
      <c r="G15223" t="s">
        <v>32719</v>
      </c>
      <c r="H15223" t="s">
        <v>177</v>
      </c>
      <c r="I15223" t="s">
        <v>43</v>
      </c>
      <c r="J15223" t="s">
        <v>32720</v>
      </c>
      <c r="K15223">
        <v>9128</v>
      </c>
      <c r="L15223" t="s">
        <v>23</v>
      </c>
      <c r="M15223" t="s">
        <v>32719</v>
      </c>
      <c r="N15223" t="s">
        <v>177</v>
      </c>
      <c r="O15223" t="s">
        <v>43</v>
      </c>
      <c r="P15223" t="s">
        <v>32720</v>
      </c>
      <c r="Q15223">
        <v>9128</v>
      </c>
      <c r="R15223" t="s">
        <v>23</v>
      </c>
      <c r="S15223" s="1" t="s">
        <v>34218</v>
      </c>
    </row>
    <row r="15224" spans="1:19" x14ac:dyDescent="0.25">
      <c r="A15224">
        <v>101428106</v>
      </c>
      <c r="B15224" t="s">
        <v>32721</v>
      </c>
      <c r="C15224" t="s">
        <v>32722</v>
      </c>
      <c r="G15224" t="s">
        <v>32723</v>
      </c>
      <c r="H15224" t="s">
        <v>1096</v>
      </c>
      <c r="I15224" t="s">
        <v>71</v>
      </c>
      <c r="J15224" t="s">
        <v>32724</v>
      </c>
      <c r="K15224">
        <v>1096</v>
      </c>
      <c r="L15224" t="s">
        <v>23</v>
      </c>
      <c r="M15224" t="s">
        <v>32723</v>
      </c>
      <c r="N15224" t="s">
        <v>1096</v>
      </c>
      <c r="O15224" t="s">
        <v>71</v>
      </c>
      <c r="P15224" t="s">
        <v>32724</v>
      </c>
      <c r="Q15224">
        <v>1096</v>
      </c>
      <c r="R15224" t="s">
        <v>23</v>
      </c>
      <c r="S15224" s="1" t="s">
        <v>34218</v>
      </c>
    </row>
    <row r="15225" spans="1:19" x14ac:dyDescent="0.25">
      <c r="A15225">
        <v>101230351</v>
      </c>
      <c r="B15225" t="s">
        <v>32725</v>
      </c>
      <c r="C15225" t="s">
        <v>5507</v>
      </c>
      <c r="G15225" t="s">
        <v>32726</v>
      </c>
      <c r="H15225" t="s">
        <v>3147</v>
      </c>
      <c r="I15225" t="s">
        <v>117</v>
      </c>
      <c r="J15225" t="s">
        <v>32727</v>
      </c>
      <c r="K15225">
        <v>1024</v>
      </c>
      <c r="L15225" t="s">
        <v>23</v>
      </c>
      <c r="M15225" t="s">
        <v>32726</v>
      </c>
      <c r="N15225" t="s">
        <v>3147</v>
      </c>
      <c r="O15225" t="s">
        <v>117</v>
      </c>
      <c r="P15225" t="s">
        <v>32727</v>
      </c>
      <c r="Q15225">
        <v>1024</v>
      </c>
      <c r="R15225" t="s">
        <v>23</v>
      </c>
      <c r="S15225" s="1" t="s">
        <v>34218</v>
      </c>
    </row>
    <row r="15226" spans="1:19" x14ac:dyDescent="0.25">
      <c r="A15226">
        <v>100775371</v>
      </c>
      <c r="B15226" t="s">
        <v>8842</v>
      </c>
      <c r="C15226" t="s">
        <v>403</v>
      </c>
      <c r="G15226" t="s">
        <v>32728</v>
      </c>
      <c r="H15226" t="s">
        <v>3309</v>
      </c>
      <c r="I15226" t="s">
        <v>52</v>
      </c>
      <c r="J15226" t="s">
        <v>32729</v>
      </c>
      <c r="K15226">
        <v>1015</v>
      </c>
      <c r="L15226" t="s">
        <v>23</v>
      </c>
      <c r="M15226" t="s">
        <v>32728</v>
      </c>
      <c r="N15226" t="s">
        <v>3309</v>
      </c>
      <c r="O15226" t="s">
        <v>52</v>
      </c>
      <c r="P15226" t="s">
        <v>32729</v>
      </c>
      <c r="Q15226">
        <v>1015</v>
      </c>
      <c r="R15226" t="s">
        <v>23</v>
      </c>
      <c r="S15226" s="1" t="s">
        <v>34218</v>
      </c>
    </row>
    <row r="15227" spans="1:19" x14ac:dyDescent="0.25">
      <c r="A15227">
        <v>101422684</v>
      </c>
      <c r="B15227" t="s">
        <v>32730</v>
      </c>
      <c r="C15227" t="s">
        <v>32731</v>
      </c>
      <c r="G15227" t="s">
        <v>32732</v>
      </c>
      <c r="H15227" t="s">
        <v>175</v>
      </c>
      <c r="I15227" t="s">
        <v>117</v>
      </c>
      <c r="J15227" t="s">
        <v>32733</v>
      </c>
      <c r="K15227">
        <v>9700</v>
      </c>
      <c r="L15227" t="s">
        <v>23</v>
      </c>
      <c r="M15227" t="s">
        <v>32732</v>
      </c>
      <c r="N15227" t="s">
        <v>175</v>
      </c>
      <c r="O15227" t="s">
        <v>117</v>
      </c>
      <c r="P15227" t="s">
        <v>32733</v>
      </c>
      <c r="Q15227">
        <v>9700</v>
      </c>
      <c r="R15227" t="s">
        <v>23</v>
      </c>
      <c r="S15227" s="1" t="s">
        <v>34218</v>
      </c>
    </row>
    <row r="15228" spans="1:19" x14ac:dyDescent="0.25">
      <c r="A15228">
        <v>101427455</v>
      </c>
      <c r="B15228" t="s">
        <v>13058</v>
      </c>
      <c r="C15228" t="s">
        <v>205</v>
      </c>
      <c r="G15228" t="s">
        <v>32734</v>
      </c>
      <c r="H15228" t="s">
        <v>1052</v>
      </c>
      <c r="I15228" t="s">
        <v>117</v>
      </c>
      <c r="J15228">
        <v>12204</v>
      </c>
      <c r="L15228" t="s">
        <v>23</v>
      </c>
      <c r="M15228" t="s">
        <v>32734</v>
      </c>
      <c r="N15228" t="s">
        <v>1052</v>
      </c>
      <c r="O15228" t="s">
        <v>117</v>
      </c>
      <c r="P15228">
        <v>12204</v>
      </c>
      <c r="R15228" t="s">
        <v>23</v>
      </c>
      <c r="S15228" s="1" t="s">
        <v>34218</v>
      </c>
    </row>
    <row r="15229" spans="1:19" x14ac:dyDescent="0.25">
      <c r="A15229">
        <v>101312495</v>
      </c>
      <c r="B15229" t="s">
        <v>32735</v>
      </c>
      <c r="C15229" t="s">
        <v>21496</v>
      </c>
      <c r="G15229" t="s">
        <v>32736</v>
      </c>
      <c r="H15229" t="s">
        <v>8603</v>
      </c>
      <c r="I15229" t="s">
        <v>22</v>
      </c>
      <c r="J15229">
        <v>93023</v>
      </c>
      <c r="K15229">
        <v>2802</v>
      </c>
      <c r="L15229" t="s">
        <v>23</v>
      </c>
      <c r="M15229" t="s">
        <v>32736</v>
      </c>
      <c r="N15229" t="s">
        <v>8603</v>
      </c>
      <c r="O15229" t="s">
        <v>22</v>
      </c>
      <c r="P15229">
        <v>93023</v>
      </c>
      <c r="Q15229">
        <v>2802</v>
      </c>
      <c r="R15229" t="s">
        <v>23</v>
      </c>
      <c r="S15229" s="1" t="s">
        <v>34218</v>
      </c>
    </row>
    <row r="15230" spans="1:19" x14ac:dyDescent="0.25">
      <c r="A15230">
        <v>101264196</v>
      </c>
      <c r="B15230" t="s">
        <v>32737</v>
      </c>
      <c r="C15230" t="s">
        <v>32738</v>
      </c>
      <c r="H15230" t="s">
        <v>5364</v>
      </c>
      <c r="J15230">
        <v>69005</v>
      </c>
      <c r="L15230" t="s">
        <v>9628</v>
      </c>
      <c r="N15230" t="s">
        <v>5364</v>
      </c>
      <c r="P15230">
        <v>69005</v>
      </c>
      <c r="R15230" t="s">
        <v>9628</v>
      </c>
      <c r="S15230" s="1" t="s">
        <v>34218</v>
      </c>
    </row>
    <row r="15231" spans="1:19" x14ac:dyDescent="0.25">
      <c r="A15231">
        <v>101474199</v>
      </c>
      <c r="B15231" t="s">
        <v>32739</v>
      </c>
      <c r="C15231" t="s">
        <v>2343</v>
      </c>
      <c r="G15231" t="s">
        <v>32740</v>
      </c>
      <c r="H15231" t="s">
        <v>1508</v>
      </c>
      <c r="I15231" t="s">
        <v>84</v>
      </c>
      <c r="J15231">
        <v>98020</v>
      </c>
      <c r="K15231">
        <v>7250</v>
      </c>
      <c r="L15231" t="s">
        <v>23</v>
      </c>
      <c r="M15231" t="s">
        <v>32740</v>
      </c>
      <c r="N15231" t="s">
        <v>1508</v>
      </c>
      <c r="O15231" t="s">
        <v>84</v>
      </c>
      <c r="P15231">
        <v>98020</v>
      </c>
      <c r="Q15231">
        <v>7250</v>
      </c>
      <c r="R15231" t="s">
        <v>23</v>
      </c>
      <c r="S15231" s="1" t="s">
        <v>34218</v>
      </c>
    </row>
    <row r="15232" spans="1:19" x14ac:dyDescent="0.25">
      <c r="A15232">
        <v>100623785</v>
      </c>
      <c r="B15232" t="s">
        <v>32741</v>
      </c>
      <c r="C15232" t="s">
        <v>32742</v>
      </c>
      <c r="G15232" t="s">
        <v>32743</v>
      </c>
      <c r="H15232" t="s">
        <v>6321</v>
      </c>
      <c r="I15232" t="s">
        <v>117</v>
      </c>
      <c r="J15232">
        <v>12555</v>
      </c>
      <c r="L15232" t="s">
        <v>23</v>
      </c>
      <c r="M15232" t="s">
        <v>32743</v>
      </c>
      <c r="N15232" t="s">
        <v>6321</v>
      </c>
      <c r="O15232" t="s">
        <v>117</v>
      </c>
      <c r="P15232">
        <v>12555</v>
      </c>
      <c r="R15232" t="s">
        <v>23</v>
      </c>
      <c r="S15232" s="1" t="s">
        <v>34218</v>
      </c>
    </row>
    <row r="15233" spans="1:19" x14ac:dyDescent="0.25">
      <c r="A15233">
        <v>101444961</v>
      </c>
      <c r="B15233" t="s">
        <v>32744</v>
      </c>
      <c r="C15233" t="s">
        <v>32745</v>
      </c>
      <c r="G15233" t="s">
        <v>32746</v>
      </c>
      <c r="H15233" t="s">
        <v>21160</v>
      </c>
      <c r="I15233" t="s">
        <v>22</v>
      </c>
      <c r="J15233" t="s">
        <v>32747</v>
      </c>
      <c r="K15233">
        <v>197</v>
      </c>
      <c r="L15233" t="s">
        <v>23</v>
      </c>
      <c r="M15233" t="s">
        <v>32746</v>
      </c>
      <c r="N15233" t="s">
        <v>21160</v>
      </c>
      <c r="O15233" t="s">
        <v>22</v>
      </c>
      <c r="P15233" t="s">
        <v>32747</v>
      </c>
      <c r="Q15233">
        <v>197</v>
      </c>
      <c r="R15233" t="s">
        <v>23</v>
      </c>
      <c r="S15233" s="1" t="s">
        <v>34218</v>
      </c>
    </row>
    <row r="15234" spans="1:19" x14ac:dyDescent="0.25">
      <c r="A15234">
        <v>101431204</v>
      </c>
      <c r="B15234" t="s">
        <v>5091</v>
      </c>
      <c r="C15234" t="s">
        <v>1906</v>
      </c>
      <c r="G15234" t="s">
        <v>32748</v>
      </c>
      <c r="H15234" t="s">
        <v>3972</v>
      </c>
      <c r="I15234" t="s">
        <v>1387</v>
      </c>
      <c r="J15234" t="s">
        <v>32749</v>
      </c>
      <c r="K15234">
        <v>1724</v>
      </c>
      <c r="L15234" t="s">
        <v>23</v>
      </c>
      <c r="M15234" t="s">
        <v>32748</v>
      </c>
      <c r="N15234" t="s">
        <v>3972</v>
      </c>
      <c r="O15234" t="s">
        <v>1387</v>
      </c>
      <c r="P15234" t="s">
        <v>32749</v>
      </c>
      <c r="Q15234">
        <v>1724</v>
      </c>
      <c r="R15234" t="s">
        <v>23</v>
      </c>
      <c r="S15234" s="1" t="s">
        <v>34218</v>
      </c>
    </row>
    <row r="15235" spans="1:19" x14ac:dyDescent="0.25">
      <c r="A15235">
        <v>100996499</v>
      </c>
      <c r="B15235" t="s">
        <v>20510</v>
      </c>
      <c r="C15235" t="s">
        <v>8154</v>
      </c>
      <c r="G15235" t="s">
        <v>32750</v>
      </c>
      <c r="H15235" t="s">
        <v>10374</v>
      </c>
      <c r="I15235" t="s">
        <v>140</v>
      </c>
      <c r="J15235" t="s">
        <v>32751</v>
      </c>
      <c r="K15235">
        <v>3150</v>
      </c>
      <c r="L15235" t="s">
        <v>23</v>
      </c>
      <c r="M15235" t="s">
        <v>32750</v>
      </c>
      <c r="N15235" t="s">
        <v>10374</v>
      </c>
      <c r="O15235" t="s">
        <v>140</v>
      </c>
      <c r="P15235" t="s">
        <v>32751</v>
      </c>
      <c r="Q15235">
        <v>3150</v>
      </c>
      <c r="R15235" t="s">
        <v>23</v>
      </c>
      <c r="S15235" s="1" t="s">
        <v>34218</v>
      </c>
    </row>
    <row r="15236" spans="1:19" x14ac:dyDescent="0.25">
      <c r="A15236">
        <v>101298976</v>
      </c>
      <c r="B15236" t="s">
        <v>11551</v>
      </c>
      <c r="C15236" t="s">
        <v>535</v>
      </c>
      <c r="G15236" t="s">
        <v>32752</v>
      </c>
      <c r="H15236" t="s">
        <v>6041</v>
      </c>
      <c r="I15236" t="s">
        <v>22</v>
      </c>
      <c r="J15236" t="s">
        <v>32753</v>
      </c>
      <c r="K15236">
        <v>6745</v>
      </c>
      <c r="L15236" t="s">
        <v>23</v>
      </c>
      <c r="M15236" t="s">
        <v>32752</v>
      </c>
      <c r="N15236" t="s">
        <v>6041</v>
      </c>
      <c r="O15236" t="s">
        <v>22</v>
      </c>
      <c r="P15236" t="s">
        <v>32753</v>
      </c>
      <c r="Q15236">
        <v>6745</v>
      </c>
      <c r="R15236" t="s">
        <v>23</v>
      </c>
      <c r="S15236" s="1" t="s">
        <v>34218</v>
      </c>
    </row>
    <row r="15237" spans="1:19" x14ac:dyDescent="0.25">
      <c r="A15237">
        <v>101423961</v>
      </c>
      <c r="B15237" t="s">
        <v>25921</v>
      </c>
      <c r="C15237" t="s">
        <v>6143</v>
      </c>
      <c r="G15237" t="s">
        <v>32754</v>
      </c>
      <c r="H15237" t="s">
        <v>4122</v>
      </c>
      <c r="I15237" t="s">
        <v>22</v>
      </c>
      <c r="J15237" t="s">
        <v>32755</v>
      </c>
      <c r="K15237">
        <v>2040</v>
      </c>
      <c r="L15237" t="s">
        <v>23</v>
      </c>
      <c r="M15237" t="s">
        <v>32754</v>
      </c>
      <c r="N15237" t="s">
        <v>4122</v>
      </c>
      <c r="O15237" t="s">
        <v>22</v>
      </c>
      <c r="P15237" t="s">
        <v>32755</v>
      </c>
      <c r="Q15237">
        <v>2040</v>
      </c>
      <c r="R15237" t="s">
        <v>23</v>
      </c>
      <c r="S15237" s="1" t="s">
        <v>34218</v>
      </c>
    </row>
    <row r="15238" spans="1:19" x14ac:dyDescent="0.25">
      <c r="A15238">
        <v>101329528</v>
      </c>
      <c r="B15238" t="s">
        <v>3625</v>
      </c>
      <c r="C15238" t="s">
        <v>3442</v>
      </c>
      <c r="G15238" t="s">
        <v>32756</v>
      </c>
      <c r="H15238" t="s">
        <v>3766</v>
      </c>
      <c r="I15238" t="s">
        <v>365</v>
      </c>
      <c r="J15238" t="s">
        <v>32757</v>
      </c>
      <c r="K15238">
        <v>7051</v>
      </c>
      <c r="L15238" t="s">
        <v>23</v>
      </c>
      <c r="M15238" t="s">
        <v>32756</v>
      </c>
      <c r="N15238" t="s">
        <v>3766</v>
      </c>
      <c r="O15238" t="s">
        <v>365</v>
      </c>
      <c r="P15238" t="s">
        <v>32757</v>
      </c>
      <c r="Q15238">
        <v>7051</v>
      </c>
      <c r="R15238" t="s">
        <v>23</v>
      </c>
      <c r="S15238" s="1" t="s">
        <v>34218</v>
      </c>
    </row>
    <row r="15239" spans="1:19" x14ac:dyDescent="0.25">
      <c r="A15239">
        <v>101333942</v>
      </c>
      <c r="B15239" t="s">
        <v>32211</v>
      </c>
      <c r="C15239" t="s">
        <v>1588</v>
      </c>
      <c r="G15239" t="s">
        <v>32758</v>
      </c>
      <c r="H15239" t="s">
        <v>1293</v>
      </c>
      <c r="I15239" t="s">
        <v>22</v>
      </c>
      <c r="J15239" t="s">
        <v>32759</v>
      </c>
      <c r="K15239">
        <v>5719</v>
      </c>
      <c r="L15239" t="s">
        <v>23</v>
      </c>
      <c r="M15239" t="s">
        <v>32758</v>
      </c>
      <c r="N15239" t="s">
        <v>1293</v>
      </c>
      <c r="O15239" t="s">
        <v>22</v>
      </c>
      <c r="P15239" t="s">
        <v>32759</v>
      </c>
      <c r="Q15239">
        <v>5719</v>
      </c>
      <c r="R15239" t="s">
        <v>23</v>
      </c>
      <c r="S15239" s="1" t="s">
        <v>34218</v>
      </c>
    </row>
    <row r="15240" spans="1:19" x14ac:dyDescent="0.25">
      <c r="A15240">
        <v>101440309</v>
      </c>
      <c r="B15240" t="s">
        <v>32760</v>
      </c>
      <c r="C15240" t="s">
        <v>4273</v>
      </c>
      <c r="G15240" t="s">
        <v>32761</v>
      </c>
      <c r="H15240" t="s">
        <v>1664</v>
      </c>
      <c r="I15240" t="s">
        <v>135</v>
      </c>
      <c r="J15240" t="s">
        <v>32762</v>
      </c>
      <c r="K15240">
        <v>7163</v>
      </c>
      <c r="L15240" t="s">
        <v>23</v>
      </c>
      <c r="M15240" t="s">
        <v>32761</v>
      </c>
      <c r="N15240" t="s">
        <v>1664</v>
      </c>
      <c r="O15240" t="s">
        <v>135</v>
      </c>
      <c r="P15240" t="s">
        <v>32762</v>
      </c>
      <c r="Q15240">
        <v>7163</v>
      </c>
      <c r="R15240" t="s">
        <v>23</v>
      </c>
      <c r="S15240" s="1" t="s">
        <v>34218</v>
      </c>
    </row>
    <row r="15241" spans="1:19" x14ac:dyDescent="0.25">
      <c r="A15241">
        <v>100758360</v>
      </c>
      <c r="B15241" t="s">
        <v>32763</v>
      </c>
      <c r="C15241" t="s">
        <v>68</v>
      </c>
      <c r="G15241" t="s">
        <v>32764</v>
      </c>
      <c r="H15241" t="s">
        <v>2279</v>
      </c>
      <c r="I15241" t="s">
        <v>52</v>
      </c>
      <c r="J15241" t="s">
        <v>32765</v>
      </c>
      <c r="K15241">
        <v>3118</v>
      </c>
      <c r="L15241" t="s">
        <v>23</v>
      </c>
      <c r="M15241" t="s">
        <v>32764</v>
      </c>
      <c r="N15241" t="s">
        <v>2279</v>
      </c>
      <c r="O15241" t="s">
        <v>52</v>
      </c>
      <c r="P15241" t="s">
        <v>32765</v>
      </c>
      <c r="Q15241">
        <v>3118</v>
      </c>
      <c r="R15241" t="s">
        <v>23</v>
      </c>
      <c r="S15241" s="1" t="s">
        <v>34218</v>
      </c>
    </row>
    <row r="15242" spans="1:19" x14ac:dyDescent="0.25">
      <c r="A15242">
        <v>100530624</v>
      </c>
      <c r="B15242" t="s">
        <v>306</v>
      </c>
      <c r="C15242" t="s">
        <v>5836</v>
      </c>
      <c r="G15242" t="s">
        <v>32766</v>
      </c>
      <c r="H15242" t="s">
        <v>134</v>
      </c>
      <c r="I15242" t="s">
        <v>135</v>
      </c>
      <c r="J15242" t="s">
        <v>32767</v>
      </c>
      <c r="K15242">
        <v>3139</v>
      </c>
      <c r="L15242" t="s">
        <v>23</v>
      </c>
      <c r="M15242" t="s">
        <v>32766</v>
      </c>
      <c r="N15242" t="s">
        <v>134</v>
      </c>
      <c r="O15242" t="s">
        <v>135</v>
      </c>
      <c r="P15242" t="s">
        <v>32767</v>
      </c>
      <c r="Q15242">
        <v>3139</v>
      </c>
      <c r="R15242" t="s">
        <v>23</v>
      </c>
      <c r="S15242" s="1" t="s">
        <v>34218</v>
      </c>
    </row>
    <row r="15243" spans="1:19" x14ac:dyDescent="0.25">
      <c r="A15243">
        <v>101431933</v>
      </c>
      <c r="B15243" t="s">
        <v>18034</v>
      </c>
      <c r="C15243" t="s">
        <v>644</v>
      </c>
      <c r="G15243" t="s">
        <v>32768</v>
      </c>
      <c r="H15243" t="s">
        <v>31144</v>
      </c>
      <c r="I15243" t="s">
        <v>38</v>
      </c>
      <c r="J15243" t="s">
        <v>32769</v>
      </c>
      <c r="K15243">
        <v>2155</v>
      </c>
      <c r="L15243" t="s">
        <v>23</v>
      </c>
      <c r="M15243" t="s">
        <v>32768</v>
      </c>
      <c r="N15243" t="s">
        <v>31144</v>
      </c>
      <c r="O15243" t="s">
        <v>38</v>
      </c>
      <c r="P15243" t="s">
        <v>32769</v>
      </c>
      <c r="Q15243">
        <v>2155</v>
      </c>
      <c r="R15243" t="s">
        <v>23</v>
      </c>
      <c r="S15243" s="1" t="s">
        <v>34218</v>
      </c>
    </row>
    <row r="15244" spans="1:19" x14ac:dyDescent="0.25">
      <c r="A15244">
        <v>101432346</v>
      </c>
      <c r="B15244" t="s">
        <v>3535</v>
      </c>
      <c r="C15244" t="s">
        <v>4273</v>
      </c>
      <c r="G15244" t="s">
        <v>32770</v>
      </c>
      <c r="H15244" t="s">
        <v>7630</v>
      </c>
      <c r="I15244" t="s">
        <v>255</v>
      </c>
      <c r="J15244" t="s">
        <v>32771</v>
      </c>
      <c r="K15244">
        <v>3233</v>
      </c>
      <c r="L15244" t="s">
        <v>23</v>
      </c>
      <c r="M15244" t="s">
        <v>32770</v>
      </c>
      <c r="N15244" t="s">
        <v>7630</v>
      </c>
      <c r="O15244" t="s">
        <v>255</v>
      </c>
      <c r="P15244" t="s">
        <v>32771</v>
      </c>
      <c r="Q15244">
        <v>3233</v>
      </c>
      <c r="R15244" t="s">
        <v>23</v>
      </c>
      <c r="S15244" s="1" t="s">
        <v>34218</v>
      </c>
    </row>
    <row r="15245" spans="1:19" x14ac:dyDescent="0.25">
      <c r="A15245">
        <v>100608894</v>
      </c>
      <c r="B15245" t="s">
        <v>32772</v>
      </c>
      <c r="C15245" t="s">
        <v>49</v>
      </c>
      <c r="G15245" t="s">
        <v>32773</v>
      </c>
      <c r="H15245" t="s">
        <v>198</v>
      </c>
      <c r="I15245" t="s">
        <v>22</v>
      </c>
      <c r="J15245" t="s">
        <v>32774</v>
      </c>
      <c r="K15245">
        <v>1540</v>
      </c>
      <c r="L15245" t="s">
        <v>23</v>
      </c>
      <c r="M15245" t="s">
        <v>32773</v>
      </c>
      <c r="N15245" t="s">
        <v>198</v>
      </c>
      <c r="O15245" t="s">
        <v>22</v>
      </c>
      <c r="P15245" t="s">
        <v>32774</v>
      </c>
      <c r="Q15245">
        <v>1540</v>
      </c>
      <c r="R15245" t="s">
        <v>23</v>
      </c>
      <c r="S15245" s="1" t="s">
        <v>34218</v>
      </c>
    </row>
    <row r="15246" spans="1:19" x14ac:dyDescent="0.25">
      <c r="A15246">
        <v>101239543</v>
      </c>
      <c r="B15246" t="s">
        <v>3123</v>
      </c>
      <c r="C15246" t="s">
        <v>90</v>
      </c>
      <c r="G15246" t="s">
        <v>32775</v>
      </c>
      <c r="H15246" t="s">
        <v>7649</v>
      </c>
      <c r="I15246" t="s">
        <v>57</v>
      </c>
      <c r="J15246" t="s">
        <v>32776</v>
      </c>
      <c r="K15246">
        <v>4327</v>
      </c>
      <c r="L15246" t="s">
        <v>23</v>
      </c>
      <c r="M15246" t="s">
        <v>32775</v>
      </c>
      <c r="N15246" t="s">
        <v>7649</v>
      </c>
      <c r="O15246" t="s">
        <v>57</v>
      </c>
      <c r="P15246" t="s">
        <v>32776</v>
      </c>
      <c r="Q15246">
        <v>4327</v>
      </c>
      <c r="R15246" t="s">
        <v>23</v>
      </c>
      <c r="S15246" s="1" t="s">
        <v>34218</v>
      </c>
    </row>
    <row r="15247" spans="1:19" x14ac:dyDescent="0.25">
      <c r="A15247">
        <v>101427040</v>
      </c>
      <c r="B15247" t="s">
        <v>11916</v>
      </c>
      <c r="C15247" t="s">
        <v>25</v>
      </c>
      <c r="G15247" t="s">
        <v>32777</v>
      </c>
      <c r="H15247" t="s">
        <v>3972</v>
      </c>
      <c r="I15247" t="s">
        <v>1387</v>
      </c>
      <c r="J15247" t="s">
        <v>32778</v>
      </c>
      <c r="K15247">
        <v>1733</v>
      </c>
      <c r="L15247" t="s">
        <v>23</v>
      </c>
      <c r="M15247" t="s">
        <v>32777</v>
      </c>
      <c r="N15247" t="s">
        <v>3972</v>
      </c>
      <c r="O15247" t="s">
        <v>1387</v>
      </c>
      <c r="P15247" t="s">
        <v>32778</v>
      </c>
      <c r="Q15247">
        <v>1733</v>
      </c>
      <c r="R15247" t="s">
        <v>23</v>
      </c>
      <c r="S15247" s="1" t="s">
        <v>34218</v>
      </c>
    </row>
    <row r="15248" spans="1:19" x14ac:dyDescent="0.25">
      <c r="A15248">
        <v>101222192</v>
      </c>
      <c r="B15248" t="s">
        <v>32779</v>
      </c>
      <c r="C15248" t="s">
        <v>274</v>
      </c>
      <c r="G15248" t="s">
        <v>32780</v>
      </c>
      <c r="H15248" t="s">
        <v>3737</v>
      </c>
      <c r="I15248" t="s">
        <v>203</v>
      </c>
      <c r="J15248" t="s">
        <v>32781</v>
      </c>
      <c r="K15248">
        <v>4140</v>
      </c>
      <c r="L15248" t="s">
        <v>23</v>
      </c>
      <c r="M15248" t="s">
        <v>32780</v>
      </c>
      <c r="N15248" t="s">
        <v>3737</v>
      </c>
      <c r="O15248" t="s">
        <v>203</v>
      </c>
      <c r="P15248" t="s">
        <v>32781</v>
      </c>
      <c r="Q15248">
        <v>4140</v>
      </c>
      <c r="R15248" t="s">
        <v>23</v>
      </c>
      <c r="S15248" s="1" t="s">
        <v>34218</v>
      </c>
    </row>
    <row r="15249" spans="1:19" x14ac:dyDescent="0.25">
      <c r="A15249">
        <v>101433798</v>
      </c>
      <c r="B15249" t="s">
        <v>32782</v>
      </c>
      <c r="C15249" t="s">
        <v>1824</v>
      </c>
      <c r="G15249" t="s">
        <v>32783</v>
      </c>
      <c r="H15249" t="s">
        <v>12926</v>
      </c>
      <c r="I15249" t="s">
        <v>84</v>
      </c>
      <c r="J15249" t="s">
        <v>32784</v>
      </c>
      <c r="K15249">
        <v>3903</v>
      </c>
      <c r="L15249" t="s">
        <v>23</v>
      </c>
      <c r="M15249" t="s">
        <v>32783</v>
      </c>
      <c r="N15249" t="s">
        <v>12926</v>
      </c>
      <c r="O15249" t="s">
        <v>84</v>
      </c>
      <c r="P15249" t="s">
        <v>32784</v>
      </c>
      <c r="Q15249">
        <v>3903</v>
      </c>
      <c r="R15249" t="s">
        <v>23</v>
      </c>
      <c r="S15249" s="1" t="s">
        <v>34218</v>
      </c>
    </row>
    <row r="15250" spans="1:19" x14ac:dyDescent="0.25">
      <c r="A15250">
        <v>101427113</v>
      </c>
      <c r="B15250" t="s">
        <v>32785</v>
      </c>
      <c r="C15250" t="s">
        <v>1579</v>
      </c>
      <c r="G15250" t="s">
        <v>32786</v>
      </c>
      <c r="H15250" t="s">
        <v>1080</v>
      </c>
      <c r="I15250" t="s">
        <v>236</v>
      </c>
      <c r="J15250" t="s">
        <v>32787</v>
      </c>
      <c r="K15250">
        <v>3455</v>
      </c>
      <c r="L15250" t="s">
        <v>23</v>
      </c>
      <c r="M15250" t="s">
        <v>32786</v>
      </c>
      <c r="N15250" t="s">
        <v>1080</v>
      </c>
      <c r="O15250" t="s">
        <v>236</v>
      </c>
      <c r="P15250" t="s">
        <v>32787</v>
      </c>
      <c r="Q15250">
        <v>3455</v>
      </c>
      <c r="R15250" t="s">
        <v>23</v>
      </c>
      <c r="S15250" s="1" t="s">
        <v>34218</v>
      </c>
    </row>
    <row r="15251" spans="1:19" x14ac:dyDescent="0.25">
      <c r="A15251">
        <v>100870695</v>
      </c>
      <c r="B15251" t="s">
        <v>30039</v>
      </c>
      <c r="C15251" t="s">
        <v>32788</v>
      </c>
      <c r="G15251" t="s">
        <v>32789</v>
      </c>
      <c r="H15251" t="s">
        <v>32790</v>
      </c>
      <c r="I15251" t="s">
        <v>126</v>
      </c>
      <c r="J15251" t="s">
        <v>32791</v>
      </c>
      <c r="K15251">
        <v>7527</v>
      </c>
      <c r="L15251" t="s">
        <v>23</v>
      </c>
      <c r="M15251" t="s">
        <v>32789</v>
      </c>
      <c r="N15251" t="s">
        <v>32790</v>
      </c>
      <c r="O15251" t="s">
        <v>126</v>
      </c>
      <c r="P15251" t="s">
        <v>32791</v>
      </c>
      <c r="Q15251">
        <v>7527</v>
      </c>
      <c r="R15251" t="s">
        <v>23</v>
      </c>
      <c r="S15251" s="1" t="s">
        <v>34218</v>
      </c>
    </row>
    <row r="15252" spans="1:19" x14ac:dyDescent="0.25">
      <c r="A15252">
        <v>101323697</v>
      </c>
      <c r="B15252" t="s">
        <v>32792</v>
      </c>
      <c r="C15252" t="s">
        <v>4245</v>
      </c>
      <c r="G15252" t="s">
        <v>32793</v>
      </c>
      <c r="H15252" t="s">
        <v>4223</v>
      </c>
      <c r="I15252" t="s">
        <v>565</v>
      </c>
      <c r="J15252" t="s">
        <v>32794</v>
      </c>
      <c r="K15252">
        <v>1326</v>
      </c>
      <c r="L15252" t="s">
        <v>23</v>
      </c>
      <c r="M15252" t="s">
        <v>32793</v>
      </c>
      <c r="N15252" t="s">
        <v>4223</v>
      </c>
      <c r="O15252" t="s">
        <v>565</v>
      </c>
      <c r="P15252" t="s">
        <v>32794</v>
      </c>
      <c r="Q15252">
        <v>1326</v>
      </c>
      <c r="R15252" t="s">
        <v>23</v>
      </c>
      <c r="S15252" s="1" t="s">
        <v>34218</v>
      </c>
    </row>
    <row r="15253" spans="1:19" x14ac:dyDescent="0.25">
      <c r="A15253">
        <v>101344429</v>
      </c>
      <c r="B15253" t="s">
        <v>28050</v>
      </c>
      <c r="C15253" t="s">
        <v>221</v>
      </c>
      <c r="G15253" t="s">
        <v>32795</v>
      </c>
      <c r="H15253" t="s">
        <v>264</v>
      </c>
      <c r="I15253" t="s">
        <v>117</v>
      </c>
      <c r="J15253" t="s">
        <v>32796</v>
      </c>
      <c r="K15253">
        <v>9352</v>
      </c>
      <c r="L15253" t="s">
        <v>23</v>
      </c>
      <c r="M15253" t="s">
        <v>32795</v>
      </c>
      <c r="N15253" t="s">
        <v>264</v>
      </c>
      <c r="O15253" t="s">
        <v>117</v>
      </c>
      <c r="P15253" t="s">
        <v>32796</v>
      </c>
      <c r="Q15253">
        <v>9352</v>
      </c>
      <c r="R15253" t="s">
        <v>23</v>
      </c>
      <c r="S15253" s="1" t="s">
        <v>34218</v>
      </c>
    </row>
    <row r="15254" spans="1:19" x14ac:dyDescent="0.25">
      <c r="A15254">
        <v>101422732</v>
      </c>
      <c r="B15254" t="s">
        <v>3629</v>
      </c>
      <c r="C15254" t="s">
        <v>382</v>
      </c>
      <c r="G15254" t="s">
        <v>32797</v>
      </c>
      <c r="H15254" t="s">
        <v>99</v>
      </c>
      <c r="I15254" t="s">
        <v>100</v>
      </c>
      <c r="J15254" t="s">
        <v>32798</v>
      </c>
      <c r="K15254">
        <v>1725</v>
      </c>
      <c r="L15254" t="s">
        <v>23</v>
      </c>
      <c r="M15254" t="s">
        <v>32797</v>
      </c>
      <c r="N15254" t="s">
        <v>99</v>
      </c>
      <c r="O15254" t="s">
        <v>100</v>
      </c>
      <c r="P15254" t="s">
        <v>32798</v>
      </c>
      <c r="Q15254">
        <v>1725</v>
      </c>
      <c r="R15254" t="s">
        <v>23</v>
      </c>
      <c r="S15254" s="1" t="s">
        <v>34218</v>
      </c>
    </row>
    <row r="15255" spans="1:19" x14ac:dyDescent="0.25">
      <c r="A15255">
        <v>101467411</v>
      </c>
      <c r="B15255" t="s">
        <v>31167</v>
      </c>
      <c r="C15255" t="s">
        <v>5016</v>
      </c>
      <c r="G15255" t="s">
        <v>32799</v>
      </c>
      <c r="H15255" t="s">
        <v>32800</v>
      </c>
      <c r="I15255" t="s">
        <v>236</v>
      </c>
      <c r="J15255">
        <v>1431</v>
      </c>
      <c r="L15255" t="s">
        <v>23</v>
      </c>
      <c r="M15255" t="s">
        <v>32799</v>
      </c>
      <c r="N15255" t="s">
        <v>32800</v>
      </c>
      <c r="O15255" t="s">
        <v>236</v>
      </c>
      <c r="P15255">
        <v>1431</v>
      </c>
      <c r="R15255" t="s">
        <v>23</v>
      </c>
      <c r="S15255" s="1" t="s">
        <v>34218</v>
      </c>
    </row>
    <row r="15256" spans="1:19" x14ac:dyDescent="0.25">
      <c r="A15256">
        <v>101467856</v>
      </c>
      <c r="B15256" t="s">
        <v>3956</v>
      </c>
      <c r="C15256" t="s">
        <v>32801</v>
      </c>
      <c r="G15256" t="s">
        <v>32802</v>
      </c>
      <c r="H15256" t="s">
        <v>2449</v>
      </c>
      <c r="I15256" t="s">
        <v>71</v>
      </c>
      <c r="J15256">
        <v>80121</v>
      </c>
      <c r="K15256">
        <v>2550</v>
      </c>
      <c r="L15256" t="s">
        <v>23</v>
      </c>
      <c r="M15256" t="s">
        <v>32802</v>
      </c>
      <c r="N15256" t="s">
        <v>2449</v>
      </c>
      <c r="O15256" t="s">
        <v>71</v>
      </c>
      <c r="P15256">
        <v>80121</v>
      </c>
      <c r="Q15256">
        <v>2550</v>
      </c>
      <c r="R15256" t="s">
        <v>23</v>
      </c>
      <c r="S15256" s="1" t="s">
        <v>34218</v>
      </c>
    </row>
    <row r="15257" spans="1:19" x14ac:dyDescent="0.25">
      <c r="A15257">
        <v>101241611</v>
      </c>
      <c r="B15257" t="s">
        <v>16306</v>
      </c>
      <c r="C15257" t="s">
        <v>32803</v>
      </c>
      <c r="G15257" t="s">
        <v>32804</v>
      </c>
      <c r="H15257" t="s">
        <v>1985</v>
      </c>
      <c r="I15257" t="s">
        <v>71</v>
      </c>
      <c r="J15257">
        <v>80922</v>
      </c>
      <c r="K15257">
        <v>1231</v>
      </c>
      <c r="L15257" t="s">
        <v>23</v>
      </c>
      <c r="M15257" t="s">
        <v>32804</v>
      </c>
      <c r="N15257" t="s">
        <v>1985</v>
      </c>
      <c r="O15257" t="s">
        <v>71</v>
      </c>
      <c r="P15257">
        <v>80922</v>
      </c>
      <c r="Q15257">
        <v>1231</v>
      </c>
      <c r="R15257" t="s">
        <v>23</v>
      </c>
      <c r="S15257" s="1" t="s">
        <v>34218</v>
      </c>
    </row>
    <row r="15258" spans="1:19" x14ac:dyDescent="0.25">
      <c r="A15258">
        <v>101477650</v>
      </c>
      <c r="B15258" t="s">
        <v>32805</v>
      </c>
      <c r="C15258" t="s">
        <v>1208</v>
      </c>
      <c r="G15258" t="s">
        <v>32806</v>
      </c>
      <c r="H15258" t="s">
        <v>3470</v>
      </c>
      <c r="I15258" t="s">
        <v>187</v>
      </c>
      <c r="J15258">
        <v>55344</v>
      </c>
      <c r="L15258" t="s">
        <v>23</v>
      </c>
      <c r="M15258" t="s">
        <v>32806</v>
      </c>
      <c r="N15258" t="s">
        <v>3470</v>
      </c>
      <c r="O15258" t="s">
        <v>187</v>
      </c>
      <c r="P15258">
        <v>55344</v>
      </c>
      <c r="R15258" t="s">
        <v>23</v>
      </c>
      <c r="S15258" s="1" t="s">
        <v>34218</v>
      </c>
    </row>
    <row r="15259" spans="1:19" x14ac:dyDescent="0.25">
      <c r="A15259">
        <v>101445734</v>
      </c>
      <c r="B15259" t="s">
        <v>1886</v>
      </c>
      <c r="C15259" t="s">
        <v>24577</v>
      </c>
      <c r="G15259" t="s">
        <v>32807</v>
      </c>
      <c r="H15259" t="s">
        <v>1105</v>
      </c>
      <c r="I15259" t="s">
        <v>117</v>
      </c>
      <c r="J15259">
        <v>10471</v>
      </c>
      <c r="K15259">
        <v>1135</v>
      </c>
      <c r="L15259" t="s">
        <v>23</v>
      </c>
      <c r="M15259" t="s">
        <v>32807</v>
      </c>
      <c r="N15259" t="s">
        <v>1105</v>
      </c>
      <c r="O15259" t="s">
        <v>117</v>
      </c>
      <c r="P15259">
        <v>10471</v>
      </c>
      <c r="Q15259">
        <v>1135</v>
      </c>
      <c r="R15259" t="s">
        <v>23</v>
      </c>
      <c r="S15259" s="1" t="s">
        <v>34218</v>
      </c>
    </row>
    <row r="15260" spans="1:19" x14ac:dyDescent="0.25">
      <c r="A15260">
        <v>101237758</v>
      </c>
      <c r="B15260" t="s">
        <v>4038</v>
      </c>
      <c r="C15260" t="s">
        <v>32808</v>
      </c>
      <c r="G15260" t="s">
        <v>32809</v>
      </c>
      <c r="H15260" t="s">
        <v>169</v>
      </c>
      <c r="I15260" t="s">
        <v>250</v>
      </c>
      <c r="J15260" t="s">
        <v>32810</v>
      </c>
      <c r="K15260">
        <v>4131</v>
      </c>
      <c r="L15260" t="s">
        <v>23</v>
      </c>
      <c r="M15260" t="s">
        <v>32809</v>
      </c>
      <c r="N15260" t="s">
        <v>169</v>
      </c>
      <c r="O15260" t="s">
        <v>250</v>
      </c>
      <c r="P15260" t="s">
        <v>32810</v>
      </c>
      <c r="Q15260">
        <v>4131</v>
      </c>
      <c r="R15260" t="s">
        <v>23</v>
      </c>
      <c r="S15260" s="1" t="s">
        <v>34218</v>
      </c>
    </row>
    <row r="15261" spans="1:19" x14ac:dyDescent="0.25">
      <c r="A15261">
        <v>101293912</v>
      </c>
      <c r="B15261" t="s">
        <v>32811</v>
      </c>
      <c r="C15261" t="s">
        <v>350</v>
      </c>
      <c r="G15261" t="s">
        <v>32812</v>
      </c>
      <c r="H15261" t="s">
        <v>7703</v>
      </c>
      <c r="I15261" t="s">
        <v>22</v>
      </c>
      <c r="J15261" t="s">
        <v>32813</v>
      </c>
      <c r="K15261">
        <v>6024</v>
      </c>
      <c r="L15261" t="s">
        <v>23</v>
      </c>
      <c r="M15261" t="s">
        <v>32812</v>
      </c>
      <c r="N15261" t="s">
        <v>7703</v>
      </c>
      <c r="O15261" t="s">
        <v>22</v>
      </c>
      <c r="P15261" t="s">
        <v>32813</v>
      </c>
      <c r="Q15261">
        <v>6024</v>
      </c>
      <c r="R15261" t="s">
        <v>23</v>
      </c>
      <c r="S15261" s="1" t="s">
        <v>34218</v>
      </c>
    </row>
    <row r="15262" spans="1:19" x14ac:dyDescent="0.25">
      <c r="A15262">
        <v>100989368</v>
      </c>
      <c r="B15262" t="s">
        <v>1479</v>
      </c>
      <c r="C15262" t="s">
        <v>3566</v>
      </c>
      <c r="G15262" t="s">
        <v>32814</v>
      </c>
      <c r="H15262" t="s">
        <v>7214</v>
      </c>
      <c r="I15262" t="s">
        <v>2566</v>
      </c>
      <c r="J15262" t="s">
        <v>32815</v>
      </c>
      <c r="K15262">
        <v>8102</v>
      </c>
      <c r="L15262" t="s">
        <v>23</v>
      </c>
      <c r="M15262" t="s">
        <v>32814</v>
      </c>
      <c r="N15262" t="s">
        <v>7214</v>
      </c>
      <c r="O15262" t="s">
        <v>2566</v>
      </c>
      <c r="P15262" t="s">
        <v>32815</v>
      </c>
      <c r="Q15262">
        <v>8102</v>
      </c>
      <c r="R15262" t="s">
        <v>23</v>
      </c>
      <c r="S15262" s="1" t="s">
        <v>34218</v>
      </c>
    </row>
    <row r="15263" spans="1:19" x14ac:dyDescent="0.25">
      <c r="A15263">
        <v>101431144</v>
      </c>
      <c r="B15263" t="s">
        <v>32816</v>
      </c>
      <c r="C15263" t="s">
        <v>32817</v>
      </c>
      <c r="G15263" t="s">
        <v>32818</v>
      </c>
      <c r="H15263" t="s">
        <v>1105</v>
      </c>
      <c r="I15263" t="s">
        <v>117</v>
      </c>
      <c r="J15263" t="s">
        <v>32819</v>
      </c>
      <c r="K15263">
        <v>4740</v>
      </c>
      <c r="L15263" t="s">
        <v>23</v>
      </c>
      <c r="M15263" t="s">
        <v>32818</v>
      </c>
      <c r="N15263" t="s">
        <v>1105</v>
      </c>
      <c r="O15263" t="s">
        <v>117</v>
      </c>
      <c r="P15263" t="s">
        <v>32819</v>
      </c>
      <c r="Q15263">
        <v>4740</v>
      </c>
      <c r="R15263" t="s">
        <v>23</v>
      </c>
      <c r="S15263" s="1" t="s">
        <v>34218</v>
      </c>
    </row>
    <row r="15264" spans="1:19" x14ac:dyDescent="0.25">
      <c r="A15264">
        <v>101269086</v>
      </c>
      <c r="B15264" t="s">
        <v>2705</v>
      </c>
      <c r="C15264" t="s">
        <v>1992</v>
      </c>
      <c r="G15264" t="s">
        <v>32820</v>
      </c>
      <c r="H15264" t="s">
        <v>1754</v>
      </c>
      <c r="I15264" t="s">
        <v>135</v>
      </c>
      <c r="J15264" t="s">
        <v>32821</v>
      </c>
      <c r="K15264">
        <v>1218</v>
      </c>
      <c r="L15264" t="s">
        <v>23</v>
      </c>
      <c r="M15264" t="s">
        <v>32820</v>
      </c>
      <c r="N15264" t="s">
        <v>1754</v>
      </c>
      <c r="O15264" t="s">
        <v>135</v>
      </c>
      <c r="P15264" t="s">
        <v>32821</v>
      </c>
      <c r="Q15264">
        <v>1218</v>
      </c>
      <c r="R15264" t="s">
        <v>23</v>
      </c>
      <c r="S15264" s="1" t="s">
        <v>34218</v>
      </c>
    </row>
    <row r="15265" spans="1:19" x14ac:dyDescent="0.25">
      <c r="A15265">
        <v>101445382</v>
      </c>
      <c r="B15265" t="s">
        <v>4376</v>
      </c>
      <c r="C15265" t="s">
        <v>539</v>
      </c>
      <c r="G15265" t="s">
        <v>32822</v>
      </c>
      <c r="H15265" t="s">
        <v>2629</v>
      </c>
      <c r="I15265" t="s">
        <v>22</v>
      </c>
      <c r="J15265" t="s">
        <v>32823</v>
      </c>
      <c r="K15265">
        <v>1869</v>
      </c>
      <c r="L15265" t="s">
        <v>23</v>
      </c>
      <c r="M15265" t="s">
        <v>32822</v>
      </c>
      <c r="N15265" t="s">
        <v>2629</v>
      </c>
      <c r="O15265" t="s">
        <v>22</v>
      </c>
      <c r="P15265" t="s">
        <v>32823</v>
      </c>
      <c r="Q15265">
        <v>1869</v>
      </c>
      <c r="R15265" t="s">
        <v>23</v>
      </c>
      <c r="S15265" s="1" t="s">
        <v>34218</v>
      </c>
    </row>
    <row r="15266" spans="1:19" x14ac:dyDescent="0.25">
      <c r="A15266">
        <v>101418531</v>
      </c>
      <c r="B15266" t="s">
        <v>24036</v>
      </c>
      <c r="C15266" t="s">
        <v>172</v>
      </c>
      <c r="G15266" t="s">
        <v>32824</v>
      </c>
      <c r="H15266" t="s">
        <v>1531</v>
      </c>
      <c r="I15266" t="s">
        <v>84</v>
      </c>
      <c r="J15266" t="s">
        <v>32825</v>
      </c>
      <c r="K15266">
        <v>4104</v>
      </c>
      <c r="L15266" t="s">
        <v>23</v>
      </c>
      <c r="M15266" t="s">
        <v>32824</v>
      </c>
      <c r="N15266" t="s">
        <v>1531</v>
      </c>
      <c r="O15266" t="s">
        <v>84</v>
      </c>
      <c r="P15266" t="s">
        <v>32825</v>
      </c>
      <c r="Q15266">
        <v>4104</v>
      </c>
      <c r="R15266" t="s">
        <v>23</v>
      </c>
      <c r="S15266" s="1" t="s">
        <v>34218</v>
      </c>
    </row>
    <row r="15267" spans="1:19" x14ac:dyDescent="0.25">
      <c r="A15267">
        <v>101303570</v>
      </c>
      <c r="B15267" t="s">
        <v>1110</v>
      </c>
      <c r="C15267" t="s">
        <v>40</v>
      </c>
      <c r="G15267" t="s">
        <v>32826</v>
      </c>
      <c r="H15267" t="s">
        <v>591</v>
      </c>
      <c r="I15267" t="s">
        <v>84</v>
      </c>
      <c r="J15267" t="s">
        <v>32827</v>
      </c>
      <c r="K15267">
        <v>8976</v>
      </c>
      <c r="L15267" t="s">
        <v>23</v>
      </c>
      <c r="M15267" t="s">
        <v>32826</v>
      </c>
      <c r="N15267" t="s">
        <v>591</v>
      </c>
      <c r="O15267" t="s">
        <v>84</v>
      </c>
      <c r="P15267" t="s">
        <v>32827</v>
      </c>
      <c r="Q15267">
        <v>8976</v>
      </c>
      <c r="R15267" t="s">
        <v>23</v>
      </c>
      <c r="S15267" s="1" t="s">
        <v>34218</v>
      </c>
    </row>
    <row r="15268" spans="1:19" x14ac:dyDescent="0.25">
      <c r="A15268">
        <v>101432854</v>
      </c>
      <c r="B15268" t="s">
        <v>32828</v>
      </c>
      <c r="C15268" t="s">
        <v>110</v>
      </c>
      <c r="G15268" t="s">
        <v>32829</v>
      </c>
      <c r="H15268" t="s">
        <v>37</v>
      </c>
      <c r="I15268" t="s">
        <v>38</v>
      </c>
      <c r="J15268" t="s">
        <v>32830</v>
      </c>
      <c r="K15268">
        <v>2005</v>
      </c>
      <c r="L15268" t="s">
        <v>23</v>
      </c>
      <c r="M15268" t="s">
        <v>32829</v>
      </c>
      <c r="N15268" t="s">
        <v>37</v>
      </c>
      <c r="O15268" t="s">
        <v>38</v>
      </c>
      <c r="P15268" t="s">
        <v>32830</v>
      </c>
      <c r="Q15268">
        <v>2005</v>
      </c>
      <c r="R15268" t="s">
        <v>23</v>
      </c>
      <c r="S15268" s="1" t="s">
        <v>34218</v>
      </c>
    </row>
    <row r="15269" spans="1:19" x14ac:dyDescent="0.25">
      <c r="A15269">
        <v>101423523</v>
      </c>
      <c r="B15269" t="s">
        <v>32831</v>
      </c>
      <c r="C15269" t="s">
        <v>290</v>
      </c>
      <c r="G15269" t="s">
        <v>32832</v>
      </c>
      <c r="H15269" t="s">
        <v>134</v>
      </c>
      <c r="I15269" t="s">
        <v>135</v>
      </c>
      <c r="J15269" t="s">
        <v>32833</v>
      </c>
      <c r="K15269">
        <v>3816</v>
      </c>
      <c r="L15269" t="s">
        <v>23</v>
      </c>
      <c r="M15269" t="s">
        <v>32832</v>
      </c>
      <c r="N15269" t="s">
        <v>134</v>
      </c>
      <c r="O15269" t="s">
        <v>135</v>
      </c>
      <c r="P15269" t="s">
        <v>32833</v>
      </c>
      <c r="Q15269">
        <v>3816</v>
      </c>
      <c r="R15269" t="s">
        <v>23</v>
      </c>
      <c r="S15269" s="1" t="s">
        <v>34218</v>
      </c>
    </row>
    <row r="15270" spans="1:19" x14ac:dyDescent="0.25">
      <c r="A15270">
        <v>101438267</v>
      </c>
      <c r="B15270" t="s">
        <v>34</v>
      </c>
      <c r="C15270" t="s">
        <v>2127</v>
      </c>
      <c r="G15270" t="s">
        <v>32834</v>
      </c>
      <c r="H15270" t="s">
        <v>2784</v>
      </c>
      <c r="I15270" t="s">
        <v>353</v>
      </c>
      <c r="J15270" t="s">
        <v>32835</v>
      </c>
      <c r="K15270">
        <v>2437</v>
      </c>
      <c r="L15270" t="s">
        <v>23</v>
      </c>
      <c r="M15270" t="s">
        <v>32834</v>
      </c>
      <c r="N15270" t="s">
        <v>2784</v>
      </c>
      <c r="O15270" t="s">
        <v>353</v>
      </c>
      <c r="P15270" t="s">
        <v>32835</v>
      </c>
      <c r="Q15270">
        <v>2437</v>
      </c>
      <c r="R15270" t="s">
        <v>23</v>
      </c>
      <c r="S15270" s="1" t="s">
        <v>34218</v>
      </c>
    </row>
    <row r="15271" spans="1:19" x14ac:dyDescent="0.25">
      <c r="A15271">
        <v>101266974</v>
      </c>
      <c r="B15271" t="s">
        <v>3763</v>
      </c>
      <c r="C15271" t="s">
        <v>1859</v>
      </c>
      <c r="G15271" t="s">
        <v>32836</v>
      </c>
      <c r="H15271" t="s">
        <v>32837</v>
      </c>
      <c r="I15271" t="s">
        <v>117</v>
      </c>
      <c r="J15271" t="s">
        <v>32838</v>
      </c>
      <c r="K15271">
        <v>3000</v>
      </c>
      <c r="L15271" t="s">
        <v>23</v>
      </c>
      <c r="M15271" t="s">
        <v>32836</v>
      </c>
      <c r="N15271" t="s">
        <v>32837</v>
      </c>
      <c r="O15271" t="s">
        <v>117</v>
      </c>
      <c r="P15271" t="s">
        <v>32838</v>
      </c>
      <c r="Q15271">
        <v>3000</v>
      </c>
      <c r="R15271" t="s">
        <v>23</v>
      </c>
      <c r="S15271" s="1" t="s">
        <v>34218</v>
      </c>
    </row>
    <row r="15272" spans="1:19" x14ac:dyDescent="0.25">
      <c r="A15272">
        <v>101440826</v>
      </c>
      <c r="B15272" t="s">
        <v>32839</v>
      </c>
      <c r="C15272" t="s">
        <v>7093</v>
      </c>
      <c r="G15272" t="s">
        <v>32840</v>
      </c>
      <c r="H15272" t="s">
        <v>174</v>
      </c>
      <c r="I15272" t="s">
        <v>22</v>
      </c>
      <c r="J15272" t="s">
        <v>32841</v>
      </c>
      <c r="K15272">
        <v>1392</v>
      </c>
      <c r="L15272" t="s">
        <v>23</v>
      </c>
      <c r="M15272" t="s">
        <v>32840</v>
      </c>
      <c r="N15272" t="s">
        <v>174</v>
      </c>
      <c r="O15272" t="s">
        <v>22</v>
      </c>
      <c r="P15272" t="s">
        <v>32841</v>
      </c>
      <c r="Q15272">
        <v>1392</v>
      </c>
      <c r="R15272" t="s">
        <v>23</v>
      </c>
      <c r="S15272" s="1" t="s">
        <v>34218</v>
      </c>
    </row>
    <row r="15273" spans="1:19" x14ac:dyDescent="0.25">
      <c r="A15273">
        <v>101423579</v>
      </c>
      <c r="B15273" t="s">
        <v>3449</v>
      </c>
      <c r="C15273" t="s">
        <v>274</v>
      </c>
      <c r="G15273" t="s">
        <v>32842</v>
      </c>
      <c r="H15273" t="s">
        <v>3808</v>
      </c>
      <c r="I15273" t="s">
        <v>22</v>
      </c>
      <c r="J15273" t="s">
        <v>32843</v>
      </c>
      <c r="K15273">
        <v>3112</v>
      </c>
      <c r="L15273" t="s">
        <v>23</v>
      </c>
      <c r="M15273" t="s">
        <v>32842</v>
      </c>
      <c r="N15273" t="s">
        <v>3808</v>
      </c>
      <c r="O15273" t="s">
        <v>22</v>
      </c>
      <c r="P15273" t="s">
        <v>32843</v>
      </c>
      <c r="Q15273">
        <v>3112</v>
      </c>
      <c r="R15273" t="s">
        <v>23</v>
      </c>
      <c r="S15273" s="1" t="s">
        <v>34218</v>
      </c>
    </row>
    <row r="15274" spans="1:19" x14ac:dyDescent="0.25">
      <c r="A15274">
        <v>101427978</v>
      </c>
      <c r="B15274" t="s">
        <v>2802</v>
      </c>
      <c r="C15274" t="s">
        <v>1298</v>
      </c>
      <c r="G15274" t="s">
        <v>29168</v>
      </c>
      <c r="H15274" t="s">
        <v>29169</v>
      </c>
      <c r="I15274" t="s">
        <v>135</v>
      </c>
      <c r="J15274" t="s">
        <v>32844</v>
      </c>
      <c r="K15274">
        <v>1058</v>
      </c>
      <c r="L15274" t="s">
        <v>23</v>
      </c>
      <c r="M15274" t="s">
        <v>29168</v>
      </c>
      <c r="N15274" t="s">
        <v>29169</v>
      </c>
      <c r="O15274" t="s">
        <v>135</v>
      </c>
      <c r="P15274" t="s">
        <v>32844</v>
      </c>
      <c r="Q15274">
        <v>1058</v>
      </c>
      <c r="R15274" t="s">
        <v>23</v>
      </c>
      <c r="S15274" s="1" t="s">
        <v>34218</v>
      </c>
    </row>
    <row r="15275" spans="1:19" x14ac:dyDescent="0.25">
      <c r="A15275">
        <v>100601502</v>
      </c>
      <c r="B15275" t="s">
        <v>32845</v>
      </c>
      <c r="C15275" t="s">
        <v>20392</v>
      </c>
      <c r="G15275" t="s">
        <v>32846</v>
      </c>
      <c r="H15275" t="s">
        <v>3268</v>
      </c>
      <c r="I15275" t="s">
        <v>161</v>
      </c>
      <c r="J15275" t="s">
        <v>32847</v>
      </c>
      <c r="K15275">
        <v>2139</v>
      </c>
      <c r="L15275" t="s">
        <v>23</v>
      </c>
      <c r="M15275" t="s">
        <v>32846</v>
      </c>
      <c r="N15275" t="s">
        <v>3268</v>
      </c>
      <c r="O15275" t="s">
        <v>161</v>
      </c>
      <c r="P15275" t="s">
        <v>32847</v>
      </c>
      <c r="Q15275">
        <v>2139</v>
      </c>
      <c r="R15275" t="s">
        <v>23</v>
      </c>
      <c r="S15275" s="1" t="s">
        <v>34218</v>
      </c>
    </row>
    <row r="15276" spans="1:19" x14ac:dyDescent="0.25">
      <c r="A15276">
        <v>101442733</v>
      </c>
      <c r="B15276" t="s">
        <v>29</v>
      </c>
      <c r="C15276" t="s">
        <v>2047</v>
      </c>
      <c r="G15276" t="s">
        <v>32848</v>
      </c>
      <c r="H15276" t="s">
        <v>913</v>
      </c>
      <c r="I15276" t="s">
        <v>914</v>
      </c>
      <c r="J15276" t="s">
        <v>32849</v>
      </c>
      <c r="K15276">
        <v>2047</v>
      </c>
      <c r="L15276" t="s">
        <v>23</v>
      </c>
      <c r="M15276" t="s">
        <v>32848</v>
      </c>
      <c r="N15276" t="s">
        <v>913</v>
      </c>
      <c r="O15276" t="s">
        <v>914</v>
      </c>
      <c r="P15276" t="s">
        <v>32849</v>
      </c>
      <c r="Q15276">
        <v>2047</v>
      </c>
      <c r="R15276" t="s">
        <v>23</v>
      </c>
      <c r="S15276" s="1" t="s">
        <v>34218</v>
      </c>
    </row>
    <row r="15277" spans="1:19" x14ac:dyDescent="0.25">
      <c r="A15277">
        <v>101308137</v>
      </c>
      <c r="B15277" t="s">
        <v>21270</v>
      </c>
      <c r="C15277" t="s">
        <v>5914</v>
      </c>
      <c r="G15277" t="s">
        <v>21272</v>
      </c>
      <c r="H15277" t="s">
        <v>130</v>
      </c>
      <c r="I15277" t="s">
        <v>22</v>
      </c>
      <c r="J15277" t="s">
        <v>32850</v>
      </c>
      <c r="K15277">
        <v>5864</v>
      </c>
      <c r="L15277" t="s">
        <v>23</v>
      </c>
      <c r="M15277" t="s">
        <v>21272</v>
      </c>
      <c r="N15277" t="s">
        <v>130</v>
      </c>
      <c r="O15277" t="s">
        <v>22</v>
      </c>
      <c r="P15277" t="s">
        <v>32850</v>
      </c>
      <c r="Q15277">
        <v>5864</v>
      </c>
      <c r="R15277" t="s">
        <v>23</v>
      </c>
      <c r="S15277" s="1" t="s">
        <v>34218</v>
      </c>
    </row>
    <row r="15278" spans="1:19" x14ac:dyDescent="0.25">
      <c r="A15278">
        <v>101418615</v>
      </c>
      <c r="B15278" t="s">
        <v>3215</v>
      </c>
      <c r="C15278" t="s">
        <v>30</v>
      </c>
      <c r="G15278" t="s">
        <v>32851</v>
      </c>
      <c r="H15278" t="s">
        <v>21</v>
      </c>
      <c r="I15278" t="s">
        <v>22</v>
      </c>
      <c r="J15278" t="s">
        <v>32852</v>
      </c>
      <c r="K15278">
        <v>8756</v>
      </c>
      <c r="L15278" t="s">
        <v>23</v>
      </c>
      <c r="M15278" t="s">
        <v>32851</v>
      </c>
      <c r="N15278" t="s">
        <v>21</v>
      </c>
      <c r="O15278" t="s">
        <v>22</v>
      </c>
      <c r="P15278" t="s">
        <v>32852</v>
      </c>
      <c r="Q15278">
        <v>8756</v>
      </c>
      <c r="R15278" t="s">
        <v>23</v>
      </c>
      <c r="S15278" s="1" t="s">
        <v>34218</v>
      </c>
    </row>
    <row r="15279" spans="1:19" x14ac:dyDescent="0.25">
      <c r="A15279">
        <v>101437683</v>
      </c>
      <c r="B15279" t="s">
        <v>747</v>
      </c>
      <c r="C15279" t="s">
        <v>25</v>
      </c>
      <c r="G15279" t="s">
        <v>32853</v>
      </c>
      <c r="H15279" t="s">
        <v>32854</v>
      </c>
      <c r="I15279" t="s">
        <v>140</v>
      </c>
      <c r="J15279" t="s">
        <v>32855</v>
      </c>
      <c r="K15279">
        <v>2465</v>
      </c>
      <c r="L15279" t="s">
        <v>23</v>
      </c>
      <c r="M15279" t="s">
        <v>32853</v>
      </c>
      <c r="N15279" t="s">
        <v>32854</v>
      </c>
      <c r="O15279" t="s">
        <v>140</v>
      </c>
      <c r="P15279" t="s">
        <v>32855</v>
      </c>
      <c r="Q15279">
        <v>2465</v>
      </c>
      <c r="R15279" t="s">
        <v>23</v>
      </c>
      <c r="S15279" s="1" t="s">
        <v>34218</v>
      </c>
    </row>
    <row r="15280" spans="1:19" x14ac:dyDescent="0.25">
      <c r="A15280">
        <v>101225638</v>
      </c>
      <c r="B15280" t="s">
        <v>32856</v>
      </c>
      <c r="C15280" t="s">
        <v>1327</v>
      </c>
      <c r="G15280" t="s">
        <v>32857</v>
      </c>
      <c r="H15280" t="s">
        <v>4799</v>
      </c>
      <c r="I15280" t="s">
        <v>22</v>
      </c>
      <c r="J15280" t="s">
        <v>32858</v>
      </c>
      <c r="K15280">
        <v>5624</v>
      </c>
      <c r="L15280" t="s">
        <v>23</v>
      </c>
      <c r="M15280" t="s">
        <v>32857</v>
      </c>
      <c r="N15280" t="s">
        <v>4799</v>
      </c>
      <c r="O15280" t="s">
        <v>22</v>
      </c>
      <c r="P15280" t="s">
        <v>32858</v>
      </c>
      <c r="Q15280">
        <v>5624</v>
      </c>
      <c r="R15280" t="s">
        <v>23</v>
      </c>
      <c r="S15280" s="1" t="s">
        <v>34218</v>
      </c>
    </row>
    <row r="15281" spans="1:19" x14ac:dyDescent="0.25">
      <c r="A15281">
        <v>100783560</v>
      </c>
      <c r="B15281" t="s">
        <v>32859</v>
      </c>
      <c r="C15281" t="s">
        <v>32860</v>
      </c>
      <c r="G15281" t="s">
        <v>32861</v>
      </c>
      <c r="H15281" t="s">
        <v>591</v>
      </c>
      <c r="I15281" t="s">
        <v>84</v>
      </c>
      <c r="J15281" t="s">
        <v>32862</v>
      </c>
      <c r="K15281">
        <v>4102</v>
      </c>
      <c r="L15281" t="s">
        <v>23</v>
      </c>
      <c r="M15281" t="s">
        <v>32861</v>
      </c>
      <c r="N15281" t="s">
        <v>591</v>
      </c>
      <c r="O15281" t="s">
        <v>84</v>
      </c>
      <c r="P15281" t="s">
        <v>32862</v>
      </c>
      <c r="Q15281">
        <v>4102</v>
      </c>
      <c r="R15281" t="s">
        <v>23</v>
      </c>
      <c r="S15281" s="1" t="s">
        <v>34218</v>
      </c>
    </row>
    <row r="15282" spans="1:19" x14ac:dyDescent="0.25">
      <c r="A15282">
        <v>100514030</v>
      </c>
      <c r="B15282" t="s">
        <v>465</v>
      </c>
      <c r="C15282" t="s">
        <v>274</v>
      </c>
      <c r="G15282" t="s">
        <v>32863</v>
      </c>
      <c r="H15282" t="s">
        <v>12564</v>
      </c>
      <c r="I15282" t="s">
        <v>446</v>
      </c>
      <c r="J15282" t="s">
        <v>32864</v>
      </c>
      <c r="K15282">
        <v>3256</v>
      </c>
      <c r="L15282" t="s">
        <v>23</v>
      </c>
      <c r="M15282" t="s">
        <v>32863</v>
      </c>
      <c r="N15282" t="s">
        <v>12564</v>
      </c>
      <c r="O15282" t="s">
        <v>446</v>
      </c>
      <c r="P15282" t="s">
        <v>32864</v>
      </c>
      <c r="Q15282">
        <v>3256</v>
      </c>
      <c r="R15282" t="s">
        <v>23</v>
      </c>
      <c r="S15282" s="1" t="s">
        <v>34218</v>
      </c>
    </row>
    <row r="15283" spans="1:19" x14ac:dyDescent="0.25">
      <c r="A15283">
        <v>101294461</v>
      </c>
      <c r="B15283" t="s">
        <v>3705</v>
      </c>
      <c r="C15283" t="s">
        <v>3843</v>
      </c>
      <c r="G15283" t="s">
        <v>32865</v>
      </c>
      <c r="H15283" t="s">
        <v>1857</v>
      </c>
      <c r="I15283" t="s">
        <v>702</v>
      </c>
      <c r="J15283" t="s">
        <v>32866</v>
      </c>
      <c r="K15283">
        <v>1204</v>
      </c>
      <c r="L15283" t="s">
        <v>23</v>
      </c>
      <c r="M15283" t="s">
        <v>32865</v>
      </c>
      <c r="N15283" t="s">
        <v>1857</v>
      </c>
      <c r="O15283" t="s">
        <v>702</v>
      </c>
      <c r="P15283" t="s">
        <v>32866</v>
      </c>
      <c r="Q15283">
        <v>1204</v>
      </c>
      <c r="R15283" t="s">
        <v>23</v>
      </c>
      <c r="S15283" s="1" t="s">
        <v>34218</v>
      </c>
    </row>
    <row r="15284" spans="1:19" x14ac:dyDescent="0.25">
      <c r="A15284">
        <v>101299057</v>
      </c>
      <c r="B15284" t="s">
        <v>32867</v>
      </c>
      <c r="C15284" t="s">
        <v>7441</v>
      </c>
      <c r="G15284" t="s">
        <v>32868</v>
      </c>
      <c r="H15284" t="s">
        <v>32869</v>
      </c>
      <c r="I15284" t="s">
        <v>140</v>
      </c>
      <c r="J15284">
        <v>49701</v>
      </c>
      <c r="K15284">
        <v>92</v>
      </c>
      <c r="L15284" t="s">
        <v>23</v>
      </c>
      <c r="M15284" t="s">
        <v>32868</v>
      </c>
      <c r="N15284" t="s">
        <v>32869</v>
      </c>
      <c r="O15284" t="s">
        <v>140</v>
      </c>
      <c r="P15284">
        <v>49701</v>
      </c>
      <c r="Q15284">
        <v>92</v>
      </c>
      <c r="R15284" t="s">
        <v>23</v>
      </c>
      <c r="S15284" s="1" t="s">
        <v>34218</v>
      </c>
    </row>
    <row r="15285" spans="1:19" x14ac:dyDescent="0.25">
      <c r="A15285">
        <v>101404205</v>
      </c>
      <c r="B15285" t="s">
        <v>5237</v>
      </c>
      <c r="C15285" t="s">
        <v>2010</v>
      </c>
      <c r="G15285" t="s">
        <v>32870</v>
      </c>
      <c r="H15285" t="s">
        <v>1396</v>
      </c>
      <c r="I15285" t="s">
        <v>1387</v>
      </c>
      <c r="J15285">
        <v>36832</v>
      </c>
      <c r="K15285">
        <v>7416</v>
      </c>
      <c r="L15285" t="s">
        <v>23</v>
      </c>
      <c r="M15285" t="s">
        <v>32870</v>
      </c>
      <c r="N15285" t="s">
        <v>1396</v>
      </c>
      <c r="O15285" t="s">
        <v>1387</v>
      </c>
      <c r="P15285">
        <v>36832</v>
      </c>
      <c r="Q15285">
        <v>7416</v>
      </c>
      <c r="R15285" t="s">
        <v>23</v>
      </c>
      <c r="S15285" s="1" t="s">
        <v>34218</v>
      </c>
    </row>
    <row r="15286" spans="1:19" x14ac:dyDescent="0.25">
      <c r="A15286">
        <v>101469442</v>
      </c>
      <c r="B15286" t="s">
        <v>2064</v>
      </c>
      <c r="C15286" t="s">
        <v>9807</v>
      </c>
      <c r="G15286" t="s">
        <v>32871</v>
      </c>
      <c r="H15286" t="s">
        <v>2086</v>
      </c>
      <c r="I15286" t="s">
        <v>178</v>
      </c>
      <c r="J15286">
        <v>45244</v>
      </c>
      <c r="K15286">
        <v>1138</v>
      </c>
      <c r="L15286" t="s">
        <v>23</v>
      </c>
      <c r="M15286" t="s">
        <v>32871</v>
      </c>
      <c r="N15286" t="s">
        <v>2086</v>
      </c>
      <c r="O15286" t="s">
        <v>178</v>
      </c>
      <c r="P15286">
        <v>45244</v>
      </c>
      <c r="Q15286">
        <v>1138</v>
      </c>
      <c r="R15286" t="s">
        <v>23</v>
      </c>
      <c r="S15286" s="1" t="s">
        <v>34218</v>
      </c>
    </row>
    <row r="15287" spans="1:19" x14ac:dyDescent="0.25">
      <c r="A15287">
        <v>101424176</v>
      </c>
      <c r="B15287" t="s">
        <v>32872</v>
      </c>
      <c r="C15287" t="s">
        <v>728</v>
      </c>
      <c r="G15287" t="s">
        <v>32873</v>
      </c>
      <c r="H15287" t="s">
        <v>653</v>
      </c>
      <c r="I15287" t="s">
        <v>117</v>
      </c>
      <c r="J15287" t="s">
        <v>32874</v>
      </c>
      <c r="K15287">
        <v>6514</v>
      </c>
      <c r="L15287" t="s">
        <v>23</v>
      </c>
      <c r="M15287" t="s">
        <v>32873</v>
      </c>
      <c r="N15287" t="s">
        <v>653</v>
      </c>
      <c r="O15287" t="s">
        <v>117</v>
      </c>
      <c r="P15287" t="s">
        <v>32874</v>
      </c>
      <c r="Q15287">
        <v>6514</v>
      </c>
      <c r="R15287" t="s">
        <v>23</v>
      </c>
      <c r="S15287" s="1" t="s">
        <v>34218</v>
      </c>
    </row>
    <row r="15288" spans="1:19" x14ac:dyDescent="0.25">
      <c r="A15288">
        <v>101260792</v>
      </c>
      <c r="B15288" t="s">
        <v>1234</v>
      </c>
      <c r="C15288" t="s">
        <v>535</v>
      </c>
      <c r="G15288" t="s">
        <v>32875</v>
      </c>
      <c r="H15288" t="s">
        <v>14301</v>
      </c>
      <c r="I15288" t="s">
        <v>178</v>
      </c>
      <c r="J15288" t="s">
        <v>32876</v>
      </c>
      <c r="K15288">
        <v>4639</v>
      </c>
      <c r="L15288" t="s">
        <v>23</v>
      </c>
      <c r="M15288" t="s">
        <v>32875</v>
      </c>
      <c r="N15288" t="s">
        <v>14301</v>
      </c>
      <c r="O15288" t="s">
        <v>178</v>
      </c>
      <c r="P15288" t="s">
        <v>32876</v>
      </c>
      <c r="Q15288">
        <v>4639</v>
      </c>
      <c r="R15288" t="s">
        <v>23</v>
      </c>
      <c r="S15288" s="1" t="s">
        <v>34218</v>
      </c>
    </row>
    <row r="15289" spans="1:19" x14ac:dyDescent="0.25">
      <c r="A15289">
        <v>100903334</v>
      </c>
      <c r="B15289" t="s">
        <v>32877</v>
      </c>
      <c r="C15289" t="s">
        <v>2515</v>
      </c>
      <c r="G15289" t="s">
        <v>32878</v>
      </c>
      <c r="H15289" t="s">
        <v>134</v>
      </c>
      <c r="I15289" t="s">
        <v>135</v>
      </c>
      <c r="J15289" t="s">
        <v>32879</v>
      </c>
      <c r="K15289">
        <v>3318</v>
      </c>
      <c r="L15289" t="s">
        <v>23</v>
      </c>
      <c r="M15289" t="s">
        <v>32878</v>
      </c>
      <c r="N15289" t="s">
        <v>134</v>
      </c>
      <c r="O15289" t="s">
        <v>135</v>
      </c>
      <c r="P15289" t="s">
        <v>32879</v>
      </c>
      <c r="Q15289">
        <v>3318</v>
      </c>
      <c r="R15289" t="s">
        <v>23</v>
      </c>
      <c r="S15289" s="1" t="s">
        <v>34218</v>
      </c>
    </row>
    <row r="15290" spans="1:19" x14ac:dyDescent="0.25">
      <c r="A15290">
        <v>101290725</v>
      </c>
      <c r="B15290" t="s">
        <v>13838</v>
      </c>
      <c r="C15290" t="s">
        <v>21570</v>
      </c>
      <c r="G15290" t="s">
        <v>32880</v>
      </c>
      <c r="H15290" t="s">
        <v>11284</v>
      </c>
      <c r="I15290" t="s">
        <v>250</v>
      </c>
      <c r="J15290" t="s">
        <v>32881</v>
      </c>
      <c r="K15290">
        <v>3109</v>
      </c>
      <c r="L15290" t="s">
        <v>23</v>
      </c>
      <c r="M15290" t="s">
        <v>32880</v>
      </c>
      <c r="N15290" t="s">
        <v>11284</v>
      </c>
      <c r="O15290" t="s">
        <v>250</v>
      </c>
      <c r="P15290" t="s">
        <v>32881</v>
      </c>
      <c r="Q15290">
        <v>3109</v>
      </c>
      <c r="R15290" t="s">
        <v>23</v>
      </c>
      <c r="S15290" s="1" t="s">
        <v>34218</v>
      </c>
    </row>
    <row r="15291" spans="1:19" x14ac:dyDescent="0.25">
      <c r="A15291">
        <v>100543693</v>
      </c>
      <c r="B15291" t="s">
        <v>22239</v>
      </c>
      <c r="C15291" t="s">
        <v>2283</v>
      </c>
      <c r="G15291" t="s">
        <v>32882</v>
      </c>
      <c r="H15291" t="s">
        <v>8644</v>
      </c>
      <c r="I15291" t="s">
        <v>22</v>
      </c>
      <c r="J15291">
        <v>95946</v>
      </c>
      <c r="K15291">
        <v>9354</v>
      </c>
      <c r="L15291" t="s">
        <v>23</v>
      </c>
      <c r="M15291" t="s">
        <v>32882</v>
      </c>
      <c r="N15291" t="s">
        <v>8644</v>
      </c>
      <c r="O15291" t="s">
        <v>22</v>
      </c>
      <c r="P15291">
        <v>95946</v>
      </c>
      <c r="Q15291">
        <v>9354</v>
      </c>
      <c r="R15291" t="s">
        <v>23</v>
      </c>
      <c r="S15291" s="1" t="s">
        <v>34218</v>
      </c>
    </row>
    <row r="15292" spans="1:19" x14ac:dyDescent="0.25">
      <c r="A15292">
        <v>101474821</v>
      </c>
      <c r="B15292" t="s">
        <v>281</v>
      </c>
      <c r="C15292" t="s">
        <v>90</v>
      </c>
      <c r="G15292" t="s">
        <v>32883</v>
      </c>
      <c r="H15292" t="s">
        <v>8050</v>
      </c>
      <c r="I15292" t="s">
        <v>52</v>
      </c>
      <c r="J15292">
        <v>32763</v>
      </c>
      <c r="K15292">
        <v>4845</v>
      </c>
      <c r="L15292" t="s">
        <v>23</v>
      </c>
      <c r="M15292" t="s">
        <v>32883</v>
      </c>
      <c r="N15292" t="s">
        <v>8050</v>
      </c>
      <c r="O15292" t="s">
        <v>52</v>
      </c>
      <c r="P15292">
        <v>32763</v>
      </c>
      <c r="Q15292">
        <v>4845</v>
      </c>
      <c r="R15292" t="s">
        <v>23</v>
      </c>
      <c r="S15292" s="1" t="s">
        <v>34218</v>
      </c>
    </row>
    <row r="15293" spans="1:19" x14ac:dyDescent="0.25">
      <c r="A15293">
        <v>101480883</v>
      </c>
      <c r="B15293" t="s">
        <v>12977</v>
      </c>
      <c r="C15293" t="s">
        <v>4969</v>
      </c>
      <c r="G15293" t="s">
        <v>32884</v>
      </c>
      <c r="H15293" t="s">
        <v>1600</v>
      </c>
      <c r="I15293" t="s">
        <v>28</v>
      </c>
      <c r="J15293">
        <v>30064</v>
      </c>
      <c r="K15293">
        <v>3216</v>
      </c>
      <c r="L15293" t="s">
        <v>23</v>
      </c>
      <c r="M15293" t="s">
        <v>32884</v>
      </c>
      <c r="N15293" t="s">
        <v>1600</v>
      </c>
      <c r="O15293" t="s">
        <v>28</v>
      </c>
      <c r="P15293">
        <v>30064</v>
      </c>
      <c r="Q15293">
        <v>3216</v>
      </c>
      <c r="R15293" t="s">
        <v>23</v>
      </c>
      <c r="S15293" s="1" t="s">
        <v>34218</v>
      </c>
    </row>
    <row r="15294" spans="1:19" x14ac:dyDescent="0.25">
      <c r="A15294">
        <v>101427497</v>
      </c>
      <c r="B15294" t="s">
        <v>32885</v>
      </c>
      <c r="C15294" t="s">
        <v>90</v>
      </c>
      <c r="G15294" t="s">
        <v>32886</v>
      </c>
      <c r="H15294" t="s">
        <v>21904</v>
      </c>
      <c r="I15294" t="s">
        <v>52</v>
      </c>
      <c r="J15294">
        <v>32780</v>
      </c>
      <c r="L15294" t="s">
        <v>23</v>
      </c>
      <c r="M15294" t="s">
        <v>32886</v>
      </c>
      <c r="N15294" t="s">
        <v>21904</v>
      </c>
      <c r="O15294" t="s">
        <v>52</v>
      </c>
      <c r="P15294">
        <v>32780</v>
      </c>
      <c r="R15294" t="s">
        <v>23</v>
      </c>
      <c r="S15294" s="1" t="s">
        <v>34218</v>
      </c>
    </row>
    <row r="15295" spans="1:19" x14ac:dyDescent="0.25">
      <c r="A15295">
        <v>101480886</v>
      </c>
      <c r="B15295" t="s">
        <v>32887</v>
      </c>
      <c r="C15295" t="s">
        <v>1873</v>
      </c>
      <c r="G15295" t="s">
        <v>32888</v>
      </c>
      <c r="H15295" t="s">
        <v>19186</v>
      </c>
      <c r="I15295" t="s">
        <v>43</v>
      </c>
      <c r="J15295">
        <v>97045</v>
      </c>
      <c r="K15295">
        <v>7413</v>
      </c>
      <c r="L15295" t="s">
        <v>23</v>
      </c>
      <c r="M15295" t="s">
        <v>32888</v>
      </c>
      <c r="N15295" t="s">
        <v>19186</v>
      </c>
      <c r="O15295" t="s">
        <v>43</v>
      </c>
      <c r="P15295">
        <v>97045</v>
      </c>
      <c r="Q15295">
        <v>7413</v>
      </c>
      <c r="R15295" t="s">
        <v>23</v>
      </c>
      <c r="S15295" s="1" t="s">
        <v>34218</v>
      </c>
    </row>
    <row r="15296" spans="1:19" x14ac:dyDescent="0.25">
      <c r="A15296">
        <v>101469064</v>
      </c>
      <c r="B15296" t="s">
        <v>27275</v>
      </c>
      <c r="C15296" t="s">
        <v>12479</v>
      </c>
      <c r="G15296" t="s">
        <v>32889</v>
      </c>
      <c r="H15296" t="s">
        <v>461</v>
      </c>
      <c r="I15296" t="s">
        <v>22</v>
      </c>
      <c r="J15296">
        <v>92507</v>
      </c>
      <c r="L15296" t="s">
        <v>23</v>
      </c>
      <c r="M15296" t="s">
        <v>32889</v>
      </c>
      <c r="N15296" t="s">
        <v>461</v>
      </c>
      <c r="O15296" t="s">
        <v>22</v>
      </c>
      <c r="P15296">
        <v>92507</v>
      </c>
      <c r="R15296" t="s">
        <v>23</v>
      </c>
      <c r="S15296" s="1" t="s">
        <v>34218</v>
      </c>
    </row>
    <row r="15297" spans="1:19" x14ac:dyDescent="0.25">
      <c r="A15297">
        <v>101435360</v>
      </c>
      <c r="B15297" t="s">
        <v>6462</v>
      </c>
      <c r="C15297" t="s">
        <v>1658</v>
      </c>
      <c r="G15297" t="s">
        <v>18662</v>
      </c>
      <c r="H15297" t="s">
        <v>7608</v>
      </c>
      <c r="I15297" t="s">
        <v>22</v>
      </c>
      <c r="J15297">
        <v>92088</v>
      </c>
      <c r="K15297">
        <v>91</v>
      </c>
      <c r="L15297" t="s">
        <v>23</v>
      </c>
      <c r="M15297" t="s">
        <v>18662</v>
      </c>
      <c r="N15297" t="s">
        <v>7608</v>
      </c>
      <c r="O15297" t="s">
        <v>22</v>
      </c>
      <c r="P15297">
        <v>92088</v>
      </c>
      <c r="Q15297">
        <v>91</v>
      </c>
      <c r="R15297" t="s">
        <v>23</v>
      </c>
      <c r="S15297" s="1" t="s">
        <v>34218</v>
      </c>
    </row>
    <row r="15298" spans="1:19" x14ac:dyDescent="0.25">
      <c r="A15298">
        <v>101478652</v>
      </c>
      <c r="B15298" t="s">
        <v>32890</v>
      </c>
      <c r="C15298" t="s">
        <v>2127</v>
      </c>
      <c r="G15298" t="s">
        <v>32891</v>
      </c>
      <c r="H15298" t="s">
        <v>1052</v>
      </c>
      <c r="I15298" t="s">
        <v>43</v>
      </c>
      <c r="J15298">
        <v>97321</v>
      </c>
      <c r="K15298">
        <v>2625</v>
      </c>
      <c r="L15298" t="s">
        <v>23</v>
      </c>
      <c r="M15298" t="s">
        <v>32891</v>
      </c>
      <c r="N15298" t="s">
        <v>1052</v>
      </c>
      <c r="O15298" t="s">
        <v>43</v>
      </c>
      <c r="P15298">
        <v>97321</v>
      </c>
      <c r="Q15298">
        <v>2625</v>
      </c>
      <c r="R15298" t="s">
        <v>23</v>
      </c>
      <c r="S15298" s="1" t="s">
        <v>34218</v>
      </c>
    </row>
    <row r="15299" spans="1:19" x14ac:dyDescent="0.25">
      <c r="A15299">
        <v>100653200</v>
      </c>
      <c r="B15299" t="s">
        <v>4203</v>
      </c>
      <c r="C15299" t="s">
        <v>10186</v>
      </c>
      <c r="G15299" t="s">
        <v>32892</v>
      </c>
      <c r="H15299" t="s">
        <v>21304</v>
      </c>
      <c r="I15299" t="s">
        <v>22</v>
      </c>
      <c r="J15299">
        <v>94571</v>
      </c>
      <c r="K15299">
        <v>9785</v>
      </c>
      <c r="L15299" t="s">
        <v>23</v>
      </c>
      <c r="M15299" t="s">
        <v>32892</v>
      </c>
      <c r="N15299" t="s">
        <v>21304</v>
      </c>
      <c r="O15299" t="s">
        <v>22</v>
      </c>
      <c r="P15299">
        <v>94571</v>
      </c>
      <c r="Q15299">
        <v>9785</v>
      </c>
      <c r="R15299" t="s">
        <v>23</v>
      </c>
      <c r="S15299" s="1" t="s">
        <v>34218</v>
      </c>
    </row>
    <row r="15300" spans="1:19" x14ac:dyDescent="0.25">
      <c r="A15300">
        <v>101480890</v>
      </c>
      <c r="B15300" t="s">
        <v>32893</v>
      </c>
      <c r="C15300" t="s">
        <v>32894</v>
      </c>
      <c r="G15300" t="s">
        <v>32895</v>
      </c>
      <c r="H15300" t="s">
        <v>976</v>
      </c>
      <c r="I15300" t="s">
        <v>140</v>
      </c>
      <c r="J15300">
        <v>48104</v>
      </c>
      <c r="K15300">
        <v>6340</v>
      </c>
      <c r="L15300" t="s">
        <v>23</v>
      </c>
      <c r="M15300" t="s">
        <v>32895</v>
      </c>
      <c r="N15300" t="s">
        <v>976</v>
      </c>
      <c r="O15300" t="s">
        <v>140</v>
      </c>
      <c r="P15300">
        <v>48104</v>
      </c>
      <c r="Q15300">
        <v>6340</v>
      </c>
      <c r="R15300" t="s">
        <v>23</v>
      </c>
      <c r="S15300" s="1" t="s">
        <v>34218</v>
      </c>
    </row>
    <row r="15301" spans="1:19" x14ac:dyDescent="0.25">
      <c r="A15301">
        <v>100665332</v>
      </c>
      <c r="B15301" t="s">
        <v>276</v>
      </c>
      <c r="C15301" t="s">
        <v>1873</v>
      </c>
      <c r="G15301" t="s">
        <v>32896</v>
      </c>
      <c r="H15301" t="s">
        <v>264</v>
      </c>
      <c r="I15301" t="s">
        <v>140</v>
      </c>
      <c r="J15301">
        <v>48847</v>
      </c>
      <c r="K15301">
        <v>1363</v>
      </c>
      <c r="L15301" t="s">
        <v>23</v>
      </c>
      <c r="M15301" t="s">
        <v>32896</v>
      </c>
      <c r="N15301" t="s">
        <v>264</v>
      </c>
      <c r="O15301" t="s">
        <v>140</v>
      </c>
      <c r="P15301">
        <v>48847</v>
      </c>
      <c r="Q15301">
        <v>1363</v>
      </c>
      <c r="R15301" t="s">
        <v>23</v>
      </c>
      <c r="S15301" s="1" t="s">
        <v>34218</v>
      </c>
    </row>
    <row r="15302" spans="1:19" x14ac:dyDescent="0.25">
      <c r="A15302">
        <v>101480893</v>
      </c>
      <c r="B15302" t="s">
        <v>4064</v>
      </c>
      <c r="C15302" t="s">
        <v>1205</v>
      </c>
      <c r="G15302" t="s">
        <v>32897</v>
      </c>
      <c r="H15302" t="s">
        <v>31433</v>
      </c>
      <c r="I15302" t="s">
        <v>236</v>
      </c>
      <c r="J15302">
        <v>1945</v>
      </c>
      <c r="K15302">
        <v>1816</v>
      </c>
      <c r="L15302" t="s">
        <v>23</v>
      </c>
      <c r="M15302" t="s">
        <v>32897</v>
      </c>
      <c r="N15302" t="s">
        <v>31433</v>
      </c>
      <c r="O15302" t="s">
        <v>236</v>
      </c>
      <c r="P15302">
        <v>1945</v>
      </c>
      <c r="Q15302">
        <v>1816</v>
      </c>
      <c r="R15302" t="s">
        <v>23</v>
      </c>
      <c r="S15302" s="1" t="s">
        <v>34218</v>
      </c>
    </row>
    <row r="15303" spans="1:19" x14ac:dyDescent="0.25">
      <c r="A15303">
        <v>100894272</v>
      </c>
      <c r="B15303" t="s">
        <v>32898</v>
      </c>
      <c r="C15303" t="s">
        <v>535</v>
      </c>
      <c r="G15303" t="s">
        <v>32899</v>
      </c>
      <c r="H15303" t="s">
        <v>6735</v>
      </c>
      <c r="I15303" t="s">
        <v>38</v>
      </c>
      <c r="J15303">
        <v>78382</v>
      </c>
      <c r="K15303">
        <v>6935</v>
      </c>
      <c r="L15303" t="s">
        <v>23</v>
      </c>
      <c r="M15303" t="s">
        <v>32899</v>
      </c>
      <c r="N15303" t="s">
        <v>6735</v>
      </c>
      <c r="O15303" t="s">
        <v>38</v>
      </c>
      <c r="P15303">
        <v>78382</v>
      </c>
      <c r="Q15303">
        <v>6935</v>
      </c>
      <c r="R15303" t="s">
        <v>23</v>
      </c>
      <c r="S15303" s="1" t="s">
        <v>34218</v>
      </c>
    </row>
    <row r="15304" spans="1:19" x14ac:dyDescent="0.25">
      <c r="A15304">
        <v>101069293</v>
      </c>
      <c r="B15304" t="s">
        <v>1390</v>
      </c>
      <c r="C15304" t="s">
        <v>32900</v>
      </c>
      <c r="G15304" t="s">
        <v>32901</v>
      </c>
      <c r="H15304" t="s">
        <v>25986</v>
      </c>
      <c r="I15304" t="s">
        <v>307</v>
      </c>
      <c r="J15304">
        <v>5602</v>
      </c>
      <c r="K15304">
        <v>4218</v>
      </c>
      <c r="L15304" t="s">
        <v>23</v>
      </c>
      <c r="M15304" t="s">
        <v>32901</v>
      </c>
      <c r="N15304" t="s">
        <v>25986</v>
      </c>
      <c r="O15304" t="s">
        <v>307</v>
      </c>
      <c r="P15304">
        <v>5602</v>
      </c>
      <c r="Q15304">
        <v>4218</v>
      </c>
      <c r="R15304" t="s">
        <v>23</v>
      </c>
      <c r="S15304" s="1" t="s">
        <v>34218</v>
      </c>
    </row>
    <row r="15305" spans="1:19" x14ac:dyDescent="0.25">
      <c r="A15305">
        <v>100566940</v>
      </c>
      <c r="B15305" t="s">
        <v>32902</v>
      </c>
      <c r="C15305" t="s">
        <v>286</v>
      </c>
      <c r="G15305" t="s">
        <v>32903</v>
      </c>
      <c r="H15305" t="s">
        <v>5379</v>
      </c>
      <c r="I15305" t="s">
        <v>26583</v>
      </c>
      <c r="J15305">
        <v>99999</v>
      </c>
      <c r="L15305" t="s">
        <v>23</v>
      </c>
      <c r="M15305" t="s">
        <v>32903</v>
      </c>
      <c r="N15305" t="s">
        <v>5379</v>
      </c>
      <c r="O15305" t="s">
        <v>26583</v>
      </c>
      <c r="P15305">
        <v>99999</v>
      </c>
      <c r="R15305" t="s">
        <v>23</v>
      </c>
      <c r="S15305" s="1" t="s">
        <v>34218</v>
      </c>
    </row>
    <row r="15306" spans="1:19" x14ac:dyDescent="0.25">
      <c r="A15306">
        <v>101480898</v>
      </c>
      <c r="B15306" t="s">
        <v>32904</v>
      </c>
      <c r="C15306" t="s">
        <v>30</v>
      </c>
      <c r="G15306" t="s">
        <v>32905</v>
      </c>
      <c r="H15306" t="s">
        <v>8489</v>
      </c>
      <c r="I15306" t="s">
        <v>178</v>
      </c>
      <c r="J15306">
        <v>45040</v>
      </c>
      <c r="K15306">
        <v>8249</v>
      </c>
      <c r="L15306" t="s">
        <v>23</v>
      </c>
      <c r="M15306" t="s">
        <v>32905</v>
      </c>
      <c r="N15306" t="s">
        <v>8489</v>
      </c>
      <c r="O15306" t="s">
        <v>178</v>
      </c>
      <c r="P15306">
        <v>45040</v>
      </c>
      <c r="Q15306">
        <v>8249</v>
      </c>
      <c r="R15306" t="s">
        <v>23</v>
      </c>
      <c r="S15306" s="1" t="s">
        <v>34218</v>
      </c>
    </row>
    <row r="15307" spans="1:19" x14ac:dyDescent="0.25">
      <c r="A15307">
        <v>101276812</v>
      </c>
      <c r="B15307" t="s">
        <v>32906</v>
      </c>
      <c r="C15307" t="s">
        <v>535</v>
      </c>
      <c r="G15307" t="s">
        <v>32907</v>
      </c>
      <c r="H15307" t="s">
        <v>177</v>
      </c>
      <c r="I15307" t="s">
        <v>43</v>
      </c>
      <c r="J15307">
        <v>97520</v>
      </c>
      <c r="K15307">
        <v>1414</v>
      </c>
      <c r="L15307" t="s">
        <v>23</v>
      </c>
      <c r="M15307" t="s">
        <v>32907</v>
      </c>
      <c r="N15307" t="s">
        <v>177</v>
      </c>
      <c r="O15307" t="s">
        <v>43</v>
      </c>
      <c r="P15307">
        <v>97520</v>
      </c>
      <c r="Q15307">
        <v>1414</v>
      </c>
      <c r="R15307" t="s">
        <v>23</v>
      </c>
      <c r="S15307" s="1" t="s">
        <v>34218</v>
      </c>
    </row>
    <row r="15308" spans="1:19" x14ac:dyDescent="0.25">
      <c r="A15308">
        <v>101480900</v>
      </c>
      <c r="B15308" t="s">
        <v>1100</v>
      </c>
      <c r="C15308" t="s">
        <v>1623</v>
      </c>
      <c r="G15308" t="s">
        <v>32908</v>
      </c>
      <c r="H15308" t="s">
        <v>2100</v>
      </c>
      <c r="I15308" t="s">
        <v>52</v>
      </c>
      <c r="J15308">
        <v>33301</v>
      </c>
      <c r="K15308">
        <v>3801</v>
      </c>
      <c r="L15308" t="s">
        <v>23</v>
      </c>
      <c r="M15308" t="s">
        <v>32908</v>
      </c>
      <c r="N15308" t="s">
        <v>2100</v>
      </c>
      <c r="O15308" t="s">
        <v>52</v>
      </c>
      <c r="P15308">
        <v>33301</v>
      </c>
      <c r="Q15308">
        <v>3801</v>
      </c>
      <c r="R15308" t="s">
        <v>23</v>
      </c>
      <c r="S15308" s="1" t="s">
        <v>34218</v>
      </c>
    </row>
    <row r="15309" spans="1:19" x14ac:dyDescent="0.25">
      <c r="A15309">
        <v>101480904</v>
      </c>
      <c r="B15309" t="s">
        <v>23972</v>
      </c>
      <c r="C15309" t="s">
        <v>1141</v>
      </c>
      <c r="G15309" t="s">
        <v>32909</v>
      </c>
      <c r="H15309" t="s">
        <v>24375</v>
      </c>
      <c r="I15309" t="s">
        <v>148</v>
      </c>
      <c r="J15309">
        <v>21136</v>
      </c>
      <c r="K15309">
        <v>2228</v>
      </c>
      <c r="L15309" t="s">
        <v>23</v>
      </c>
      <c r="M15309" t="s">
        <v>32909</v>
      </c>
      <c r="N15309" t="s">
        <v>24375</v>
      </c>
      <c r="O15309" t="s">
        <v>148</v>
      </c>
      <c r="P15309">
        <v>21136</v>
      </c>
      <c r="Q15309">
        <v>2228</v>
      </c>
      <c r="R15309" t="s">
        <v>23</v>
      </c>
      <c r="S15309" s="1" t="s">
        <v>34218</v>
      </c>
    </row>
    <row r="15310" spans="1:19" x14ac:dyDescent="0.25">
      <c r="A15310">
        <v>101444904</v>
      </c>
      <c r="B15310" t="s">
        <v>32910</v>
      </c>
      <c r="C15310" t="s">
        <v>4679</v>
      </c>
      <c r="G15310" t="s">
        <v>32911</v>
      </c>
      <c r="H15310" t="s">
        <v>709</v>
      </c>
      <c r="I15310" t="s">
        <v>565</v>
      </c>
      <c r="J15310" t="s">
        <v>32912</v>
      </c>
      <c r="K15310">
        <v>4911</v>
      </c>
      <c r="L15310" t="s">
        <v>23</v>
      </c>
      <c r="M15310" t="s">
        <v>32911</v>
      </c>
      <c r="N15310" t="s">
        <v>709</v>
      </c>
      <c r="O15310" t="s">
        <v>565</v>
      </c>
      <c r="P15310" t="s">
        <v>32912</v>
      </c>
      <c r="Q15310">
        <v>4911</v>
      </c>
      <c r="R15310" t="s">
        <v>23</v>
      </c>
      <c r="S15310" s="1" t="s">
        <v>34218</v>
      </c>
    </row>
    <row r="15311" spans="1:19" x14ac:dyDescent="0.25">
      <c r="A15311">
        <v>101480905</v>
      </c>
      <c r="B15311" t="s">
        <v>22901</v>
      </c>
      <c r="C15311" t="s">
        <v>1091</v>
      </c>
      <c r="G15311" t="s">
        <v>32913</v>
      </c>
      <c r="H15311" t="s">
        <v>112</v>
      </c>
      <c r="I15311" t="s">
        <v>22</v>
      </c>
      <c r="J15311">
        <v>93117</v>
      </c>
      <c r="K15311">
        <v>2245</v>
      </c>
      <c r="L15311" t="s">
        <v>23</v>
      </c>
      <c r="M15311" t="s">
        <v>32913</v>
      </c>
      <c r="N15311" t="s">
        <v>112</v>
      </c>
      <c r="O15311" t="s">
        <v>22</v>
      </c>
      <c r="P15311">
        <v>93117</v>
      </c>
      <c r="Q15311">
        <v>2245</v>
      </c>
      <c r="R15311" t="s">
        <v>23</v>
      </c>
      <c r="S15311" s="1" t="s">
        <v>34218</v>
      </c>
    </row>
    <row r="15312" spans="1:19" x14ac:dyDescent="0.25">
      <c r="A15312">
        <v>100723798</v>
      </c>
      <c r="B15312" t="s">
        <v>32914</v>
      </c>
      <c r="C15312" t="s">
        <v>644</v>
      </c>
      <c r="G15312" t="s">
        <v>32915</v>
      </c>
      <c r="H15312" t="s">
        <v>2696</v>
      </c>
      <c r="I15312" t="s">
        <v>52</v>
      </c>
      <c r="J15312">
        <v>33021</v>
      </c>
      <c r="K15312">
        <v>5153</v>
      </c>
      <c r="L15312" t="s">
        <v>23</v>
      </c>
      <c r="M15312" t="s">
        <v>32915</v>
      </c>
      <c r="N15312" t="s">
        <v>2696</v>
      </c>
      <c r="O15312" t="s">
        <v>52</v>
      </c>
      <c r="P15312">
        <v>33021</v>
      </c>
      <c r="Q15312">
        <v>5153</v>
      </c>
      <c r="R15312" t="s">
        <v>23</v>
      </c>
      <c r="S15312" s="1" t="s">
        <v>34218</v>
      </c>
    </row>
    <row r="15313" spans="1:19" x14ac:dyDescent="0.25">
      <c r="A15313">
        <v>101262034</v>
      </c>
      <c r="B15313" t="s">
        <v>1726</v>
      </c>
      <c r="C15313" t="s">
        <v>40</v>
      </c>
      <c r="G15313" t="s">
        <v>32916</v>
      </c>
      <c r="H15313" t="s">
        <v>631</v>
      </c>
      <c r="I15313" t="s">
        <v>22</v>
      </c>
      <c r="J15313">
        <v>94949</v>
      </c>
      <c r="K15313">
        <v>4927</v>
      </c>
      <c r="L15313" t="s">
        <v>23</v>
      </c>
      <c r="M15313" t="s">
        <v>32916</v>
      </c>
      <c r="N15313" t="s">
        <v>631</v>
      </c>
      <c r="O15313" t="s">
        <v>22</v>
      </c>
      <c r="P15313">
        <v>94949</v>
      </c>
      <c r="Q15313">
        <v>4927</v>
      </c>
      <c r="R15313" t="s">
        <v>23</v>
      </c>
      <c r="S15313" s="1" t="s">
        <v>34218</v>
      </c>
    </row>
    <row r="15314" spans="1:19" x14ac:dyDescent="0.25">
      <c r="A15314">
        <v>101277958</v>
      </c>
      <c r="B15314" t="s">
        <v>17310</v>
      </c>
      <c r="C15314" t="s">
        <v>32917</v>
      </c>
      <c r="G15314" t="s">
        <v>32918</v>
      </c>
      <c r="H15314" t="s">
        <v>892</v>
      </c>
      <c r="I15314" t="s">
        <v>236</v>
      </c>
      <c r="J15314">
        <v>2169</v>
      </c>
      <c r="K15314">
        <v>1983</v>
      </c>
      <c r="L15314" t="s">
        <v>23</v>
      </c>
      <c r="M15314" t="s">
        <v>32918</v>
      </c>
      <c r="N15314" t="s">
        <v>892</v>
      </c>
      <c r="O15314" t="s">
        <v>236</v>
      </c>
      <c r="P15314">
        <v>2169</v>
      </c>
      <c r="Q15314">
        <v>1983</v>
      </c>
      <c r="R15314" t="s">
        <v>23</v>
      </c>
      <c r="S15314" s="1" t="s">
        <v>34218</v>
      </c>
    </row>
    <row r="15315" spans="1:19" x14ac:dyDescent="0.25">
      <c r="A15315">
        <v>101480915</v>
      </c>
      <c r="B15315" t="s">
        <v>32919</v>
      </c>
      <c r="C15315" t="s">
        <v>32920</v>
      </c>
      <c r="G15315" t="s">
        <v>32921</v>
      </c>
      <c r="H15315" t="s">
        <v>6383</v>
      </c>
      <c r="I15315" t="s">
        <v>135</v>
      </c>
      <c r="J15315">
        <v>60193</v>
      </c>
      <c r="K15315">
        <v>3333</v>
      </c>
      <c r="L15315" t="s">
        <v>23</v>
      </c>
      <c r="M15315" t="s">
        <v>32921</v>
      </c>
      <c r="N15315" t="s">
        <v>6383</v>
      </c>
      <c r="O15315" t="s">
        <v>135</v>
      </c>
      <c r="P15315">
        <v>60193</v>
      </c>
      <c r="Q15315">
        <v>3333</v>
      </c>
      <c r="R15315" t="s">
        <v>23</v>
      </c>
      <c r="S15315" s="1" t="s">
        <v>34218</v>
      </c>
    </row>
    <row r="15316" spans="1:19" x14ac:dyDescent="0.25">
      <c r="A15316">
        <v>101480918</v>
      </c>
      <c r="B15316" t="s">
        <v>5980</v>
      </c>
      <c r="C15316" t="s">
        <v>30</v>
      </c>
      <c r="G15316" t="s">
        <v>32922</v>
      </c>
      <c r="H15316" t="s">
        <v>6230</v>
      </c>
      <c r="I15316" t="s">
        <v>1387</v>
      </c>
      <c r="J15316">
        <v>36608</v>
      </c>
      <c r="K15316">
        <v>3317</v>
      </c>
      <c r="L15316" t="s">
        <v>23</v>
      </c>
      <c r="M15316" t="s">
        <v>32922</v>
      </c>
      <c r="N15316" t="s">
        <v>6230</v>
      </c>
      <c r="O15316" t="s">
        <v>1387</v>
      </c>
      <c r="P15316">
        <v>36608</v>
      </c>
      <c r="Q15316">
        <v>3317</v>
      </c>
      <c r="R15316" t="s">
        <v>23</v>
      </c>
      <c r="S15316" s="1" t="s">
        <v>34218</v>
      </c>
    </row>
    <row r="15317" spans="1:19" x14ac:dyDescent="0.25">
      <c r="A15317">
        <v>101456445</v>
      </c>
      <c r="B15317" t="s">
        <v>32923</v>
      </c>
      <c r="C15317" t="s">
        <v>286</v>
      </c>
      <c r="G15317" t="s">
        <v>32924</v>
      </c>
      <c r="H15317" t="s">
        <v>15054</v>
      </c>
      <c r="I15317" t="s">
        <v>187</v>
      </c>
      <c r="J15317">
        <v>55316</v>
      </c>
      <c r="K15317">
        <v>1421</v>
      </c>
      <c r="L15317" t="s">
        <v>23</v>
      </c>
      <c r="M15317" t="s">
        <v>32924</v>
      </c>
      <c r="N15317" t="s">
        <v>15054</v>
      </c>
      <c r="O15317" t="s">
        <v>187</v>
      </c>
      <c r="P15317">
        <v>55316</v>
      </c>
      <c r="Q15317">
        <v>1421</v>
      </c>
      <c r="R15317" t="s">
        <v>23</v>
      </c>
      <c r="S15317" s="1" t="s">
        <v>34218</v>
      </c>
    </row>
    <row r="15318" spans="1:19" x14ac:dyDescent="0.25">
      <c r="A15318">
        <v>101480928</v>
      </c>
      <c r="B15318" t="s">
        <v>32925</v>
      </c>
      <c r="C15318" t="s">
        <v>579</v>
      </c>
      <c r="G15318" t="s">
        <v>32926</v>
      </c>
      <c r="H15318" t="s">
        <v>32927</v>
      </c>
      <c r="I15318" t="s">
        <v>135</v>
      </c>
      <c r="J15318">
        <v>60422</v>
      </c>
      <c r="K15318">
        <v>2200</v>
      </c>
      <c r="L15318" t="s">
        <v>23</v>
      </c>
      <c r="M15318" t="s">
        <v>32926</v>
      </c>
      <c r="N15318" t="s">
        <v>32927</v>
      </c>
      <c r="O15318" t="s">
        <v>135</v>
      </c>
      <c r="P15318">
        <v>60422</v>
      </c>
      <c r="Q15318">
        <v>2200</v>
      </c>
      <c r="R15318" t="s">
        <v>23</v>
      </c>
      <c r="S15318" s="1" t="s">
        <v>34218</v>
      </c>
    </row>
    <row r="15319" spans="1:19" x14ac:dyDescent="0.25">
      <c r="A15319">
        <v>101450700</v>
      </c>
      <c r="B15319" t="s">
        <v>32928</v>
      </c>
      <c r="C15319" t="s">
        <v>123</v>
      </c>
      <c r="G15319" t="s">
        <v>32929</v>
      </c>
      <c r="H15319" t="s">
        <v>11847</v>
      </c>
      <c r="I15319" t="s">
        <v>117</v>
      </c>
      <c r="J15319">
        <v>10532</v>
      </c>
      <c r="K15319">
        <v>1235</v>
      </c>
      <c r="L15319" t="s">
        <v>23</v>
      </c>
      <c r="M15319" t="s">
        <v>32929</v>
      </c>
      <c r="N15319" t="s">
        <v>11847</v>
      </c>
      <c r="O15319" t="s">
        <v>117</v>
      </c>
      <c r="P15319">
        <v>10532</v>
      </c>
      <c r="Q15319">
        <v>1235</v>
      </c>
      <c r="R15319" t="s">
        <v>23</v>
      </c>
      <c r="S15319" s="1" t="s">
        <v>34218</v>
      </c>
    </row>
    <row r="15320" spans="1:19" x14ac:dyDescent="0.25">
      <c r="A15320">
        <v>101441520</v>
      </c>
      <c r="B15320" t="s">
        <v>744</v>
      </c>
      <c r="C15320" t="s">
        <v>32930</v>
      </c>
      <c r="G15320" t="s">
        <v>32931</v>
      </c>
      <c r="H15320" t="s">
        <v>638</v>
      </c>
      <c r="I15320" t="s">
        <v>639</v>
      </c>
      <c r="J15320">
        <v>87102</v>
      </c>
      <c r="K15320">
        <v>3706</v>
      </c>
      <c r="L15320" t="s">
        <v>23</v>
      </c>
      <c r="M15320" t="s">
        <v>32931</v>
      </c>
      <c r="N15320" t="s">
        <v>638</v>
      </c>
      <c r="O15320" t="s">
        <v>639</v>
      </c>
      <c r="P15320">
        <v>87102</v>
      </c>
      <c r="Q15320">
        <v>3706</v>
      </c>
      <c r="R15320" t="s">
        <v>23</v>
      </c>
      <c r="S15320" s="1" t="s">
        <v>34218</v>
      </c>
    </row>
    <row r="15321" spans="1:19" x14ac:dyDescent="0.25">
      <c r="A15321">
        <v>101480932</v>
      </c>
      <c r="B15321" t="s">
        <v>3798</v>
      </c>
      <c r="C15321" t="s">
        <v>32932</v>
      </c>
      <c r="G15321" t="s">
        <v>32933</v>
      </c>
      <c r="H15321" t="s">
        <v>14658</v>
      </c>
      <c r="I15321" t="s">
        <v>236</v>
      </c>
      <c r="J15321">
        <v>2026</v>
      </c>
      <c r="K15321">
        <v>2429</v>
      </c>
      <c r="L15321" t="s">
        <v>23</v>
      </c>
      <c r="M15321" t="s">
        <v>32933</v>
      </c>
      <c r="N15321" t="s">
        <v>14658</v>
      </c>
      <c r="O15321" t="s">
        <v>236</v>
      </c>
      <c r="P15321">
        <v>2026</v>
      </c>
      <c r="Q15321">
        <v>2429</v>
      </c>
      <c r="R15321" t="s">
        <v>23</v>
      </c>
      <c r="S15321" s="1" t="s">
        <v>34218</v>
      </c>
    </row>
    <row r="15322" spans="1:19" x14ac:dyDescent="0.25">
      <c r="A15322">
        <v>101354764</v>
      </c>
      <c r="B15322" t="s">
        <v>32934</v>
      </c>
      <c r="C15322" t="s">
        <v>865</v>
      </c>
      <c r="G15322" t="s">
        <v>32935</v>
      </c>
      <c r="H15322" t="s">
        <v>32936</v>
      </c>
      <c r="I15322" t="s">
        <v>126</v>
      </c>
      <c r="J15322">
        <v>63367</v>
      </c>
      <c r="K15322">
        <v>2108</v>
      </c>
      <c r="L15322" t="s">
        <v>23</v>
      </c>
      <c r="M15322" t="s">
        <v>32935</v>
      </c>
      <c r="N15322" t="s">
        <v>32936</v>
      </c>
      <c r="O15322" t="s">
        <v>126</v>
      </c>
      <c r="P15322">
        <v>63367</v>
      </c>
      <c r="Q15322">
        <v>2108</v>
      </c>
      <c r="R15322" t="s">
        <v>23</v>
      </c>
      <c r="S15322" s="1" t="s">
        <v>34218</v>
      </c>
    </row>
    <row r="15323" spans="1:19" x14ac:dyDescent="0.25">
      <c r="A15323">
        <v>101480941</v>
      </c>
      <c r="B15323" t="s">
        <v>5137</v>
      </c>
      <c r="C15323" t="s">
        <v>329</v>
      </c>
      <c r="G15323" t="s">
        <v>32937</v>
      </c>
      <c r="H15323" t="s">
        <v>66</v>
      </c>
      <c r="I15323" t="s">
        <v>22</v>
      </c>
      <c r="J15323">
        <v>94704</v>
      </c>
      <c r="K15323">
        <v>2528</v>
      </c>
      <c r="L15323" t="s">
        <v>23</v>
      </c>
      <c r="M15323" t="s">
        <v>32937</v>
      </c>
      <c r="N15323" t="s">
        <v>66</v>
      </c>
      <c r="O15323" t="s">
        <v>22</v>
      </c>
      <c r="P15323">
        <v>94704</v>
      </c>
      <c r="Q15323">
        <v>2528</v>
      </c>
      <c r="R15323" t="s">
        <v>23</v>
      </c>
      <c r="S15323" s="1" t="s">
        <v>34218</v>
      </c>
    </row>
    <row r="15324" spans="1:19" x14ac:dyDescent="0.25">
      <c r="A15324">
        <v>101469523</v>
      </c>
      <c r="B15324" t="s">
        <v>32938</v>
      </c>
      <c r="C15324" t="s">
        <v>3609</v>
      </c>
      <c r="G15324" t="s">
        <v>32939</v>
      </c>
      <c r="H15324" t="s">
        <v>694</v>
      </c>
      <c r="I15324" t="s">
        <v>135</v>
      </c>
      <c r="J15324">
        <v>60540</v>
      </c>
      <c r="K15324">
        <v>5642</v>
      </c>
      <c r="L15324" t="s">
        <v>23</v>
      </c>
      <c r="M15324" t="s">
        <v>32939</v>
      </c>
      <c r="N15324" t="s">
        <v>694</v>
      </c>
      <c r="O15324" t="s">
        <v>135</v>
      </c>
      <c r="P15324">
        <v>60540</v>
      </c>
      <c r="Q15324">
        <v>5642</v>
      </c>
      <c r="R15324" t="s">
        <v>23</v>
      </c>
      <c r="S15324" s="1" t="s">
        <v>34218</v>
      </c>
    </row>
    <row r="15325" spans="1:19" x14ac:dyDescent="0.25">
      <c r="A15325">
        <v>101468132</v>
      </c>
      <c r="B15325" t="s">
        <v>32940</v>
      </c>
      <c r="C15325" t="s">
        <v>1161</v>
      </c>
      <c r="G15325" t="s">
        <v>32941</v>
      </c>
      <c r="H15325" t="s">
        <v>1579</v>
      </c>
      <c r="I15325" t="s">
        <v>135</v>
      </c>
      <c r="J15325">
        <v>60502</v>
      </c>
      <c r="K15325">
        <v>6499</v>
      </c>
      <c r="L15325" t="s">
        <v>23</v>
      </c>
      <c r="M15325" t="s">
        <v>32941</v>
      </c>
      <c r="N15325" t="s">
        <v>1579</v>
      </c>
      <c r="O15325" t="s">
        <v>135</v>
      </c>
      <c r="P15325">
        <v>60502</v>
      </c>
      <c r="Q15325">
        <v>6499</v>
      </c>
      <c r="R15325" t="s">
        <v>23</v>
      </c>
      <c r="S15325" s="1" t="s">
        <v>34218</v>
      </c>
    </row>
    <row r="15326" spans="1:19" x14ac:dyDescent="0.25">
      <c r="A15326">
        <v>101436830</v>
      </c>
      <c r="B15326" t="s">
        <v>14897</v>
      </c>
      <c r="C15326" t="s">
        <v>1828</v>
      </c>
      <c r="G15326" t="s">
        <v>32942</v>
      </c>
      <c r="H15326" t="s">
        <v>32943</v>
      </c>
      <c r="I15326" t="s">
        <v>33</v>
      </c>
      <c r="J15326">
        <v>19060</v>
      </c>
      <c r="L15326" t="s">
        <v>23</v>
      </c>
      <c r="M15326" t="s">
        <v>32942</v>
      </c>
      <c r="N15326" t="s">
        <v>32943</v>
      </c>
      <c r="O15326" t="s">
        <v>33</v>
      </c>
      <c r="P15326">
        <v>19060</v>
      </c>
      <c r="R15326" t="s">
        <v>23</v>
      </c>
      <c r="S15326" s="1" t="s">
        <v>34218</v>
      </c>
    </row>
    <row r="15327" spans="1:19" x14ac:dyDescent="0.25">
      <c r="A15327">
        <v>100992046</v>
      </c>
      <c r="B15327" t="s">
        <v>32944</v>
      </c>
      <c r="C15327" t="s">
        <v>54</v>
      </c>
      <c r="G15327" t="s">
        <v>32945</v>
      </c>
      <c r="H15327" t="s">
        <v>1937</v>
      </c>
      <c r="I15327" t="s">
        <v>135</v>
      </c>
      <c r="J15327">
        <v>60525</v>
      </c>
      <c r="K15327">
        <v>143</v>
      </c>
      <c r="L15327" t="s">
        <v>23</v>
      </c>
      <c r="M15327" t="s">
        <v>32945</v>
      </c>
      <c r="N15327" t="s">
        <v>1937</v>
      </c>
      <c r="O15327" t="s">
        <v>135</v>
      </c>
      <c r="P15327">
        <v>60525</v>
      </c>
      <c r="Q15327">
        <v>143</v>
      </c>
      <c r="R15327" t="s">
        <v>23</v>
      </c>
      <c r="S15327" s="1" t="s">
        <v>34218</v>
      </c>
    </row>
    <row r="15328" spans="1:19" x14ac:dyDescent="0.25">
      <c r="A15328">
        <v>101452332</v>
      </c>
      <c r="B15328" t="s">
        <v>28804</v>
      </c>
      <c r="C15328" t="s">
        <v>1873</v>
      </c>
      <c r="G15328" t="s">
        <v>32946</v>
      </c>
      <c r="H15328" t="s">
        <v>1105</v>
      </c>
      <c r="I15328" t="s">
        <v>117</v>
      </c>
      <c r="J15328">
        <v>10462</v>
      </c>
      <c r="K15328">
        <v>5457</v>
      </c>
      <c r="L15328" t="s">
        <v>23</v>
      </c>
      <c r="M15328" t="s">
        <v>32946</v>
      </c>
      <c r="N15328" t="s">
        <v>1105</v>
      </c>
      <c r="O15328" t="s">
        <v>117</v>
      </c>
      <c r="P15328">
        <v>10462</v>
      </c>
      <c r="Q15328">
        <v>5457</v>
      </c>
      <c r="R15328" t="s">
        <v>23</v>
      </c>
      <c r="S15328" s="1" t="s">
        <v>34218</v>
      </c>
    </row>
    <row r="15329" spans="1:19" x14ac:dyDescent="0.25">
      <c r="A15329">
        <v>101480949</v>
      </c>
      <c r="B15329" t="s">
        <v>3705</v>
      </c>
      <c r="C15329" t="s">
        <v>3518</v>
      </c>
      <c r="G15329" t="s">
        <v>32947</v>
      </c>
      <c r="H15329" t="s">
        <v>4069</v>
      </c>
      <c r="I15329" t="s">
        <v>71</v>
      </c>
      <c r="J15329">
        <v>80127</v>
      </c>
      <c r="K15329">
        <v>2407</v>
      </c>
      <c r="L15329" t="s">
        <v>23</v>
      </c>
      <c r="M15329" t="s">
        <v>32947</v>
      </c>
      <c r="N15329" t="s">
        <v>4069</v>
      </c>
      <c r="O15329" t="s">
        <v>71</v>
      </c>
      <c r="P15329">
        <v>80127</v>
      </c>
      <c r="Q15329">
        <v>2407</v>
      </c>
      <c r="R15329" t="s">
        <v>23</v>
      </c>
      <c r="S15329" s="1" t="s">
        <v>34218</v>
      </c>
    </row>
    <row r="15330" spans="1:19" x14ac:dyDescent="0.25">
      <c r="A15330">
        <v>101289335</v>
      </c>
      <c r="B15330" t="s">
        <v>32948</v>
      </c>
      <c r="C15330" t="s">
        <v>229</v>
      </c>
      <c r="G15330" t="s">
        <v>32949</v>
      </c>
      <c r="H15330" t="s">
        <v>4114</v>
      </c>
      <c r="I15330" t="s">
        <v>117</v>
      </c>
      <c r="J15330">
        <v>12345</v>
      </c>
      <c r="K15330">
        <v>1</v>
      </c>
      <c r="L15330" t="s">
        <v>23</v>
      </c>
      <c r="M15330" t="s">
        <v>32949</v>
      </c>
      <c r="N15330" t="s">
        <v>4114</v>
      </c>
      <c r="O15330" t="s">
        <v>117</v>
      </c>
      <c r="P15330">
        <v>12345</v>
      </c>
      <c r="Q15330">
        <v>1</v>
      </c>
      <c r="R15330" t="s">
        <v>23</v>
      </c>
      <c r="S15330" s="1" t="s">
        <v>34218</v>
      </c>
    </row>
    <row r="15331" spans="1:19" x14ac:dyDescent="0.25">
      <c r="A15331">
        <v>101256730</v>
      </c>
      <c r="B15331" t="s">
        <v>8540</v>
      </c>
      <c r="C15331" t="s">
        <v>32950</v>
      </c>
      <c r="G15331" t="s">
        <v>32951</v>
      </c>
      <c r="H15331" t="s">
        <v>3680</v>
      </c>
      <c r="I15331" t="s">
        <v>22</v>
      </c>
      <c r="J15331">
        <v>94533</v>
      </c>
      <c r="K15331">
        <v>3921</v>
      </c>
      <c r="L15331" t="s">
        <v>23</v>
      </c>
      <c r="M15331" t="s">
        <v>32951</v>
      </c>
      <c r="N15331" t="s">
        <v>3680</v>
      </c>
      <c r="O15331" t="s">
        <v>22</v>
      </c>
      <c r="P15331">
        <v>94533</v>
      </c>
      <c r="Q15331">
        <v>3921</v>
      </c>
      <c r="R15331" t="s">
        <v>23</v>
      </c>
      <c r="S15331" s="1" t="s">
        <v>34218</v>
      </c>
    </row>
    <row r="15332" spans="1:19" x14ac:dyDescent="0.25">
      <c r="A15332">
        <v>101480963</v>
      </c>
      <c r="B15332" t="s">
        <v>4064</v>
      </c>
      <c r="C15332" t="s">
        <v>11558</v>
      </c>
      <c r="G15332" t="s">
        <v>32952</v>
      </c>
      <c r="H15332" t="s">
        <v>3668</v>
      </c>
      <c r="I15332" t="s">
        <v>148</v>
      </c>
      <c r="J15332">
        <v>21209</v>
      </c>
      <c r="K15332">
        <v>3543</v>
      </c>
      <c r="L15332" t="s">
        <v>23</v>
      </c>
      <c r="M15332" t="s">
        <v>32952</v>
      </c>
      <c r="N15332" t="s">
        <v>3668</v>
      </c>
      <c r="O15332" t="s">
        <v>148</v>
      </c>
      <c r="P15332">
        <v>21209</v>
      </c>
      <c r="Q15332">
        <v>3543</v>
      </c>
      <c r="R15332" t="s">
        <v>23</v>
      </c>
      <c r="S15332" s="1" t="s">
        <v>34218</v>
      </c>
    </row>
    <row r="15333" spans="1:19" x14ac:dyDescent="0.25">
      <c r="A15333">
        <v>101480968</v>
      </c>
      <c r="B15333" t="s">
        <v>1204</v>
      </c>
      <c r="C15333" t="s">
        <v>1679</v>
      </c>
      <c r="G15333" t="s">
        <v>32953</v>
      </c>
      <c r="H15333" t="s">
        <v>14404</v>
      </c>
      <c r="I15333" t="s">
        <v>52</v>
      </c>
      <c r="J15333">
        <v>32508</v>
      </c>
      <c r="K15333">
        <v>1029</v>
      </c>
      <c r="L15333" t="s">
        <v>23</v>
      </c>
      <c r="M15333" t="s">
        <v>32953</v>
      </c>
      <c r="N15333" t="s">
        <v>14404</v>
      </c>
      <c r="O15333" t="s">
        <v>52</v>
      </c>
      <c r="P15333">
        <v>32508</v>
      </c>
      <c r="Q15333">
        <v>1029</v>
      </c>
      <c r="R15333" t="s">
        <v>23</v>
      </c>
      <c r="S15333" s="1" t="s">
        <v>34218</v>
      </c>
    </row>
    <row r="15334" spans="1:19" x14ac:dyDescent="0.25">
      <c r="A15334">
        <v>101420826</v>
      </c>
      <c r="B15334" t="s">
        <v>2637</v>
      </c>
      <c r="C15334" t="s">
        <v>2127</v>
      </c>
      <c r="G15334" t="s">
        <v>32954</v>
      </c>
      <c r="H15334" t="s">
        <v>2407</v>
      </c>
      <c r="I15334" t="s">
        <v>52</v>
      </c>
      <c r="J15334">
        <v>33761</v>
      </c>
      <c r="K15334">
        <v>3625</v>
      </c>
      <c r="L15334" t="s">
        <v>23</v>
      </c>
      <c r="M15334" t="s">
        <v>32954</v>
      </c>
      <c r="N15334" t="s">
        <v>2407</v>
      </c>
      <c r="O15334" t="s">
        <v>52</v>
      </c>
      <c r="P15334">
        <v>33761</v>
      </c>
      <c r="Q15334">
        <v>3625</v>
      </c>
      <c r="R15334" t="s">
        <v>23</v>
      </c>
      <c r="S15334" s="1" t="s">
        <v>34218</v>
      </c>
    </row>
    <row r="15335" spans="1:19" x14ac:dyDescent="0.25">
      <c r="A15335">
        <v>101412217</v>
      </c>
      <c r="B15335" t="s">
        <v>13505</v>
      </c>
      <c r="C15335" t="s">
        <v>8676</v>
      </c>
      <c r="G15335" t="s">
        <v>32955</v>
      </c>
      <c r="H15335" t="s">
        <v>1456</v>
      </c>
      <c r="I15335" t="s">
        <v>84</v>
      </c>
      <c r="J15335">
        <v>98011</v>
      </c>
      <c r="K15335">
        <v>2444</v>
      </c>
      <c r="L15335" t="s">
        <v>23</v>
      </c>
      <c r="M15335" t="s">
        <v>32955</v>
      </c>
      <c r="N15335" t="s">
        <v>1456</v>
      </c>
      <c r="O15335" t="s">
        <v>84</v>
      </c>
      <c r="P15335">
        <v>98011</v>
      </c>
      <c r="Q15335">
        <v>2444</v>
      </c>
      <c r="R15335" t="s">
        <v>23</v>
      </c>
      <c r="S15335" s="1" t="s">
        <v>34218</v>
      </c>
    </row>
    <row r="15336" spans="1:19" x14ac:dyDescent="0.25">
      <c r="A15336">
        <v>100957315</v>
      </c>
      <c r="B15336" t="s">
        <v>32956</v>
      </c>
      <c r="C15336" t="s">
        <v>32957</v>
      </c>
      <c r="G15336" t="s">
        <v>32958</v>
      </c>
      <c r="H15336" t="s">
        <v>4033</v>
      </c>
      <c r="I15336" t="s">
        <v>250</v>
      </c>
      <c r="J15336">
        <v>8837</v>
      </c>
      <c r="K15336">
        <v>2781</v>
      </c>
      <c r="L15336" t="s">
        <v>23</v>
      </c>
      <c r="M15336" t="s">
        <v>32958</v>
      </c>
      <c r="N15336" t="s">
        <v>4033</v>
      </c>
      <c r="O15336" t="s">
        <v>250</v>
      </c>
      <c r="P15336">
        <v>8837</v>
      </c>
      <c r="Q15336">
        <v>2781</v>
      </c>
      <c r="R15336" t="s">
        <v>23</v>
      </c>
      <c r="S15336" s="1" t="s">
        <v>34218</v>
      </c>
    </row>
    <row r="15337" spans="1:19" x14ac:dyDescent="0.25">
      <c r="A15337">
        <v>101453002</v>
      </c>
      <c r="B15337" t="s">
        <v>4388</v>
      </c>
      <c r="C15337" t="s">
        <v>1153</v>
      </c>
      <c r="G15337" t="s">
        <v>32959</v>
      </c>
      <c r="H15337" t="s">
        <v>15622</v>
      </c>
      <c r="I15337" t="s">
        <v>353</v>
      </c>
      <c r="J15337">
        <v>3053</v>
      </c>
      <c r="K15337">
        <v>2408</v>
      </c>
      <c r="L15337" t="s">
        <v>23</v>
      </c>
      <c r="M15337" t="s">
        <v>32959</v>
      </c>
      <c r="N15337" t="s">
        <v>15622</v>
      </c>
      <c r="O15337" t="s">
        <v>353</v>
      </c>
      <c r="P15337">
        <v>3053</v>
      </c>
      <c r="Q15337">
        <v>2408</v>
      </c>
      <c r="R15337" t="s">
        <v>23</v>
      </c>
      <c r="S15337" s="1" t="s">
        <v>34218</v>
      </c>
    </row>
    <row r="15338" spans="1:19" x14ac:dyDescent="0.25">
      <c r="A15338">
        <v>100813113</v>
      </c>
      <c r="B15338" t="s">
        <v>32960</v>
      </c>
      <c r="C15338" t="s">
        <v>32961</v>
      </c>
      <c r="G15338" t="s">
        <v>32962</v>
      </c>
      <c r="H15338" t="s">
        <v>7582</v>
      </c>
      <c r="I15338" t="s">
        <v>22</v>
      </c>
      <c r="J15338">
        <v>95005</v>
      </c>
      <c r="K15338">
        <v>9664</v>
      </c>
      <c r="L15338" t="s">
        <v>23</v>
      </c>
      <c r="M15338" t="s">
        <v>32962</v>
      </c>
      <c r="N15338" t="s">
        <v>7582</v>
      </c>
      <c r="O15338" t="s">
        <v>22</v>
      </c>
      <c r="P15338">
        <v>95005</v>
      </c>
      <c r="Q15338">
        <v>9664</v>
      </c>
      <c r="R15338" t="s">
        <v>23</v>
      </c>
      <c r="S15338" s="1" t="s">
        <v>34218</v>
      </c>
    </row>
    <row r="15339" spans="1:19" x14ac:dyDescent="0.25">
      <c r="A15339">
        <v>101480977</v>
      </c>
      <c r="B15339" t="s">
        <v>32963</v>
      </c>
      <c r="C15339" t="s">
        <v>2411</v>
      </c>
      <c r="G15339" t="s">
        <v>32964</v>
      </c>
      <c r="H15339" t="s">
        <v>9318</v>
      </c>
      <c r="I15339" t="s">
        <v>117</v>
      </c>
      <c r="J15339">
        <v>11795</v>
      </c>
      <c r="K15339">
        <v>4106</v>
      </c>
      <c r="L15339" t="s">
        <v>23</v>
      </c>
      <c r="M15339" t="s">
        <v>32964</v>
      </c>
      <c r="N15339" t="s">
        <v>9318</v>
      </c>
      <c r="O15339" t="s">
        <v>117</v>
      </c>
      <c r="P15339">
        <v>11795</v>
      </c>
      <c r="Q15339">
        <v>4106</v>
      </c>
      <c r="R15339" t="s">
        <v>23</v>
      </c>
      <c r="S15339" s="1" t="s">
        <v>34218</v>
      </c>
    </row>
    <row r="15340" spans="1:19" x14ac:dyDescent="0.25">
      <c r="A15340">
        <v>101260850</v>
      </c>
      <c r="B15340" t="s">
        <v>1927</v>
      </c>
      <c r="C15340" t="s">
        <v>119</v>
      </c>
      <c r="G15340" t="s">
        <v>32965</v>
      </c>
      <c r="H15340" t="s">
        <v>1431</v>
      </c>
      <c r="I15340" t="s">
        <v>639</v>
      </c>
      <c r="J15340">
        <v>87507</v>
      </c>
      <c r="K15340">
        <v>4610</v>
      </c>
      <c r="L15340" t="s">
        <v>23</v>
      </c>
      <c r="M15340" t="s">
        <v>32965</v>
      </c>
      <c r="N15340" t="s">
        <v>1431</v>
      </c>
      <c r="O15340" t="s">
        <v>639</v>
      </c>
      <c r="P15340">
        <v>87507</v>
      </c>
      <c r="Q15340">
        <v>4610</v>
      </c>
      <c r="R15340" t="s">
        <v>23</v>
      </c>
      <c r="S15340" s="1" t="s">
        <v>34218</v>
      </c>
    </row>
    <row r="15341" spans="1:19" x14ac:dyDescent="0.25">
      <c r="A15341">
        <v>101480982</v>
      </c>
      <c r="B15341" t="s">
        <v>32966</v>
      </c>
      <c r="C15341" t="s">
        <v>25</v>
      </c>
      <c r="G15341" t="s">
        <v>32967</v>
      </c>
      <c r="H15341" t="s">
        <v>2086</v>
      </c>
      <c r="I15341" t="s">
        <v>178</v>
      </c>
      <c r="J15341">
        <v>45227</v>
      </c>
      <c r="K15341">
        <v>2135</v>
      </c>
      <c r="L15341" t="s">
        <v>23</v>
      </c>
      <c r="M15341" t="s">
        <v>32967</v>
      </c>
      <c r="N15341" t="s">
        <v>2086</v>
      </c>
      <c r="O15341" t="s">
        <v>178</v>
      </c>
      <c r="P15341">
        <v>45227</v>
      </c>
      <c r="Q15341">
        <v>2135</v>
      </c>
      <c r="R15341" t="s">
        <v>23</v>
      </c>
      <c r="S15341" s="1" t="s">
        <v>34218</v>
      </c>
    </row>
    <row r="15342" spans="1:19" x14ac:dyDescent="0.25">
      <c r="A15342">
        <v>101253345</v>
      </c>
      <c r="B15342" t="s">
        <v>32968</v>
      </c>
      <c r="C15342" t="s">
        <v>15849</v>
      </c>
      <c r="G15342" t="s">
        <v>32969</v>
      </c>
      <c r="H15342" t="s">
        <v>1096</v>
      </c>
      <c r="I15342" t="s">
        <v>1097</v>
      </c>
      <c r="J15342">
        <v>40215</v>
      </c>
      <c r="K15342">
        <v>2523</v>
      </c>
      <c r="L15342" t="s">
        <v>23</v>
      </c>
      <c r="M15342" t="s">
        <v>32969</v>
      </c>
      <c r="N15342" t="s">
        <v>1096</v>
      </c>
      <c r="O15342" t="s">
        <v>1097</v>
      </c>
      <c r="P15342">
        <v>40215</v>
      </c>
      <c r="Q15342">
        <v>2523</v>
      </c>
      <c r="R15342" t="s">
        <v>23</v>
      </c>
      <c r="S15342" s="1" t="s">
        <v>34218</v>
      </c>
    </row>
    <row r="15343" spans="1:19" x14ac:dyDescent="0.25">
      <c r="A15343">
        <v>101318860</v>
      </c>
      <c r="B15343" t="s">
        <v>32970</v>
      </c>
      <c r="C15343" t="s">
        <v>180</v>
      </c>
      <c r="G15343" t="s">
        <v>32971</v>
      </c>
      <c r="H15343" t="s">
        <v>4810</v>
      </c>
      <c r="I15343" t="s">
        <v>236</v>
      </c>
      <c r="J15343">
        <v>1604</v>
      </c>
      <c r="K15343">
        <v>4223</v>
      </c>
      <c r="L15343" t="s">
        <v>23</v>
      </c>
      <c r="M15343" t="s">
        <v>32971</v>
      </c>
      <c r="N15343" t="s">
        <v>4810</v>
      </c>
      <c r="O15343" t="s">
        <v>236</v>
      </c>
      <c r="P15343">
        <v>1604</v>
      </c>
      <c r="Q15343">
        <v>4223</v>
      </c>
      <c r="R15343" t="s">
        <v>23</v>
      </c>
      <c r="S15343" s="1" t="s">
        <v>34218</v>
      </c>
    </row>
    <row r="15344" spans="1:19" x14ac:dyDescent="0.25">
      <c r="A15344">
        <v>100626142</v>
      </c>
      <c r="B15344" t="s">
        <v>32972</v>
      </c>
      <c r="C15344" t="s">
        <v>7924</v>
      </c>
      <c r="G15344" t="s">
        <v>32973</v>
      </c>
      <c r="H15344" t="s">
        <v>32974</v>
      </c>
      <c r="I15344" t="s">
        <v>365</v>
      </c>
      <c r="J15344">
        <v>85623</v>
      </c>
      <c r="L15344" t="s">
        <v>23</v>
      </c>
      <c r="M15344" t="s">
        <v>32973</v>
      </c>
      <c r="N15344" t="s">
        <v>32974</v>
      </c>
      <c r="O15344" t="s">
        <v>365</v>
      </c>
      <c r="P15344">
        <v>85623</v>
      </c>
      <c r="R15344" t="s">
        <v>23</v>
      </c>
      <c r="S15344" s="1" t="s">
        <v>34218</v>
      </c>
    </row>
    <row r="15345" spans="1:19" x14ac:dyDescent="0.25">
      <c r="A15345">
        <v>101255730</v>
      </c>
      <c r="B15345" t="s">
        <v>32975</v>
      </c>
      <c r="C15345" t="s">
        <v>274</v>
      </c>
      <c r="G15345" t="s">
        <v>32976</v>
      </c>
      <c r="H15345" t="s">
        <v>9008</v>
      </c>
      <c r="I15345" t="s">
        <v>914</v>
      </c>
      <c r="J15345">
        <v>37174</v>
      </c>
      <c r="K15345">
        <v>5127</v>
      </c>
      <c r="L15345" t="s">
        <v>23</v>
      </c>
      <c r="M15345" t="s">
        <v>32976</v>
      </c>
      <c r="N15345" t="s">
        <v>9008</v>
      </c>
      <c r="O15345" t="s">
        <v>914</v>
      </c>
      <c r="P15345">
        <v>37174</v>
      </c>
      <c r="Q15345">
        <v>5127</v>
      </c>
      <c r="R15345" t="s">
        <v>23</v>
      </c>
      <c r="S15345" s="1" t="s">
        <v>34218</v>
      </c>
    </row>
    <row r="15346" spans="1:19" x14ac:dyDescent="0.25">
      <c r="A15346">
        <v>101450384</v>
      </c>
      <c r="B15346" t="s">
        <v>20897</v>
      </c>
      <c r="C15346" t="s">
        <v>45</v>
      </c>
      <c r="G15346" t="s">
        <v>32977</v>
      </c>
      <c r="H15346" t="s">
        <v>32978</v>
      </c>
      <c r="I15346" t="s">
        <v>43</v>
      </c>
      <c r="J15346">
        <v>98720</v>
      </c>
      <c r="L15346" t="s">
        <v>23</v>
      </c>
      <c r="M15346" t="s">
        <v>32977</v>
      </c>
      <c r="N15346" t="s">
        <v>32978</v>
      </c>
      <c r="O15346" t="s">
        <v>43</v>
      </c>
      <c r="P15346">
        <v>98720</v>
      </c>
      <c r="R15346" t="s">
        <v>23</v>
      </c>
      <c r="S15346" s="1" t="s">
        <v>34218</v>
      </c>
    </row>
    <row r="15347" spans="1:19" x14ac:dyDescent="0.25">
      <c r="A15347">
        <v>101299228</v>
      </c>
      <c r="B15347" t="s">
        <v>6289</v>
      </c>
      <c r="C15347" t="s">
        <v>2417</v>
      </c>
      <c r="G15347" t="s">
        <v>32979</v>
      </c>
      <c r="H15347" t="s">
        <v>5070</v>
      </c>
      <c r="I15347" t="s">
        <v>84</v>
      </c>
      <c r="J15347">
        <v>98663</v>
      </c>
      <c r="K15347">
        <v>3606</v>
      </c>
      <c r="L15347" t="s">
        <v>23</v>
      </c>
      <c r="M15347" t="s">
        <v>32979</v>
      </c>
      <c r="N15347" t="s">
        <v>5070</v>
      </c>
      <c r="O15347" t="s">
        <v>84</v>
      </c>
      <c r="P15347">
        <v>98663</v>
      </c>
      <c r="Q15347">
        <v>3606</v>
      </c>
      <c r="R15347" t="s">
        <v>23</v>
      </c>
      <c r="S15347" s="1" t="s">
        <v>34218</v>
      </c>
    </row>
    <row r="15348" spans="1:19" x14ac:dyDescent="0.25">
      <c r="A15348">
        <v>101443747</v>
      </c>
      <c r="B15348" t="s">
        <v>16506</v>
      </c>
      <c r="C15348" t="s">
        <v>959</v>
      </c>
      <c r="G15348" t="s">
        <v>32980</v>
      </c>
      <c r="H15348" t="s">
        <v>2749</v>
      </c>
      <c r="I15348" t="s">
        <v>191</v>
      </c>
      <c r="J15348">
        <v>4011</v>
      </c>
      <c r="K15348">
        <v>3289</v>
      </c>
      <c r="L15348" t="s">
        <v>23</v>
      </c>
      <c r="M15348" t="s">
        <v>32980</v>
      </c>
      <c r="N15348" t="s">
        <v>2749</v>
      </c>
      <c r="O15348" t="s">
        <v>191</v>
      </c>
      <c r="P15348">
        <v>4011</v>
      </c>
      <c r="Q15348">
        <v>3289</v>
      </c>
      <c r="R15348" t="s">
        <v>23</v>
      </c>
      <c r="S15348" s="1" t="s">
        <v>34218</v>
      </c>
    </row>
    <row r="15349" spans="1:19" x14ac:dyDescent="0.25">
      <c r="A15349">
        <v>101441956</v>
      </c>
      <c r="B15349" t="s">
        <v>32981</v>
      </c>
      <c r="C15349" t="s">
        <v>1422</v>
      </c>
      <c r="G15349" t="s">
        <v>32982</v>
      </c>
      <c r="H15349" t="s">
        <v>1439</v>
      </c>
      <c r="I15349" t="s">
        <v>365</v>
      </c>
      <c r="J15349">
        <v>85748</v>
      </c>
      <c r="K15349">
        <v>7407</v>
      </c>
      <c r="L15349" t="s">
        <v>23</v>
      </c>
      <c r="M15349" t="s">
        <v>32982</v>
      </c>
      <c r="N15349" t="s">
        <v>1439</v>
      </c>
      <c r="O15349" t="s">
        <v>365</v>
      </c>
      <c r="P15349">
        <v>85748</v>
      </c>
      <c r="Q15349">
        <v>7407</v>
      </c>
      <c r="R15349" t="s">
        <v>23</v>
      </c>
      <c r="S15349" s="1" t="s">
        <v>34218</v>
      </c>
    </row>
    <row r="15350" spans="1:19" x14ac:dyDescent="0.25">
      <c r="A15350">
        <v>100809953</v>
      </c>
      <c r="B15350" t="s">
        <v>32983</v>
      </c>
      <c r="C15350" t="s">
        <v>32984</v>
      </c>
      <c r="G15350" t="s">
        <v>32985</v>
      </c>
      <c r="H15350" t="s">
        <v>311</v>
      </c>
      <c r="I15350" t="s">
        <v>22</v>
      </c>
      <c r="J15350">
        <v>90804</v>
      </c>
      <c r="K15350">
        <v>5085</v>
      </c>
      <c r="L15350" t="s">
        <v>23</v>
      </c>
      <c r="M15350" t="s">
        <v>32985</v>
      </c>
      <c r="N15350" t="s">
        <v>311</v>
      </c>
      <c r="O15350" t="s">
        <v>22</v>
      </c>
      <c r="P15350">
        <v>90804</v>
      </c>
      <c r="Q15350">
        <v>5085</v>
      </c>
      <c r="R15350" t="s">
        <v>23</v>
      </c>
      <c r="S15350" s="1" t="s">
        <v>34218</v>
      </c>
    </row>
    <row r="15351" spans="1:19" x14ac:dyDescent="0.25">
      <c r="A15351">
        <v>101481010</v>
      </c>
      <c r="B15351" t="s">
        <v>32986</v>
      </c>
      <c r="C15351" t="s">
        <v>4702</v>
      </c>
      <c r="G15351" t="s">
        <v>32987</v>
      </c>
      <c r="H15351" t="s">
        <v>6185</v>
      </c>
      <c r="I15351" t="s">
        <v>446</v>
      </c>
      <c r="J15351">
        <v>28704</v>
      </c>
      <c r="K15351">
        <v>694</v>
      </c>
      <c r="L15351" t="s">
        <v>23</v>
      </c>
      <c r="M15351" t="s">
        <v>32987</v>
      </c>
      <c r="N15351" t="s">
        <v>6185</v>
      </c>
      <c r="O15351" t="s">
        <v>446</v>
      </c>
      <c r="P15351">
        <v>28704</v>
      </c>
      <c r="Q15351">
        <v>694</v>
      </c>
      <c r="R15351" t="s">
        <v>23</v>
      </c>
      <c r="S15351" s="1" t="s">
        <v>34218</v>
      </c>
    </row>
    <row r="15352" spans="1:19" x14ac:dyDescent="0.25">
      <c r="A15352">
        <v>101481011</v>
      </c>
      <c r="B15352" t="s">
        <v>224</v>
      </c>
      <c r="C15352" t="s">
        <v>1906</v>
      </c>
      <c r="G15352" t="s">
        <v>32988</v>
      </c>
      <c r="H15352" t="s">
        <v>2540</v>
      </c>
      <c r="I15352" t="s">
        <v>161</v>
      </c>
      <c r="J15352">
        <v>6850</v>
      </c>
      <c r="K15352">
        <v>4429</v>
      </c>
      <c r="L15352" t="s">
        <v>23</v>
      </c>
      <c r="M15352" t="s">
        <v>32988</v>
      </c>
      <c r="N15352" t="s">
        <v>2540</v>
      </c>
      <c r="O15352" t="s">
        <v>161</v>
      </c>
      <c r="P15352">
        <v>6850</v>
      </c>
      <c r="Q15352">
        <v>4429</v>
      </c>
      <c r="R15352" t="s">
        <v>23</v>
      </c>
      <c r="S15352" s="1" t="s">
        <v>34218</v>
      </c>
    </row>
    <row r="15353" spans="1:19" x14ac:dyDescent="0.25">
      <c r="A15353">
        <v>101481012</v>
      </c>
      <c r="B15353" t="s">
        <v>16326</v>
      </c>
      <c r="C15353" t="s">
        <v>313</v>
      </c>
      <c r="G15353" t="s">
        <v>32989</v>
      </c>
      <c r="H15353" t="s">
        <v>1052</v>
      </c>
      <c r="I15353" t="s">
        <v>22</v>
      </c>
      <c r="J15353">
        <v>94706</v>
      </c>
      <c r="K15353">
        <v>1044</v>
      </c>
      <c r="L15353" t="s">
        <v>23</v>
      </c>
      <c r="M15353" t="s">
        <v>32989</v>
      </c>
      <c r="N15353" t="s">
        <v>1052</v>
      </c>
      <c r="O15353" t="s">
        <v>22</v>
      </c>
      <c r="P15353">
        <v>94706</v>
      </c>
      <c r="Q15353">
        <v>1044</v>
      </c>
      <c r="R15353" t="s">
        <v>23</v>
      </c>
      <c r="S15353" s="1" t="s">
        <v>34218</v>
      </c>
    </row>
    <row r="15354" spans="1:19" x14ac:dyDescent="0.25">
      <c r="A15354">
        <v>100651729</v>
      </c>
      <c r="B15354" t="s">
        <v>32990</v>
      </c>
      <c r="C15354" t="s">
        <v>579</v>
      </c>
      <c r="G15354" t="s">
        <v>32991</v>
      </c>
      <c r="H15354" t="s">
        <v>2674</v>
      </c>
      <c r="I15354" t="s">
        <v>22</v>
      </c>
      <c r="J15354">
        <v>95945</v>
      </c>
      <c r="K15354">
        <v>7204</v>
      </c>
      <c r="L15354" t="s">
        <v>23</v>
      </c>
      <c r="M15354" t="s">
        <v>32991</v>
      </c>
      <c r="N15354" t="s">
        <v>2674</v>
      </c>
      <c r="O15354" t="s">
        <v>22</v>
      </c>
      <c r="P15354">
        <v>95945</v>
      </c>
      <c r="Q15354">
        <v>7204</v>
      </c>
      <c r="R15354" t="s">
        <v>23</v>
      </c>
      <c r="S15354" s="1" t="s">
        <v>34218</v>
      </c>
    </row>
    <row r="15355" spans="1:19" x14ac:dyDescent="0.25">
      <c r="A15355">
        <v>101226148</v>
      </c>
      <c r="B15355" t="s">
        <v>4064</v>
      </c>
      <c r="C15355" t="s">
        <v>23658</v>
      </c>
      <c r="G15355" t="s">
        <v>32992</v>
      </c>
      <c r="H15355" t="s">
        <v>2769</v>
      </c>
      <c r="I15355" t="s">
        <v>52</v>
      </c>
      <c r="J15355">
        <v>34109</v>
      </c>
      <c r="K15355">
        <v>745</v>
      </c>
      <c r="L15355" t="s">
        <v>23</v>
      </c>
      <c r="M15355" t="s">
        <v>32992</v>
      </c>
      <c r="N15355" t="s">
        <v>2769</v>
      </c>
      <c r="O15355" t="s">
        <v>52</v>
      </c>
      <c r="P15355">
        <v>34109</v>
      </c>
      <c r="Q15355">
        <v>745</v>
      </c>
      <c r="R15355" t="s">
        <v>23</v>
      </c>
      <c r="S15355" s="1" t="s">
        <v>34218</v>
      </c>
    </row>
    <row r="15356" spans="1:19" x14ac:dyDescent="0.25">
      <c r="A15356">
        <v>101481020</v>
      </c>
      <c r="B15356" t="s">
        <v>32993</v>
      </c>
      <c r="C15356" t="s">
        <v>11811</v>
      </c>
      <c r="G15356" t="s">
        <v>12255</v>
      </c>
      <c r="H15356" t="s">
        <v>12256</v>
      </c>
      <c r="I15356" t="s">
        <v>348</v>
      </c>
      <c r="J15356">
        <v>83858</v>
      </c>
      <c r="K15356">
        <v>6976</v>
      </c>
      <c r="L15356" t="s">
        <v>23</v>
      </c>
      <c r="M15356" t="s">
        <v>12255</v>
      </c>
      <c r="N15356" t="s">
        <v>12256</v>
      </c>
      <c r="O15356" t="s">
        <v>348</v>
      </c>
      <c r="P15356">
        <v>83858</v>
      </c>
      <c r="Q15356">
        <v>6976</v>
      </c>
      <c r="R15356" t="s">
        <v>23</v>
      </c>
      <c r="S15356" s="1" t="s">
        <v>34218</v>
      </c>
    </row>
    <row r="15357" spans="1:19" x14ac:dyDescent="0.25">
      <c r="A15357">
        <v>101377400</v>
      </c>
      <c r="B15357" t="s">
        <v>6899</v>
      </c>
      <c r="C15357" t="s">
        <v>867</v>
      </c>
      <c r="G15357" t="s">
        <v>32994</v>
      </c>
      <c r="H15357" t="s">
        <v>22149</v>
      </c>
      <c r="I15357" t="s">
        <v>28</v>
      </c>
      <c r="J15357">
        <v>30043</v>
      </c>
      <c r="K15357">
        <v>6148</v>
      </c>
      <c r="L15357" t="s">
        <v>23</v>
      </c>
      <c r="M15357" t="s">
        <v>32994</v>
      </c>
      <c r="N15357" t="s">
        <v>22149</v>
      </c>
      <c r="O15357" t="s">
        <v>28</v>
      </c>
      <c r="P15357">
        <v>30043</v>
      </c>
      <c r="Q15357">
        <v>6148</v>
      </c>
      <c r="R15357" t="s">
        <v>23</v>
      </c>
      <c r="S15357" s="1" t="s">
        <v>34218</v>
      </c>
    </row>
    <row r="15358" spans="1:19" x14ac:dyDescent="0.25">
      <c r="A15358">
        <v>101448672</v>
      </c>
      <c r="B15358" t="s">
        <v>4696</v>
      </c>
      <c r="C15358" t="s">
        <v>32995</v>
      </c>
      <c r="G15358" t="s">
        <v>32996</v>
      </c>
      <c r="H15358" t="s">
        <v>32997</v>
      </c>
      <c r="I15358" t="s">
        <v>28</v>
      </c>
      <c r="J15358">
        <v>30002</v>
      </c>
      <c r="K15358">
        <v>1538</v>
      </c>
      <c r="L15358" t="s">
        <v>23</v>
      </c>
      <c r="M15358" t="s">
        <v>32996</v>
      </c>
      <c r="N15358" t="s">
        <v>32997</v>
      </c>
      <c r="O15358" t="s">
        <v>28</v>
      </c>
      <c r="P15358">
        <v>30002</v>
      </c>
      <c r="Q15358">
        <v>1538</v>
      </c>
      <c r="R15358" t="s">
        <v>23</v>
      </c>
      <c r="S15358" s="1" t="s">
        <v>34218</v>
      </c>
    </row>
    <row r="15359" spans="1:19" x14ac:dyDescent="0.25">
      <c r="A15359">
        <v>101481024</v>
      </c>
      <c r="B15359" t="s">
        <v>32998</v>
      </c>
      <c r="C15359" t="s">
        <v>2405</v>
      </c>
      <c r="G15359" t="s">
        <v>32999</v>
      </c>
      <c r="H15359" t="s">
        <v>4235</v>
      </c>
      <c r="I15359" t="s">
        <v>984</v>
      </c>
      <c r="J15359">
        <v>96813</v>
      </c>
      <c r="K15359">
        <v>1626</v>
      </c>
      <c r="L15359" t="s">
        <v>23</v>
      </c>
      <c r="M15359" t="s">
        <v>32999</v>
      </c>
      <c r="N15359" t="s">
        <v>4235</v>
      </c>
      <c r="O15359" t="s">
        <v>984</v>
      </c>
      <c r="P15359">
        <v>96813</v>
      </c>
      <c r="Q15359">
        <v>1626</v>
      </c>
      <c r="R15359" t="s">
        <v>23</v>
      </c>
      <c r="S15359" s="1" t="s">
        <v>34218</v>
      </c>
    </row>
    <row r="15360" spans="1:19" x14ac:dyDescent="0.25">
      <c r="A15360">
        <v>101474251</v>
      </c>
      <c r="B15360" t="s">
        <v>33000</v>
      </c>
      <c r="C15360" t="s">
        <v>2599</v>
      </c>
      <c r="G15360" t="s">
        <v>33001</v>
      </c>
      <c r="H15360" t="s">
        <v>33002</v>
      </c>
      <c r="I15360" t="s">
        <v>153</v>
      </c>
      <c r="J15360">
        <v>70544</v>
      </c>
      <c r="K15360">
        <v>3308</v>
      </c>
      <c r="L15360" t="s">
        <v>23</v>
      </c>
      <c r="M15360" t="s">
        <v>33001</v>
      </c>
      <c r="N15360" t="s">
        <v>33002</v>
      </c>
      <c r="O15360" t="s">
        <v>153</v>
      </c>
      <c r="P15360">
        <v>70544</v>
      </c>
      <c r="Q15360">
        <v>3308</v>
      </c>
      <c r="R15360" t="s">
        <v>23</v>
      </c>
      <c r="S15360" s="1" t="s">
        <v>34218</v>
      </c>
    </row>
    <row r="15361" spans="1:19" x14ac:dyDescent="0.25">
      <c r="A15361">
        <v>101481032</v>
      </c>
      <c r="B15361" t="s">
        <v>12419</v>
      </c>
      <c r="C15361" t="s">
        <v>9781</v>
      </c>
      <c r="G15361" t="s">
        <v>33003</v>
      </c>
      <c r="H15361" t="s">
        <v>461</v>
      </c>
      <c r="I15361" t="s">
        <v>22</v>
      </c>
      <c r="J15361">
        <v>92503</v>
      </c>
      <c r="K15361">
        <v>5502</v>
      </c>
      <c r="L15361" t="s">
        <v>23</v>
      </c>
      <c r="M15361" t="s">
        <v>33003</v>
      </c>
      <c r="N15361" t="s">
        <v>461</v>
      </c>
      <c r="O15361" t="s">
        <v>22</v>
      </c>
      <c r="P15361">
        <v>92503</v>
      </c>
      <c r="Q15361">
        <v>5502</v>
      </c>
      <c r="R15361" t="s">
        <v>23</v>
      </c>
      <c r="S15361" s="1" t="s">
        <v>34218</v>
      </c>
    </row>
    <row r="15362" spans="1:19" x14ac:dyDescent="0.25">
      <c r="A15362">
        <v>101475546</v>
      </c>
      <c r="B15362" t="s">
        <v>654</v>
      </c>
      <c r="C15362" t="s">
        <v>1906</v>
      </c>
      <c r="G15362" t="s">
        <v>33004</v>
      </c>
      <c r="H15362" t="s">
        <v>758</v>
      </c>
      <c r="I15362" t="s">
        <v>148</v>
      </c>
      <c r="J15362">
        <v>20906</v>
      </c>
      <c r="K15362">
        <v>2460</v>
      </c>
      <c r="L15362" t="s">
        <v>23</v>
      </c>
      <c r="M15362" t="s">
        <v>33004</v>
      </c>
      <c r="N15362" t="s">
        <v>758</v>
      </c>
      <c r="O15362" t="s">
        <v>148</v>
      </c>
      <c r="P15362">
        <v>20906</v>
      </c>
      <c r="Q15362">
        <v>2460</v>
      </c>
      <c r="R15362" t="s">
        <v>23</v>
      </c>
      <c r="S15362" s="1" t="s">
        <v>34218</v>
      </c>
    </row>
    <row r="15363" spans="1:19" x14ac:dyDescent="0.25">
      <c r="A15363">
        <v>101454312</v>
      </c>
      <c r="B15363" t="s">
        <v>33005</v>
      </c>
      <c r="C15363" t="s">
        <v>21150</v>
      </c>
      <c r="G15363" t="s">
        <v>33006</v>
      </c>
      <c r="H15363" t="s">
        <v>21904</v>
      </c>
      <c r="I15363" t="s">
        <v>52</v>
      </c>
      <c r="J15363">
        <v>32796</v>
      </c>
      <c r="K15363">
        <v>2871</v>
      </c>
      <c r="L15363" t="s">
        <v>23</v>
      </c>
      <c r="M15363" t="s">
        <v>33006</v>
      </c>
      <c r="N15363" t="s">
        <v>21904</v>
      </c>
      <c r="O15363" t="s">
        <v>52</v>
      </c>
      <c r="P15363">
        <v>32796</v>
      </c>
      <c r="Q15363">
        <v>2871</v>
      </c>
      <c r="R15363" t="s">
        <v>23</v>
      </c>
      <c r="S15363" s="1" t="s">
        <v>34218</v>
      </c>
    </row>
    <row r="15364" spans="1:19" x14ac:dyDescent="0.25">
      <c r="A15364">
        <v>101410238</v>
      </c>
      <c r="B15364" t="s">
        <v>33007</v>
      </c>
      <c r="C15364" t="s">
        <v>30</v>
      </c>
      <c r="G15364" t="s">
        <v>33008</v>
      </c>
      <c r="H15364" t="s">
        <v>296</v>
      </c>
      <c r="I15364" t="s">
        <v>52</v>
      </c>
      <c r="J15364">
        <v>33770</v>
      </c>
      <c r="K15364">
        <v>1422</v>
      </c>
      <c r="L15364" t="s">
        <v>23</v>
      </c>
      <c r="M15364" t="s">
        <v>33008</v>
      </c>
      <c r="N15364" t="s">
        <v>296</v>
      </c>
      <c r="O15364" t="s">
        <v>52</v>
      </c>
      <c r="P15364">
        <v>33770</v>
      </c>
      <c r="Q15364">
        <v>1422</v>
      </c>
      <c r="R15364" t="s">
        <v>23</v>
      </c>
      <c r="S15364" s="1" t="s">
        <v>34218</v>
      </c>
    </row>
    <row r="15365" spans="1:19" x14ac:dyDescent="0.25">
      <c r="A15365">
        <v>101481039</v>
      </c>
      <c r="B15365" t="s">
        <v>10838</v>
      </c>
      <c r="C15365" t="s">
        <v>33009</v>
      </c>
      <c r="G15365" t="s">
        <v>33010</v>
      </c>
      <c r="H15365" t="s">
        <v>445</v>
      </c>
      <c r="I15365" t="s">
        <v>446</v>
      </c>
      <c r="J15365">
        <v>28803</v>
      </c>
      <c r="K15365">
        <v>1371</v>
      </c>
      <c r="L15365" t="s">
        <v>23</v>
      </c>
      <c r="M15365" t="s">
        <v>33010</v>
      </c>
      <c r="N15365" t="s">
        <v>445</v>
      </c>
      <c r="O15365" t="s">
        <v>446</v>
      </c>
      <c r="P15365">
        <v>28803</v>
      </c>
      <c r="Q15365">
        <v>1371</v>
      </c>
      <c r="R15365" t="s">
        <v>23</v>
      </c>
      <c r="S15365" s="1" t="s">
        <v>34218</v>
      </c>
    </row>
    <row r="15366" spans="1:19" x14ac:dyDescent="0.25">
      <c r="A15366">
        <v>101427021</v>
      </c>
      <c r="B15366" t="s">
        <v>928</v>
      </c>
      <c r="C15366" t="s">
        <v>1205</v>
      </c>
      <c r="G15366" t="s">
        <v>33011</v>
      </c>
      <c r="H15366" t="s">
        <v>1988</v>
      </c>
      <c r="I15366" t="s">
        <v>984</v>
      </c>
      <c r="J15366">
        <v>96740</v>
      </c>
      <c r="K15366">
        <v>1317</v>
      </c>
      <c r="L15366" t="s">
        <v>23</v>
      </c>
      <c r="M15366" t="s">
        <v>33011</v>
      </c>
      <c r="N15366" t="s">
        <v>1988</v>
      </c>
      <c r="O15366" t="s">
        <v>984</v>
      </c>
      <c r="P15366">
        <v>96740</v>
      </c>
      <c r="Q15366">
        <v>1317</v>
      </c>
      <c r="R15366" t="s">
        <v>23</v>
      </c>
      <c r="S15366" s="1" t="s">
        <v>34218</v>
      </c>
    </row>
    <row r="15367" spans="1:19" x14ac:dyDescent="0.25">
      <c r="A15367">
        <v>101163836</v>
      </c>
      <c r="B15367" t="s">
        <v>33012</v>
      </c>
      <c r="C15367" t="s">
        <v>522</v>
      </c>
      <c r="G15367" t="s">
        <v>33013</v>
      </c>
      <c r="H15367" t="s">
        <v>33014</v>
      </c>
      <c r="I15367" t="s">
        <v>191</v>
      </c>
      <c r="J15367">
        <v>4579</v>
      </c>
      <c r="K15367">
        <v>4145</v>
      </c>
      <c r="L15367" t="s">
        <v>23</v>
      </c>
      <c r="M15367" t="s">
        <v>33013</v>
      </c>
      <c r="N15367" t="s">
        <v>33014</v>
      </c>
      <c r="O15367" t="s">
        <v>191</v>
      </c>
      <c r="P15367">
        <v>4579</v>
      </c>
      <c r="Q15367">
        <v>4145</v>
      </c>
      <c r="R15367" t="s">
        <v>23</v>
      </c>
      <c r="S15367" s="1" t="s">
        <v>34218</v>
      </c>
    </row>
    <row r="15368" spans="1:19" x14ac:dyDescent="0.25">
      <c r="A15368">
        <v>101481047</v>
      </c>
      <c r="B15368" t="s">
        <v>33015</v>
      </c>
      <c r="C15368" t="s">
        <v>33016</v>
      </c>
      <c r="G15368" t="s">
        <v>33017</v>
      </c>
      <c r="H15368" t="s">
        <v>227</v>
      </c>
      <c r="I15368" t="s">
        <v>43</v>
      </c>
      <c r="J15368">
        <v>97239</v>
      </c>
      <c r="K15368">
        <v>5963</v>
      </c>
      <c r="L15368" t="s">
        <v>23</v>
      </c>
      <c r="M15368" t="s">
        <v>33017</v>
      </c>
      <c r="N15368" t="s">
        <v>227</v>
      </c>
      <c r="O15368" t="s">
        <v>43</v>
      </c>
      <c r="P15368">
        <v>97239</v>
      </c>
      <c r="Q15368">
        <v>5963</v>
      </c>
      <c r="R15368" t="s">
        <v>23</v>
      </c>
      <c r="S15368" s="1" t="s">
        <v>34218</v>
      </c>
    </row>
    <row r="15369" spans="1:19" x14ac:dyDescent="0.25">
      <c r="A15369">
        <v>101053091</v>
      </c>
      <c r="B15369" t="s">
        <v>1581</v>
      </c>
      <c r="C15369" t="s">
        <v>3460</v>
      </c>
      <c r="G15369" t="s">
        <v>33018</v>
      </c>
      <c r="H15369" t="s">
        <v>13304</v>
      </c>
      <c r="I15369" t="s">
        <v>348</v>
      </c>
      <c r="J15369">
        <v>83864</v>
      </c>
      <c r="L15369" t="s">
        <v>23</v>
      </c>
      <c r="M15369" t="s">
        <v>33018</v>
      </c>
      <c r="N15369" t="s">
        <v>13304</v>
      </c>
      <c r="O15369" t="s">
        <v>348</v>
      </c>
      <c r="P15369">
        <v>83864</v>
      </c>
      <c r="R15369" t="s">
        <v>23</v>
      </c>
      <c r="S15369" s="1" t="s">
        <v>34218</v>
      </c>
    </row>
    <row r="15370" spans="1:19" x14ac:dyDescent="0.25">
      <c r="A15370">
        <v>101220725</v>
      </c>
      <c r="B15370" t="s">
        <v>33019</v>
      </c>
      <c r="C15370" t="s">
        <v>180</v>
      </c>
      <c r="G15370" t="s">
        <v>33020</v>
      </c>
      <c r="H15370" t="s">
        <v>999</v>
      </c>
      <c r="I15370" t="s">
        <v>1000</v>
      </c>
      <c r="J15370">
        <v>59807</v>
      </c>
      <c r="K15370">
        <v>9291</v>
      </c>
      <c r="L15370" t="s">
        <v>23</v>
      </c>
      <c r="M15370" t="s">
        <v>33020</v>
      </c>
      <c r="N15370" t="s">
        <v>999</v>
      </c>
      <c r="O15370" t="s">
        <v>1000</v>
      </c>
      <c r="P15370">
        <v>59807</v>
      </c>
      <c r="Q15370">
        <v>9291</v>
      </c>
      <c r="R15370" t="s">
        <v>23</v>
      </c>
      <c r="S15370" s="1" t="s">
        <v>34218</v>
      </c>
    </row>
    <row r="15371" spans="1:19" x14ac:dyDescent="0.25">
      <c r="A15371">
        <v>101425897</v>
      </c>
      <c r="B15371" t="s">
        <v>33021</v>
      </c>
      <c r="C15371" t="s">
        <v>1030</v>
      </c>
      <c r="G15371" t="s">
        <v>33022</v>
      </c>
      <c r="H15371" t="s">
        <v>13062</v>
      </c>
      <c r="I15371" t="s">
        <v>52</v>
      </c>
      <c r="J15371">
        <v>32934</v>
      </c>
      <c r="K15371">
        <v>7586</v>
      </c>
      <c r="L15371" t="s">
        <v>23</v>
      </c>
      <c r="M15371" t="s">
        <v>33022</v>
      </c>
      <c r="N15371" t="s">
        <v>13062</v>
      </c>
      <c r="O15371" t="s">
        <v>52</v>
      </c>
      <c r="P15371">
        <v>32934</v>
      </c>
      <c r="Q15371">
        <v>7586</v>
      </c>
      <c r="R15371" t="s">
        <v>23</v>
      </c>
      <c r="S15371" s="1" t="s">
        <v>34218</v>
      </c>
    </row>
    <row r="15372" spans="1:19" x14ac:dyDescent="0.25">
      <c r="A15372">
        <v>101470819</v>
      </c>
      <c r="B15372" t="s">
        <v>3109</v>
      </c>
      <c r="C15372" t="s">
        <v>2193</v>
      </c>
      <c r="G15372" t="s">
        <v>33023</v>
      </c>
      <c r="H15372" t="s">
        <v>4446</v>
      </c>
      <c r="I15372" t="s">
        <v>446</v>
      </c>
      <c r="J15372">
        <v>27278</v>
      </c>
      <c r="K15372">
        <v>7091</v>
      </c>
      <c r="L15372" t="s">
        <v>23</v>
      </c>
      <c r="M15372" t="s">
        <v>33023</v>
      </c>
      <c r="N15372" t="s">
        <v>4446</v>
      </c>
      <c r="O15372" t="s">
        <v>446</v>
      </c>
      <c r="P15372">
        <v>27278</v>
      </c>
      <c r="Q15372">
        <v>7091</v>
      </c>
      <c r="R15372" t="s">
        <v>23</v>
      </c>
      <c r="S15372" s="1" t="s">
        <v>34218</v>
      </c>
    </row>
    <row r="15373" spans="1:19" x14ac:dyDescent="0.25">
      <c r="A15373">
        <v>101481052</v>
      </c>
      <c r="B15373" t="s">
        <v>7693</v>
      </c>
      <c r="C15373" t="s">
        <v>3442</v>
      </c>
      <c r="G15373" t="s">
        <v>33024</v>
      </c>
      <c r="H15373" t="s">
        <v>653</v>
      </c>
      <c r="I15373" t="s">
        <v>117</v>
      </c>
      <c r="J15373">
        <v>10024</v>
      </c>
      <c r="K15373">
        <v>5818</v>
      </c>
      <c r="L15373" t="s">
        <v>23</v>
      </c>
      <c r="M15373" t="s">
        <v>33024</v>
      </c>
      <c r="N15373" t="s">
        <v>653</v>
      </c>
      <c r="O15373" t="s">
        <v>117</v>
      </c>
      <c r="P15373">
        <v>10024</v>
      </c>
      <c r="Q15373">
        <v>5818</v>
      </c>
      <c r="R15373" t="s">
        <v>23</v>
      </c>
      <c r="S15373" s="1" t="s">
        <v>34218</v>
      </c>
    </row>
    <row r="15374" spans="1:19" x14ac:dyDescent="0.25">
      <c r="A15374">
        <v>101478425</v>
      </c>
      <c r="B15374" t="s">
        <v>33025</v>
      </c>
      <c r="C15374" t="s">
        <v>4188</v>
      </c>
      <c r="G15374" t="s">
        <v>33026</v>
      </c>
      <c r="H15374" t="s">
        <v>423</v>
      </c>
      <c r="I15374" t="s">
        <v>71</v>
      </c>
      <c r="J15374">
        <v>80303</v>
      </c>
      <c r="K15374">
        <v>3777</v>
      </c>
      <c r="L15374" t="s">
        <v>23</v>
      </c>
      <c r="M15374" t="s">
        <v>33026</v>
      </c>
      <c r="N15374" t="s">
        <v>423</v>
      </c>
      <c r="O15374" t="s">
        <v>71</v>
      </c>
      <c r="P15374">
        <v>80303</v>
      </c>
      <c r="Q15374">
        <v>3777</v>
      </c>
      <c r="R15374" t="s">
        <v>23</v>
      </c>
      <c r="S15374" s="1" t="s">
        <v>34218</v>
      </c>
    </row>
    <row r="15375" spans="1:19" x14ac:dyDescent="0.25">
      <c r="A15375">
        <v>101481057</v>
      </c>
      <c r="B15375" t="s">
        <v>7610</v>
      </c>
      <c r="C15375" t="s">
        <v>33027</v>
      </c>
      <c r="G15375" t="s">
        <v>33028</v>
      </c>
      <c r="H15375" t="s">
        <v>733</v>
      </c>
      <c r="I15375" t="s">
        <v>52</v>
      </c>
      <c r="J15375">
        <v>33705</v>
      </c>
      <c r="L15375" t="s">
        <v>23</v>
      </c>
      <c r="M15375" t="s">
        <v>33028</v>
      </c>
      <c r="N15375" t="s">
        <v>733</v>
      </c>
      <c r="O15375" t="s">
        <v>52</v>
      </c>
      <c r="P15375">
        <v>33705</v>
      </c>
      <c r="R15375" t="s">
        <v>23</v>
      </c>
      <c r="S15375" s="1" t="s">
        <v>34218</v>
      </c>
    </row>
    <row r="15376" spans="1:19" x14ac:dyDescent="0.25">
      <c r="A15376">
        <v>101481058</v>
      </c>
      <c r="B15376" t="s">
        <v>5444</v>
      </c>
      <c r="C15376" t="s">
        <v>367</v>
      </c>
      <c r="G15376" t="s">
        <v>33029</v>
      </c>
      <c r="H15376" t="s">
        <v>9963</v>
      </c>
      <c r="I15376" t="s">
        <v>1000</v>
      </c>
      <c r="J15376">
        <v>59601</v>
      </c>
      <c r="K15376">
        <v>744</v>
      </c>
      <c r="L15376" t="s">
        <v>23</v>
      </c>
      <c r="M15376" t="s">
        <v>33029</v>
      </c>
      <c r="N15376" t="s">
        <v>9963</v>
      </c>
      <c r="O15376" t="s">
        <v>1000</v>
      </c>
      <c r="P15376">
        <v>59601</v>
      </c>
      <c r="Q15376">
        <v>744</v>
      </c>
      <c r="R15376" t="s">
        <v>23</v>
      </c>
      <c r="S15376" s="1" t="s">
        <v>34218</v>
      </c>
    </row>
    <row r="15377" spans="1:19" x14ac:dyDescent="0.25">
      <c r="A15377">
        <v>101450785</v>
      </c>
      <c r="B15377" t="s">
        <v>2531</v>
      </c>
      <c r="C15377" t="s">
        <v>274</v>
      </c>
      <c r="G15377" t="s">
        <v>33030</v>
      </c>
      <c r="H15377" t="s">
        <v>2701</v>
      </c>
      <c r="I15377" t="s">
        <v>370</v>
      </c>
      <c r="J15377">
        <v>68939</v>
      </c>
      <c r="K15377">
        <v>5113</v>
      </c>
      <c r="L15377" t="s">
        <v>23</v>
      </c>
      <c r="M15377" t="s">
        <v>33030</v>
      </c>
      <c r="N15377" t="s">
        <v>2701</v>
      </c>
      <c r="O15377" t="s">
        <v>370</v>
      </c>
      <c r="P15377">
        <v>68939</v>
      </c>
      <c r="Q15377">
        <v>5113</v>
      </c>
      <c r="R15377" t="s">
        <v>23</v>
      </c>
      <c r="S15377" s="1" t="s">
        <v>34218</v>
      </c>
    </row>
    <row r="15378" spans="1:19" x14ac:dyDescent="0.25">
      <c r="A15378">
        <v>101187315</v>
      </c>
      <c r="B15378" t="s">
        <v>33031</v>
      </c>
      <c r="C15378" t="s">
        <v>641</v>
      </c>
      <c r="G15378" t="s">
        <v>33032</v>
      </c>
      <c r="H15378" t="s">
        <v>8349</v>
      </c>
      <c r="I15378" t="s">
        <v>33</v>
      </c>
      <c r="J15378">
        <v>18938</v>
      </c>
      <c r="K15378">
        <v>9420</v>
      </c>
      <c r="L15378" t="s">
        <v>23</v>
      </c>
      <c r="M15378" t="s">
        <v>33032</v>
      </c>
      <c r="N15378" t="s">
        <v>8349</v>
      </c>
      <c r="O15378" t="s">
        <v>33</v>
      </c>
      <c r="P15378">
        <v>18938</v>
      </c>
      <c r="Q15378">
        <v>9420</v>
      </c>
      <c r="R15378" t="s">
        <v>23</v>
      </c>
      <c r="S15378" s="1" t="s">
        <v>34218</v>
      </c>
    </row>
    <row r="15379" spans="1:19" x14ac:dyDescent="0.25">
      <c r="A15379">
        <v>101312600</v>
      </c>
      <c r="B15379" t="s">
        <v>744</v>
      </c>
      <c r="C15379" t="s">
        <v>313</v>
      </c>
      <c r="G15379" t="s">
        <v>33033</v>
      </c>
      <c r="H15379" t="s">
        <v>4262</v>
      </c>
      <c r="I15379" t="s">
        <v>365</v>
      </c>
      <c r="J15379">
        <v>85387</v>
      </c>
      <c r="L15379" t="s">
        <v>23</v>
      </c>
      <c r="M15379" t="s">
        <v>33033</v>
      </c>
      <c r="N15379" t="s">
        <v>4262</v>
      </c>
      <c r="O15379" t="s">
        <v>365</v>
      </c>
      <c r="P15379">
        <v>85387</v>
      </c>
      <c r="R15379" t="s">
        <v>23</v>
      </c>
      <c r="S15379" s="1" t="s">
        <v>34218</v>
      </c>
    </row>
    <row r="15380" spans="1:19" x14ac:dyDescent="0.25">
      <c r="A15380">
        <v>101311981</v>
      </c>
      <c r="B15380" t="s">
        <v>33034</v>
      </c>
      <c r="C15380" t="s">
        <v>158</v>
      </c>
      <c r="G15380" t="s">
        <v>33035</v>
      </c>
      <c r="H15380" t="s">
        <v>682</v>
      </c>
      <c r="I15380" t="s">
        <v>365</v>
      </c>
      <c r="J15380">
        <v>85032</v>
      </c>
      <c r="K15380">
        <v>4938</v>
      </c>
      <c r="L15380" t="s">
        <v>23</v>
      </c>
      <c r="M15380" t="s">
        <v>33035</v>
      </c>
      <c r="N15380" t="s">
        <v>682</v>
      </c>
      <c r="O15380" t="s">
        <v>365</v>
      </c>
      <c r="P15380">
        <v>85032</v>
      </c>
      <c r="Q15380">
        <v>4938</v>
      </c>
      <c r="R15380" t="s">
        <v>23</v>
      </c>
      <c r="S15380" s="1" t="s">
        <v>34218</v>
      </c>
    </row>
    <row r="15381" spans="1:19" x14ac:dyDescent="0.25">
      <c r="A15381">
        <v>101481068</v>
      </c>
      <c r="B15381" t="s">
        <v>6058</v>
      </c>
      <c r="C15381" t="s">
        <v>1078</v>
      </c>
      <c r="G15381" t="s">
        <v>10550</v>
      </c>
      <c r="H15381" t="s">
        <v>2029</v>
      </c>
      <c r="I15381" t="s">
        <v>22</v>
      </c>
      <c r="J15381">
        <v>92625</v>
      </c>
      <c r="K15381">
        <v>1434</v>
      </c>
      <c r="L15381" t="s">
        <v>23</v>
      </c>
      <c r="M15381" t="s">
        <v>10550</v>
      </c>
      <c r="N15381" t="s">
        <v>2029</v>
      </c>
      <c r="O15381" t="s">
        <v>22</v>
      </c>
      <c r="P15381">
        <v>92625</v>
      </c>
      <c r="Q15381">
        <v>1434</v>
      </c>
      <c r="R15381" t="s">
        <v>23</v>
      </c>
      <c r="S15381" s="1" t="s">
        <v>34218</v>
      </c>
    </row>
    <row r="15382" spans="1:19" x14ac:dyDescent="0.25">
      <c r="A15382">
        <v>101420453</v>
      </c>
      <c r="B15382" t="s">
        <v>8135</v>
      </c>
      <c r="C15382" t="s">
        <v>2287</v>
      </c>
      <c r="G15382" t="s">
        <v>33036</v>
      </c>
      <c r="H15382" t="s">
        <v>24698</v>
      </c>
      <c r="I15382" t="s">
        <v>117</v>
      </c>
      <c r="J15382">
        <v>14522</v>
      </c>
      <c r="K15382">
        <v>1313</v>
      </c>
      <c r="L15382" t="s">
        <v>23</v>
      </c>
      <c r="M15382" t="s">
        <v>33036</v>
      </c>
      <c r="N15382" t="s">
        <v>24698</v>
      </c>
      <c r="O15382" t="s">
        <v>117</v>
      </c>
      <c r="P15382">
        <v>14522</v>
      </c>
      <c r="Q15382">
        <v>1313</v>
      </c>
      <c r="R15382" t="s">
        <v>23</v>
      </c>
      <c r="S15382" s="1" t="s">
        <v>34218</v>
      </c>
    </row>
    <row r="15383" spans="1:19" x14ac:dyDescent="0.25">
      <c r="A15383">
        <v>101481076</v>
      </c>
      <c r="B15383" t="s">
        <v>33037</v>
      </c>
      <c r="C15383" t="s">
        <v>33038</v>
      </c>
      <c r="G15383" t="s">
        <v>26595</v>
      </c>
      <c r="H15383" t="s">
        <v>8826</v>
      </c>
      <c r="I15383" t="s">
        <v>22</v>
      </c>
      <c r="J15383">
        <v>92020</v>
      </c>
      <c r="K15383">
        <v>3909</v>
      </c>
      <c r="L15383" t="s">
        <v>23</v>
      </c>
      <c r="M15383" t="s">
        <v>26595</v>
      </c>
      <c r="N15383" t="s">
        <v>8826</v>
      </c>
      <c r="O15383" t="s">
        <v>22</v>
      </c>
      <c r="P15383">
        <v>92020</v>
      </c>
      <c r="Q15383">
        <v>3909</v>
      </c>
      <c r="R15383" t="s">
        <v>23</v>
      </c>
      <c r="S15383" s="1" t="s">
        <v>34218</v>
      </c>
    </row>
    <row r="15384" spans="1:19" x14ac:dyDescent="0.25">
      <c r="A15384">
        <v>101172014</v>
      </c>
      <c r="B15384" t="s">
        <v>3927</v>
      </c>
      <c r="C15384" t="s">
        <v>2343</v>
      </c>
      <c r="G15384" t="s">
        <v>33039</v>
      </c>
      <c r="H15384" t="s">
        <v>21402</v>
      </c>
      <c r="I15384" t="s">
        <v>178</v>
      </c>
      <c r="J15384">
        <v>43081</v>
      </c>
      <c r="K15384">
        <v>4306</v>
      </c>
      <c r="L15384" t="s">
        <v>23</v>
      </c>
      <c r="M15384" t="s">
        <v>33039</v>
      </c>
      <c r="N15384" t="s">
        <v>21402</v>
      </c>
      <c r="O15384" t="s">
        <v>178</v>
      </c>
      <c r="P15384">
        <v>43081</v>
      </c>
      <c r="Q15384">
        <v>4306</v>
      </c>
      <c r="R15384" t="s">
        <v>23</v>
      </c>
      <c r="S15384" s="1" t="s">
        <v>34218</v>
      </c>
    </row>
    <row r="15385" spans="1:19" x14ac:dyDescent="0.25">
      <c r="A15385">
        <v>101481081</v>
      </c>
      <c r="B15385" t="s">
        <v>4699</v>
      </c>
      <c r="C15385" t="s">
        <v>132</v>
      </c>
      <c r="G15385" t="s">
        <v>33040</v>
      </c>
      <c r="H15385" t="s">
        <v>1604</v>
      </c>
      <c r="I15385" t="s">
        <v>148</v>
      </c>
      <c r="J15385">
        <v>21044</v>
      </c>
      <c r="K15385">
        <v>3734</v>
      </c>
      <c r="L15385" t="s">
        <v>23</v>
      </c>
      <c r="M15385" t="s">
        <v>33040</v>
      </c>
      <c r="N15385" t="s">
        <v>1604</v>
      </c>
      <c r="O15385" t="s">
        <v>148</v>
      </c>
      <c r="P15385">
        <v>21044</v>
      </c>
      <c r="Q15385">
        <v>3734</v>
      </c>
      <c r="R15385" t="s">
        <v>23</v>
      </c>
      <c r="S15385" s="1" t="s">
        <v>34218</v>
      </c>
    </row>
    <row r="15386" spans="1:19" x14ac:dyDescent="0.25">
      <c r="A15386">
        <v>101291718</v>
      </c>
      <c r="B15386" t="s">
        <v>33041</v>
      </c>
      <c r="C15386" t="s">
        <v>33042</v>
      </c>
      <c r="G15386" t="s">
        <v>33043</v>
      </c>
      <c r="H15386" t="s">
        <v>33044</v>
      </c>
      <c r="I15386" t="s">
        <v>178</v>
      </c>
      <c r="J15386">
        <v>45347</v>
      </c>
      <c r="K15386">
        <v>9010</v>
      </c>
      <c r="L15386" t="s">
        <v>23</v>
      </c>
      <c r="M15386" t="s">
        <v>33043</v>
      </c>
      <c r="N15386" t="s">
        <v>33044</v>
      </c>
      <c r="O15386" t="s">
        <v>178</v>
      </c>
      <c r="P15386">
        <v>45347</v>
      </c>
      <c r="Q15386">
        <v>9010</v>
      </c>
      <c r="R15386" t="s">
        <v>23</v>
      </c>
      <c r="S15386" s="1" t="s">
        <v>34218</v>
      </c>
    </row>
    <row r="15387" spans="1:19" x14ac:dyDescent="0.25">
      <c r="A15387">
        <v>101353096</v>
      </c>
      <c r="B15387" t="s">
        <v>33045</v>
      </c>
      <c r="C15387" t="s">
        <v>865</v>
      </c>
      <c r="G15387" t="s">
        <v>33046</v>
      </c>
      <c r="H15387" t="s">
        <v>299</v>
      </c>
      <c r="I15387" t="s">
        <v>22</v>
      </c>
      <c r="J15387">
        <v>90049</v>
      </c>
      <c r="K15387">
        <v>5893</v>
      </c>
      <c r="L15387" t="s">
        <v>23</v>
      </c>
      <c r="M15387" t="s">
        <v>33046</v>
      </c>
      <c r="N15387" t="s">
        <v>299</v>
      </c>
      <c r="O15387" t="s">
        <v>22</v>
      </c>
      <c r="P15387">
        <v>90049</v>
      </c>
      <c r="Q15387">
        <v>5893</v>
      </c>
      <c r="R15387" t="s">
        <v>23</v>
      </c>
      <c r="S15387" s="1" t="s">
        <v>34218</v>
      </c>
    </row>
    <row r="15388" spans="1:19" x14ac:dyDescent="0.25">
      <c r="A15388">
        <v>101274317</v>
      </c>
      <c r="B15388" t="s">
        <v>8184</v>
      </c>
      <c r="C15388" t="s">
        <v>4153</v>
      </c>
      <c r="G15388" t="s">
        <v>33047</v>
      </c>
      <c r="H15388" t="s">
        <v>1863</v>
      </c>
      <c r="I15388" t="s">
        <v>126</v>
      </c>
      <c r="J15388">
        <v>64105</v>
      </c>
      <c r="K15388">
        <v>2304</v>
      </c>
      <c r="L15388" t="s">
        <v>23</v>
      </c>
      <c r="M15388" t="s">
        <v>33047</v>
      </c>
      <c r="N15388" t="s">
        <v>1863</v>
      </c>
      <c r="O15388" t="s">
        <v>126</v>
      </c>
      <c r="P15388">
        <v>64105</v>
      </c>
      <c r="Q15388">
        <v>2304</v>
      </c>
      <c r="R15388" t="s">
        <v>23</v>
      </c>
      <c r="S15388" s="1" t="s">
        <v>34218</v>
      </c>
    </row>
    <row r="15389" spans="1:19" x14ac:dyDescent="0.25">
      <c r="A15389">
        <v>100534919</v>
      </c>
      <c r="B15389" t="s">
        <v>33048</v>
      </c>
      <c r="C15389" t="s">
        <v>10263</v>
      </c>
      <c r="G15389" t="s">
        <v>33049</v>
      </c>
      <c r="H15389" t="s">
        <v>33050</v>
      </c>
      <c r="I15389" t="s">
        <v>43</v>
      </c>
      <c r="J15389">
        <v>11700</v>
      </c>
      <c r="L15389" t="s">
        <v>23</v>
      </c>
      <c r="M15389" t="s">
        <v>33049</v>
      </c>
      <c r="N15389" t="s">
        <v>33050</v>
      </c>
      <c r="O15389" t="s">
        <v>43</v>
      </c>
      <c r="P15389">
        <v>11700</v>
      </c>
      <c r="R15389" t="s">
        <v>23</v>
      </c>
      <c r="S15389" s="1" t="s">
        <v>34218</v>
      </c>
    </row>
    <row r="15390" spans="1:19" x14ac:dyDescent="0.25">
      <c r="A15390">
        <v>101481091</v>
      </c>
      <c r="B15390" t="s">
        <v>567</v>
      </c>
      <c r="C15390" t="s">
        <v>290</v>
      </c>
      <c r="G15390" t="s">
        <v>31128</v>
      </c>
      <c r="H15390" t="s">
        <v>567</v>
      </c>
      <c r="I15390" t="s">
        <v>446</v>
      </c>
      <c r="J15390">
        <v>27604</v>
      </c>
      <c r="K15390">
        <v>8661</v>
      </c>
      <c r="L15390" t="s">
        <v>23</v>
      </c>
      <c r="M15390" t="s">
        <v>31128</v>
      </c>
      <c r="N15390" t="s">
        <v>567</v>
      </c>
      <c r="O15390" t="s">
        <v>446</v>
      </c>
      <c r="P15390">
        <v>27604</v>
      </c>
      <c r="Q15390">
        <v>8661</v>
      </c>
      <c r="R15390" t="s">
        <v>23</v>
      </c>
      <c r="S15390" s="1" t="s">
        <v>34218</v>
      </c>
    </row>
    <row r="15391" spans="1:19" x14ac:dyDescent="0.25">
      <c r="A15391">
        <v>101120471</v>
      </c>
      <c r="B15391" t="s">
        <v>12511</v>
      </c>
      <c r="C15391" t="s">
        <v>579</v>
      </c>
      <c r="G15391" t="s">
        <v>33051</v>
      </c>
      <c r="H15391" t="s">
        <v>14497</v>
      </c>
      <c r="I15391" t="s">
        <v>236</v>
      </c>
      <c r="J15391">
        <v>2338</v>
      </c>
      <c r="K15391">
        <v>1049</v>
      </c>
      <c r="L15391" t="s">
        <v>23</v>
      </c>
      <c r="M15391" t="s">
        <v>33051</v>
      </c>
      <c r="N15391" t="s">
        <v>14497</v>
      </c>
      <c r="O15391" t="s">
        <v>236</v>
      </c>
      <c r="P15391">
        <v>2338</v>
      </c>
      <c r="Q15391">
        <v>1049</v>
      </c>
      <c r="R15391" t="s">
        <v>23</v>
      </c>
      <c r="S15391" s="1" t="s">
        <v>34218</v>
      </c>
    </row>
    <row r="15392" spans="1:19" x14ac:dyDescent="0.25">
      <c r="A15392">
        <v>101246328</v>
      </c>
      <c r="B15392" t="s">
        <v>24674</v>
      </c>
      <c r="C15392" t="s">
        <v>33052</v>
      </c>
      <c r="G15392" t="s">
        <v>33053</v>
      </c>
      <c r="H15392" t="s">
        <v>299</v>
      </c>
      <c r="I15392" t="s">
        <v>22</v>
      </c>
      <c r="J15392">
        <v>90045</v>
      </c>
      <c r="K15392">
        <v>2522</v>
      </c>
      <c r="L15392" t="s">
        <v>23</v>
      </c>
      <c r="M15392" t="s">
        <v>33053</v>
      </c>
      <c r="N15392" t="s">
        <v>299</v>
      </c>
      <c r="O15392" t="s">
        <v>22</v>
      </c>
      <c r="P15392">
        <v>90045</v>
      </c>
      <c r="Q15392">
        <v>2522</v>
      </c>
      <c r="R15392" t="s">
        <v>23</v>
      </c>
      <c r="S15392" s="1" t="s">
        <v>34218</v>
      </c>
    </row>
    <row r="15393" spans="1:19" x14ac:dyDescent="0.25">
      <c r="A15393">
        <v>101481106</v>
      </c>
      <c r="B15393" t="s">
        <v>5497</v>
      </c>
      <c r="C15393" t="s">
        <v>5248</v>
      </c>
      <c r="G15393" t="s">
        <v>33054</v>
      </c>
      <c r="H15393" t="s">
        <v>1274</v>
      </c>
      <c r="I15393" t="s">
        <v>187</v>
      </c>
      <c r="J15393">
        <v>55385</v>
      </c>
      <c r="K15393">
        <v>5905</v>
      </c>
      <c r="L15393" t="s">
        <v>23</v>
      </c>
      <c r="M15393" t="s">
        <v>33054</v>
      </c>
      <c r="N15393" t="s">
        <v>1274</v>
      </c>
      <c r="O15393" t="s">
        <v>187</v>
      </c>
      <c r="P15393">
        <v>55385</v>
      </c>
      <c r="Q15393">
        <v>5905</v>
      </c>
      <c r="R15393" t="s">
        <v>23</v>
      </c>
      <c r="S15393" s="1" t="s">
        <v>34218</v>
      </c>
    </row>
    <row r="15394" spans="1:19" x14ac:dyDescent="0.25">
      <c r="A15394">
        <v>101455649</v>
      </c>
      <c r="B15394" t="s">
        <v>9236</v>
      </c>
      <c r="C15394" t="s">
        <v>54</v>
      </c>
      <c r="G15394" t="s">
        <v>33055</v>
      </c>
      <c r="H15394" t="s">
        <v>227</v>
      </c>
      <c r="I15394" t="s">
        <v>43</v>
      </c>
      <c r="J15394">
        <v>97213</v>
      </c>
      <c r="K15394">
        <v>5958</v>
      </c>
      <c r="L15394" t="s">
        <v>23</v>
      </c>
      <c r="M15394" t="s">
        <v>33055</v>
      </c>
      <c r="N15394" t="s">
        <v>227</v>
      </c>
      <c r="O15394" t="s">
        <v>43</v>
      </c>
      <c r="P15394">
        <v>97213</v>
      </c>
      <c r="Q15394">
        <v>5958</v>
      </c>
      <c r="R15394" t="s">
        <v>23</v>
      </c>
      <c r="S15394" s="1" t="s">
        <v>34218</v>
      </c>
    </row>
    <row r="15395" spans="1:19" x14ac:dyDescent="0.25">
      <c r="A15395">
        <v>101481110</v>
      </c>
      <c r="B15395" t="s">
        <v>29939</v>
      </c>
      <c r="C15395" t="s">
        <v>543</v>
      </c>
      <c r="G15395" t="s">
        <v>33056</v>
      </c>
      <c r="H15395" t="s">
        <v>108</v>
      </c>
      <c r="I15395" t="s">
        <v>22</v>
      </c>
      <c r="J15395">
        <v>93003</v>
      </c>
      <c r="K15395">
        <v>1322</v>
      </c>
      <c r="L15395" t="s">
        <v>23</v>
      </c>
      <c r="M15395" t="s">
        <v>33056</v>
      </c>
      <c r="N15395" t="s">
        <v>108</v>
      </c>
      <c r="O15395" t="s">
        <v>22</v>
      </c>
      <c r="P15395">
        <v>93003</v>
      </c>
      <c r="Q15395">
        <v>1322</v>
      </c>
      <c r="R15395" t="s">
        <v>23</v>
      </c>
      <c r="S15395" s="1" t="s">
        <v>34218</v>
      </c>
    </row>
    <row r="15396" spans="1:19" x14ac:dyDescent="0.25">
      <c r="A15396">
        <v>101481111</v>
      </c>
      <c r="B15396" t="s">
        <v>23941</v>
      </c>
      <c r="C15396" t="s">
        <v>1602</v>
      </c>
      <c r="G15396" t="s">
        <v>33057</v>
      </c>
      <c r="H15396" t="s">
        <v>5644</v>
      </c>
      <c r="I15396" t="s">
        <v>370</v>
      </c>
      <c r="J15396">
        <v>68105</v>
      </c>
      <c r="K15396">
        <v>1919</v>
      </c>
      <c r="L15396" t="s">
        <v>23</v>
      </c>
      <c r="M15396" t="s">
        <v>33057</v>
      </c>
      <c r="N15396" t="s">
        <v>5644</v>
      </c>
      <c r="O15396" t="s">
        <v>370</v>
      </c>
      <c r="P15396">
        <v>68105</v>
      </c>
      <c r="Q15396">
        <v>1919</v>
      </c>
      <c r="R15396" t="s">
        <v>23</v>
      </c>
      <c r="S15396" s="1" t="s">
        <v>34218</v>
      </c>
    </row>
    <row r="15397" spans="1:19" x14ac:dyDescent="0.25">
      <c r="A15397">
        <v>101481121</v>
      </c>
      <c r="B15397" t="s">
        <v>5497</v>
      </c>
      <c r="C15397" t="s">
        <v>123</v>
      </c>
      <c r="G15397" t="s">
        <v>33058</v>
      </c>
      <c r="H15397" t="s">
        <v>2139</v>
      </c>
      <c r="I15397" t="s">
        <v>135</v>
      </c>
      <c r="J15397">
        <v>60062</v>
      </c>
      <c r="K15397">
        <v>6067</v>
      </c>
      <c r="L15397" t="s">
        <v>23</v>
      </c>
      <c r="M15397" t="s">
        <v>33058</v>
      </c>
      <c r="N15397" t="s">
        <v>2139</v>
      </c>
      <c r="O15397" t="s">
        <v>135</v>
      </c>
      <c r="P15397">
        <v>60062</v>
      </c>
      <c r="Q15397">
        <v>6067</v>
      </c>
      <c r="R15397" t="s">
        <v>23</v>
      </c>
      <c r="S15397" s="1" t="s">
        <v>34218</v>
      </c>
    </row>
    <row r="15398" spans="1:19" x14ac:dyDescent="0.25">
      <c r="A15398">
        <v>101430579</v>
      </c>
      <c r="B15398" t="s">
        <v>9276</v>
      </c>
      <c r="C15398" t="s">
        <v>2010</v>
      </c>
      <c r="G15398" t="s">
        <v>33059</v>
      </c>
      <c r="H15398" t="s">
        <v>5629</v>
      </c>
      <c r="I15398" t="s">
        <v>100</v>
      </c>
      <c r="J15398">
        <v>53589</v>
      </c>
      <c r="K15398">
        <v>4240</v>
      </c>
      <c r="L15398" t="s">
        <v>23</v>
      </c>
      <c r="M15398" t="s">
        <v>33059</v>
      </c>
      <c r="N15398" t="s">
        <v>5629</v>
      </c>
      <c r="O15398" t="s">
        <v>100</v>
      </c>
      <c r="P15398">
        <v>53589</v>
      </c>
      <c r="Q15398">
        <v>4240</v>
      </c>
      <c r="R15398" t="s">
        <v>23</v>
      </c>
      <c r="S15398" s="1" t="s">
        <v>34218</v>
      </c>
    </row>
    <row r="15399" spans="1:19" x14ac:dyDescent="0.25">
      <c r="A15399">
        <v>101481142</v>
      </c>
      <c r="B15399" t="s">
        <v>3838</v>
      </c>
      <c r="C15399" t="s">
        <v>90</v>
      </c>
      <c r="G15399" t="s">
        <v>23761</v>
      </c>
      <c r="H15399" t="s">
        <v>7340</v>
      </c>
      <c r="I15399" t="s">
        <v>22</v>
      </c>
      <c r="J15399">
        <v>95682</v>
      </c>
      <c r="K15399">
        <v>4066</v>
      </c>
      <c r="L15399" t="s">
        <v>23</v>
      </c>
      <c r="M15399" t="s">
        <v>23761</v>
      </c>
      <c r="N15399" t="s">
        <v>7340</v>
      </c>
      <c r="O15399" t="s">
        <v>22</v>
      </c>
      <c r="P15399">
        <v>95682</v>
      </c>
      <c r="Q15399">
        <v>4066</v>
      </c>
      <c r="R15399" t="s">
        <v>23</v>
      </c>
      <c r="S15399" s="1" t="s">
        <v>34218</v>
      </c>
    </row>
    <row r="15400" spans="1:19" x14ac:dyDescent="0.25">
      <c r="A15400">
        <v>101481150</v>
      </c>
      <c r="B15400" t="s">
        <v>2559</v>
      </c>
      <c r="C15400" t="s">
        <v>4133</v>
      </c>
      <c r="G15400" t="s">
        <v>33060</v>
      </c>
      <c r="H15400" t="s">
        <v>6435</v>
      </c>
      <c r="I15400" t="s">
        <v>1482</v>
      </c>
      <c r="J15400">
        <v>29486</v>
      </c>
      <c r="K15400">
        <v>8836</v>
      </c>
      <c r="L15400" t="s">
        <v>23</v>
      </c>
      <c r="M15400" t="s">
        <v>33060</v>
      </c>
      <c r="N15400" t="s">
        <v>6435</v>
      </c>
      <c r="O15400" t="s">
        <v>1482</v>
      </c>
      <c r="P15400">
        <v>29486</v>
      </c>
      <c r="Q15400">
        <v>8836</v>
      </c>
      <c r="R15400" t="s">
        <v>23</v>
      </c>
      <c r="S15400" s="1" t="s">
        <v>34218</v>
      </c>
    </row>
    <row r="15401" spans="1:19" x14ac:dyDescent="0.25">
      <c r="A15401">
        <v>101427373</v>
      </c>
      <c r="B15401" t="s">
        <v>33061</v>
      </c>
      <c r="C15401" t="s">
        <v>575</v>
      </c>
      <c r="G15401" t="s">
        <v>33062</v>
      </c>
      <c r="H15401" t="s">
        <v>1412</v>
      </c>
      <c r="I15401" t="s">
        <v>52</v>
      </c>
      <c r="J15401" t="s">
        <v>33063</v>
      </c>
      <c r="K15401">
        <v>1984</v>
      </c>
      <c r="L15401" t="s">
        <v>23</v>
      </c>
      <c r="M15401" t="s">
        <v>33062</v>
      </c>
      <c r="N15401" t="s">
        <v>1412</v>
      </c>
      <c r="O15401" t="s">
        <v>52</v>
      </c>
      <c r="P15401" t="s">
        <v>33063</v>
      </c>
      <c r="Q15401">
        <v>1984</v>
      </c>
      <c r="R15401" t="s">
        <v>23</v>
      </c>
      <c r="S15401" s="1" t="s">
        <v>34218</v>
      </c>
    </row>
    <row r="15402" spans="1:19" x14ac:dyDescent="0.25">
      <c r="A15402">
        <v>100920324</v>
      </c>
      <c r="B15402" t="s">
        <v>33064</v>
      </c>
      <c r="C15402" t="s">
        <v>3113</v>
      </c>
      <c r="G15402" t="s">
        <v>33065</v>
      </c>
      <c r="H15402" t="s">
        <v>5070</v>
      </c>
      <c r="I15402" t="s">
        <v>84</v>
      </c>
      <c r="J15402" t="s">
        <v>33066</v>
      </c>
      <c r="K15402">
        <v>1276</v>
      </c>
      <c r="L15402" t="s">
        <v>23</v>
      </c>
      <c r="M15402" t="s">
        <v>33065</v>
      </c>
      <c r="N15402" t="s">
        <v>5070</v>
      </c>
      <c r="O15402" t="s">
        <v>84</v>
      </c>
      <c r="P15402" t="s">
        <v>33066</v>
      </c>
      <c r="Q15402">
        <v>1276</v>
      </c>
      <c r="R15402" t="s">
        <v>23</v>
      </c>
      <c r="S15402" s="1" t="s">
        <v>34218</v>
      </c>
    </row>
    <row r="15403" spans="1:19" x14ac:dyDescent="0.25">
      <c r="A15403">
        <v>100862545</v>
      </c>
      <c r="B15403" t="s">
        <v>1665</v>
      </c>
      <c r="C15403" t="s">
        <v>9687</v>
      </c>
      <c r="G15403" t="s">
        <v>33067</v>
      </c>
      <c r="H15403" t="s">
        <v>682</v>
      </c>
      <c r="I15403" t="s">
        <v>365</v>
      </c>
      <c r="J15403" t="s">
        <v>33068</v>
      </c>
      <c r="K15403">
        <v>3046</v>
      </c>
      <c r="L15403" t="s">
        <v>23</v>
      </c>
      <c r="M15403" t="s">
        <v>33067</v>
      </c>
      <c r="N15403" t="s">
        <v>682</v>
      </c>
      <c r="O15403" t="s">
        <v>365</v>
      </c>
      <c r="P15403" t="s">
        <v>33068</v>
      </c>
      <c r="Q15403">
        <v>3046</v>
      </c>
      <c r="R15403" t="s">
        <v>23</v>
      </c>
      <c r="S15403" s="1" t="s">
        <v>34218</v>
      </c>
    </row>
    <row r="15404" spans="1:19" x14ac:dyDescent="0.25">
      <c r="A15404">
        <v>101377327</v>
      </c>
      <c r="B15404" t="s">
        <v>33069</v>
      </c>
      <c r="C15404" t="s">
        <v>3566</v>
      </c>
      <c r="G15404" t="s">
        <v>33070</v>
      </c>
      <c r="H15404" t="s">
        <v>22149</v>
      </c>
      <c r="I15404" t="s">
        <v>28</v>
      </c>
      <c r="J15404">
        <v>30044</v>
      </c>
      <c r="L15404" t="s">
        <v>23</v>
      </c>
      <c r="M15404" t="s">
        <v>33070</v>
      </c>
      <c r="N15404" t="s">
        <v>22149</v>
      </c>
      <c r="O15404" t="s">
        <v>28</v>
      </c>
      <c r="P15404">
        <v>30044</v>
      </c>
      <c r="R15404" t="s">
        <v>23</v>
      </c>
      <c r="S15404" s="1" t="s">
        <v>34218</v>
      </c>
    </row>
    <row r="15405" spans="1:19" x14ac:dyDescent="0.25">
      <c r="A15405">
        <v>101425292</v>
      </c>
      <c r="B15405" t="s">
        <v>33071</v>
      </c>
      <c r="C15405" t="s">
        <v>4673</v>
      </c>
      <c r="G15405" t="s">
        <v>33072</v>
      </c>
      <c r="H15405" t="s">
        <v>976</v>
      </c>
      <c r="I15405" t="s">
        <v>140</v>
      </c>
      <c r="J15405" t="s">
        <v>33073</v>
      </c>
      <c r="K15405">
        <v>9346</v>
      </c>
      <c r="L15405" t="s">
        <v>23</v>
      </c>
      <c r="M15405" t="s">
        <v>33072</v>
      </c>
      <c r="N15405" t="s">
        <v>976</v>
      </c>
      <c r="O15405" t="s">
        <v>140</v>
      </c>
      <c r="P15405" t="s">
        <v>33073</v>
      </c>
      <c r="Q15405">
        <v>9346</v>
      </c>
      <c r="R15405" t="s">
        <v>23</v>
      </c>
      <c r="S15405" s="1" t="s">
        <v>34218</v>
      </c>
    </row>
    <row r="15406" spans="1:19" x14ac:dyDescent="0.25">
      <c r="A15406">
        <v>100767662</v>
      </c>
      <c r="B15406" t="s">
        <v>33074</v>
      </c>
      <c r="C15406" t="s">
        <v>1506</v>
      </c>
      <c r="G15406" t="s">
        <v>33075</v>
      </c>
      <c r="H15406" t="s">
        <v>3228</v>
      </c>
      <c r="I15406" t="s">
        <v>52</v>
      </c>
      <c r="J15406">
        <v>32949</v>
      </c>
      <c r="L15406" t="s">
        <v>23</v>
      </c>
      <c r="M15406" t="s">
        <v>33075</v>
      </c>
      <c r="N15406" t="s">
        <v>3228</v>
      </c>
      <c r="O15406" t="s">
        <v>52</v>
      </c>
      <c r="P15406">
        <v>32949</v>
      </c>
      <c r="R15406" t="s">
        <v>23</v>
      </c>
      <c r="S15406" s="1" t="s">
        <v>34218</v>
      </c>
    </row>
    <row r="15407" spans="1:19" x14ac:dyDescent="0.25">
      <c r="A15407">
        <v>101011819</v>
      </c>
      <c r="B15407" t="s">
        <v>1986</v>
      </c>
      <c r="C15407" t="s">
        <v>2547</v>
      </c>
      <c r="G15407" t="s">
        <v>33076</v>
      </c>
      <c r="H15407" t="s">
        <v>28556</v>
      </c>
      <c r="I15407" t="s">
        <v>250</v>
      </c>
      <c r="J15407" t="s">
        <v>33077</v>
      </c>
      <c r="K15407">
        <v>1361</v>
      </c>
      <c r="L15407" t="s">
        <v>23</v>
      </c>
      <c r="M15407" t="s">
        <v>33076</v>
      </c>
      <c r="N15407" t="s">
        <v>28556</v>
      </c>
      <c r="O15407" t="s">
        <v>250</v>
      </c>
      <c r="P15407" t="s">
        <v>33077</v>
      </c>
      <c r="Q15407">
        <v>1361</v>
      </c>
      <c r="R15407" t="s">
        <v>23</v>
      </c>
      <c r="S15407" s="1" t="s">
        <v>34218</v>
      </c>
    </row>
    <row r="15408" spans="1:19" x14ac:dyDescent="0.25">
      <c r="A15408">
        <v>101445854</v>
      </c>
      <c r="B15408" t="s">
        <v>7741</v>
      </c>
      <c r="C15408" t="s">
        <v>2891</v>
      </c>
      <c r="G15408" t="s">
        <v>33078</v>
      </c>
      <c r="H15408" t="s">
        <v>10008</v>
      </c>
      <c r="I15408" t="s">
        <v>22</v>
      </c>
      <c r="J15408" t="s">
        <v>33079</v>
      </c>
      <c r="K15408">
        <v>9509</v>
      </c>
      <c r="L15408" t="s">
        <v>23</v>
      </c>
      <c r="M15408" t="s">
        <v>33078</v>
      </c>
      <c r="N15408" t="s">
        <v>10008</v>
      </c>
      <c r="O15408" t="s">
        <v>22</v>
      </c>
      <c r="P15408" t="s">
        <v>33079</v>
      </c>
      <c r="Q15408">
        <v>9509</v>
      </c>
      <c r="R15408" t="s">
        <v>23</v>
      </c>
      <c r="S15408" s="1" t="s">
        <v>34218</v>
      </c>
    </row>
    <row r="15409" spans="1:19" x14ac:dyDescent="0.25">
      <c r="A15409">
        <v>101408465</v>
      </c>
      <c r="B15409" t="s">
        <v>33080</v>
      </c>
      <c r="C15409" t="s">
        <v>1533</v>
      </c>
      <c r="G15409" t="s">
        <v>33081</v>
      </c>
      <c r="H15409" t="s">
        <v>569</v>
      </c>
      <c r="I15409" t="s">
        <v>187</v>
      </c>
      <c r="J15409" t="s">
        <v>33082</v>
      </c>
      <c r="K15409">
        <v>5801</v>
      </c>
      <c r="L15409" t="s">
        <v>23</v>
      </c>
      <c r="M15409" t="s">
        <v>33081</v>
      </c>
      <c r="N15409" t="s">
        <v>569</v>
      </c>
      <c r="O15409" t="s">
        <v>187</v>
      </c>
      <c r="P15409" t="s">
        <v>33082</v>
      </c>
      <c r="Q15409">
        <v>5801</v>
      </c>
      <c r="R15409" t="s">
        <v>23</v>
      </c>
      <c r="S15409" s="1" t="s">
        <v>34218</v>
      </c>
    </row>
    <row r="15410" spans="1:19" x14ac:dyDescent="0.25">
      <c r="A15410">
        <v>101266963</v>
      </c>
      <c r="B15410" t="s">
        <v>7787</v>
      </c>
      <c r="C15410" t="s">
        <v>575</v>
      </c>
      <c r="G15410" t="s">
        <v>33083</v>
      </c>
      <c r="H15410" t="s">
        <v>6727</v>
      </c>
      <c r="I15410" t="s">
        <v>52</v>
      </c>
      <c r="J15410" t="s">
        <v>33084</v>
      </c>
      <c r="K15410">
        <v>4530</v>
      </c>
      <c r="L15410" t="s">
        <v>23</v>
      </c>
      <c r="M15410" t="s">
        <v>33083</v>
      </c>
      <c r="N15410" t="s">
        <v>6727</v>
      </c>
      <c r="O15410" t="s">
        <v>52</v>
      </c>
      <c r="P15410" t="s">
        <v>33084</v>
      </c>
      <c r="Q15410">
        <v>4530</v>
      </c>
      <c r="R15410" t="s">
        <v>23</v>
      </c>
      <c r="S15410" s="1" t="s">
        <v>34218</v>
      </c>
    </row>
    <row r="15411" spans="1:19" x14ac:dyDescent="0.25">
      <c r="A15411">
        <v>101336585</v>
      </c>
      <c r="B15411" t="s">
        <v>33085</v>
      </c>
      <c r="C15411" t="s">
        <v>3460</v>
      </c>
      <c r="G15411" t="s">
        <v>33086</v>
      </c>
      <c r="H15411" t="s">
        <v>364</v>
      </c>
      <c r="I15411" t="s">
        <v>365</v>
      </c>
      <c r="J15411" t="s">
        <v>33087</v>
      </c>
      <c r="K15411">
        <v>3149</v>
      </c>
      <c r="L15411" t="s">
        <v>23</v>
      </c>
      <c r="M15411" t="s">
        <v>33086</v>
      </c>
      <c r="N15411" t="s">
        <v>364</v>
      </c>
      <c r="O15411" t="s">
        <v>365</v>
      </c>
      <c r="P15411" t="s">
        <v>33087</v>
      </c>
      <c r="Q15411">
        <v>3149</v>
      </c>
      <c r="R15411" t="s">
        <v>23</v>
      </c>
      <c r="S15411" s="1" t="s">
        <v>34218</v>
      </c>
    </row>
    <row r="15412" spans="1:19" x14ac:dyDescent="0.25">
      <c r="A15412">
        <v>101481140</v>
      </c>
      <c r="B15412" t="s">
        <v>33088</v>
      </c>
      <c r="C15412" t="s">
        <v>33089</v>
      </c>
      <c r="G15412" t="s">
        <v>33090</v>
      </c>
      <c r="H15412" t="s">
        <v>22100</v>
      </c>
      <c r="I15412" t="s">
        <v>22</v>
      </c>
      <c r="J15412">
        <v>95623</v>
      </c>
      <c r="L15412" t="s">
        <v>23</v>
      </c>
      <c r="M15412" t="s">
        <v>33090</v>
      </c>
      <c r="N15412" t="s">
        <v>22100</v>
      </c>
      <c r="O15412" t="s">
        <v>22</v>
      </c>
      <c r="P15412">
        <v>95623</v>
      </c>
      <c r="R15412" t="s">
        <v>23</v>
      </c>
      <c r="S15412" s="1" t="s">
        <v>34218</v>
      </c>
    </row>
    <row r="15413" spans="1:19" x14ac:dyDescent="0.25">
      <c r="A15413">
        <v>101410223</v>
      </c>
      <c r="B15413" t="s">
        <v>744</v>
      </c>
      <c r="C15413" t="s">
        <v>1298</v>
      </c>
      <c r="G15413" t="s">
        <v>33091</v>
      </c>
      <c r="H15413" t="s">
        <v>33092</v>
      </c>
      <c r="I15413" t="s">
        <v>135</v>
      </c>
      <c r="J15413">
        <v>60047</v>
      </c>
      <c r="K15413">
        <v>5179</v>
      </c>
      <c r="L15413" t="s">
        <v>23</v>
      </c>
      <c r="M15413" t="s">
        <v>33091</v>
      </c>
      <c r="N15413" t="s">
        <v>33092</v>
      </c>
      <c r="O15413" t="s">
        <v>135</v>
      </c>
      <c r="P15413">
        <v>60047</v>
      </c>
      <c r="Q15413">
        <v>5179</v>
      </c>
      <c r="R15413" t="s">
        <v>23</v>
      </c>
      <c r="S15413" s="1" t="s">
        <v>34218</v>
      </c>
    </row>
    <row r="15414" spans="1:19" x14ac:dyDescent="0.25">
      <c r="A15414">
        <v>100928308</v>
      </c>
      <c r="B15414" t="s">
        <v>33093</v>
      </c>
      <c r="C15414" t="s">
        <v>1444</v>
      </c>
      <c r="G15414" t="s">
        <v>33094</v>
      </c>
      <c r="H15414" t="s">
        <v>12726</v>
      </c>
      <c r="I15414" t="s">
        <v>100</v>
      </c>
      <c r="J15414" t="s">
        <v>33095</v>
      </c>
      <c r="K15414">
        <v>1251</v>
      </c>
      <c r="L15414" t="s">
        <v>23</v>
      </c>
      <c r="M15414" t="s">
        <v>33094</v>
      </c>
      <c r="N15414" t="s">
        <v>12726</v>
      </c>
      <c r="O15414" t="s">
        <v>100</v>
      </c>
      <c r="P15414" t="s">
        <v>33095</v>
      </c>
      <c r="Q15414">
        <v>1251</v>
      </c>
      <c r="R15414" t="s">
        <v>23</v>
      </c>
      <c r="S15414" s="1" t="s">
        <v>34218</v>
      </c>
    </row>
    <row r="15415" spans="1:19" x14ac:dyDescent="0.25">
      <c r="A15415">
        <v>101446299</v>
      </c>
      <c r="B15415" t="s">
        <v>14731</v>
      </c>
      <c r="C15415" t="s">
        <v>959</v>
      </c>
      <c r="G15415" t="s">
        <v>33096</v>
      </c>
      <c r="H15415" t="s">
        <v>17360</v>
      </c>
      <c r="I15415" t="s">
        <v>71</v>
      </c>
      <c r="J15415" t="s">
        <v>33097</v>
      </c>
      <c r="K15415">
        <v>7202</v>
      </c>
      <c r="L15415" t="s">
        <v>23</v>
      </c>
      <c r="M15415" t="s">
        <v>33096</v>
      </c>
      <c r="N15415" t="s">
        <v>17360</v>
      </c>
      <c r="O15415" t="s">
        <v>71</v>
      </c>
      <c r="P15415" t="s">
        <v>33097</v>
      </c>
      <c r="Q15415">
        <v>7202</v>
      </c>
      <c r="R15415" t="s">
        <v>23</v>
      </c>
      <c r="S15415" s="1" t="s">
        <v>34218</v>
      </c>
    </row>
    <row r="15416" spans="1:19" x14ac:dyDescent="0.25">
      <c r="A15416">
        <v>100695533</v>
      </c>
      <c r="B15416" t="s">
        <v>33098</v>
      </c>
      <c r="C15416" t="s">
        <v>2892</v>
      </c>
      <c r="G15416" t="s">
        <v>33099</v>
      </c>
      <c r="H15416" t="s">
        <v>33100</v>
      </c>
      <c r="I15416" t="s">
        <v>33</v>
      </c>
      <c r="J15416">
        <v>17025</v>
      </c>
      <c r="K15416">
        <v>1855</v>
      </c>
      <c r="L15416" t="s">
        <v>23</v>
      </c>
      <c r="M15416" t="s">
        <v>33099</v>
      </c>
      <c r="N15416" t="s">
        <v>33100</v>
      </c>
      <c r="O15416" t="s">
        <v>33</v>
      </c>
      <c r="P15416">
        <v>17025</v>
      </c>
      <c r="Q15416">
        <v>1855</v>
      </c>
      <c r="R15416" t="s">
        <v>23</v>
      </c>
      <c r="S15416" s="1" t="s">
        <v>34218</v>
      </c>
    </row>
    <row r="15417" spans="1:19" x14ac:dyDescent="0.25">
      <c r="A15417">
        <v>101346278</v>
      </c>
      <c r="B15417" t="s">
        <v>33101</v>
      </c>
      <c r="C15417" t="s">
        <v>5420</v>
      </c>
      <c r="G15417" t="s">
        <v>33102</v>
      </c>
      <c r="H15417" t="s">
        <v>1748</v>
      </c>
      <c r="I15417" t="s">
        <v>255</v>
      </c>
      <c r="J15417">
        <v>22206</v>
      </c>
      <c r="K15417">
        <v>1309</v>
      </c>
      <c r="L15417" t="s">
        <v>23</v>
      </c>
      <c r="M15417" t="s">
        <v>33102</v>
      </c>
      <c r="N15417" t="s">
        <v>1748</v>
      </c>
      <c r="O15417" t="s">
        <v>255</v>
      </c>
      <c r="P15417">
        <v>22206</v>
      </c>
      <c r="Q15417">
        <v>1309</v>
      </c>
      <c r="R15417" t="s">
        <v>23</v>
      </c>
      <c r="S15417" s="1" t="s">
        <v>34218</v>
      </c>
    </row>
    <row r="15418" spans="1:19" x14ac:dyDescent="0.25">
      <c r="A15418">
        <v>101131810</v>
      </c>
      <c r="B15418" t="s">
        <v>5759</v>
      </c>
      <c r="C15418" t="s">
        <v>2047</v>
      </c>
      <c r="G15418" t="s">
        <v>33103</v>
      </c>
      <c r="H15418" t="s">
        <v>3129</v>
      </c>
      <c r="I15418" t="s">
        <v>84</v>
      </c>
      <c r="J15418">
        <v>99218</v>
      </c>
      <c r="L15418" t="s">
        <v>23</v>
      </c>
      <c r="M15418" t="s">
        <v>33103</v>
      </c>
      <c r="N15418" t="s">
        <v>3129</v>
      </c>
      <c r="O15418" t="s">
        <v>84</v>
      </c>
      <c r="P15418">
        <v>99218</v>
      </c>
      <c r="R15418" t="s">
        <v>23</v>
      </c>
      <c r="S15418" s="1" t="s">
        <v>34218</v>
      </c>
    </row>
    <row r="15419" spans="1:19" x14ac:dyDescent="0.25">
      <c r="A15419">
        <v>101022268</v>
      </c>
      <c r="B15419" t="s">
        <v>33104</v>
      </c>
      <c r="C15419" t="s">
        <v>3066</v>
      </c>
      <c r="G15419" t="s">
        <v>33105</v>
      </c>
      <c r="H15419" t="s">
        <v>33106</v>
      </c>
      <c r="I15419" t="s">
        <v>117</v>
      </c>
      <c r="J15419">
        <v>13078</v>
      </c>
      <c r="K15419">
        <v>8771</v>
      </c>
      <c r="L15419" t="s">
        <v>23</v>
      </c>
      <c r="M15419" t="s">
        <v>33105</v>
      </c>
      <c r="N15419" t="s">
        <v>33106</v>
      </c>
      <c r="O15419" t="s">
        <v>117</v>
      </c>
      <c r="P15419">
        <v>13078</v>
      </c>
      <c r="Q15419">
        <v>8771</v>
      </c>
      <c r="R15419" t="s">
        <v>23</v>
      </c>
      <c r="S15419" s="1" t="s">
        <v>34218</v>
      </c>
    </row>
    <row r="15420" spans="1:19" x14ac:dyDescent="0.25">
      <c r="A15420">
        <v>101336112</v>
      </c>
      <c r="B15420" t="s">
        <v>1297</v>
      </c>
      <c r="C15420" t="s">
        <v>916</v>
      </c>
      <c r="G15420" t="s">
        <v>33107</v>
      </c>
      <c r="H15420" t="s">
        <v>15169</v>
      </c>
      <c r="I15420" t="s">
        <v>33</v>
      </c>
      <c r="J15420" t="s">
        <v>33108</v>
      </c>
      <c r="K15420">
        <v>2721</v>
      </c>
      <c r="L15420" t="s">
        <v>23</v>
      </c>
      <c r="M15420" t="s">
        <v>33107</v>
      </c>
      <c r="N15420" t="s">
        <v>15169</v>
      </c>
      <c r="O15420" t="s">
        <v>33</v>
      </c>
      <c r="P15420" t="s">
        <v>33108</v>
      </c>
      <c r="Q15420">
        <v>2721</v>
      </c>
      <c r="R15420" t="s">
        <v>23</v>
      </c>
      <c r="S15420" s="1" t="s">
        <v>34218</v>
      </c>
    </row>
    <row r="15421" spans="1:19" x14ac:dyDescent="0.25">
      <c r="A15421">
        <v>101439881</v>
      </c>
      <c r="B15421" t="s">
        <v>9084</v>
      </c>
      <c r="C15421" t="s">
        <v>2127</v>
      </c>
      <c r="G15421" t="s">
        <v>33109</v>
      </c>
      <c r="H15421" t="s">
        <v>10773</v>
      </c>
      <c r="I15421" t="s">
        <v>662</v>
      </c>
      <c r="J15421">
        <v>2914</v>
      </c>
      <c r="K15421">
        <v>5375</v>
      </c>
      <c r="L15421" t="s">
        <v>23</v>
      </c>
      <c r="M15421" t="s">
        <v>33109</v>
      </c>
      <c r="N15421" t="s">
        <v>10773</v>
      </c>
      <c r="O15421" t="s">
        <v>662</v>
      </c>
      <c r="P15421">
        <v>2914</v>
      </c>
      <c r="Q15421">
        <v>5375</v>
      </c>
      <c r="R15421" t="s">
        <v>23</v>
      </c>
      <c r="S15421" s="1" t="s">
        <v>34218</v>
      </c>
    </row>
    <row r="15422" spans="1:19" x14ac:dyDescent="0.25">
      <c r="A15422">
        <v>101469928</v>
      </c>
      <c r="B15422" t="s">
        <v>29790</v>
      </c>
      <c r="C15422" t="s">
        <v>6420</v>
      </c>
      <c r="G15422" t="s">
        <v>33110</v>
      </c>
      <c r="H15422" t="s">
        <v>14060</v>
      </c>
      <c r="I15422" t="s">
        <v>236</v>
      </c>
      <c r="J15422">
        <v>1886</v>
      </c>
      <c r="K15422">
        <v>1640</v>
      </c>
      <c r="L15422" t="s">
        <v>23</v>
      </c>
      <c r="M15422" t="s">
        <v>33110</v>
      </c>
      <c r="N15422" t="s">
        <v>14060</v>
      </c>
      <c r="O15422" t="s">
        <v>236</v>
      </c>
      <c r="P15422">
        <v>1886</v>
      </c>
      <c r="Q15422">
        <v>1640</v>
      </c>
      <c r="R15422" t="s">
        <v>23</v>
      </c>
      <c r="S15422" s="1" t="s">
        <v>34218</v>
      </c>
    </row>
    <row r="15423" spans="1:19" x14ac:dyDescent="0.25">
      <c r="A15423">
        <v>101261993</v>
      </c>
      <c r="B15423" t="s">
        <v>1330</v>
      </c>
      <c r="C15423" t="s">
        <v>102</v>
      </c>
      <c r="G15423" t="s">
        <v>33111</v>
      </c>
      <c r="H15423" t="s">
        <v>13467</v>
      </c>
      <c r="I15423" t="s">
        <v>100</v>
      </c>
      <c r="J15423">
        <v>53051</v>
      </c>
      <c r="L15423" t="s">
        <v>23</v>
      </c>
      <c r="M15423" t="s">
        <v>33111</v>
      </c>
      <c r="N15423" t="s">
        <v>13467</v>
      </c>
      <c r="O15423" t="s">
        <v>100</v>
      </c>
      <c r="P15423">
        <v>53051</v>
      </c>
      <c r="R15423" t="s">
        <v>23</v>
      </c>
      <c r="S15423" s="1" t="s">
        <v>34218</v>
      </c>
    </row>
    <row r="15424" spans="1:19" x14ac:dyDescent="0.25">
      <c r="A15424">
        <v>101449886</v>
      </c>
      <c r="B15424" t="s">
        <v>6084</v>
      </c>
      <c r="C15424" t="s">
        <v>33112</v>
      </c>
      <c r="G15424" t="s">
        <v>33113</v>
      </c>
      <c r="H15424" t="s">
        <v>33114</v>
      </c>
      <c r="I15424" t="s">
        <v>43</v>
      </c>
      <c r="J15424">
        <v>97415</v>
      </c>
      <c r="K15424">
        <v>9547</v>
      </c>
      <c r="L15424" t="s">
        <v>23</v>
      </c>
      <c r="M15424" t="s">
        <v>33113</v>
      </c>
      <c r="N15424" t="s">
        <v>33114</v>
      </c>
      <c r="O15424" t="s">
        <v>43</v>
      </c>
      <c r="P15424">
        <v>97415</v>
      </c>
      <c r="Q15424">
        <v>9547</v>
      </c>
      <c r="R15424" t="s">
        <v>23</v>
      </c>
      <c r="S15424" s="1" t="s">
        <v>34218</v>
      </c>
    </row>
    <row r="15425" spans="1:19" x14ac:dyDescent="0.25">
      <c r="A15425">
        <v>101450679</v>
      </c>
      <c r="B15425" t="s">
        <v>3482</v>
      </c>
      <c r="C15425" t="s">
        <v>247</v>
      </c>
      <c r="G15425" t="s">
        <v>33115</v>
      </c>
      <c r="H15425" t="s">
        <v>631</v>
      </c>
      <c r="I15425" t="s">
        <v>22</v>
      </c>
      <c r="J15425">
        <v>94945</v>
      </c>
      <c r="K15425">
        <v>1662</v>
      </c>
      <c r="L15425" t="s">
        <v>23</v>
      </c>
      <c r="M15425" t="s">
        <v>33115</v>
      </c>
      <c r="N15425" t="s">
        <v>631</v>
      </c>
      <c r="O15425" t="s">
        <v>22</v>
      </c>
      <c r="P15425">
        <v>94945</v>
      </c>
      <c r="Q15425">
        <v>1662</v>
      </c>
      <c r="R15425" t="s">
        <v>23</v>
      </c>
      <c r="S15425" s="1" t="s">
        <v>34218</v>
      </c>
    </row>
    <row r="15426" spans="1:19" x14ac:dyDescent="0.25">
      <c r="A15426">
        <v>101454351</v>
      </c>
      <c r="B15426" t="s">
        <v>33116</v>
      </c>
      <c r="C15426" t="s">
        <v>2329</v>
      </c>
      <c r="G15426" t="s">
        <v>33117</v>
      </c>
      <c r="H15426" t="s">
        <v>4326</v>
      </c>
      <c r="I15426" t="s">
        <v>22</v>
      </c>
      <c r="J15426">
        <v>90712</v>
      </c>
      <c r="K15426">
        <v>3934</v>
      </c>
      <c r="L15426" t="s">
        <v>23</v>
      </c>
      <c r="M15426" t="s">
        <v>33117</v>
      </c>
      <c r="N15426" t="s">
        <v>4326</v>
      </c>
      <c r="O15426" t="s">
        <v>22</v>
      </c>
      <c r="P15426">
        <v>90712</v>
      </c>
      <c r="Q15426">
        <v>3934</v>
      </c>
      <c r="R15426" t="s">
        <v>23</v>
      </c>
      <c r="S15426" s="1" t="s">
        <v>34218</v>
      </c>
    </row>
    <row r="15427" spans="1:19" x14ac:dyDescent="0.25">
      <c r="A15427">
        <v>101445328</v>
      </c>
      <c r="B15427" t="s">
        <v>33118</v>
      </c>
      <c r="C15427" t="s">
        <v>33119</v>
      </c>
      <c r="G15427" t="s">
        <v>33120</v>
      </c>
      <c r="H15427" t="s">
        <v>471</v>
      </c>
      <c r="I15427" t="s">
        <v>365</v>
      </c>
      <c r="J15427">
        <v>85260</v>
      </c>
      <c r="K15427">
        <v>2850</v>
      </c>
      <c r="L15427" t="s">
        <v>23</v>
      </c>
      <c r="M15427" t="s">
        <v>33120</v>
      </c>
      <c r="N15427" t="s">
        <v>471</v>
      </c>
      <c r="O15427" t="s">
        <v>365</v>
      </c>
      <c r="P15427">
        <v>85260</v>
      </c>
      <c r="Q15427">
        <v>2850</v>
      </c>
      <c r="R15427" t="s">
        <v>23</v>
      </c>
      <c r="S15427" s="1" t="s">
        <v>34218</v>
      </c>
    </row>
    <row r="15428" spans="1:19" x14ac:dyDescent="0.25">
      <c r="A15428">
        <v>101454632</v>
      </c>
      <c r="B15428" t="s">
        <v>27115</v>
      </c>
      <c r="C15428" t="s">
        <v>49</v>
      </c>
      <c r="G15428" t="s">
        <v>33121</v>
      </c>
      <c r="H15428" t="s">
        <v>14073</v>
      </c>
      <c r="I15428" t="s">
        <v>22</v>
      </c>
      <c r="J15428">
        <v>91740</v>
      </c>
      <c r="K15428">
        <v>7211</v>
      </c>
      <c r="L15428" t="s">
        <v>23</v>
      </c>
      <c r="M15428" t="s">
        <v>33121</v>
      </c>
      <c r="N15428" t="s">
        <v>14073</v>
      </c>
      <c r="O15428" t="s">
        <v>22</v>
      </c>
      <c r="P15428">
        <v>91740</v>
      </c>
      <c r="Q15428">
        <v>7211</v>
      </c>
      <c r="R15428" t="s">
        <v>23</v>
      </c>
      <c r="S15428" s="1" t="s">
        <v>34218</v>
      </c>
    </row>
    <row r="15429" spans="1:19" x14ac:dyDescent="0.25">
      <c r="A15429">
        <v>101449730</v>
      </c>
      <c r="B15429" t="s">
        <v>33122</v>
      </c>
      <c r="C15429" t="s">
        <v>33123</v>
      </c>
      <c r="G15429" t="s">
        <v>33124</v>
      </c>
      <c r="H15429" t="s">
        <v>21</v>
      </c>
      <c r="I15429" t="s">
        <v>22</v>
      </c>
      <c r="J15429">
        <v>95404</v>
      </c>
      <c r="K15429">
        <v>2943</v>
      </c>
      <c r="L15429" t="s">
        <v>23</v>
      </c>
      <c r="M15429" t="s">
        <v>33124</v>
      </c>
      <c r="N15429" t="s">
        <v>21</v>
      </c>
      <c r="O15429" t="s">
        <v>22</v>
      </c>
      <c r="P15429">
        <v>95404</v>
      </c>
      <c r="Q15429">
        <v>2943</v>
      </c>
      <c r="R15429" t="s">
        <v>23</v>
      </c>
      <c r="S15429" s="1" t="s">
        <v>34218</v>
      </c>
    </row>
    <row r="15430" spans="1:19" x14ac:dyDescent="0.25">
      <c r="A15430">
        <v>101451572</v>
      </c>
      <c r="B15430" t="s">
        <v>10838</v>
      </c>
      <c r="C15430" t="s">
        <v>838</v>
      </c>
      <c r="G15430" t="s">
        <v>33125</v>
      </c>
      <c r="H15430" t="s">
        <v>9803</v>
      </c>
      <c r="I15430" t="s">
        <v>100</v>
      </c>
      <c r="J15430">
        <v>54601</v>
      </c>
      <c r="K15430">
        <v>2256</v>
      </c>
      <c r="L15430" t="s">
        <v>23</v>
      </c>
      <c r="M15430" t="s">
        <v>33125</v>
      </c>
      <c r="N15430" t="s">
        <v>9803</v>
      </c>
      <c r="O15430" t="s">
        <v>100</v>
      </c>
      <c r="P15430">
        <v>54601</v>
      </c>
      <c r="Q15430">
        <v>2256</v>
      </c>
      <c r="R15430" t="s">
        <v>23</v>
      </c>
      <c r="S15430" s="1" t="s">
        <v>34218</v>
      </c>
    </row>
    <row r="15431" spans="1:19" x14ac:dyDescent="0.25">
      <c r="A15431">
        <v>101468404</v>
      </c>
      <c r="B15431" t="s">
        <v>33126</v>
      </c>
      <c r="C15431" t="s">
        <v>33127</v>
      </c>
      <c r="G15431" t="s">
        <v>33128</v>
      </c>
      <c r="H15431" t="s">
        <v>5827</v>
      </c>
      <c r="I15431" t="s">
        <v>117</v>
      </c>
      <c r="J15431">
        <v>13501</v>
      </c>
      <c r="K15431">
        <v>3903</v>
      </c>
      <c r="L15431" t="s">
        <v>23</v>
      </c>
      <c r="M15431" t="s">
        <v>33128</v>
      </c>
      <c r="N15431" t="s">
        <v>5827</v>
      </c>
      <c r="O15431" t="s">
        <v>117</v>
      </c>
      <c r="P15431">
        <v>13501</v>
      </c>
      <c r="Q15431">
        <v>3903</v>
      </c>
      <c r="R15431" t="s">
        <v>23</v>
      </c>
      <c r="S15431" s="1" t="s">
        <v>34218</v>
      </c>
    </row>
    <row r="15432" spans="1:19" x14ac:dyDescent="0.25">
      <c r="A15432">
        <v>100540909</v>
      </c>
      <c r="B15432" t="s">
        <v>800</v>
      </c>
      <c r="C15432" t="s">
        <v>1327</v>
      </c>
      <c r="G15432" t="s">
        <v>33129</v>
      </c>
      <c r="H15432" t="s">
        <v>2046</v>
      </c>
      <c r="I15432" t="s">
        <v>446</v>
      </c>
      <c r="J15432">
        <v>27704</v>
      </c>
      <c r="K15432">
        <v>3919</v>
      </c>
      <c r="L15432" t="s">
        <v>23</v>
      </c>
      <c r="M15432" t="s">
        <v>33129</v>
      </c>
      <c r="N15432" t="s">
        <v>2046</v>
      </c>
      <c r="O15432" t="s">
        <v>446</v>
      </c>
      <c r="P15432">
        <v>27704</v>
      </c>
      <c r="Q15432">
        <v>3919</v>
      </c>
      <c r="R15432" t="s">
        <v>23</v>
      </c>
      <c r="S15432" s="1" t="s">
        <v>34218</v>
      </c>
    </row>
    <row r="15433" spans="1:19" x14ac:dyDescent="0.25">
      <c r="A15433">
        <v>101295512</v>
      </c>
      <c r="B15433" t="s">
        <v>18642</v>
      </c>
      <c r="C15433" t="s">
        <v>2159</v>
      </c>
      <c r="G15433" t="s">
        <v>33130</v>
      </c>
      <c r="H15433" t="s">
        <v>573</v>
      </c>
      <c r="I15433" t="s">
        <v>33</v>
      </c>
      <c r="J15433">
        <v>19106</v>
      </c>
      <c r="L15433" t="s">
        <v>23</v>
      </c>
      <c r="M15433" t="s">
        <v>33130</v>
      </c>
      <c r="N15433" t="s">
        <v>573</v>
      </c>
      <c r="O15433" t="s">
        <v>33</v>
      </c>
      <c r="P15433">
        <v>19106</v>
      </c>
      <c r="R15433" t="s">
        <v>23</v>
      </c>
      <c r="S15433" s="1" t="s">
        <v>34218</v>
      </c>
    </row>
    <row r="15434" spans="1:19" x14ac:dyDescent="0.25">
      <c r="A15434">
        <v>101471004</v>
      </c>
      <c r="B15434" t="s">
        <v>33131</v>
      </c>
      <c r="C15434" t="s">
        <v>274</v>
      </c>
      <c r="G15434" t="s">
        <v>33132</v>
      </c>
      <c r="H15434" t="s">
        <v>2086</v>
      </c>
      <c r="I15434" t="s">
        <v>178</v>
      </c>
      <c r="J15434">
        <v>45211</v>
      </c>
      <c r="K15434">
        <v>5346</v>
      </c>
      <c r="L15434" t="s">
        <v>23</v>
      </c>
      <c r="M15434" t="s">
        <v>33132</v>
      </c>
      <c r="N15434" t="s">
        <v>2086</v>
      </c>
      <c r="O15434" t="s">
        <v>178</v>
      </c>
      <c r="P15434">
        <v>45211</v>
      </c>
      <c r="Q15434">
        <v>5346</v>
      </c>
      <c r="R15434" t="s">
        <v>23</v>
      </c>
      <c r="S15434" s="1" t="s">
        <v>34218</v>
      </c>
    </row>
    <row r="15435" spans="1:19" x14ac:dyDescent="0.25">
      <c r="A15435">
        <v>101450467</v>
      </c>
      <c r="B15435" t="s">
        <v>33133</v>
      </c>
      <c r="C15435" t="s">
        <v>2938</v>
      </c>
      <c r="G15435" t="s">
        <v>33134</v>
      </c>
      <c r="H15435" t="s">
        <v>331</v>
      </c>
      <c r="I15435" t="s">
        <v>332</v>
      </c>
      <c r="J15435">
        <v>84102</v>
      </c>
      <c r="K15435">
        <v>1822</v>
      </c>
      <c r="L15435" t="s">
        <v>23</v>
      </c>
      <c r="M15435" t="s">
        <v>33134</v>
      </c>
      <c r="N15435" t="s">
        <v>331</v>
      </c>
      <c r="O15435" t="s">
        <v>332</v>
      </c>
      <c r="P15435">
        <v>84102</v>
      </c>
      <c r="Q15435">
        <v>1822</v>
      </c>
      <c r="R15435" t="s">
        <v>23</v>
      </c>
      <c r="S15435" s="1" t="s">
        <v>34218</v>
      </c>
    </row>
    <row r="15436" spans="1:19" x14ac:dyDescent="0.25">
      <c r="A15436">
        <v>101250272</v>
      </c>
      <c r="B15436" t="s">
        <v>33135</v>
      </c>
      <c r="C15436" t="s">
        <v>452</v>
      </c>
      <c r="F15436" t="str">
        <f>"9165332082"</f>
        <v>9165332082</v>
      </c>
      <c r="G15436" t="s">
        <v>33136</v>
      </c>
      <c r="H15436" t="s">
        <v>311</v>
      </c>
      <c r="I15436" t="s">
        <v>22</v>
      </c>
      <c r="J15436">
        <v>90815</v>
      </c>
      <c r="K15436">
        <v>5127</v>
      </c>
      <c r="L15436" t="s">
        <v>23</v>
      </c>
      <c r="M15436" t="s">
        <v>33136</v>
      </c>
      <c r="N15436" t="s">
        <v>311</v>
      </c>
      <c r="O15436" t="s">
        <v>22</v>
      </c>
      <c r="P15436">
        <v>90815</v>
      </c>
      <c r="Q15436">
        <v>5127</v>
      </c>
      <c r="R15436" t="s">
        <v>23</v>
      </c>
      <c r="S15436" s="1" t="s">
        <v>34218</v>
      </c>
    </row>
    <row r="15437" spans="1:19" x14ac:dyDescent="0.25">
      <c r="A15437">
        <v>101293419</v>
      </c>
      <c r="B15437" t="s">
        <v>33137</v>
      </c>
      <c r="C15437" t="s">
        <v>199</v>
      </c>
      <c r="G15437" t="s">
        <v>33138</v>
      </c>
      <c r="H15437" t="s">
        <v>18282</v>
      </c>
      <c r="I15437" t="s">
        <v>135</v>
      </c>
      <c r="J15437">
        <v>61821</v>
      </c>
      <c r="K15437">
        <v>4856</v>
      </c>
      <c r="L15437" t="s">
        <v>23</v>
      </c>
      <c r="M15437" t="s">
        <v>33138</v>
      </c>
      <c r="N15437" t="s">
        <v>18282</v>
      </c>
      <c r="O15437" t="s">
        <v>135</v>
      </c>
      <c r="P15437">
        <v>61821</v>
      </c>
      <c r="Q15437">
        <v>4856</v>
      </c>
      <c r="R15437" t="s">
        <v>23</v>
      </c>
      <c r="S15437" s="1" t="s">
        <v>34218</v>
      </c>
    </row>
    <row r="15438" spans="1:19" x14ac:dyDescent="0.25">
      <c r="A15438">
        <v>101471053</v>
      </c>
      <c r="B15438" t="s">
        <v>14470</v>
      </c>
      <c r="C15438" t="s">
        <v>838</v>
      </c>
      <c r="G15438" t="s">
        <v>33139</v>
      </c>
      <c r="H15438" t="s">
        <v>33140</v>
      </c>
      <c r="I15438" t="s">
        <v>250</v>
      </c>
      <c r="J15438">
        <v>7605</v>
      </c>
      <c r="K15438">
        <v>1107</v>
      </c>
      <c r="L15438" t="s">
        <v>23</v>
      </c>
      <c r="M15438" t="s">
        <v>33139</v>
      </c>
      <c r="N15438" t="s">
        <v>33140</v>
      </c>
      <c r="O15438" t="s">
        <v>250</v>
      </c>
      <c r="P15438">
        <v>7605</v>
      </c>
      <c r="Q15438">
        <v>1107</v>
      </c>
      <c r="R15438" t="s">
        <v>23</v>
      </c>
      <c r="S15438" s="1" t="s">
        <v>34218</v>
      </c>
    </row>
    <row r="15439" spans="1:19" x14ac:dyDescent="0.25">
      <c r="A15439">
        <v>101454838</v>
      </c>
      <c r="B15439" t="s">
        <v>30488</v>
      </c>
      <c r="C15439" t="s">
        <v>403</v>
      </c>
      <c r="G15439" t="s">
        <v>33141</v>
      </c>
      <c r="H15439" t="s">
        <v>33142</v>
      </c>
      <c r="I15439" t="s">
        <v>250</v>
      </c>
      <c r="J15439">
        <v>7927</v>
      </c>
      <c r="K15439">
        <v>1504</v>
      </c>
      <c r="L15439" t="s">
        <v>23</v>
      </c>
      <c r="M15439" t="s">
        <v>33141</v>
      </c>
      <c r="N15439" t="s">
        <v>33142</v>
      </c>
      <c r="O15439" t="s">
        <v>250</v>
      </c>
      <c r="P15439">
        <v>7927</v>
      </c>
      <c r="Q15439">
        <v>1504</v>
      </c>
      <c r="R15439" t="s">
        <v>23</v>
      </c>
      <c r="S15439" s="1" t="s">
        <v>34218</v>
      </c>
    </row>
    <row r="15440" spans="1:19" x14ac:dyDescent="0.25">
      <c r="A15440">
        <v>101482236</v>
      </c>
      <c r="B15440" t="s">
        <v>6060</v>
      </c>
      <c r="C15440" t="s">
        <v>33143</v>
      </c>
      <c r="G15440" t="s">
        <v>33144</v>
      </c>
      <c r="H15440" t="s">
        <v>11550</v>
      </c>
      <c r="I15440" t="s">
        <v>52</v>
      </c>
      <c r="J15440">
        <v>33458</v>
      </c>
      <c r="K15440">
        <v>4114</v>
      </c>
      <c r="L15440" t="s">
        <v>23</v>
      </c>
      <c r="M15440" t="s">
        <v>33144</v>
      </c>
      <c r="N15440" t="s">
        <v>11550</v>
      </c>
      <c r="O15440" t="s">
        <v>52</v>
      </c>
      <c r="P15440">
        <v>33458</v>
      </c>
      <c r="Q15440">
        <v>4114</v>
      </c>
      <c r="R15440" t="s">
        <v>23</v>
      </c>
      <c r="S15440" s="1" t="s">
        <v>34218</v>
      </c>
    </row>
    <row r="15441" spans="1:19" x14ac:dyDescent="0.25">
      <c r="A15441">
        <v>100640757</v>
      </c>
      <c r="B15441" t="s">
        <v>33145</v>
      </c>
      <c r="C15441" t="s">
        <v>123</v>
      </c>
      <c r="G15441" t="s">
        <v>33146</v>
      </c>
      <c r="H15441" t="s">
        <v>9736</v>
      </c>
      <c r="I15441" t="s">
        <v>250</v>
      </c>
      <c r="J15441">
        <v>7016</v>
      </c>
      <c r="K15441">
        <v>3257</v>
      </c>
      <c r="L15441" t="s">
        <v>23</v>
      </c>
      <c r="M15441" t="s">
        <v>33146</v>
      </c>
      <c r="N15441" t="s">
        <v>9736</v>
      </c>
      <c r="O15441" t="s">
        <v>250</v>
      </c>
      <c r="P15441">
        <v>7016</v>
      </c>
      <c r="Q15441">
        <v>3257</v>
      </c>
      <c r="R15441" t="s">
        <v>23</v>
      </c>
      <c r="S15441" s="1" t="s">
        <v>34218</v>
      </c>
    </row>
    <row r="15442" spans="1:19" x14ac:dyDescent="0.25">
      <c r="A15442">
        <v>101343373</v>
      </c>
      <c r="B15442" t="s">
        <v>33147</v>
      </c>
      <c r="C15442" t="s">
        <v>158</v>
      </c>
      <c r="G15442" t="s">
        <v>33148</v>
      </c>
      <c r="H15442" t="s">
        <v>5278</v>
      </c>
      <c r="I15442" t="s">
        <v>22</v>
      </c>
      <c r="J15442">
        <v>94401</v>
      </c>
      <c r="K15442">
        <v>2324</v>
      </c>
      <c r="L15442" t="s">
        <v>23</v>
      </c>
      <c r="M15442" t="s">
        <v>33148</v>
      </c>
      <c r="N15442" t="s">
        <v>5278</v>
      </c>
      <c r="O15442" t="s">
        <v>22</v>
      </c>
      <c r="P15442">
        <v>94401</v>
      </c>
      <c r="Q15442">
        <v>2324</v>
      </c>
      <c r="R15442" t="s">
        <v>23</v>
      </c>
      <c r="S15442" s="1" t="s">
        <v>34218</v>
      </c>
    </row>
    <row r="15443" spans="1:19" x14ac:dyDescent="0.25">
      <c r="A15443">
        <v>101444562</v>
      </c>
      <c r="B15443" t="s">
        <v>2709</v>
      </c>
      <c r="C15443" t="s">
        <v>9207</v>
      </c>
      <c r="G15443" t="s">
        <v>2710</v>
      </c>
      <c r="H15443" t="s">
        <v>2711</v>
      </c>
      <c r="I15443" t="s">
        <v>236</v>
      </c>
      <c r="J15443">
        <v>1832</v>
      </c>
      <c r="K15443">
        <v>4738</v>
      </c>
      <c r="L15443" t="s">
        <v>23</v>
      </c>
      <c r="M15443" t="s">
        <v>2710</v>
      </c>
      <c r="N15443" t="s">
        <v>2711</v>
      </c>
      <c r="O15443" t="s">
        <v>236</v>
      </c>
      <c r="P15443">
        <v>1832</v>
      </c>
      <c r="Q15443">
        <v>4738</v>
      </c>
      <c r="R15443" t="s">
        <v>23</v>
      </c>
      <c r="S15443" s="1" t="s">
        <v>34218</v>
      </c>
    </row>
    <row r="15444" spans="1:19" x14ac:dyDescent="0.25">
      <c r="A15444">
        <v>101446645</v>
      </c>
      <c r="B15444" t="s">
        <v>21592</v>
      </c>
      <c r="C15444" t="s">
        <v>2010</v>
      </c>
      <c r="G15444" t="s">
        <v>33149</v>
      </c>
      <c r="H15444" t="s">
        <v>20352</v>
      </c>
      <c r="I15444" t="s">
        <v>126</v>
      </c>
      <c r="J15444">
        <v>65401</v>
      </c>
      <c r="K15444">
        <v>3714</v>
      </c>
      <c r="L15444" t="s">
        <v>23</v>
      </c>
      <c r="M15444" t="s">
        <v>33149</v>
      </c>
      <c r="N15444" t="s">
        <v>20352</v>
      </c>
      <c r="O15444" t="s">
        <v>126</v>
      </c>
      <c r="P15444">
        <v>65401</v>
      </c>
      <c r="Q15444">
        <v>3714</v>
      </c>
      <c r="R15444" t="s">
        <v>23</v>
      </c>
      <c r="S15444" s="1" t="s">
        <v>34218</v>
      </c>
    </row>
    <row r="15445" spans="1:19" x14ac:dyDescent="0.25">
      <c r="A15445">
        <v>101446651</v>
      </c>
      <c r="B15445" t="s">
        <v>33150</v>
      </c>
      <c r="C15445" t="s">
        <v>1179</v>
      </c>
      <c r="G15445" t="s">
        <v>33151</v>
      </c>
      <c r="H15445" t="s">
        <v>202</v>
      </c>
      <c r="I15445" t="s">
        <v>117</v>
      </c>
      <c r="J15445">
        <v>14214</v>
      </c>
      <c r="K15445">
        <v>1961</v>
      </c>
      <c r="L15445" t="s">
        <v>23</v>
      </c>
      <c r="M15445" t="s">
        <v>33151</v>
      </c>
      <c r="N15445" t="s">
        <v>202</v>
      </c>
      <c r="O15445" t="s">
        <v>117</v>
      </c>
      <c r="P15445">
        <v>14214</v>
      </c>
      <c r="Q15445">
        <v>1961</v>
      </c>
      <c r="R15445" t="s">
        <v>23</v>
      </c>
      <c r="S15445" s="1" t="s">
        <v>34218</v>
      </c>
    </row>
    <row r="15446" spans="1:19" x14ac:dyDescent="0.25">
      <c r="A15446">
        <v>101305067</v>
      </c>
      <c r="B15446" t="s">
        <v>25911</v>
      </c>
      <c r="C15446" t="s">
        <v>4502</v>
      </c>
      <c r="G15446" t="s">
        <v>33152</v>
      </c>
      <c r="H15446" t="s">
        <v>10416</v>
      </c>
      <c r="I15446" t="s">
        <v>639</v>
      </c>
      <c r="J15446">
        <v>87015</v>
      </c>
      <c r="K15446">
        <v>7075</v>
      </c>
      <c r="L15446" t="s">
        <v>23</v>
      </c>
      <c r="M15446" t="s">
        <v>33152</v>
      </c>
      <c r="N15446" t="s">
        <v>10416</v>
      </c>
      <c r="O15446" t="s">
        <v>639</v>
      </c>
      <c r="P15446">
        <v>87015</v>
      </c>
      <c r="Q15446">
        <v>7075</v>
      </c>
      <c r="R15446" t="s">
        <v>23</v>
      </c>
      <c r="S15446" s="1" t="s">
        <v>34218</v>
      </c>
    </row>
    <row r="15447" spans="1:19" x14ac:dyDescent="0.25">
      <c r="A15447">
        <v>101234436</v>
      </c>
      <c r="B15447" t="s">
        <v>33153</v>
      </c>
      <c r="C15447" t="s">
        <v>846</v>
      </c>
      <c r="G15447" t="s">
        <v>33154</v>
      </c>
      <c r="H15447" t="s">
        <v>33155</v>
      </c>
      <c r="I15447" t="s">
        <v>140</v>
      </c>
      <c r="J15447">
        <v>49448</v>
      </c>
      <c r="K15447">
        <v>9767</v>
      </c>
      <c r="L15447" t="s">
        <v>23</v>
      </c>
      <c r="M15447" t="s">
        <v>33154</v>
      </c>
      <c r="N15447" t="s">
        <v>33155</v>
      </c>
      <c r="O15447" t="s">
        <v>140</v>
      </c>
      <c r="P15447">
        <v>49448</v>
      </c>
      <c r="Q15447">
        <v>9767</v>
      </c>
      <c r="R15447" t="s">
        <v>23</v>
      </c>
      <c r="S15447" s="1" t="s">
        <v>34218</v>
      </c>
    </row>
    <row r="15448" spans="1:19" x14ac:dyDescent="0.25">
      <c r="A15448">
        <v>101419878</v>
      </c>
      <c r="B15448" t="s">
        <v>6058</v>
      </c>
      <c r="C15448" t="s">
        <v>428</v>
      </c>
      <c r="G15448" t="s">
        <v>33156</v>
      </c>
      <c r="H15448" t="s">
        <v>47</v>
      </c>
      <c r="I15448" t="s">
        <v>250</v>
      </c>
      <c r="J15448" t="s">
        <v>33157</v>
      </c>
      <c r="K15448">
        <v>9562</v>
      </c>
      <c r="L15448" t="s">
        <v>23</v>
      </c>
      <c r="M15448" t="s">
        <v>33156</v>
      </c>
      <c r="N15448" t="s">
        <v>47</v>
      </c>
      <c r="O15448" t="s">
        <v>250</v>
      </c>
      <c r="P15448" t="s">
        <v>33157</v>
      </c>
      <c r="Q15448">
        <v>9562</v>
      </c>
      <c r="R15448" t="s">
        <v>23</v>
      </c>
      <c r="S15448" s="1" t="s">
        <v>34218</v>
      </c>
    </row>
    <row r="15449" spans="1:19" x14ac:dyDescent="0.25">
      <c r="A15449">
        <v>101350998</v>
      </c>
      <c r="B15449" t="s">
        <v>33158</v>
      </c>
      <c r="C15449" t="s">
        <v>1327</v>
      </c>
      <c r="G15449" t="s">
        <v>33159</v>
      </c>
      <c r="H15449" t="s">
        <v>412</v>
      </c>
      <c r="I15449" t="s">
        <v>117</v>
      </c>
      <c r="J15449" t="s">
        <v>33160</v>
      </c>
      <c r="K15449">
        <v>2692</v>
      </c>
      <c r="L15449" t="s">
        <v>23</v>
      </c>
      <c r="M15449" t="s">
        <v>33159</v>
      </c>
      <c r="N15449" t="s">
        <v>412</v>
      </c>
      <c r="O15449" t="s">
        <v>117</v>
      </c>
      <c r="P15449" t="s">
        <v>33160</v>
      </c>
      <c r="Q15449">
        <v>2692</v>
      </c>
      <c r="R15449" t="s">
        <v>23</v>
      </c>
      <c r="S15449" s="1" t="s">
        <v>34218</v>
      </c>
    </row>
    <row r="15450" spans="1:19" x14ac:dyDescent="0.25">
      <c r="A15450">
        <v>101423057</v>
      </c>
      <c r="B15450" t="s">
        <v>1807</v>
      </c>
      <c r="C15450" t="s">
        <v>7620</v>
      </c>
      <c r="G15450" t="s">
        <v>33161</v>
      </c>
      <c r="H15450" t="s">
        <v>33162</v>
      </c>
      <c r="I15450" t="s">
        <v>38</v>
      </c>
      <c r="J15450" t="s">
        <v>33163</v>
      </c>
      <c r="K15450">
        <v>4921</v>
      </c>
      <c r="L15450" t="s">
        <v>23</v>
      </c>
      <c r="M15450" t="s">
        <v>33161</v>
      </c>
      <c r="N15450" t="s">
        <v>33162</v>
      </c>
      <c r="O15450" t="s">
        <v>38</v>
      </c>
      <c r="P15450" t="s">
        <v>33163</v>
      </c>
      <c r="Q15450">
        <v>4921</v>
      </c>
      <c r="R15450" t="s">
        <v>23</v>
      </c>
      <c r="S15450" s="1" t="s">
        <v>34218</v>
      </c>
    </row>
    <row r="15451" spans="1:19" x14ac:dyDescent="0.25">
      <c r="A15451">
        <v>101274729</v>
      </c>
      <c r="B15451" t="s">
        <v>15328</v>
      </c>
      <c r="C15451" t="s">
        <v>30</v>
      </c>
      <c r="G15451" t="s">
        <v>33164</v>
      </c>
      <c r="H15451" t="s">
        <v>3363</v>
      </c>
      <c r="I15451" t="s">
        <v>33</v>
      </c>
      <c r="J15451" t="s">
        <v>33165</v>
      </c>
      <c r="K15451">
        <v>1524</v>
      </c>
      <c r="L15451" t="s">
        <v>23</v>
      </c>
      <c r="M15451" t="s">
        <v>33164</v>
      </c>
      <c r="N15451" t="s">
        <v>3363</v>
      </c>
      <c r="O15451" t="s">
        <v>33</v>
      </c>
      <c r="P15451" t="s">
        <v>33165</v>
      </c>
      <c r="Q15451">
        <v>1524</v>
      </c>
      <c r="R15451" t="s">
        <v>23</v>
      </c>
      <c r="S15451" s="1" t="s">
        <v>34218</v>
      </c>
    </row>
    <row r="15452" spans="1:19" x14ac:dyDescent="0.25">
      <c r="A15452">
        <v>101430554</v>
      </c>
      <c r="B15452" t="s">
        <v>33166</v>
      </c>
      <c r="C15452" t="s">
        <v>1555</v>
      </c>
      <c r="G15452" t="s">
        <v>33167</v>
      </c>
      <c r="H15452" t="s">
        <v>33168</v>
      </c>
      <c r="I15452" t="s">
        <v>1000</v>
      </c>
      <c r="J15452" t="s">
        <v>33169</v>
      </c>
      <c r="K15452">
        <v>6703</v>
      </c>
      <c r="L15452" t="s">
        <v>23</v>
      </c>
      <c r="M15452" t="s">
        <v>33167</v>
      </c>
      <c r="N15452" t="s">
        <v>33168</v>
      </c>
      <c r="O15452" t="s">
        <v>1000</v>
      </c>
      <c r="P15452" t="s">
        <v>33169</v>
      </c>
      <c r="Q15452">
        <v>6703</v>
      </c>
      <c r="R15452" t="s">
        <v>23</v>
      </c>
      <c r="S15452" s="1" t="s">
        <v>34218</v>
      </c>
    </row>
    <row r="15453" spans="1:19" x14ac:dyDescent="0.25">
      <c r="A15453">
        <v>100604475</v>
      </c>
      <c r="B15453" t="s">
        <v>27880</v>
      </c>
      <c r="C15453" t="s">
        <v>33170</v>
      </c>
      <c r="G15453" t="s">
        <v>33171</v>
      </c>
      <c r="H15453" t="s">
        <v>3880</v>
      </c>
      <c r="I15453" t="s">
        <v>22</v>
      </c>
      <c r="J15453" t="s">
        <v>33172</v>
      </c>
      <c r="K15453">
        <v>3310</v>
      </c>
      <c r="L15453" t="s">
        <v>23</v>
      </c>
      <c r="M15453" t="s">
        <v>33171</v>
      </c>
      <c r="N15453" t="s">
        <v>3880</v>
      </c>
      <c r="O15453" t="s">
        <v>22</v>
      </c>
      <c r="P15453" t="s">
        <v>33172</v>
      </c>
      <c r="Q15453">
        <v>3310</v>
      </c>
      <c r="R15453" t="s">
        <v>23</v>
      </c>
      <c r="S15453" s="1" t="s">
        <v>34218</v>
      </c>
    </row>
    <row r="15454" spans="1:19" x14ac:dyDescent="0.25">
      <c r="A15454">
        <v>101440198</v>
      </c>
      <c r="B15454" t="s">
        <v>33173</v>
      </c>
      <c r="C15454" t="s">
        <v>8144</v>
      </c>
      <c r="G15454" t="s">
        <v>33174</v>
      </c>
      <c r="H15454" t="s">
        <v>726</v>
      </c>
      <c r="I15454" t="s">
        <v>22</v>
      </c>
      <c r="J15454" t="s">
        <v>33175</v>
      </c>
      <c r="K15454">
        <v>5038</v>
      </c>
      <c r="L15454" t="s">
        <v>23</v>
      </c>
      <c r="M15454" t="s">
        <v>33174</v>
      </c>
      <c r="N15454" t="s">
        <v>726</v>
      </c>
      <c r="O15454" t="s">
        <v>22</v>
      </c>
      <c r="P15454" t="s">
        <v>33175</v>
      </c>
      <c r="Q15454">
        <v>5038</v>
      </c>
      <c r="R15454" t="s">
        <v>23</v>
      </c>
      <c r="S15454" s="1" t="s">
        <v>34218</v>
      </c>
    </row>
    <row r="15455" spans="1:19" x14ac:dyDescent="0.25">
      <c r="A15455">
        <v>101426551</v>
      </c>
      <c r="B15455" t="s">
        <v>8467</v>
      </c>
      <c r="C15455" t="s">
        <v>1773</v>
      </c>
      <c r="G15455" t="s">
        <v>33176</v>
      </c>
      <c r="H15455" t="s">
        <v>88</v>
      </c>
      <c r="I15455" t="s">
        <v>22</v>
      </c>
      <c r="J15455" t="s">
        <v>33177</v>
      </c>
      <c r="K15455">
        <v>1605</v>
      </c>
      <c r="L15455" t="s">
        <v>23</v>
      </c>
      <c r="M15455" t="s">
        <v>33176</v>
      </c>
      <c r="N15455" t="s">
        <v>88</v>
      </c>
      <c r="O15455" t="s">
        <v>22</v>
      </c>
      <c r="P15455" t="s">
        <v>33177</v>
      </c>
      <c r="Q15455">
        <v>1605</v>
      </c>
      <c r="R15455" t="s">
        <v>23</v>
      </c>
      <c r="S15455" s="1" t="s">
        <v>34218</v>
      </c>
    </row>
    <row r="15456" spans="1:19" x14ac:dyDescent="0.25">
      <c r="A15456">
        <v>101290589</v>
      </c>
      <c r="B15456" t="s">
        <v>1941</v>
      </c>
      <c r="C15456" t="s">
        <v>247</v>
      </c>
      <c r="G15456" t="s">
        <v>33178</v>
      </c>
      <c r="H15456" t="s">
        <v>389</v>
      </c>
      <c r="I15456" t="s">
        <v>100</v>
      </c>
      <c r="J15456" t="s">
        <v>33179</v>
      </c>
      <c r="K15456">
        <v>5908</v>
      </c>
      <c r="L15456" t="s">
        <v>23</v>
      </c>
      <c r="M15456" t="s">
        <v>33178</v>
      </c>
      <c r="N15456" t="s">
        <v>389</v>
      </c>
      <c r="O15456" t="s">
        <v>100</v>
      </c>
      <c r="P15456" t="s">
        <v>33179</v>
      </c>
      <c r="Q15456">
        <v>5908</v>
      </c>
      <c r="R15456" t="s">
        <v>23</v>
      </c>
      <c r="S15456" s="1" t="s">
        <v>34218</v>
      </c>
    </row>
    <row r="15457" spans="1:19" x14ac:dyDescent="0.25">
      <c r="A15457">
        <v>101444982</v>
      </c>
      <c r="B15457" t="s">
        <v>4510</v>
      </c>
      <c r="C15457" t="s">
        <v>627</v>
      </c>
      <c r="G15457" t="s">
        <v>33180</v>
      </c>
      <c r="H15457" t="s">
        <v>2050</v>
      </c>
      <c r="I15457" t="s">
        <v>148</v>
      </c>
      <c r="J15457" t="s">
        <v>33181</v>
      </c>
      <c r="K15457">
        <v>6517</v>
      </c>
      <c r="L15457" t="s">
        <v>23</v>
      </c>
      <c r="M15457" t="s">
        <v>33180</v>
      </c>
      <c r="N15457" t="s">
        <v>2050</v>
      </c>
      <c r="O15457" t="s">
        <v>148</v>
      </c>
      <c r="P15457" t="s">
        <v>33181</v>
      </c>
      <c r="Q15457">
        <v>6517</v>
      </c>
      <c r="R15457" t="s">
        <v>23</v>
      </c>
      <c r="S15457" s="1" t="s">
        <v>34218</v>
      </c>
    </row>
    <row r="15458" spans="1:19" x14ac:dyDescent="0.25">
      <c r="A15458">
        <v>101424291</v>
      </c>
      <c r="B15458" t="s">
        <v>33182</v>
      </c>
      <c r="C15458" t="s">
        <v>286</v>
      </c>
      <c r="G15458" t="s">
        <v>33183</v>
      </c>
      <c r="H15458" t="s">
        <v>2717</v>
      </c>
      <c r="I15458" t="s">
        <v>161</v>
      </c>
      <c r="J15458" t="s">
        <v>33184</v>
      </c>
      <c r="K15458">
        <v>2750</v>
      </c>
      <c r="L15458" t="s">
        <v>23</v>
      </c>
      <c r="M15458" t="s">
        <v>33183</v>
      </c>
      <c r="N15458" t="s">
        <v>2717</v>
      </c>
      <c r="O15458" t="s">
        <v>161</v>
      </c>
      <c r="P15458" t="s">
        <v>33184</v>
      </c>
      <c r="Q15458">
        <v>2750</v>
      </c>
      <c r="R15458" t="s">
        <v>23</v>
      </c>
      <c r="S15458" s="1" t="s">
        <v>34218</v>
      </c>
    </row>
    <row r="15459" spans="1:19" x14ac:dyDescent="0.25">
      <c r="A15459">
        <v>101287957</v>
      </c>
      <c r="B15459" t="s">
        <v>3517</v>
      </c>
      <c r="C15459" t="s">
        <v>15603</v>
      </c>
      <c r="G15459" t="s">
        <v>33185</v>
      </c>
      <c r="H15459" t="s">
        <v>1315</v>
      </c>
      <c r="I15459" t="s">
        <v>33</v>
      </c>
      <c r="J15459" t="s">
        <v>33186</v>
      </c>
      <c r="K15459">
        <v>8748</v>
      </c>
      <c r="L15459" t="s">
        <v>23</v>
      </c>
      <c r="M15459" t="s">
        <v>33185</v>
      </c>
      <c r="N15459" t="s">
        <v>1315</v>
      </c>
      <c r="O15459" t="s">
        <v>33</v>
      </c>
      <c r="P15459" t="s">
        <v>33186</v>
      </c>
      <c r="Q15459">
        <v>8748</v>
      </c>
      <c r="R15459" t="s">
        <v>23</v>
      </c>
      <c r="S15459" s="1" t="s">
        <v>34218</v>
      </c>
    </row>
    <row r="15460" spans="1:19" x14ac:dyDescent="0.25">
      <c r="A15460">
        <v>101444996</v>
      </c>
      <c r="B15460" t="s">
        <v>33187</v>
      </c>
      <c r="C15460" t="s">
        <v>2132</v>
      </c>
      <c r="G15460" t="s">
        <v>33188</v>
      </c>
      <c r="H15460" t="s">
        <v>10669</v>
      </c>
      <c r="I15460" t="s">
        <v>52</v>
      </c>
      <c r="J15460" t="s">
        <v>33189</v>
      </c>
      <c r="K15460">
        <v>2445</v>
      </c>
      <c r="L15460" t="s">
        <v>23</v>
      </c>
      <c r="M15460" t="s">
        <v>33188</v>
      </c>
      <c r="N15460" t="s">
        <v>10669</v>
      </c>
      <c r="O15460" t="s">
        <v>52</v>
      </c>
      <c r="P15460" t="s">
        <v>33189</v>
      </c>
      <c r="Q15460">
        <v>2445</v>
      </c>
      <c r="R15460" t="s">
        <v>23</v>
      </c>
      <c r="S15460" s="1" t="s">
        <v>34218</v>
      </c>
    </row>
    <row r="15461" spans="1:19" x14ac:dyDescent="0.25">
      <c r="A15461">
        <v>101278563</v>
      </c>
      <c r="B15461" t="s">
        <v>33190</v>
      </c>
      <c r="C15461" t="s">
        <v>33191</v>
      </c>
      <c r="G15461" t="s">
        <v>33192</v>
      </c>
      <c r="H15461" t="s">
        <v>1765</v>
      </c>
      <c r="I15461" t="s">
        <v>84</v>
      </c>
      <c r="J15461" t="s">
        <v>33193</v>
      </c>
      <c r="K15461">
        <v>9690</v>
      </c>
      <c r="L15461" t="s">
        <v>23</v>
      </c>
      <c r="M15461" t="s">
        <v>33192</v>
      </c>
      <c r="N15461" t="s">
        <v>1765</v>
      </c>
      <c r="O15461" t="s">
        <v>84</v>
      </c>
      <c r="P15461" t="s">
        <v>33193</v>
      </c>
      <c r="Q15461">
        <v>9690</v>
      </c>
      <c r="R15461" t="s">
        <v>23</v>
      </c>
      <c r="S15461" s="1" t="s">
        <v>34218</v>
      </c>
    </row>
    <row r="15462" spans="1:19" x14ac:dyDescent="0.25">
      <c r="A15462">
        <v>101299344</v>
      </c>
      <c r="B15462" t="s">
        <v>33194</v>
      </c>
      <c r="C15462" t="s">
        <v>2802</v>
      </c>
      <c r="G15462" t="s">
        <v>33195</v>
      </c>
      <c r="H15462" t="s">
        <v>33196</v>
      </c>
      <c r="I15462" t="s">
        <v>187</v>
      </c>
      <c r="J15462" t="s">
        <v>33197</v>
      </c>
      <c r="K15462">
        <v>9635</v>
      </c>
      <c r="L15462" t="s">
        <v>23</v>
      </c>
      <c r="M15462" t="s">
        <v>33195</v>
      </c>
      <c r="N15462" t="s">
        <v>33196</v>
      </c>
      <c r="O15462" t="s">
        <v>187</v>
      </c>
      <c r="P15462" t="s">
        <v>33197</v>
      </c>
      <c r="Q15462">
        <v>9635</v>
      </c>
      <c r="R15462" t="s">
        <v>23</v>
      </c>
      <c r="S15462" s="1" t="s">
        <v>34218</v>
      </c>
    </row>
    <row r="15463" spans="1:19" x14ac:dyDescent="0.25">
      <c r="A15463">
        <v>101252561</v>
      </c>
      <c r="B15463" t="s">
        <v>33198</v>
      </c>
      <c r="C15463" t="s">
        <v>24542</v>
      </c>
      <c r="G15463">
        <v>84070</v>
      </c>
      <c r="H15463" t="s">
        <v>707</v>
      </c>
      <c r="I15463" t="s">
        <v>332</v>
      </c>
      <c r="J15463">
        <v>84070</v>
      </c>
      <c r="L15463" t="s">
        <v>23</v>
      </c>
      <c r="M15463">
        <v>84070</v>
      </c>
      <c r="N15463" t="s">
        <v>707</v>
      </c>
      <c r="O15463" t="s">
        <v>332</v>
      </c>
      <c r="P15463">
        <v>84070</v>
      </c>
      <c r="R15463" t="s">
        <v>23</v>
      </c>
      <c r="S15463" s="1" t="s">
        <v>34218</v>
      </c>
    </row>
    <row r="15464" spans="1:19" x14ac:dyDescent="0.25">
      <c r="A15464">
        <v>101432286</v>
      </c>
      <c r="B15464" t="s">
        <v>33199</v>
      </c>
      <c r="C15464" t="s">
        <v>1212</v>
      </c>
      <c r="G15464" t="s">
        <v>33200</v>
      </c>
      <c r="H15464" t="s">
        <v>20139</v>
      </c>
      <c r="I15464" t="s">
        <v>38</v>
      </c>
      <c r="J15464" t="s">
        <v>33201</v>
      </c>
      <c r="K15464">
        <v>3654</v>
      </c>
      <c r="L15464" t="s">
        <v>23</v>
      </c>
      <c r="M15464" t="s">
        <v>33200</v>
      </c>
      <c r="N15464" t="s">
        <v>20139</v>
      </c>
      <c r="O15464" t="s">
        <v>38</v>
      </c>
      <c r="P15464" t="s">
        <v>33201</v>
      </c>
      <c r="Q15464">
        <v>3654</v>
      </c>
      <c r="R15464" t="s">
        <v>23</v>
      </c>
      <c r="S15464" s="1" t="s">
        <v>34218</v>
      </c>
    </row>
    <row r="15465" spans="1:19" x14ac:dyDescent="0.25">
      <c r="A15465">
        <v>101242821</v>
      </c>
      <c r="B15465" t="s">
        <v>33202</v>
      </c>
      <c r="C15465" t="s">
        <v>334</v>
      </c>
      <c r="G15465" t="s">
        <v>33203</v>
      </c>
      <c r="H15465" t="s">
        <v>638</v>
      </c>
      <c r="I15465" t="s">
        <v>639</v>
      </c>
      <c r="J15465" t="s">
        <v>33204</v>
      </c>
      <c r="K15465">
        <v>3672</v>
      </c>
      <c r="L15465" t="s">
        <v>23</v>
      </c>
      <c r="M15465" t="s">
        <v>33203</v>
      </c>
      <c r="N15465" t="s">
        <v>638</v>
      </c>
      <c r="O15465" t="s">
        <v>639</v>
      </c>
      <c r="P15465" t="s">
        <v>33204</v>
      </c>
      <c r="Q15465">
        <v>3672</v>
      </c>
      <c r="R15465" t="s">
        <v>23</v>
      </c>
      <c r="S15465" s="1" t="s">
        <v>34218</v>
      </c>
    </row>
    <row r="15466" spans="1:19" x14ac:dyDescent="0.25">
      <c r="A15466">
        <v>101313233</v>
      </c>
      <c r="B15466" t="s">
        <v>4719</v>
      </c>
      <c r="C15466" t="s">
        <v>6375</v>
      </c>
      <c r="G15466" t="s">
        <v>33205</v>
      </c>
      <c r="H15466" t="s">
        <v>134</v>
      </c>
      <c r="I15466" t="s">
        <v>135</v>
      </c>
      <c r="J15466" t="s">
        <v>33206</v>
      </c>
      <c r="K15466">
        <v>6722</v>
      </c>
      <c r="L15466" t="s">
        <v>23</v>
      </c>
      <c r="M15466" t="s">
        <v>33205</v>
      </c>
      <c r="N15466" t="s">
        <v>134</v>
      </c>
      <c r="O15466" t="s">
        <v>135</v>
      </c>
      <c r="P15466" t="s">
        <v>33206</v>
      </c>
      <c r="Q15466">
        <v>6722</v>
      </c>
      <c r="R15466" t="s">
        <v>23</v>
      </c>
      <c r="S15466" s="1" t="s">
        <v>34218</v>
      </c>
    </row>
    <row r="15467" spans="1:19" x14ac:dyDescent="0.25">
      <c r="A15467">
        <v>101429788</v>
      </c>
      <c r="B15467" t="s">
        <v>3857</v>
      </c>
      <c r="C15467" t="s">
        <v>3460</v>
      </c>
      <c r="G15467" t="s">
        <v>33207</v>
      </c>
      <c r="H15467" t="s">
        <v>21243</v>
      </c>
      <c r="I15467" t="s">
        <v>117</v>
      </c>
      <c r="J15467" t="s">
        <v>33208</v>
      </c>
      <c r="K15467">
        <v>3912</v>
      </c>
      <c r="L15467" t="s">
        <v>23</v>
      </c>
      <c r="M15467" t="s">
        <v>33207</v>
      </c>
      <c r="N15467" t="s">
        <v>21243</v>
      </c>
      <c r="O15467" t="s">
        <v>117</v>
      </c>
      <c r="P15467" t="s">
        <v>33208</v>
      </c>
      <c r="Q15467">
        <v>3912</v>
      </c>
      <c r="R15467" t="s">
        <v>23</v>
      </c>
      <c r="S15467" s="1" t="s">
        <v>34218</v>
      </c>
    </row>
    <row r="15468" spans="1:19" x14ac:dyDescent="0.25">
      <c r="A15468">
        <v>101445058</v>
      </c>
      <c r="B15468" t="s">
        <v>18565</v>
      </c>
      <c r="C15468" t="s">
        <v>1117</v>
      </c>
      <c r="G15468" t="s">
        <v>33209</v>
      </c>
      <c r="H15468" t="s">
        <v>653</v>
      </c>
      <c r="I15468" t="s">
        <v>117</v>
      </c>
      <c r="J15468" t="s">
        <v>33210</v>
      </c>
      <c r="K15468">
        <v>1837</v>
      </c>
      <c r="L15468" t="s">
        <v>23</v>
      </c>
      <c r="M15468" t="s">
        <v>33209</v>
      </c>
      <c r="N15468" t="s">
        <v>653</v>
      </c>
      <c r="O15468" t="s">
        <v>117</v>
      </c>
      <c r="P15468" t="s">
        <v>33210</v>
      </c>
      <c r="Q15468">
        <v>1837</v>
      </c>
      <c r="R15468" t="s">
        <v>23</v>
      </c>
      <c r="S15468" s="1" t="s">
        <v>34218</v>
      </c>
    </row>
    <row r="15469" spans="1:19" x14ac:dyDescent="0.25">
      <c r="A15469">
        <v>101410832</v>
      </c>
      <c r="B15469" t="s">
        <v>33211</v>
      </c>
      <c r="C15469" t="s">
        <v>33212</v>
      </c>
      <c r="G15469" t="s">
        <v>33213</v>
      </c>
      <c r="H15469" t="s">
        <v>33214</v>
      </c>
      <c r="I15469" t="s">
        <v>52</v>
      </c>
      <c r="J15469" t="s">
        <v>33215</v>
      </c>
      <c r="K15469">
        <v>1292</v>
      </c>
      <c r="L15469" t="s">
        <v>23</v>
      </c>
      <c r="M15469" t="s">
        <v>33213</v>
      </c>
      <c r="N15469" t="s">
        <v>33214</v>
      </c>
      <c r="O15469" t="s">
        <v>52</v>
      </c>
      <c r="P15469" t="s">
        <v>33215</v>
      </c>
      <c r="Q15469">
        <v>1292</v>
      </c>
      <c r="R15469" t="s">
        <v>23</v>
      </c>
      <c r="S15469" s="1" t="s">
        <v>34218</v>
      </c>
    </row>
    <row r="15470" spans="1:19" x14ac:dyDescent="0.25">
      <c r="A15470">
        <v>101427371</v>
      </c>
      <c r="B15470" t="s">
        <v>2689</v>
      </c>
      <c r="C15470" t="s">
        <v>7464</v>
      </c>
      <c r="G15470" t="s">
        <v>33216</v>
      </c>
      <c r="H15470" t="s">
        <v>33217</v>
      </c>
      <c r="I15470" t="s">
        <v>100</v>
      </c>
      <c r="J15470" t="s">
        <v>33218</v>
      </c>
      <c r="K15470">
        <v>4061</v>
      </c>
      <c r="L15470" t="s">
        <v>23</v>
      </c>
      <c r="M15470" t="s">
        <v>33216</v>
      </c>
      <c r="N15470" t="s">
        <v>33217</v>
      </c>
      <c r="O15470" t="s">
        <v>100</v>
      </c>
      <c r="P15470" t="s">
        <v>33218</v>
      </c>
      <c r="Q15470">
        <v>4061</v>
      </c>
      <c r="R15470" t="s">
        <v>23</v>
      </c>
      <c r="S15470" s="1" t="s">
        <v>34218</v>
      </c>
    </row>
    <row r="15471" spans="1:19" x14ac:dyDescent="0.25">
      <c r="A15471">
        <v>101407031</v>
      </c>
      <c r="B15471" t="s">
        <v>1164</v>
      </c>
      <c r="C15471" t="s">
        <v>554</v>
      </c>
      <c r="G15471" t="s">
        <v>33219</v>
      </c>
      <c r="H15471" t="s">
        <v>2674</v>
      </c>
      <c r="I15471" t="s">
        <v>22</v>
      </c>
      <c r="J15471" t="s">
        <v>33220</v>
      </c>
      <c r="K15471">
        <v>8707</v>
      </c>
      <c r="L15471" t="s">
        <v>23</v>
      </c>
      <c r="M15471" t="s">
        <v>33219</v>
      </c>
      <c r="N15471" t="s">
        <v>2674</v>
      </c>
      <c r="O15471" t="s">
        <v>22</v>
      </c>
      <c r="P15471" t="s">
        <v>33220</v>
      </c>
      <c r="Q15471">
        <v>8707</v>
      </c>
      <c r="R15471" t="s">
        <v>23</v>
      </c>
      <c r="S15471" s="1" t="s">
        <v>34218</v>
      </c>
    </row>
    <row r="15472" spans="1:19" x14ac:dyDescent="0.25">
      <c r="A15472">
        <v>101424253</v>
      </c>
      <c r="B15472" t="s">
        <v>33221</v>
      </c>
      <c r="C15472" t="s">
        <v>579</v>
      </c>
      <c r="G15472" t="s">
        <v>33222</v>
      </c>
      <c r="H15472" t="s">
        <v>12907</v>
      </c>
      <c r="I15472" t="s">
        <v>161</v>
      </c>
      <c r="J15472" t="s">
        <v>33223</v>
      </c>
      <c r="K15472">
        <v>3344</v>
      </c>
      <c r="L15472" t="s">
        <v>23</v>
      </c>
      <c r="M15472" t="s">
        <v>33222</v>
      </c>
      <c r="N15472" t="s">
        <v>12907</v>
      </c>
      <c r="O15472" t="s">
        <v>161</v>
      </c>
      <c r="P15472" t="s">
        <v>33223</v>
      </c>
      <c r="Q15472">
        <v>3344</v>
      </c>
      <c r="R15472" t="s">
        <v>23</v>
      </c>
      <c r="S15472" s="1" t="s">
        <v>34218</v>
      </c>
    </row>
    <row r="15473" spans="1:19" x14ac:dyDescent="0.25">
      <c r="A15473">
        <v>101429782</v>
      </c>
      <c r="B15473" t="s">
        <v>33224</v>
      </c>
      <c r="C15473" t="s">
        <v>4502</v>
      </c>
      <c r="G15473" t="s">
        <v>33225</v>
      </c>
      <c r="H15473" t="s">
        <v>12197</v>
      </c>
      <c r="I15473" t="s">
        <v>33</v>
      </c>
      <c r="J15473" t="s">
        <v>33226</v>
      </c>
      <c r="K15473">
        <v>2808</v>
      </c>
      <c r="L15473" t="s">
        <v>23</v>
      </c>
      <c r="M15473" t="s">
        <v>33225</v>
      </c>
      <c r="N15473" t="s">
        <v>12197</v>
      </c>
      <c r="O15473" t="s">
        <v>33</v>
      </c>
      <c r="P15473" t="s">
        <v>33226</v>
      </c>
      <c r="Q15473">
        <v>2808</v>
      </c>
      <c r="R15473" t="s">
        <v>23</v>
      </c>
      <c r="S15473" s="1" t="s">
        <v>34218</v>
      </c>
    </row>
    <row r="15474" spans="1:19" x14ac:dyDescent="0.25">
      <c r="A15474">
        <v>101445125</v>
      </c>
      <c r="B15474" t="s">
        <v>3109</v>
      </c>
      <c r="C15474" t="s">
        <v>23401</v>
      </c>
      <c r="G15474" t="s">
        <v>33227</v>
      </c>
      <c r="H15474" t="s">
        <v>33228</v>
      </c>
      <c r="I15474" t="s">
        <v>327</v>
      </c>
      <c r="J15474">
        <v>25430</v>
      </c>
      <c r="L15474" t="s">
        <v>23</v>
      </c>
      <c r="M15474" t="s">
        <v>33227</v>
      </c>
      <c r="N15474" t="s">
        <v>33228</v>
      </c>
      <c r="O15474" t="s">
        <v>327</v>
      </c>
      <c r="P15474">
        <v>25430</v>
      </c>
      <c r="R15474" t="s">
        <v>23</v>
      </c>
      <c r="S15474" s="1" t="s">
        <v>34218</v>
      </c>
    </row>
    <row r="15475" spans="1:19" x14ac:dyDescent="0.25">
      <c r="A15475">
        <v>101313499</v>
      </c>
      <c r="B15475" t="s">
        <v>33229</v>
      </c>
      <c r="C15475" t="s">
        <v>33230</v>
      </c>
      <c r="G15475" t="s">
        <v>33231</v>
      </c>
      <c r="H15475" t="s">
        <v>15396</v>
      </c>
      <c r="I15475" t="s">
        <v>33</v>
      </c>
      <c r="J15475" t="s">
        <v>33232</v>
      </c>
      <c r="K15475">
        <v>2018</v>
      </c>
      <c r="L15475" t="s">
        <v>23</v>
      </c>
      <c r="M15475" t="s">
        <v>33231</v>
      </c>
      <c r="N15475" t="s">
        <v>15396</v>
      </c>
      <c r="O15475" t="s">
        <v>33</v>
      </c>
      <c r="P15475" t="s">
        <v>33232</v>
      </c>
      <c r="Q15475">
        <v>2018</v>
      </c>
      <c r="R15475" t="s">
        <v>23</v>
      </c>
      <c r="S15475" s="1" t="s">
        <v>34218</v>
      </c>
    </row>
    <row r="15476" spans="1:19" x14ac:dyDescent="0.25">
      <c r="A15476">
        <v>101424447</v>
      </c>
      <c r="B15476" t="s">
        <v>1650</v>
      </c>
      <c r="C15476" t="s">
        <v>1107</v>
      </c>
      <c r="G15476" t="s">
        <v>33233</v>
      </c>
      <c r="H15476" t="s">
        <v>682</v>
      </c>
      <c r="I15476" t="s">
        <v>365</v>
      </c>
      <c r="J15476" t="s">
        <v>33234</v>
      </c>
      <c r="K15476">
        <v>3827</v>
      </c>
      <c r="L15476" t="s">
        <v>23</v>
      </c>
      <c r="M15476" t="s">
        <v>33233</v>
      </c>
      <c r="N15476" t="s">
        <v>682</v>
      </c>
      <c r="O15476" t="s">
        <v>365</v>
      </c>
      <c r="P15476" t="s">
        <v>33234</v>
      </c>
      <c r="Q15476">
        <v>3827</v>
      </c>
      <c r="R15476" t="s">
        <v>23</v>
      </c>
      <c r="S15476" s="1" t="s">
        <v>34218</v>
      </c>
    </row>
    <row r="15477" spans="1:19" x14ac:dyDescent="0.25">
      <c r="A15477">
        <v>101235566</v>
      </c>
      <c r="B15477" t="s">
        <v>33235</v>
      </c>
      <c r="C15477" t="s">
        <v>1714</v>
      </c>
      <c r="G15477" t="s">
        <v>33236</v>
      </c>
      <c r="H15477" t="s">
        <v>653</v>
      </c>
      <c r="I15477" t="s">
        <v>117</v>
      </c>
      <c r="J15477" t="s">
        <v>33237</v>
      </c>
      <c r="K15477">
        <v>2189</v>
      </c>
      <c r="L15477" t="s">
        <v>23</v>
      </c>
      <c r="M15477" t="s">
        <v>33236</v>
      </c>
      <c r="N15477" t="s">
        <v>653</v>
      </c>
      <c r="O15477" t="s">
        <v>117</v>
      </c>
      <c r="P15477" t="s">
        <v>33237</v>
      </c>
      <c r="Q15477">
        <v>2189</v>
      </c>
      <c r="R15477" t="s">
        <v>23</v>
      </c>
      <c r="S15477" s="1" t="s">
        <v>34218</v>
      </c>
    </row>
    <row r="15478" spans="1:19" x14ac:dyDescent="0.25">
      <c r="A15478">
        <v>101226192</v>
      </c>
      <c r="B15478" t="s">
        <v>1581</v>
      </c>
      <c r="C15478" t="s">
        <v>575</v>
      </c>
      <c r="G15478" t="s">
        <v>33238</v>
      </c>
      <c r="H15478" t="s">
        <v>726</v>
      </c>
      <c r="I15478" t="s">
        <v>22</v>
      </c>
      <c r="J15478" t="s">
        <v>33239</v>
      </c>
      <c r="K15478">
        <v>3952</v>
      </c>
      <c r="L15478" t="s">
        <v>23</v>
      </c>
      <c r="M15478" t="s">
        <v>33238</v>
      </c>
      <c r="N15478" t="s">
        <v>726</v>
      </c>
      <c r="O15478" t="s">
        <v>22</v>
      </c>
      <c r="P15478" t="s">
        <v>33239</v>
      </c>
      <c r="Q15478">
        <v>3952</v>
      </c>
      <c r="R15478" t="s">
        <v>23</v>
      </c>
      <c r="S15478" s="1" t="s">
        <v>34218</v>
      </c>
    </row>
    <row r="15479" spans="1:19" x14ac:dyDescent="0.25">
      <c r="A15479">
        <v>101245843</v>
      </c>
      <c r="B15479" t="s">
        <v>33240</v>
      </c>
      <c r="C15479" t="s">
        <v>145</v>
      </c>
      <c r="G15479" t="s">
        <v>33241</v>
      </c>
      <c r="H15479" t="s">
        <v>3142</v>
      </c>
      <c r="I15479" t="s">
        <v>187</v>
      </c>
      <c r="J15479" t="s">
        <v>33242</v>
      </c>
      <c r="K15479">
        <v>9257</v>
      </c>
      <c r="L15479" t="s">
        <v>23</v>
      </c>
      <c r="M15479" t="s">
        <v>33241</v>
      </c>
      <c r="N15479" t="s">
        <v>3142</v>
      </c>
      <c r="O15479" t="s">
        <v>187</v>
      </c>
      <c r="P15479" t="s">
        <v>33242</v>
      </c>
      <c r="Q15479">
        <v>9257</v>
      </c>
      <c r="R15479" t="s">
        <v>23</v>
      </c>
      <c r="S15479" s="1" t="s">
        <v>34218</v>
      </c>
    </row>
    <row r="15480" spans="1:19" x14ac:dyDescent="0.25">
      <c r="A15480">
        <v>101423099</v>
      </c>
      <c r="B15480" t="s">
        <v>3790</v>
      </c>
      <c r="C15480" t="s">
        <v>2343</v>
      </c>
      <c r="G15480" t="s">
        <v>33243</v>
      </c>
      <c r="H15480" t="s">
        <v>10759</v>
      </c>
      <c r="I15480" t="s">
        <v>1097</v>
      </c>
      <c r="J15480" t="s">
        <v>33244</v>
      </c>
      <c r="K15480">
        <v>8902</v>
      </c>
      <c r="L15480" t="s">
        <v>23</v>
      </c>
      <c r="M15480" t="s">
        <v>33243</v>
      </c>
      <c r="N15480" t="s">
        <v>10759</v>
      </c>
      <c r="O15480" t="s">
        <v>1097</v>
      </c>
      <c r="P15480" t="s">
        <v>33244</v>
      </c>
      <c r="Q15480">
        <v>8902</v>
      </c>
      <c r="R15480" t="s">
        <v>23</v>
      </c>
      <c r="S15480" s="1" t="s">
        <v>34218</v>
      </c>
    </row>
    <row r="15481" spans="1:19" x14ac:dyDescent="0.25">
      <c r="A15481">
        <v>101445228</v>
      </c>
      <c r="B15481" t="s">
        <v>33245</v>
      </c>
      <c r="C15481" t="s">
        <v>2557</v>
      </c>
      <c r="G15481" t="s">
        <v>33246</v>
      </c>
      <c r="H15481" t="s">
        <v>6001</v>
      </c>
      <c r="I15481" t="s">
        <v>84</v>
      </c>
      <c r="J15481" t="s">
        <v>33247</v>
      </c>
      <c r="K15481">
        <v>8702</v>
      </c>
      <c r="L15481" t="s">
        <v>23</v>
      </c>
      <c r="M15481" t="s">
        <v>33246</v>
      </c>
      <c r="N15481" t="s">
        <v>6001</v>
      </c>
      <c r="O15481" t="s">
        <v>84</v>
      </c>
      <c r="P15481" t="s">
        <v>33247</v>
      </c>
      <c r="Q15481">
        <v>8702</v>
      </c>
      <c r="R15481" t="s">
        <v>23</v>
      </c>
      <c r="S15481" s="1" t="s">
        <v>34218</v>
      </c>
    </row>
    <row r="15482" spans="1:19" x14ac:dyDescent="0.25">
      <c r="A15482">
        <v>101206073</v>
      </c>
      <c r="B15482" t="s">
        <v>4018</v>
      </c>
      <c r="C15482" t="s">
        <v>14254</v>
      </c>
      <c r="G15482" t="s">
        <v>33248</v>
      </c>
      <c r="H15482" t="s">
        <v>33249</v>
      </c>
      <c r="I15482" t="s">
        <v>148</v>
      </c>
      <c r="J15482" t="s">
        <v>33250</v>
      </c>
      <c r="K15482">
        <v>2910</v>
      </c>
      <c r="L15482" t="s">
        <v>23</v>
      </c>
      <c r="M15482" t="s">
        <v>33248</v>
      </c>
      <c r="N15482" t="s">
        <v>33249</v>
      </c>
      <c r="O15482" t="s">
        <v>148</v>
      </c>
      <c r="P15482" t="s">
        <v>33250</v>
      </c>
      <c r="Q15482">
        <v>2910</v>
      </c>
      <c r="R15482" t="s">
        <v>23</v>
      </c>
      <c r="S15482" s="1" t="s">
        <v>34218</v>
      </c>
    </row>
    <row r="15483" spans="1:19" x14ac:dyDescent="0.25">
      <c r="A15483">
        <v>101252450</v>
      </c>
      <c r="B15483" t="s">
        <v>744</v>
      </c>
      <c r="C15483" t="s">
        <v>2767</v>
      </c>
      <c r="G15483" t="s">
        <v>33251</v>
      </c>
      <c r="H15483" t="s">
        <v>7751</v>
      </c>
      <c r="I15483" t="s">
        <v>914</v>
      </c>
      <c r="J15483" t="s">
        <v>33252</v>
      </c>
      <c r="K15483">
        <v>6512</v>
      </c>
      <c r="L15483" t="s">
        <v>23</v>
      </c>
      <c r="M15483" t="s">
        <v>33251</v>
      </c>
      <c r="N15483" t="s">
        <v>7751</v>
      </c>
      <c r="O15483" t="s">
        <v>914</v>
      </c>
      <c r="P15483" t="s">
        <v>33252</v>
      </c>
      <c r="Q15483">
        <v>6512</v>
      </c>
      <c r="R15483" t="s">
        <v>23</v>
      </c>
      <c r="S15483" s="1" t="s">
        <v>34218</v>
      </c>
    </row>
    <row r="15484" spans="1:19" x14ac:dyDescent="0.25">
      <c r="A15484">
        <v>101287263</v>
      </c>
      <c r="B15484" t="s">
        <v>33253</v>
      </c>
      <c r="C15484" t="s">
        <v>4124</v>
      </c>
      <c r="G15484" t="s">
        <v>33254</v>
      </c>
      <c r="H15484" t="s">
        <v>13375</v>
      </c>
      <c r="I15484" t="s">
        <v>33</v>
      </c>
      <c r="J15484" t="s">
        <v>33255</v>
      </c>
      <c r="K15484">
        <v>2064</v>
      </c>
      <c r="L15484" t="s">
        <v>23</v>
      </c>
      <c r="M15484" t="s">
        <v>33254</v>
      </c>
      <c r="N15484" t="s">
        <v>13375</v>
      </c>
      <c r="O15484" t="s">
        <v>33</v>
      </c>
      <c r="P15484" t="s">
        <v>33255</v>
      </c>
      <c r="Q15484">
        <v>2064</v>
      </c>
      <c r="R15484" t="s">
        <v>23</v>
      </c>
      <c r="S15484" s="1" t="s">
        <v>34218</v>
      </c>
    </row>
    <row r="15485" spans="1:19" x14ac:dyDescent="0.25">
      <c r="A15485">
        <v>100960936</v>
      </c>
      <c r="B15485" t="s">
        <v>33256</v>
      </c>
      <c r="C15485" t="s">
        <v>294</v>
      </c>
      <c r="F15485" t="str">
        <f>"6509651566"</f>
        <v>6509651566</v>
      </c>
      <c r="G15485" t="s">
        <v>33257</v>
      </c>
      <c r="H15485" t="s">
        <v>227</v>
      </c>
      <c r="I15485" t="s">
        <v>43</v>
      </c>
      <c r="J15485">
        <v>97213</v>
      </c>
      <c r="K15485">
        <v>3037</v>
      </c>
      <c r="L15485" t="s">
        <v>23</v>
      </c>
      <c r="M15485" t="s">
        <v>33257</v>
      </c>
      <c r="N15485" t="s">
        <v>227</v>
      </c>
      <c r="O15485" t="s">
        <v>43</v>
      </c>
      <c r="P15485">
        <v>97213</v>
      </c>
      <c r="Q15485">
        <v>3037</v>
      </c>
      <c r="R15485" t="s">
        <v>23</v>
      </c>
      <c r="S15485" s="1" t="s">
        <v>34218</v>
      </c>
    </row>
    <row r="15486" spans="1:19" x14ac:dyDescent="0.25">
      <c r="A15486">
        <v>101451297</v>
      </c>
      <c r="B15486" t="s">
        <v>204</v>
      </c>
      <c r="C15486" t="s">
        <v>6572</v>
      </c>
      <c r="G15486" t="s">
        <v>33258</v>
      </c>
      <c r="H15486" t="s">
        <v>2798</v>
      </c>
      <c r="I15486" t="s">
        <v>250</v>
      </c>
      <c r="J15486">
        <v>8016</v>
      </c>
      <c r="K15486">
        <v>3945</v>
      </c>
      <c r="L15486" t="s">
        <v>23</v>
      </c>
      <c r="M15486" t="s">
        <v>33258</v>
      </c>
      <c r="N15486" t="s">
        <v>2798</v>
      </c>
      <c r="O15486" t="s">
        <v>250</v>
      </c>
      <c r="P15486">
        <v>8016</v>
      </c>
      <c r="Q15486">
        <v>3945</v>
      </c>
      <c r="R15486" t="s">
        <v>23</v>
      </c>
      <c r="S15486" s="1" t="s">
        <v>34218</v>
      </c>
    </row>
    <row r="15487" spans="1:19" x14ac:dyDescent="0.25">
      <c r="A15487">
        <v>101439002</v>
      </c>
      <c r="B15487" t="s">
        <v>33259</v>
      </c>
      <c r="C15487" t="s">
        <v>579</v>
      </c>
      <c r="G15487" t="s">
        <v>33260</v>
      </c>
      <c r="H15487" t="s">
        <v>66</v>
      </c>
      <c r="I15487" t="s">
        <v>22</v>
      </c>
      <c r="J15487">
        <v>94708</v>
      </c>
      <c r="L15487" t="s">
        <v>23</v>
      </c>
      <c r="M15487" t="s">
        <v>33260</v>
      </c>
      <c r="N15487" t="s">
        <v>66</v>
      </c>
      <c r="O15487" t="s">
        <v>22</v>
      </c>
      <c r="P15487">
        <v>94708</v>
      </c>
      <c r="R15487" t="s">
        <v>23</v>
      </c>
      <c r="S15487" s="1" t="s">
        <v>34218</v>
      </c>
    </row>
    <row r="15488" spans="1:19" x14ac:dyDescent="0.25">
      <c r="A15488">
        <v>100862592</v>
      </c>
      <c r="B15488" t="s">
        <v>33261</v>
      </c>
      <c r="C15488" t="s">
        <v>1384</v>
      </c>
      <c r="G15488" t="s">
        <v>33262</v>
      </c>
      <c r="H15488" t="s">
        <v>1625</v>
      </c>
      <c r="I15488" t="s">
        <v>702</v>
      </c>
      <c r="J15488">
        <v>89015</v>
      </c>
      <c r="K15488">
        <v>5001</v>
      </c>
      <c r="L15488" t="s">
        <v>23</v>
      </c>
      <c r="M15488" t="s">
        <v>33262</v>
      </c>
      <c r="N15488" t="s">
        <v>1625</v>
      </c>
      <c r="O15488" t="s">
        <v>702</v>
      </c>
      <c r="P15488">
        <v>89015</v>
      </c>
      <c r="Q15488">
        <v>5001</v>
      </c>
      <c r="R15488" t="s">
        <v>23</v>
      </c>
      <c r="S15488" s="1" t="s">
        <v>34218</v>
      </c>
    </row>
    <row r="15489" spans="1:19" x14ac:dyDescent="0.25">
      <c r="A15489">
        <v>100515840</v>
      </c>
      <c r="B15489" t="s">
        <v>7626</v>
      </c>
      <c r="C15489" t="s">
        <v>3843</v>
      </c>
      <c r="G15489" t="s">
        <v>33263</v>
      </c>
      <c r="H15489" t="s">
        <v>299</v>
      </c>
      <c r="I15489" t="s">
        <v>22</v>
      </c>
      <c r="J15489">
        <v>90025</v>
      </c>
      <c r="K15489">
        <v>5331</v>
      </c>
      <c r="L15489" t="s">
        <v>23</v>
      </c>
      <c r="M15489" t="s">
        <v>33263</v>
      </c>
      <c r="N15489" t="s">
        <v>299</v>
      </c>
      <c r="O15489" t="s">
        <v>22</v>
      </c>
      <c r="P15489">
        <v>90025</v>
      </c>
      <c r="Q15489">
        <v>5331</v>
      </c>
      <c r="R15489" t="s">
        <v>23</v>
      </c>
      <c r="S15489" s="1" t="s">
        <v>34218</v>
      </c>
    </row>
    <row r="15490" spans="1:19" x14ac:dyDescent="0.25">
      <c r="A15490">
        <v>100862303</v>
      </c>
      <c r="B15490" t="s">
        <v>33264</v>
      </c>
      <c r="C15490" t="s">
        <v>382</v>
      </c>
      <c r="G15490" t="s">
        <v>33265</v>
      </c>
      <c r="H15490" t="s">
        <v>17585</v>
      </c>
      <c r="I15490" t="s">
        <v>71</v>
      </c>
      <c r="J15490">
        <v>80129</v>
      </c>
      <c r="K15490">
        <v>6606</v>
      </c>
      <c r="L15490" t="s">
        <v>23</v>
      </c>
      <c r="M15490" t="s">
        <v>33265</v>
      </c>
      <c r="N15490" t="s">
        <v>17585</v>
      </c>
      <c r="O15490" t="s">
        <v>71</v>
      </c>
      <c r="P15490">
        <v>80129</v>
      </c>
      <c r="Q15490">
        <v>6606</v>
      </c>
      <c r="R15490" t="s">
        <v>23</v>
      </c>
      <c r="S15490" s="1" t="s">
        <v>34218</v>
      </c>
    </row>
    <row r="15491" spans="1:19" x14ac:dyDescent="0.25">
      <c r="A15491">
        <v>101422901</v>
      </c>
      <c r="B15491" t="s">
        <v>21820</v>
      </c>
      <c r="C15491" t="s">
        <v>33266</v>
      </c>
      <c r="G15491" t="s">
        <v>33267</v>
      </c>
      <c r="H15491" t="s">
        <v>393</v>
      </c>
      <c r="I15491" t="s">
        <v>71</v>
      </c>
      <c r="J15491" t="s">
        <v>33268</v>
      </c>
      <c r="K15491">
        <v>2012</v>
      </c>
      <c r="L15491" t="s">
        <v>23</v>
      </c>
      <c r="M15491" t="s">
        <v>33267</v>
      </c>
      <c r="N15491" t="s">
        <v>393</v>
      </c>
      <c r="O15491" t="s">
        <v>71</v>
      </c>
      <c r="P15491" t="s">
        <v>33268</v>
      </c>
      <c r="Q15491">
        <v>2012</v>
      </c>
      <c r="R15491" t="s">
        <v>23</v>
      </c>
      <c r="S15491" s="1" t="s">
        <v>34218</v>
      </c>
    </row>
    <row r="15492" spans="1:19" x14ac:dyDescent="0.25">
      <c r="A15492">
        <v>101431738</v>
      </c>
      <c r="B15492" t="s">
        <v>2637</v>
      </c>
      <c r="C15492" t="s">
        <v>90</v>
      </c>
      <c r="G15492" t="s">
        <v>33269</v>
      </c>
      <c r="H15492" t="s">
        <v>2717</v>
      </c>
      <c r="I15492" t="s">
        <v>161</v>
      </c>
      <c r="J15492" t="s">
        <v>33270</v>
      </c>
      <c r="K15492">
        <v>3421</v>
      </c>
      <c r="L15492" t="s">
        <v>23</v>
      </c>
      <c r="M15492" t="s">
        <v>33269</v>
      </c>
      <c r="N15492" t="s">
        <v>2717</v>
      </c>
      <c r="O15492" t="s">
        <v>161</v>
      </c>
      <c r="P15492" t="s">
        <v>33270</v>
      </c>
      <c r="Q15492">
        <v>3421</v>
      </c>
      <c r="R15492" t="s">
        <v>23</v>
      </c>
      <c r="S15492" s="1" t="s">
        <v>34218</v>
      </c>
    </row>
    <row r="15493" spans="1:19" x14ac:dyDescent="0.25">
      <c r="A15493">
        <v>101427313</v>
      </c>
      <c r="B15493" t="s">
        <v>33271</v>
      </c>
      <c r="C15493" t="s">
        <v>33272</v>
      </c>
      <c r="G15493" t="s">
        <v>33273</v>
      </c>
      <c r="H15493" t="s">
        <v>6321</v>
      </c>
      <c r="I15493" t="s">
        <v>117</v>
      </c>
      <c r="J15493" t="s">
        <v>33274</v>
      </c>
      <c r="K15493">
        <v>1033</v>
      </c>
      <c r="L15493" t="s">
        <v>23</v>
      </c>
      <c r="M15493" t="s">
        <v>33273</v>
      </c>
      <c r="N15493" t="s">
        <v>6321</v>
      </c>
      <c r="O15493" t="s">
        <v>117</v>
      </c>
      <c r="P15493" t="s">
        <v>33274</v>
      </c>
      <c r="Q15493">
        <v>1033</v>
      </c>
      <c r="R15493" t="s">
        <v>23</v>
      </c>
      <c r="S15493" s="1" t="s">
        <v>34218</v>
      </c>
    </row>
    <row r="15494" spans="1:19" x14ac:dyDescent="0.25">
      <c r="A15494">
        <v>101315423</v>
      </c>
      <c r="B15494" t="s">
        <v>16687</v>
      </c>
      <c r="C15494" t="s">
        <v>45</v>
      </c>
      <c r="G15494" t="s">
        <v>33275</v>
      </c>
      <c r="H15494" t="s">
        <v>733</v>
      </c>
      <c r="I15494" t="s">
        <v>52</v>
      </c>
      <c r="J15494" t="s">
        <v>33276</v>
      </c>
      <c r="K15494">
        <v>2843</v>
      </c>
      <c r="L15494" t="s">
        <v>23</v>
      </c>
      <c r="M15494" t="s">
        <v>33275</v>
      </c>
      <c r="N15494" t="s">
        <v>733</v>
      </c>
      <c r="O15494" t="s">
        <v>52</v>
      </c>
      <c r="P15494" t="s">
        <v>33276</v>
      </c>
      <c r="Q15494">
        <v>2843</v>
      </c>
      <c r="R15494" t="s">
        <v>23</v>
      </c>
      <c r="S15494" s="1" t="s">
        <v>34218</v>
      </c>
    </row>
    <row r="15495" spans="1:19" x14ac:dyDescent="0.25">
      <c r="A15495">
        <v>101260838</v>
      </c>
      <c r="B15495" t="s">
        <v>2775</v>
      </c>
      <c r="C15495" t="s">
        <v>2151</v>
      </c>
      <c r="G15495" t="s">
        <v>33277</v>
      </c>
      <c r="H15495" t="s">
        <v>19766</v>
      </c>
      <c r="I15495" t="s">
        <v>250</v>
      </c>
      <c r="J15495" t="s">
        <v>33278</v>
      </c>
      <c r="K15495">
        <v>1329</v>
      </c>
      <c r="L15495" t="s">
        <v>23</v>
      </c>
      <c r="M15495" t="s">
        <v>33277</v>
      </c>
      <c r="N15495" t="s">
        <v>19766</v>
      </c>
      <c r="O15495" t="s">
        <v>250</v>
      </c>
      <c r="P15495" t="s">
        <v>33278</v>
      </c>
      <c r="Q15495">
        <v>1329</v>
      </c>
      <c r="R15495" t="s">
        <v>23</v>
      </c>
      <c r="S15495" s="1" t="s">
        <v>34218</v>
      </c>
    </row>
    <row r="15496" spans="1:19" x14ac:dyDescent="0.25">
      <c r="A15496">
        <v>101430628</v>
      </c>
      <c r="B15496" t="s">
        <v>29682</v>
      </c>
      <c r="C15496" t="s">
        <v>33279</v>
      </c>
      <c r="G15496" t="s">
        <v>33280</v>
      </c>
      <c r="H15496" t="s">
        <v>28039</v>
      </c>
      <c r="I15496" t="s">
        <v>117</v>
      </c>
      <c r="J15496" t="s">
        <v>33281</v>
      </c>
      <c r="K15496">
        <v>1728</v>
      </c>
      <c r="L15496" t="s">
        <v>23</v>
      </c>
      <c r="M15496" t="s">
        <v>33280</v>
      </c>
      <c r="N15496" t="s">
        <v>28039</v>
      </c>
      <c r="O15496" t="s">
        <v>117</v>
      </c>
      <c r="P15496" t="s">
        <v>33281</v>
      </c>
      <c r="Q15496">
        <v>1728</v>
      </c>
      <c r="R15496" t="s">
        <v>23</v>
      </c>
      <c r="S15496" s="1" t="s">
        <v>34218</v>
      </c>
    </row>
    <row r="15497" spans="1:19" x14ac:dyDescent="0.25">
      <c r="A15497">
        <v>101432655</v>
      </c>
      <c r="B15497" t="s">
        <v>33282</v>
      </c>
      <c r="C15497" t="s">
        <v>403</v>
      </c>
      <c r="G15497" t="s">
        <v>33283</v>
      </c>
      <c r="H15497" t="s">
        <v>504</v>
      </c>
      <c r="I15497" t="s">
        <v>148</v>
      </c>
      <c r="J15497" t="s">
        <v>33284</v>
      </c>
      <c r="K15497">
        <v>1044</v>
      </c>
      <c r="L15497" t="s">
        <v>23</v>
      </c>
      <c r="M15497" t="s">
        <v>33283</v>
      </c>
      <c r="N15497" t="s">
        <v>504</v>
      </c>
      <c r="O15497" t="s">
        <v>148</v>
      </c>
      <c r="P15497" t="s">
        <v>33284</v>
      </c>
      <c r="Q15497">
        <v>1044</v>
      </c>
      <c r="R15497" t="s">
        <v>23</v>
      </c>
      <c r="S15497" s="1" t="s">
        <v>34218</v>
      </c>
    </row>
    <row r="15498" spans="1:19" x14ac:dyDescent="0.25">
      <c r="A15498">
        <v>101438222</v>
      </c>
      <c r="B15498" t="s">
        <v>33285</v>
      </c>
      <c r="C15498" t="s">
        <v>33286</v>
      </c>
      <c r="G15498" t="s">
        <v>33287</v>
      </c>
      <c r="H15498" t="s">
        <v>19697</v>
      </c>
      <c r="I15498" t="s">
        <v>365</v>
      </c>
      <c r="J15498" t="s">
        <v>33288</v>
      </c>
      <c r="K15498">
        <v>4318</v>
      </c>
      <c r="L15498" t="s">
        <v>23</v>
      </c>
      <c r="M15498" t="s">
        <v>33287</v>
      </c>
      <c r="N15498" t="s">
        <v>19697</v>
      </c>
      <c r="O15498" t="s">
        <v>365</v>
      </c>
      <c r="P15498" t="s">
        <v>33288</v>
      </c>
      <c r="Q15498">
        <v>4318</v>
      </c>
      <c r="R15498" t="s">
        <v>23</v>
      </c>
      <c r="S15498" s="1" t="s">
        <v>34218</v>
      </c>
    </row>
    <row r="15499" spans="1:19" x14ac:dyDescent="0.25">
      <c r="A15499">
        <v>101441500</v>
      </c>
      <c r="B15499" t="s">
        <v>33289</v>
      </c>
      <c r="C15499" t="s">
        <v>4318</v>
      </c>
      <c r="G15499" t="s">
        <v>33290</v>
      </c>
      <c r="H15499" t="s">
        <v>1431</v>
      </c>
      <c r="I15499" t="s">
        <v>639</v>
      </c>
      <c r="J15499" t="s">
        <v>33291</v>
      </c>
      <c r="K15499">
        <v>4</v>
      </c>
      <c r="L15499" t="s">
        <v>23</v>
      </c>
      <c r="M15499" t="s">
        <v>33290</v>
      </c>
      <c r="N15499" t="s">
        <v>1431</v>
      </c>
      <c r="O15499" t="s">
        <v>639</v>
      </c>
      <c r="P15499" t="s">
        <v>33291</v>
      </c>
      <c r="Q15499">
        <v>4</v>
      </c>
      <c r="R15499" t="s">
        <v>23</v>
      </c>
      <c r="S15499" s="1" t="s">
        <v>34218</v>
      </c>
    </row>
    <row r="15500" spans="1:19" x14ac:dyDescent="0.25">
      <c r="A15500">
        <v>100549312</v>
      </c>
      <c r="B15500" t="s">
        <v>2712</v>
      </c>
      <c r="C15500" t="s">
        <v>1107</v>
      </c>
      <c r="G15500" t="s">
        <v>33292</v>
      </c>
      <c r="H15500" t="s">
        <v>33293</v>
      </c>
      <c r="I15500" t="s">
        <v>914</v>
      </c>
      <c r="J15500" t="s">
        <v>33294</v>
      </c>
      <c r="K15500">
        <v>2</v>
      </c>
      <c r="L15500" t="s">
        <v>23</v>
      </c>
      <c r="M15500" t="s">
        <v>33292</v>
      </c>
      <c r="N15500" t="s">
        <v>33293</v>
      </c>
      <c r="O15500" t="s">
        <v>914</v>
      </c>
      <c r="P15500" t="s">
        <v>33294</v>
      </c>
      <c r="Q15500">
        <v>2</v>
      </c>
      <c r="R15500" t="s">
        <v>23</v>
      </c>
      <c r="S15500" s="1" t="s">
        <v>34218</v>
      </c>
    </row>
    <row r="15501" spans="1:19" x14ac:dyDescent="0.25">
      <c r="A15501">
        <v>101430916</v>
      </c>
      <c r="B15501" t="s">
        <v>33295</v>
      </c>
      <c r="C15501" t="s">
        <v>30</v>
      </c>
      <c r="G15501" t="s">
        <v>33296</v>
      </c>
      <c r="H15501" t="s">
        <v>2116</v>
      </c>
      <c r="I15501" t="s">
        <v>22</v>
      </c>
      <c r="J15501" t="s">
        <v>30490</v>
      </c>
      <c r="K15501">
        <v>1406</v>
      </c>
      <c r="L15501" t="s">
        <v>23</v>
      </c>
      <c r="M15501" t="s">
        <v>33296</v>
      </c>
      <c r="N15501" t="s">
        <v>2116</v>
      </c>
      <c r="O15501" t="s">
        <v>22</v>
      </c>
      <c r="P15501" t="s">
        <v>30490</v>
      </c>
      <c r="Q15501">
        <v>1406</v>
      </c>
      <c r="R15501" t="s">
        <v>23</v>
      </c>
      <c r="S15501" s="1" t="s">
        <v>34218</v>
      </c>
    </row>
    <row r="15502" spans="1:19" x14ac:dyDescent="0.25">
      <c r="A15502">
        <v>101430752</v>
      </c>
      <c r="B15502" t="s">
        <v>16364</v>
      </c>
      <c r="C15502" t="s">
        <v>6003</v>
      </c>
      <c r="G15502" t="s">
        <v>33297</v>
      </c>
      <c r="H15502" t="s">
        <v>227</v>
      </c>
      <c r="I15502" t="s">
        <v>43</v>
      </c>
      <c r="J15502" t="s">
        <v>33298</v>
      </c>
      <c r="K15502">
        <v>5034</v>
      </c>
      <c r="L15502" t="s">
        <v>23</v>
      </c>
      <c r="M15502" t="s">
        <v>33297</v>
      </c>
      <c r="N15502" t="s">
        <v>227</v>
      </c>
      <c r="O15502" t="s">
        <v>43</v>
      </c>
      <c r="P15502" t="s">
        <v>33298</v>
      </c>
      <c r="Q15502">
        <v>5034</v>
      </c>
      <c r="R15502" t="s">
        <v>23</v>
      </c>
      <c r="S15502" s="1" t="s">
        <v>34218</v>
      </c>
    </row>
    <row r="15503" spans="1:19" x14ac:dyDescent="0.25">
      <c r="A15503">
        <v>101414414</v>
      </c>
      <c r="B15503" t="s">
        <v>33299</v>
      </c>
      <c r="C15503" t="s">
        <v>4502</v>
      </c>
      <c r="G15503" t="s">
        <v>33300</v>
      </c>
      <c r="H15503" t="s">
        <v>976</v>
      </c>
      <c r="I15503" t="s">
        <v>140</v>
      </c>
      <c r="J15503" t="s">
        <v>33301</v>
      </c>
      <c r="K15503">
        <v>9490</v>
      </c>
      <c r="L15503" t="s">
        <v>23</v>
      </c>
      <c r="M15503" t="s">
        <v>33300</v>
      </c>
      <c r="N15503" t="s">
        <v>976</v>
      </c>
      <c r="O15503" t="s">
        <v>140</v>
      </c>
      <c r="P15503" t="s">
        <v>33301</v>
      </c>
      <c r="Q15503">
        <v>9490</v>
      </c>
      <c r="R15503" t="s">
        <v>23</v>
      </c>
      <c r="S15503" s="1" t="s">
        <v>34218</v>
      </c>
    </row>
    <row r="15504" spans="1:19" x14ac:dyDescent="0.25">
      <c r="A15504">
        <v>101304515</v>
      </c>
      <c r="B15504" t="s">
        <v>33302</v>
      </c>
      <c r="C15504" t="s">
        <v>32900</v>
      </c>
      <c r="G15504" t="s">
        <v>33303</v>
      </c>
      <c r="H15504" t="s">
        <v>12240</v>
      </c>
      <c r="I15504" t="s">
        <v>353</v>
      </c>
      <c r="J15504" t="s">
        <v>33304</v>
      </c>
      <c r="K15504">
        <v>2432</v>
      </c>
      <c r="L15504" t="s">
        <v>23</v>
      </c>
      <c r="M15504" t="s">
        <v>33303</v>
      </c>
      <c r="N15504" t="s">
        <v>12240</v>
      </c>
      <c r="O15504" t="s">
        <v>353</v>
      </c>
      <c r="P15504" t="s">
        <v>33304</v>
      </c>
      <c r="Q15504">
        <v>2432</v>
      </c>
      <c r="R15504" t="s">
        <v>23</v>
      </c>
      <c r="S15504" s="1" t="s">
        <v>34218</v>
      </c>
    </row>
    <row r="15505" spans="1:19" x14ac:dyDescent="0.25">
      <c r="A15505">
        <v>101445515</v>
      </c>
      <c r="B15505" t="s">
        <v>33305</v>
      </c>
      <c r="C15505" t="s">
        <v>803</v>
      </c>
      <c r="G15505" t="s">
        <v>33306</v>
      </c>
      <c r="H15505" t="s">
        <v>11491</v>
      </c>
      <c r="I15505" t="s">
        <v>178</v>
      </c>
      <c r="J15505" t="s">
        <v>33307</v>
      </c>
      <c r="K15505">
        <v>2525</v>
      </c>
      <c r="L15505" t="s">
        <v>23</v>
      </c>
      <c r="M15505" t="s">
        <v>33306</v>
      </c>
      <c r="N15505" t="s">
        <v>11491</v>
      </c>
      <c r="O15505" t="s">
        <v>178</v>
      </c>
      <c r="P15505" t="s">
        <v>33307</v>
      </c>
      <c r="Q15505">
        <v>2525</v>
      </c>
      <c r="R15505" t="s">
        <v>23</v>
      </c>
      <c r="S15505" s="1" t="s">
        <v>34218</v>
      </c>
    </row>
    <row r="15506" spans="1:19" x14ac:dyDescent="0.25">
      <c r="A15506">
        <v>101420902</v>
      </c>
      <c r="B15506" t="s">
        <v>5540</v>
      </c>
      <c r="C15506" t="s">
        <v>2603</v>
      </c>
      <c r="G15506" t="s">
        <v>33308</v>
      </c>
      <c r="H15506" t="s">
        <v>5940</v>
      </c>
      <c r="I15506" t="s">
        <v>52</v>
      </c>
      <c r="J15506" t="s">
        <v>33309</v>
      </c>
      <c r="K15506">
        <v>2281</v>
      </c>
      <c r="L15506" t="s">
        <v>23</v>
      </c>
      <c r="M15506" t="s">
        <v>33308</v>
      </c>
      <c r="N15506" t="s">
        <v>5940</v>
      </c>
      <c r="O15506" t="s">
        <v>52</v>
      </c>
      <c r="P15506" t="s">
        <v>33309</v>
      </c>
      <c r="Q15506">
        <v>2281</v>
      </c>
      <c r="R15506" t="s">
        <v>23</v>
      </c>
      <c r="S15506" s="1" t="s">
        <v>34218</v>
      </c>
    </row>
    <row r="15507" spans="1:19" x14ac:dyDescent="0.25">
      <c r="A15507">
        <v>101301853</v>
      </c>
      <c r="B15507" t="s">
        <v>33310</v>
      </c>
      <c r="C15507" t="s">
        <v>4019</v>
      </c>
      <c r="G15507" t="s">
        <v>33311</v>
      </c>
      <c r="H15507" t="s">
        <v>11654</v>
      </c>
      <c r="I15507" t="s">
        <v>33</v>
      </c>
      <c r="J15507" t="s">
        <v>33312</v>
      </c>
      <c r="K15507">
        <v>3321</v>
      </c>
      <c r="L15507" t="s">
        <v>23</v>
      </c>
      <c r="M15507" t="s">
        <v>33311</v>
      </c>
      <c r="N15507" t="s">
        <v>11654</v>
      </c>
      <c r="O15507" t="s">
        <v>33</v>
      </c>
      <c r="P15507" t="s">
        <v>33312</v>
      </c>
      <c r="Q15507">
        <v>3321</v>
      </c>
      <c r="R15507" t="s">
        <v>23</v>
      </c>
      <c r="S15507" s="1" t="s">
        <v>34218</v>
      </c>
    </row>
    <row r="15508" spans="1:19" x14ac:dyDescent="0.25">
      <c r="A15508">
        <v>101431790</v>
      </c>
      <c r="B15508" t="s">
        <v>33313</v>
      </c>
      <c r="C15508" t="s">
        <v>33314</v>
      </c>
      <c r="G15508" t="s">
        <v>33315</v>
      </c>
      <c r="H15508" t="s">
        <v>33316</v>
      </c>
      <c r="I15508" t="s">
        <v>255</v>
      </c>
      <c r="J15508" t="s">
        <v>33317</v>
      </c>
      <c r="K15508">
        <v>5095</v>
      </c>
      <c r="L15508" t="s">
        <v>23</v>
      </c>
      <c r="M15508" t="s">
        <v>33315</v>
      </c>
      <c r="N15508" t="s">
        <v>33316</v>
      </c>
      <c r="O15508" t="s">
        <v>255</v>
      </c>
      <c r="P15508" t="s">
        <v>33317</v>
      </c>
      <c r="Q15508">
        <v>5095</v>
      </c>
      <c r="R15508" t="s">
        <v>23</v>
      </c>
      <c r="S15508" s="1" t="s">
        <v>34218</v>
      </c>
    </row>
    <row r="15509" spans="1:19" x14ac:dyDescent="0.25">
      <c r="A15509">
        <v>101331476</v>
      </c>
      <c r="B15509" t="s">
        <v>33318</v>
      </c>
      <c r="C15509" t="s">
        <v>966</v>
      </c>
      <c r="G15509" t="s">
        <v>33319</v>
      </c>
      <c r="H15509" t="s">
        <v>2904</v>
      </c>
      <c r="I15509" t="s">
        <v>22</v>
      </c>
      <c r="J15509" t="s">
        <v>33320</v>
      </c>
      <c r="K15509">
        <v>2810</v>
      </c>
      <c r="L15509" t="s">
        <v>23</v>
      </c>
      <c r="M15509" t="s">
        <v>33319</v>
      </c>
      <c r="N15509" t="s">
        <v>2904</v>
      </c>
      <c r="O15509" t="s">
        <v>22</v>
      </c>
      <c r="P15509" t="s">
        <v>33320</v>
      </c>
      <c r="Q15509">
        <v>2810</v>
      </c>
      <c r="R15509" t="s">
        <v>23</v>
      </c>
      <c r="S15509" s="1" t="s">
        <v>34218</v>
      </c>
    </row>
    <row r="15510" spans="1:19" x14ac:dyDescent="0.25">
      <c r="A15510">
        <v>101342335</v>
      </c>
      <c r="B15510" t="s">
        <v>33321</v>
      </c>
      <c r="C15510" t="s">
        <v>2515</v>
      </c>
      <c r="G15510" t="s">
        <v>33322</v>
      </c>
      <c r="H15510" t="s">
        <v>17995</v>
      </c>
      <c r="I15510" t="s">
        <v>135</v>
      </c>
      <c r="J15510" t="s">
        <v>33323</v>
      </c>
      <c r="K15510">
        <v>6027</v>
      </c>
      <c r="L15510" t="s">
        <v>23</v>
      </c>
      <c r="M15510" t="s">
        <v>33322</v>
      </c>
      <c r="N15510" t="s">
        <v>17995</v>
      </c>
      <c r="O15510" t="s">
        <v>135</v>
      </c>
      <c r="P15510" t="s">
        <v>33323</v>
      </c>
      <c r="Q15510">
        <v>6027</v>
      </c>
      <c r="R15510" t="s">
        <v>23</v>
      </c>
      <c r="S15510" s="1" t="s">
        <v>34218</v>
      </c>
    </row>
    <row r="15511" spans="1:19" x14ac:dyDescent="0.25">
      <c r="A15511">
        <v>100638940</v>
      </c>
      <c r="B15511" t="s">
        <v>20975</v>
      </c>
      <c r="C15511" t="s">
        <v>1036</v>
      </c>
      <c r="G15511" t="s">
        <v>33324</v>
      </c>
      <c r="H15511" t="s">
        <v>653</v>
      </c>
      <c r="I15511" t="s">
        <v>117</v>
      </c>
      <c r="J15511" t="s">
        <v>33325</v>
      </c>
      <c r="K15511">
        <v>4003</v>
      </c>
      <c r="L15511" t="s">
        <v>23</v>
      </c>
      <c r="M15511" t="s">
        <v>33324</v>
      </c>
      <c r="N15511" t="s">
        <v>653</v>
      </c>
      <c r="O15511" t="s">
        <v>117</v>
      </c>
      <c r="P15511" t="s">
        <v>33325</v>
      </c>
      <c r="Q15511">
        <v>4003</v>
      </c>
      <c r="R15511" t="s">
        <v>23</v>
      </c>
      <c r="S15511" s="1" t="s">
        <v>34218</v>
      </c>
    </row>
    <row r="15512" spans="1:19" x14ac:dyDescent="0.25">
      <c r="A15512">
        <v>101430065</v>
      </c>
      <c r="B15512" t="s">
        <v>32712</v>
      </c>
      <c r="C15512" t="s">
        <v>699</v>
      </c>
      <c r="G15512" t="s">
        <v>33326</v>
      </c>
      <c r="H15512" t="s">
        <v>21</v>
      </c>
      <c r="I15512" t="s">
        <v>22</v>
      </c>
      <c r="J15512">
        <v>95404</v>
      </c>
      <c r="K15512">
        <v>4027</v>
      </c>
      <c r="L15512" t="s">
        <v>23</v>
      </c>
      <c r="M15512" t="s">
        <v>33326</v>
      </c>
      <c r="N15512" t="s">
        <v>21</v>
      </c>
      <c r="O15512" t="s">
        <v>22</v>
      </c>
      <c r="P15512">
        <v>95404</v>
      </c>
      <c r="Q15512">
        <v>4027</v>
      </c>
      <c r="R15512" t="s">
        <v>23</v>
      </c>
      <c r="S15512" s="1" t="s">
        <v>34218</v>
      </c>
    </row>
    <row r="15513" spans="1:19" x14ac:dyDescent="0.25">
      <c r="A15513">
        <v>101464969</v>
      </c>
      <c r="B15513" t="s">
        <v>33327</v>
      </c>
      <c r="C15513" t="s">
        <v>613</v>
      </c>
      <c r="G15513" t="s">
        <v>33328</v>
      </c>
      <c r="H15513" t="s">
        <v>14007</v>
      </c>
      <c r="I15513" t="s">
        <v>187</v>
      </c>
      <c r="J15513">
        <v>55426</v>
      </c>
      <c r="K15513">
        <v>1058</v>
      </c>
      <c r="L15513" t="s">
        <v>23</v>
      </c>
      <c r="M15513" t="s">
        <v>33328</v>
      </c>
      <c r="N15513" t="s">
        <v>14007</v>
      </c>
      <c r="O15513" t="s">
        <v>187</v>
      </c>
      <c r="P15513">
        <v>55426</v>
      </c>
      <c r="Q15513">
        <v>1058</v>
      </c>
      <c r="R15513" t="s">
        <v>23</v>
      </c>
      <c r="S15513" s="1" t="s">
        <v>34218</v>
      </c>
    </row>
    <row r="15514" spans="1:19" x14ac:dyDescent="0.25">
      <c r="A15514">
        <v>101281945</v>
      </c>
      <c r="B15514" t="s">
        <v>33329</v>
      </c>
      <c r="C15514" t="s">
        <v>505</v>
      </c>
      <c r="G15514" t="s">
        <v>33330</v>
      </c>
      <c r="H15514" t="s">
        <v>7966</v>
      </c>
      <c r="I15514" t="s">
        <v>22</v>
      </c>
      <c r="J15514" t="s">
        <v>33331</v>
      </c>
      <c r="K15514">
        <v>1153</v>
      </c>
      <c r="L15514" t="s">
        <v>23</v>
      </c>
      <c r="M15514" t="s">
        <v>33330</v>
      </c>
      <c r="N15514" t="s">
        <v>7966</v>
      </c>
      <c r="O15514" t="s">
        <v>22</v>
      </c>
      <c r="P15514" t="s">
        <v>33331</v>
      </c>
      <c r="Q15514">
        <v>1153</v>
      </c>
      <c r="R15514" t="s">
        <v>23</v>
      </c>
      <c r="S15514" s="1" t="s">
        <v>34218</v>
      </c>
    </row>
    <row r="15515" spans="1:19" x14ac:dyDescent="0.25">
      <c r="A15515">
        <v>101190699</v>
      </c>
      <c r="B15515" t="s">
        <v>29505</v>
      </c>
      <c r="C15515" t="s">
        <v>3951</v>
      </c>
      <c r="G15515" t="s">
        <v>33332</v>
      </c>
      <c r="H15515" t="s">
        <v>33333</v>
      </c>
      <c r="I15515" t="s">
        <v>33</v>
      </c>
      <c r="J15515">
        <v>19437</v>
      </c>
      <c r="L15515" t="s">
        <v>23</v>
      </c>
      <c r="M15515" t="s">
        <v>33332</v>
      </c>
      <c r="N15515" t="s">
        <v>33333</v>
      </c>
      <c r="O15515" t="s">
        <v>33</v>
      </c>
      <c r="P15515">
        <v>19437</v>
      </c>
      <c r="R15515" t="s">
        <v>23</v>
      </c>
      <c r="S15515" s="1" t="s">
        <v>34218</v>
      </c>
    </row>
    <row r="15516" spans="1:19" x14ac:dyDescent="0.25">
      <c r="A15516">
        <v>101422049</v>
      </c>
      <c r="B15516" t="s">
        <v>1001</v>
      </c>
      <c r="C15516" t="s">
        <v>33334</v>
      </c>
      <c r="G15516" t="s">
        <v>33335</v>
      </c>
      <c r="H15516" t="s">
        <v>33336</v>
      </c>
      <c r="I15516" t="s">
        <v>348</v>
      </c>
      <c r="J15516" t="s">
        <v>33337</v>
      </c>
      <c r="K15516">
        <v>3508</v>
      </c>
      <c r="L15516" t="s">
        <v>23</v>
      </c>
      <c r="M15516" t="s">
        <v>33335</v>
      </c>
      <c r="N15516" t="s">
        <v>33336</v>
      </c>
      <c r="O15516" t="s">
        <v>348</v>
      </c>
      <c r="P15516" t="s">
        <v>33337</v>
      </c>
      <c r="Q15516">
        <v>3508</v>
      </c>
      <c r="R15516" t="s">
        <v>23</v>
      </c>
      <c r="S15516" s="1" t="s">
        <v>34218</v>
      </c>
    </row>
    <row r="15517" spans="1:19" x14ac:dyDescent="0.25">
      <c r="A15517">
        <v>101336189</v>
      </c>
      <c r="B15517" t="s">
        <v>7412</v>
      </c>
      <c r="C15517" t="s">
        <v>3009</v>
      </c>
      <c r="G15517" t="s">
        <v>12775</v>
      </c>
      <c r="H15517" t="s">
        <v>12776</v>
      </c>
      <c r="I15517" t="s">
        <v>135</v>
      </c>
      <c r="J15517">
        <v>62047</v>
      </c>
      <c r="K15517">
        <v>9801</v>
      </c>
      <c r="L15517" t="s">
        <v>23</v>
      </c>
      <c r="M15517" t="s">
        <v>12775</v>
      </c>
      <c r="N15517" t="s">
        <v>12776</v>
      </c>
      <c r="O15517" t="s">
        <v>135</v>
      </c>
      <c r="P15517">
        <v>62047</v>
      </c>
      <c r="Q15517">
        <v>9801</v>
      </c>
      <c r="R15517" t="s">
        <v>23</v>
      </c>
      <c r="S15517" s="1" t="s">
        <v>34218</v>
      </c>
    </row>
    <row r="15518" spans="1:19" x14ac:dyDescent="0.25">
      <c r="A15518">
        <v>101449695</v>
      </c>
      <c r="B15518" t="s">
        <v>33338</v>
      </c>
      <c r="C15518" t="s">
        <v>1208</v>
      </c>
      <c r="G15518" t="s">
        <v>33339</v>
      </c>
      <c r="H15518" t="s">
        <v>33340</v>
      </c>
      <c r="I15518" t="s">
        <v>100</v>
      </c>
      <c r="J15518">
        <v>53126</v>
      </c>
      <c r="K15518">
        <v>9619</v>
      </c>
      <c r="L15518" t="s">
        <v>23</v>
      </c>
      <c r="M15518" t="s">
        <v>33339</v>
      </c>
      <c r="N15518" t="s">
        <v>33340</v>
      </c>
      <c r="O15518" t="s">
        <v>100</v>
      </c>
      <c r="P15518">
        <v>53126</v>
      </c>
      <c r="Q15518">
        <v>9619</v>
      </c>
      <c r="R15518" t="s">
        <v>23</v>
      </c>
      <c r="S15518" s="1" t="s">
        <v>34218</v>
      </c>
    </row>
    <row r="15519" spans="1:19" x14ac:dyDescent="0.25">
      <c r="A15519">
        <v>101480881</v>
      </c>
      <c r="B15519" t="s">
        <v>33341</v>
      </c>
      <c r="C15519" t="s">
        <v>4184</v>
      </c>
      <c r="G15519" t="s">
        <v>33342</v>
      </c>
      <c r="H15519" t="s">
        <v>412</v>
      </c>
      <c r="I15519" t="s">
        <v>117</v>
      </c>
      <c r="J15519">
        <v>11216</v>
      </c>
      <c r="K15519">
        <v>4478</v>
      </c>
      <c r="L15519" t="s">
        <v>23</v>
      </c>
      <c r="M15519" t="s">
        <v>33342</v>
      </c>
      <c r="N15519" t="s">
        <v>412</v>
      </c>
      <c r="O15519" t="s">
        <v>117</v>
      </c>
      <c r="P15519">
        <v>11216</v>
      </c>
      <c r="Q15519">
        <v>4478</v>
      </c>
      <c r="R15519" t="s">
        <v>23</v>
      </c>
      <c r="S15519" s="1" t="s">
        <v>34218</v>
      </c>
    </row>
    <row r="15520" spans="1:19" x14ac:dyDescent="0.25">
      <c r="A15520">
        <v>101223064</v>
      </c>
      <c r="B15520" t="s">
        <v>33343</v>
      </c>
      <c r="C15520" t="s">
        <v>1374</v>
      </c>
      <c r="G15520" t="s">
        <v>33344</v>
      </c>
      <c r="H15520" t="s">
        <v>16474</v>
      </c>
      <c r="I15520" t="s">
        <v>191</v>
      </c>
      <c r="J15520">
        <v>4079</v>
      </c>
      <c r="K15520">
        <v>2209</v>
      </c>
      <c r="L15520" t="s">
        <v>23</v>
      </c>
      <c r="M15520" t="s">
        <v>33344</v>
      </c>
      <c r="N15520" t="s">
        <v>16474</v>
      </c>
      <c r="O15520" t="s">
        <v>191</v>
      </c>
      <c r="P15520">
        <v>4079</v>
      </c>
      <c r="Q15520">
        <v>2209</v>
      </c>
      <c r="R15520" t="s">
        <v>23</v>
      </c>
      <c r="S15520" s="1" t="s">
        <v>34218</v>
      </c>
    </row>
    <row r="15521" spans="1:19" x14ac:dyDescent="0.25">
      <c r="A15521">
        <v>101152480</v>
      </c>
      <c r="B15521" t="s">
        <v>17310</v>
      </c>
      <c r="C15521" t="s">
        <v>1153</v>
      </c>
      <c r="G15521" t="s">
        <v>33345</v>
      </c>
      <c r="H15521" t="s">
        <v>976</v>
      </c>
      <c r="I15521" t="s">
        <v>140</v>
      </c>
      <c r="J15521">
        <v>48108</v>
      </c>
      <c r="K15521">
        <v>2029</v>
      </c>
      <c r="L15521" t="s">
        <v>23</v>
      </c>
      <c r="M15521" t="s">
        <v>33345</v>
      </c>
      <c r="N15521" t="s">
        <v>976</v>
      </c>
      <c r="O15521" t="s">
        <v>140</v>
      </c>
      <c r="P15521">
        <v>48108</v>
      </c>
      <c r="Q15521">
        <v>2029</v>
      </c>
      <c r="R15521" t="s">
        <v>23</v>
      </c>
      <c r="S15521" s="1" t="s">
        <v>34218</v>
      </c>
    </row>
    <row r="15522" spans="1:19" x14ac:dyDescent="0.25">
      <c r="A15522">
        <v>101341986</v>
      </c>
      <c r="B15522" t="s">
        <v>2376</v>
      </c>
      <c r="C15522" t="s">
        <v>4719</v>
      </c>
      <c r="G15522" t="s">
        <v>33346</v>
      </c>
      <c r="H15522" t="s">
        <v>1733</v>
      </c>
      <c r="I15522" t="s">
        <v>22</v>
      </c>
      <c r="J15522">
        <v>92675</v>
      </c>
      <c r="K15522">
        <v>1041</v>
      </c>
      <c r="L15522" t="s">
        <v>23</v>
      </c>
      <c r="M15522" t="s">
        <v>33346</v>
      </c>
      <c r="N15522" t="s">
        <v>1733</v>
      </c>
      <c r="O15522" t="s">
        <v>22</v>
      </c>
      <c r="P15522">
        <v>92675</v>
      </c>
      <c r="Q15522">
        <v>1041</v>
      </c>
      <c r="R15522" t="s">
        <v>23</v>
      </c>
      <c r="S15522" s="1" t="s">
        <v>34218</v>
      </c>
    </row>
    <row r="15523" spans="1:19" x14ac:dyDescent="0.25">
      <c r="A15523">
        <v>101480889</v>
      </c>
      <c r="B15523" t="s">
        <v>33347</v>
      </c>
      <c r="C15523" t="s">
        <v>217</v>
      </c>
      <c r="G15523" t="s">
        <v>33348</v>
      </c>
      <c r="H15523" t="s">
        <v>999</v>
      </c>
      <c r="I15523" t="s">
        <v>1000</v>
      </c>
      <c r="J15523">
        <v>59804</v>
      </c>
      <c r="K15523">
        <v>1133</v>
      </c>
      <c r="L15523" t="s">
        <v>23</v>
      </c>
      <c r="M15523" t="s">
        <v>33348</v>
      </c>
      <c r="N15523" t="s">
        <v>999</v>
      </c>
      <c r="O15523" t="s">
        <v>1000</v>
      </c>
      <c r="P15523">
        <v>59804</v>
      </c>
      <c r="Q15523">
        <v>1133</v>
      </c>
      <c r="R15523" t="s">
        <v>23</v>
      </c>
      <c r="S15523" s="1" t="s">
        <v>34218</v>
      </c>
    </row>
    <row r="15524" spans="1:19" x14ac:dyDescent="0.25">
      <c r="A15524">
        <v>100867799</v>
      </c>
      <c r="B15524" t="s">
        <v>33349</v>
      </c>
      <c r="C15524" t="s">
        <v>1208</v>
      </c>
      <c r="G15524" t="s">
        <v>33350</v>
      </c>
      <c r="H15524" t="s">
        <v>9134</v>
      </c>
      <c r="I15524" t="s">
        <v>33</v>
      </c>
      <c r="J15524">
        <v>18103</v>
      </c>
      <c r="K15524">
        <v>6333</v>
      </c>
      <c r="L15524" t="s">
        <v>23</v>
      </c>
      <c r="M15524" t="s">
        <v>33350</v>
      </c>
      <c r="N15524" t="s">
        <v>9134</v>
      </c>
      <c r="O15524" t="s">
        <v>33</v>
      </c>
      <c r="P15524">
        <v>18103</v>
      </c>
      <c r="Q15524">
        <v>6333</v>
      </c>
      <c r="R15524" t="s">
        <v>23</v>
      </c>
      <c r="S15524" s="1" t="s">
        <v>34218</v>
      </c>
    </row>
    <row r="15525" spans="1:19" x14ac:dyDescent="0.25">
      <c r="A15525">
        <v>100561657</v>
      </c>
      <c r="B15525" t="s">
        <v>6058</v>
      </c>
      <c r="C15525" t="s">
        <v>68</v>
      </c>
      <c r="G15525" t="s">
        <v>33351</v>
      </c>
      <c r="H15525" t="s">
        <v>299</v>
      </c>
      <c r="I15525" t="s">
        <v>22</v>
      </c>
      <c r="J15525">
        <v>90036</v>
      </c>
      <c r="K15525">
        <v>3700</v>
      </c>
      <c r="L15525" t="s">
        <v>23</v>
      </c>
      <c r="M15525" t="s">
        <v>33351</v>
      </c>
      <c r="N15525" t="s">
        <v>299</v>
      </c>
      <c r="O15525" t="s">
        <v>22</v>
      </c>
      <c r="P15525">
        <v>90036</v>
      </c>
      <c r="Q15525">
        <v>3700</v>
      </c>
      <c r="R15525" t="s">
        <v>23</v>
      </c>
      <c r="S15525" s="1" t="s">
        <v>34218</v>
      </c>
    </row>
    <row r="15526" spans="1:19" x14ac:dyDescent="0.25">
      <c r="A15526">
        <v>100813742</v>
      </c>
      <c r="B15526" t="s">
        <v>33352</v>
      </c>
      <c r="C15526" t="s">
        <v>24577</v>
      </c>
      <c r="G15526" t="s">
        <v>33353</v>
      </c>
      <c r="H15526" t="s">
        <v>31068</v>
      </c>
      <c r="I15526" t="s">
        <v>84</v>
      </c>
      <c r="J15526">
        <v>98065</v>
      </c>
      <c r="L15526" t="s">
        <v>23</v>
      </c>
      <c r="M15526" t="s">
        <v>33353</v>
      </c>
      <c r="N15526" t="s">
        <v>31068</v>
      </c>
      <c r="O15526" t="s">
        <v>84</v>
      </c>
      <c r="P15526">
        <v>98065</v>
      </c>
      <c r="R15526" t="s">
        <v>23</v>
      </c>
      <c r="S15526" s="1" t="s">
        <v>34218</v>
      </c>
    </row>
    <row r="15527" spans="1:19" x14ac:dyDescent="0.25">
      <c r="A15527">
        <v>100855129</v>
      </c>
      <c r="B15527" t="s">
        <v>33354</v>
      </c>
      <c r="C15527" t="s">
        <v>644</v>
      </c>
      <c r="G15527" t="s">
        <v>33355</v>
      </c>
      <c r="H15527" t="s">
        <v>4810</v>
      </c>
      <c r="I15527" t="s">
        <v>236</v>
      </c>
      <c r="J15527">
        <v>1604</v>
      </c>
      <c r="K15527">
        <v>1510</v>
      </c>
      <c r="L15527" t="s">
        <v>23</v>
      </c>
      <c r="M15527" t="s">
        <v>33355</v>
      </c>
      <c r="N15527" t="s">
        <v>4810</v>
      </c>
      <c r="O15527" t="s">
        <v>236</v>
      </c>
      <c r="P15527">
        <v>1604</v>
      </c>
      <c r="Q15527">
        <v>1510</v>
      </c>
      <c r="R15527" t="s">
        <v>23</v>
      </c>
      <c r="S15527" s="1" t="s">
        <v>34218</v>
      </c>
    </row>
    <row r="15528" spans="1:19" x14ac:dyDescent="0.25">
      <c r="A15528">
        <v>101428272</v>
      </c>
      <c r="B15528" t="s">
        <v>33356</v>
      </c>
      <c r="C15528" t="s">
        <v>2075</v>
      </c>
      <c r="G15528" t="s">
        <v>33357</v>
      </c>
      <c r="H15528" t="s">
        <v>18113</v>
      </c>
      <c r="I15528" t="s">
        <v>446</v>
      </c>
      <c r="J15528">
        <v>28144</v>
      </c>
      <c r="K15528">
        <v>2255</v>
      </c>
      <c r="L15528" t="s">
        <v>23</v>
      </c>
      <c r="M15528" t="s">
        <v>33357</v>
      </c>
      <c r="N15528" t="s">
        <v>18113</v>
      </c>
      <c r="O15528" t="s">
        <v>446</v>
      </c>
      <c r="P15528">
        <v>28144</v>
      </c>
      <c r="Q15528">
        <v>2255</v>
      </c>
      <c r="R15528" t="s">
        <v>23</v>
      </c>
      <c r="S15528" s="1" t="s">
        <v>34218</v>
      </c>
    </row>
    <row r="15529" spans="1:19" x14ac:dyDescent="0.25">
      <c r="A15529">
        <v>101480896</v>
      </c>
      <c r="B15529" t="s">
        <v>14778</v>
      </c>
      <c r="C15529" t="s">
        <v>4160</v>
      </c>
      <c r="G15529" t="s">
        <v>33358</v>
      </c>
      <c r="H15529" t="s">
        <v>13916</v>
      </c>
      <c r="I15529" t="s">
        <v>126</v>
      </c>
      <c r="J15529">
        <v>63863</v>
      </c>
      <c r="K15529">
        <v>9321</v>
      </c>
      <c r="L15529" t="s">
        <v>23</v>
      </c>
      <c r="M15529" t="s">
        <v>33358</v>
      </c>
      <c r="N15529" t="s">
        <v>13916</v>
      </c>
      <c r="O15529" t="s">
        <v>126</v>
      </c>
      <c r="P15529">
        <v>63863</v>
      </c>
      <c r="Q15529">
        <v>9321</v>
      </c>
      <c r="R15529" t="s">
        <v>23</v>
      </c>
      <c r="S15529" s="1" t="s">
        <v>34218</v>
      </c>
    </row>
    <row r="15530" spans="1:19" x14ac:dyDescent="0.25">
      <c r="A15530">
        <v>100974766</v>
      </c>
      <c r="B15530" t="s">
        <v>4270</v>
      </c>
      <c r="C15530" t="s">
        <v>30</v>
      </c>
      <c r="G15530" t="s">
        <v>33359</v>
      </c>
      <c r="H15530" t="s">
        <v>9423</v>
      </c>
      <c r="I15530" t="s">
        <v>1000</v>
      </c>
      <c r="J15530">
        <v>59937</v>
      </c>
      <c r="K15530">
        <v>3503</v>
      </c>
      <c r="L15530" t="s">
        <v>23</v>
      </c>
      <c r="M15530" t="s">
        <v>33359</v>
      </c>
      <c r="N15530" t="s">
        <v>9423</v>
      </c>
      <c r="O15530" t="s">
        <v>1000</v>
      </c>
      <c r="P15530">
        <v>59937</v>
      </c>
      <c r="Q15530">
        <v>3503</v>
      </c>
      <c r="R15530" t="s">
        <v>23</v>
      </c>
      <c r="S15530" s="1" t="s">
        <v>34218</v>
      </c>
    </row>
    <row r="15531" spans="1:19" x14ac:dyDescent="0.25">
      <c r="A15531">
        <v>100584229</v>
      </c>
      <c r="B15531" t="s">
        <v>33360</v>
      </c>
      <c r="C15531" t="s">
        <v>247</v>
      </c>
      <c r="G15531" t="s">
        <v>33361</v>
      </c>
      <c r="H15531" t="s">
        <v>3666</v>
      </c>
      <c r="I15531" t="s">
        <v>1482</v>
      </c>
      <c r="J15531">
        <v>29803</v>
      </c>
      <c r="K15531">
        <v>5924</v>
      </c>
      <c r="L15531" t="s">
        <v>23</v>
      </c>
      <c r="M15531" t="s">
        <v>33361</v>
      </c>
      <c r="N15531" t="s">
        <v>3666</v>
      </c>
      <c r="O15531" t="s">
        <v>1482</v>
      </c>
      <c r="P15531">
        <v>29803</v>
      </c>
      <c r="Q15531">
        <v>5924</v>
      </c>
      <c r="R15531" t="s">
        <v>23</v>
      </c>
      <c r="S15531" s="1" t="s">
        <v>34218</v>
      </c>
    </row>
    <row r="15532" spans="1:19" x14ac:dyDescent="0.25">
      <c r="A15532">
        <v>101175840</v>
      </c>
      <c r="B15532" t="s">
        <v>33362</v>
      </c>
      <c r="C15532" t="s">
        <v>25634</v>
      </c>
      <c r="G15532" t="s">
        <v>33363</v>
      </c>
      <c r="H15532" t="s">
        <v>8665</v>
      </c>
      <c r="I15532" t="s">
        <v>22</v>
      </c>
      <c r="J15532">
        <v>90046</v>
      </c>
      <c r="K15532">
        <v>7323</v>
      </c>
      <c r="L15532" t="s">
        <v>23</v>
      </c>
      <c r="M15532" t="s">
        <v>33363</v>
      </c>
      <c r="N15532" t="s">
        <v>8665</v>
      </c>
      <c r="O15532" t="s">
        <v>22</v>
      </c>
      <c r="P15532">
        <v>90046</v>
      </c>
      <c r="Q15532">
        <v>7323</v>
      </c>
      <c r="R15532" t="s">
        <v>23</v>
      </c>
      <c r="S15532" s="1" t="s">
        <v>34218</v>
      </c>
    </row>
    <row r="15533" spans="1:19" x14ac:dyDescent="0.25">
      <c r="A15533">
        <v>100765365</v>
      </c>
      <c r="B15533" t="s">
        <v>3228</v>
      </c>
      <c r="C15533" t="s">
        <v>1327</v>
      </c>
      <c r="G15533" t="s">
        <v>33364</v>
      </c>
      <c r="H15533" t="s">
        <v>15429</v>
      </c>
      <c r="I15533" t="s">
        <v>71</v>
      </c>
      <c r="J15533">
        <v>80132</v>
      </c>
      <c r="K15533">
        <v>6026</v>
      </c>
      <c r="L15533" t="s">
        <v>23</v>
      </c>
      <c r="M15533" t="s">
        <v>33364</v>
      </c>
      <c r="N15533" t="s">
        <v>15429</v>
      </c>
      <c r="O15533" t="s">
        <v>71</v>
      </c>
      <c r="P15533">
        <v>80132</v>
      </c>
      <c r="Q15533">
        <v>6026</v>
      </c>
      <c r="R15533" t="s">
        <v>23</v>
      </c>
      <c r="S15533" s="1" t="s">
        <v>34218</v>
      </c>
    </row>
    <row r="15534" spans="1:19" x14ac:dyDescent="0.25">
      <c r="A15534">
        <v>101294054</v>
      </c>
      <c r="B15534" t="s">
        <v>20699</v>
      </c>
      <c r="C15534" t="s">
        <v>513</v>
      </c>
      <c r="G15534" t="s">
        <v>33365</v>
      </c>
      <c r="H15534" t="s">
        <v>24048</v>
      </c>
      <c r="I15534" t="s">
        <v>191</v>
      </c>
      <c r="J15534" t="s">
        <v>33366</v>
      </c>
      <c r="K15534">
        <v>4107</v>
      </c>
      <c r="L15534" t="s">
        <v>23</v>
      </c>
      <c r="M15534" t="s">
        <v>33365</v>
      </c>
      <c r="N15534" t="s">
        <v>24048</v>
      </c>
      <c r="O15534" t="s">
        <v>191</v>
      </c>
      <c r="P15534" t="s">
        <v>33366</v>
      </c>
      <c r="Q15534">
        <v>4107</v>
      </c>
      <c r="R15534" t="s">
        <v>23</v>
      </c>
      <c r="S15534" s="1" t="s">
        <v>34218</v>
      </c>
    </row>
    <row r="15535" spans="1:19" x14ac:dyDescent="0.25">
      <c r="A15535">
        <v>101449401</v>
      </c>
      <c r="B15535" t="s">
        <v>33367</v>
      </c>
      <c r="C15535" t="s">
        <v>690</v>
      </c>
      <c r="G15535" t="s">
        <v>33368</v>
      </c>
      <c r="H15535" t="s">
        <v>33369</v>
      </c>
      <c r="I15535" t="s">
        <v>117</v>
      </c>
      <c r="J15535">
        <v>13084</v>
      </c>
      <c r="K15535">
        <v>9682</v>
      </c>
      <c r="L15535" t="s">
        <v>23</v>
      </c>
      <c r="M15535" t="s">
        <v>33368</v>
      </c>
      <c r="N15535" t="s">
        <v>33369</v>
      </c>
      <c r="O15535" t="s">
        <v>117</v>
      </c>
      <c r="P15535">
        <v>13084</v>
      </c>
      <c r="Q15535">
        <v>9682</v>
      </c>
      <c r="R15535" t="s">
        <v>23</v>
      </c>
      <c r="S15535" s="1" t="s">
        <v>34218</v>
      </c>
    </row>
    <row r="15536" spans="1:19" x14ac:dyDescent="0.25">
      <c r="A15536">
        <v>101305833</v>
      </c>
      <c r="B15536" t="s">
        <v>10805</v>
      </c>
      <c r="C15536" t="s">
        <v>16771</v>
      </c>
      <c r="G15536" t="s">
        <v>33370</v>
      </c>
      <c r="H15536" t="s">
        <v>23625</v>
      </c>
      <c r="I15536" t="s">
        <v>135</v>
      </c>
      <c r="J15536">
        <v>60185</v>
      </c>
      <c r="K15536">
        <v>1990</v>
      </c>
      <c r="L15536" t="s">
        <v>23</v>
      </c>
      <c r="M15536" t="s">
        <v>33370</v>
      </c>
      <c r="N15536" t="s">
        <v>23625</v>
      </c>
      <c r="O15536" t="s">
        <v>135</v>
      </c>
      <c r="P15536">
        <v>60185</v>
      </c>
      <c r="Q15536">
        <v>1990</v>
      </c>
      <c r="R15536" t="s">
        <v>23</v>
      </c>
      <c r="S15536" s="1" t="s">
        <v>34218</v>
      </c>
    </row>
    <row r="15537" spans="1:19" x14ac:dyDescent="0.25">
      <c r="A15537">
        <v>100746872</v>
      </c>
      <c r="B15537" t="s">
        <v>3228</v>
      </c>
      <c r="C15537" t="s">
        <v>1208</v>
      </c>
      <c r="G15537" t="s">
        <v>20773</v>
      </c>
      <c r="H15537" t="s">
        <v>7846</v>
      </c>
      <c r="I15537" t="s">
        <v>22</v>
      </c>
      <c r="J15537">
        <v>95482</v>
      </c>
      <c r="L15537" t="s">
        <v>23</v>
      </c>
      <c r="M15537" t="s">
        <v>20773</v>
      </c>
      <c r="N15537" t="s">
        <v>7846</v>
      </c>
      <c r="O15537" t="s">
        <v>22</v>
      </c>
      <c r="P15537">
        <v>95482</v>
      </c>
      <c r="R15537" t="s">
        <v>23</v>
      </c>
      <c r="S15537" s="1" t="s">
        <v>34218</v>
      </c>
    </row>
    <row r="15538" spans="1:19" x14ac:dyDescent="0.25">
      <c r="A15538">
        <v>101480913</v>
      </c>
      <c r="B15538" t="s">
        <v>23972</v>
      </c>
      <c r="C15538" t="s">
        <v>33371</v>
      </c>
      <c r="G15538" t="s">
        <v>33372</v>
      </c>
      <c r="H15538" t="s">
        <v>569</v>
      </c>
      <c r="I15538" t="s">
        <v>187</v>
      </c>
      <c r="J15538">
        <v>55408</v>
      </c>
      <c r="K15538">
        <v>1127</v>
      </c>
      <c r="L15538" t="s">
        <v>23</v>
      </c>
      <c r="M15538" t="s">
        <v>33372</v>
      </c>
      <c r="N15538" t="s">
        <v>569</v>
      </c>
      <c r="O15538" t="s">
        <v>187</v>
      </c>
      <c r="P15538">
        <v>55408</v>
      </c>
      <c r="Q15538">
        <v>1127</v>
      </c>
      <c r="R15538" t="s">
        <v>23</v>
      </c>
      <c r="S15538" s="1" t="s">
        <v>34218</v>
      </c>
    </row>
    <row r="15539" spans="1:19" x14ac:dyDescent="0.25">
      <c r="A15539">
        <v>101310694</v>
      </c>
      <c r="B15539" t="s">
        <v>33373</v>
      </c>
      <c r="C15539" t="s">
        <v>8017</v>
      </c>
      <c r="G15539" t="s">
        <v>33374</v>
      </c>
      <c r="H15539" t="s">
        <v>1748</v>
      </c>
      <c r="I15539" t="s">
        <v>255</v>
      </c>
      <c r="J15539">
        <v>22201</v>
      </c>
      <c r="K15539">
        <v>4115</v>
      </c>
      <c r="L15539" t="s">
        <v>23</v>
      </c>
      <c r="M15539" t="s">
        <v>33374</v>
      </c>
      <c r="N15539" t="s">
        <v>1748</v>
      </c>
      <c r="O15539" t="s">
        <v>255</v>
      </c>
      <c r="P15539">
        <v>22201</v>
      </c>
      <c r="Q15539">
        <v>4115</v>
      </c>
      <c r="R15539" t="s">
        <v>23</v>
      </c>
      <c r="S15539" s="1" t="s">
        <v>34218</v>
      </c>
    </row>
    <row r="15540" spans="1:19" x14ac:dyDescent="0.25">
      <c r="A15540">
        <v>101362006</v>
      </c>
      <c r="B15540" t="s">
        <v>10951</v>
      </c>
      <c r="C15540" t="s">
        <v>25420</v>
      </c>
      <c r="G15540" t="s">
        <v>33375</v>
      </c>
      <c r="H15540" t="s">
        <v>1408</v>
      </c>
      <c r="I15540" t="s">
        <v>71</v>
      </c>
      <c r="J15540">
        <v>80631</v>
      </c>
      <c r="K15540">
        <v>1514</v>
      </c>
      <c r="L15540" t="s">
        <v>23</v>
      </c>
      <c r="M15540" t="s">
        <v>33375</v>
      </c>
      <c r="N15540" t="s">
        <v>1408</v>
      </c>
      <c r="O15540" t="s">
        <v>71</v>
      </c>
      <c r="P15540">
        <v>80631</v>
      </c>
      <c r="Q15540">
        <v>1514</v>
      </c>
      <c r="R15540" t="s">
        <v>23</v>
      </c>
      <c r="S15540" s="1" t="s">
        <v>34218</v>
      </c>
    </row>
    <row r="15541" spans="1:19" x14ac:dyDescent="0.25">
      <c r="A15541">
        <v>101480921</v>
      </c>
      <c r="B15541" t="s">
        <v>2824</v>
      </c>
      <c r="C15541" t="s">
        <v>3854</v>
      </c>
      <c r="G15541" t="s">
        <v>33376</v>
      </c>
      <c r="H15541" t="s">
        <v>299</v>
      </c>
      <c r="I15541" t="s">
        <v>22</v>
      </c>
      <c r="J15541">
        <v>90068</v>
      </c>
      <c r="K15541">
        <v>1923</v>
      </c>
      <c r="L15541" t="s">
        <v>23</v>
      </c>
      <c r="M15541" t="s">
        <v>33376</v>
      </c>
      <c r="N15541" t="s">
        <v>299</v>
      </c>
      <c r="O15541" t="s">
        <v>22</v>
      </c>
      <c r="P15541">
        <v>90068</v>
      </c>
      <c r="Q15541">
        <v>1923</v>
      </c>
      <c r="R15541" t="s">
        <v>23</v>
      </c>
      <c r="S15541" s="1" t="s">
        <v>34218</v>
      </c>
    </row>
    <row r="15542" spans="1:19" x14ac:dyDescent="0.25">
      <c r="A15542">
        <v>101480926</v>
      </c>
      <c r="B15542" t="s">
        <v>33377</v>
      </c>
      <c r="C15542" t="s">
        <v>221</v>
      </c>
      <c r="G15542" t="s">
        <v>33378</v>
      </c>
      <c r="H15542" t="s">
        <v>207</v>
      </c>
      <c r="I15542" t="s">
        <v>22</v>
      </c>
      <c r="J15542">
        <v>93726</v>
      </c>
      <c r="K15542">
        <v>4413</v>
      </c>
      <c r="L15542" t="s">
        <v>23</v>
      </c>
      <c r="M15542" t="s">
        <v>33378</v>
      </c>
      <c r="N15542" t="s">
        <v>207</v>
      </c>
      <c r="O15542" t="s">
        <v>22</v>
      </c>
      <c r="P15542">
        <v>93726</v>
      </c>
      <c r="Q15542">
        <v>4413</v>
      </c>
      <c r="R15542" t="s">
        <v>23</v>
      </c>
      <c r="S15542" s="1" t="s">
        <v>34218</v>
      </c>
    </row>
    <row r="15543" spans="1:19" x14ac:dyDescent="0.25">
      <c r="A15543">
        <v>101311507</v>
      </c>
      <c r="B15543" t="s">
        <v>3708</v>
      </c>
      <c r="C15543" t="s">
        <v>33379</v>
      </c>
      <c r="G15543" t="s">
        <v>33380</v>
      </c>
      <c r="H15543" t="s">
        <v>18249</v>
      </c>
      <c r="I15543" t="s">
        <v>84</v>
      </c>
      <c r="J15543">
        <v>98258</v>
      </c>
      <c r="K15543">
        <v>9663</v>
      </c>
      <c r="L15543" t="s">
        <v>23</v>
      </c>
      <c r="M15543" t="s">
        <v>33380</v>
      </c>
      <c r="N15543" t="s">
        <v>18249</v>
      </c>
      <c r="O15543" t="s">
        <v>84</v>
      </c>
      <c r="P15543">
        <v>98258</v>
      </c>
      <c r="Q15543">
        <v>9663</v>
      </c>
      <c r="R15543" t="s">
        <v>23</v>
      </c>
      <c r="S15543" s="1" t="s">
        <v>34218</v>
      </c>
    </row>
    <row r="15544" spans="1:19" x14ac:dyDescent="0.25">
      <c r="A15544">
        <v>101480931</v>
      </c>
      <c r="B15544" t="s">
        <v>33381</v>
      </c>
      <c r="C15544" t="s">
        <v>378</v>
      </c>
      <c r="G15544" t="s">
        <v>33382</v>
      </c>
      <c r="H15544" t="s">
        <v>25757</v>
      </c>
      <c r="I15544" t="s">
        <v>126</v>
      </c>
      <c r="J15544">
        <v>65251</v>
      </c>
      <c r="K15544">
        <v>2388</v>
      </c>
      <c r="L15544" t="s">
        <v>23</v>
      </c>
      <c r="M15544" t="s">
        <v>33382</v>
      </c>
      <c r="N15544" t="s">
        <v>25757</v>
      </c>
      <c r="O15544" t="s">
        <v>126</v>
      </c>
      <c r="P15544">
        <v>65251</v>
      </c>
      <c r="Q15544">
        <v>2388</v>
      </c>
      <c r="R15544" t="s">
        <v>23</v>
      </c>
      <c r="S15544" s="1" t="s">
        <v>34218</v>
      </c>
    </row>
    <row r="15545" spans="1:19" x14ac:dyDescent="0.25">
      <c r="A15545">
        <v>101480933</v>
      </c>
      <c r="B15545" t="s">
        <v>9534</v>
      </c>
      <c r="C15545" t="s">
        <v>11143</v>
      </c>
      <c r="G15545" t="s">
        <v>33383</v>
      </c>
      <c r="H15545" t="s">
        <v>454</v>
      </c>
      <c r="I15545" t="s">
        <v>22</v>
      </c>
      <c r="J15545">
        <v>93063</v>
      </c>
      <c r="K15545">
        <v>4354</v>
      </c>
      <c r="L15545" t="s">
        <v>23</v>
      </c>
      <c r="M15545" t="s">
        <v>33383</v>
      </c>
      <c r="N15545" t="s">
        <v>454</v>
      </c>
      <c r="O15545" t="s">
        <v>22</v>
      </c>
      <c r="P15545">
        <v>93063</v>
      </c>
      <c r="Q15545">
        <v>4354</v>
      </c>
      <c r="R15545" t="s">
        <v>23</v>
      </c>
      <c r="S15545" s="1" t="s">
        <v>34218</v>
      </c>
    </row>
    <row r="15546" spans="1:19" x14ac:dyDescent="0.25">
      <c r="A15546">
        <v>101442966</v>
      </c>
      <c r="B15546" t="s">
        <v>3123</v>
      </c>
      <c r="C15546" t="s">
        <v>15672</v>
      </c>
      <c r="G15546" t="s">
        <v>33384</v>
      </c>
      <c r="H15546" t="s">
        <v>25909</v>
      </c>
      <c r="I15546" t="s">
        <v>702</v>
      </c>
      <c r="J15546">
        <v>89460</v>
      </c>
      <c r="K15546">
        <v>6217</v>
      </c>
      <c r="L15546" t="s">
        <v>23</v>
      </c>
      <c r="M15546" t="s">
        <v>33384</v>
      </c>
      <c r="N15546" t="s">
        <v>25909</v>
      </c>
      <c r="O15546" t="s">
        <v>702</v>
      </c>
      <c r="P15546">
        <v>89460</v>
      </c>
      <c r="Q15546">
        <v>6217</v>
      </c>
      <c r="R15546" t="s">
        <v>23</v>
      </c>
      <c r="S15546" s="1" t="s">
        <v>34218</v>
      </c>
    </row>
    <row r="15547" spans="1:19" x14ac:dyDescent="0.25">
      <c r="A15547">
        <v>100910649</v>
      </c>
      <c r="B15547" t="s">
        <v>5950</v>
      </c>
      <c r="C15547" t="s">
        <v>33385</v>
      </c>
      <c r="G15547" t="s">
        <v>33386</v>
      </c>
      <c r="H15547" t="s">
        <v>393</v>
      </c>
      <c r="I15547" t="s">
        <v>71</v>
      </c>
      <c r="J15547">
        <v>80236</v>
      </c>
      <c r="K15547">
        <v>2106</v>
      </c>
      <c r="L15547" t="s">
        <v>23</v>
      </c>
      <c r="M15547" t="s">
        <v>33386</v>
      </c>
      <c r="N15547" t="s">
        <v>393</v>
      </c>
      <c r="O15547" t="s">
        <v>71</v>
      </c>
      <c r="P15547">
        <v>80236</v>
      </c>
      <c r="Q15547">
        <v>2106</v>
      </c>
      <c r="R15547" t="s">
        <v>23</v>
      </c>
      <c r="S15547" s="1" t="s">
        <v>34218</v>
      </c>
    </row>
    <row r="15548" spans="1:19" x14ac:dyDescent="0.25">
      <c r="A15548">
        <v>101469960</v>
      </c>
      <c r="B15548" t="s">
        <v>33387</v>
      </c>
      <c r="C15548" t="s">
        <v>158</v>
      </c>
      <c r="G15548" t="s">
        <v>33388</v>
      </c>
      <c r="H15548" t="s">
        <v>682</v>
      </c>
      <c r="I15548" t="s">
        <v>365</v>
      </c>
      <c r="J15548">
        <v>85007</v>
      </c>
      <c r="K15548">
        <v>2110</v>
      </c>
      <c r="L15548" t="s">
        <v>23</v>
      </c>
      <c r="M15548" t="s">
        <v>33388</v>
      </c>
      <c r="N15548" t="s">
        <v>682</v>
      </c>
      <c r="O15548" t="s">
        <v>365</v>
      </c>
      <c r="P15548">
        <v>85007</v>
      </c>
      <c r="Q15548">
        <v>2110</v>
      </c>
      <c r="R15548" t="s">
        <v>23</v>
      </c>
      <c r="S15548" s="1" t="s">
        <v>34218</v>
      </c>
    </row>
    <row r="15549" spans="1:19" x14ac:dyDescent="0.25">
      <c r="A15549">
        <v>101477421</v>
      </c>
      <c r="B15549" t="s">
        <v>33389</v>
      </c>
      <c r="C15549" t="s">
        <v>33390</v>
      </c>
      <c r="G15549" t="s">
        <v>33391</v>
      </c>
      <c r="H15549" t="s">
        <v>1787</v>
      </c>
      <c r="I15549" t="s">
        <v>702</v>
      </c>
      <c r="J15549">
        <v>89134</v>
      </c>
      <c r="K15549">
        <v>7532</v>
      </c>
      <c r="L15549" t="s">
        <v>23</v>
      </c>
      <c r="M15549" t="s">
        <v>33391</v>
      </c>
      <c r="N15549" t="s">
        <v>1787</v>
      </c>
      <c r="O15549" t="s">
        <v>702</v>
      </c>
      <c r="P15549">
        <v>89134</v>
      </c>
      <c r="Q15549">
        <v>7532</v>
      </c>
      <c r="R15549" t="s">
        <v>23</v>
      </c>
      <c r="S15549" s="1" t="s">
        <v>34218</v>
      </c>
    </row>
    <row r="15550" spans="1:19" x14ac:dyDescent="0.25">
      <c r="A15550">
        <v>101317898</v>
      </c>
      <c r="B15550" t="s">
        <v>4212</v>
      </c>
      <c r="C15550" t="s">
        <v>33392</v>
      </c>
      <c r="G15550" t="s">
        <v>33393</v>
      </c>
      <c r="H15550" t="s">
        <v>1787</v>
      </c>
      <c r="I15550" t="s">
        <v>702</v>
      </c>
      <c r="J15550">
        <v>89148</v>
      </c>
      <c r="K15550">
        <v>5053</v>
      </c>
      <c r="L15550" t="s">
        <v>23</v>
      </c>
      <c r="M15550" t="s">
        <v>33393</v>
      </c>
      <c r="N15550" t="s">
        <v>1787</v>
      </c>
      <c r="O15550" t="s">
        <v>702</v>
      </c>
      <c r="P15550">
        <v>89148</v>
      </c>
      <c r="Q15550">
        <v>5053</v>
      </c>
      <c r="R15550" t="s">
        <v>23</v>
      </c>
      <c r="S15550" s="1" t="s">
        <v>34218</v>
      </c>
    </row>
    <row r="15551" spans="1:19" x14ac:dyDescent="0.25">
      <c r="A15551">
        <v>101476131</v>
      </c>
      <c r="B15551" t="s">
        <v>33394</v>
      </c>
      <c r="C15551" t="s">
        <v>54</v>
      </c>
      <c r="G15551" t="s">
        <v>33395</v>
      </c>
      <c r="H15551" t="s">
        <v>13574</v>
      </c>
      <c r="I15551" t="s">
        <v>33</v>
      </c>
      <c r="J15551">
        <v>15102</v>
      </c>
      <c r="K15551">
        <v>1058</v>
      </c>
      <c r="L15551" t="s">
        <v>23</v>
      </c>
      <c r="M15551" t="s">
        <v>33395</v>
      </c>
      <c r="N15551" t="s">
        <v>13574</v>
      </c>
      <c r="O15551" t="s">
        <v>33</v>
      </c>
      <c r="P15551">
        <v>15102</v>
      </c>
      <c r="Q15551">
        <v>1058</v>
      </c>
      <c r="R15551" t="s">
        <v>23</v>
      </c>
      <c r="S15551" s="1" t="s">
        <v>34218</v>
      </c>
    </row>
    <row r="15552" spans="1:19" x14ac:dyDescent="0.25">
      <c r="A15552">
        <v>101220814</v>
      </c>
      <c r="B15552" t="s">
        <v>3089</v>
      </c>
      <c r="C15552" t="s">
        <v>155</v>
      </c>
      <c r="G15552" t="s">
        <v>33396</v>
      </c>
      <c r="H15552" t="s">
        <v>11620</v>
      </c>
      <c r="I15552" t="s">
        <v>250</v>
      </c>
      <c r="J15552">
        <v>8094</v>
      </c>
      <c r="K15552">
        <v>1526</v>
      </c>
      <c r="L15552" t="s">
        <v>23</v>
      </c>
      <c r="M15552" t="s">
        <v>33396</v>
      </c>
      <c r="N15552" t="s">
        <v>11620</v>
      </c>
      <c r="O15552" t="s">
        <v>250</v>
      </c>
      <c r="P15552">
        <v>8094</v>
      </c>
      <c r="Q15552">
        <v>1526</v>
      </c>
      <c r="R15552" t="s">
        <v>23</v>
      </c>
      <c r="S15552" s="1" t="s">
        <v>34218</v>
      </c>
    </row>
    <row r="15553" spans="1:19" x14ac:dyDescent="0.25">
      <c r="A15553">
        <v>101480951</v>
      </c>
      <c r="B15553" t="s">
        <v>33397</v>
      </c>
      <c r="C15553" t="s">
        <v>4299</v>
      </c>
      <c r="G15553" t="s">
        <v>33398</v>
      </c>
      <c r="H15553" t="s">
        <v>6658</v>
      </c>
      <c r="I15553" t="s">
        <v>446</v>
      </c>
      <c r="J15553">
        <v>27253</v>
      </c>
      <c r="K15553">
        <v>2486</v>
      </c>
      <c r="L15553" t="s">
        <v>23</v>
      </c>
      <c r="M15553" t="s">
        <v>33398</v>
      </c>
      <c r="N15553" t="s">
        <v>6658</v>
      </c>
      <c r="O15553" t="s">
        <v>446</v>
      </c>
      <c r="P15553">
        <v>27253</v>
      </c>
      <c r="Q15553">
        <v>2486</v>
      </c>
      <c r="R15553" t="s">
        <v>23</v>
      </c>
      <c r="S15553" s="1" t="s">
        <v>34218</v>
      </c>
    </row>
    <row r="15554" spans="1:19" x14ac:dyDescent="0.25">
      <c r="A15554">
        <v>101480957</v>
      </c>
      <c r="B15554" t="s">
        <v>308</v>
      </c>
      <c r="C15554" t="s">
        <v>3590</v>
      </c>
      <c r="G15554" t="s">
        <v>33399</v>
      </c>
      <c r="H15554" t="s">
        <v>33400</v>
      </c>
      <c r="I15554" t="s">
        <v>191</v>
      </c>
      <c r="J15554">
        <v>4017</v>
      </c>
      <c r="K15554">
        <v>3403</v>
      </c>
      <c r="L15554" t="s">
        <v>23</v>
      </c>
      <c r="M15554" t="s">
        <v>33399</v>
      </c>
      <c r="N15554" t="s">
        <v>33400</v>
      </c>
      <c r="O15554" t="s">
        <v>191</v>
      </c>
      <c r="P15554">
        <v>4017</v>
      </c>
      <c r="Q15554">
        <v>3403</v>
      </c>
      <c r="R15554" t="s">
        <v>23</v>
      </c>
      <c r="S15554" s="1" t="s">
        <v>34218</v>
      </c>
    </row>
    <row r="15555" spans="1:19" x14ac:dyDescent="0.25">
      <c r="A15555">
        <v>101480959</v>
      </c>
      <c r="B15555" t="s">
        <v>2238</v>
      </c>
      <c r="C15555" t="s">
        <v>1107</v>
      </c>
      <c r="G15555" t="s">
        <v>33401</v>
      </c>
      <c r="H15555" t="s">
        <v>28704</v>
      </c>
      <c r="I15555" t="s">
        <v>52</v>
      </c>
      <c r="J15555">
        <v>33404</v>
      </c>
      <c r="K15555">
        <v>4665</v>
      </c>
      <c r="L15555" t="s">
        <v>23</v>
      </c>
      <c r="M15555" t="s">
        <v>33401</v>
      </c>
      <c r="N15555" t="s">
        <v>28704</v>
      </c>
      <c r="O15555" t="s">
        <v>52</v>
      </c>
      <c r="P15555">
        <v>33404</v>
      </c>
      <c r="Q15555">
        <v>4665</v>
      </c>
      <c r="R15555" t="s">
        <v>23</v>
      </c>
      <c r="S15555" s="1" t="s">
        <v>34218</v>
      </c>
    </row>
    <row r="15556" spans="1:19" x14ac:dyDescent="0.25">
      <c r="A15556">
        <v>101406329</v>
      </c>
      <c r="B15556" t="s">
        <v>3970</v>
      </c>
      <c r="C15556" t="s">
        <v>1208</v>
      </c>
      <c r="G15556" t="s">
        <v>33402</v>
      </c>
      <c r="H15556" t="s">
        <v>66</v>
      </c>
      <c r="I15556" t="s">
        <v>22</v>
      </c>
      <c r="J15556">
        <v>94703</v>
      </c>
      <c r="K15556">
        <v>1207</v>
      </c>
      <c r="L15556" t="s">
        <v>23</v>
      </c>
      <c r="M15556" t="s">
        <v>33402</v>
      </c>
      <c r="N15556" t="s">
        <v>66</v>
      </c>
      <c r="O15556" t="s">
        <v>22</v>
      </c>
      <c r="P15556">
        <v>94703</v>
      </c>
      <c r="Q15556">
        <v>1207</v>
      </c>
      <c r="R15556" t="s">
        <v>23</v>
      </c>
      <c r="S15556" s="1" t="s">
        <v>34218</v>
      </c>
    </row>
    <row r="15557" spans="1:19" x14ac:dyDescent="0.25">
      <c r="A15557">
        <v>101442734</v>
      </c>
      <c r="B15557" t="s">
        <v>25574</v>
      </c>
      <c r="C15557" t="s">
        <v>9860</v>
      </c>
      <c r="G15557" t="s">
        <v>25575</v>
      </c>
      <c r="H15557" t="s">
        <v>1439</v>
      </c>
      <c r="I15557" t="s">
        <v>365</v>
      </c>
      <c r="J15557">
        <v>85747</v>
      </c>
      <c r="K15557">
        <v>5744</v>
      </c>
      <c r="L15557" t="s">
        <v>23</v>
      </c>
      <c r="M15557" t="s">
        <v>25575</v>
      </c>
      <c r="N15557" t="s">
        <v>1439</v>
      </c>
      <c r="O15557" t="s">
        <v>365</v>
      </c>
      <c r="P15557">
        <v>85747</v>
      </c>
      <c r="Q15557">
        <v>5744</v>
      </c>
      <c r="R15557" t="s">
        <v>23</v>
      </c>
      <c r="S15557" s="1" t="s">
        <v>34218</v>
      </c>
    </row>
    <row r="15558" spans="1:19" x14ac:dyDescent="0.25">
      <c r="A15558">
        <v>100799834</v>
      </c>
      <c r="B15558" t="s">
        <v>3857</v>
      </c>
      <c r="C15558" t="s">
        <v>301</v>
      </c>
      <c r="G15558" t="s">
        <v>33403</v>
      </c>
      <c r="H15558" t="s">
        <v>2841</v>
      </c>
      <c r="I15558" t="s">
        <v>71</v>
      </c>
      <c r="J15558">
        <v>80403</v>
      </c>
      <c r="K15558">
        <v>2075</v>
      </c>
      <c r="L15558" t="s">
        <v>23</v>
      </c>
      <c r="M15558" t="s">
        <v>33403</v>
      </c>
      <c r="N15558" t="s">
        <v>2841</v>
      </c>
      <c r="O15558" t="s">
        <v>71</v>
      </c>
      <c r="P15558">
        <v>80403</v>
      </c>
      <c r="Q15558">
        <v>2075</v>
      </c>
      <c r="R15558" t="s">
        <v>23</v>
      </c>
      <c r="S15558" s="1" t="s">
        <v>34218</v>
      </c>
    </row>
    <row r="15559" spans="1:19" x14ac:dyDescent="0.25">
      <c r="A15559">
        <v>101228287</v>
      </c>
      <c r="B15559" t="s">
        <v>21906</v>
      </c>
      <c r="C15559" t="s">
        <v>8472</v>
      </c>
      <c r="G15559" t="s">
        <v>33404</v>
      </c>
      <c r="H15559" t="s">
        <v>4994</v>
      </c>
      <c r="I15559" t="s">
        <v>348</v>
      </c>
      <c r="J15559">
        <v>83301</v>
      </c>
      <c r="K15559">
        <v>3627</v>
      </c>
      <c r="L15559" t="s">
        <v>23</v>
      </c>
      <c r="M15559" t="s">
        <v>33404</v>
      </c>
      <c r="N15559" t="s">
        <v>4994</v>
      </c>
      <c r="O15559" t="s">
        <v>348</v>
      </c>
      <c r="P15559">
        <v>83301</v>
      </c>
      <c r="Q15559">
        <v>3627</v>
      </c>
      <c r="R15559" t="s">
        <v>23</v>
      </c>
      <c r="S15559" s="1" t="s">
        <v>34218</v>
      </c>
    </row>
    <row r="15560" spans="1:19" x14ac:dyDescent="0.25">
      <c r="A15560">
        <v>100842119</v>
      </c>
      <c r="B15560" t="s">
        <v>33405</v>
      </c>
      <c r="C15560" t="s">
        <v>33406</v>
      </c>
      <c r="G15560" t="s">
        <v>33407</v>
      </c>
      <c r="H15560" t="s">
        <v>11550</v>
      </c>
      <c r="I15560" t="s">
        <v>52</v>
      </c>
      <c r="J15560">
        <v>33468</v>
      </c>
      <c r="K15560">
        <v>8539</v>
      </c>
      <c r="L15560" t="s">
        <v>23</v>
      </c>
      <c r="M15560" t="s">
        <v>33407</v>
      </c>
      <c r="N15560" t="s">
        <v>11550</v>
      </c>
      <c r="O15560" t="s">
        <v>52</v>
      </c>
      <c r="P15560">
        <v>33468</v>
      </c>
      <c r="Q15560">
        <v>8539</v>
      </c>
      <c r="R15560" t="s">
        <v>23</v>
      </c>
      <c r="S15560" s="1" t="s">
        <v>34218</v>
      </c>
    </row>
    <row r="15561" spans="1:19" x14ac:dyDescent="0.25">
      <c r="A15561">
        <v>101275101</v>
      </c>
      <c r="B15561" t="s">
        <v>3848</v>
      </c>
      <c r="C15561" t="s">
        <v>12345</v>
      </c>
      <c r="G15561" t="s">
        <v>33408</v>
      </c>
      <c r="H15561" t="s">
        <v>10838</v>
      </c>
      <c r="I15561" t="s">
        <v>71</v>
      </c>
      <c r="J15561">
        <v>80134</v>
      </c>
      <c r="K15561">
        <v>3270</v>
      </c>
      <c r="L15561" t="s">
        <v>23</v>
      </c>
      <c r="M15561" t="s">
        <v>33408</v>
      </c>
      <c r="N15561" t="s">
        <v>10838</v>
      </c>
      <c r="O15561" t="s">
        <v>71</v>
      </c>
      <c r="P15561">
        <v>80134</v>
      </c>
      <c r="Q15561">
        <v>3270</v>
      </c>
      <c r="R15561" t="s">
        <v>23</v>
      </c>
      <c r="S15561" s="1" t="s">
        <v>34218</v>
      </c>
    </row>
    <row r="15562" spans="1:19" x14ac:dyDescent="0.25">
      <c r="A15562">
        <v>101320707</v>
      </c>
      <c r="B15562" t="s">
        <v>1176</v>
      </c>
      <c r="C15562" t="s">
        <v>3518</v>
      </c>
      <c r="G15562" t="s">
        <v>33409</v>
      </c>
      <c r="H15562" t="s">
        <v>1452</v>
      </c>
      <c r="I15562" t="s">
        <v>43</v>
      </c>
      <c r="J15562">
        <v>97404</v>
      </c>
      <c r="K15562">
        <v>2235</v>
      </c>
      <c r="L15562" t="s">
        <v>23</v>
      </c>
      <c r="M15562" t="s">
        <v>33409</v>
      </c>
      <c r="N15562" t="s">
        <v>1452</v>
      </c>
      <c r="O15562" t="s">
        <v>43</v>
      </c>
      <c r="P15562">
        <v>97404</v>
      </c>
      <c r="Q15562">
        <v>2235</v>
      </c>
      <c r="R15562" t="s">
        <v>23</v>
      </c>
      <c r="S15562" s="1" t="s">
        <v>34218</v>
      </c>
    </row>
    <row r="15563" spans="1:19" x14ac:dyDescent="0.25">
      <c r="A15563">
        <v>101095914</v>
      </c>
      <c r="B15563" t="s">
        <v>33410</v>
      </c>
      <c r="C15563" t="s">
        <v>1873</v>
      </c>
      <c r="G15563" t="s">
        <v>33411</v>
      </c>
      <c r="H15563" t="s">
        <v>21268</v>
      </c>
      <c r="I15563" t="s">
        <v>135</v>
      </c>
      <c r="J15563">
        <v>60056</v>
      </c>
      <c r="K15563">
        <v>2515</v>
      </c>
      <c r="L15563" t="s">
        <v>23</v>
      </c>
      <c r="M15563" t="s">
        <v>33411</v>
      </c>
      <c r="N15563" t="s">
        <v>21268</v>
      </c>
      <c r="O15563" t="s">
        <v>135</v>
      </c>
      <c r="P15563">
        <v>60056</v>
      </c>
      <c r="Q15563">
        <v>2515</v>
      </c>
      <c r="R15563" t="s">
        <v>23</v>
      </c>
      <c r="S15563" s="1" t="s">
        <v>34218</v>
      </c>
    </row>
    <row r="15564" spans="1:19" x14ac:dyDescent="0.25">
      <c r="A15564">
        <v>101480986</v>
      </c>
      <c r="B15564" t="s">
        <v>33412</v>
      </c>
      <c r="C15564" t="s">
        <v>2151</v>
      </c>
      <c r="G15564" t="s">
        <v>30758</v>
      </c>
      <c r="H15564" t="s">
        <v>2701</v>
      </c>
      <c r="I15564" t="s">
        <v>446</v>
      </c>
      <c r="J15564">
        <v>28734</v>
      </c>
      <c r="K15564">
        <v>3044</v>
      </c>
      <c r="L15564" t="s">
        <v>23</v>
      </c>
      <c r="M15564" t="s">
        <v>30758</v>
      </c>
      <c r="N15564" t="s">
        <v>2701</v>
      </c>
      <c r="O15564" t="s">
        <v>446</v>
      </c>
      <c r="P15564">
        <v>28734</v>
      </c>
      <c r="Q15564">
        <v>3044</v>
      </c>
      <c r="R15564" t="s">
        <v>23</v>
      </c>
      <c r="S15564" s="1" t="s">
        <v>34218</v>
      </c>
    </row>
    <row r="15565" spans="1:19" x14ac:dyDescent="0.25">
      <c r="A15565">
        <v>100713982</v>
      </c>
      <c r="B15565" t="s">
        <v>3109</v>
      </c>
      <c r="C15565" t="s">
        <v>33413</v>
      </c>
      <c r="G15565" t="s">
        <v>33414</v>
      </c>
      <c r="H15565" t="s">
        <v>17485</v>
      </c>
      <c r="I15565" t="s">
        <v>22</v>
      </c>
      <c r="J15565">
        <v>96155</v>
      </c>
      <c r="K15565">
        <v>76</v>
      </c>
      <c r="L15565" t="s">
        <v>23</v>
      </c>
      <c r="M15565" t="s">
        <v>33414</v>
      </c>
      <c r="N15565" t="s">
        <v>17485</v>
      </c>
      <c r="O15565" t="s">
        <v>22</v>
      </c>
      <c r="P15565">
        <v>96155</v>
      </c>
      <c r="Q15565">
        <v>76</v>
      </c>
      <c r="R15565" t="s">
        <v>23</v>
      </c>
      <c r="S15565" s="1" t="s">
        <v>34218</v>
      </c>
    </row>
    <row r="15566" spans="1:19" x14ac:dyDescent="0.25">
      <c r="A15566">
        <v>101480991</v>
      </c>
      <c r="B15566" t="s">
        <v>33415</v>
      </c>
      <c r="C15566" t="s">
        <v>5599</v>
      </c>
      <c r="G15566" t="s">
        <v>33416</v>
      </c>
      <c r="H15566" t="s">
        <v>11029</v>
      </c>
      <c r="I15566" t="s">
        <v>236</v>
      </c>
      <c r="J15566">
        <v>2719</v>
      </c>
      <c r="K15566">
        <v>1845</v>
      </c>
      <c r="L15566" t="s">
        <v>23</v>
      </c>
      <c r="M15566" t="s">
        <v>33416</v>
      </c>
      <c r="N15566" t="s">
        <v>11029</v>
      </c>
      <c r="O15566" t="s">
        <v>236</v>
      </c>
      <c r="P15566">
        <v>2719</v>
      </c>
      <c r="Q15566">
        <v>1845</v>
      </c>
      <c r="R15566" t="s">
        <v>23</v>
      </c>
      <c r="S15566" s="1" t="s">
        <v>34218</v>
      </c>
    </row>
    <row r="15567" spans="1:19" x14ac:dyDescent="0.25">
      <c r="A15567">
        <v>101313485</v>
      </c>
      <c r="B15567" t="s">
        <v>33417</v>
      </c>
      <c r="C15567" t="s">
        <v>6917</v>
      </c>
      <c r="G15567" t="s">
        <v>33418</v>
      </c>
      <c r="H15567" t="s">
        <v>66</v>
      </c>
      <c r="I15567" t="s">
        <v>22</v>
      </c>
      <c r="J15567">
        <v>94702</v>
      </c>
      <c r="K15567">
        <v>1740</v>
      </c>
      <c r="L15567" t="s">
        <v>23</v>
      </c>
      <c r="M15567" t="s">
        <v>33418</v>
      </c>
      <c r="N15567" t="s">
        <v>66</v>
      </c>
      <c r="O15567" t="s">
        <v>22</v>
      </c>
      <c r="P15567">
        <v>94702</v>
      </c>
      <c r="Q15567">
        <v>1740</v>
      </c>
      <c r="R15567" t="s">
        <v>23</v>
      </c>
      <c r="S15567" s="1" t="s">
        <v>34218</v>
      </c>
    </row>
    <row r="15568" spans="1:19" x14ac:dyDescent="0.25">
      <c r="A15568">
        <v>101040097</v>
      </c>
      <c r="B15568" t="s">
        <v>3109</v>
      </c>
      <c r="C15568" t="s">
        <v>554</v>
      </c>
      <c r="G15568" t="s">
        <v>33419</v>
      </c>
      <c r="H15568" t="s">
        <v>8175</v>
      </c>
      <c r="I15568" t="s">
        <v>2310</v>
      </c>
      <c r="J15568">
        <v>19707</v>
      </c>
      <c r="L15568" t="s">
        <v>23</v>
      </c>
      <c r="M15568" t="s">
        <v>33419</v>
      </c>
      <c r="N15568" t="s">
        <v>8175</v>
      </c>
      <c r="O15568" t="s">
        <v>2310</v>
      </c>
      <c r="P15568">
        <v>19707</v>
      </c>
      <c r="R15568" t="s">
        <v>23</v>
      </c>
      <c r="S15568" s="1" t="s">
        <v>34218</v>
      </c>
    </row>
    <row r="15569" spans="1:19" x14ac:dyDescent="0.25">
      <c r="A15569">
        <v>100771521</v>
      </c>
      <c r="B15569" t="s">
        <v>867</v>
      </c>
      <c r="C15569" t="s">
        <v>2892</v>
      </c>
      <c r="G15569" t="s">
        <v>33420</v>
      </c>
      <c r="H15569" t="s">
        <v>9018</v>
      </c>
      <c r="I15569" t="s">
        <v>22</v>
      </c>
      <c r="J15569">
        <v>92677</v>
      </c>
      <c r="L15569" t="s">
        <v>23</v>
      </c>
      <c r="M15569" t="s">
        <v>33420</v>
      </c>
      <c r="N15569" t="s">
        <v>9018</v>
      </c>
      <c r="O15569" t="s">
        <v>22</v>
      </c>
      <c r="P15569">
        <v>92677</v>
      </c>
      <c r="R15569" t="s">
        <v>23</v>
      </c>
      <c r="S15569" s="1" t="s">
        <v>34218</v>
      </c>
    </row>
    <row r="15570" spans="1:19" x14ac:dyDescent="0.25">
      <c r="A15570">
        <v>100931916</v>
      </c>
      <c r="B15570" t="s">
        <v>33421</v>
      </c>
      <c r="C15570" t="s">
        <v>1107</v>
      </c>
      <c r="G15570" t="s">
        <v>33422</v>
      </c>
      <c r="H15570" t="s">
        <v>3498</v>
      </c>
      <c r="I15570" t="s">
        <v>43</v>
      </c>
      <c r="J15570">
        <v>97333</v>
      </c>
      <c r="K15570">
        <v>2171</v>
      </c>
      <c r="L15570" t="s">
        <v>23</v>
      </c>
      <c r="M15570" t="s">
        <v>33422</v>
      </c>
      <c r="N15570" t="s">
        <v>3498</v>
      </c>
      <c r="O15570" t="s">
        <v>43</v>
      </c>
      <c r="P15570">
        <v>97333</v>
      </c>
      <c r="Q15570">
        <v>2171</v>
      </c>
      <c r="R15570" t="s">
        <v>23</v>
      </c>
      <c r="S15570" s="1" t="s">
        <v>34218</v>
      </c>
    </row>
    <row r="15571" spans="1:19" x14ac:dyDescent="0.25">
      <c r="A15571">
        <v>100685669</v>
      </c>
      <c r="B15571" t="s">
        <v>16651</v>
      </c>
      <c r="C15571" t="s">
        <v>33423</v>
      </c>
      <c r="G15571" t="s">
        <v>33424</v>
      </c>
      <c r="H15571" t="s">
        <v>1452</v>
      </c>
      <c r="I15571" t="s">
        <v>43</v>
      </c>
      <c r="J15571">
        <v>97405</v>
      </c>
      <c r="K15571">
        <v>4269</v>
      </c>
      <c r="L15571" t="s">
        <v>23</v>
      </c>
      <c r="M15571" t="s">
        <v>33424</v>
      </c>
      <c r="N15571" t="s">
        <v>1452</v>
      </c>
      <c r="O15571" t="s">
        <v>43</v>
      </c>
      <c r="P15571">
        <v>97405</v>
      </c>
      <c r="Q15571">
        <v>4269</v>
      </c>
      <c r="R15571" t="s">
        <v>23</v>
      </c>
      <c r="S15571" s="1" t="s">
        <v>34218</v>
      </c>
    </row>
    <row r="15572" spans="1:19" x14ac:dyDescent="0.25">
      <c r="A15572">
        <v>101313373</v>
      </c>
      <c r="B15572" t="s">
        <v>8360</v>
      </c>
      <c r="C15572" t="s">
        <v>30</v>
      </c>
      <c r="G15572" t="s">
        <v>33425</v>
      </c>
      <c r="H15572" t="s">
        <v>125</v>
      </c>
      <c r="I15572" t="s">
        <v>126</v>
      </c>
      <c r="J15572">
        <v>63104</v>
      </c>
      <c r="K15572">
        <v>2524</v>
      </c>
      <c r="L15572" t="s">
        <v>23</v>
      </c>
      <c r="M15572" t="s">
        <v>33425</v>
      </c>
      <c r="N15572" t="s">
        <v>125</v>
      </c>
      <c r="O15572" t="s">
        <v>126</v>
      </c>
      <c r="P15572">
        <v>63104</v>
      </c>
      <c r="Q15572">
        <v>2524</v>
      </c>
      <c r="R15572" t="s">
        <v>23</v>
      </c>
      <c r="S15572" s="1" t="s">
        <v>34218</v>
      </c>
    </row>
    <row r="15573" spans="1:19" x14ac:dyDescent="0.25">
      <c r="A15573">
        <v>101467390</v>
      </c>
      <c r="B15573" t="s">
        <v>1800</v>
      </c>
      <c r="C15573" t="s">
        <v>155</v>
      </c>
      <c r="G15573" t="s">
        <v>33426</v>
      </c>
      <c r="H15573" t="s">
        <v>9468</v>
      </c>
      <c r="I15573" t="s">
        <v>38</v>
      </c>
      <c r="J15573">
        <v>77550</v>
      </c>
      <c r="K15573">
        <v>6175</v>
      </c>
      <c r="L15573" t="s">
        <v>23</v>
      </c>
      <c r="M15573" t="s">
        <v>33426</v>
      </c>
      <c r="N15573" t="s">
        <v>9468</v>
      </c>
      <c r="O15573" t="s">
        <v>38</v>
      </c>
      <c r="P15573">
        <v>77550</v>
      </c>
      <c r="Q15573">
        <v>6175</v>
      </c>
      <c r="R15573" t="s">
        <v>23</v>
      </c>
      <c r="S15573" s="1" t="s">
        <v>34218</v>
      </c>
    </row>
    <row r="15574" spans="1:19" x14ac:dyDescent="0.25">
      <c r="A15574">
        <v>101481014</v>
      </c>
      <c r="B15574" t="s">
        <v>33427</v>
      </c>
      <c r="C15574" t="s">
        <v>167</v>
      </c>
      <c r="G15574" t="s">
        <v>11844</v>
      </c>
      <c r="H15574" t="s">
        <v>121</v>
      </c>
      <c r="I15574" t="s">
        <v>22</v>
      </c>
      <c r="J15574">
        <v>95926</v>
      </c>
      <c r="K15574">
        <v>5132</v>
      </c>
      <c r="L15574" t="s">
        <v>23</v>
      </c>
      <c r="M15574" t="s">
        <v>11844</v>
      </c>
      <c r="N15574" t="s">
        <v>121</v>
      </c>
      <c r="O15574" t="s">
        <v>22</v>
      </c>
      <c r="P15574">
        <v>95926</v>
      </c>
      <c r="Q15574">
        <v>5132</v>
      </c>
      <c r="R15574" t="s">
        <v>23</v>
      </c>
      <c r="S15574" s="1" t="s">
        <v>34218</v>
      </c>
    </row>
    <row r="15575" spans="1:19" x14ac:dyDescent="0.25">
      <c r="A15575">
        <v>101481016</v>
      </c>
      <c r="B15575" t="s">
        <v>12450</v>
      </c>
      <c r="C15575" t="s">
        <v>4318</v>
      </c>
      <c r="G15575" t="s">
        <v>12451</v>
      </c>
      <c r="H15575" t="s">
        <v>3646</v>
      </c>
      <c r="I15575" t="s">
        <v>22</v>
      </c>
      <c r="J15575">
        <v>96094</v>
      </c>
      <c r="K15575">
        <v>2801</v>
      </c>
      <c r="L15575" t="s">
        <v>23</v>
      </c>
      <c r="M15575" t="s">
        <v>12451</v>
      </c>
      <c r="N15575" t="s">
        <v>3646</v>
      </c>
      <c r="O15575" t="s">
        <v>22</v>
      </c>
      <c r="P15575">
        <v>96094</v>
      </c>
      <c r="Q15575">
        <v>2801</v>
      </c>
      <c r="R15575" t="s">
        <v>23</v>
      </c>
      <c r="S15575" s="1" t="s">
        <v>34218</v>
      </c>
    </row>
    <row r="15576" spans="1:19" x14ac:dyDescent="0.25">
      <c r="A15576">
        <v>101481019</v>
      </c>
      <c r="B15576" t="s">
        <v>33428</v>
      </c>
      <c r="C15576" t="s">
        <v>575</v>
      </c>
      <c r="G15576" t="s">
        <v>33429</v>
      </c>
      <c r="H15576" t="s">
        <v>679</v>
      </c>
      <c r="I15576" t="s">
        <v>117</v>
      </c>
      <c r="J15576">
        <v>11580</v>
      </c>
      <c r="K15576">
        <v>4736</v>
      </c>
      <c r="L15576" t="s">
        <v>23</v>
      </c>
      <c r="M15576" t="s">
        <v>33429</v>
      </c>
      <c r="N15576" t="s">
        <v>679</v>
      </c>
      <c r="O15576" t="s">
        <v>117</v>
      </c>
      <c r="P15576">
        <v>11580</v>
      </c>
      <c r="Q15576">
        <v>4736</v>
      </c>
      <c r="R15576" t="s">
        <v>23</v>
      </c>
      <c r="S15576" s="1" t="s">
        <v>34218</v>
      </c>
    </row>
    <row r="15577" spans="1:19" x14ac:dyDescent="0.25">
      <c r="A15577">
        <v>101444176</v>
      </c>
      <c r="B15577" t="s">
        <v>199</v>
      </c>
      <c r="C15577" t="s">
        <v>466</v>
      </c>
      <c r="G15577" t="s">
        <v>33430</v>
      </c>
      <c r="H15577" t="s">
        <v>7195</v>
      </c>
      <c r="I15577" t="s">
        <v>135</v>
      </c>
      <c r="J15577">
        <v>62959</v>
      </c>
      <c r="K15577">
        <v>5935</v>
      </c>
      <c r="L15577" t="s">
        <v>23</v>
      </c>
      <c r="M15577" t="s">
        <v>33430</v>
      </c>
      <c r="N15577" t="s">
        <v>7195</v>
      </c>
      <c r="O15577" t="s">
        <v>135</v>
      </c>
      <c r="P15577">
        <v>62959</v>
      </c>
      <c r="Q15577">
        <v>5935</v>
      </c>
      <c r="R15577" t="s">
        <v>23</v>
      </c>
      <c r="S15577" s="1" t="s">
        <v>34218</v>
      </c>
    </row>
    <row r="15578" spans="1:19" x14ac:dyDescent="0.25">
      <c r="A15578">
        <v>101450150</v>
      </c>
      <c r="B15578" t="s">
        <v>33431</v>
      </c>
      <c r="C15578" t="s">
        <v>2235</v>
      </c>
      <c r="G15578" t="s">
        <v>33432</v>
      </c>
      <c r="H15578" t="s">
        <v>1863</v>
      </c>
      <c r="I15578" t="s">
        <v>126</v>
      </c>
      <c r="J15578">
        <v>64108</v>
      </c>
      <c r="K15578">
        <v>1104</v>
      </c>
      <c r="L15578" t="s">
        <v>23</v>
      </c>
      <c r="M15578" t="s">
        <v>33432</v>
      </c>
      <c r="N15578" t="s">
        <v>1863</v>
      </c>
      <c r="O15578" t="s">
        <v>126</v>
      </c>
      <c r="P15578">
        <v>64108</v>
      </c>
      <c r="Q15578">
        <v>1104</v>
      </c>
      <c r="R15578" t="s">
        <v>23</v>
      </c>
      <c r="S15578" s="1" t="s">
        <v>34218</v>
      </c>
    </row>
    <row r="15579" spans="1:19" x14ac:dyDescent="0.25">
      <c r="A15579">
        <v>101478193</v>
      </c>
      <c r="B15579" t="s">
        <v>33433</v>
      </c>
      <c r="C15579" t="s">
        <v>1147</v>
      </c>
      <c r="G15579" t="s">
        <v>33434</v>
      </c>
      <c r="H15579" t="s">
        <v>33435</v>
      </c>
      <c r="I15579" t="s">
        <v>140</v>
      </c>
      <c r="J15579">
        <v>48064</v>
      </c>
      <c r="L15579" t="s">
        <v>23</v>
      </c>
      <c r="M15579" t="s">
        <v>33434</v>
      </c>
      <c r="N15579" t="s">
        <v>33435</v>
      </c>
      <c r="O15579" t="s">
        <v>140</v>
      </c>
      <c r="P15579">
        <v>48064</v>
      </c>
      <c r="R15579" t="s">
        <v>23</v>
      </c>
      <c r="S15579" s="1" t="s">
        <v>34218</v>
      </c>
    </row>
    <row r="15580" spans="1:19" x14ac:dyDescent="0.25">
      <c r="A15580">
        <v>100901499</v>
      </c>
      <c r="B15580" t="s">
        <v>21160</v>
      </c>
      <c r="C15580" t="s">
        <v>1906</v>
      </c>
      <c r="G15580" t="s">
        <v>33436</v>
      </c>
      <c r="H15580" t="s">
        <v>1602</v>
      </c>
      <c r="I15580" t="s">
        <v>135</v>
      </c>
      <c r="J15580">
        <v>62906</v>
      </c>
      <c r="K15580">
        <v>1718</v>
      </c>
      <c r="L15580" t="s">
        <v>23</v>
      </c>
      <c r="M15580" t="s">
        <v>33436</v>
      </c>
      <c r="N15580" t="s">
        <v>1602</v>
      </c>
      <c r="O15580" t="s">
        <v>135</v>
      </c>
      <c r="P15580">
        <v>62906</v>
      </c>
      <c r="Q15580">
        <v>1718</v>
      </c>
      <c r="R15580" t="s">
        <v>23</v>
      </c>
      <c r="S15580" s="1" t="s">
        <v>34218</v>
      </c>
    </row>
    <row r="15581" spans="1:19" x14ac:dyDescent="0.25">
      <c r="A15581">
        <v>101270477</v>
      </c>
      <c r="B15581" t="s">
        <v>33437</v>
      </c>
      <c r="C15581" t="s">
        <v>4691</v>
      </c>
      <c r="G15581" t="s">
        <v>33438</v>
      </c>
      <c r="H15581" t="s">
        <v>66</v>
      </c>
      <c r="I15581" t="s">
        <v>22</v>
      </c>
      <c r="J15581">
        <v>94709</v>
      </c>
      <c r="K15581">
        <v>2049</v>
      </c>
      <c r="L15581" t="s">
        <v>23</v>
      </c>
      <c r="M15581" t="s">
        <v>33438</v>
      </c>
      <c r="N15581" t="s">
        <v>66</v>
      </c>
      <c r="O15581" t="s">
        <v>22</v>
      </c>
      <c r="P15581">
        <v>94709</v>
      </c>
      <c r="Q15581">
        <v>2049</v>
      </c>
      <c r="R15581" t="s">
        <v>23</v>
      </c>
      <c r="S15581" s="1" t="s">
        <v>34218</v>
      </c>
    </row>
    <row r="15582" spans="1:19" x14ac:dyDescent="0.25">
      <c r="A15582">
        <v>101036916</v>
      </c>
      <c r="B15582" t="s">
        <v>1675</v>
      </c>
      <c r="C15582" t="s">
        <v>217</v>
      </c>
      <c r="G15582" t="s">
        <v>33439</v>
      </c>
      <c r="H15582" t="s">
        <v>13853</v>
      </c>
      <c r="I15582" t="s">
        <v>38</v>
      </c>
      <c r="J15582">
        <v>78639</v>
      </c>
      <c r="K15582">
        <v>9417</v>
      </c>
      <c r="L15582" t="s">
        <v>23</v>
      </c>
      <c r="M15582" t="s">
        <v>33439</v>
      </c>
      <c r="N15582" t="s">
        <v>13853</v>
      </c>
      <c r="O15582" t="s">
        <v>38</v>
      </c>
      <c r="P15582">
        <v>78639</v>
      </c>
      <c r="Q15582">
        <v>9417</v>
      </c>
      <c r="R15582" t="s">
        <v>23</v>
      </c>
      <c r="S15582" s="1" t="s">
        <v>34218</v>
      </c>
    </row>
    <row r="15583" spans="1:19" x14ac:dyDescent="0.25">
      <c r="A15583">
        <v>100576798</v>
      </c>
      <c r="B15583" t="s">
        <v>21825</v>
      </c>
      <c r="C15583" t="s">
        <v>1176</v>
      </c>
      <c r="G15583" t="s">
        <v>33440</v>
      </c>
      <c r="H15583" t="s">
        <v>33441</v>
      </c>
      <c r="I15583" t="s">
        <v>662</v>
      </c>
      <c r="J15583">
        <v>2914</v>
      </c>
      <c r="K15583">
        <v>2961</v>
      </c>
      <c r="L15583" t="s">
        <v>23</v>
      </c>
      <c r="M15583" t="s">
        <v>33440</v>
      </c>
      <c r="N15583" t="s">
        <v>33441</v>
      </c>
      <c r="O15583" t="s">
        <v>662</v>
      </c>
      <c r="P15583">
        <v>2914</v>
      </c>
      <c r="Q15583">
        <v>2961</v>
      </c>
      <c r="R15583" t="s">
        <v>23</v>
      </c>
      <c r="S15583" s="1" t="s">
        <v>34218</v>
      </c>
    </row>
    <row r="15584" spans="1:19" x14ac:dyDescent="0.25">
      <c r="A15584">
        <v>100854025</v>
      </c>
      <c r="B15584" t="s">
        <v>3123</v>
      </c>
      <c r="C15584" t="s">
        <v>1239</v>
      </c>
      <c r="G15584" t="s">
        <v>33442</v>
      </c>
      <c r="H15584" t="s">
        <v>7886</v>
      </c>
      <c r="I15584" t="s">
        <v>178</v>
      </c>
      <c r="J15584">
        <v>44312</v>
      </c>
      <c r="K15584">
        <v>3671</v>
      </c>
      <c r="L15584" t="s">
        <v>23</v>
      </c>
      <c r="M15584" t="s">
        <v>33442</v>
      </c>
      <c r="N15584" t="s">
        <v>7886</v>
      </c>
      <c r="O15584" t="s">
        <v>178</v>
      </c>
      <c r="P15584">
        <v>44312</v>
      </c>
      <c r="Q15584">
        <v>3671</v>
      </c>
      <c r="R15584" t="s">
        <v>23</v>
      </c>
      <c r="S15584" s="1" t="s">
        <v>34218</v>
      </c>
    </row>
    <row r="15585" spans="1:19" x14ac:dyDescent="0.25">
      <c r="A15585">
        <v>101481037</v>
      </c>
      <c r="B15585" t="s">
        <v>33443</v>
      </c>
      <c r="C15585" t="s">
        <v>3609</v>
      </c>
      <c r="G15585" t="s">
        <v>26439</v>
      </c>
      <c r="H15585" t="s">
        <v>595</v>
      </c>
      <c r="I15585" t="s">
        <v>22</v>
      </c>
      <c r="J15585">
        <v>94539</v>
      </c>
      <c r="L15585" t="s">
        <v>23</v>
      </c>
      <c r="M15585" t="s">
        <v>26439</v>
      </c>
      <c r="N15585" t="s">
        <v>595</v>
      </c>
      <c r="O15585" t="s">
        <v>22</v>
      </c>
      <c r="P15585">
        <v>94539</v>
      </c>
      <c r="R15585" t="s">
        <v>23</v>
      </c>
      <c r="S15585" s="1" t="s">
        <v>34218</v>
      </c>
    </row>
    <row r="15586" spans="1:19" x14ac:dyDescent="0.25">
      <c r="A15586">
        <v>101481040</v>
      </c>
      <c r="B15586" t="s">
        <v>23439</v>
      </c>
      <c r="C15586" t="s">
        <v>3511</v>
      </c>
      <c r="G15586" t="s">
        <v>33444</v>
      </c>
      <c r="H15586" t="s">
        <v>3169</v>
      </c>
      <c r="I15586" t="s">
        <v>84</v>
      </c>
      <c r="J15586">
        <v>98403</v>
      </c>
      <c r="K15586">
        <v>1535</v>
      </c>
      <c r="L15586" t="s">
        <v>23</v>
      </c>
      <c r="M15586" t="s">
        <v>33444</v>
      </c>
      <c r="N15586" t="s">
        <v>3169</v>
      </c>
      <c r="O15586" t="s">
        <v>84</v>
      </c>
      <c r="P15586">
        <v>98403</v>
      </c>
      <c r="Q15586">
        <v>1535</v>
      </c>
      <c r="R15586" t="s">
        <v>23</v>
      </c>
      <c r="S15586" s="1" t="s">
        <v>34218</v>
      </c>
    </row>
    <row r="15587" spans="1:19" x14ac:dyDescent="0.25">
      <c r="A15587">
        <v>100899407</v>
      </c>
      <c r="B15587" t="s">
        <v>33445</v>
      </c>
      <c r="C15587" t="s">
        <v>2790</v>
      </c>
      <c r="G15587" t="s">
        <v>33446</v>
      </c>
      <c r="H15587" t="s">
        <v>8309</v>
      </c>
      <c r="I15587" t="s">
        <v>22</v>
      </c>
      <c r="J15587">
        <v>93644</v>
      </c>
      <c r="L15587" t="s">
        <v>23</v>
      </c>
      <c r="M15587" t="s">
        <v>33446</v>
      </c>
      <c r="N15587" t="s">
        <v>8309</v>
      </c>
      <c r="O15587" t="s">
        <v>22</v>
      </c>
      <c r="P15587">
        <v>93644</v>
      </c>
      <c r="R15587" t="s">
        <v>23</v>
      </c>
      <c r="S15587" s="1" t="s">
        <v>34218</v>
      </c>
    </row>
    <row r="15588" spans="1:19" x14ac:dyDescent="0.25">
      <c r="A15588">
        <v>101481045</v>
      </c>
      <c r="B15588" t="s">
        <v>465</v>
      </c>
      <c r="C15588" t="s">
        <v>158</v>
      </c>
      <c r="G15588" t="s">
        <v>33447</v>
      </c>
      <c r="H15588" t="s">
        <v>2132</v>
      </c>
      <c r="I15588" t="s">
        <v>140</v>
      </c>
      <c r="J15588">
        <v>48092</v>
      </c>
      <c r="K15588">
        <v>1780</v>
      </c>
      <c r="L15588" t="s">
        <v>23</v>
      </c>
      <c r="M15588" t="s">
        <v>33447</v>
      </c>
      <c r="N15588" t="s">
        <v>2132</v>
      </c>
      <c r="O15588" t="s">
        <v>140</v>
      </c>
      <c r="P15588">
        <v>48092</v>
      </c>
      <c r="Q15588">
        <v>1780</v>
      </c>
      <c r="R15588" t="s">
        <v>23</v>
      </c>
      <c r="S15588" s="1" t="s">
        <v>34218</v>
      </c>
    </row>
    <row r="15589" spans="1:19" x14ac:dyDescent="0.25">
      <c r="A15589">
        <v>101212626</v>
      </c>
      <c r="B15589" t="s">
        <v>5999</v>
      </c>
      <c r="C15589" t="s">
        <v>1533</v>
      </c>
      <c r="G15589" t="s">
        <v>33448</v>
      </c>
      <c r="H15589" t="s">
        <v>33449</v>
      </c>
      <c r="I15589" t="s">
        <v>22</v>
      </c>
      <c r="J15589">
        <v>96025</v>
      </c>
      <c r="K15589">
        <v>1713</v>
      </c>
      <c r="L15589" t="s">
        <v>23</v>
      </c>
      <c r="M15589" t="s">
        <v>33448</v>
      </c>
      <c r="N15589" t="s">
        <v>33449</v>
      </c>
      <c r="O15589" t="s">
        <v>22</v>
      </c>
      <c r="P15589">
        <v>96025</v>
      </c>
      <c r="Q15589">
        <v>1713</v>
      </c>
      <c r="R15589" t="s">
        <v>23</v>
      </c>
      <c r="S15589" s="1" t="s">
        <v>34218</v>
      </c>
    </row>
    <row r="15590" spans="1:19" x14ac:dyDescent="0.25">
      <c r="A15590">
        <v>101056301</v>
      </c>
      <c r="B15590" t="s">
        <v>2583</v>
      </c>
      <c r="C15590" t="s">
        <v>5024</v>
      </c>
      <c r="G15590" t="s">
        <v>33450</v>
      </c>
      <c r="H15590" t="s">
        <v>13612</v>
      </c>
      <c r="I15590" t="s">
        <v>191</v>
      </c>
      <c r="J15590">
        <v>4553</v>
      </c>
      <c r="K15590">
        <v>3319</v>
      </c>
      <c r="L15590" t="s">
        <v>23</v>
      </c>
      <c r="M15590" t="s">
        <v>33450</v>
      </c>
      <c r="N15590" t="s">
        <v>13612</v>
      </c>
      <c r="O15590" t="s">
        <v>191</v>
      </c>
      <c r="P15590">
        <v>4553</v>
      </c>
      <c r="Q15590">
        <v>3319</v>
      </c>
      <c r="R15590" t="s">
        <v>23</v>
      </c>
      <c r="S15590" s="1" t="s">
        <v>34218</v>
      </c>
    </row>
    <row r="15591" spans="1:19" x14ac:dyDescent="0.25">
      <c r="A15591">
        <v>101464813</v>
      </c>
      <c r="B15591" t="s">
        <v>3541</v>
      </c>
      <c r="C15591" t="s">
        <v>286</v>
      </c>
      <c r="G15591" t="s">
        <v>32109</v>
      </c>
      <c r="H15591" t="s">
        <v>30351</v>
      </c>
      <c r="I15591" t="s">
        <v>52</v>
      </c>
      <c r="J15591">
        <v>33071</v>
      </c>
      <c r="K15591">
        <v>6774</v>
      </c>
      <c r="L15591" t="s">
        <v>23</v>
      </c>
      <c r="M15591" t="s">
        <v>32109</v>
      </c>
      <c r="N15591" t="s">
        <v>30351</v>
      </c>
      <c r="O15591" t="s">
        <v>52</v>
      </c>
      <c r="P15591">
        <v>33071</v>
      </c>
      <c r="Q15591">
        <v>6774</v>
      </c>
      <c r="R15591" t="s">
        <v>23</v>
      </c>
      <c r="S15591" s="1" t="s">
        <v>34218</v>
      </c>
    </row>
    <row r="15592" spans="1:19" x14ac:dyDescent="0.25">
      <c r="A15592">
        <v>101456006</v>
      </c>
      <c r="B15592" t="s">
        <v>21661</v>
      </c>
      <c r="C15592" t="s">
        <v>33451</v>
      </c>
      <c r="G15592" t="s">
        <v>33452</v>
      </c>
      <c r="H15592" t="s">
        <v>2202</v>
      </c>
      <c r="I15592" t="s">
        <v>565</v>
      </c>
      <c r="J15592">
        <v>51102</v>
      </c>
      <c r="L15592" t="s">
        <v>23</v>
      </c>
      <c r="M15592" t="s">
        <v>33452</v>
      </c>
      <c r="N15592" t="s">
        <v>2202</v>
      </c>
      <c r="O15592" t="s">
        <v>565</v>
      </c>
      <c r="P15592">
        <v>51102</v>
      </c>
      <c r="R15592" t="s">
        <v>23</v>
      </c>
      <c r="S15592" s="1" t="s">
        <v>34218</v>
      </c>
    </row>
    <row r="15593" spans="1:19" x14ac:dyDescent="0.25">
      <c r="A15593">
        <v>101307249</v>
      </c>
      <c r="B15593" t="s">
        <v>29</v>
      </c>
      <c r="C15593" t="s">
        <v>7894</v>
      </c>
      <c r="G15593">
        <v>706</v>
      </c>
      <c r="H15593" t="s">
        <v>496</v>
      </c>
      <c r="I15593" t="s">
        <v>22</v>
      </c>
      <c r="J15593">
        <v>94952</v>
      </c>
      <c r="L15593" t="s">
        <v>23</v>
      </c>
      <c r="M15593">
        <v>706</v>
      </c>
      <c r="N15593" t="s">
        <v>496</v>
      </c>
      <c r="O15593" t="s">
        <v>22</v>
      </c>
      <c r="P15593">
        <v>94952</v>
      </c>
      <c r="R15593" t="s">
        <v>23</v>
      </c>
      <c r="S15593" s="1" t="s">
        <v>34218</v>
      </c>
    </row>
    <row r="15594" spans="1:19" x14ac:dyDescent="0.25">
      <c r="A15594">
        <v>101332501</v>
      </c>
      <c r="B15594" t="s">
        <v>33453</v>
      </c>
      <c r="C15594" t="s">
        <v>1555</v>
      </c>
      <c r="G15594" t="s">
        <v>33454</v>
      </c>
      <c r="H15594" t="s">
        <v>12907</v>
      </c>
      <c r="I15594" t="s">
        <v>161</v>
      </c>
      <c r="J15594">
        <v>6611</v>
      </c>
      <c r="K15594">
        <v>5008</v>
      </c>
      <c r="L15594" t="s">
        <v>23</v>
      </c>
      <c r="M15594" t="s">
        <v>33454</v>
      </c>
      <c r="N15594" t="s">
        <v>12907</v>
      </c>
      <c r="O15594" t="s">
        <v>161</v>
      </c>
      <c r="P15594">
        <v>6611</v>
      </c>
      <c r="Q15594">
        <v>5008</v>
      </c>
      <c r="R15594" t="s">
        <v>23</v>
      </c>
      <c r="S15594" s="1" t="s">
        <v>34218</v>
      </c>
    </row>
    <row r="15595" spans="1:19" x14ac:dyDescent="0.25">
      <c r="A15595">
        <v>100537751</v>
      </c>
      <c r="B15595" t="s">
        <v>13531</v>
      </c>
      <c r="C15595" t="s">
        <v>1306</v>
      </c>
      <c r="G15595" t="s">
        <v>33455</v>
      </c>
      <c r="H15595" t="s">
        <v>3972</v>
      </c>
      <c r="I15595" t="s">
        <v>1387</v>
      </c>
      <c r="J15595">
        <v>35209</v>
      </c>
      <c r="K15595">
        <v>8830</v>
      </c>
      <c r="L15595" t="s">
        <v>23</v>
      </c>
      <c r="M15595" t="s">
        <v>33455</v>
      </c>
      <c r="N15595" t="s">
        <v>3972</v>
      </c>
      <c r="O15595" t="s">
        <v>1387</v>
      </c>
      <c r="P15595">
        <v>35209</v>
      </c>
      <c r="Q15595">
        <v>8830</v>
      </c>
      <c r="R15595" t="s">
        <v>23</v>
      </c>
      <c r="S15595" s="1" t="s">
        <v>34218</v>
      </c>
    </row>
    <row r="15596" spans="1:19" x14ac:dyDescent="0.25">
      <c r="A15596">
        <v>101242800</v>
      </c>
      <c r="B15596" t="s">
        <v>33456</v>
      </c>
      <c r="C15596" t="s">
        <v>1506</v>
      </c>
      <c r="G15596" t="s">
        <v>33457</v>
      </c>
      <c r="H15596" t="s">
        <v>746</v>
      </c>
      <c r="I15596" t="s">
        <v>43</v>
      </c>
      <c r="J15596">
        <v>97477</v>
      </c>
      <c r="K15596">
        <v>3477</v>
      </c>
      <c r="L15596" t="s">
        <v>23</v>
      </c>
      <c r="M15596" t="s">
        <v>33457</v>
      </c>
      <c r="N15596" t="s">
        <v>746</v>
      </c>
      <c r="O15596" t="s">
        <v>43</v>
      </c>
      <c r="P15596">
        <v>97477</v>
      </c>
      <c r="Q15596">
        <v>3477</v>
      </c>
      <c r="R15596" t="s">
        <v>23</v>
      </c>
      <c r="S15596" s="1" t="s">
        <v>34218</v>
      </c>
    </row>
    <row r="15597" spans="1:19" x14ac:dyDescent="0.25">
      <c r="A15597">
        <v>101481063</v>
      </c>
      <c r="B15597" t="s">
        <v>33458</v>
      </c>
      <c r="C15597" t="s">
        <v>114</v>
      </c>
      <c r="G15597" t="s">
        <v>33459</v>
      </c>
      <c r="H15597" t="s">
        <v>14286</v>
      </c>
      <c r="I15597" t="s">
        <v>135</v>
      </c>
      <c r="J15597">
        <v>61109</v>
      </c>
      <c r="K15597">
        <v>4453</v>
      </c>
      <c r="L15597" t="s">
        <v>23</v>
      </c>
      <c r="M15597" t="s">
        <v>33459</v>
      </c>
      <c r="N15597" t="s">
        <v>14286</v>
      </c>
      <c r="O15597" t="s">
        <v>135</v>
      </c>
      <c r="P15597">
        <v>61109</v>
      </c>
      <c r="Q15597">
        <v>4453</v>
      </c>
      <c r="R15597" t="s">
        <v>23</v>
      </c>
      <c r="S15597" s="1" t="s">
        <v>34218</v>
      </c>
    </row>
    <row r="15598" spans="1:19" x14ac:dyDescent="0.25">
      <c r="A15598">
        <v>101311114</v>
      </c>
      <c r="B15598" t="s">
        <v>6060</v>
      </c>
      <c r="C15598" t="s">
        <v>2547</v>
      </c>
      <c r="G15598" t="s">
        <v>33460</v>
      </c>
      <c r="H15598" t="s">
        <v>8078</v>
      </c>
      <c r="I15598" t="s">
        <v>22</v>
      </c>
      <c r="J15598">
        <v>91762</v>
      </c>
      <c r="K15598">
        <v>6892</v>
      </c>
      <c r="L15598" t="s">
        <v>23</v>
      </c>
      <c r="M15598" t="s">
        <v>33460</v>
      </c>
      <c r="N15598" t="s">
        <v>8078</v>
      </c>
      <c r="O15598" t="s">
        <v>22</v>
      </c>
      <c r="P15598">
        <v>91762</v>
      </c>
      <c r="Q15598">
        <v>6892</v>
      </c>
      <c r="R15598" t="s">
        <v>23</v>
      </c>
      <c r="S15598" s="1" t="s">
        <v>34218</v>
      </c>
    </row>
    <row r="15599" spans="1:19" x14ac:dyDescent="0.25">
      <c r="A15599">
        <v>101472990</v>
      </c>
      <c r="B15599" t="s">
        <v>33461</v>
      </c>
      <c r="C15599" t="s">
        <v>699</v>
      </c>
      <c r="G15599" t="s">
        <v>33462</v>
      </c>
      <c r="H15599" t="s">
        <v>33463</v>
      </c>
      <c r="I15599" t="s">
        <v>38</v>
      </c>
      <c r="J15599">
        <v>76367</v>
      </c>
      <c r="K15599">
        <v>2744</v>
      </c>
      <c r="L15599" t="s">
        <v>23</v>
      </c>
      <c r="M15599" t="s">
        <v>33462</v>
      </c>
      <c r="N15599" t="s">
        <v>33463</v>
      </c>
      <c r="O15599" t="s">
        <v>38</v>
      </c>
      <c r="P15599">
        <v>76367</v>
      </c>
      <c r="Q15599">
        <v>2744</v>
      </c>
      <c r="R15599" t="s">
        <v>23</v>
      </c>
      <c r="S15599" s="1" t="s">
        <v>34218</v>
      </c>
    </row>
    <row r="15600" spans="1:19" x14ac:dyDescent="0.25">
      <c r="A15600">
        <v>101335034</v>
      </c>
      <c r="B15600" t="s">
        <v>33464</v>
      </c>
      <c r="C15600" t="s">
        <v>33465</v>
      </c>
      <c r="G15600" t="s">
        <v>33466</v>
      </c>
      <c r="H15600" t="s">
        <v>227</v>
      </c>
      <c r="I15600" t="s">
        <v>43</v>
      </c>
      <c r="J15600">
        <v>97223</v>
      </c>
      <c r="K15600">
        <v>8966</v>
      </c>
      <c r="L15600" t="s">
        <v>23</v>
      </c>
      <c r="M15600" t="s">
        <v>33466</v>
      </c>
      <c r="N15600" t="s">
        <v>227</v>
      </c>
      <c r="O15600" t="s">
        <v>43</v>
      </c>
      <c r="P15600">
        <v>97223</v>
      </c>
      <c r="Q15600">
        <v>8966</v>
      </c>
      <c r="R15600" t="s">
        <v>23</v>
      </c>
      <c r="S15600" s="1" t="s">
        <v>34218</v>
      </c>
    </row>
    <row r="15601" spans="1:19" x14ac:dyDescent="0.25">
      <c r="A15601">
        <v>101481070</v>
      </c>
      <c r="B15601" t="s">
        <v>166</v>
      </c>
      <c r="C15601" t="s">
        <v>911</v>
      </c>
      <c r="G15601" t="s">
        <v>33467</v>
      </c>
      <c r="H15601" t="s">
        <v>2285</v>
      </c>
      <c r="I15601" t="s">
        <v>22</v>
      </c>
      <c r="J15601">
        <v>92037</v>
      </c>
      <c r="L15601" t="s">
        <v>23</v>
      </c>
      <c r="M15601" t="s">
        <v>33467</v>
      </c>
      <c r="N15601" t="s">
        <v>2285</v>
      </c>
      <c r="O15601" t="s">
        <v>22</v>
      </c>
      <c r="P15601">
        <v>92037</v>
      </c>
      <c r="R15601" t="s">
        <v>23</v>
      </c>
      <c r="S15601" s="1" t="s">
        <v>34218</v>
      </c>
    </row>
    <row r="15602" spans="1:19" x14ac:dyDescent="0.25">
      <c r="A15602">
        <v>101452778</v>
      </c>
      <c r="B15602" t="s">
        <v>2689</v>
      </c>
      <c r="C15602" t="s">
        <v>1828</v>
      </c>
      <c r="G15602" t="s">
        <v>32424</v>
      </c>
      <c r="H15602" t="s">
        <v>2296</v>
      </c>
      <c r="I15602" t="s">
        <v>22</v>
      </c>
      <c r="J15602">
        <v>95003</v>
      </c>
      <c r="K15602">
        <v>4307</v>
      </c>
      <c r="L15602" t="s">
        <v>23</v>
      </c>
      <c r="M15602" t="s">
        <v>32424</v>
      </c>
      <c r="N15602" t="s">
        <v>2296</v>
      </c>
      <c r="O15602" t="s">
        <v>22</v>
      </c>
      <c r="P15602">
        <v>95003</v>
      </c>
      <c r="Q15602">
        <v>4307</v>
      </c>
      <c r="R15602" t="s">
        <v>23</v>
      </c>
      <c r="S15602" s="1" t="s">
        <v>34218</v>
      </c>
    </row>
    <row r="15603" spans="1:19" x14ac:dyDescent="0.25">
      <c r="A15603">
        <v>101481078</v>
      </c>
      <c r="B15603" t="s">
        <v>918</v>
      </c>
      <c r="C15603" t="s">
        <v>68</v>
      </c>
      <c r="G15603" t="s">
        <v>33468</v>
      </c>
      <c r="H15603" t="s">
        <v>5732</v>
      </c>
      <c r="I15603" t="s">
        <v>148</v>
      </c>
      <c r="J15603">
        <v>21043</v>
      </c>
      <c r="K15603">
        <v>6764</v>
      </c>
      <c r="L15603" t="s">
        <v>23</v>
      </c>
      <c r="M15603" t="s">
        <v>33468</v>
      </c>
      <c r="N15603" t="s">
        <v>5732</v>
      </c>
      <c r="O15603" t="s">
        <v>148</v>
      </c>
      <c r="P15603">
        <v>21043</v>
      </c>
      <c r="Q15603">
        <v>6764</v>
      </c>
      <c r="R15603" t="s">
        <v>23</v>
      </c>
      <c r="S15603" s="1" t="s">
        <v>34218</v>
      </c>
    </row>
    <row r="15604" spans="1:19" x14ac:dyDescent="0.25">
      <c r="A15604">
        <v>100869777</v>
      </c>
      <c r="B15604" t="s">
        <v>29275</v>
      </c>
      <c r="C15604" t="s">
        <v>33469</v>
      </c>
      <c r="G15604" t="s">
        <v>29276</v>
      </c>
      <c r="H15604" t="s">
        <v>29277</v>
      </c>
      <c r="I15604" t="s">
        <v>27974</v>
      </c>
      <c r="J15604">
        <v>7672</v>
      </c>
      <c r="L15604" t="s">
        <v>23</v>
      </c>
      <c r="M15604" t="s">
        <v>29276</v>
      </c>
      <c r="N15604" t="s">
        <v>29277</v>
      </c>
      <c r="O15604" t="s">
        <v>27974</v>
      </c>
      <c r="P15604">
        <v>7672</v>
      </c>
      <c r="R15604" t="s">
        <v>23</v>
      </c>
      <c r="S15604" s="1" t="s">
        <v>34218</v>
      </c>
    </row>
    <row r="15605" spans="1:19" x14ac:dyDescent="0.25">
      <c r="A15605">
        <v>101289237</v>
      </c>
      <c r="B15605" t="s">
        <v>7693</v>
      </c>
      <c r="C15605" t="s">
        <v>498</v>
      </c>
      <c r="G15605" t="s">
        <v>33470</v>
      </c>
      <c r="H15605" t="s">
        <v>746</v>
      </c>
      <c r="I15605" t="s">
        <v>126</v>
      </c>
      <c r="J15605">
        <v>65801</v>
      </c>
      <c r="K15605">
        <v>1854</v>
      </c>
      <c r="L15605" t="s">
        <v>23</v>
      </c>
      <c r="M15605" t="s">
        <v>33470</v>
      </c>
      <c r="N15605" t="s">
        <v>746</v>
      </c>
      <c r="O15605" t="s">
        <v>126</v>
      </c>
      <c r="P15605">
        <v>65801</v>
      </c>
      <c r="Q15605">
        <v>1854</v>
      </c>
      <c r="R15605" t="s">
        <v>23</v>
      </c>
      <c r="S15605" s="1" t="s">
        <v>34218</v>
      </c>
    </row>
    <row r="15606" spans="1:19" x14ac:dyDescent="0.25">
      <c r="A15606">
        <v>101481093</v>
      </c>
      <c r="B15606" t="s">
        <v>873</v>
      </c>
      <c r="C15606" t="s">
        <v>10294</v>
      </c>
      <c r="G15606" t="s">
        <v>33471</v>
      </c>
      <c r="H15606" t="s">
        <v>17160</v>
      </c>
      <c r="I15606" t="s">
        <v>22</v>
      </c>
      <c r="J15606">
        <v>96067</v>
      </c>
      <c r="K15606">
        <v>2808</v>
      </c>
      <c r="L15606" t="s">
        <v>23</v>
      </c>
      <c r="M15606" t="s">
        <v>33471</v>
      </c>
      <c r="N15606" t="s">
        <v>17160</v>
      </c>
      <c r="O15606" t="s">
        <v>22</v>
      </c>
      <c r="P15606">
        <v>96067</v>
      </c>
      <c r="Q15606">
        <v>2808</v>
      </c>
      <c r="R15606" t="s">
        <v>23</v>
      </c>
      <c r="S15606" s="1" t="s">
        <v>34218</v>
      </c>
    </row>
    <row r="15607" spans="1:19" x14ac:dyDescent="0.25">
      <c r="A15607">
        <v>101481094</v>
      </c>
      <c r="B15607" t="s">
        <v>21994</v>
      </c>
      <c r="C15607" t="s">
        <v>313</v>
      </c>
      <c r="G15607" t="s">
        <v>33472</v>
      </c>
      <c r="H15607" t="s">
        <v>1400</v>
      </c>
      <c r="I15607" t="s">
        <v>22</v>
      </c>
      <c r="J15607">
        <v>93306</v>
      </c>
      <c r="K15607">
        <v>2947</v>
      </c>
      <c r="L15607" t="s">
        <v>23</v>
      </c>
      <c r="M15607" t="s">
        <v>33472</v>
      </c>
      <c r="N15607" t="s">
        <v>1400</v>
      </c>
      <c r="O15607" t="s">
        <v>22</v>
      </c>
      <c r="P15607">
        <v>93306</v>
      </c>
      <c r="Q15607">
        <v>2947</v>
      </c>
      <c r="R15607" t="s">
        <v>23</v>
      </c>
      <c r="S15607" s="1" t="s">
        <v>34218</v>
      </c>
    </row>
    <row r="15608" spans="1:19" x14ac:dyDescent="0.25">
      <c r="A15608">
        <v>100578277</v>
      </c>
      <c r="B15608" t="s">
        <v>33473</v>
      </c>
      <c r="C15608" t="s">
        <v>483</v>
      </c>
      <c r="G15608" t="s">
        <v>33474</v>
      </c>
      <c r="H15608" t="s">
        <v>27631</v>
      </c>
      <c r="I15608" t="s">
        <v>52</v>
      </c>
      <c r="J15608">
        <v>33442</v>
      </c>
      <c r="K15608">
        <v>9530</v>
      </c>
      <c r="L15608" t="s">
        <v>23</v>
      </c>
      <c r="M15608" t="s">
        <v>33474</v>
      </c>
      <c r="N15608" t="s">
        <v>27631</v>
      </c>
      <c r="O15608" t="s">
        <v>52</v>
      </c>
      <c r="P15608">
        <v>33442</v>
      </c>
      <c r="Q15608">
        <v>9530</v>
      </c>
      <c r="R15608" t="s">
        <v>23</v>
      </c>
      <c r="S15608" s="1" t="s">
        <v>34218</v>
      </c>
    </row>
    <row r="15609" spans="1:19" x14ac:dyDescent="0.25">
      <c r="A15609">
        <v>101003394</v>
      </c>
      <c r="B15609" t="s">
        <v>33475</v>
      </c>
      <c r="C15609" t="s">
        <v>30</v>
      </c>
      <c r="G15609" t="s">
        <v>33476</v>
      </c>
      <c r="H15609" t="s">
        <v>37</v>
      </c>
      <c r="I15609" t="s">
        <v>38</v>
      </c>
      <c r="J15609">
        <v>78704</v>
      </c>
      <c r="K15609">
        <v>105</v>
      </c>
      <c r="L15609" t="s">
        <v>23</v>
      </c>
      <c r="M15609" t="s">
        <v>33476</v>
      </c>
      <c r="N15609" t="s">
        <v>37</v>
      </c>
      <c r="O15609" t="s">
        <v>38</v>
      </c>
      <c r="P15609">
        <v>78704</v>
      </c>
      <c r="Q15609">
        <v>105</v>
      </c>
      <c r="R15609" t="s">
        <v>23</v>
      </c>
      <c r="S15609" s="1" t="s">
        <v>34218</v>
      </c>
    </row>
    <row r="15610" spans="1:19" x14ac:dyDescent="0.25">
      <c r="A15610">
        <v>101345081</v>
      </c>
      <c r="B15610" t="s">
        <v>22017</v>
      </c>
      <c r="C15610" t="s">
        <v>9288</v>
      </c>
      <c r="G15610" t="s">
        <v>33477</v>
      </c>
      <c r="H15610" t="s">
        <v>1052</v>
      </c>
      <c r="I15610" t="s">
        <v>117</v>
      </c>
      <c r="J15610">
        <v>12203</v>
      </c>
      <c r="K15610">
        <v>3420</v>
      </c>
      <c r="L15610" t="s">
        <v>23</v>
      </c>
      <c r="M15610" t="s">
        <v>33477</v>
      </c>
      <c r="N15610" t="s">
        <v>1052</v>
      </c>
      <c r="O15610" t="s">
        <v>117</v>
      </c>
      <c r="P15610">
        <v>12203</v>
      </c>
      <c r="Q15610">
        <v>3420</v>
      </c>
      <c r="R15610" t="s">
        <v>23</v>
      </c>
      <c r="S15610" s="1" t="s">
        <v>34218</v>
      </c>
    </row>
    <row r="15611" spans="1:19" x14ac:dyDescent="0.25">
      <c r="A15611">
        <v>101481113</v>
      </c>
      <c r="B15611" t="s">
        <v>33478</v>
      </c>
      <c r="C15611" t="s">
        <v>102</v>
      </c>
      <c r="G15611" t="s">
        <v>33479</v>
      </c>
      <c r="H15611" t="s">
        <v>13141</v>
      </c>
      <c r="I15611" t="s">
        <v>307</v>
      </c>
      <c r="J15611">
        <v>5055</v>
      </c>
      <c r="K15611">
        <v>1624</v>
      </c>
      <c r="L15611" t="s">
        <v>23</v>
      </c>
      <c r="M15611" t="s">
        <v>33479</v>
      </c>
      <c r="N15611" t="s">
        <v>13141</v>
      </c>
      <c r="O15611" t="s">
        <v>307</v>
      </c>
      <c r="P15611">
        <v>5055</v>
      </c>
      <c r="Q15611">
        <v>1624</v>
      </c>
      <c r="R15611" t="s">
        <v>23</v>
      </c>
      <c r="S15611" s="1" t="s">
        <v>34218</v>
      </c>
    </row>
    <row r="15612" spans="1:19" x14ac:dyDescent="0.25">
      <c r="A15612">
        <v>101481118</v>
      </c>
      <c r="B15612" t="s">
        <v>3843</v>
      </c>
      <c r="C15612" t="s">
        <v>18837</v>
      </c>
      <c r="G15612" t="s">
        <v>33480</v>
      </c>
      <c r="H15612" t="s">
        <v>7813</v>
      </c>
      <c r="I15612" t="s">
        <v>307</v>
      </c>
      <c r="J15612">
        <v>5403</v>
      </c>
      <c r="K15612">
        <v>6520</v>
      </c>
      <c r="L15612" t="s">
        <v>23</v>
      </c>
      <c r="M15612" t="s">
        <v>33480</v>
      </c>
      <c r="N15612" t="s">
        <v>7813</v>
      </c>
      <c r="O15612" t="s">
        <v>307</v>
      </c>
      <c r="P15612">
        <v>5403</v>
      </c>
      <c r="Q15612">
        <v>6520</v>
      </c>
      <c r="R15612" t="s">
        <v>23</v>
      </c>
      <c r="S15612" s="1" t="s">
        <v>34218</v>
      </c>
    </row>
    <row r="15613" spans="1:19" x14ac:dyDescent="0.25">
      <c r="A15613">
        <v>101466289</v>
      </c>
      <c r="B15613" t="s">
        <v>33481</v>
      </c>
      <c r="C15613" t="s">
        <v>13533</v>
      </c>
      <c r="G15613" t="s">
        <v>33482</v>
      </c>
      <c r="H15613" t="s">
        <v>3561</v>
      </c>
      <c r="I15613" t="s">
        <v>22</v>
      </c>
      <c r="J15613">
        <v>91324</v>
      </c>
      <c r="K15613">
        <v>3410</v>
      </c>
      <c r="L15613" t="s">
        <v>23</v>
      </c>
      <c r="M15613" t="s">
        <v>33482</v>
      </c>
      <c r="N15613" t="s">
        <v>3561</v>
      </c>
      <c r="O15613" t="s">
        <v>22</v>
      </c>
      <c r="P15613">
        <v>91324</v>
      </c>
      <c r="Q15613">
        <v>3410</v>
      </c>
      <c r="R15613" t="s">
        <v>23</v>
      </c>
      <c r="S15613" s="1" t="s">
        <v>34218</v>
      </c>
    </row>
    <row r="15614" spans="1:19" x14ac:dyDescent="0.25">
      <c r="A15614">
        <v>101481131</v>
      </c>
      <c r="B15614" t="s">
        <v>2331</v>
      </c>
      <c r="C15614" t="s">
        <v>2870</v>
      </c>
      <c r="G15614" t="s">
        <v>33483</v>
      </c>
      <c r="H15614" t="s">
        <v>682</v>
      </c>
      <c r="I15614" t="s">
        <v>365</v>
      </c>
      <c r="J15614">
        <v>85083</v>
      </c>
      <c r="K15614">
        <v>7313</v>
      </c>
      <c r="L15614" t="s">
        <v>23</v>
      </c>
      <c r="M15614" t="s">
        <v>33483</v>
      </c>
      <c r="N15614" t="s">
        <v>682</v>
      </c>
      <c r="O15614" t="s">
        <v>365</v>
      </c>
      <c r="P15614">
        <v>85083</v>
      </c>
      <c r="Q15614">
        <v>7313</v>
      </c>
      <c r="R15614" t="s">
        <v>23</v>
      </c>
      <c r="S15614" s="1" t="s">
        <v>34218</v>
      </c>
    </row>
    <row r="15615" spans="1:19" x14ac:dyDescent="0.25">
      <c r="A15615">
        <v>100751561</v>
      </c>
      <c r="B15615" t="s">
        <v>33484</v>
      </c>
      <c r="C15615" t="s">
        <v>1306</v>
      </c>
      <c r="G15615" t="s">
        <v>33485</v>
      </c>
      <c r="H15615" t="s">
        <v>8296</v>
      </c>
      <c r="I15615" t="s">
        <v>984</v>
      </c>
      <c r="J15615">
        <v>96753</v>
      </c>
      <c r="K15615">
        <v>9622</v>
      </c>
      <c r="L15615" t="s">
        <v>23</v>
      </c>
      <c r="M15615" t="s">
        <v>33485</v>
      </c>
      <c r="N15615" t="s">
        <v>8296</v>
      </c>
      <c r="O15615" t="s">
        <v>984</v>
      </c>
      <c r="P15615">
        <v>96753</v>
      </c>
      <c r="Q15615">
        <v>9622</v>
      </c>
      <c r="R15615" t="s">
        <v>23</v>
      </c>
      <c r="S15615" s="1" t="s">
        <v>34218</v>
      </c>
    </row>
    <row r="15616" spans="1:19" x14ac:dyDescent="0.25">
      <c r="A15616">
        <v>101284333</v>
      </c>
      <c r="B15616" t="s">
        <v>33486</v>
      </c>
      <c r="C15616" t="s">
        <v>281</v>
      </c>
      <c r="G15616" t="s">
        <v>33487</v>
      </c>
      <c r="H15616" t="s">
        <v>650</v>
      </c>
      <c r="I15616" t="s">
        <v>22</v>
      </c>
      <c r="J15616">
        <v>95833</v>
      </c>
      <c r="K15616">
        <v>3829</v>
      </c>
      <c r="L15616" t="s">
        <v>23</v>
      </c>
      <c r="M15616" t="s">
        <v>33487</v>
      </c>
      <c r="N15616" t="s">
        <v>650</v>
      </c>
      <c r="O15616" t="s">
        <v>22</v>
      </c>
      <c r="P15616">
        <v>95833</v>
      </c>
      <c r="Q15616">
        <v>3829</v>
      </c>
      <c r="R15616" t="s">
        <v>23</v>
      </c>
      <c r="S15616" s="1" t="s">
        <v>34218</v>
      </c>
    </row>
    <row r="15617" spans="1:19" x14ac:dyDescent="0.25">
      <c r="A15617">
        <v>101481143</v>
      </c>
      <c r="B15617" t="s">
        <v>15785</v>
      </c>
      <c r="C15617" t="s">
        <v>1331</v>
      </c>
      <c r="G15617" t="s">
        <v>33488</v>
      </c>
      <c r="H15617" t="s">
        <v>7608</v>
      </c>
      <c r="I15617" t="s">
        <v>22</v>
      </c>
      <c r="J15617">
        <v>92028</v>
      </c>
      <c r="K15617">
        <v>4518</v>
      </c>
      <c r="L15617" t="s">
        <v>23</v>
      </c>
      <c r="M15617" t="s">
        <v>33488</v>
      </c>
      <c r="N15617" t="s">
        <v>7608</v>
      </c>
      <c r="O15617" t="s">
        <v>22</v>
      </c>
      <c r="P15617">
        <v>92028</v>
      </c>
      <c r="Q15617">
        <v>4518</v>
      </c>
      <c r="R15617" t="s">
        <v>23</v>
      </c>
      <c r="S15617" s="1" t="s">
        <v>34218</v>
      </c>
    </row>
    <row r="15618" spans="1:19" x14ac:dyDescent="0.25">
      <c r="A15618">
        <v>101064014</v>
      </c>
      <c r="B15618" t="s">
        <v>33489</v>
      </c>
      <c r="C15618" t="s">
        <v>12984</v>
      </c>
      <c r="G15618" t="s">
        <v>33490</v>
      </c>
      <c r="H15618" t="s">
        <v>3856</v>
      </c>
      <c r="I15618" t="s">
        <v>43</v>
      </c>
      <c r="J15618">
        <v>97138</v>
      </c>
      <c r="K15618">
        <v>7895</v>
      </c>
      <c r="L15618" t="s">
        <v>23</v>
      </c>
      <c r="M15618" t="s">
        <v>33490</v>
      </c>
      <c r="N15618" t="s">
        <v>3856</v>
      </c>
      <c r="O15618" t="s">
        <v>43</v>
      </c>
      <c r="P15618">
        <v>97138</v>
      </c>
      <c r="Q15618">
        <v>7895</v>
      </c>
      <c r="R15618" t="s">
        <v>23</v>
      </c>
      <c r="S15618" s="1" t="s">
        <v>34218</v>
      </c>
    </row>
    <row r="15619" spans="1:19" x14ac:dyDescent="0.25">
      <c r="A15619">
        <v>101442186</v>
      </c>
      <c r="B15619" t="s">
        <v>33491</v>
      </c>
      <c r="C15619" t="s">
        <v>3633</v>
      </c>
      <c r="G15619" t="s">
        <v>33492</v>
      </c>
      <c r="H15619" t="s">
        <v>33493</v>
      </c>
      <c r="I15619" t="s">
        <v>327</v>
      </c>
      <c r="J15619" t="s">
        <v>33494</v>
      </c>
      <c r="K15619">
        <v>691</v>
      </c>
      <c r="L15619" t="s">
        <v>23</v>
      </c>
      <c r="M15619" t="s">
        <v>33492</v>
      </c>
      <c r="N15619" t="s">
        <v>33493</v>
      </c>
      <c r="O15619" t="s">
        <v>327</v>
      </c>
      <c r="P15619" t="s">
        <v>33494</v>
      </c>
      <c r="Q15619">
        <v>691</v>
      </c>
      <c r="R15619" t="s">
        <v>23</v>
      </c>
      <c r="S15619" s="1" t="s">
        <v>34218</v>
      </c>
    </row>
    <row r="15620" spans="1:19" x14ac:dyDescent="0.25">
      <c r="A15620">
        <v>101271172</v>
      </c>
      <c r="B15620" t="s">
        <v>8460</v>
      </c>
      <c r="C15620" t="s">
        <v>329</v>
      </c>
      <c r="G15620" t="s">
        <v>33495</v>
      </c>
      <c r="H15620" t="s">
        <v>9796</v>
      </c>
      <c r="I15620" t="s">
        <v>203</v>
      </c>
      <c r="J15620" t="s">
        <v>33496</v>
      </c>
      <c r="K15620">
        <v>3606</v>
      </c>
      <c r="L15620" t="s">
        <v>23</v>
      </c>
      <c r="M15620" t="s">
        <v>33495</v>
      </c>
      <c r="N15620" t="s">
        <v>9796</v>
      </c>
      <c r="O15620" t="s">
        <v>203</v>
      </c>
      <c r="P15620" t="s">
        <v>33496</v>
      </c>
      <c r="Q15620">
        <v>3606</v>
      </c>
      <c r="R15620" t="s">
        <v>23</v>
      </c>
      <c r="S15620" s="1" t="s">
        <v>34218</v>
      </c>
    </row>
    <row r="15621" spans="1:19" x14ac:dyDescent="0.25">
      <c r="A15621">
        <v>101323415</v>
      </c>
      <c r="B15621" t="s">
        <v>33497</v>
      </c>
      <c r="C15621" t="s">
        <v>2642</v>
      </c>
      <c r="G15621" t="s">
        <v>33498</v>
      </c>
      <c r="H15621" t="s">
        <v>976</v>
      </c>
      <c r="I15621" t="s">
        <v>140</v>
      </c>
      <c r="J15621" t="s">
        <v>33499</v>
      </c>
      <c r="K15621">
        <v>8658</v>
      </c>
      <c r="L15621" t="s">
        <v>23</v>
      </c>
      <c r="M15621" t="s">
        <v>33498</v>
      </c>
      <c r="N15621" t="s">
        <v>976</v>
      </c>
      <c r="O15621" t="s">
        <v>140</v>
      </c>
      <c r="P15621" t="s">
        <v>33499</v>
      </c>
      <c r="Q15621">
        <v>8658</v>
      </c>
      <c r="R15621" t="s">
        <v>23</v>
      </c>
      <c r="S15621" s="1" t="s">
        <v>34218</v>
      </c>
    </row>
    <row r="15622" spans="1:19" x14ac:dyDescent="0.25">
      <c r="A15622">
        <v>101422005</v>
      </c>
      <c r="B15622" t="s">
        <v>33500</v>
      </c>
      <c r="C15622" t="s">
        <v>12984</v>
      </c>
      <c r="G15622" t="s">
        <v>33501</v>
      </c>
      <c r="H15622" t="s">
        <v>9368</v>
      </c>
      <c r="I15622" t="s">
        <v>353</v>
      </c>
      <c r="J15622" t="s">
        <v>33502</v>
      </c>
      <c r="K15622">
        <v>2161</v>
      </c>
      <c r="L15622" t="s">
        <v>23</v>
      </c>
      <c r="M15622" t="s">
        <v>33501</v>
      </c>
      <c r="N15622" t="s">
        <v>9368</v>
      </c>
      <c r="O15622" t="s">
        <v>353</v>
      </c>
      <c r="P15622" t="s">
        <v>33502</v>
      </c>
      <c r="Q15622">
        <v>2161</v>
      </c>
      <c r="R15622" t="s">
        <v>23</v>
      </c>
      <c r="S15622" s="1" t="s">
        <v>34218</v>
      </c>
    </row>
    <row r="15623" spans="1:19" x14ac:dyDescent="0.25">
      <c r="A15623">
        <v>100932525</v>
      </c>
      <c r="B15623" t="s">
        <v>23680</v>
      </c>
      <c r="C15623" t="s">
        <v>33503</v>
      </c>
      <c r="G15623" t="s">
        <v>33504</v>
      </c>
      <c r="H15623" t="s">
        <v>2923</v>
      </c>
      <c r="I15623" t="s">
        <v>22</v>
      </c>
      <c r="J15623" t="s">
        <v>33505</v>
      </c>
      <c r="K15623">
        <v>7652</v>
      </c>
      <c r="L15623" t="s">
        <v>23</v>
      </c>
      <c r="M15623" t="s">
        <v>33504</v>
      </c>
      <c r="N15623" t="s">
        <v>2923</v>
      </c>
      <c r="O15623" t="s">
        <v>22</v>
      </c>
      <c r="P15623" t="s">
        <v>33505</v>
      </c>
      <c r="Q15623">
        <v>7652</v>
      </c>
      <c r="R15623" t="s">
        <v>23</v>
      </c>
      <c r="S15623" s="1" t="s">
        <v>34218</v>
      </c>
    </row>
    <row r="15624" spans="1:19" x14ac:dyDescent="0.25">
      <c r="A15624">
        <v>101242339</v>
      </c>
      <c r="B15624" t="s">
        <v>383</v>
      </c>
      <c r="C15624" t="s">
        <v>3511</v>
      </c>
      <c r="G15624" t="s">
        <v>33506</v>
      </c>
      <c r="H15624" t="s">
        <v>202</v>
      </c>
      <c r="I15624" t="s">
        <v>117</v>
      </c>
      <c r="J15624" t="s">
        <v>33507</v>
      </c>
      <c r="K15624">
        <v>1934</v>
      </c>
      <c r="L15624" t="s">
        <v>23</v>
      </c>
      <c r="M15624" t="s">
        <v>33506</v>
      </c>
      <c r="N15624" t="s">
        <v>202</v>
      </c>
      <c r="O15624" t="s">
        <v>117</v>
      </c>
      <c r="P15624" t="s">
        <v>33507</v>
      </c>
      <c r="Q15624">
        <v>1934</v>
      </c>
      <c r="R15624" t="s">
        <v>23</v>
      </c>
      <c r="S15624" s="1" t="s">
        <v>34218</v>
      </c>
    </row>
    <row r="15625" spans="1:19" x14ac:dyDescent="0.25">
      <c r="A15625">
        <v>101426122</v>
      </c>
      <c r="B15625" t="s">
        <v>13505</v>
      </c>
      <c r="C15625" t="s">
        <v>54</v>
      </c>
      <c r="G15625" t="s">
        <v>33508</v>
      </c>
      <c r="H15625" t="s">
        <v>5190</v>
      </c>
      <c r="I15625" t="s">
        <v>307</v>
      </c>
      <c r="J15625" t="s">
        <v>33509</v>
      </c>
      <c r="K15625">
        <v>9568</v>
      </c>
      <c r="L15625" t="s">
        <v>23</v>
      </c>
      <c r="M15625" t="s">
        <v>33508</v>
      </c>
      <c r="N15625" t="s">
        <v>5190</v>
      </c>
      <c r="O15625" t="s">
        <v>307</v>
      </c>
      <c r="P15625" t="s">
        <v>33509</v>
      </c>
      <c r="Q15625">
        <v>9568</v>
      </c>
      <c r="R15625" t="s">
        <v>23</v>
      </c>
      <c r="S15625" s="1" t="s">
        <v>34218</v>
      </c>
    </row>
    <row r="15626" spans="1:19" x14ac:dyDescent="0.25">
      <c r="A15626">
        <v>101445763</v>
      </c>
      <c r="B15626" t="s">
        <v>33510</v>
      </c>
      <c r="C15626" t="s">
        <v>33511</v>
      </c>
      <c r="G15626" t="s">
        <v>33512</v>
      </c>
      <c r="H15626" t="s">
        <v>8296</v>
      </c>
      <c r="I15626" t="s">
        <v>984</v>
      </c>
      <c r="J15626" t="s">
        <v>33513</v>
      </c>
      <c r="K15626">
        <v>9323</v>
      </c>
      <c r="L15626" t="s">
        <v>23</v>
      </c>
      <c r="M15626" t="s">
        <v>33512</v>
      </c>
      <c r="N15626" t="s">
        <v>8296</v>
      </c>
      <c r="O15626" t="s">
        <v>984</v>
      </c>
      <c r="P15626" t="s">
        <v>33513</v>
      </c>
      <c r="Q15626">
        <v>9323</v>
      </c>
      <c r="R15626" t="s">
        <v>23</v>
      </c>
      <c r="S15626" s="1" t="s">
        <v>34218</v>
      </c>
    </row>
    <row r="15627" spans="1:19" x14ac:dyDescent="0.25">
      <c r="A15627">
        <v>101308157</v>
      </c>
      <c r="B15627" t="s">
        <v>33514</v>
      </c>
      <c r="C15627" t="s">
        <v>23495</v>
      </c>
      <c r="G15627" t="s">
        <v>33515</v>
      </c>
      <c r="H15627" t="s">
        <v>1531</v>
      </c>
      <c r="I15627" t="s">
        <v>84</v>
      </c>
      <c r="J15627" t="s">
        <v>33516</v>
      </c>
      <c r="K15627">
        <v>2023</v>
      </c>
      <c r="L15627" t="s">
        <v>23</v>
      </c>
      <c r="M15627" t="s">
        <v>33515</v>
      </c>
      <c r="N15627" t="s">
        <v>1531</v>
      </c>
      <c r="O15627" t="s">
        <v>84</v>
      </c>
      <c r="P15627" t="s">
        <v>33516</v>
      </c>
      <c r="Q15627">
        <v>2023</v>
      </c>
      <c r="R15627" t="s">
        <v>23</v>
      </c>
      <c r="S15627" s="1" t="s">
        <v>34218</v>
      </c>
    </row>
    <row r="15628" spans="1:19" x14ac:dyDescent="0.25">
      <c r="A15628">
        <v>101308208</v>
      </c>
      <c r="B15628" t="s">
        <v>33245</v>
      </c>
      <c r="C15628" t="s">
        <v>114</v>
      </c>
      <c r="G15628" t="s">
        <v>33517</v>
      </c>
      <c r="H15628" t="s">
        <v>21</v>
      </c>
      <c r="I15628" t="s">
        <v>22</v>
      </c>
      <c r="J15628" t="s">
        <v>33518</v>
      </c>
      <c r="K15628">
        <v>4511</v>
      </c>
      <c r="L15628" t="s">
        <v>23</v>
      </c>
      <c r="M15628" t="s">
        <v>33517</v>
      </c>
      <c r="N15628" t="s">
        <v>21</v>
      </c>
      <c r="O15628" t="s">
        <v>22</v>
      </c>
      <c r="P15628" t="s">
        <v>33518</v>
      </c>
      <c r="Q15628">
        <v>4511</v>
      </c>
      <c r="R15628" t="s">
        <v>23</v>
      </c>
      <c r="S15628" s="1" t="s">
        <v>34218</v>
      </c>
    </row>
    <row r="15629" spans="1:19" x14ac:dyDescent="0.25">
      <c r="A15629">
        <v>101235627</v>
      </c>
      <c r="B15629" t="s">
        <v>33519</v>
      </c>
      <c r="C15629" t="s">
        <v>123</v>
      </c>
      <c r="G15629" t="s">
        <v>33520</v>
      </c>
      <c r="H15629" t="s">
        <v>19854</v>
      </c>
      <c r="I15629" t="s">
        <v>135</v>
      </c>
      <c r="J15629" t="s">
        <v>33521</v>
      </c>
      <c r="K15629">
        <v>1906</v>
      </c>
      <c r="L15629" t="s">
        <v>23</v>
      </c>
      <c r="M15629" t="s">
        <v>33520</v>
      </c>
      <c r="N15629" t="s">
        <v>19854</v>
      </c>
      <c r="O15629" t="s">
        <v>135</v>
      </c>
      <c r="P15629" t="s">
        <v>33521</v>
      </c>
      <c r="Q15629">
        <v>1906</v>
      </c>
      <c r="R15629" t="s">
        <v>23</v>
      </c>
      <c r="S15629" s="1" t="s">
        <v>34218</v>
      </c>
    </row>
    <row r="15630" spans="1:19" x14ac:dyDescent="0.25">
      <c r="A15630">
        <v>101359976</v>
      </c>
      <c r="B15630" t="s">
        <v>33522</v>
      </c>
      <c r="C15630" t="s">
        <v>382</v>
      </c>
      <c r="G15630" t="s">
        <v>33523</v>
      </c>
      <c r="H15630" t="s">
        <v>2798</v>
      </c>
      <c r="I15630" t="s">
        <v>565</v>
      </c>
      <c r="J15630" t="s">
        <v>33524</v>
      </c>
      <c r="K15630">
        <v>5319</v>
      </c>
      <c r="L15630" t="s">
        <v>23</v>
      </c>
      <c r="M15630" t="s">
        <v>33523</v>
      </c>
      <c r="N15630" t="s">
        <v>2798</v>
      </c>
      <c r="O15630" t="s">
        <v>565</v>
      </c>
      <c r="P15630" t="s">
        <v>33524</v>
      </c>
      <c r="Q15630">
        <v>5319</v>
      </c>
      <c r="R15630" t="s">
        <v>23</v>
      </c>
      <c r="S15630" s="1" t="s">
        <v>34218</v>
      </c>
    </row>
    <row r="15631" spans="1:19" x14ac:dyDescent="0.25">
      <c r="A15631">
        <v>100934283</v>
      </c>
      <c r="B15631" t="s">
        <v>33525</v>
      </c>
      <c r="C15631" t="s">
        <v>8409</v>
      </c>
      <c r="G15631" t="s">
        <v>33526</v>
      </c>
      <c r="H15631" t="s">
        <v>33527</v>
      </c>
      <c r="I15631" t="s">
        <v>1387</v>
      </c>
      <c r="J15631" t="s">
        <v>33528</v>
      </c>
      <c r="K15631">
        <v>2718</v>
      </c>
      <c r="L15631" t="s">
        <v>23</v>
      </c>
      <c r="M15631" t="s">
        <v>33526</v>
      </c>
      <c r="N15631" t="s">
        <v>33527</v>
      </c>
      <c r="O15631" t="s">
        <v>1387</v>
      </c>
      <c r="P15631" t="s">
        <v>33528</v>
      </c>
      <c r="Q15631">
        <v>2718</v>
      </c>
      <c r="R15631" t="s">
        <v>23</v>
      </c>
      <c r="S15631" s="1" t="s">
        <v>34218</v>
      </c>
    </row>
    <row r="15632" spans="1:19" x14ac:dyDescent="0.25">
      <c r="A15632">
        <v>101445848</v>
      </c>
      <c r="B15632" t="s">
        <v>33529</v>
      </c>
      <c r="C15632" t="s">
        <v>4302</v>
      </c>
      <c r="G15632" t="s">
        <v>33530</v>
      </c>
      <c r="H15632" t="s">
        <v>227</v>
      </c>
      <c r="I15632" t="s">
        <v>43</v>
      </c>
      <c r="J15632" t="s">
        <v>33531</v>
      </c>
      <c r="K15632">
        <v>1656</v>
      </c>
      <c r="L15632" t="s">
        <v>23</v>
      </c>
      <c r="M15632" t="s">
        <v>33530</v>
      </c>
      <c r="N15632" t="s">
        <v>227</v>
      </c>
      <c r="O15632" t="s">
        <v>43</v>
      </c>
      <c r="P15632" t="s">
        <v>33531</v>
      </c>
      <c r="Q15632">
        <v>1656</v>
      </c>
      <c r="R15632" t="s">
        <v>23</v>
      </c>
      <c r="S15632" s="1" t="s">
        <v>34218</v>
      </c>
    </row>
    <row r="15633" spans="1:19" x14ac:dyDescent="0.25">
      <c r="A15633">
        <v>101318938</v>
      </c>
      <c r="B15633" t="s">
        <v>33532</v>
      </c>
      <c r="C15633" t="s">
        <v>4160</v>
      </c>
      <c r="G15633" t="s">
        <v>33533</v>
      </c>
      <c r="H15633" t="s">
        <v>299</v>
      </c>
      <c r="I15633" t="s">
        <v>22</v>
      </c>
      <c r="J15633" t="s">
        <v>33534</v>
      </c>
      <c r="K15633">
        <v>1144</v>
      </c>
      <c r="L15633" t="s">
        <v>23</v>
      </c>
      <c r="M15633" t="s">
        <v>33533</v>
      </c>
      <c r="N15633" t="s">
        <v>299</v>
      </c>
      <c r="O15633" t="s">
        <v>22</v>
      </c>
      <c r="P15633" t="s">
        <v>33534</v>
      </c>
      <c r="Q15633">
        <v>1144</v>
      </c>
      <c r="R15633" t="s">
        <v>23</v>
      </c>
      <c r="S15633" s="1" t="s">
        <v>34218</v>
      </c>
    </row>
    <row r="15634" spans="1:19" x14ac:dyDescent="0.25">
      <c r="A15634">
        <v>101396841</v>
      </c>
      <c r="B15634" t="s">
        <v>33535</v>
      </c>
      <c r="C15634" t="s">
        <v>1773</v>
      </c>
      <c r="G15634" t="s">
        <v>33536</v>
      </c>
      <c r="H15634" t="s">
        <v>19549</v>
      </c>
      <c r="I15634" t="s">
        <v>33</v>
      </c>
      <c r="J15634" t="s">
        <v>33537</v>
      </c>
      <c r="K15634">
        <v>9303</v>
      </c>
      <c r="L15634" t="s">
        <v>23</v>
      </c>
      <c r="M15634" t="s">
        <v>33536</v>
      </c>
      <c r="N15634" t="s">
        <v>19549</v>
      </c>
      <c r="O15634" t="s">
        <v>33</v>
      </c>
      <c r="P15634" t="s">
        <v>33537</v>
      </c>
      <c r="Q15634">
        <v>9303</v>
      </c>
      <c r="R15634" t="s">
        <v>23</v>
      </c>
      <c r="S15634" s="1" t="s">
        <v>34218</v>
      </c>
    </row>
    <row r="15635" spans="1:19" x14ac:dyDescent="0.25">
      <c r="A15635">
        <v>101445901</v>
      </c>
      <c r="B15635" t="s">
        <v>33538</v>
      </c>
      <c r="C15635" t="s">
        <v>33539</v>
      </c>
      <c r="G15635" t="s">
        <v>33540</v>
      </c>
      <c r="H15635" t="s">
        <v>134</v>
      </c>
      <c r="I15635" t="s">
        <v>135</v>
      </c>
      <c r="J15635" t="s">
        <v>33541</v>
      </c>
      <c r="K15635">
        <v>5024</v>
      </c>
      <c r="L15635" t="s">
        <v>23</v>
      </c>
      <c r="M15635" t="s">
        <v>33540</v>
      </c>
      <c r="N15635" t="s">
        <v>134</v>
      </c>
      <c r="O15635" t="s">
        <v>135</v>
      </c>
      <c r="P15635" t="s">
        <v>33541</v>
      </c>
      <c r="Q15635">
        <v>5024</v>
      </c>
      <c r="R15635" t="s">
        <v>23</v>
      </c>
      <c r="S15635" s="1" t="s">
        <v>34218</v>
      </c>
    </row>
    <row r="15636" spans="1:19" x14ac:dyDescent="0.25">
      <c r="A15636">
        <v>101426240</v>
      </c>
      <c r="B15636" t="s">
        <v>33542</v>
      </c>
      <c r="C15636" t="s">
        <v>4644</v>
      </c>
      <c r="G15636" t="s">
        <v>33543</v>
      </c>
      <c r="H15636" t="s">
        <v>23135</v>
      </c>
      <c r="I15636" t="s">
        <v>241</v>
      </c>
      <c r="J15636" t="s">
        <v>33544</v>
      </c>
      <c r="K15636">
        <v>9269</v>
      </c>
      <c r="L15636" t="s">
        <v>23</v>
      </c>
      <c r="M15636" t="s">
        <v>33543</v>
      </c>
      <c r="N15636" t="s">
        <v>23135</v>
      </c>
      <c r="O15636" t="s">
        <v>241</v>
      </c>
      <c r="P15636" t="s">
        <v>33544</v>
      </c>
      <c r="Q15636">
        <v>9269</v>
      </c>
      <c r="R15636" t="s">
        <v>23</v>
      </c>
      <c r="S15636" s="1" t="s">
        <v>34218</v>
      </c>
    </row>
    <row r="15637" spans="1:19" x14ac:dyDescent="0.25">
      <c r="A15637">
        <v>101320847</v>
      </c>
      <c r="B15637" t="s">
        <v>21825</v>
      </c>
      <c r="C15637" t="s">
        <v>33545</v>
      </c>
      <c r="G15637" t="s">
        <v>33546</v>
      </c>
      <c r="H15637" t="s">
        <v>1531</v>
      </c>
      <c r="I15637" t="s">
        <v>84</v>
      </c>
      <c r="J15637" t="s">
        <v>33547</v>
      </c>
      <c r="K15637">
        <v>1056</v>
      </c>
      <c r="L15637" t="s">
        <v>23</v>
      </c>
      <c r="M15637" t="s">
        <v>33546</v>
      </c>
      <c r="N15637" t="s">
        <v>1531</v>
      </c>
      <c r="O15637" t="s">
        <v>84</v>
      </c>
      <c r="P15637" t="s">
        <v>33547</v>
      </c>
      <c r="Q15637">
        <v>1056</v>
      </c>
      <c r="R15637" t="s">
        <v>23</v>
      </c>
      <c r="S15637" s="1" t="s">
        <v>34218</v>
      </c>
    </row>
    <row r="15638" spans="1:19" x14ac:dyDescent="0.25">
      <c r="A15638">
        <v>101446036</v>
      </c>
      <c r="B15638" t="s">
        <v>15593</v>
      </c>
      <c r="C15638" t="s">
        <v>33548</v>
      </c>
      <c r="G15638" t="s">
        <v>33549</v>
      </c>
      <c r="H15638" t="s">
        <v>3214</v>
      </c>
      <c r="I15638" t="s">
        <v>22</v>
      </c>
      <c r="J15638" t="s">
        <v>33550</v>
      </c>
      <c r="K15638">
        <v>2018</v>
      </c>
      <c r="L15638" t="s">
        <v>23</v>
      </c>
      <c r="M15638" t="s">
        <v>33549</v>
      </c>
      <c r="N15638" t="s">
        <v>3214</v>
      </c>
      <c r="O15638" t="s">
        <v>22</v>
      </c>
      <c r="P15638" t="s">
        <v>33550</v>
      </c>
      <c r="Q15638">
        <v>2018</v>
      </c>
      <c r="R15638" t="s">
        <v>23</v>
      </c>
      <c r="S15638" s="1" t="s">
        <v>34218</v>
      </c>
    </row>
    <row r="15639" spans="1:19" x14ac:dyDescent="0.25">
      <c r="A15639">
        <v>100666504</v>
      </c>
      <c r="B15639" t="s">
        <v>33551</v>
      </c>
      <c r="C15639" t="s">
        <v>5564</v>
      </c>
      <c r="G15639" t="s">
        <v>33552</v>
      </c>
      <c r="H15639" t="s">
        <v>4235</v>
      </c>
      <c r="I15639" t="s">
        <v>984</v>
      </c>
      <c r="J15639" t="s">
        <v>33553</v>
      </c>
      <c r="K15639">
        <v>3404</v>
      </c>
      <c r="L15639" t="s">
        <v>23</v>
      </c>
      <c r="M15639" t="s">
        <v>33552</v>
      </c>
      <c r="N15639" t="s">
        <v>4235</v>
      </c>
      <c r="O15639" t="s">
        <v>984</v>
      </c>
      <c r="P15639" t="s">
        <v>33553</v>
      </c>
      <c r="Q15639">
        <v>3404</v>
      </c>
      <c r="R15639" t="s">
        <v>23</v>
      </c>
      <c r="S15639" s="1" t="s">
        <v>34218</v>
      </c>
    </row>
    <row r="15640" spans="1:19" x14ac:dyDescent="0.25">
      <c r="A15640">
        <v>100770957</v>
      </c>
      <c r="B15640" t="s">
        <v>33554</v>
      </c>
      <c r="C15640" t="s">
        <v>3357</v>
      </c>
      <c r="G15640" t="s">
        <v>33555</v>
      </c>
      <c r="H15640" t="s">
        <v>33556</v>
      </c>
      <c r="I15640" t="s">
        <v>250</v>
      </c>
      <c r="J15640" t="s">
        <v>33557</v>
      </c>
      <c r="K15640">
        <v>1687</v>
      </c>
      <c r="L15640" t="s">
        <v>23</v>
      </c>
      <c r="M15640" t="s">
        <v>33555</v>
      </c>
      <c r="N15640" t="s">
        <v>33556</v>
      </c>
      <c r="O15640" t="s">
        <v>250</v>
      </c>
      <c r="P15640" t="s">
        <v>33557</v>
      </c>
      <c r="Q15640">
        <v>1687</v>
      </c>
      <c r="R15640" t="s">
        <v>23</v>
      </c>
      <c r="S15640" s="1" t="s">
        <v>34218</v>
      </c>
    </row>
    <row r="15641" spans="1:19" x14ac:dyDescent="0.25">
      <c r="A15641">
        <v>101204700</v>
      </c>
      <c r="B15641" t="s">
        <v>6190</v>
      </c>
      <c r="C15641" t="s">
        <v>4719</v>
      </c>
      <c r="G15641" t="s">
        <v>33558</v>
      </c>
      <c r="H15641" t="s">
        <v>676</v>
      </c>
      <c r="I15641" t="s">
        <v>148</v>
      </c>
      <c r="J15641">
        <v>21502</v>
      </c>
      <c r="K15641">
        <v>5531</v>
      </c>
      <c r="L15641" t="s">
        <v>23</v>
      </c>
      <c r="M15641" t="s">
        <v>33558</v>
      </c>
      <c r="N15641" t="s">
        <v>676</v>
      </c>
      <c r="O15641" t="s">
        <v>148</v>
      </c>
      <c r="P15641">
        <v>21502</v>
      </c>
      <c r="Q15641">
        <v>5531</v>
      </c>
      <c r="R15641" t="s">
        <v>23</v>
      </c>
      <c r="S15641" s="1" t="s">
        <v>34218</v>
      </c>
    </row>
    <row r="15642" spans="1:19" x14ac:dyDescent="0.25">
      <c r="A15642">
        <v>101036855</v>
      </c>
      <c r="B15642" t="s">
        <v>10138</v>
      </c>
      <c r="C15642" t="s">
        <v>699</v>
      </c>
      <c r="G15642" t="s">
        <v>33559</v>
      </c>
      <c r="H15642" t="s">
        <v>12692</v>
      </c>
      <c r="I15642" t="s">
        <v>28</v>
      </c>
      <c r="J15642">
        <v>30004</v>
      </c>
      <c r="K15642">
        <v>1050</v>
      </c>
      <c r="L15642" t="s">
        <v>23</v>
      </c>
      <c r="M15642" t="s">
        <v>33559</v>
      </c>
      <c r="N15642" t="s">
        <v>12692</v>
      </c>
      <c r="O15642" t="s">
        <v>28</v>
      </c>
      <c r="P15642">
        <v>30004</v>
      </c>
      <c r="Q15642">
        <v>1050</v>
      </c>
      <c r="R15642" t="s">
        <v>23</v>
      </c>
      <c r="S15642" s="1" t="s">
        <v>34218</v>
      </c>
    </row>
    <row r="15643" spans="1:19" x14ac:dyDescent="0.25">
      <c r="A15643">
        <v>101395512</v>
      </c>
      <c r="B15643" t="s">
        <v>6084</v>
      </c>
      <c r="C15643" t="s">
        <v>33560</v>
      </c>
      <c r="G15643" t="s">
        <v>33561</v>
      </c>
      <c r="H15643" t="s">
        <v>33562</v>
      </c>
      <c r="I15643" t="s">
        <v>52</v>
      </c>
      <c r="J15643">
        <v>33470</v>
      </c>
      <c r="L15643" t="s">
        <v>23</v>
      </c>
      <c r="M15643" t="s">
        <v>33561</v>
      </c>
      <c r="N15643" t="s">
        <v>33562</v>
      </c>
      <c r="O15643" t="s">
        <v>52</v>
      </c>
      <c r="P15643">
        <v>33470</v>
      </c>
      <c r="R15643" t="s">
        <v>23</v>
      </c>
      <c r="S15643" s="1" t="s">
        <v>34218</v>
      </c>
    </row>
    <row r="15644" spans="1:19" x14ac:dyDescent="0.25">
      <c r="A15644">
        <v>101437973</v>
      </c>
      <c r="B15644" t="s">
        <v>13533</v>
      </c>
      <c r="C15644" t="s">
        <v>547</v>
      </c>
      <c r="G15644" t="s">
        <v>33563</v>
      </c>
      <c r="H15644" t="s">
        <v>2130</v>
      </c>
      <c r="I15644" t="s">
        <v>28</v>
      </c>
      <c r="J15644" t="s">
        <v>33564</v>
      </c>
      <c r="K15644">
        <v>1302</v>
      </c>
      <c r="L15644" t="s">
        <v>23</v>
      </c>
      <c r="M15644" t="s">
        <v>33563</v>
      </c>
      <c r="N15644" t="s">
        <v>2130</v>
      </c>
      <c r="O15644" t="s">
        <v>28</v>
      </c>
      <c r="P15644" t="s">
        <v>33564</v>
      </c>
      <c r="Q15644">
        <v>1302</v>
      </c>
      <c r="R15644" t="s">
        <v>23</v>
      </c>
      <c r="S15644" s="1" t="s">
        <v>34218</v>
      </c>
    </row>
    <row r="15645" spans="1:19" x14ac:dyDescent="0.25">
      <c r="A15645">
        <v>100815224</v>
      </c>
      <c r="B15645" t="s">
        <v>208</v>
      </c>
      <c r="C15645" t="s">
        <v>3171</v>
      </c>
      <c r="G15645" t="s">
        <v>33565</v>
      </c>
      <c r="H15645" t="s">
        <v>14152</v>
      </c>
      <c r="I15645" t="s">
        <v>33</v>
      </c>
      <c r="J15645" t="s">
        <v>33566</v>
      </c>
      <c r="K15645">
        <v>4361</v>
      </c>
      <c r="L15645" t="s">
        <v>23</v>
      </c>
      <c r="M15645" t="s">
        <v>33565</v>
      </c>
      <c r="N15645" t="s">
        <v>14152</v>
      </c>
      <c r="O15645" t="s">
        <v>33</v>
      </c>
      <c r="P15645" t="s">
        <v>33566</v>
      </c>
      <c r="Q15645">
        <v>4361</v>
      </c>
      <c r="R15645" t="s">
        <v>23</v>
      </c>
      <c r="S15645" s="1" t="s">
        <v>34218</v>
      </c>
    </row>
    <row r="15646" spans="1:19" x14ac:dyDescent="0.25">
      <c r="A15646">
        <v>101423969</v>
      </c>
      <c r="B15646" t="s">
        <v>33567</v>
      </c>
      <c r="C15646" t="s">
        <v>9958</v>
      </c>
      <c r="G15646" t="s">
        <v>33568</v>
      </c>
      <c r="H15646" t="s">
        <v>454</v>
      </c>
      <c r="I15646" t="s">
        <v>22</v>
      </c>
      <c r="J15646">
        <v>93063</v>
      </c>
      <c r="K15646">
        <v>214</v>
      </c>
      <c r="L15646" t="s">
        <v>23</v>
      </c>
      <c r="M15646" t="s">
        <v>33568</v>
      </c>
      <c r="N15646" t="s">
        <v>454</v>
      </c>
      <c r="O15646" t="s">
        <v>22</v>
      </c>
      <c r="P15646">
        <v>93063</v>
      </c>
      <c r="Q15646">
        <v>214</v>
      </c>
      <c r="R15646" t="s">
        <v>23</v>
      </c>
      <c r="S15646" s="1" t="s">
        <v>34218</v>
      </c>
    </row>
    <row r="15647" spans="1:19" x14ac:dyDescent="0.25">
      <c r="A15647">
        <v>101437104</v>
      </c>
      <c r="B15647" t="s">
        <v>33569</v>
      </c>
      <c r="C15647" t="s">
        <v>1124</v>
      </c>
      <c r="G15647" t="s">
        <v>33570</v>
      </c>
      <c r="H15647" t="s">
        <v>1768</v>
      </c>
      <c r="I15647" t="s">
        <v>22</v>
      </c>
      <c r="J15647">
        <v>95207</v>
      </c>
      <c r="K15647">
        <v>1245</v>
      </c>
      <c r="L15647" t="s">
        <v>23</v>
      </c>
      <c r="M15647" t="s">
        <v>33570</v>
      </c>
      <c r="N15647" t="s">
        <v>1768</v>
      </c>
      <c r="O15647" t="s">
        <v>22</v>
      </c>
      <c r="P15647">
        <v>95207</v>
      </c>
      <c r="Q15647">
        <v>1245</v>
      </c>
      <c r="R15647" t="s">
        <v>23</v>
      </c>
      <c r="S15647" s="1" t="s">
        <v>34218</v>
      </c>
    </row>
    <row r="15648" spans="1:19" x14ac:dyDescent="0.25">
      <c r="A15648">
        <v>101115657</v>
      </c>
      <c r="B15648" t="s">
        <v>20919</v>
      </c>
      <c r="C15648" t="s">
        <v>15405</v>
      </c>
      <c r="G15648" t="s">
        <v>33571</v>
      </c>
      <c r="H15648" t="s">
        <v>31144</v>
      </c>
      <c r="I15648" t="s">
        <v>22</v>
      </c>
      <c r="J15648">
        <v>90630</v>
      </c>
      <c r="K15648">
        <v>3820</v>
      </c>
      <c r="L15648" t="s">
        <v>23</v>
      </c>
      <c r="M15648" t="s">
        <v>33571</v>
      </c>
      <c r="N15648" t="s">
        <v>31144</v>
      </c>
      <c r="O15648" t="s">
        <v>22</v>
      </c>
      <c r="P15648">
        <v>90630</v>
      </c>
      <c r="Q15648">
        <v>3820</v>
      </c>
      <c r="R15648" t="s">
        <v>23</v>
      </c>
      <c r="S15648" s="1" t="s">
        <v>34218</v>
      </c>
    </row>
    <row r="15649" spans="1:19" x14ac:dyDescent="0.25">
      <c r="A15649">
        <v>101243324</v>
      </c>
      <c r="B15649" t="s">
        <v>33572</v>
      </c>
      <c r="C15649" t="s">
        <v>123</v>
      </c>
      <c r="G15649" t="s">
        <v>33573</v>
      </c>
      <c r="H15649" t="s">
        <v>8937</v>
      </c>
      <c r="I15649" t="s">
        <v>639</v>
      </c>
      <c r="J15649" t="s">
        <v>33574</v>
      </c>
      <c r="K15649">
        <v>9362</v>
      </c>
      <c r="L15649" t="s">
        <v>23</v>
      </c>
      <c r="M15649" t="s">
        <v>33573</v>
      </c>
      <c r="N15649" t="s">
        <v>8937</v>
      </c>
      <c r="O15649" t="s">
        <v>639</v>
      </c>
      <c r="P15649" t="s">
        <v>33574</v>
      </c>
      <c r="Q15649">
        <v>9362</v>
      </c>
      <c r="R15649" t="s">
        <v>23</v>
      </c>
      <c r="S15649" s="1" t="s">
        <v>34218</v>
      </c>
    </row>
    <row r="15650" spans="1:19" x14ac:dyDescent="0.25">
      <c r="A15650">
        <v>101142761</v>
      </c>
      <c r="B15650" t="s">
        <v>33575</v>
      </c>
      <c r="C15650" t="s">
        <v>33576</v>
      </c>
      <c r="G15650" t="s">
        <v>33577</v>
      </c>
      <c r="H15650" t="s">
        <v>33578</v>
      </c>
      <c r="I15650" t="s">
        <v>187</v>
      </c>
      <c r="J15650">
        <v>55781</v>
      </c>
      <c r="K15650">
        <v>151</v>
      </c>
      <c r="L15650" t="s">
        <v>23</v>
      </c>
      <c r="M15650" t="s">
        <v>33577</v>
      </c>
      <c r="N15650" t="s">
        <v>33578</v>
      </c>
      <c r="O15650" t="s">
        <v>187</v>
      </c>
      <c r="P15650">
        <v>55781</v>
      </c>
      <c r="Q15650">
        <v>151</v>
      </c>
      <c r="R15650" t="s">
        <v>23</v>
      </c>
      <c r="S15650" s="1" t="s">
        <v>34218</v>
      </c>
    </row>
    <row r="15651" spans="1:19" x14ac:dyDescent="0.25">
      <c r="A15651">
        <v>101391866</v>
      </c>
      <c r="B15651" t="s">
        <v>33579</v>
      </c>
      <c r="C15651" t="s">
        <v>5274</v>
      </c>
      <c r="G15651" t="s">
        <v>33580</v>
      </c>
      <c r="H15651" t="s">
        <v>1845</v>
      </c>
      <c r="I15651" t="s">
        <v>161</v>
      </c>
      <c r="J15651" t="s">
        <v>33581</v>
      </c>
      <c r="K15651">
        <v>1433</v>
      </c>
      <c r="L15651" t="s">
        <v>23</v>
      </c>
      <c r="M15651" t="s">
        <v>33580</v>
      </c>
      <c r="N15651" t="s">
        <v>1845</v>
      </c>
      <c r="O15651" t="s">
        <v>161</v>
      </c>
      <c r="P15651" t="s">
        <v>33581</v>
      </c>
      <c r="Q15651">
        <v>1433</v>
      </c>
      <c r="R15651" t="s">
        <v>23</v>
      </c>
      <c r="S15651" s="1" t="s">
        <v>34218</v>
      </c>
    </row>
    <row r="15652" spans="1:19" x14ac:dyDescent="0.25">
      <c r="A15652">
        <v>101469716</v>
      </c>
      <c r="B15652" t="s">
        <v>20510</v>
      </c>
      <c r="C15652" t="s">
        <v>770</v>
      </c>
      <c r="G15652" t="s">
        <v>33582</v>
      </c>
      <c r="H15652" t="s">
        <v>147</v>
      </c>
      <c r="I15652" t="s">
        <v>22</v>
      </c>
      <c r="J15652">
        <v>91107</v>
      </c>
      <c r="K15652">
        <v>4208</v>
      </c>
      <c r="L15652" t="s">
        <v>23</v>
      </c>
      <c r="M15652" t="s">
        <v>33582</v>
      </c>
      <c r="N15652" t="s">
        <v>147</v>
      </c>
      <c r="O15652" t="s">
        <v>22</v>
      </c>
      <c r="P15652">
        <v>91107</v>
      </c>
      <c r="Q15652">
        <v>4208</v>
      </c>
      <c r="R15652" t="s">
        <v>23</v>
      </c>
      <c r="S15652" s="1" t="s">
        <v>34218</v>
      </c>
    </row>
    <row r="15653" spans="1:19" x14ac:dyDescent="0.25">
      <c r="A15653">
        <v>101421089</v>
      </c>
      <c r="B15653" t="s">
        <v>6084</v>
      </c>
      <c r="C15653" t="s">
        <v>45</v>
      </c>
      <c r="G15653" t="s">
        <v>33583</v>
      </c>
      <c r="H15653" t="s">
        <v>3129</v>
      </c>
      <c r="I15653" t="s">
        <v>84</v>
      </c>
      <c r="J15653">
        <v>99202</v>
      </c>
      <c r="K15653">
        <v>4214</v>
      </c>
      <c r="L15653" t="s">
        <v>23</v>
      </c>
      <c r="M15653" t="s">
        <v>33583</v>
      </c>
      <c r="N15653" t="s">
        <v>3129</v>
      </c>
      <c r="O15653" t="s">
        <v>84</v>
      </c>
      <c r="P15653">
        <v>99202</v>
      </c>
      <c r="Q15653">
        <v>4214</v>
      </c>
      <c r="R15653" t="s">
        <v>23</v>
      </c>
      <c r="S15653" s="1" t="s">
        <v>34218</v>
      </c>
    </row>
    <row r="15654" spans="1:19" x14ac:dyDescent="0.25">
      <c r="A15654">
        <v>100702128</v>
      </c>
      <c r="B15654" t="s">
        <v>33584</v>
      </c>
      <c r="C15654" t="s">
        <v>1208</v>
      </c>
      <c r="G15654" t="s">
        <v>33585</v>
      </c>
      <c r="H15654" t="s">
        <v>22604</v>
      </c>
      <c r="I15654" t="s">
        <v>140</v>
      </c>
      <c r="J15654">
        <v>48640</v>
      </c>
      <c r="L15654" t="s">
        <v>23</v>
      </c>
      <c r="M15654" t="s">
        <v>33585</v>
      </c>
      <c r="N15654" t="s">
        <v>22604</v>
      </c>
      <c r="O15654" t="s">
        <v>140</v>
      </c>
      <c r="P15654">
        <v>48640</v>
      </c>
      <c r="R15654" t="s">
        <v>23</v>
      </c>
      <c r="S15654" s="1" t="s">
        <v>34218</v>
      </c>
    </row>
    <row r="15655" spans="1:19" x14ac:dyDescent="0.25">
      <c r="A15655">
        <v>101042335</v>
      </c>
      <c r="B15655" t="s">
        <v>33586</v>
      </c>
      <c r="C15655" t="s">
        <v>33587</v>
      </c>
      <c r="F15655" t="str">
        <f>"7144380043"</f>
        <v>7144380043</v>
      </c>
      <c r="G15655" t="s">
        <v>33588</v>
      </c>
      <c r="H15655" t="s">
        <v>6136</v>
      </c>
      <c r="I15655" t="s">
        <v>22</v>
      </c>
      <c r="J15655">
        <v>92626</v>
      </c>
      <c r="K15655">
        <v>4840</v>
      </c>
      <c r="L15655" t="s">
        <v>23</v>
      </c>
      <c r="M15655" t="s">
        <v>33588</v>
      </c>
      <c r="N15655" t="s">
        <v>6136</v>
      </c>
      <c r="O15655" t="s">
        <v>22</v>
      </c>
      <c r="P15655">
        <v>92626</v>
      </c>
      <c r="Q15655">
        <v>4840</v>
      </c>
      <c r="R15655" t="s">
        <v>23</v>
      </c>
      <c r="S15655" s="1" t="s">
        <v>34218</v>
      </c>
    </row>
    <row r="15656" spans="1:19" x14ac:dyDescent="0.25">
      <c r="A15656">
        <v>101470888</v>
      </c>
      <c r="B15656" t="s">
        <v>29206</v>
      </c>
      <c r="C15656" t="s">
        <v>59</v>
      </c>
      <c r="G15656" t="s">
        <v>33589</v>
      </c>
      <c r="H15656" t="s">
        <v>1508</v>
      </c>
      <c r="I15656" t="s">
        <v>84</v>
      </c>
      <c r="J15656">
        <v>98026</v>
      </c>
      <c r="K15656">
        <v>3515</v>
      </c>
      <c r="L15656" t="s">
        <v>23</v>
      </c>
      <c r="M15656" t="s">
        <v>33589</v>
      </c>
      <c r="N15656" t="s">
        <v>1508</v>
      </c>
      <c r="O15656" t="s">
        <v>84</v>
      </c>
      <c r="P15656">
        <v>98026</v>
      </c>
      <c r="Q15656">
        <v>3515</v>
      </c>
      <c r="R15656" t="s">
        <v>23</v>
      </c>
      <c r="S15656" s="1" t="s">
        <v>34218</v>
      </c>
    </row>
    <row r="15657" spans="1:19" x14ac:dyDescent="0.25">
      <c r="A15657">
        <v>101338642</v>
      </c>
      <c r="B15657" t="s">
        <v>4754</v>
      </c>
      <c r="C15657" t="s">
        <v>1327</v>
      </c>
      <c r="G15657" t="s">
        <v>19201</v>
      </c>
      <c r="H15657" t="s">
        <v>19202</v>
      </c>
      <c r="I15657" t="s">
        <v>365</v>
      </c>
      <c r="J15657">
        <v>85122</v>
      </c>
      <c r="K15657">
        <v>5579</v>
      </c>
      <c r="L15657" t="s">
        <v>23</v>
      </c>
      <c r="M15657" t="s">
        <v>19201</v>
      </c>
      <c r="N15657" t="s">
        <v>19202</v>
      </c>
      <c r="O15657" t="s">
        <v>365</v>
      </c>
      <c r="P15657">
        <v>85122</v>
      </c>
      <c r="Q15657">
        <v>5579</v>
      </c>
      <c r="R15657" t="s">
        <v>23</v>
      </c>
      <c r="S15657" s="1" t="s">
        <v>34218</v>
      </c>
    </row>
    <row r="15658" spans="1:19" x14ac:dyDescent="0.25">
      <c r="A15658">
        <v>101451034</v>
      </c>
      <c r="B15658" t="s">
        <v>188</v>
      </c>
      <c r="C15658" t="s">
        <v>3304</v>
      </c>
      <c r="G15658" t="s">
        <v>33590</v>
      </c>
      <c r="H15658" t="s">
        <v>1857</v>
      </c>
      <c r="I15658" t="s">
        <v>702</v>
      </c>
      <c r="J15658">
        <v>89519</v>
      </c>
      <c r="K15658">
        <v>6005</v>
      </c>
      <c r="L15658" t="s">
        <v>23</v>
      </c>
      <c r="M15658" t="s">
        <v>33590</v>
      </c>
      <c r="N15658" t="s">
        <v>1857</v>
      </c>
      <c r="O15658" t="s">
        <v>702</v>
      </c>
      <c r="P15658">
        <v>89519</v>
      </c>
      <c r="Q15658">
        <v>6005</v>
      </c>
      <c r="R15658" t="s">
        <v>23</v>
      </c>
      <c r="S15658" s="1" t="s">
        <v>34218</v>
      </c>
    </row>
    <row r="15659" spans="1:19" x14ac:dyDescent="0.25">
      <c r="A15659">
        <v>100958447</v>
      </c>
      <c r="B15659" t="s">
        <v>33591</v>
      </c>
      <c r="C15659" t="s">
        <v>7195</v>
      </c>
      <c r="F15659" t="str">
        <f>"5186733950"</f>
        <v>5186733950</v>
      </c>
      <c r="G15659" t="s">
        <v>33592</v>
      </c>
      <c r="H15659" t="s">
        <v>33593</v>
      </c>
      <c r="I15659" t="s">
        <v>117</v>
      </c>
      <c r="J15659">
        <v>13428</v>
      </c>
      <c r="K15659">
        <v>9719</v>
      </c>
      <c r="L15659" t="s">
        <v>23</v>
      </c>
      <c r="M15659" t="s">
        <v>33592</v>
      </c>
      <c r="N15659" t="s">
        <v>33593</v>
      </c>
      <c r="O15659" t="s">
        <v>117</v>
      </c>
      <c r="P15659">
        <v>13428</v>
      </c>
      <c r="Q15659">
        <v>9719</v>
      </c>
      <c r="R15659" t="s">
        <v>23</v>
      </c>
      <c r="S15659" s="1" t="s">
        <v>34218</v>
      </c>
    </row>
    <row r="15660" spans="1:19" x14ac:dyDescent="0.25">
      <c r="A15660">
        <v>101345146</v>
      </c>
      <c r="B15660" t="s">
        <v>33594</v>
      </c>
      <c r="C15660" t="s">
        <v>1959</v>
      </c>
      <c r="G15660" t="s">
        <v>33595</v>
      </c>
      <c r="H15660" t="s">
        <v>33596</v>
      </c>
      <c r="I15660" t="s">
        <v>255</v>
      </c>
      <c r="J15660">
        <v>24244</v>
      </c>
      <c r="K15660">
        <v>2989</v>
      </c>
      <c r="L15660" t="s">
        <v>23</v>
      </c>
      <c r="M15660" t="s">
        <v>33595</v>
      </c>
      <c r="N15660" t="s">
        <v>33596</v>
      </c>
      <c r="O15660" t="s">
        <v>255</v>
      </c>
      <c r="P15660">
        <v>24244</v>
      </c>
      <c r="Q15660">
        <v>2989</v>
      </c>
      <c r="R15660" t="s">
        <v>23</v>
      </c>
      <c r="S15660" s="1" t="s">
        <v>34218</v>
      </c>
    </row>
    <row r="15661" spans="1:19" x14ac:dyDescent="0.25">
      <c r="A15661">
        <v>101465096</v>
      </c>
      <c r="B15661" t="s">
        <v>1204</v>
      </c>
      <c r="C15661" t="s">
        <v>1467</v>
      </c>
      <c r="G15661" t="s">
        <v>33597</v>
      </c>
      <c r="H15661" t="s">
        <v>3473</v>
      </c>
      <c r="I15661" t="s">
        <v>236</v>
      </c>
      <c r="J15661">
        <v>1944</v>
      </c>
      <c r="K15661">
        <v>1514</v>
      </c>
      <c r="L15661" t="s">
        <v>23</v>
      </c>
      <c r="M15661" t="s">
        <v>33597</v>
      </c>
      <c r="N15661" t="s">
        <v>3473</v>
      </c>
      <c r="O15661" t="s">
        <v>236</v>
      </c>
      <c r="P15661">
        <v>1944</v>
      </c>
      <c r="Q15661">
        <v>1514</v>
      </c>
      <c r="R15661" t="s">
        <v>23</v>
      </c>
      <c r="S15661" s="1" t="s">
        <v>34218</v>
      </c>
    </row>
    <row r="15662" spans="1:19" x14ac:dyDescent="0.25">
      <c r="A15662">
        <v>101409497</v>
      </c>
      <c r="B15662" t="s">
        <v>33598</v>
      </c>
      <c r="C15662" t="s">
        <v>440</v>
      </c>
      <c r="G15662" t="s">
        <v>33599</v>
      </c>
      <c r="H15662" t="s">
        <v>33600</v>
      </c>
      <c r="I15662" t="s">
        <v>22</v>
      </c>
      <c r="J15662">
        <v>91754</v>
      </c>
      <c r="L15662" t="s">
        <v>23</v>
      </c>
      <c r="M15662" t="s">
        <v>33599</v>
      </c>
      <c r="N15662" t="s">
        <v>33600</v>
      </c>
      <c r="O15662" t="s">
        <v>22</v>
      </c>
      <c r="P15662">
        <v>91754</v>
      </c>
      <c r="R15662" t="s">
        <v>23</v>
      </c>
      <c r="S15662" s="1" t="s">
        <v>34218</v>
      </c>
    </row>
    <row r="15663" spans="1:19" x14ac:dyDescent="0.25">
      <c r="A15663">
        <v>100534674</v>
      </c>
      <c r="B15663" t="s">
        <v>33601</v>
      </c>
      <c r="C15663" t="s">
        <v>1161</v>
      </c>
      <c r="G15663" t="s">
        <v>33602</v>
      </c>
      <c r="H15663" t="s">
        <v>2990</v>
      </c>
      <c r="I15663" t="s">
        <v>365</v>
      </c>
      <c r="J15663">
        <v>86326</v>
      </c>
      <c r="L15663" t="s">
        <v>23</v>
      </c>
      <c r="M15663" t="s">
        <v>33602</v>
      </c>
      <c r="N15663" t="s">
        <v>2990</v>
      </c>
      <c r="O15663" t="s">
        <v>365</v>
      </c>
      <c r="P15663">
        <v>86326</v>
      </c>
      <c r="R15663" t="s">
        <v>23</v>
      </c>
      <c r="S15663" s="1" t="s">
        <v>34218</v>
      </c>
    </row>
    <row r="15664" spans="1:19" x14ac:dyDescent="0.25">
      <c r="A15664">
        <v>101308934</v>
      </c>
      <c r="B15664" t="s">
        <v>985</v>
      </c>
      <c r="C15664" t="s">
        <v>30</v>
      </c>
      <c r="G15664" t="s">
        <v>33603</v>
      </c>
      <c r="H15664" t="s">
        <v>1151</v>
      </c>
      <c r="I15664" t="s">
        <v>43</v>
      </c>
      <c r="J15664">
        <v>97030</v>
      </c>
      <c r="K15664">
        <v>3300</v>
      </c>
      <c r="L15664" t="s">
        <v>23</v>
      </c>
      <c r="M15664" t="s">
        <v>33603</v>
      </c>
      <c r="N15664" t="s">
        <v>1151</v>
      </c>
      <c r="O15664" t="s">
        <v>43</v>
      </c>
      <c r="P15664">
        <v>97030</v>
      </c>
      <c r="Q15664">
        <v>3300</v>
      </c>
      <c r="R15664" t="s">
        <v>23</v>
      </c>
      <c r="S15664" s="1" t="s">
        <v>34218</v>
      </c>
    </row>
    <row r="15665" spans="1:19" x14ac:dyDescent="0.25">
      <c r="A15665">
        <v>101470992</v>
      </c>
      <c r="B15665" t="s">
        <v>33604</v>
      </c>
      <c r="C15665" t="s">
        <v>2672</v>
      </c>
      <c r="G15665" t="s">
        <v>33605</v>
      </c>
      <c r="H15665" t="s">
        <v>30351</v>
      </c>
      <c r="I15665" t="s">
        <v>52</v>
      </c>
      <c r="J15665">
        <v>33076</v>
      </c>
      <c r="K15665">
        <v>2804</v>
      </c>
      <c r="L15665" t="s">
        <v>23</v>
      </c>
      <c r="M15665" t="s">
        <v>33605</v>
      </c>
      <c r="N15665" t="s">
        <v>30351</v>
      </c>
      <c r="O15665" t="s">
        <v>52</v>
      </c>
      <c r="P15665">
        <v>33076</v>
      </c>
      <c r="Q15665">
        <v>2804</v>
      </c>
      <c r="R15665" t="s">
        <v>23</v>
      </c>
      <c r="S15665" s="1" t="s">
        <v>34218</v>
      </c>
    </row>
    <row r="15666" spans="1:19" x14ac:dyDescent="0.25">
      <c r="A15666">
        <v>101304427</v>
      </c>
      <c r="B15666" t="s">
        <v>33606</v>
      </c>
      <c r="C15666" t="s">
        <v>504</v>
      </c>
      <c r="G15666" t="s">
        <v>33607</v>
      </c>
      <c r="H15666" t="s">
        <v>15824</v>
      </c>
      <c r="I15666" t="s">
        <v>153</v>
      </c>
      <c r="J15666">
        <v>70072</v>
      </c>
      <c r="L15666" t="s">
        <v>23</v>
      </c>
      <c r="M15666" t="s">
        <v>33607</v>
      </c>
      <c r="N15666" t="s">
        <v>15824</v>
      </c>
      <c r="O15666" t="s">
        <v>153</v>
      </c>
      <c r="P15666">
        <v>70072</v>
      </c>
      <c r="R15666" t="s">
        <v>23</v>
      </c>
      <c r="S15666" s="1" t="s">
        <v>34218</v>
      </c>
    </row>
    <row r="15667" spans="1:19" x14ac:dyDescent="0.25">
      <c r="A15667">
        <v>101078917</v>
      </c>
      <c r="B15667" t="s">
        <v>33608</v>
      </c>
      <c r="C15667" t="s">
        <v>7894</v>
      </c>
      <c r="G15667" t="s">
        <v>33609</v>
      </c>
      <c r="H15667" t="s">
        <v>1861</v>
      </c>
      <c r="I15667" t="s">
        <v>22</v>
      </c>
      <c r="J15667">
        <v>94530</v>
      </c>
      <c r="K15667">
        <v>3064</v>
      </c>
      <c r="L15667" t="s">
        <v>23</v>
      </c>
      <c r="M15667" t="s">
        <v>33609</v>
      </c>
      <c r="N15667" t="s">
        <v>1861</v>
      </c>
      <c r="O15667" t="s">
        <v>22</v>
      </c>
      <c r="P15667">
        <v>94530</v>
      </c>
      <c r="Q15667">
        <v>3064</v>
      </c>
      <c r="R15667" t="s">
        <v>23</v>
      </c>
      <c r="S15667" s="1" t="s">
        <v>34218</v>
      </c>
    </row>
    <row r="15668" spans="1:19" x14ac:dyDescent="0.25">
      <c r="A15668">
        <v>101311104</v>
      </c>
      <c r="B15668" t="s">
        <v>33610</v>
      </c>
      <c r="C15668" t="s">
        <v>25</v>
      </c>
      <c r="F15668" t="str">
        <f>"7083633107"</f>
        <v>7083633107</v>
      </c>
      <c r="G15668" t="s">
        <v>33611</v>
      </c>
      <c r="H15668" t="s">
        <v>3169</v>
      </c>
      <c r="I15668" t="s">
        <v>84</v>
      </c>
      <c r="J15668">
        <v>98402</v>
      </c>
      <c r="K15668">
        <v>4802</v>
      </c>
      <c r="L15668" t="s">
        <v>23</v>
      </c>
      <c r="M15668" t="s">
        <v>33611</v>
      </c>
      <c r="N15668" t="s">
        <v>3169</v>
      </c>
      <c r="O15668" t="s">
        <v>84</v>
      </c>
      <c r="P15668">
        <v>98402</v>
      </c>
      <c r="Q15668">
        <v>4802</v>
      </c>
      <c r="R15668" t="s">
        <v>23</v>
      </c>
      <c r="S15668" s="1" t="s">
        <v>34218</v>
      </c>
    </row>
    <row r="15669" spans="1:19" x14ac:dyDescent="0.25">
      <c r="A15669">
        <v>101468179</v>
      </c>
      <c r="B15669" t="s">
        <v>33612</v>
      </c>
      <c r="C15669" t="s">
        <v>1463</v>
      </c>
      <c r="G15669" t="s">
        <v>33613</v>
      </c>
      <c r="H15669" t="s">
        <v>2399</v>
      </c>
      <c r="I15669" t="s">
        <v>71</v>
      </c>
      <c r="J15669">
        <v>80521</v>
      </c>
      <c r="K15669">
        <v>1754</v>
      </c>
      <c r="L15669" t="s">
        <v>23</v>
      </c>
      <c r="M15669" t="s">
        <v>33613</v>
      </c>
      <c r="N15669" t="s">
        <v>2399</v>
      </c>
      <c r="O15669" t="s">
        <v>71</v>
      </c>
      <c r="P15669">
        <v>80521</v>
      </c>
      <c r="Q15669">
        <v>1754</v>
      </c>
      <c r="R15669" t="s">
        <v>23</v>
      </c>
      <c r="S15669" s="1" t="s">
        <v>34218</v>
      </c>
    </row>
    <row r="15670" spans="1:19" x14ac:dyDescent="0.25">
      <c r="A15670">
        <v>101455829</v>
      </c>
      <c r="B15670" t="s">
        <v>33614</v>
      </c>
      <c r="C15670" t="s">
        <v>102</v>
      </c>
      <c r="G15670" t="s">
        <v>33615</v>
      </c>
      <c r="H15670" t="s">
        <v>33616</v>
      </c>
      <c r="I15670" t="s">
        <v>307</v>
      </c>
      <c r="J15670">
        <v>5875</v>
      </c>
      <c r="K15670">
        <v>9522</v>
      </c>
      <c r="L15670" t="s">
        <v>23</v>
      </c>
      <c r="M15670" t="s">
        <v>33615</v>
      </c>
      <c r="N15670" t="s">
        <v>33616</v>
      </c>
      <c r="O15670" t="s">
        <v>307</v>
      </c>
      <c r="P15670">
        <v>5875</v>
      </c>
      <c r="Q15670">
        <v>9522</v>
      </c>
      <c r="R15670" t="s">
        <v>23</v>
      </c>
      <c r="S15670" s="1" t="s">
        <v>34218</v>
      </c>
    </row>
    <row r="15671" spans="1:19" x14ac:dyDescent="0.25">
      <c r="A15671">
        <v>100511044</v>
      </c>
      <c r="B15671" t="s">
        <v>33617</v>
      </c>
      <c r="C15671" t="s">
        <v>33618</v>
      </c>
      <c r="G15671" t="s">
        <v>33619</v>
      </c>
      <c r="H15671" t="s">
        <v>458</v>
      </c>
      <c r="I15671" t="s">
        <v>43</v>
      </c>
      <c r="J15671">
        <v>97527</v>
      </c>
      <c r="K15671">
        <v>5044</v>
      </c>
      <c r="L15671" t="s">
        <v>23</v>
      </c>
      <c r="M15671" t="s">
        <v>33619</v>
      </c>
      <c r="N15671" t="s">
        <v>458</v>
      </c>
      <c r="O15671" t="s">
        <v>43</v>
      </c>
      <c r="P15671">
        <v>97527</v>
      </c>
      <c r="Q15671">
        <v>5044</v>
      </c>
      <c r="R15671" t="s">
        <v>23</v>
      </c>
      <c r="S15671" s="1" t="s">
        <v>34218</v>
      </c>
    </row>
    <row r="15672" spans="1:19" x14ac:dyDescent="0.25">
      <c r="A15672">
        <v>101471072</v>
      </c>
      <c r="B15672" t="s">
        <v>33620</v>
      </c>
      <c r="C15672" t="s">
        <v>2802</v>
      </c>
      <c r="G15672" t="s">
        <v>33621</v>
      </c>
      <c r="H15672" t="s">
        <v>227</v>
      </c>
      <c r="I15672" t="s">
        <v>191</v>
      </c>
      <c r="J15672">
        <v>4103</v>
      </c>
      <c r="K15672">
        <v>1212</v>
      </c>
      <c r="L15672" t="s">
        <v>23</v>
      </c>
      <c r="M15672" t="s">
        <v>33621</v>
      </c>
      <c r="N15672" t="s">
        <v>227</v>
      </c>
      <c r="O15672" t="s">
        <v>191</v>
      </c>
      <c r="P15672">
        <v>4103</v>
      </c>
      <c r="Q15672">
        <v>1212</v>
      </c>
      <c r="R15672" t="s">
        <v>23</v>
      </c>
      <c r="S15672" s="1" t="s">
        <v>34218</v>
      </c>
    </row>
    <row r="15673" spans="1:19" x14ac:dyDescent="0.25">
      <c r="A15673">
        <v>100625799</v>
      </c>
      <c r="B15673" t="s">
        <v>33622</v>
      </c>
      <c r="C15673" t="s">
        <v>1212</v>
      </c>
      <c r="G15673" t="s">
        <v>33623</v>
      </c>
      <c r="H15673" t="s">
        <v>134</v>
      </c>
      <c r="I15673" t="s">
        <v>135</v>
      </c>
      <c r="J15673">
        <v>60614</v>
      </c>
      <c r="K15673">
        <v>4011</v>
      </c>
      <c r="L15673" t="s">
        <v>23</v>
      </c>
      <c r="M15673" t="s">
        <v>33623</v>
      </c>
      <c r="N15673" t="s">
        <v>134</v>
      </c>
      <c r="O15673" t="s">
        <v>135</v>
      </c>
      <c r="P15673">
        <v>60614</v>
      </c>
      <c r="Q15673">
        <v>4011</v>
      </c>
      <c r="R15673" t="s">
        <v>23</v>
      </c>
      <c r="S15673" s="1" t="s">
        <v>34218</v>
      </c>
    </row>
    <row r="15674" spans="1:19" x14ac:dyDescent="0.25">
      <c r="A15674">
        <v>100727173</v>
      </c>
      <c r="B15674" t="s">
        <v>33624</v>
      </c>
      <c r="C15674" t="s">
        <v>216</v>
      </c>
      <c r="G15674" t="s">
        <v>33625</v>
      </c>
      <c r="H15674" t="s">
        <v>143</v>
      </c>
      <c r="I15674" t="s">
        <v>52</v>
      </c>
      <c r="J15674">
        <v>32207</v>
      </c>
      <c r="K15674">
        <v>6329</v>
      </c>
      <c r="L15674" t="s">
        <v>23</v>
      </c>
      <c r="M15674" t="s">
        <v>33625</v>
      </c>
      <c r="N15674" t="s">
        <v>143</v>
      </c>
      <c r="O15674" t="s">
        <v>52</v>
      </c>
      <c r="P15674">
        <v>32207</v>
      </c>
      <c r="Q15674">
        <v>6329</v>
      </c>
      <c r="R15674" t="s">
        <v>23</v>
      </c>
      <c r="S15674" s="1" t="s">
        <v>34218</v>
      </c>
    </row>
    <row r="15675" spans="1:19" x14ac:dyDescent="0.25">
      <c r="A15675">
        <v>101451667</v>
      </c>
      <c r="B15675" t="s">
        <v>33626</v>
      </c>
      <c r="C15675" t="s">
        <v>313</v>
      </c>
      <c r="G15675" t="s">
        <v>33627</v>
      </c>
      <c r="H15675" t="s">
        <v>1465</v>
      </c>
      <c r="I15675" t="s">
        <v>236</v>
      </c>
      <c r="J15675">
        <v>1007</v>
      </c>
      <c r="L15675" t="s">
        <v>23</v>
      </c>
      <c r="M15675" t="s">
        <v>33627</v>
      </c>
      <c r="N15675" t="s">
        <v>1465</v>
      </c>
      <c r="O15675" t="s">
        <v>236</v>
      </c>
      <c r="P15675">
        <v>1007</v>
      </c>
      <c r="R15675" t="s">
        <v>23</v>
      </c>
      <c r="S15675" s="1" t="s">
        <v>34218</v>
      </c>
    </row>
    <row r="15676" spans="1:19" x14ac:dyDescent="0.25">
      <c r="A15676">
        <v>101382264</v>
      </c>
      <c r="B15676" t="s">
        <v>9265</v>
      </c>
      <c r="C15676" t="s">
        <v>110</v>
      </c>
      <c r="G15676" t="s">
        <v>31688</v>
      </c>
      <c r="H15676" t="s">
        <v>299</v>
      </c>
      <c r="I15676" t="s">
        <v>22</v>
      </c>
      <c r="J15676">
        <v>90027</v>
      </c>
      <c r="K15676">
        <v>4022</v>
      </c>
      <c r="L15676" t="s">
        <v>23</v>
      </c>
      <c r="M15676" t="s">
        <v>31688</v>
      </c>
      <c r="N15676" t="s">
        <v>299</v>
      </c>
      <c r="O15676" t="s">
        <v>22</v>
      </c>
      <c r="P15676">
        <v>90027</v>
      </c>
      <c r="Q15676">
        <v>4022</v>
      </c>
      <c r="R15676" t="s">
        <v>23</v>
      </c>
      <c r="S15676" s="1" t="s">
        <v>34218</v>
      </c>
    </row>
    <row r="15677" spans="1:19" x14ac:dyDescent="0.25">
      <c r="A15677">
        <v>101480060</v>
      </c>
      <c r="B15677" t="s">
        <v>5362</v>
      </c>
      <c r="C15677" t="s">
        <v>3027</v>
      </c>
      <c r="G15677" t="s">
        <v>33628</v>
      </c>
      <c r="H15677" t="s">
        <v>198</v>
      </c>
      <c r="I15677" t="s">
        <v>22</v>
      </c>
      <c r="J15677">
        <v>92106</v>
      </c>
      <c r="L15677" t="s">
        <v>23</v>
      </c>
      <c r="M15677" t="s">
        <v>33628</v>
      </c>
      <c r="N15677" t="s">
        <v>198</v>
      </c>
      <c r="O15677" t="s">
        <v>22</v>
      </c>
      <c r="P15677">
        <v>92106</v>
      </c>
      <c r="R15677" t="s">
        <v>23</v>
      </c>
      <c r="S15677" s="1" t="s">
        <v>34218</v>
      </c>
    </row>
    <row r="15678" spans="1:19" x14ac:dyDescent="0.25">
      <c r="A15678">
        <v>100592163</v>
      </c>
      <c r="B15678" t="s">
        <v>33629</v>
      </c>
      <c r="C15678" t="s">
        <v>1925</v>
      </c>
      <c r="G15678" t="s">
        <v>33630</v>
      </c>
      <c r="H15678" t="s">
        <v>653</v>
      </c>
      <c r="I15678" t="s">
        <v>117</v>
      </c>
      <c r="J15678">
        <v>10075</v>
      </c>
      <c r="K15678">
        <v>1034</v>
      </c>
      <c r="L15678" t="s">
        <v>23</v>
      </c>
      <c r="M15678" t="s">
        <v>33630</v>
      </c>
      <c r="N15678" t="s">
        <v>653</v>
      </c>
      <c r="O15678" t="s">
        <v>117</v>
      </c>
      <c r="P15678">
        <v>10075</v>
      </c>
      <c r="Q15678">
        <v>1034</v>
      </c>
      <c r="R15678" t="s">
        <v>23</v>
      </c>
      <c r="S15678" s="1" t="s">
        <v>34218</v>
      </c>
    </row>
    <row r="15679" spans="1:19" x14ac:dyDescent="0.25">
      <c r="A15679">
        <v>101435088</v>
      </c>
      <c r="B15679" t="s">
        <v>7693</v>
      </c>
      <c r="C15679" t="s">
        <v>575</v>
      </c>
      <c r="G15679" t="s">
        <v>33631</v>
      </c>
      <c r="H15679" t="s">
        <v>485</v>
      </c>
      <c r="I15679" t="s">
        <v>446</v>
      </c>
      <c r="J15679">
        <v>28173</v>
      </c>
      <c r="K15679">
        <v>8751</v>
      </c>
      <c r="L15679" t="s">
        <v>23</v>
      </c>
      <c r="M15679" t="s">
        <v>33631</v>
      </c>
      <c r="N15679" t="s">
        <v>485</v>
      </c>
      <c r="O15679" t="s">
        <v>446</v>
      </c>
      <c r="P15679">
        <v>28173</v>
      </c>
      <c r="Q15679">
        <v>8751</v>
      </c>
      <c r="R15679" t="s">
        <v>23</v>
      </c>
      <c r="S15679" s="1" t="s">
        <v>34218</v>
      </c>
    </row>
    <row r="15680" spans="1:19" x14ac:dyDescent="0.25">
      <c r="A15680">
        <v>101423856</v>
      </c>
      <c r="B15680" t="s">
        <v>2349</v>
      </c>
      <c r="C15680" t="s">
        <v>102</v>
      </c>
      <c r="G15680" t="s">
        <v>33632</v>
      </c>
      <c r="H15680" t="s">
        <v>33633</v>
      </c>
      <c r="I15680" t="s">
        <v>22</v>
      </c>
      <c r="J15680">
        <v>90631</v>
      </c>
      <c r="K15680">
        <v>7233</v>
      </c>
      <c r="L15680" t="s">
        <v>23</v>
      </c>
      <c r="M15680" t="s">
        <v>33632</v>
      </c>
      <c r="N15680" t="s">
        <v>33633</v>
      </c>
      <c r="O15680" t="s">
        <v>22</v>
      </c>
      <c r="P15680">
        <v>90631</v>
      </c>
      <c r="Q15680">
        <v>7233</v>
      </c>
      <c r="R15680" t="s">
        <v>23</v>
      </c>
      <c r="S15680" s="1" t="s">
        <v>34218</v>
      </c>
    </row>
    <row r="15681" spans="1:19" x14ac:dyDescent="0.25">
      <c r="A15681">
        <v>101133011</v>
      </c>
      <c r="B15681" t="s">
        <v>10838</v>
      </c>
      <c r="C15681" t="s">
        <v>2329</v>
      </c>
      <c r="G15681" t="s">
        <v>33634</v>
      </c>
      <c r="H15681" t="s">
        <v>16425</v>
      </c>
      <c r="I15681" t="s">
        <v>2537</v>
      </c>
      <c r="J15681">
        <v>72858</v>
      </c>
      <c r="K15681">
        <v>9051</v>
      </c>
      <c r="L15681" t="s">
        <v>23</v>
      </c>
      <c r="M15681" t="s">
        <v>33634</v>
      </c>
      <c r="N15681" t="s">
        <v>16425</v>
      </c>
      <c r="O15681" t="s">
        <v>2537</v>
      </c>
      <c r="P15681">
        <v>72858</v>
      </c>
      <c r="Q15681">
        <v>9051</v>
      </c>
      <c r="R15681" t="s">
        <v>23</v>
      </c>
      <c r="S15681" s="1" t="s">
        <v>34218</v>
      </c>
    </row>
    <row r="15682" spans="1:19" x14ac:dyDescent="0.25">
      <c r="A15682">
        <v>101446636</v>
      </c>
      <c r="B15682" t="s">
        <v>30039</v>
      </c>
      <c r="C15682" t="s">
        <v>155</v>
      </c>
      <c r="G15682" t="s">
        <v>33635</v>
      </c>
      <c r="H15682" t="s">
        <v>393</v>
      </c>
      <c r="I15682" t="s">
        <v>71</v>
      </c>
      <c r="J15682">
        <v>80207</v>
      </c>
      <c r="K15682">
        <v>3816</v>
      </c>
      <c r="L15682" t="s">
        <v>23</v>
      </c>
      <c r="M15682" t="s">
        <v>33635</v>
      </c>
      <c r="N15682" t="s">
        <v>393</v>
      </c>
      <c r="O15682" t="s">
        <v>71</v>
      </c>
      <c r="P15682">
        <v>80207</v>
      </c>
      <c r="Q15682">
        <v>3816</v>
      </c>
      <c r="R15682" t="s">
        <v>23</v>
      </c>
      <c r="S15682" s="1" t="s">
        <v>34218</v>
      </c>
    </row>
    <row r="15683" spans="1:19" x14ac:dyDescent="0.25">
      <c r="A15683">
        <v>101429188</v>
      </c>
      <c r="B15683" t="s">
        <v>33636</v>
      </c>
      <c r="C15683" t="s">
        <v>2232</v>
      </c>
      <c r="G15683" t="s">
        <v>33637</v>
      </c>
      <c r="H15683" t="s">
        <v>4162</v>
      </c>
      <c r="I15683" t="s">
        <v>43</v>
      </c>
      <c r="J15683">
        <v>97124</v>
      </c>
      <c r="K15683">
        <v>4135</v>
      </c>
      <c r="L15683" t="s">
        <v>23</v>
      </c>
      <c r="M15683" t="s">
        <v>33637</v>
      </c>
      <c r="N15683" t="s">
        <v>4162</v>
      </c>
      <c r="O15683" t="s">
        <v>43</v>
      </c>
      <c r="P15683">
        <v>97124</v>
      </c>
      <c r="Q15683">
        <v>4135</v>
      </c>
      <c r="R15683" t="s">
        <v>23</v>
      </c>
      <c r="S15683" s="1" t="s">
        <v>34218</v>
      </c>
    </row>
    <row r="15684" spans="1:19" x14ac:dyDescent="0.25">
      <c r="A15684">
        <v>101423608</v>
      </c>
      <c r="B15684" t="s">
        <v>3228</v>
      </c>
      <c r="C15684" t="s">
        <v>10896</v>
      </c>
      <c r="G15684" t="s">
        <v>33638</v>
      </c>
      <c r="H15684" t="s">
        <v>1625</v>
      </c>
      <c r="I15684" t="s">
        <v>702</v>
      </c>
      <c r="J15684">
        <v>89074</v>
      </c>
      <c r="K15684">
        <v>3384</v>
      </c>
      <c r="L15684" t="s">
        <v>23</v>
      </c>
      <c r="M15684" t="s">
        <v>33638</v>
      </c>
      <c r="N15684" t="s">
        <v>1625</v>
      </c>
      <c r="O15684" t="s">
        <v>702</v>
      </c>
      <c r="P15684">
        <v>89074</v>
      </c>
      <c r="Q15684">
        <v>3384</v>
      </c>
      <c r="R15684" t="s">
        <v>23</v>
      </c>
      <c r="S15684" s="1" t="s">
        <v>34218</v>
      </c>
    </row>
    <row r="15685" spans="1:19" x14ac:dyDescent="0.25">
      <c r="A15685">
        <v>101446674</v>
      </c>
      <c r="B15685" t="s">
        <v>21615</v>
      </c>
      <c r="C15685" t="s">
        <v>1179</v>
      </c>
      <c r="G15685" t="s">
        <v>33639</v>
      </c>
      <c r="H15685" t="s">
        <v>2809</v>
      </c>
      <c r="I15685" t="s">
        <v>135</v>
      </c>
      <c r="J15685">
        <v>60302</v>
      </c>
      <c r="K15685">
        <v>1554</v>
      </c>
      <c r="L15685" t="s">
        <v>23</v>
      </c>
      <c r="M15685" t="s">
        <v>33639</v>
      </c>
      <c r="N15685" t="s">
        <v>2809</v>
      </c>
      <c r="O15685" t="s">
        <v>135</v>
      </c>
      <c r="P15685">
        <v>60302</v>
      </c>
      <c r="Q15685">
        <v>1554</v>
      </c>
      <c r="R15685" t="s">
        <v>23</v>
      </c>
      <c r="S15685" s="1" t="s">
        <v>34218</v>
      </c>
    </row>
    <row r="15686" spans="1:19" x14ac:dyDescent="0.25">
      <c r="A15686">
        <v>101223186</v>
      </c>
      <c r="B15686" t="s">
        <v>32029</v>
      </c>
      <c r="C15686" t="s">
        <v>3518</v>
      </c>
      <c r="G15686" t="s">
        <v>33640</v>
      </c>
      <c r="H15686" t="s">
        <v>608</v>
      </c>
      <c r="I15686" t="s">
        <v>22</v>
      </c>
      <c r="J15686">
        <v>91006</v>
      </c>
      <c r="K15686">
        <v>5212</v>
      </c>
      <c r="L15686" t="s">
        <v>23</v>
      </c>
      <c r="M15686" t="s">
        <v>33640</v>
      </c>
      <c r="N15686" t="s">
        <v>608</v>
      </c>
      <c r="O15686" t="s">
        <v>22</v>
      </c>
      <c r="P15686">
        <v>91006</v>
      </c>
      <c r="Q15686">
        <v>5212</v>
      </c>
      <c r="R15686" t="s">
        <v>23</v>
      </c>
      <c r="S15686" s="1" t="s">
        <v>34218</v>
      </c>
    </row>
    <row r="15687" spans="1:19" x14ac:dyDescent="0.25">
      <c r="A15687">
        <v>101421030</v>
      </c>
      <c r="B15687" t="s">
        <v>33641</v>
      </c>
      <c r="C15687" t="s">
        <v>33642</v>
      </c>
      <c r="G15687" t="s">
        <v>33643</v>
      </c>
      <c r="H15687" t="s">
        <v>1857</v>
      </c>
      <c r="I15687" t="s">
        <v>702</v>
      </c>
      <c r="J15687">
        <v>89521</v>
      </c>
      <c r="K15687">
        <v>5231</v>
      </c>
      <c r="L15687" t="s">
        <v>23</v>
      </c>
      <c r="M15687" t="s">
        <v>33643</v>
      </c>
      <c r="N15687" t="s">
        <v>1857</v>
      </c>
      <c r="O15687" t="s">
        <v>702</v>
      </c>
      <c r="P15687">
        <v>89521</v>
      </c>
      <c r="Q15687">
        <v>5231</v>
      </c>
      <c r="R15687" t="s">
        <v>23</v>
      </c>
      <c r="S15687" s="1" t="s">
        <v>34218</v>
      </c>
    </row>
    <row r="15688" spans="1:19" x14ac:dyDescent="0.25">
      <c r="A15688">
        <v>100626390</v>
      </c>
      <c r="B15688" t="s">
        <v>33644</v>
      </c>
      <c r="C15688" t="s">
        <v>33645</v>
      </c>
      <c r="G15688" t="s">
        <v>33646</v>
      </c>
      <c r="H15688" t="s">
        <v>33647</v>
      </c>
      <c r="I15688" t="s">
        <v>191</v>
      </c>
      <c r="J15688">
        <v>3910</v>
      </c>
      <c r="L15688" t="s">
        <v>23</v>
      </c>
      <c r="M15688" t="s">
        <v>33646</v>
      </c>
      <c r="N15688" t="s">
        <v>33647</v>
      </c>
      <c r="O15688" t="s">
        <v>191</v>
      </c>
      <c r="P15688">
        <v>3910</v>
      </c>
      <c r="R15688" t="s">
        <v>23</v>
      </c>
      <c r="S15688" s="1" t="s">
        <v>34218</v>
      </c>
    </row>
    <row r="15689" spans="1:19" x14ac:dyDescent="0.25">
      <c r="A15689">
        <v>101297237</v>
      </c>
      <c r="B15689" t="s">
        <v>2051</v>
      </c>
      <c r="C15689" t="s">
        <v>274</v>
      </c>
      <c r="F15689" t="str">
        <f>"7737777777"</f>
        <v>7737777777</v>
      </c>
      <c r="G15689" t="s">
        <v>33648</v>
      </c>
      <c r="H15689" t="s">
        <v>6116</v>
      </c>
      <c r="I15689" t="s">
        <v>639</v>
      </c>
      <c r="J15689">
        <v>87540</v>
      </c>
      <c r="K15689">
        <v>7502</v>
      </c>
      <c r="L15689" t="s">
        <v>23</v>
      </c>
      <c r="M15689" t="s">
        <v>33648</v>
      </c>
      <c r="N15689" t="s">
        <v>6116</v>
      </c>
      <c r="O15689" t="s">
        <v>639</v>
      </c>
      <c r="P15689">
        <v>87540</v>
      </c>
      <c r="Q15689">
        <v>7502</v>
      </c>
      <c r="R15689" t="s">
        <v>23</v>
      </c>
      <c r="S15689" s="1" t="s">
        <v>34218</v>
      </c>
    </row>
    <row r="15690" spans="1:19" x14ac:dyDescent="0.25">
      <c r="A15690">
        <v>100842733</v>
      </c>
      <c r="B15690" t="s">
        <v>858</v>
      </c>
      <c r="C15690" t="s">
        <v>33649</v>
      </c>
      <c r="G15690" t="s">
        <v>33650</v>
      </c>
      <c r="H15690" t="s">
        <v>1579</v>
      </c>
      <c r="I15690" t="s">
        <v>71</v>
      </c>
      <c r="J15690">
        <v>80011</v>
      </c>
      <c r="K15690">
        <v>2830</v>
      </c>
      <c r="L15690" t="s">
        <v>23</v>
      </c>
      <c r="M15690" t="s">
        <v>33650</v>
      </c>
      <c r="N15690" t="s">
        <v>1579</v>
      </c>
      <c r="O15690" t="s">
        <v>71</v>
      </c>
      <c r="P15690">
        <v>80011</v>
      </c>
      <c r="Q15690">
        <v>2830</v>
      </c>
      <c r="R15690" t="s">
        <v>23</v>
      </c>
      <c r="S15690" s="1" t="s">
        <v>34218</v>
      </c>
    </row>
    <row r="15691" spans="1:19" x14ac:dyDescent="0.25">
      <c r="A15691">
        <v>101036921</v>
      </c>
      <c r="B15691" t="s">
        <v>33651</v>
      </c>
      <c r="C15691" t="s">
        <v>5016</v>
      </c>
      <c r="G15691" t="s">
        <v>33652</v>
      </c>
      <c r="H15691" t="s">
        <v>380</v>
      </c>
      <c r="I15691" t="s">
        <v>33</v>
      </c>
      <c r="J15691">
        <v>18612</v>
      </c>
      <c r="K15691">
        <v>9028</v>
      </c>
      <c r="L15691" t="s">
        <v>23</v>
      </c>
      <c r="M15691" t="s">
        <v>33652</v>
      </c>
      <c r="N15691" t="s">
        <v>380</v>
      </c>
      <c r="O15691" t="s">
        <v>33</v>
      </c>
      <c r="P15691">
        <v>18612</v>
      </c>
      <c r="Q15691">
        <v>9028</v>
      </c>
      <c r="R15691" t="s">
        <v>23</v>
      </c>
      <c r="S15691" s="1" t="s">
        <v>34218</v>
      </c>
    </row>
    <row r="15692" spans="1:19" x14ac:dyDescent="0.25">
      <c r="A15692">
        <v>101346276</v>
      </c>
      <c r="B15692" t="s">
        <v>26069</v>
      </c>
      <c r="C15692" t="s">
        <v>33653</v>
      </c>
      <c r="G15692" t="s">
        <v>33654</v>
      </c>
      <c r="H15692" t="s">
        <v>8479</v>
      </c>
      <c r="I15692" t="s">
        <v>52</v>
      </c>
      <c r="J15692">
        <v>32127</v>
      </c>
      <c r="L15692" t="s">
        <v>23</v>
      </c>
      <c r="M15692" t="s">
        <v>33654</v>
      </c>
      <c r="N15692" t="s">
        <v>8479</v>
      </c>
      <c r="O15692" t="s">
        <v>52</v>
      </c>
      <c r="P15692">
        <v>32127</v>
      </c>
      <c r="R15692" t="s">
        <v>23</v>
      </c>
      <c r="S15692" s="1" t="s">
        <v>34218</v>
      </c>
    </row>
    <row r="15693" spans="1:19" x14ac:dyDescent="0.25">
      <c r="A15693">
        <v>101453708</v>
      </c>
      <c r="B15693" t="s">
        <v>4537</v>
      </c>
      <c r="C15693" t="s">
        <v>894</v>
      </c>
      <c r="G15693" t="s">
        <v>33655</v>
      </c>
      <c r="H15693" t="s">
        <v>1048</v>
      </c>
      <c r="I15693" t="s">
        <v>446</v>
      </c>
      <c r="J15693">
        <v>28739</v>
      </c>
      <c r="K15693">
        <v>4658</v>
      </c>
      <c r="L15693" t="s">
        <v>23</v>
      </c>
      <c r="M15693" t="s">
        <v>33655</v>
      </c>
      <c r="N15693" t="s">
        <v>1048</v>
      </c>
      <c r="O15693" t="s">
        <v>446</v>
      </c>
      <c r="P15693">
        <v>28739</v>
      </c>
      <c r="Q15693">
        <v>4658</v>
      </c>
      <c r="R15693" t="s">
        <v>23</v>
      </c>
      <c r="S15693" s="1" t="s">
        <v>34218</v>
      </c>
    </row>
    <row r="15694" spans="1:19" x14ac:dyDescent="0.25">
      <c r="A15694">
        <v>101292299</v>
      </c>
      <c r="B15694" t="s">
        <v>33656</v>
      </c>
      <c r="C15694" t="s">
        <v>33657</v>
      </c>
      <c r="G15694" t="s">
        <v>33658</v>
      </c>
      <c r="H15694" t="s">
        <v>299</v>
      </c>
      <c r="I15694" t="s">
        <v>22</v>
      </c>
      <c r="J15694">
        <v>90016</v>
      </c>
      <c r="K15694">
        <v>2924</v>
      </c>
      <c r="L15694" t="s">
        <v>23</v>
      </c>
      <c r="M15694" t="s">
        <v>33658</v>
      </c>
      <c r="N15694" t="s">
        <v>299</v>
      </c>
      <c r="O15694" t="s">
        <v>22</v>
      </c>
      <c r="P15694">
        <v>90016</v>
      </c>
      <c r="Q15694">
        <v>2924</v>
      </c>
      <c r="R15694" t="s">
        <v>23</v>
      </c>
      <c r="S15694" s="1" t="s">
        <v>34218</v>
      </c>
    </row>
    <row r="15695" spans="1:19" x14ac:dyDescent="0.25">
      <c r="A15695">
        <v>101471998</v>
      </c>
      <c r="B15695" t="s">
        <v>1164</v>
      </c>
      <c r="C15695" t="s">
        <v>1161</v>
      </c>
      <c r="G15695" t="s">
        <v>33659</v>
      </c>
      <c r="H15695" t="s">
        <v>591</v>
      </c>
      <c r="I15695" t="s">
        <v>84</v>
      </c>
      <c r="J15695">
        <v>98225</v>
      </c>
      <c r="K15695">
        <v>6321</v>
      </c>
      <c r="L15695" t="s">
        <v>23</v>
      </c>
      <c r="M15695" t="s">
        <v>33659</v>
      </c>
      <c r="N15695" t="s">
        <v>591</v>
      </c>
      <c r="O15695" t="s">
        <v>84</v>
      </c>
      <c r="P15695">
        <v>98225</v>
      </c>
      <c r="Q15695">
        <v>6321</v>
      </c>
      <c r="R15695" t="s">
        <v>23</v>
      </c>
      <c r="S15695" s="1" t="s">
        <v>34218</v>
      </c>
    </row>
    <row r="15696" spans="1:19" x14ac:dyDescent="0.25">
      <c r="A15696">
        <v>101472671</v>
      </c>
      <c r="B15696" t="s">
        <v>33660</v>
      </c>
      <c r="C15696" t="s">
        <v>313</v>
      </c>
      <c r="F15696" t="str">
        <f>"7074984210"</f>
        <v>7074984210</v>
      </c>
      <c r="G15696" t="s">
        <v>33661</v>
      </c>
      <c r="H15696" t="s">
        <v>10031</v>
      </c>
      <c r="I15696" t="s">
        <v>22</v>
      </c>
      <c r="J15696">
        <v>95521</v>
      </c>
      <c r="K15696">
        <v>6519</v>
      </c>
      <c r="L15696" t="s">
        <v>23</v>
      </c>
      <c r="M15696" t="s">
        <v>33661</v>
      </c>
      <c r="N15696" t="s">
        <v>10031</v>
      </c>
      <c r="O15696" t="s">
        <v>22</v>
      </c>
      <c r="P15696">
        <v>95521</v>
      </c>
      <c r="Q15696">
        <v>6519</v>
      </c>
      <c r="R15696" t="s">
        <v>23</v>
      </c>
      <c r="S15696" s="1" t="s">
        <v>34218</v>
      </c>
    </row>
    <row r="15697" spans="1:19" x14ac:dyDescent="0.25">
      <c r="A15697">
        <v>101161200</v>
      </c>
      <c r="B15697" t="s">
        <v>33662</v>
      </c>
      <c r="C15697" t="s">
        <v>33663</v>
      </c>
      <c r="G15697" t="s">
        <v>33664</v>
      </c>
      <c r="H15697" t="s">
        <v>836</v>
      </c>
      <c r="I15697" t="s">
        <v>57</v>
      </c>
      <c r="J15697">
        <v>47129</v>
      </c>
      <c r="K15697">
        <v>1356</v>
      </c>
      <c r="L15697" t="s">
        <v>23</v>
      </c>
      <c r="M15697" t="s">
        <v>33664</v>
      </c>
      <c r="N15697" t="s">
        <v>836</v>
      </c>
      <c r="O15697" t="s">
        <v>57</v>
      </c>
      <c r="P15697">
        <v>47129</v>
      </c>
      <c r="Q15697">
        <v>1356</v>
      </c>
      <c r="R15697" t="s">
        <v>23</v>
      </c>
      <c r="S15697" s="1" t="s">
        <v>34218</v>
      </c>
    </row>
    <row r="15698" spans="1:19" x14ac:dyDescent="0.25">
      <c r="A15698">
        <v>101292237</v>
      </c>
      <c r="B15698" t="s">
        <v>33665</v>
      </c>
      <c r="C15698" t="s">
        <v>1698</v>
      </c>
      <c r="G15698" t="s">
        <v>33666</v>
      </c>
      <c r="H15698" t="s">
        <v>169</v>
      </c>
      <c r="I15698" t="s">
        <v>170</v>
      </c>
      <c r="J15698">
        <v>20007</v>
      </c>
      <c r="K15698">
        <v>1216</v>
      </c>
      <c r="L15698" t="s">
        <v>23</v>
      </c>
      <c r="M15698" t="s">
        <v>33666</v>
      </c>
      <c r="N15698" t="s">
        <v>169</v>
      </c>
      <c r="O15698" t="s">
        <v>170</v>
      </c>
      <c r="P15698">
        <v>20007</v>
      </c>
      <c r="Q15698">
        <v>1216</v>
      </c>
      <c r="R15698" t="s">
        <v>23</v>
      </c>
      <c r="S15698" s="1" t="s">
        <v>34218</v>
      </c>
    </row>
    <row r="15699" spans="1:19" x14ac:dyDescent="0.25">
      <c r="A15699">
        <v>101464659</v>
      </c>
      <c r="B15699" t="s">
        <v>33667</v>
      </c>
      <c r="C15699" t="s">
        <v>33668</v>
      </c>
      <c r="G15699" t="s">
        <v>33669</v>
      </c>
      <c r="H15699" t="s">
        <v>6881</v>
      </c>
      <c r="I15699" t="s">
        <v>52</v>
      </c>
      <c r="J15699">
        <v>33065</v>
      </c>
      <c r="K15699">
        <v>4986</v>
      </c>
      <c r="L15699" t="s">
        <v>23</v>
      </c>
      <c r="M15699" t="s">
        <v>33669</v>
      </c>
      <c r="N15699" t="s">
        <v>6881</v>
      </c>
      <c r="O15699" t="s">
        <v>52</v>
      </c>
      <c r="P15699">
        <v>33065</v>
      </c>
      <c r="Q15699">
        <v>4986</v>
      </c>
      <c r="R15699" t="s">
        <v>23</v>
      </c>
      <c r="S15699" s="1" t="s">
        <v>34218</v>
      </c>
    </row>
    <row r="15700" spans="1:19" x14ac:dyDescent="0.25">
      <c r="A15700">
        <v>101419117</v>
      </c>
      <c r="B15700" t="s">
        <v>25324</v>
      </c>
      <c r="C15700" t="s">
        <v>1205</v>
      </c>
      <c r="G15700" t="s">
        <v>33670</v>
      </c>
      <c r="H15700" t="s">
        <v>25325</v>
      </c>
      <c r="I15700" t="s">
        <v>250</v>
      </c>
      <c r="J15700">
        <v>7009</v>
      </c>
      <c r="L15700" t="s">
        <v>23</v>
      </c>
      <c r="M15700" t="s">
        <v>33670</v>
      </c>
      <c r="N15700" t="s">
        <v>25325</v>
      </c>
      <c r="O15700" t="s">
        <v>250</v>
      </c>
      <c r="P15700">
        <v>7009</v>
      </c>
      <c r="R15700" t="s">
        <v>23</v>
      </c>
      <c r="S15700" s="1" t="s">
        <v>34218</v>
      </c>
    </row>
    <row r="15701" spans="1:19" x14ac:dyDescent="0.25">
      <c r="A15701">
        <v>101269613</v>
      </c>
      <c r="B15701" t="s">
        <v>4754</v>
      </c>
      <c r="C15701" t="s">
        <v>7584</v>
      </c>
      <c r="G15701" t="s">
        <v>33671</v>
      </c>
      <c r="H15701" t="s">
        <v>15158</v>
      </c>
      <c r="I15701" t="s">
        <v>28</v>
      </c>
      <c r="J15701">
        <v>30605</v>
      </c>
      <c r="K15701">
        <v>5137</v>
      </c>
      <c r="L15701" t="s">
        <v>23</v>
      </c>
      <c r="M15701" t="s">
        <v>33671</v>
      </c>
      <c r="N15701" t="s">
        <v>15158</v>
      </c>
      <c r="O15701" t="s">
        <v>28</v>
      </c>
      <c r="P15701">
        <v>30605</v>
      </c>
      <c r="Q15701">
        <v>5137</v>
      </c>
      <c r="R15701" t="s">
        <v>23</v>
      </c>
      <c r="S15701" s="1" t="s">
        <v>34218</v>
      </c>
    </row>
    <row r="15702" spans="1:19" x14ac:dyDescent="0.25">
      <c r="A15702">
        <v>101448252</v>
      </c>
      <c r="B15702" t="s">
        <v>33672</v>
      </c>
      <c r="C15702" t="s">
        <v>846</v>
      </c>
      <c r="G15702" t="s">
        <v>33673</v>
      </c>
      <c r="H15702" t="s">
        <v>12127</v>
      </c>
      <c r="I15702" t="s">
        <v>52</v>
      </c>
      <c r="J15702">
        <v>34684</v>
      </c>
      <c r="K15702">
        <v>1767</v>
      </c>
      <c r="L15702" t="s">
        <v>23</v>
      </c>
      <c r="M15702" t="s">
        <v>33673</v>
      </c>
      <c r="N15702" t="s">
        <v>12127</v>
      </c>
      <c r="O15702" t="s">
        <v>52</v>
      </c>
      <c r="P15702">
        <v>34684</v>
      </c>
      <c r="Q15702">
        <v>1767</v>
      </c>
      <c r="R15702" t="s">
        <v>23</v>
      </c>
      <c r="S15702" s="1" t="s">
        <v>34218</v>
      </c>
    </row>
    <row r="15703" spans="1:19" x14ac:dyDescent="0.25">
      <c r="A15703">
        <v>101196616</v>
      </c>
      <c r="B15703" t="s">
        <v>33674</v>
      </c>
      <c r="C15703" t="s">
        <v>403</v>
      </c>
      <c r="G15703" t="s">
        <v>33675</v>
      </c>
      <c r="H15703" t="s">
        <v>134</v>
      </c>
      <c r="I15703" t="s">
        <v>135</v>
      </c>
      <c r="J15703">
        <v>60631</v>
      </c>
      <c r="K15703">
        <v>2443</v>
      </c>
      <c r="L15703" t="s">
        <v>23</v>
      </c>
      <c r="M15703" t="s">
        <v>33675</v>
      </c>
      <c r="N15703" t="s">
        <v>134</v>
      </c>
      <c r="O15703" t="s">
        <v>135</v>
      </c>
      <c r="P15703">
        <v>60631</v>
      </c>
      <c r="Q15703">
        <v>2443</v>
      </c>
      <c r="R15703" t="s">
        <v>23</v>
      </c>
      <c r="S15703" s="1" t="s">
        <v>34218</v>
      </c>
    </row>
    <row r="15704" spans="1:19" x14ac:dyDescent="0.25">
      <c r="A15704">
        <v>101464760</v>
      </c>
      <c r="B15704" t="s">
        <v>17352</v>
      </c>
      <c r="C15704" t="s">
        <v>33676</v>
      </c>
      <c r="G15704" t="s">
        <v>33677</v>
      </c>
      <c r="H15704" t="s">
        <v>9727</v>
      </c>
      <c r="I15704" t="s">
        <v>236</v>
      </c>
      <c r="J15704">
        <v>2703</v>
      </c>
      <c r="K15704">
        <v>2631</v>
      </c>
      <c r="L15704" t="s">
        <v>23</v>
      </c>
      <c r="M15704" t="s">
        <v>33677</v>
      </c>
      <c r="N15704" t="s">
        <v>9727</v>
      </c>
      <c r="O15704" t="s">
        <v>236</v>
      </c>
      <c r="P15704">
        <v>2703</v>
      </c>
      <c r="Q15704">
        <v>2631</v>
      </c>
      <c r="R15704" t="s">
        <v>23</v>
      </c>
      <c r="S15704" s="1" t="s">
        <v>34218</v>
      </c>
    </row>
    <row r="15705" spans="1:19" x14ac:dyDescent="0.25">
      <c r="A15705">
        <v>101345509</v>
      </c>
      <c r="B15705" t="s">
        <v>1800</v>
      </c>
      <c r="C15705" t="s">
        <v>498</v>
      </c>
      <c r="G15705" t="s">
        <v>33678</v>
      </c>
      <c r="H15705" t="s">
        <v>4370</v>
      </c>
      <c r="I15705" t="s">
        <v>126</v>
      </c>
      <c r="J15705">
        <v>63021</v>
      </c>
      <c r="K15705">
        <v>7773</v>
      </c>
      <c r="L15705" t="s">
        <v>23</v>
      </c>
      <c r="M15705" t="s">
        <v>33678</v>
      </c>
      <c r="N15705" t="s">
        <v>4370</v>
      </c>
      <c r="O15705" t="s">
        <v>126</v>
      </c>
      <c r="P15705">
        <v>63021</v>
      </c>
      <c r="Q15705">
        <v>7773</v>
      </c>
      <c r="R15705" t="s">
        <v>23</v>
      </c>
      <c r="S15705" s="1" t="s">
        <v>34218</v>
      </c>
    </row>
    <row r="15706" spans="1:19" x14ac:dyDescent="0.25">
      <c r="A15706">
        <v>100851758</v>
      </c>
      <c r="B15706" t="s">
        <v>33679</v>
      </c>
      <c r="C15706" t="s">
        <v>1298</v>
      </c>
      <c r="G15706" t="s">
        <v>33680</v>
      </c>
      <c r="H15706" t="s">
        <v>4262</v>
      </c>
      <c r="I15706" t="s">
        <v>365</v>
      </c>
      <c r="J15706">
        <v>85387</v>
      </c>
      <c r="K15706">
        <v>2877</v>
      </c>
      <c r="L15706" t="s">
        <v>23</v>
      </c>
      <c r="M15706" t="s">
        <v>33680</v>
      </c>
      <c r="N15706" t="s">
        <v>4262</v>
      </c>
      <c r="O15706" t="s">
        <v>365</v>
      </c>
      <c r="P15706">
        <v>85387</v>
      </c>
      <c r="Q15706">
        <v>2877</v>
      </c>
      <c r="R15706" t="s">
        <v>23</v>
      </c>
      <c r="S15706" s="1" t="s">
        <v>34218</v>
      </c>
    </row>
    <row r="15707" spans="1:19" x14ac:dyDescent="0.25">
      <c r="A15707">
        <v>101236201</v>
      </c>
      <c r="B15707" t="s">
        <v>33681</v>
      </c>
      <c r="C15707" t="s">
        <v>167</v>
      </c>
      <c r="H15707" t="s">
        <v>13351</v>
      </c>
      <c r="I15707" t="s">
        <v>84</v>
      </c>
      <c r="J15707">
        <v>98038</v>
      </c>
      <c r="L15707" t="s">
        <v>23</v>
      </c>
      <c r="N15707" t="s">
        <v>13351</v>
      </c>
      <c r="O15707" t="s">
        <v>84</v>
      </c>
      <c r="P15707">
        <v>98038</v>
      </c>
      <c r="R15707" t="s">
        <v>23</v>
      </c>
      <c r="S15707" s="1" t="s">
        <v>34218</v>
      </c>
    </row>
    <row r="15708" spans="1:19" x14ac:dyDescent="0.25">
      <c r="A15708">
        <v>101306825</v>
      </c>
      <c r="B15708" t="s">
        <v>33682</v>
      </c>
      <c r="C15708" t="s">
        <v>33683</v>
      </c>
      <c r="H15708" t="s">
        <v>1667</v>
      </c>
      <c r="I15708" t="s">
        <v>250</v>
      </c>
      <c r="J15708">
        <v>65200</v>
      </c>
      <c r="L15708" t="s">
        <v>33684</v>
      </c>
      <c r="N15708" t="s">
        <v>1667</v>
      </c>
      <c r="O15708" t="s">
        <v>250</v>
      </c>
      <c r="P15708">
        <v>65200</v>
      </c>
      <c r="R15708" t="s">
        <v>33684</v>
      </c>
      <c r="S15708" s="1" t="s">
        <v>34218</v>
      </c>
    </row>
    <row r="15709" spans="1:19" x14ac:dyDescent="0.25">
      <c r="A15709">
        <v>101000607</v>
      </c>
      <c r="B15709" t="s">
        <v>33685</v>
      </c>
      <c r="C15709" t="s">
        <v>1906</v>
      </c>
      <c r="G15709" t="s">
        <v>33686</v>
      </c>
      <c r="H15709" t="s">
        <v>4326</v>
      </c>
      <c r="I15709" t="s">
        <v>178</v>
      </c>
      <c r="J15709">
        <v>44107</v>
      </c>
      <c r="K15709">
        <v>4459</v>
      </c>
      <c r="L15709" t="s">
        <v>23</v>
      </c>
      <c r="M15709" t="s">
        <v>33686</v>
      </c>
      <c r="N15709" t="s">
        <v>4326</v>
      </c>
      <c r="O15709" t="s">
        <v>178</v>
      </c>
      <c r="P15709">
        <v>44107</v>
      </c>
      <c r="Q15709">
        <v>4459</v>
      </c>
      <c r="R15709" t="s">
        <v>23</v>
      </c>
      <c r="S15709" s="1" t="s">
        <v>34218</v>
      </c>
    </row>
    <row r="15710" spans="1:19" x14ac:dyDescent="0.25">
      <c r="A15710">
        <v>101448644</v>
      </c>
      <c r="B15710" t="s">
        <v>44</v>
      </c>
      <c r="C15710" t="s">
        <v>846</v>
      </c>
      <c r="G15710" t="s">
        <v>33687</v>
      </c>
      <c r="H15710" t="s">
        <v>10317</v>
      </c>
      <c r="I15710" t="s">
        <v>2537</v>
      </c>
      <c r="J15710">
        <v>72762</v>
      </c>
      <c r="K15710">
        <v>7305</v>
      </c>
      <c r="L15710" t="s">
        <v>23</v>
      </c>
      <c r="M15710" t="s">
        <v>33687</v>
      </c>
      <c r="N15710" t="s">
        <v>10317</v>
      </c>
      <c r="O15710" t="s">
        <v>2537</v>
      </c>
      <c r="P15710">
        <v>72762</v>
      </c>
      <c r="Q15710">
        <v>7305</v>
      </c>
      <c r="R15710" t="s">
        <v>23</v>
      </c>
      <c r="S15710" s="1" t="s">
        <v>34218</v>
      </c>
    </row>
    <row r="15711" spans="1:19" x14ac:dyDescent="0.25">
      <c r="A15711">
        <v>101427355</v>
      </c>
      <c r="B15711" t="s">
        <v>29720</v>
      </c>
      <c r="C15711" t="s">
        <v>739</v>
      </c>
      <c r="G15711" t="s">
        <v>33688</v>
      </c>
      <c r="H15711" t="s">
        <v>761</v>
      </c>
      <c r="I15711" t="s">
        <v>22</v>
      </c>
      <c r="J15711">
        <v>94518</v>
      </c>
      <c r="K15711">
        <v>3364</v>
      </c>
      <c r="L15711" t="s">
        <v>23</v>
      </c>
      <c r="M15711" t="s">
        <v>33688</v>
      </c>
      <c r="N15711" t="s">
        <v>761</v>
      </c>
      <c r="O15711" t="s">
        <v>22</v>
      </c>
      <c r="P15711">
        <v>94518</v>
      </c>
      <c r="Q15711">
        <v>3364</v>
      </c>
      <c r="R15711" t="s">
        <v>23</v>
      </c>
      <c r="S15711" s="1" t="s">
        <v>34218</v>
      </c>
    </row>
    <row r="15712" spans="1:19" x14ac:dyDescent="0.25">
      <c r="A15712">
        <v>101431761</v>
      </c>
      <c r="B15712" t="s">
        <v>4139</v>
      </c>
      <c r="C15712" t="s">
        <v>7626</v>
      </c>
      <c r="G15712" t="s">
        <v>33689</v>
      </c>
      <c r="H15712" t="s">
        <v>18113</v>
      </c>
      <c r="I15712" t="s">
        <v>148</v>
      </c>
      <c r="J15712">
        <v>21804</v>
      </c>
      <c r="L15712" t="s">
        <v>23</v>
      </c>
      <c r="M15712" t="s">
        <v>33689</v>
      </c>
      <c r="N15712" t="s">
        <v>18113</v>
      </c>
      <c r="O15712" t="s">
        <v>148</v>
      </c>
      <c r="P15712">
        <v>21804</v>
      </c>
      <c r="R15712" t="s">
        <v>23</v>
      </c>
      <c r="S15712" s="1" t="s">
        <v>34218</v>
      </c>
    </row>
    <row r="15713" spans="1:19" x14ac:dyDescent="0.25">
      <c r="A15713">
        <v>101349319</v>
      </c>
      <c r="B15713" t="s">
        <v>13058</v>
      </c>
      <c r="C15713" t="s">
        <v>8782</v>
      </c>
      <c r="G15713" t="s">
        <v>33690</v>
      </c>
      <c r="H15713" t="s">
        <v>650</v>
      </c>
      <c r="I15713" t="s">
        <v>22</v>
      </c>
      <c r="J15713">
        <v>95835</v>
      </c>
      <c r="K15713">
        <v>1740</v>
      </c>
      <c r="L15713" t="s">
        <v>23</v>
      </c>
      <c r="M15713" t="s">
        <v>33690</v>
      </c>
      <c r="N15713" t="s">
        <v>650</v>
      </c>
      <c r="O15713" t="s">
        <v>22</v>
      </c>
      <c r="P15713">
        <v>95835</v>
      </c>
      <c r="Q15713">
        <v>1740</v>
      </c>
      <c r="R15713" t="s">
        <v>23</v>
      </c>
      <c r="S15713" s="1" t="s">
        <v>34218</v>
      </c>
    </row>
    <row r="15714" spans="1:19" x14ac:dyDescent="0.25">
      <c r="A15714">
        <v>101117450</v>
      </c>
      <c r="B15714" t="s">
        <v>33691</v>
      </c>
      <c r="C15714" t="s">
        <v>1542</v>
      </c>
      <c r="G15714" t="s">
        <v>33692</v>
      </c>
      <c r="H15714" t="s">
        <v>15817</v>
      </c>
      <c r="I15714" t="s">
        <v>178</v>
      </c>
      <c r="J15714">
        <v>44077</v>
      </c>
      <c r="K15714">
        <v>9536</v>
      </c>
      <c r="L15714" t="s">
        <v>23</v>
      </c>
      <c r="M15714" t="s">
        <v>33692</v>
      </c>
      <c r="N15714" t="s">
        <v>15817</v>
      </c>
      <c r="O15714" t="s">
        <v>178</v>
      </c>
      <c r="P15714">
        <v>44077</v>
      </c>
      <c r="Q15714">
        <v>9536</v>
      </c>
      <c r="R15714" t="s">
        <v>23</v>
      </c>
      <c r="S15714" s="1" t="s">
        <v>34218</v>
      </c>
    </row>
    <row r="15715" spans="1:19" x14ac:dyDescent="0.25">
      <c r="A15715">
        <v>100678271</v>
      </c>
      <c r="B15715" t="s">
        <v>33693</v>
      </c>
      <c r="C15715" t="s">
        <v>2127</v>
      </c>
      <c r="G15715" t="s">
        <v>33694</v>
      </c>
      <c r="H15715" t="s">
        <v>31383</v>
      </c>
      <c r="I15715" t="s">
        <v>84</v>
      </c>
      <c r="J15715">
        <v>99320</v>
      </c>
      <c r="K15715">
        <v>644</v>
      </c>
      <c r="L15715" t="s">
        <v>23</v>
      </c>
      <c r="M15715" t="s">
        <v>33694</v>
      </c>
      <c r="N15715" t="s">
        <v>31383</v>
      </c>
      <c r="O15715" t="s">
        <v>84</v>
      </c>
      <c r="P15715">
        <v>99320</v>
      </c>
      <c r="Q15715">
        <v>644</v>
      </c>
      <c r="R15715" t="s">
        <v>23</v>
      </c>
      <c r="S15715" s="1" t="s">
        <v>34218</v>
      </c>
    </row>
    <row r="15716" spans="1:19" x14ac:dyDescent="0.25">
      <c r="A15716">
        <v>101443026</v>
      </c>
      <c r="B15716" t="s">
        <v>33695</v>
      </c>
      <c r="C15716" t="s">
        <v>5613</v>
      </c>
      <c r="G15716" t="s">
        <v>33696</v>
      </c>
      <c r="H15716" t="s">
        <v>1988</v>
      </c>
      <c r="I15716" t="s">
        <v>984</v>
      </c>
      <c r="J15716">
        <v>96740</v>
      </c>
      <c r="K15716">
        <v>8309</v>
      </c>
      <c r="L15716" t="s">
        <v>23</v>
      </c>
      <c r="M15716" t="s">
        <v>33696</v>
      </c>
      <c r="N15716" t="s">
        <v>1988</v>
      </c>
      <c r="O15716" t="s">
        <v>984</v>
      </c>
      <c r="P15716">
        <v>96740</v>
      </c>
      <c r="Q15716">
        <v>8309</v>
      </c>
      <c r="R15716" t="s">
        <v>23</v>
      </c>
      <c r="S15716" s="1" t="s">
        <v>34218</v>
      </c>
    </row>
    <row r="15717" spans="1:19" x14ac:dyDescent="0.25">
      <c r="A15717">
        <v>101466419</v>
      </c>
      <c r="B15717" t="s">
        <v>33697</v>
      </c>
      <c r="C15717" t="s">
        <v>1384</v>
      </c>
      <c r="G15717" t="s">
        <v>33698</v>
      </c>
      <c r="H15717" t="s">
        <v>75</v>
      </c>
      <c r="I15717" t="s">
        <v>22</v>
      </c>
      <c r="J15717">
        <v>94558</v>
      </c>
      <c r="K15717">
        <v>5043</v>
      </c>
      <c r="L15717" t="s">
        <v>23</v>
      </c>
      <c r="M15717" t="s">
        <v>33698</v>
      </c>
      <c r="N15717" t="s">
        <v>75</v>
      </c>
      <c r="O15717" t="s">
        <v>22</v>
      </c>
      <c r="P15717">
        <v>94558</v>
      </c>
      <c r="Q15717">
        <v>5043</v>
      </c>
      <c r="R15717" t="s">
        <v>23</v>
      </c>
      <c r="S15717" s="1" t="s">
        <v>34218</v>
      </c>
    </row>
    <row r="15718" spans="1:19" x14ac:dyDescent="0.25">
      <c r="A15718">
        <v>101281523</v>
      </c>
      <c r="B15718" t="s">
        <v>2586</v>
      </c>
      <c r="C15718" t="s">
        <v>90</v>
      </c>
      <c r="G15718" t="s">
        <v>33699</v>
      </c>
      <c r="H15718" t="s">
        <v>33700</v>
      </c>
      <c r="I15718" t="s">
        <v>100</v>
      </c>
      <c r="J15718">
        <v>54956</v>
      </c>
      <c r="L15718" t="s">
        <v>23</v>
      </c>
      <c r="M15718" t="s">
        <v>33699</v>
      </c>
      <c r="N15718" t="s">
        <v>33700</v>
      </c>
      <c r="O15718" t="s">
        <v>100</v>
      </c>
      <c r="P15718">
        <v>54956</v>
      </c>
      <c r="R15718" t="s">
        <v>23</v>
      </c>
      <c r="S15718" s="1" t="s">
        <v>34218</v>
      </c>
    </row>
    <row r="15719" spans="1:19" x14ac:dyDescent="0.25">
      <c r="A15719">
        <v>101175067</v>
      </c>
      <c r="B15719" t="s">
        <v>15174</v>
      </c>
      <c r="C15719" t="s">
        <v>1117</v>
      </c>
      <c r="F15719" t="str">
        <f>"7026738404"</f>
        <v>7026738404</v>
      </c>
      <c r="G15719" t="s">
        <v>33701</v>
      </c>
      <c r="H15719" t="s">
        <v>1402</v>
      </c>
      <c r="I15719" t="s">
        <v>38</v>
      </c>
      <c r="J15719">
        <v>77062</v>
      </c>
      <c r="K15719">
        <v>4305</v>
      </c>
      <c r="L15719" t="s">
        <v>23</v>
      </c>
      <c r="M15719" t="s">
        <v>33701</v>
      </c>
      <c r="N15719" t="s">
        <v>1402</v>
      </c>
      <c r="O15719" t="s">
        <v>38</v>
      </c>
      <c r="P15719">
        <v>77062</v>
      </c>
      <c r="Q15719">
        <v>4305</v>
      </c>
      <c r="R15719" t="s">
        <v>23</v>
      </c>
      <c r="S15719" s="1" t="s">
        <v>34218</v>
      </c>
    </row>
    <row r="15720" spans="1:19" x14ac:dyDescent="0.25">
      <c r="A15720">
        <v>101467817</v>
      </c>
      <c r="B15720" t="s">
        <v>30648</v>
      </c>
      <c r="C15720" t="s">
        <v>4471</v>
      </c>
      <c r="G15720" t="s">
        <v>33702</v>
      </c>
      <c r="H15720" t="s">
        <v>12732</v>
      </c>
      <c r="I15720" t="s">
        <v>135</v>
      </c>
      <c r="J15720">
        <v>60015</v>
      </c>
      <c r="K15720">
        <v>4428</v>
      </c>
      <c r="L15720" t="s">
        <v>23</v>
      </c>
      <c r="M15720" t="s">
        <v>33702</v>
      </c>
      <c r="N15720" t="s">
        <v>12732</v>
      </c>
      <c r="O15720" t="s">
        <v>135</v>
      </c>
      <c r="P15720">
        <v>60015</v>
      </c>
      <c r="Q15720">
        <v>4428</v>
      </c>
      <c r="R15720" t="s">
        <v>23</v>
      </c>
      <c r="S15720" s="1" t="s">
        <v>34218</v>
      </c>
    </row>
    <row r="15721" spans="1:19" x14ac:dyDescent="0.25">
      <c r="A15721">
        <v>101232716</v>
      </c>
      <c r="B15721" t="s">
        <v>1164</v>
      </c>
      <c r="C15721" t="s">
        <v>2127</v>
      </c>
      <c r="G15721" t="s">
        <v>33703</v>
      </c>
      <c r="H15721" t="s">
        <v>9854</v>
      </c>
      <c r="I15721" t="s">
        <v>236</v>
      </c>
      <c r="J15721">
        <v>1568</v>
      </c>
      <c r="K15721">
        <v>1603</v>
      </c>
      <c r="L15721" t="s">
        <v>23</v>
      </c>
      <c r="M15721" t="s">
        <v>33703</v>
      </c>
      <c r="N15721" t="s">
        <v>9854</v>
      </c>
      <c r="O15721" t="s">
        <v>236</v>
      </c>
      <c r="P15721">
        <v>1568</v>
      </c>
      <c r="Q15721">
        <v>1603</v>
      </c>
      <c r="R15721" t="s">
        <v>23</v>
      </c>
      <c r="S15721" s="1" t="s">
        <v>34218</v>
      </c>
    </row>
    <row r="15722" spans="1:19" x14ac:dyDescent="0.25">
      <c r="A15722">
        <v>101300169</v>
      </c>
      <c r="B15722" t="s">
        <v>2179</v>
      </c>
      <c r="C15722" t="s">
        <v>33704</v>
      </c>
      <c r="F15722" t="str">
        <f>"6104591748"</f>
        <v>6104591748</v>
      </c>
      <c r="G15722" t="s">
        <v>33705</v>
      </c>
      <c r="H15722" t="s">
        <v>32943</v>
      </c>
      <c r="I15722" t="s">
        <v>33</v>
      </c>
      <c r="J15722">
        <v>19060</v>
      </c>
      <c r="L15722" t="s">
        <v>23</v>
      </c>
      <c r="M15722" t="s">
        <v>33705</v>
      </c>
      <c r="N15722" t="s">
        <v>32943</v>
      </c>
      <c r="O15722" t="s">
        <v>33</v>
      </c>
      <c r="P15722">
        <v>19060</v>
      </c>
      <c r="R15722" t="s">
        <v>23</v>
      </c>
      <c r="S15722" s="1" t="s">
        <v>34218</v>
      </c>
    </row>
    <row r="15723" spans="1:19" x14ac:dyDescent="0.25">
      <c r="A15723">
        <v>101359347</v>
      </c>
      <c r="B15723" t="s">
        <v>8530</v>
      </c>
      <c r="C15723" t="s">
        <v>1050</v>
      </c>
      <c r="G15723" t="s">
        <v>33706</v>
      </c>
      <c r="H15723" t="s">
        <v>4114</v>
      </c>
      <c r="I15723" t="s">
        <v>117</v>
      </c>
      <c r="J15723">
        <v>0</v>
      </c>
      <c r="L15723" t="s">
        <v>23</v>
      </c>
      <c r="M15723" t="s">
        <v>33706</v>
      </c>
      <c r="N15723" t="s">
        <v>4114</v>
      </c>
      <c r="O15723" t="s">
        <v>117</v>
      </c>
      <c r="P15723">
        <v>0</v>
      </c>
      <c r="R15723" t="s">
        <v>23</v>
      </c>
      <c r="S15723" s="1" t="s">
        <v>34218</v>
      </c>
    </row>
    <row r="15724" spans="1:19" x14ac:dyDescent="0.25">
      <c r="A15724">
        <v>101282692</v>
      </c>
      <c r="B15724" t="s">
        <v>33707</v>
      </c>
      <c r="C15724" t="s">
        <v>9832</v>
      </c>
      <c r="G15724" t="s">
        <v>33708</v>
      </c>
      <c r="H15724" t="s">
        <v>33709</v>
      </c>
      <c r="I15724" t="s">
        <v>153</v>
      </c>
      <c r="J15724" t="s">
        <v>33710</v>
      </c>
      <c r="K15724">
        <v>6220</v>
      </c>
      <c r="L15724" t="s">
        <v>23</v>
      </c>
      <c r="M15724" t="s">
        <v>33708</v>
      </c>
      <c r="N15724" t="s">
        <v>33709</v>
      </c>
      <c r="O15724" t="s">
        <v>153</v>
      </c>
      <c r="P15724" t="s">
        <v>33710</v>
      </c>
      <c r="Q15724">
        <v>6220</v>
      </c>
      <c r="R15724" t="s">
        <v>23</v>
      </c>
      <c r="S15724" s="1" t="s">
        <v>34218</v>
      </c>
    </row>
    <row r="15725" spans="1:19" x14ac:dyDescent="0.25">
      <c r="A15725">
        <v>100702827</v>
      </c>
      <c r="B15725" t="s">
        <v>33711</v>
      </c>
      <c r="C15725" t="s">
        <v>110</v>
      </c>
      <c r="G15725" t="s">
        <v>33712</v>
      </c>
      <c r="H15725" t="s">
        <v>10866</v>
      </c>
      <c r="I15725" t="s">
        <v>187</v>
      </c>
      <c r="J15725" t="s">
        <v>33713</v>
      </c>
      <c r="K15725">
        <v>6932</v>
      </c>
      <c r="L15725" t="s">
        <v>23</v>
      </c>
      <c r="M15725" t="s">
        <v>33712</v>
      </c>
      <c r="N15725" t="s">
        <v>10866</v>
      </c>
      <c r="O15725" t="s">
        <v>187</v>
      </c>
      <c r="P15725" t="s">
        <v>33713</v>
      </c>
      <c r="Q15725">
        <v>6932</v>
      </c>
      <c r="R15725" t="s">
        <v>23</v>
      </c>
      <c r="S15725" s="1" t="s">
        <v>34218</v>
      </c>
    </row>
    <row r="15726" spans="1:19" x14ac:dyDescent="0.25">
      <c r="A15726">
        <v>101108345</v>
      </c>
      <c r="B15726" t="s">
        <v>4802</v>
      </c>
      <c r="C15726" t="s">
        <v>68</v>
      </c>
      <c r="G15726" t="s">
        <v>33714</v>
      </c>
      <c r="H15726" t="s">
        <v>28404</v>
      </c>
      <c r="I15726" t="s">
        <v>187</v>
      </c>
      <c r="J15726" t="s">
        <v>33715</v>
      </c>
      <c r="K15726">
        <v>5282</v>
      </c>
      <c r="L15726" t="s">
        <v>23</v>
      </c>
      <c r="M15726" t="s">
        <v>33714</v>
      </c>
      <c r="N15726" t="s">
        <v>28404</v>
      </c>
      <c r="O15726" t="s">
        <v>187</v>
      </c>
      <c r="P15726" t="s">
        <v>33715</v>
      </c>
      <c r="Q15726">
        <v>5282</v>
      </c>
      <c r="R15726" t="s">
        <v>23</v>
      </c>
      <c r="S15726" s="1" t="s">
        <v>34218</v>
      </c>
    </row>
    <row r="15727" spans="1:19" x14ac:dyDescent="0.25">
      <c r="A15727">
        <v>101188509</v>
      </c>
      <c r="B15727" t="s">
        <v>33716</v>
      </c>
      <c r="C15727" t="s">
        <v>6315</v>
      </c>
      <c r="G15727" t="s">
        <v>33717</v>
      </c>
      <c r="H15727" t="s">
        <v>169</v>
      </c>
      <c r="I15727" t="s">
        <v>170</v>
      </c>
      <c r="J15727" t="s">
        <v>33718</v>
      </c>
      <c r="K15727">
        <v>1656</v>
      </c>
      <c r="L15727" t="s">
        <v>23</v>
      </c>
      <c r="M15727" t="s">
        <v>33717</v>
      </c>
      <c r="N15727" t="s">
        <v>169</v>
      </c>
      <c r="O15727" t="s">
        <v>170</v>
      </c>
      <c r="P15727" t="s">
        <v>33718</v>
      </c>
      <c r="Q15727">
        <v>1656</v>
      </c>
      <c r="R15727" t="s">
        <v>23</v>
      </c>
      <c r="S15727" s="1" t="s">
        <v>34218</v>
      </c>
    </row>
    <row r="15728" spans="1:19" x14ac:dyDescent="0.25">
      <c r="A15728">
        <v>100725414</v>
      </c>
      <c r="B15728" t="s">
        <v>11886</v>
      </c>
      <c r="C15728" t="s">
        <v>20178</v>
      </c>
      <c r="G15728" t="s">
        <v>33719</v>
      </c>
      <c r="H15728" t="s">
        <v>567</v>
      </c>
      <c r="I15728" t="s">
        <v>446</v>
      </c>
      <c r="J15728" t="s">
        <v>33720</v>
      </c>
      <c r="K15728">
        <v>7607</v>
      </c>
      <c r="L15728" t="s">
        <v>23</v>
      </c>
      <c r="M15728" t="s">
        <v>33719</v>
      </c>
      <c r="N15728" t="s">
        <v>567</v>
      </c>
      <c r="O15728" t="s">
        <v>446</v>
      </c>
      <c r="P15728" t="s">
        <v>33720</v>
      </c>
      <c r="Q15728">
        <v>7607</v>
      </c>
      <c r="R15728" t="s">
        <v>23</v>
      </c>
      <c r="S15728" s="1" t="s">
        <v>34218</v>
      </c>
    </row>
    <row r="15729" spans="1:19" x14ac:dyDescent="0.25">
      <c r="A15729">
        <v>100515995</v>
      </c>
      <c r="B15729" t="s">
        <v>26198</v>
      </c>
      <c r="C15729" t="s">
        <v>1208</v>
      </c>
      <c r="G15729" t="s">
        <v>33721</v>
      </c>
      <c r="H15729" t="s">
        <v>6492</v>
      </c>
      <c r="I15729" t="s">
        <v>161</v>
      </c>
      <c r="J15729" t="s">
        <v>33722</v>
      </c>
      <c r="K15729">
        <v>1413</v>
      </c>
      <c r="L15729" t="s">
        <v>23</v>
      </c>
      <c r="M15729" t="s">
        <v>33721</v>
      </c>
      <c r="N15729" t="s">
        <v>6492</v>
      </c>
      <c r="O15729" t="s">
        <v>161</v>
      </c>
      <c r="P15729" t="s">
        <v>33722</v>
      </c>
      <c r="Q15729">
        <v>1413</v>
      </c>
      <c r="R15729" t="s">
        <v>23</v>
      </c>
      <c r="S15729" s="1" t="s">
        <v>34218</v>
      </c>
    </row>
    <row r="15730" spans="1:19" x14ac:dyDescent="0.25">
      <c r="A15730">
        <v>100579973</v>
      </c>
      <c r="B15730" t="s">
        <v>33723</v>
      </c>
      <c r="C15730" t="s">
        <v>5678</v>
      </c>
      <c r="G15730" t="s">
        <v>33724</v>
      </c>
      <c r="H15730" t="s">
        <v>12577</v>
      </c>
      <c r="I15730" t="s">
        <v>639</v>
      </c>
      <c r="J15730" t="s">
        <v>33725</v>
      </c>
      <c r="K15730">
        <v>8081</v>
      </c>
      <c r="L15730" t="s">
        <v>23</v>
      </c>
      <c r="M15730" t="s">
        <v>33724</v>
      </c>
      <c r="N15730" t="s">
        <v>12577</v>
      </c>
      <c r="O15730" t="s">
        <v>639</v>
      </c>
      <c r="P15730" t="s">
        <v>33725</v>
      </c>
      <c r="Q15730">
        <v>8081</v>
      </c>
      <c r="R15730" t="s">
        <v>23</v>
      </c>
      <c r="S15730" s="1" t="s">
        <v>34218</v>
      </c>
    </row>
    <row r="15731" spans="1:19" x14ac:dyDescent="0.25">
      <c r="A15731">
        <v>100757250</v>
      </c>
      <c r="B15731" t="s">
        <v>29508</v>
      </c>
      <c r="C15731" t="s">
        <v>582</v>
      </c>
      <c r="G15731" t="s">
        <v>33726</v>
      </c>
      <c r="H15731" t="s">
        <v>33727</v>
      </c>
      <c r="I15731" t="s">
        <v>28</v>
      </c>
      <c r="J15731" t="s">
        <v>33728</v>
      </c>
      <c r="K15731">
        <v>7200</v>
      </c>
      <c r="L15731" t="s">
        <v>23</v>
      </c>
      <c r="M15731" t="s">
        <v>33726</v>
      </c>
      <c r="N15731" t="s">
        <v>33727</v>
      </c>
      <c r="O15731" t="s">
        <v>28</v>
      </c>
      <c r="P15731" t="s">
        <v>33728</v>
      </c>
      <c r="Q15731">
        <v>7200</v>
      </c>
      <c r="R15731" t="s">
        <v>23</v>
      </c>
      <c r="S15731" s="1" t="s">
        <v>34218</v>
      </c>
    </row>
    <row r="15732" spans="1:19" x14ac:dyDescent="0.25">
      <c r="A15732">
        <v>101328733</v>
      </c>
      <c r="B15732" t="s">
        <v>497</v>
      </c>
      <c r="C15732" t="s">
        <v>2232</v>
      </c>
      <c r="G15732" t="s">
        <v>33729</v>
      </c>
      <c r="H15732" t="s">
        <v>5512</v>
      </c>
      <c r="I15732" t="s">
        <v>348</v>
      </c>
      <c r="J15732">
        <v>83647</v>
      </c>
      <c r="K15732">
        <v>4301</v>
      </c>
      <c r="L15732" t="s">
        <v>23</v>
      </c>
      <c r="M15732" t="s">
        <v>33729</v>
      </c>
      <c r="N15732" t="s">
        <v>5512</v>
      </c>
      <c r="O15732" t="s">
        <v>348</v>
      </c>
      <c r="P15732">
        <v>83647</v>
      </c>
      <c r="Q15732">
        <v>4301</v>
      </c>
      <c r="R15732" t="s">
        <v>23</v>
      </c>
      <c r="S15732" s="1" t="s">
        <v>34218</v>
      </c>
    </row>
    <row r="15733" spans="1:19" x14ac:dyDescent="0.25">
      <c r="A15733">
        <v>100918668</v>
      </c>
      <c r="B15733" t="s">
        <v>31184</v>
      </c>
      <c r="C15733" t="s">
        <v>635</v>
      </c>
      <c r="G15733" t="s">
        <v>31186</v>
      </c>
      <c r="H15733" t="s">
        <v>380</v>
      </c>
      <c r="I15733" t="s">
        <v>38</v>
      </c>
      <c r="J15733" t="s">
        <v>33730</v>
      </c>
      <c r="K15733">
        <v>4657</v>
      </c>
      <c r="L15733" t="s">
        <v>23</v>
      </c>
      <c r="M15733" t="s">
        <v>31186</v>
      </c>
      <c r="N15733" t="s">
        <v>380</v>
      </c>
      <c r="O15733" t="s">
        <v>38</v>
      </c>
      <c r="P15733" t="s">
        <v>33730</v>
      </c>
      <c r="Q15733">
        <v>4657</v>
      </c>
      <c r="R15733" t="s">
        <v>23</v>
      </c>
      <c r="S15733" s="1" t="s">
        <v>34218</v>
      </c>
    </row>
    <row r="15734" spans="1:19" x14ac:dyDescent="0.25">
      <c r="A15734">
        <v>101226990</v>
      </c>
      <c r="B15734" t="s">
        <v>5486</v>
      </c>
      <c r="C15734" t="s">
        <v>2781</v>
      </c>
      <c r="G15734" t="s">
        <v>33731</v>
      </c>
      <c r="H15734" t="s">
        <v>3852</v>
      </c>
      <c r="I15734" t="s">
        <v>140</v>
      </c>
      <c r="J15734" t="s">
        <v>33732</v>
      </c>
      <c r="K15734">
        <v>8758</v>
      </c>
      <c r="L15734" t="s">
        <v>23</v>
      </c>
      <c r="M15734" t="s">
        <v>33731</v>
      </c>
      <c r="N15734" t="s">
        <v>3852</v>
      </c>
      <c r="O15734" t="s">
        <v>140</v>
      </c>
      <c r="P15734" t="s">
        <v>33732</v>
      </c>
      <c r="Q15734">
        <v>8758</v>
      </c>
      <c r="R15734" t="s">
        <v>23</v>
      </c>
      <c r="S15734" s="1" t="s">
        <v>34218</v>
      </c>
    </row>
    <row r="15735" spans="1:19" x14ac:dyDescent="0.25">
      <c r="A15735">
        <v>101274017</v>
      </c>
      <c r="B15735" t="s">
        <v>18256</v>
      </c>
      <c r="C15735" t="s">
        <v>286</v>
      </c>
      <c r="G15735" t="s">
        <v>33733</v>
      </c>
      <c r="H15735" t="s">
        <v>33734</v>
      </c>
      <c r="I15735" t="s">
        <v>135</v>
      </c>
      <c r="J15735" t="s">
        <v>33735</v>
      </c>
      <c r="K15735">
        <v>3500</v>
      </c>
      <c r="L15735" t="s">
        <v>23</v>
      </c>
      <c r="M15735" t="s">
        <v>33733</v>
      </c>
      <c r="N15735" t="s">
        <v>33734</v>
      </c>
      <c r="O15735" t="s">
        <v>135</v>
      </c>
      <c r="P15735" t="s">
        <v>33735</v>
      </c>
      <c r="Q15735">
        <v>3500</v>
      </c>
      <c r="R15735" t="s">
        <v>23</v>
      </c>
      <c r="S15735" s="1" t="s">
        <v>34218</v>
      </c>
    </row>
    <row r="15736" spans="1:19" x14ac:dyDescent="0.25">
      <c r="A15736">
        <v>101317355</v>
      </c>
      <c r="B15736" t="s">
        <v>33736</v>
      </c>
      <c r="C15736" t="s">
        <v>838</v>
      </c>
      <c r="G15736" t="s">
        <v>33737</v>
      </c>
      <c r="H15736" t="s">
        <v>19789</v>
      </c>
      <c r="I15736" t="s">
        <v>100</v>
      </c>
      <c r="J15736" t="s">
        <v>33738</v>
      </c>
      <c r="K15736">
        <v>5446</v>
      </c>
      <c r="L15736" t="s">
        <v>23</v>
      </c>
      <c r="M15736" t="s">
        <v>33737</v>
      </c>
      <c r="N15736" t="s">
        <v>19789</v>
      </c>
      <c r="O15736" t="s">
        <v>100</v>
      </c>
      <c r="P15736" t="s">
        <v>33738</v>
      </c>
      <c r="Q15736">
        <v>5446</v>
      </c>
      <c r="R15736" t="s">
        <v>23</v>
      </c>
      <c r="S15736" s="1" t="s">
        <v>34218</v>
      </c>
    </row>
    <row r="15737" spans="1:19" x14ac:dyDescent="0.25">
      <c r="A15737">
        <v>101359444</v>
      </c>
      <c r="B15737" t="s">
        <v>33739</v>
      </c>
      <c r="C15737" t="s">
        <v>119</v>
      </c>
      <c r="G15737" t="s">
        <v>33740</v>
      </c>
      <c r="H15737" t="s">
        <v>9013</v>
      </c>
      <c r="I15737" t="s">
        <v>1482</v>
      </c>
      <c r="J15737" t="s">
        <v>33741</v>
      </c>
      <c r="K15737">
        <v>4917</v>
      </c>
      <c r="L15737" t="s">
        <v>23</v>
      </c>
      <c r="M15737" t="s">
        <v>33740</v>
      </c>
      <c r="N15737" t="s">
        <v>9013</v>
      </c>
      <c r="O15737" t="s">
        <v>1482</v>
      </c>
      <c r="P15737" t="s">
        <v>33741</v>
      </c>
      <c r="Q15737">
        <v>4917</v>
      </c>
      <c r="R15737" t="s">
        <v>23</v>
      </c>
      <c r="S15737" s="1" t="s">
        <v>34218</v>
      </c>
    </row>
    <row r="15738" spans="1:19" x14ac:dyDescent="0.25">
      <c r="A15738">
        <v>101224820</v>
      </c>
      <c r="B15738" t="s">
        <v>18659</v>
      </c>
      <c r="C15738" t="s">
        <v>132</v>
      </c>
      <c r="G15738" t="s">
        <v>33742</v>
      </c>
      <c r="H15738" t="s">
        <v>33743</v>
      </c>
      <c r="I15738" t="s">
        <v>662</v>
      </c>
      <c r="J15738" t="s">
        <v>33744</v>
      </c>
      <c r="K15738">
        <v>7700</v>
      </c>
      <c r="L15738" t="s">
        <v>23</v>
      </c>
      <c r="M15738" t="s">
        <v>33742</v>
      </c>
      <c r="N15738" t="s">
        <v>33743</v>
      </c>
      <c r="O15738" t="s">
        <v>662</v>
      </c>
      <c r="P15738" t="s">
        <v>33744</v>
      </c>
      <c r="Q15738">
        <v>7700</v>
      </c>
      <c r="R15738" t="s">
        <v>23</v>
      </c>
      <c r="S15738" s="1" t="s">
        <v>34218</v>
      </c>
    </row>
    <row r="15739" spans="1:19" x14ac:dyDescent="0.25">
      <c r="A15739">
        <v>101422954</v>
      </c>
      <c r="B15739" t="s">
        <v>6058</v>
      </c>
      <c r="C15739" t="s">
        <v>266</v>
      </c>
      <c r="G15739" t="s">
        <v>33745</v>
      </c>
      <c r="H15739" t="s">
        <v>9013</v>
      </c>
      <c r="I15739" t="s">
        <v>140</v>
      </c>
      <c r="J15739" t="s">
        <v>33746</v>
      </c>
      <c r="K15739">
        <v>9737</v>
      </c>
      <c r="L15739" t="s">
        <v>23</v>
      </c>
      <c r="M15739" t="s">
        <v>33745</v>
      </c>
      <c r="N15739" t="s">
        <v>9013</v>
      </c>
      <c r="O15739" t="s">
        <v>140</v>
      </c>
      <c r="P15739" t="s">
        <v>33746</v>
      </c>
      <c r="Q15739">
        <v>9737</v>
      </c>
      <c r="R15739" t="s">
        <v>23</v>
      </c>
      <c r="S15739" s="1" t="s">
        <v>34218</v>
      </c>
    </row>
    <row r="15740" spans="1:19" x14ac:dyDescent="0.25">
      <c r="A15740">
        <v>101444799</v>
      </c>
      <c r="B15740" t="s">
        <v>2509</v>
      </c>
      <c r="C15740" t="s">
        <v>33747</v>
      </c>
      <c r="G15740" t="s">
        <v>12255</v>
      </c>
      <c r="H15740" t="s">
        <v>12256</v>
      </c>
      <c r="I15740" t="s">
        <v>348</v>
      </c>
      <c r="J15740" t="s">
        <v>29798</v>
      </c>
      <c r="K15740">
        <v>6976</v>
      </c>
      <c r="L15740" t="s">
        <v>23</v>
      </c>
      <c r="M15740" t="s">
        <v>12255</v>
      </c>
      <c r="N15740" t="s">
        <v>12256</v>
      </c>
      <c r="O15740" t="s">
        <v>348</v>
      </c>
      <c r="P15740" t="s">
        <v>29798</v>
      </c>
      <c r="Q15740">
        <v>6976</v>
      </c>
      <c r="R15740" t="s">
        <v>23</v>
      </c>
      <c r="S15740" s="1" t="s">
        <v>34218</v>
      </c>
    </row>
    <row r="15741" spans="1:19" x14ac:dyDescent="0.25">
      <c r="A15741">
        <v>100729111</v>
      </c>
      <c r="B15741" t="s">
        <v>3554</v>
      </c>
      <c r="C15741" t="s">
        <v>3113</v>
      </c>
      <c r="G15741" t="s">
        <v>33748</v>
      </c>
      <c r="H15741" t="s">
        <v>134</v>
      </c>
      <c r="I15741" t="s">
        <v>135</v>
      </c>
      <c r="J15741" t="s">
        <v>33749</v>
      </c>
      <c r="K15741">
        <v>8136</v>
      </c>
      <c r="L15741" t="s">
        <v>23</v>
      </c>
      <c r="M15741" t="s">
        <v>33748</v>
      </c>
      <c r="N15741" t="s">
        <v>134</v>
      </c>
      <c r="O15741" t="s">
        <v>135</v>
      </c>
      <c r="P15741" t="s">
        <v>33749</v>
      </c>
      <c r="Q15741">
        <v>8136</v>
      </c>
      <c r="R15741" t="s">
        <v>23</v>
      </c>
      <c r="S15741" s="1" t="s">
        <v>34218</v>
      </c>
    </row>
    <row r="15742" spans="1:19" x14ac:dyDescent="0.25">
      <c r="A15742">
        <v>101434489</v>
      </c>
      <c r="B15742" t="s">
        <v>33750</v>
      </c>
      <c r="C15742" t="s">
        <v>1153</v>
      </c>
      <c r="G15742" t="s">
        <v>33751</v>
      </c>
      <c r="H15742" t="s">
        <v>2139</v>
      </c>
      <c r="I15742" t="s">
        <v>135</v>
      </c>
      <c r="J15742" t="s">
        <v>33752</v>
      </c>
      <c r="K15742">
        <v>7808</v>
      </c>
      <c r="L15742" t="s">
        <v>23</v>
      </c>
      <c r="M15742" t="s">
        <v>33751</v>
      </c>
      <c r="N15742" t="s">
        <v>2139</v>
      </c>
      <c r="O15742" t="s">
        <v>135</v>
      </c>
      <c r="P15742" t="s">
        <v>33752</v>
      </c>
      <c r="Q15742">
        <v>7808</v>
      </c>
      <c r="R15742" t="s">
        <v>23</v>
      </c>
      <c r="S15742" s="1" t="s">
        <v>34218</v>
      </c>
    </row>
    <row r="15743" spans="1:19" x14ac:dyDescent="0.25">
      <c r="A15743">
        <v>101444809</v>
      </c>
      <c r="B15743" t="s">
        <v>33753</v>
      </c>
      <c r="C15743" t="s">
        <v>1873</v>
      </c>
      <c r="G15743" t="s">
        <v>33754</v>
      </c>
      <c r="H15743" t="s">
        <v>2023</v>
      </c>
      <c r="I15743" t="s">
        <v>178</v>
      </c>
      <c r="J15743" t="s">
        <v>33755</v>
      </c>
      <c r="K15743">
        <v>1734</v>
      </c>
      <c r="L15743" t="s">
        <v>23</v>
      </c>
      <c r="M15743" t="s">
        <v>33754</v>
      </c>
      <c r="N15743" t="s">
        <v>2023</v>
      </c>
      <c r="O15743" t="s">
        <v>178</v>
      </c>
      <c r="P15743" t="s">
        <v>33755</v>
      </c>
      <c r="Q15743">
        <v>1734</v>
      </c>
      <c r="R15743" t="s">
        <v>23</v>
      </c>
      <c r="S15743" s="1" t="s">
        <v>34218</v>
      </c>
    </row>
    <row r="15744" spans="1:19" x14ac:dyDescent="0.25">
      <c r="A15744">
        <v>101312499</v>
      </c>
      <c r="B15744" t="s">
        <v>18130</v>
      </c>
      <c r="C15744" t="s">
        <v>1179</v>
      </c>
      <c r="G15744" t="s">
        <v>33756</v>
      </c>
      <c r="H15744" t="s">
        <v>1283</v>
      </c>
      <c r="I15744" t="s">
        <v>22</v>
      </c>
      <c r="J15744" t="s">
        <v>33757</v>
      </c>
      <c r="K15744">
        <v>9021</v>
      </c>
      <c r="L15744" t="s">
        <v>23</v>
      </c>
      <c r="M15744" t="s">
        <v>33756</v>
      </c>
      <c r="N15744" t="s">
        <v>1283</v>
      </c>
      <c r="O15744" t="s">
        <v>22</v>
      </c>
      <c r="P15744" t="s">
        <v>33757</v>
      </c>
      <c r="Q15744">
        <v>9021</v>
      </c>
      <c r="R15744" t="s">
        <v>23</v>
      </c>
      <c r="S15744" s="1" t="s">
        <v>34218</v>
      </c>
    </row>
    <row r="15745" spans="1:19" x14ac:dyDescent="0.25">
      <c r="A15745">
        <v>101419399</v>
      </c>
      <c r="B15745" t="s">
        <v>33758</v>
      </c>
      <c r="C15745" t="s">
        <v>33759</v>
      </c>
      <c r="G15745" t="s">
        <v>33760</v>
      </c>
      <c r="H15745" t="s">
        <v>22990</v>
      </c>
      <c r="I15745" t="s">
        <v>135</v>
      </c>
      <c r="J15745" t="s">
        <v>33761</v>
      </c>
      <c r="K15745">
        <v>5238</v>
      </c>
      <c r="L15745" t="s">
        <v>23</v>
      </c>
      <c r="M15745" t="s">
        <v>33760</v>
      </c>
      <c r="N15745" t="s">
        <v>22990</v>
      </c>
      <c r="O15745" t="s">
        <v>135</v>
      </c>
      <c r="P15745" t="s">
        <v>33761</v>
      </c>
      <c r="Q15745">
        <v>5238</v>
      </c>
      <c r="R15745" t="s">
        <v>23</v>
      </c>
      <c r="S15745" s="1" t="s">
        <v>34218</v>
      </c>
    </row>
    <row r="15746" spans="1:19" x14ac:dyDescent="0.25">
      <c r="A15746">
        <v>101438243</v>
      </c>
      <c r="B15746" t="s">
        <v>1967</v>
      </c>
      <c r="C15746" t="s">
        <v>1153</v>
      </c>
      <c r="G15746" t="s">
        <v>33762</v>
      </c>
      <c r="H15746" t="s">
        <v>4481</v>
      </c>
      <c r="I15746" t="s">
        <v>135</v>
      </c>
      <c r="J15746" t="s">
        <v>33763</v>
      </c>
      <c r="K15746">
        <v>1501</v>
      </c>
      <c r="L15746" t="s">
        <v>23</v>
      </c>
      <c r="M15746" t="s">
        <v>33762</v>
      </c>
      <c r="N15746" t="s">
        <v>4481</v>
      </c>
      <c r="O15746" t="s">
        <v>135</v>
      </c>
      <c r="P15746" t="s">
        <v>33763</v>
      </c>
      <c r="Q15746">
        <v>1501</v>
      </c>
      <c r="R15746" t="s">
        <v>23</v>
      </c>
      <c r="S15746" s="1" t="s">
        <v>34218</v>
      </c>
    </row>
    <row r="15747" spans="1:19" x14ac:dyDescent="0.25">
      <c r="A15747">
        <v>101424305</v>
      </c>
      <c r="B15747" t="s">
        <v>33764</v>
      </c>
      <c r="C15747" t="s">
        <v>16567</v>
      </c>
      <c r="G15747" t="s">
        <v>33765</v>
      </c>
      <c r="H15747" t="s">
        <v>6174</v>
      </c>
      <c r="I15747" t="s">
        <v>22</v>
      </c>
      <c r="J15747" t="s">
        <v>33766</v>
      </c>
      <c r="K15747">
        <v>2506</v>
      </c>
      <c r="L15747" t="s">
        <v>23</v>
      </c>
      <c r="M15747" t="s">
        <v>33765</v>
      </c>
      <c r="N15747" t="s">
        <v>6174</v>
      </c>
      <c r="O15747" t="s">
        <v>22</v>
      </c>
      <c r="P15747" t="s">
        <v>33766</v>
      </c>
      <c r="Q15747">
        <v>2506</v>
      </c>
      <c r="R15747" t="s">
        <v>23</v>
      </c>
      <c r="S15747" s="1" t="s">
        <v>34218</v>
      </c>
    </row>
    <row r="15748" spans="1:19" x14ac:dyDescent="0.25">
      <c r="A15748">
        <v>101430839</v>
      </c>
      <c r="B15748" t="s">
        <v>204</v>
      </c>
      <c r="C15748" t="s">
        <v>28743</v>
      </c>
      <c r="G15748" t="s">
        <v>33767</v>
      </c>
      <c r="H15748" t="s">
        <v>1835</v>
      </c>
      <c r="I15748" t="s">
        <v>140</v>
      </c>
      <c r="J15748" t="s">
        <v>33768</v>
      </c>
      <c r="K15748">
        <v>2253</v>
      </c>
      <c r="L15748" t="s">
        <v>23</v>
      </c>
      <c r="M15748" t="s">
        <v>33767</v>
      </c>
      <c r="N15748" t="s">
        <v>1835</v>
      </c>
      <c r="O15748" t="s">
        <v>140</v>
      </c>
      <c r="P15748" t="s">
        <v>33768</v>
      </c>
      <c r="Q15748">
        <v>2253</v>
      </c>
      <c r="R15748" t="s">
        <v>23</v>
      </c>
      <c r="S15748" s="1" t="s">
        <v>34218</v>
      </c>
    </row>
    <row r="15749" spans="1:19" x14ac:dyDescent="0.25">
      <c r="A15749">
        <v>101350948</v>
      </c>
      <c r="B15749" t="s">
        <v>33769</v>
      </c>
      <c r="C15749" t="s">
        <v>1588</v>
      </c>
      <c r="G15749" t="s">
        <v>33770</v>
      </c>
      <c r="H15749" t="s">
        <v>33771</v>
      </c>
      <c r="I15749" t="s">
        <v>33</v>
      </c>
      <c r="J15749" t="s">
        <v>33772</v>
      </c>
      <c r="K15749">
        <v>5103</v>
      </c>
      <c r="L15749" t="s">
        <v>23</v>
      </c>
      <c r="M15749" t="s">
        <v>33770</v>
      </c>
      <c r="N15749" t="s">
        <v>33771</v>
      </c>
      <c r="O15749" t="s">
        <v>33</v>
      </c>
      <c r="P15749" t="s">
        <v>33772</v>
      </c>
      <c r="Q15749">
        <v>5103</v>
      </c>
      <c r="R15749" t="s">
        <v>23</v>
      </c>
      <c r="S15749" s="1" t="s">
        <v>34218</v>
      </c>
    </row>
    <row r="15750" spans="1:19" x14ac:dyDescent="0.25">
      <c r="A15750">
        <v>101331961</v>
      </c>
      <c r="B15750" t="s">
        <v>33773</v>
      </c>
      <c r="C15750" t="s">
        <v>1588</v>
      </c>
      <c r="G15750" t="s">
        <v>33774</v>
      </c>
      <c r="H15750" t="s">
        <v>13640</v>
      </c>
      <c r="I15750" t="s">
        <v>126</v>
      </c>
      <c r="J15750" t="s">
        <v>33775</v>
      </c>
      <c r="K15750">
        <v>6123</v>
      </c>
      <c r="L15750" t="s">
        <v>23</v>
      </c>
      <c r="M15750" t="s">
        <v>33774</v>
      </c>
      <c r="N15750" t="s">
        <v>13640</v>
      </c>
      <c r="O15750" t="s">
        <v>126</v>
      </c>
      <c r="P15750" t="s">
        <v>33775</v>
      </c>
      <c r="Q15750">
        <v>6123</v>
      </c>
      <c r="R15750" t="s">
        <v>23</v>
      </c>
      <c r="S15750" s="1" t="s">
        <v>34218</v>
      </c>
    </row>
    <row r="15751" spans="1:19" x14ac:dyDescent="0.25">
      <c r="A15751">
        <v>101291247</v>
      </c>
      <c r="B15751" t="s">
        <v>33776</v>
      </c>
      <c r="C15751" t="s">
        <v>313</v>
      </c>
      <c r="G15751" t="s">
        <v>33777</v>
      </c>
      <c r="H15751" t="s">
        <v>12127</v>
      </c>
      <c r="I15751" t="s">
        <v>52</v>
      </c>
      <c r="J15751">
        <v>34683</v>
      </c>
      <c r="K15751">
        <v>3020</v>
      </c>
      <c r="L15751" t="s">
        <v>23</v>
      </c>
      <c r="M15751" t="s">
        <v>33777</v>
      </c>
      <c r="N15751" t="s">
        <v>12127</v>
      </c>
      <c r="O15751" t="s">
        <v>52</v>
      </c>
      <c r="P15751">
        <v>34683</v>
      </c>
      <c r="Q15751">
        <v>3020</v>
      </c>
      <c r="R15751" t="s">
        <v>23</v>
      </c>
      <c r="S15751" s="1" t="s">
        <v>34218</v>
      </c>
    </row>
    <row r="15752" spans="1:19" x14ac:dyDescent="0.25">
      <c r="A15752">
        <v>101466689</v>
      </c>
      <c r="B15752" t="s">
        <v>8604</v>
      </c>
      <c r="C15752" t="s">
        <v>305</v>
      </c>
      <c r="G15752" t="s">
        <v>33778</v>
      </c>
      <c r="H15752" t="s">
        <v>227</v>
      </c>
      <c r="I15752" t="s">
        <v>43</v>
      </c>
      <c r="J15752">
        <v>97212</v>
      </c>
      <c r="L15752" t="s">
        <v>23</v>
      </c>
      <c r="M15752" t="s">
        <v>33778</v>
      </c>
      <c r="N15752" t="s">
        <v>227</v>
      </c>
      <c r="O15752" t="s">
        <v>43</v>
      </c>
      <c r="P15752">
        <v>97212</v>
      </c>
      <c r="R15752" t="s">
        <v>23</v>
      </c>
      <c r="S15752" s="1" t="s">
        <v>34218</v>
      </c>
    </row>
    <row r="15753" spans="1:19" x14ac:dyDescent="0.25">
      <c r="A15753">
        <v>101325329</v>
      </c>
      <c r="B15753" t="s">
        <v>5200</v>
      </c>
      <c r="C15753" t="s">
        <v>1309</v>
      </c>
      <c r="G15753" t="s">
        <v>33779</v>
      </c>
      <c r="H15753" t="s">
        <v>1151</v>
      </c>
      <c r="I15753" t="s">
        <v>43</v>
      </c>
      <c r="J15753" t="s">
        <v>33780</v>
      </c>
      <c r="K15753">
        <v>9087</v>
      </c>
      <c r="L15753" t="s">
        <v>23</v>
      </c>
      <c r="M15753" t="s">
        <v>33779</v>
      </c>
      <c r="N15753" t="s">
        <v>1151</v>
      </c>
      <c r="O15753" t="s">
        <v>43</v>
      </c>
      <c r="P15753" t="s">
        <v>33780</v>
      </c>
      <c r="Q15753">
        <v>9087</v>
      </c>
      <c r="R15753" t="s">
        <v>23</v>
      </c>
      <c r="S15753" s="1" t="s">
        <v>34218</v>
      </c>
    </row>
    <row r="15754" spans="1:19" x14ac:dyDescent="0.25">
      <c r="A15754">
        <v>101296354</v>
      </c>
      <c r="B15754" t="s">
        <v>33781</v>
      </c>
      <c r="C15754" t="s">
        <v>1992</v>
      </c>
      <c r="G15754" t="s">
        <v>33782</v>
      </c>
      <c r="H15754" t="s">
        <v>591</v>
      </c>
      <c r="I15754" t="s">
        <v>84</v>
      </c>
      <c r="J15754" t="s">
        <v>33783</v>
      </c>
      <c r="K15754">
        <v>6304</v>
      </c>
      <c r="L15754" t="s">
        <v>23</v>
      </c>
      <c r="M15754" t="s">
        <v>33782</v>
      </c>
      <c r="N15754" t="s">
        <v>591</v>
      </c>
      <c r="O15754" t="s">
        <v>84</v>
      </c>
      <c r="P15754" t="s">
        <v>33783</v>
      </c>
      <c r="Q15754">
        <v>6304</v>
      </c>
      <c r="R15754" t="s">
        <v>23</v>
      </c>
      <c r="S15754" s="1" t="s">
        <v>34218</v>
      </c>
    </row>
    <row r="15755" spans="1:19" x14ac:dyDescent="0.25">
      <c r="A15755">
        <v>101444990</v>
      </c>
      <c r="B15755" t="s">
        <v>5783</v>
      </c>
      <c r="C15755" t="s">
        <v>10596</v>
      </c>
      <c r="G15755" t="s">
        <v>33784</v>
      </c>
      <c r="H15755" t="s">
        <v>3186</v>
      </c>
      <c r="I15755" t="s">
        <v>22</v>
      </c>
      <c r="J15755">
        <v>90606</v>
      </c>
      <c r="L15755" t="s">
        <v>23</v>
      </c>
      <c r="M15755" t="s">
        <v>33784</v>
      </c>
      <c r="N15755" t="s">
        <v>3186</v>
      </c>
      <c r="O15755" t="s">
        <v>22</v>
      </c>
      <c r="P15755">
        <v>90606</v>
      </c>
      <c r="R15755" t="s">
        <v>23</v>
      </c>
      <c r="S15755" s="1" t="s">
        <v>34218</v>
      </c>
    </row>
    <row r="15756" spans="1:19" x14ac:dyDescent="0.25">
      <c r="A15756">
        <v>101444995</v>
      </c>
      <c r="B15756" t="s">
        <v>33785</v>
      </c>
      <c r="C15756" t="s">
        <v>33786</v>
      </c>
      <c r="G15756" t="s">
        <v>28339</v>
      </c>
      <c r="H15756" t="s">
        <v>4635</v>
      </c>
      <c r="I15756" t="s">
        <v>446</v>
      </c>
      <c r="J15756" t="s">
        <v>33787</v>
      </c>
      <c r="K15756">
        <v>970</v>
      </c>
      <c r="L15756" t="s">
        <v>23</v>
      </c>
      <c r="M15756" t="s">
        <v>28339</v>
      </c>
      <c r="N15756" t="s">
        <v>4635</v>
      </c>
      <c r="O15756" t="s">
        <v>446</v>
      </c>
      <c r="P15756" t="s">
        <v>33787</v>
      </c>
      <c r="Q15756">
        <v>970</v>
      </c>
      <c r="R15756" t="s">
        <v>23</v>
      </c>
      <c r="S15756" s="1" t="s">
        <v>34218</v>
      </c>
    </row>
    <row r="15757" spans="1:19" x14ac:dyDescent="0.25">
      <c r="A15757">
        <v>101428253</v>
      </c>
      <c r="B15757" t="s">
        <v>33788</v>
      </c>
      <c r="C15757" t="s">
        <v>123</v>
      </c>
      <c r="G15757" t="s">
        <v>33789</v>
      </c>
      <c r="H15757" t="s">
        <v>25134</v>
      </c>
      <c r="I15757" t="s">
        <v>126</v>
      </c>
      <c r="J15757" t="s">
        <v>33790</v>
      </c>
      <c r="K15757">
        <v>2542</v>
      </c>
      <c r="L15757" t="s">
        <v>23</v>
      </c>
      <c r="M15757" t="s">
        <v>33789</v>
      </c>
      <c r="N15757" t="s">
        <v>25134</v>
      </c>
      <c r="O15757" t="s">
        <v>126</v>
      </c>
      <c r="P15757" t="s">
        <v>33790</v>
      </c>
      <c r="Q15757">
        <v>2542</v>
      </c>
      <c r="R15757" t="s">
        <v>23</v>
      </c>
      <c r="S15757" s="1" t="s">
        <v>34218</v>
      </c>
    </row>
    <row r="15758" spans="1:19" x14ac:dyDescent="0.25">
      <c r="A15758">
        <v>101426717</v>
      </c>
      <c r="B15758" t="s">
        <v>6084</v>
      </c>
      <c r="C15758" t="s">
        <v>1153</v>
      </c>
      <c r="G15758" t="s">
        <v>33791</v>
      </c>
      <c r="H15758" t="s">
        <v>5908</v>
      </c>
      <c r="I15758" t="s">
        <v>52</v>
      </c>
      <c r="J15758" t="s">
        <v>33792</v>
      </c>
      <c r="K15758">
        <v>6017</v>
      </c>
      <c r="L15758" t="s">
        <v>23</v>
      </c>
      <c r="M15758" t="s">
        <v>33791</v>
      </c>
      <c r="N15758" t="s">
        <v>5908</v>
      </c>
      <c r="O15758" t="s">
        <v>52</v>
      </c>
      <c r="P15758" t="s">
        <v>33792</v>
      </c>
      <c r="Q15758">
        <v>6017</v>
      </c>
      <c r="R15758" t="s">
        <v>23</v>
      </c>
      <c r="S15758" s="1" t="s">
        <v>34218</v>
      </c>
    </row>
    <row r="15759" spans="1:19" x14ac:dyDescent="0.25">
      <c r="A15759">
        <v>101422628</v>
      </c>
      <c r="B15759" t="s">
        <v>33793</v>
      </c>
      <c r="C15759" t="s">
        <v>247</v>
      </c>
      <c r="G15759" t="s">
        <v>33794</v>
      </c>
      <c r="H15759" t="s">
        <v>1439</v>
      </c>
      <c r="I15759" t="s">
        <v>365</v>
      </c>
      <c r="J15759" t="s">
        <v>33795</v>
      </c>
      <c r="K15759">
        <v>3928</v>
      </c>
      <c r="L15759" t="s">
        <v>23</v>
      </c>
      <c r="M15759" t="s">
        <v>33794</v>
      </c>
      <c r="N15759" t="s">
        <v>1439</v>
      </c>
      <c r="O15759" t="s">
        <v>365</v>
      </c>
      <c r="P15759" t="s">
        <v>33795</v>
      </c>
      <c r="Q15759">
        <v>3928</v>
      </c>
      <c r="R15759" t="s">
        <v>23</v>
      </c>
      <c r="S15759" s="1" t="s">
        <v>34218</v>
      </c>
    </row>
    <row r="15760" spans="1:19" x14ac:dyDescent="0.25">
      <c r="A15760">
        <v>101445024</v>
      </c>
      <c r="B15760" t="s">
        <v>3881</v>
      </c>
      <c r="C15760" t="s">
        <v>440</v>
      </c>
      <c r="G15760" t="s">
        <v>33796</v>
      </c>
      <c r="H15760" t="s">
        <v>18343</v>
      </c>
      <c r="I15760" t="s">
        <v>117</v>
      </c>
      <c r="J15760" t="s">
        <v>33797</v>
      </c>
      <c r="K15760">
        <v>1548</v>
      </c>
      <c r="L15760" t="s">
        <v>23</v>
      </c>
      <c r="M15760" t="s">
        <v>33796</v>
      </c>
      <c r="N15760" t="s">
        <v>18343</v>
      </c>
      <c r="O15760" t="s">
        <v>117</v>
      </c>
      <c r="P15760" t="s">
        <v>33797</v>
      </c>
      <c r="Q15760">
        <v>1548</v>
      </c>
      <c r="R15760" t="s">
        <v>23</v>
      </c>
      <c r="S15760" s="1" t="s">
        <v>34218</v>
      </c>
    </row>
    <row r="15761" spans="1:19" x14ac:dyDescent="0.25">
      <c r="A15761">
        <v>101427458</v>
      </c>
      <c r="B15761" t="s">
        <v>2183</v>
      </c>
      <c r="C15761" t="s">
        <v>2576</v>
      </c>
      <c r="G15761" t="s">
        <v>33798</v>
      </c>
      <c r="H15761" t="s">
        <v>88</v>
      </c>
      <c r="I15761" t="s">
        <v>22</v>
      </c>
      <c r="J15761" t="s">
        <v>33799</v>
      </c>
      <c r="K15761">
        <v>3917</v>
      </c>
      <c r="L15761" t="s">
        <v>23</v>
      </c>
      <c r="M15761" t="s">
        <v>33798</v>
      </c>
      <c r="N15761" t="s">
        <v>88</v>
      </c>
      <c r="O15761" t="s">
        <v>22</v>
      </c>
      <c r="P15761" t="s">
        <v>33799</v>
      </c>
      <c r="Q15761">
        <v>3917</v>
      </c>
      <c r="R15761" t="s">
        <v>23</v>
      </c>
      <c r="S15761" s="1" t="s">
        <v>34218</v>
      </c>
    </row>
    <row r="15762" spans="1:19" x14ac:dyDescent="0.25">
      <c r="A15762">
        <v>101430667</v>
      </c>
      <c r="B15762" t="s">
        <v>2531</v>
      </c>
      <c r="C15762" t="s">
        <v>8144</v>
      </c>
      <c r="G15762" t="s">
        <v>33800</v>
      </c>
      <c r="H15762" t="s">
        <v>134</v>
      </c>
      <c r="I15762" t="s">
        <v>135</v>
      </c>
      <c r="J15762" t="s">
        <v>33801</v>
      </c>
      <c r="K15762">
        <v>4245</v>
      </c>
      <c r="L15762" t="s">
        <v>23</v>
      </c>
      <c r="M15762" t="s">
        <v>33800</v>
      </c>
      <c r="N15762" t="s">
        <v>134</v>
      </c>
      <c r="O15762" t="s">
        <v>135</v>
      </c>
      <c r="P15762" t="s">
        <v>33801</v>
      </c>
      <c r="Q15762">
        <v>4245</v>
      </c>
      <c r="R15762" t="s">
        <v>23</v>
      </c>
      <c r="S15762" s="1" t="s">
        <v>34218</v>
      </c>
    </row>
    <row r="15763" spans="1:19" x14ac:dyDescent="0.25">
      <c r="A15763">
        <v>101423513</v>
      </c>
      <c r="B15763" t="s">
        <v>654</v>
      </c>
      <c r="C15763" t="s">
        <v>641</v>
      </c>
      <c r="G15763" t="s">
        <v>33802</v>
      </c>
      <c r="H15763" t="s">
        <v>31843</v>
      </c>
      <c r="I15763" t="s">
        <v>22</v>
      </c>
      <c r="J15763" t="s">
        <v>33803</v>
      </c>
      <c r="K15763">
        <v>7110</v>
      </c>
      <c r="L15763" t="s">
        <v>23</v>
      </c>
      <c r="M15763" t="s">
        <v>33802</v>
      </c>
      <c r="N15763" t="s">
        <v>31843</v>
      </c>
      <c r="O15763" t="s">
        <v>22</v>
      </c>
      <c r="P15763" t="s">
        <v>33803</v>
      </c>
      <c r="Q15763">
        <v>7110</v>
      </c>
      <c r="R15763" t="s">
        <v>23</v>
      </c>
      <c r="S15763" s="1" t="s">
        <v>34218</v>
      </c>
    </row>
    <row r="15764" spans="1:19" x14ac:dyDescent="0.25">
      <c r="A15764">
        <v>101424087</v>
      </c>
      <c r="B15764" t="s">
        <v>33804</v>
      </c>
      <c r="C15764" t="s">
        <v>1873</v>
      </c>
      <c r="G15764" t="s">
        <v>33805</v>
      </c>
      <c r="H15764" t="s">
        <v>13808</v>
      </c>
      <c r="I15764" t="s">
        <v>135</v>
      </c>
      <c r="J15764" t="s">
        <v>33806</v>
      </c>
      <c r="K15764">
        <v>1562</v>
      </c>
      <c r="L15764" t="s">
        <v>23</v>
      </c>
      <c r="M15764" t="s">
        <v>33805</v>
      </c>
      <c r="N15764" t="s">
        <v>13808</v>
      </c>
      <c r="O15764" t="s">
        <v>135</v>
      </c>
      <c r="P15764" t="s">
        <v>33806</v>
      </c>
      <c r="Q15764">
        <v>1562</v>
      </c>
      <c r="R15764" t="s">
        <v>23</v>
      </c>
      <c r="S15764" s="1" t="s">
        <v>34218</v>
      </c>
    </row>
    <row r="15765" spans="1:19" x14ac:dyDescent="0.25">
      <c r="A15765">
        <v>101400790</v>
      </c>
      <c r="B15765" t="s">
        <v>33807</v>
      </c>
      <c r="C15765" t="s">
        <v>550</v>
      </c>
      <c r="G15765" t="s">
        <v>33808</v>
      </c>
      <c r="H15765" t="s">
        <v>461</v>
      </c>
      <c r="I15765" t="s">
        <v>161</v>
      </c>
      <c r="J15765" t="s">
        <v>33809</v>
      </c>
      <c r="K15765">
        <v>1111</v>
      </c>
      <c r="L15765" t="s">
        <v>23</v>
      </c>
      <c r="M15765" t="s">
        <v>33808</v>
      </c>
      <c r="N15765" t="s">
        <v>461</v>
      </c>
      <c r="O15765" t="s">
        <v>161</v>
      </c>
      <c r="P15765" t="s">
        <v>33809</v>
      </c>
      <c r="Q15765">
        <v>1111</v>
      </c>
      <c r="R15765" t="s">
        <v>23</v>
      </c>
      <c r="S15765" s="1" t="s">
        <v>34218</v>
      </c>
    </row>
    <row r="15766" spans="1:19" x14ac:dyDescent="0.25">
      <c r="A15766">
        <v>101424039</v>
      </c>
      <c r="B15766" t="s">
        <v>7081</v>
      </c>
      <c r="C15766" t="s">
        <v>119</v>
      </c>
      <c r="G15766" t="s">
        <v>33810</v>
      </c>
      <c r="H15766" t="s">
        <v>8046</v>
      </c>
      <c r="I15766" t="s">
        <v>178</v>
      </c>
      <c r="J15766" t="s">
        <v>33811</v>
      </c>
      <c r="K15766">
        <v>1385</v>
      </c>
      <c r="L15766" t="s">
        <v>23</v>
      </c>
      <c r="M15766" t="s">
        <v>33810</v>
      </c>
      <c r="N15766" t="s">
        <v>8046</v>
      </c>
      <c r="O15766" t="s">
        <v>178</v>
      </c>
      <c r="P15766" t="s">
        <v>33811</v>
      </c>
      <c r="Q15766">
        <v>1385</v>
      </c>
      <c r="R15766" t="s">
        <v>23</v>
      </c>
      <c r="S15766" s="1" t="s">
        <v>34218</v>
      </c>
    </row>
    <row r="15767" spans="1:19" x14ac:dyDescent="0.25">
      <c r="A15767">
        <v>101431357</v>
      </c>
      <c r="B15767" t="s">
        <v>13541</v>
      </c>
      <c r="C15767" t="s">
        <v>1208</v>
      </c>
      <c r="G15767" t="s">
        <v>33812</v>
      </c>
      <c r="H15767" t="s">
        <v>19151</v>
      </c>
      <c r="I15767" t="s">
        <v>178</v>
      </c>
      <c r="J15767" t="s">
        <v>33813</v>
      </c>
      <c r="K15767">
        <v>2672</v>
      </c>
      <c r="L15767" t="s">
        <v>23</v>
      </c>
      <c r="M15767" t="s">
        <v>33812</v>
      </c>
      <c r="N15767" t="s">
        <v>19151</v>
      </c>
      <c r="O15767" t="s">
        <v>178</v>
      </c>
      <c r="P15767" t="s">
        <v>33813</v>
      </c>
      <c r="Q15767">
        <v>2672</v>
      </c>
      <c r="R15767" t="s">
        <v>23</v>
      </c>
      <c r="S15767" s="1" t="s">
        <v>34218</v>
      </c>
    </row>
    <row r="15768" spans="1:19" x14ac:dyDescent="0.25">
      <c r="A15768">
        <v>101420500</v>
      </c>
      <c r="B15768" t="s">
        <v>33814</v>
      </c>
      <c r="C15768" t="s">
        <v>3402</v>
      </c>
      <c r="G15768" t="s">
        <v>33815</v>
      </c>
      <c r="H15768" t="s">
        <v>2375</v>
      </c>
      <c r="I15768" t="s">
        <v>100</v>
      </c>
      <c r="J15768" t="s">
        <v>33816</v>
      </c>
      <c r="K15768">
        <v>2908</v>
      </c>
      <c r="L15768" t="s">
        <v>23</v>
      </c>
      <c r="M15768" t="s">
        <v>33815</v>
      </c>
      <c r="N15768" t="s">
        <v>2375</v>
      </c>
      <c r="O15768" t="s">
        <v>100</v>
      </c>
      <c r="P15768" t="s">
        <v>33816</v>
      </c>
      <c r="Q15768">
        <v>2908</v>
      </c>
      <c r="R15768" t="s">
        <v>23</v>
      </c>
      <c r="S15768" s="1" t="s">
        <v>34218</v>
      </c>
    </row>
    <row r="15769" spans="1:19" x14ac:dyDescent="0.25">
      <c r="A15769">
        <v>100888997</v>
      </c>
      <c r="B15769" t="s">
        <v>3726</v>
      </c>
      <c r="C15769" t="s">
        <v>1176</v>
      </c>
      <c r="G15769" t="s">
        <v>33817</v>
      </c>
      <c r="H15769" t="s">
        <v>5517</v>
      </c>
      <c r="I15769" t="s">
        <v>135</v>
      </c>
      <c r="J15769" t="s">
        <v>33818</v>
      </c>
      <c r="K15769">
        <v>2041</v>
      </c>
      <c r="L15769" t="s">
        <v>23</v>
      </c>
      <c r="M15769" t="s">
        <v>33817</v>
      </c>
      <c r="N15769" t="s">
        <v>5517</v>
      </c>
      <c r="O15769" t="s">
        <v>135</v>
      </c>
      <c r="P15769" t="s">
        <v>33818</v>
      </c>
      <c r="Q15769">
        <v>2041</v>
      </c>
      <c r="R15769" t="s">
        <v>23</v>
      </c>
      <c r="S15769" s="1" t="s">
        <v>34218</v>
      </c>
    </row>
    <row r="15770" spans="1:19" x14ac:dyDescent="0.25">
      <c r="A15770">
        <v>100936940</v>
      </c>
      <c r="B15770" t="s">
        <v>30033</v>
      </c>
      <c r="C15770" t="s">
        <v>585</v>
      </c>
      <c r="G15770" t="s">
        <v>33819</v>
      </c>
      <c r="H15770" t="s">
        <v>11875</v>
      </c>
      <c r="I15770" t="s">
        <v>22</v>
      </c>
      <c r="J15770" t="s">
        <v>33820</v>
      </c>
      <c r="K15770">
        <v>640</v>
      </c>
      <c r="L15770" t="s">
        <v>23</v>
      </c>
      <c r="M15770" t="s">
        <v>33819</v>
      </c>
      <c r="N15770" t="s">
        <v>11875</v>
      </c>
      <c r="O15770" t="s">
        <v>22</v>
      </c>
      <c r="P15770" t="s">
        <v>33820</v>
      </c>
      <c r="Q15770">
        <v>640</v>
      </c>
      <c r="R15770" t="s">
        <v>23</v>
      </c>
      <c r="S15770" s="1" t="s">
        <v>34218</v>
      </c>
    </row>
    <row r="15771" spans="1:19" x14ac:dyDescent="0.25">
      <c r="A15771">
        <v>101298786</v>
      </c>
      <c r="B15771" t="s">
        <v>33821</v>
      </c>
      <c r="C15771" t="s">
        <v>1415</v>
      </c>
      <c r="G15771" t="s">
        <v>33822</v>
      </c>
      <c r="H15771" t="s">
        <v>1130</v>
      </c>
      <c r="I15771" t="s">
        <v>22</v>
      </c>
      <c r="J15771" t="s">
        <v>33823</v>
      </c>
      <c r="K15771">
        <v>3032</v>
      </c>
      <c r="L15771" t="s">
        <v>23</v>
      </c>
      <c r="M15771" t="s">
        <v>33822</v>
      </c>
      <c r="N15771" t="s">
        <v>1130</v>
      </c>
      <c r="O15771" t="s">
        <v>22</v>
      </c>
      <c r="P15771" t="s">
        <v>33823</v>
      </c>
      <c r="Q15771">
        <v>3032</v>
      </c>
      <c r="R15771" t="s">
        <v>23</v>
      </c>
      <c r="S15771" s="1" t="s">
        <v>34218</v>
      </c>
    </row>
    <row r="15772" spans="1:19" x14ac:dyDescent="0.25">
      <c r="A15772">
        <v>101436433</v>
      </c>
      <c r="B15772" t="s">
        <v>33824</v>
      </c>
      <c r="C15772" t="s">
        <v>579</v>
      </c>
      <c r="G15772" t="s">
        <v>33825</v>
      </c>
      <c r="H15772" t="s">
        <v>6781</v>
      </c>
      <c r="I15772" t="s">
        <v>33</v>
      </c>
      <c r="J15772" t="s">
        <v>33826</v>
      </c>
      <c r="K15772">
        <v>5202</v>
      </c>
      <c r="L15772" t="s">
        <v>23</v>
      </c>
      <c r="M15772" t="s">
        <v>33825</v>
      </c>
      <c r="N15772" t="s">
        <v>6781</v>
      </c>
      <c r="O15772" t="s">
        <v>33</v>
      </c>
      <c r="P15772" t="s">
        <v>33826</v>
      </c>
      <c r="Q15772">
        <v>5202</v>
      </c>
      <c r="R15772" t="s">
        <v>23</v>
      </c>
      <c r="S15772" s="1" t="s">
        <v>34218</v>
      </c>
    </row>
    <row r="15773" spans="1:19" x14ac:dyDescent="0.25">
      <c r="A15773">
        <v>100778621</v>
      </c>
      <c r="B15773" t="s">
        <v>33827</v>
      </c>
      <c r="C15773" t="s">
        <v>77</v>
      </c>
      <c r="G15773" t="s">
        <v>33828</v>
      </c>
      <c r="H15773" t="s">
        <v>1196</v>
      </c>
      <c r="I15773" t="s">
        <v>52</v>
      </c>
      <c r="J15773" t="s">
        <v>33829</v>
      </c>
      <c r="K15773">
        <v>3045</v>
      </c>
      <c r="L15773" t="s">
        <v>23</v>
      </c>
      <c r="M15773" t="s">
        <v>33828</v>
      </c>
      <c r="N15773" t="s">
        <v>1196</v>
      </c>
      <c r="O15773" t="s">
        <v>52</v>
      </c>
      <c r="P15773" t="s">
        <v>33829</v>
      </c>
      <c r="Q15773">
        <v>3045</v>
      </c>
      <c r="R15773" t="s">
        <v>23</v>
      </c>
      <c r="S15773" s="1" t="s">
        <v>34218</v>
      </c>
    </row>
    <row r="15774" spans="1:19" x14ac:dyDescent="0.25">
      <c r="A15774">
        <v>101258697</v>
      </c>
      <c r="B15774" t="s">
        <v>8391</v>
      </c>
      <c r="C15774" t="s">
        <v>33830</v>
      </c>
      <c r="G15774" t="s">
        <v>33831</v>
      </c>
      <c r="H15774" t="s">
        <v>6136</v>
      </c>
      <c r="I15774" t="s">
        <v>22</v>
      </c>
      <c r="J15774" t="s">
        <v>33832</v>
      </c>
      <c r="K15774">
        <v>2908</v>
      </c>
      <c r="L15774" t="s">
        <v>23</v>
      </c>
      <c r="M15774" t="s">
        <v>33831</v>
      </c>
      <c r="N15774" t="s">
        <v>6136</v>
      </c>
      <c r="O15774" t="s">
        <v>22</v>
      </c>
      <c r="P15774" t="s">
        <v>33832</v>
      </c>
      <c r="Q15774">
        <v>2908</v>
      </c>
      <c r="R15774" t="s">
        <v>23</v>
      </c>
      <c r="S15774" s="1" t="s">
        <v>34218</v>
      </c>
    </row>
    <row r="15775" spans="1:19" x14ac:dyDescent="0.25">
      <c r="A15775">
        <v>101431446</v>
      </c>
      <c r="B15775" t="s">
        <v>7383</v>
      </c>
      <c r="C15775" t="s">
        <v>1327</v>
      </c>
      <c r="G15775" t="s">
        <v>33833</v>
      </c>
      <c r="H15775" t="s">
        <v>33834</v>
      </c>
      <c r="I15775" t="s">
        <v>33</v>
      </c>
      <c r="J15775" t="s">
        <v>33835</v>
      </c>
      <c r="K15775">
        <v>9663</v>
      </c>
      <c r="L15775" t="s">
        <v>23</v>
      </c>
      <c r="M15775" t="s">
        <v>33833</v>
      </c>
      <c r="N15775" t="s">
        <v>33834</v>
      </c>
      <c r="O15775" t="s">
        <v>33</v>
      </c>
      <c r="P15775" t="s">
        <v>33835</v>
      </c>
      <c r="Q15775">
        <v>9663</v>
      </c>
      <c r="R15775" t="s">
        <v>23</v>
      </c>
      <c r="S15775" s="1" t="s">
        <v>34218</v>
      </c>
    </row>
    <row r="15776" spans="1:19" x14ac:dyDescent="0.25">
      <c r="A15776">
        <v>101480695</v>
      </c>
      <c r="B15776" t="s">
        <v>33836</v>
      </c>
      <c r="C15776" t="s">
        <v>20874</v>
      </c>
      <c r="G15776" t="s">
        <v>33837</v>
      </c>
      <c r="H15776" t="s">
        <v>7838</v>
      </c>
      <c r="I15776" t="s">
        <v>7839</v>
      </c>
      <c r="J15776">
        <v>58103</v>
      </c>
      <c r="K15776">
        <v>7860</v>
      </c>
      <c r="L15776" t="s">
        <v>23</v>
      </c>
      <c r="M15776" t="s">
        <v>33837</v>
      </c>
      <c r="N15776" t="s">
        <v>7838</v>
      </c>
      <c r="O15776" t="s">
        <v>7839</v>
      </c>
      <c r="P15776">
        <v>58103</v>
      </c>
      <c r="Q15776">
        <v>7860</v>
      </c>
      <c r="R15776" t="s">
        <v>23</v>
      </c>
      <c r="S15776" s="1" t="s">
        <v>34218</v>
      </c>
    </row>
    <row r="15777" spans="1:19" x14ac:dyDescent="0.25">
      <c r="A15777">
        <v>101449551</v>
      </c>
      <c r="B15777" t="s">
        <v>33838</v>
      </c>
      <c r="C15777" t="s">
        <v>2127</v>
      </c>
      <c r="G15777" t="s">
        <v>33839</v>
      </c>
      <c r="H15777" t="s">
        <v>5998</v>
      </c>
      <c r="I15777" t="s">
        <v>914</v>
      </c>
      <c r="J15777">
        <v>38104</v>
      </c>
      <c r="K15777">
        <v>4215</v>
      </c>
      <c r="L15777" t="s">
        <v>23</v>
      </c>
      <c r="M15777" t="s">
        <v>33839</v>
      </c>
      <c r="N15777" t="s">
        <v>5998</v>
      </c>
      <c r="O15777" t="s">
        <v>914</v>
      </c>
      <c r="P15777">
        <v>38104</v>
      </c>
      <c r="Q15777">
        <v>4215</v>
      </c>
      <c r="R15777" t="s">
        <v>23</v>
      </c>
      <c r="S15777" s="1" t="s">
        <v>34218</v>
      </c>
    </row>
    <row r="15778" spans="1:19" x14ac:dyDescent="0.25">
      <c r="A15778">
        <v>101432315</v>
      </c>
      <c r="B15778" t="s">
        <v>33840</v>
      </c>
      <c r="C15778" t="s">
        <v>483</v>
      </c>
      <c r="G15778" t="s">
        <v>33841</v>
      </c>
      <c r="H15778" t="s">
        <v>569</v>
      </c>
      <c r="I15778" t="s">
        <v>187</v>
      </c>
      <c r="J15778">
        <v>55405</v>
      </c>
      <c r="K15778">
        <v>2751</v>
      </c>
      <c r="L15778" t="s">
        <v>23</v>
      </c>
      <c r="M15778" t="s">
        <v>33841</v>
      </c>
      <c r="N15778" t="s">
        <v>569</v>
      </c>
      <c r="O15778" t="s">
        <v>187</v>
      </c>
      <c r="P15778">
        <v>55405</v>
      </c>
      <c r="Q15778">
        <v>2751</v>
      </c>
      <c r="R15778" t="s">
        <v>23</v>
      </c>
      <c r="S15778" s="1" t="s">
        <v>34218</v>
      </c>
    </row>
    <row r="15779" spans="1:19" x14ac:dyDescent="0.25">
      <c r="A15779">
        <v>101418686</v>
      </c>
      <c r="B15779" t="s">
        <v>33842</v>
      </c>
      <c r="C15779" t="s">
        <v>33843</v>
      </c>
      <c r="G15779" t="s">
        <v>33844</v>
      </c>
      <c r="H15779" t="s">
        <v>19486</v>
      </c>
      <c r="I15779" t="s">
        <v>43</v>
      </c>
      <c r="J15779">
        <v>50400</v>
      </c>
      <c r="L15779" t="s">
        <v>23</v>
      </c>
      <c r="M15779" t="s">
        <v>33844</v>
      </c>
      <c r="N15779" t="s">
        <v>19486</v>
      </c>
      <c r="O15779" t="s">
        <v>43</v>
      </c>
      <c r="P15779">
        <v>50400</v>
      </c>
      <c r="R15779" t="s">
        <v>23</v>
      </c>
      <c r="S15779" s="1" t="s">
        <v>34218</v>
      </c>
    </row>
    <row r="15780" spans="1:19" x14ac:dyDescent="0.25">
      <c r="A15780">
        <v>101231098</v>
      </c>
      <c r="B15780" t="s">
        <v>1007</v>
      </c>
      <c r="C15780" t="s">
        <v>33845</v>
      </c>
      <c r="G15780" t="s">
        <v>33846</v>
      </c>
      <c r="H15780" t="s">
        <v>1863</v>
      </c>
      <c r="I15780" t="s">
        <v>126</v>
      </c>
      <c r="J15780" t="s">
        <v>33847</v>
      </c>
      <c r="K15780">
        <v>1709</v>
      </c>
      <c r="L15780" t="s">
        <v>23</v>
      </c>
      <c r="M15780" t="s">
        <v>33846</v>
      </c>
      <c r="N15780" t="s">
        <v>1863</v>
      </c>
      <c r="O15780" t="s">
        <v>126</v>
      </c>
      <c r="P15780" t="s">
        <v>33847</v>
      </c>
      <c r="Q15780">
        <v>1709</v>
      </c>
      <c r="R15780" t="s">
        <v>23</v>
      </c>
      <c r="S15780" s="1" t="s">
        <v>34218</v>
      </c>
    </row>
    <row r="15781" spans="1:19" x14ac:dyDescent="0.25">
      <c r="A15781">
        <v>101431584</v>
      </c>
      <c r="B15781" t="s">
        <v>33848</v>
      </c>
      <c r="C15781" t="s">
        <v>17132</v>
      </c>
      <c r="G15781" t="s">
        <v>33849</v>
      </c>
      <c r="H15781" t="s">
        <v>653</v>
      </c>
      <c r="I15781" t="s">
        <v>117</v>
      </c>
      <c r="J15781" t="s">
        <v>33850</v>
      </c>
      <c r="K15781">
        <v>2550</v>
      </c>
      <c r="L15781" t="s">
        <v>23</v>
      </c>
      <c r="M15781" t="s">
        <v>33849</v>
      </c>
      <c r="N15781" t="s">
        <v>653</v>
      </c>
      <c r="O15781" t="s">
        <v>117</v>
      </c>
      <c r="P15781" t="s">
        <v>33850</v>
      </c>
      <c r="Q15781">
        <v>2550</v>
      </c>
      <c r="R15781" t="s">
        <v>23</v>
      </c>
      <c r="S15781" s="1" t="s">
        <v>34218</v>
      </c>
    </row>
    <row r="15782" spans="1:19" x14ac:dyDescent="0.25">
      <c r="A15782">
        <v>101427161</v>
      </c>
      <c r="B15782" t="s">
        <v>33851</v>
      </c>
      <c r="C15782" t="s">
        <v>535</v>
      </c>
      <c r="G15782" t="s">
        <v>33852</v>
      </c>
      <c r="H15782" t="s">
        <v>56</v>
      </c>
      <c r="I15782" t="s">
        <v>57</v>
      </c>
      <c r="J15782" t="s">
        <v>33853</v>
      </c>
      <c r="K15782">
        <v>8226</v>
      </c>
      <c r="L15782" t="s">
        <v>23</v>
      </c>
      <c r="M15782" t="s">
        <v>33852</v>
      </c>
      <c r="N15782" t="s">
        <v>56</v>
      </c>
      <c r="O15782" t="s">
        <v>57</v>
      </c>
      <c r="P15782" t="s">
        <v>33853</v>
      </c>
      <c r="Q15782">
        <v>8226</v>
      </c>
      <c r="R15782" t="s">
        <v>23</v>
      </c>
      <c r="S15782" s="1" t="s">
        <v>34218</v>
      </c>
    </row>
    <row r="15783" spans="1:19" x14ac:dyDescent="0.25">
      <c r="A15783">
        <v>101243358</v>
      </c>
      <c r="B15783" t="s">
        <v>24309</v>
      </c>
      <c r="C15783" t="s">
        <v>33854</v>
      </c>
      <c r="G15783" t="s">
        <v>33855</v>
      </c>
      <c r="H15783" t="s">
        <v>7039</v>
      </c>
      <c r="I15783" t="s">
        <v>236</v>
      </c>
      <c r="J15783" t="s">
        <v>33856</v>
      </c>
      <c r="K15783">
        <v>3010</v>
      </c>
      <c r="L15783" t="s">
        <v>23</v>
      </c>
      <c r="M15783" t="s">
        <v>33855</v>
      </c>
      <c r="N15783" t="s">
        <v>7039</v>
      </c>
      <c r="O15783" t="s">
        <v>236</v>
      </c>
      <c r="P15783" t="s">
        <v>33856</v>
      </c>
      <c r="Q15783">
        <v>3010</v>
      </c>
      <c r="R15783" t="s">
        <v>23</v>
      </c>
      <c r="S15783" s="1" t="s">
        <v>34218</v>
      </c>
    </row>
    <row r="15784" spans="1:19" x14ac:dyDescent="0.25">
      <c r="A15784">
        <v>101312707</v>
      </c>
      <c r="B15784" t="s">
        <v>33857</v>
      </c>
      <c r="C15784" t="s">
        <v>403</v>
      </c>
      <c r="G15784" t="s">
        <v>33858</v>
      </c>
      <c r="H15784" t="s">
        <v>15574</v>
      </c>
      <c r="I15784" t="s">
        <v>57</v>
      </c>
      <c r="J15784" t="s">
        <v>33859</v>
      </c>
      <c r="K15784">
        <v>8200</v>
      </c>
      <c r="L15784" t="s">
        <v>23</v>
      </c>
      <c r="M15784" t="s">
        <v>33858</v>
      </c>
      <c r="N15784" t="s">
        <v>15574</v>
      </c>
      <c r="O15784" t="s">
        <v>57</v>
      </c>
      <c r="P15784" t="s">
        <v>33859</v>
      </c>
      <c r="Q15784">
        <v>8200</v>
      </c>
      <c r="R15784" t="s">
        <v>23</v>
      </c>
      <c r="S15784" s="1" t="s">
        <v>34218</v>
      </c>
    </row>
    <row r="15785" spans="1:19" x14ac:dyDescent="0.25">
      <c r="A15785">
        <v>101249247</v>
      </c>
      <c r="B15785" t="s">
        <v>33860</v>
      </c>
      <c r="C15785" t="s">
        <v>33861</v>
      </c>
      <c r="G15785" t="s">
        <v>33862</v>
      </c>
      <c r="H15785" t="s">
        <v>496</v>
      </c>
      <c r="I15785" t="s">
        <v>22</v>
      </c>
      <c r="J15785" t="s">
        <v>33863</v>
      </c>
      <c r="K15785">
        <v>3221</v>
      </c>
      <c r="L15785" t="s">
        <v>23</v>
      </c>
      <c r="M15785" t="s">
        <v>33862</v>
      </c>
      <c r="N15785" t="s">
        <v>496</v>
      </c>
      <c r="O15785" t="s">
        <v>22</v>
      </c>
      <c r="P15785" t="s">
        <v>33863</v>
      </c>
      <c r="Q15785">
        <v>3221</v>
      </c>
      <c r="R15785" t="s">
        <v>23</v>
      </c>
      <c r="S15785" s="1" t="s">
        <v>34218</v>
      </c>
    </row>
    <row r="15786" spans="1:19" x14ac:dyDescent="0.25">
      <c r="A15786">
        <v>101257433</v>
      </c>
      <c r="B15786" t="s">
        <v>3383</v>
      </c>
      <c r="C15786" t="s">
        <v>699</v>
      </c>
      <c r="G15786" t="s">
        <v>33864</v>
      </c>
      <c r="H15786" t="s">
        <v>1531</v>
      </c>
      <c r="I15786" t="s">
        <v>84</v>
      </c>
      <c r="J15786" t="s">
        <v>33865</v>
      </c>
      <c r="K15786">
        <v>1516</v>
      </c>
      <c r="L15786" t="s">
        <v>23</v>
      </c>
      <c r="M15786" t="s">
        <v>33864</v>
      </c>
      <c r="N15786" t="s">
        <v>1531</v>
      </c>
      <c r="O15786" t="s">
        <v>84</v>
      </c>
      <c r="P15786" t="s">
        <v>33865</v>
      </c>
      <c r="Q15786">
        <v>1516</v>
      </c>
      <c r="R15786" t="s">
        <v>23</v>
      </c>
      <c r="S15786" s="1" t="s">
        <v>34218</v>
      </c>
    </row>
    <row r="15787" spans="1:19" x14ac:dyDescent="0.25">
      <c r="A15787">
        <v>101429957</v>
      </c>
      <c r="B15787" t="s">
        <v>31806</v>
      </c>
      <c r="C15787" t="s">
        <v>1157</v>
      </c>
      <c r="G15787" t="s">
        <v>33866</v>
      </c>
      <c r="H15787" t="s">
        <v>1766</v>
      </c>
      <c r="I15787" t="s">
        <v>22</v>
      </c>
      <c r="J15787" t="s">
        <v>33867</v>
      </c>
      <c r="K15787">
        <v>4712</v>
      </c>
      <c r="L15787" t="s">
        <v>23</v>
      </c>
      <c r="M15787" t="s">
        <v>33866</v>
      </c>
      <c r="N15787" t="s">
        <v>1766</v>
      </c>
      <c r="O15787" t="s">
        <v>22</v>
      </c>
      <c r="P15787" t="s">
        <v>33867</v>
      </c>
      <c r="Q15787">
        <v>4712</v>
      </c>
      <c r="R15787" t="s">
        <v>23</v>
      </c>
      <c r="S15787" s="1" t="s">
        <v>34218</v>
      </c>
    </row>
    <row r="15788" spans="1:19" x14ac:dyDescent="0.25">
      <c r="A15788">
        <v>101437279</v>
      </c>
      <c r="B15788" t="s">
        <v>4719</v>
      </c>
      <c r="C15788" t="s">
        <v>33868</v>
      </c>
      <c r="G15788" t="s">
        <v>33869</v>
      </c>
      <c r="H15788" t="s">
        <v>8037</v>
      </c>
      <c r="I15788" t="s">
        <v>22</v>
      </c>
      <c r="J15788" t="s">
        <v>33870</v>
      </c>
      <c r="K15788">
        <v>8330</v>
      </c>
      <c r="L15788" t="s">
        <v>23</v>
      </c>
      <c r="M15788" t="s">
        <v>33869</v>
      </c>
      <c r="N15788" t="s">
        <v>8037</v>
      </c>
      <c r="O15788" t="s">
        <v>22</v>
      </c>
      <c r="P15788" t="s">
        <v>33870</v>
      </c>
      <c r="Q15788">
        <v>8330</v>
      </c>
      <c r="R15788" t="s">
        <v>23</v>
      </c>
      <c r="S15788" s="1" t="s">
        <v>34218</v>
      </c>
    </row>
    <row r="15789" spans="1:19" x14ac:dyDescent="0.25">
      <c r="A15789">
        <v>101232509</v>
      </c>
      <c r="B15789" t="s">
        <v>33871</v>
      </c>
      <c r="C15789" t="s">
        <v>102</v>
      </c>
      <c r="G15789" t="s">
        <v>33872</v>
      </c>
      <c r="H15789" t="s">
        <v>130</v>
      </c>
      <c r="I15789" t="s">
        <v>22</v>
      </c>
      <c r="J15789" t="s">
        <v>33873</v>
      </c>
      <c r="K15789">
        <v>2642</v>
      </c>
      <c r="L15789" t="s">
        <v>23</v>
      </c>
      <c r="M15789" t="s">
        <v>33872</v>
      </c>
      <c r="N15789" t="s">
        <v>130</v>
      </c>
      <c r="O15789" t="s">
        <v>22</v>
      </c>
      <c r="P15789" t="s">
        <v>33873</v>
      </c>
      <c r="Q15789">
        <v>2642</v>
      </c>
      <c r="R15789" t="s">
        <v>23</v>
      </c>
      <c r="S15789" s="1" t="s">
        <v>34218</v>
      </c>
    </row>
    <row r="15790" spans="1:19" x14ac:dyDescent="0.25">
      <c r="A15790">
        <v>101238997</v>
      </c>
      <c r="B15790" t="s">
        <v>1864</v>
      </c>
      <c r="C15790" t="s">
        <v>5180</v>
      </c>
      <c r="G15790" t="s">
        <v>33874</v>
      </c>
      <c r="H15790" t="s">
        <v>1293</v>
      </c>
      <c r="I15790" t="s">
        <v>22</v>
      </c>
      <c r="J15790" t="s">
        <v>33875</v>
      </c>
      <c r="K15790">
        <v>4511</v>
      </c>
      <c r="L15790" t="s">
        <v>23</v>
      </c>
      <c r="M15790" t="s">
        <v>33874</v>
      </c>
      <c r="N15790" t="s">
        <v>1293</v>
      </c>
      <c r="O15790" t="s">
        <v>22</v>
      </c>
      <c r="P15790" t="s">
        <v>33875</v>
      </c>
      <c r="Q15790">
        <v>4511</v>
      </c>
      <c r="R15790" t="s">
        <v>23</v>
      </c>
      <c r="S15790" s="1" t="s">
        <v>34218</v>
      </c>
    </row>
    <row r="15791" spans="1:19" x14ac:dyDescent="0.25">
      <c r="A15791">
        <v>101273160</v>
      </c>
      <c r="B15791" t="s">
        <v>8153</v>
      </c>
      <c r="C15791" t="s">
        <v>7584</v>
      </c>
      <c r="G15791" t="s">
        <v>33876</v>
      </c>
      <c r="H15791" t="s">
        <v>7499</v>
      </c>
      <c r="I15791" t="s">
        <v>57</v>
      </c>
      <c r="J15791" t="s">
        <v>33877</v>
      </c>
      <c r="K15791">
        <v>1533</v>
      </c>
      <c r="L15791" t="s">
        <v>23</v>
      </c>
      <c r="M15791" t="s">
        <v>33876</v>
      </c>
      <c r="N15791" t="s">
        <v>7499</v>
      </c>
      <c r="O15791" t="s">
        <v>57</v>
      </c>
      <c r="P15791" t="s">
        <v>33877</v>
      </c>
      <c r="Q15791">
        <v>1533</v>
      </c>
      <c r="R15791" t="s">
        <v>23</v>
      </c>
      <c r="S15791" s="1" t="s">
        <v>34218</v>
      </c>
    </row>
    <row r="15792" spans="1:19" x14ac:dyDescent="0.25">
      <c r="A15792">
        <v>100900406</v>
      </c>
      <c r="B15792" t="s">
        <v>33878</v>
      </c>
      <c r="C15792" t="s">
        <v>579</v>
      </c>
      <c r="G15792" t="s">
        <v>33879</v>
      </c>
      <c r="H15792" t="s">
        <v>29692</v>
      </c>
      <c r="I15792" t="s">
        <v>250</v>
      </c>
      <c r="J15792" t="s">
        <v>33880</v>
      </c>
      <c r="K15792">
        <v>5440</v>
      </c>
      <c r="L15792" t="s">
        <v>23</v>
      </c>
      <c r="M15792" t="s">
        <v>33879</v>
      </c>
      <c r="N15792" t="s">
        <v>29692</v>
      </c>
      <c r="O15792" t="s">
        <v>250</v>
      </c>
      <c r="P15792" t="s">
        <v>33880</v>
      </c>
      <c r="Q15792">
        <v>5440</v>
      </c>
      <c r="R15792" t="s">
        <v>23</v>
      </c>
      <c r="S15792" s="1" t="s">
        <v>34218</v>
      </c>
    </row>
    <row r="15793" spans="1:19" x14ac:dyDescent="0.25">
      <c r="A15793">
        <v>101253303</v>
      </c>
      <c r="B15793" t="s">
        <v>1800</v>
      </c>
      <c r="C15793" t="s">
        <v>1598</v>
      </c>
      <c r="G15793" t="s">
        <v>33881</v>
      </c>
      <c r="H15793" t="s">
        <v>2798</v>
      </c>
      <c r="I15793" t="s">
        <v>307</v>
      </c>
      <c r="J15793">
        <v>5402</v>
      </c>
      <c r="L15793" t="s">
        <v>23</v>
      </c>
      <c r="M15793" t="s">
        <v>33881</v>
      </c>
      <c r="N15793" t="s">
        <v>2798</v>
      </c>
      <c r="O15793" t="s">
        <v>307</v>
      </c>
      <c r="P15793">
        <v>5402</v>
      </c>
      <c r="R15793" t="s">
        <v>23</v>
      </c>
      <c r="S15793" s="1" t="s">
        <v>34218</v>
      </c>
    </row>
    <row r="15794" spans="1:19" x14ac:dyDescent="0.25">
      <c r="A15794">
        <v>101364160</v>
      </c>
      <c r="B15794" t="s">
        <v>2891</v>
      </c>
      <c r="C15794" t="s">
        <v>1327</v>
      </c>
      <c r="G15794" t="s">
        <v>33882</v>
      </c>
      <c r="H15794" t="s">
        <v>33883</v>
      </c>
      <c r="I15794" t="s">
        <v>135</v>
      </c>
      <c r="J15794" t="s">
        <v>33884</v>
      </c>
      <c r="K15794">
        <v>5013</v>
      </c>
      <c r="L15794" t="s">
        <v>23</v>
      </c>
      <c r="M15794" t="s">
        <v>33882</v>
      </c>
      <c r="N15794" t="s">
        <v>33883</v>
      </c>
      <c r="O15794" t="s">
        <v>135</v>
      </c>
      <c r="P15794" t="s">
        <v>33884</v>
      </c>
      <c r="Q15794">
        <v>5013</v>
      </c>
      <c r="R15794" t="s">
        <v>23</v>
      </c>
      <c r="S15794" s="1" t="s">
        <v>34218</v>
      </c>
    </row>
    <row r="15795" spans="1:19" x14ac:dyDescent="0.25">
      <c r="A15795">
        <v>101414352</v>
      </c>
      <c r="B15795" t="s">
        <v>5533</v>
      </c>
      <c r="C15795" t="s">
        <v>247</v>
      </c>
      <c r="G15795" t="s">
        <v>33885</v>
      </c>
      <c r="H15795" t="s">
        <v>2342</v>
      </c>
      <c r="I15795" t="s">
        <v>52</v>
      </c>
      <c r="J15795" t="s">
        <v>33886</v>
      </c>
      <c r="K15795">
        <v>8498</v>
      </c>
      <c r="L15795" t="s">
        <v>23</v>
      </c>
      <c r="M15795" t="s">
        <v>33885</v>
      </c>
      <c r="N15795" t="s">
        <v>2342</v>
      </c>
      <c r="O15795" t="s">
        <v>52</v>
      </c>
      <c r="P15795" t="s">
        <v>33886</v>
      </c>
      <c r="Q15795">
        <v>8498</v>
      </c>
      <c r="R15795" t="s">
        <v>23</v>
      </c>
      <c r="S15795" s="1" t="s">
        <v>34218</v>
      </c>
    </row>
    <row r="15796" spans="1:19" x14ac:dyDescent="0.25">
      <c r="A15796">
        <v>101435045</v>
      </c>
      <c r="B15796" t="s">
        <v>12940</v>
      </c>
      <c r="C15796" t="s">
        <v>1374</v>
      </c>
      <c r="G15796" t="s">
        <v>33887</v>
      </c>
      <c r="H15796" t="s">
        <v>8937</v>
      </c>
      <c r="I15796" t="s">
        <v>639</v>
      </c>
      <c r="J15796" t="s">
        <v>33888</v>
      </c>
      <c r="K15796">
        <v>8315</v>
      </c>
      <c r="L15796" t="s">
        <v>23</v>
      </c>
      <c r="M15796" t="s">
        <v>33887</v>
      </c>
      <c r="N15796" t="s">
        <v>8937</v>
      </c>
      <c r="O15796" t="s">
        <v>639</v>
      </c>
      <c r="P15796" t="s">
        <v>33888</v>
      </c>
      <c r="Q15796">
        <v>8315</v>
      </c>
      <c r="R15796" t="s">
        <v>23</v>
      </c>
      <c r="S15796" s="1" t="s">
        <v>34218</v>
      </c>
    </row>
    <row r="15797" spans="1:19" x14ac:dyDescent="0.25">
      <c r="A15797">
        <v>101431279</v>
      </c>
      <c r="B15797" t="s">
        <v>465</v>
      </c>
      <c r="C15797" t="s">
        <v>579</v>
      </c>
      <c r="G15797" t="s">
        <v>33889</v>
      </c>
      <c r="H15797" t="s">
        <v>33890</v>
      </c>
      <c r="I15797" t="s">
        <v>1387</v>
      </c>
      <c r="J15797" t="s">
        <v>33891</v>
      </c>
      <c r="K15797">
        <v>4634</v>
      </c>
      <c r="L15797" t="s">
        <v>23</v>
      </c>
      <c r="M15797" t="s">
        <v>33889</v>
      </c>
      <c r="N15797" t="s">
        <v>33890</v>
      </c>
      <c r="O15797" t="s">
        <v>1387</v>
      </c>
      <c r="P15797" t="s">
        <v>33891</v>
      </c>
      <c r="Q15797">
        <v>4634</v>
      </c>
      <c r="R15797" t="s">
        <v>23</v>
      </c>
      <c r="S15797" s="1" t="s">
        <v>34218</v>
      </c>
    </row>
    <row r="15798" spans="1:19" x14ac:dyDescent="0.25">
      <c r="A15798">
        <v>101317974</v>
      </c>
      <c r="B15798" t="s">
        <v>31822</v>
      </c>
      <c r="C15798" t="s">
        <v>180</v>
      </c>
      <c r="G15798" t="s">
        <v>33892</v>
      </c>
      <c r="H15798" t="s">
        <v>5820</v>
      </c>
      <c r="I15798" t="s">
        <v>38</v>
      </c>
      <c r="J15798" t="s">
        <v>33893</v>
      </c>
      <c r="K15798">
        <v>2405</v>
      </c>
      <c r="L15798" t="s">
        <v>23</v>
      </c>
      <c r="M15798" t="s">
        <v>33892</v>
      </c>
      <c r="N15798" t="s">
        <v>5820</v>
      </c>
      <c r="O15798" t="s">
        <v>38</v>
      </c>
      <c r="P15798" t="s">
        <v>33893</v>
      </c>
      <c r="Q15798">
        <v>2405</v>
      </c>
      <c r="R15798" t="s">
        <v>23</v>
      </c>
      <c r="S15798" s="1" t="s">
        <v>34218</v>
      </c>
    </row>
    <row r="15799" spans="1:19" x14ac:dyDescent="0.25">
      <c r="A15799">
        <v>101428227</v>
      </c>
      <c r="B15799" t="s">
        <v>33894</v>
      </c>
      <c r="C15799" t="s">
        <v>5890</v>
      </c>
      <c r="G15799" t="s">
        <v>33895</v>
      </c>
      <c r="H15799" t="s">
        <v>1045</v>
      </c>
      <c r="I15799" t="s">
        <v>52</v>
      </c>
      <c r="J15799" t="s">
        <v>33896</v>
      </c>
      <c r="K15799">
        <v>2819</v>
      </c>
      <c r="L15799" t="s">
        <v>23</v>
      </c>
      <c r="M15799" t="s">
        <v>33895</v>
      </c>
      <c r="N15799" t="s">
        <v>1045</v>
      </c>
      <c r="O15799" t="s">
        <v>52</v>
      </c>
      <c r="P15799" t="s">
        <v>33896</v>
      </c>
      <c r="Q15799">
        <v>2819</v>
      </c>
      <c r="R15799" t="s">
        <v>23</v>
      </c>
      <c r="S15799" s="1" t="s">
        <v>34218</v>
      </c>
    </row>
    <row r="15800" spans="1:19" x14ac:dyDescent="0.25">
      <c r="A15800">
        <v>101389749</v>
      </c>
      <c r="B15800" t="s">
        <v>10816</v>
      </c>
      <c r="C15800" t="s">
        <v>10957</v>
      </c>
      <c r="G15800" t="s">
        <v>33897</v>
      </c>
      <c r="H15800" t="s">
        <v>976</v>
      </c>
      <c r="I15800" t="s">
        <v>140</v>
      </c>
      <c r="J15800" t="s">
        <v>33898</v>
      </c>
      <c r="K15800">
        <v>5422</v>
      </c>
      <c r="L15800" t="s">
        <v>23</v>
      </c>
      <c r="M15800" t="s">
        <v>33897</v>
      </c>
      <c r="N15800" t="s">
        <v>976</v>
      </c>
      <c r="O15800" t="s">
        <v>140</v>
      </c>
      <c r="P15800" t="s">
        <v>33898</v>
      </c>
      <c r="Q15800">
        <v>5422</v>
      </c>
      <c r="R15800" t="s">
        <v>23</v>
      </c>
      <c r="S15800" s="1" t="s">
        <v>34218</v>
      </c>
    </row>
    <row r="15801" spans="1:19" x14ac:dyDescent="0.25">
      <c r="A15801">
        <v>101432064</v>
      </c>
      <c r="B15801" t="s">
        <v>33899</v>
      </c>
      <c r="C15801" t="s">
        <v>233</v>
      </c>
      <c r="G15801" t="s">
        <v>33900</v>
      </c>
      <c r="H15801" t="s">
        <v>1424</v>
      </c>
      <c r="I15801" t="s">
        <v>117</v>
      </c>
      <c r="J15801" t="s">
        <v>33901</v>
      </c>
      <c r="K15801">
        <v>1841</v>
      </c>
      <c r="L15801" t="s">
        <v>23</v>
      </c>
      <c r="M15801" t="s">
        <v>33900</v>
      </c>
      <c r="N15801" t="s">
        <v>1424</v>
      </c>
      <c r="O15801" t="s">
        <v>117</v>
      </c>
      <c r="P15801" t="s">
        <v>33901</v>
      </c>
      <c r="Q15801">
        <v>1841</v>
      </c>
      <c r="R15801" t="s">
        <v>23</v>
      </c>
      <c r="S15801" s="1" t="s">
        <v>34218</v>
      </c>
    </row>
    <row r="15802" spans="1:19" x14ac:dyDescent="0.25">
      <c r="A15802">
        <v>101431133</v>
      </c>
      <c r="B15802" t="s">
        <v>33902</v>
      </c>
      <c r="C15802" t="s">
        <v>33903</v>
      </c>
      <c r="G15802" t="s">
        <v>33904</v>
      </c>
      <c r="H15802" t="s">
        <v>33905</v>
      </c>
      <c r="I15802" t="s">
        <v>38</v>
      </c>
      <c r="J15802" t="s">
        <v>33906</v>
      </c>
      <c r="K15802">
        <v>484</v>
      </c>
      <c r="L15802" t="s">
        <v>23</v>
      </c>
      <c r="M15802" t="s">
        <v>33904</v>
      </c>
      <c r="N15802" t="s">
        <v>33905</v>
      </c>
      <c r="O15802" t="s">
        <v>38</v>
      </c>
      <c r="P15802" t="s">
        <v>33906</v>
      </c>
      <c r="Q15802">
        <v>484</v>
      </c>
      <c r="R15802" t="s">
        <v>23</v>
      </c>
      <c r="S15802" s="1" t="s">
        <v>34218</v>
      </c>
    </row>
    <row r="15803" spans="1:19" x14ac:dyDescent="0.25">
      <c r="A15803">
        <v>101427149</v>
      </c>
      <c r="B15803" t="s">
        <v>8669</v>
      </c>
      <c r="C15803" t="s">
        <v>158</v>
      </c>
      <c r="G15803" t="s">
        <v>33907</v>
      </c>
      <c r="H15803" t="s">
        <v>33908</v>
      </c>
      <c r="I15803" t="s">
        <v>140</v>
      </c>
      <c r="J15803" t="s">
        <v>33909</v>
      </c>
      <c r="K15803">
        <v>1052</v>
      </c>
      <c r="L15803" t="s">
        <v>23</v>
      </c>
      <c r="M15803" t="s">
        <v>33907</v>
      </c>
      <c r="N15803" t="s">
        <v>33908</v>
      </c>
      <c r="O15803" t="s">
        <v>140</v>
      </c>
      <c r="P15803" t="s">
        <v>33909</v>
      </c>
      <c r="Q15803">
        <v>1052</v>
      </c>
      <c r="R15803" t="s">
        <v>23</v>
      </c>
      <c r="S15803" s="1" t="s">
        <v>34218</v>
      </c>
    </row>
    <row r="15804" spans="1:19" x14ac:dyDescent="0.25">
      <c r="A15804">
        <v>101290365</v>
      </c>
      <c r="B15804" t="s">
        <v>5180</v>
      </c>
      <c r="C15804" t="s">
        <v>644</v>
      </c>
      <c r="G15804" t="s">
        <v>33910</v>
      </c>
      <c r="H15804" t="s">
        <v>134</v>
      </c>
      <c r="I15804" t="s">
        <v>135</v>
      </c>
      <c r="J15804" t="s">
        <v>33911</v>
      </c>
      <c r="K15804">
        <v>5937</v>
      </c>
      <c r="L15804" t="s">
        <v>23</v>
      </c>
      <c r="M15804" t="s">
        <v>33910</v>
      </c>
      <c r="N15804" t="s">
        <v>134</v>
      </c>
      <c r="O15804" t="s">
        <v>135</v>
      </c>
      <c r="P15804" t="s">
        <v>33911</v>
      </c>
      <c r="Q15804">
        <v>5937</v>
      </c>
      <c r="R15804" t="s">
        <v>23</v>
      </c>
      <c r="S15804" s="1" t="s">
        <v>34218</v>
      </c>
    </row>
    <row r="15805" spans="1:19" x14ac:dyDescent="0.25">
      <c r="A15805">
        <v>101345035</v>
      </c>
      <c r="B15805" t="s">
        <v>33912</v>
      </c>
      <c r="C15805" t="s">
        <v>14254</v>
      </c>
      <c r="G15805" t="s">
        <v>33913</v>
      </c>
      <c r="H15805" t="s">
        <v>3613</v>
      </c>
      <c r="I15805" t="s">
        <v>236</v>
      </c>
      <c r="J15805" t="s">
        <v>33914</v>
      </c>
      <c r="K15805">
        <v>4404</v>
      </c>
      <c r="L15805" t="s">
        <v>23</v>
      </c>
      <c r="M15805" t="s">
        <v>33913</v>
      </c>
      <c r="N15805" t="s">
        <v>3613</v>
      </c>
      <c r="O15805" t="s">
        <v>236</v>
      </c>
      <c r="P15805" t="s">
        <v>33914</v>
      </c>
      <c r="Q15805">
        <v>4404</v>
      </c>
      <c r="R15805" t="s">
        <v>23</v>
      </c>
      <c r="S15805" s="1" t="s">
        <v>34218</v>
      </c>
    </row>
    <row r="15806" spans="1:19" x14ac:dyDescent="0.25">
      <c r="A15806">
        <v>101026522</v>
      </c>
      <c r="B15806" t="s">
        <v>33915</v>
      </c>
      <c r="C15806" t="s">
        <v>155</v>
      </c>
      <c r="G15806" t="s">
        <v>33916</v>
      </c>
      <c r="H15806" t="s">
        <v>14993</v>
      </c>
      <c r="I15806" t="s">
        <v>191</v>
      </c>
      <c r="J15806" t="s">
        <v>33917</v>
      </c>
      <c r="K15806">
        <v>3023</v>
      </c>
      <c r="L15806" t="s">
        <v>23</v>
      </c>
      <c r="M15806" t="s">
        <v>33916</v>
      </c>
      <c r="N15806" t="s">
        <v>14993</v>
      </c>
      <c r="O15806" t="s">
        <v>191</v>
      </c>
      <c r="P15806" t="s">
        <v>33917</v>
      </c>
      <c r="Q15806">
        <v>3023</v>
      </c>
      <c r="R15806" t="s">
        <v>23</v>
      </c>
      <c r="S15806" s="1" t="s">
        <v>34218</v>
      </c>
    </row>
    <row r="15807" spans="1:19" x14ac:dyDescent="0.25">
      <c r="A15807">
        <v>101267792</v>
      </c>
      <c r="B15807" t="s">
        <v>33918</v>
      </c>
      <c r="C15807" t="s">
        <v>535</v>
      </c>
      <c r="G15807" t="s">
        <v>33919</v>
      </c>
      <c r="H15807" t="s">
        <v>12365</v>
      </c>
      <c r="I15807" t="s">
        <v>236</v>
      </c>
      <c r="J15807" t="s">
        <v>33920</v>
      </c>
      <c r="K15807">
        <v>2557</v>
      </c>
      <c r="L15807" t="s">
        <v>23</v>
      </c>
      <c r="M15807" t="s">
        <v>33919</v>
      </c>
      <c r="N15807" t="s">
        <v>12365</v>
      </c>
      <c r="O15807" t="s">
        <v>236</v>
      </c>
      <c r="P15807" t="s">
        <v>33920</v>
      </c>
      <c r="Q15807">
        <v>2557</v>
      </c>
      <c r="R15807" t="s">
        <v>23</v>
      </c>
      <c r="S15807" s="1" t="s">
        <v>34218</v>
      </c>
    </row>
    <row r="15808" spans="1:19" x14ac:dyDescent="0.25">
      <c r="A15808">
        <v>100961373</v>
      </c>
      <c r="B15808" t="s">
        <v>16651</v>
      </c>
      <c r="C15808" t="s">
        <v>33921</v>
      </c>
      <c r="F15808" t="str">
        <f>"4178521248"</f>
        <v>4178521248</v>
      </c>
      <c r="G15808" t="s">
        <v>33922</v>
      </c>
      <c r="H15808" t="s">
        <v>1139</v>
      </c>
      <c r="I15808" t="s">
        <v>126</v>
      </c>
      <c r="J15808" t="s">
        <v>33923</v>
      </c>
      <c r="K15808">
        <v>9600</v>
      </c>
      <c r="L15808" t="s">
        <v>23</v>
      </c>
      <c r="M15808" t="s">
        <v>33922</v>
      </c>
      <c r="N15808" t="s">
        <v>1139</v>
      </c>
      <c r="O15808" t="s">
        <v>126</v>
      </c>
      <c r="P15808" t="s">
        <v>33923</v>
      </c>
      <c r="Q15808">
        <v>9600</v>
      </c>
      <c r="R15808" t="s">
        <v>23</v>
      </c>
      <c r="S15808" s="1" t="s">
        <v>34218</v>
      </c>
    </row>
    <row r="15809" spans="1:19" x14ac:dyDescent="0.25">
      <c r="A15809">
        <v>101266150</v>
      </c>
      <c r="B15809" t="s">
        <v>654</v>
      </c>
      <c r="C15809" t="s">
        <v>1327</v>
      </c>
      <c r="G15809" t="s">
        <v>33924</v>
      </c>
      <c r="H15809" t="s">
        <v>1867</v>
      </c>
      <c r="I15809" t="s">
        <v>353</v>
      </c>
      <c r="J15809" t="s">
        <v>33925</v>
      </c>
      <c r="K15809">
        <v>1526</v>
      </c>
      <c r="L15809" t="s">
        <v>23</v>
      </c>
      <c r="M15809" t="s">
        <v>33924</v>
      </c>
      <c r="N15809" t="s">
        <v>1867</v>
      </c>
      <c r="O15809" t="s">
        <v>353</v>
      </c>
      <c r="P15809" t="s">
        <v>33925</v>
      </c>
      <c r="Q15809">
        <v>1526</v>
      </c>
      <c r="R15809" t="s">
        <v>23</v>
      </c>
      <c r="S15809" s="1" t="s">
        <v>34218</v>
      </c>
    </row>
    <row r="15810" spans="1:19" x14ac:dyDescent="0.25">
      <c r="A15810">
        <v>101408477</v>
      </c>
      <c r="B15810" t="s">
        <v>33926</v>
      </c>
      <c r="C15810" t="s">
        <v>699</v>
      </c>
      <c r="G15810" t="s">
        <v>33927</v>
      </c>
      <c r="H15810" t="s">
        <v>19515</v>
      </c>
      <c r="I15810" t="s">
        <v>236</v>
      </c>
      <c r="J15810" t="s">
        <v>33928</v>
      </c>
      <c r="K15810">
        <v>2445</v>
      </c>
      <c r="L15810" t="s">
        <v>23</v>
      </c>
      <c r="M15810" t="s">
        <v>33927</v>
      </c>
      <c r="N15810" t="s">
        <v>19515</v>
      </c>
      <c r="O15810" t="s">
        <v>236</v>
      </c>
      <c r="P15810" t="s">
        <v>33928</v>
      </c>
      <c r="Q15810">
        <v>2445</v>
      </c>
      <c r="R15810" t="s">
        <v>23</v>
      </c>
      <c r="S15810" s="1" t="s">
        <v>34218</v>
      </c>
    </row>
    <row r="15811" spans="1:19" x14ac:dyDescent="0.25">
      <c r="A15811">
        <v>101031674</v>
      </c>
      <c r="B15811" t="s">
        <v>24667</v>
      </c>
      <c r="C15811" t="s">
        <v>33929</v>
      </c>
      <c r="G15811" t="s">
        <v>33930</v>
      </c>
      <c r="H15811" t="s">
        <v>33931</v>
      </c>
      <c r="I15811" t="s">
        <v>332</v>
      </c>
      <c r="J15811" t="s">
        <v>33932</v>
      </c>
      <c r="K15811">
        <v>1219</v>
      </c>
      <c r="L15811" t="s">
        <v>23</v>
      </c>
      <c r="M15811" t="s">
        <v>33930</v>
      </c>
      <c r="N15811" t="s">
        <v>33931</v>
      </c>
      <c r="O15811" t="s">
        <v>332</v>
      </c>
      <c r="P15811" t="s">
        <v>33932</v>
      </c>
      <c r="Q15811">
        <v>1219</v>
      </c>
      <c r="R15811" t="s">
        <v>23</v>
      </c>
      <c r="S15811" s="1" t="s">
        <v>34218</v>
      </c>
    </row>
    <row r="15812" spans="1:19" x14ac:dyDescent="0.25">
      <c r="A15812">
        <v>101450300</v>
      </c>
      <c r="B15812" t="s">
        <v>21340</v>
      </c>
      <c r="C15812" t="s">
        <v>40</v>
      </c>
      <c r="G15812" t="s">
        <v>33933</v>
      </c>
      <c r="H15812" t="s">
        <v>3373</v>
      </c>
      <c r="I15812" t="s">
        <v>178</v>
      </c>
      <c r="J15812">
        <v>44119</v>
      </c>
      <c r="K15812">
        <v>3118</v>
      </c>
      <c r="L15812" t="s">
        <v>23</v>
      </c>
      <c r="M15812" t="s">
        <v>33933</v>
      </c>
      <c r="N15812" t="s">
        <v>3373</v>
      </c>
      <c r="O15812" t="s">
        <v>178</v>
      </c>
      <c r="P15812">
        <v>44119</v>
      </c>
      <c r="Q15812">
        <v>3118</v>
      </c>
      <c r="R15812" t="s">
        <v>23</v>
      </c>
      <c r="S15812" s="1" t="s">
        <v>34218</v>
      </c>
    </row>
    <row r="15813" spans="1:19" x14ac:dyDescent="0.25">
      <c r="A15813">
        <v>101392192</v>
      </c>
      <c r="B15813" t="s">
        <v>33934</v>
      </c>
      <c r="C15813" t="s">
        <v>1218</v>
      </c>
      <c r="G15813" t="s">
        <v>33935</v>
      </c>
      <c r="H15813" t="s">
        <v>15396</v>
      </c>
      <c r="I15813" t="s">
        <v>33</v>
      </c>
      <c r="J15813">
        <v>15701</v>
      </c>
      <c r="K15813">
        <v>8446</v>
      </c>
      <c r="L15813" t="s">
        <v>23</v>
      </c>
      <c r="M15813" t="s">
        <v>33935</v>
      </c>
      <c r="N15813" t="s">
        <v>15396</v>
      </c>
      <c r="O15813" t="s">
        <v>33</v>
      </c>
      <c r="P15813">
        <v>15701</v>
      </c>
      <c r="Q15813">
        <v>8446</v>
      </c>
      <c r="R15813" t="s">
        <v>23</v>
      </c>
      <c r="S15813" s="1" t="s">
        <v>34218</v>
      </c>
    </row>
    <row r="15814" spans="1:19" x14ac:dyDescent="0.25">
      <c r="A15814">
        <v>101076954</v>
      </c>
      <c r="B15814" t="s">
        <v>33936</v>
      </c>
      <c r="C15814" t="s">
        <v>278</v>
      </c>
      <c r="G15814" t="s">
        <v>33937</v>
      </c>
      <c r="H15814" t="s">
        <v>33938</v>
      </c>
      <c r="I15814" t="s">
        <v>187</v>
      </c>
      <c r="J15814" t="s">
        <v>33939</v>
      </c>
      <c r="K15814">
        <v>9510</v>
      </c>
      <c r="L15814" t="s">
        <v>23</v>
      </c>
      <c r="M15814" t="s">
        <v>33937</v>
      </c>
      <c r="N15814" t="s">
        <v>33938</v>
      </c>
      <c r="O15814" t="s">
        <v>187</v>
      </c>
      <c r="P15814" t="s">
        <v>33939</v>
      </c>
      <c r="Q15814">
        <v>9510</v>
      </c>
      <c r="R15814" t="s">
        <v>23</v>
      </c>
      <c r="S15814" s="1" t="s">
        <v>34218</v>
      </c>
    </row>
    <row r="15815" spans="1:19" x14ac:dyDescent="0.25">
      <c r="A15815">
        <v>100582460</v>
      </c>
      <c r="B15815" t="s">
        <v>33940</v>
      </c>
      <c r="C15815" t="s">
        <v>132</v>
      </c>
      <c r="G15815" t="s">
        <v>33941</v>
      </c>
      <c r="H15815" t="s">
        <v>2396</v>
      </c>
      <c r="I15815" t="s">
        <v>52</v>
      </c>
      <c r="J15815">
        <v>32905</v>
      </c>
      <c r="L15815" t="s">
        <v>23</v>
      </c>
      <c r="M15815" t="s">
        <v>33941</v>
      </c>
      <c r="N15815" t="s">
        <v>2396</v>
      </c>
      <c r="O15815" t="s">
        <v>52</v>
      </c>
      <c r="P15815">
        <v>32905</v>
      </c>
      <c r="R15815" t="s">
        <v>23</v>
      </c>
      <c r="S15815" s="1" t="s">
        <v>34218</v>
      </c>
    </row>
    <row r="15816" spans="1:19" x14ac:dyDescent="0.25">
      <c r="A15816">
        <v>101299189</v>
      </c>
      <c r="B15816" t="s">
        <v>33942</v>
      </c>
      <c r="C15816" t="s">
        <v>428</v>
      </c>
      <c r="G15816" t="s">
        <v>33943</v>
      </c>
      <c r="H15816" t="s">
        <v>2091</v>
      </c>
      <c r="I15816" t="s">
        <v>117</v>
      </c>
      <c r="J15816">
        <v>13203</v>
      </c>
      <c r="K15816">
        <v>2417</v>
      </c>
      <c r="L15816" t="s">
        <v>23</v>
      </c>
      <c r="M15816" t="s">
        <v>33943</v>
      </c>
      <c r="N15816" t="s">
        <v>2091</v>
      </c>
      <c r="O15816" t="s">
        <v>117</v>
      </c>
      <c r="P15816">
        <v>13203</v>
      </c>
      <c r="Q15816">
        <v>2417</v>
      </c>
      <c r="R15816" t="s">
        <v>23</v>
      </c>
      <c r="S15816" s="1" t="s">
        <v>34218</v>
      </c>
    </row>
    <row r="15817" spans="1:19" x14ac:dyDescent="0.25">
      <c r="A15817">
        <v>100571211</v>
      </c>
      <c r="B15817" t="s">
        <v>5585</v>
      </c>
      <c r="C15817" t="s">
        <v>4188</v>
      </c>
      <c r="G15817" t="s">
        <v>33944</v>
      </c>
      <c r="H15817" t="s">
        <v>4391</v>
      </c>
      <c r="I15817" t="s">
        <v>43</v>
      </c>
      <c r="J15817">
        <v>97365</v>
      </c>
      <c r="K15817">
        <v>4830</v>
      </c>
      <c r="L15817" t="s">
        <v>23</v>
      </c>
      <c r="M15817" t="s">
        <v>33944</v>
      </c>
      <c r="N15817" t="s">
        <v>4391</v>
      </c>
      <c r="O15817" t="s">
        <v>43</v>
      </c>
      <c r="P15817">
        <v>97365</v>
      </c>
      <c r="Q15817">
        <v>4830</v>
      </c>
      <c r="R15817" t="s">
        <v>23</v>
      </c>
      <c r="S15817" s="1" t="s">
        <v>34218</v>
      </c>
    </row>
    <row r="15818" spans="1:19" x14ac:dyDescent="0.25">
      <c r="A15818">
        <v>101480884</v>
      </c>
      <c r="B15818" t="s">
        <v>33945</v>
      </c>
      <c r="C15818" t="s">
        <v>14258</v>
      </c>
      <c r="G15818" t="s">
        <v>33946</v>
      </c>
      <c r="H15818" t="s">
        <v>12504</v>
      </c>
      <c r="I15818" t="s">
        <v>22</v>
      </c>
      <c r="J15818">
        <v>94547</v>
      </c>
      <c r="K15818">
        <v>3946</v>
      </c>
      <c r="L15818" t="s">
        <v>23</v>
      </c>
      <c r="M15818" t="s">
        <v>33946</v>
      </c>
      <c r="N15818" t="s">
        <v>12504</v>
      </c>
      <c r="O15818" t="s">
        <v>22</v>
      </c>
      <c r="P15818">
        <v>94547</v>
      </c>
      <c r="Q15818">
        <v>3946</v>
      </c>
      <c r="R15818" t="s">
        <v>23</v>
      </c>
      <c r="S15818" s="1" t="s">
        <v>34218</v>
      </c>
    </row>
    <row r="15819" spans="1:19" x14ac:dyDescent="0.25">
      <c r="A15819">
        <v>101298775</v>
      </c>
      <c r="B15819" t="s">
        <v>33947</v>
      </c>
      <c r="C15819" t="s">
        <v>9150</v>
      </c>
      <c r="G15819" t="s">
        <v>33948</v>
      </c>
      <c r="H15819" t="s">
        <v>4326</v>
      </c>
      <c r="I15819" t="s">
        <v>71</v>
      </c>
      <c r="J15819">
        <v>80401</v>
      </c>
      <c r="K15819">
        <v>4746</v>
      </c>
      <c r="L15819" t="s">
        <v>23</v>
      </c>
      <c r="M15819" t="s">
        <v>33948</v>
      </c>
      <c r="N15819" t="s">
        <v>4326</v>
      </c>
      <c r="O15819" t="s">
        <v>71</v>
      </c>
      <c r="P15819">
        <v>80401</v>
      </c>
      <c r="Q15819">
        <v>4746</v>
      </c>
      <c r="R15819" t="s">
        <v>23</v>
      </c>
      <c r="S15819" s="1" t="s">
        <v>34218</v>
      </c>
    </row>
    <row r="15820" spans="1:19" x14ac:dyDescent="0.25">
      <c r="A15820">
        <v>101475039</v>
      </c>
      <c r="B15820" t="s">
        <v>2051</v>
      </c>
      <c r="C15820" t="s">
        <v>2132</v>
      </c>
      <c r="G15820" t="s">
        <v>33949</v>
      </c>
      <c r="H15820" t="s">
        <v>27</v>
      </c>
      <c r="I15820" t="s">
        <v>28</v>
      </c>
      <c r="J15820">
        <v>30350</v>
      </c>
      <c r="K15820">
        <v>2405</v>
      </c>
      <c r="L15820" t="s">
        <v>23</v>
      </c>
      <c r="M15820" t="s">
        <v>33949</v>
      </c>
      <c r="N15820" t="s">
        <v>27</v>
      </c>
      <c r="O15820" t="s">
        <v>28</v>
      </c>
      <c r="P15820">
        <v>30350</v>
      </c>
      <c r="Q15820">
        <v>2405</v>
      </c>
      <c r="R15820" t="s">
        <v>23</v>
      </c>
      <c r="S15820" s="1" t="s">
        <v>34218</v>
      </c>
    </row>
    <row r="15821" spans="1:19" x14ac:dyDescent="0.25">
      <c r="A15821">
        <v>101448616</v>
      </c>
      <c r="B15821" t="s">
        <v>28104</v>
      </c>
      <c r="C15821" t="s">
        <v>535</v>
      </c>
      <c r="G15821" t="s">
        <v>33950</v>
      </c>
      <c r="H15821" t="s">
        <v>3629</v>
      </c>
      <c r="I15821" t="s">
        <v>914</v>
      </c>
      <c r="J15821">
        <v>37029</v>
      </c>
      <c r="K15821">
        <v>5612</v>
      </c>
      <c r="L15821" t="s">
        <v>23</v>
      </c>
      <c r="M15821" t="s">
        <v>33950</v>
      </c>
      <c r="N15821" t="s">
        <v>3629</v>
      </c>
      <c r="O15821" t="s">
        <v>914</v>
      </c>
      <c r="P15821">
        <v>37029</v>
      </c>
      <c r="Q15821">
        <v>5612</v>
      </c>
      <c r="R15821" t="s">
        <v>23</v>
      </c>
      <c r="S15821" s="1" t="s">
        <v>34218</v>
      </c>
    </row>
    <row r="15822" spans="1:19" x14ac:dyDescent="0.25">
      <c r="A15822">
        <v>101480888</v>
      </c>
      <c r="B15822" t="s">
        <v>3109</v>
      </c>
      <c r="C15822" t="s">
        <v>1444</v>
      </c>
      <c r="G15822" t="s">
        <v>33951</v>
      </c>
      <c r="H15822" t="s">
        <v>423</v>
      </c>
      <c r="I15822" t="s">
        <v>71</v>
      </c>
      <c r="J15822">
        <v>80302</v>
      </c>
      <c r="K15822">
        <v>9489</v>
      </c>
      <c r="L15822" t="s">
        <v>23</v>
      </c>
      <c r="M15822" t="s">
        <v>33951</v>
      </c>
      <c r="N15822" t="s">
        <v>423</v>
      </c>
      <c r="O15822" t="s">
        <v>71</v>
      </c>
      <c r="P15822">
        <v>80302</v>
      </c>
      <c r="Q15822">
        <v>9489</v>
      </c>
      <c r="R15822" t="s">
        <v>23</v>
      </c>
      <c r="S15822" s="1" t="s">
        <v>34218</v>
      </c>
    </row>
    <row r="15823" spans="1:19" x14ac:dyDescent="0.25">
      <c r="A15823">
        <v>101403060</v>
      </c>
      <c r="B15823" t="s">
        <v>33952</v>
      </c>
      <c r="C15823" t="s">
        <v>1153</v>
      </c>
      <c r="G15823" t="s">
        <v>33953</v>
      </c>
      <c r="H15823" t="s">
        <v>75</v>
      </c>
      <c r="I15823" t="s">
        <v>22</v>
      </c>
      <c r="J15823">
        <v>94558</v>
      </c>
      <c r="K15823">
        <v>9722</v>
      </c>
      <c r="L15823" t="s">
        <v>23</v>
      </c>
      <c r="M15823" t="s">
        <v>33953</v>
      </c>
      <c r="N15823" t="s">
        <v>75</v>
      </c>
      <c r="O15823" t="s">
        <v>22</v>
      </c>
      <c r="P15823">
        <v>94558</v>
      </c>
      <c r="Q15823">
        <v>9722</v>
      </c>
      <c r="R15823" t="s">
        <v>23</v>
      </c>
      <c r="S15823" s="1" t="s">
        <v>34218</v>
      </c>
    </row>
    <row r="15824" spans="1:19" x14ac:dyDescent="0.25">
      <c r="A15824">
        <v>101063470</v>
      </c>
      <c r="B15824" t="s">
        <v>33954</v>
      </c>
      <c r="C15824" t="s">
        <v>2127</v>
      </c>
      <c r="G15824" t="s">
        <v>33955</v>
      </c>
      <c r="H15824" t="s">
        <v>3142</v>
      </c>
      <c r="I15824" t="s">
        <v>161</v>
      </c>
      <c r="J15824">
        <v>6795</v>
      </c>
      <c r="K15824">
        <v>2213</v>
      </c>
      <c r="L15824" t="s">
        <v>23</v>
      </c>
      <c r="M15824" t="s">
        <v>33955</v>
      </c>
      <c r="N15824" t="s">
        <v>3142</v>
      </c>
      <c r="O15824" t="s">
        <v>161</v>
      </c>
      <c r="P15824">
        <v>6795</v>
      </c>
      <c r="Q15824">
        <v>2213</v>
      </c>
      <c r="R15824" t="s">
        <v>23</v>
      </c>
      <c r="S15824" s="1" t="s">
        <v>34218</v>
      </c>
    </row>
    <row r="15825" spans="1:19" x14ac:dyDescent="0.25">
      <c r="A15825">
        <v>101467449</v>
      </c>
      <c r="B15825" t="s">
        <v>1843</v>
      </c>
      <c r="C15825" t="s">
        <v>123</v>
      </c>
      <c r="G15825" t="s">
        <v>33956</v>
      </c>
      <c r="H15825" t="s">
        <v>7002</v>
      </c>
      <c r="I15825" t="s">
        <v>117</v>
      </c>
      <c r="J15825">
        <v>11743</v>
      </c>
      <c r="K15825">
        <v>5045</v>
      </c>
      <c r="L15825" t="s">
        <v>23</v>
      </c>
      <c r="M15825" t="s">
        <v>33956</v>
      </c>
      <c r="N15825" t="s">
        <v>7002</v>
      </c>
      <c r="O15825" t="s">
        <v>117</v>
      </c>
      <c r="P15825">
        <v>11743</v>
      </c>
      <c r="Q15825">
        <v>5045</v>
      </c>
      <c r="R15825" t="s">
        <v>23</v>
      </c>
      <c r="S15825" s="1" t="s">
        <v>34218</v>
      </c>
    </row>
    <row r="15826" spans="1:19" x14ac:dyDescent="0.25">
      <c r="A15826">
        <v>101122216</v>
      </c>
      <c r="B15826" t="s">
        <v>33957</v>
      </c>
      <c r="C15826" t="s">
        <v>247</v>
      </c>
      <c r="G15826" t="s">
        <v>33958</v>
      </c>
      <c r="H15826" t="s">
        <v>2046</v>
      </c>
      <c r="I15826" t="s">
        <v>446</v>
      </c>
      <c r="J15826">
        <v>27703</v>
      </c>
      <c r="K15826">
        <v>8108</v>
      </c>
      <c r="L15826" t="s">
        <v>23</v>
      </c>
      <c r="M15826" t="s">
        <v>33958</v>
      </c>
      <c r="N15826" t="s">
        <v>2046</v>
      </c>
      <c r="O15826" t="s">
        <v>446</v>
      </c>
      <c r="P15826">
        <v>27703</v>
      </c>
      <c r="Q15826">
        <v>8108</v>
      </c>
      <c r="R15826" t="s">
        <v>23</v>
      </c>
      <c r="S15826" s="1" t="s">
        <v>34218</v>
      </c>
    </row>
    <row r="15827" spans="1:19" x14ac:dyDescent="0.25">
      <c r="A15827">
        <v>100646607</v>
      </c>
      <c r="B15827" t="s">
        <v>31735</v>
      </c>
      <c r="C15827" t="s">
        <v>247</v>
      </c>
      <c r="G15827" t="s">
        <v>33959</v>
      </c>
      <c r="H15827" t="s">
        <v>10374</v>
      </c>
      <c r="I15827" t="s">
        <v>446</v>
      </c>
      <c r="J15827">
        <v>27962</v>
      </c>
      <c r="K15827">
        <v>2245</v>
      </c>
      <c r="L15827" t="s">
        <v>23</v>
      </c>
      <c r="M15827" t="s">
        <v>33959</v>
      </c>
      <c r="N15827" t="s">
        <v>10374</v>
      </c>
      <c r="O15827" t="s">
        <v>446</v>
      </c>
      <c r="P15827">
        <v>27962</v>
      </c>
      <c r="Q15827">
        <v>2245</v>
      </c>
      <c r="R15827" t="s">
        <v>23</v>
      </c>
      <c r="S15827" s="1" t="s">
        <v>34218</v>
      </c>
    </row>
    <row r="15828" spans="1:19" x14ac:dyDescent="0.25">
      <c r="A15828">
        <v>101452601</v>
      </c>
      <c r="B15828" t="s">
        <v>33960</v>
      </c>
      <c r="C15828" t="s">
        <v>1824</v>
      </c>
      <c r="G15828" t="s">
        <v>33961</v>
      </c>
      <c r="H15828" t="s">
        <v>198</v>
      </c>
      <c r="I15828" t="s">
        <v>22</v>
      </c>
      <c r="J15828">
        <v>92106</v>
      </c>
      <c r="K15828">
        <v>2674</v>
      </c>
      <c r="L15828" t="s">
        <v>23</v>
      </c>
      <c r="M15828" t="s">
        <v>33961</v>
      </c>
      <c r="N15828" t="s">
        <v>198</v>
      </c>
      <c r="O15828" t="s">
        <v>22</v>
      </c>
      <c r="P15828">
        <v>92106</v>
      </c>
      <c r="Q15828">
        <v>2674</v>
      </c>
      <c r="R15828" t="s">
        <v>23</v>
      </c>
      <c r="S15828" s="1" t="s">
        <v>34218</v>
      </c>
    </row>
    <row r="15829" spans="1:19" x14ac:dyDescent="0.25">
      <c r="A15829">
        <v>101451310</v>
      </c>
      <c r="B15829" t="s">
        <v>33962</v>
      </c>
      <c r="C15829" t="s">
        <v>7615</v>
      </c>
      <c r="G15829" t="s">
        <v>33963</v>
      </c>
      <c r="H15829" t="s">
        <v>11261</v>
      </c>
      <c r="I15829" t="s">
        <v>353</v>
      </c>
      <c r="J15829">
        <v>3038</v>
      </c>
      <c r="L15829" t="s">
        <v>23</v>
      </c>
      <c r="M15829" t="s">
        <v>33963</v>
      </c>
      <c r="N15829" t="s">
        <v>11261</v>
      </c>
      <c r="O15829" t="s">
        <v>353</v>
      </c>
      <c r="P15829">
        <v>3038</v>
      </c>
      <c r="R15829" t="s">
        <v>23</v>
      </c>
      <c r="S15829" s="1" t="s">
        <v>34218</v>
      </c>
    </row>
    <row r="15830" spans="1:19" x14ac:dyDescent="0.25">
      <c r="A15830">
        <v>101480897</v>
      </c>
      <c r="B15830" t="s">
        <v>763</v>
      </c>
      <c r="C15830" t="s">
        <v>2463</v>
      </c>
      <c r="G15830" t="s">
        <v>33964</v>
      </c>
      <c r="H15830" t="s">
        <v>21298</v>
      </c>
      <c r="I15830" t="s">
        <v>52</v>
      </c>
      <c r="J15830">
        <v>34655</v>
      </c>
      <c r="L15830" t="s">
        <v>23</v>
      </c>
      <c r="M15830" t="s">
        <v>33964</v>
      </c>
      <c r="N15830" t="s">
        <v>21298</v>
      </c>
      <c r="O15830" t="s">
        <v>52</v>
      </c>
      <c r="P15830">
        <v>34655</v>
      </c>
      <c r="R15830" t="s">
        <v>23</v>
      </c>
      <c r="S15830" s="1" t="s">
        <v>34218</v>
      </c>
    </row>
    <row r="15831" spans="1:19" x14ac:dyDescent="0.25">
      <c r="A15831">
        <v>101480899</v>
      </c>
      <c r="B15831" t="s">
        <v>27880</v>
      </c>
      <c r="C15831" t="s">
        <v>1212</v>
      </c>
      <c r="G15831" t="s">
        <v>33965</v>
      </c>
      <c r="H15831" t="s">
        <v>3776</v>
      </c>
      <c r="I15831" t="s">
        <v>250</v>
      </c>
      <c r="J15831">
        <v>7642</v>
      </c>
      <c r="K15831">
        <v>1228</v>
      </c>
      <c r="L15831" t="s">
        <v>23</v>
      </c>
      <c r="M15831" t="s">
        <v>33965</v>
      </c>
      <c r="N15831" t="s">
        <v>3776</v>
      </c>
      <c r="O15831" t="s">
        <v>250</v>
      </c>
      <c r="P15831">
        <v>7642</v>
      </c>
      <c r="Q15831">
        <v>1228</v>
      </c>
      <c r="R15831" t="s">
        <v>23</v>
      </c>
      <c r="S15831" s="1" t="s">
        <v>34218</v>
      </c>
    </row>
    <row r="15832" spans="1:19" x14ac:dyDescent="0.25">
      <c r="A15832">
        <v>101448581</v>
      </c>
      <c r="B15832" t="s">
        <v>33966</v>
      </c>
      <c r="C15832" t="s">
        <v>33967</v>
      </c>
      <c r="G15832" t="s">
        <v>33968</v>
      </c>
      <c r="H15832" t="s">
        <v>121</v>
      </c>
      <c r="I15832" t="s">
        <v>22</v>
      </c>
      <c r="J15832">
        <v>95928</v>
      </c>
      <c r="K15832">
        <v>8823</v>
      </c>
      <c r="L15832" t="s">
        <v>23</v>
      </c>
      <c r="M15832" t="s">
        <v>33968</v>
      </c>
      <c r="N15832" t="s">
        <v>121</v>
      </c>
      <c r="O15832" t="s">
        <v>22</v>
      </c>
      <c r="P15832">
        <v>95928</v>
      </c>
      <c r="Q15832">
        <v>8823</v>
      </c>
      <c r="R15832" t="s">
        <v>23</v>
      </c>
      <c r="S15832" s="1" t="s">
        <v>34218</v>
      </c>
    </row>
    <row r="15833" spans="1:19" x14ac:dyDescent="0.25">
      <c r="A15833">
        <v>101446761</v>
      </c>
      <c r="B15833" t="s">
        <v>4203</v>
      </c>
      <c r="C15833" t="s">
        <v>33969</v>
      </c>
      <c r="G15833" t="s">
        <v>33970</v>
      </c>
      <c r="H15833" t="s">
        <v>1885</v>
      </c>
      <c r="I15833" t="s">
        <v>22</v>
      </c>
      <c r="J15833">
        <v>90278</v>
      </c>
      <c r="K15833">
        <v>2828</v>
      </c>
      <c r="L15833" t="s">
        <v>23</v>
      </c>
      <c r="M15833" t="s">
        <v>33970</v>
      </c>
      <c r="N15833" t="s">
        <v>1885</v>
      </c>
      <c r="O15833" t="s">
        <v>22</v>
      </c>
      <c r="P15833">
        <v>90278</v>
      </c>
      <c r="Q15833">
        <v>2828</v>
      </c>
      <c r="R15833" t="s">
        <v>23</v>
      </c>
      <c r="S15833" s="1" t="s">
        <v>34218</v>
      </c>
    </row>
    <row r="15834" spans="1:19" x14ac:dyDescent="0.25">
      <c r="A15834">
        <v>100756486</v>
      </c>
      <c r="B15834" t="s">
        <v>33971</v>
      </c>
      <c r="C15834" t="s">
        <v>1036</v>
      </c>
      <c r="G15834" t="s">
        <v>33972</v>
      </c>
      <c r="H15834" t="s">
        <v>47</v>
      </c>
      <c r="I15834" t="s">
        <v>43</v>
      </c>
      <c r="J15834">
        <v>97504</v>
      </c>
      <c r="K15834">
        <v>9622</v>
      </c>
      <c r="L15834" t="s">
        <v>23</v>
      </c>
      <c r="M15834" t="s">
        <v>33972</v>
      </c>
      <c r="N15834" t="s">
        <v>47</v>
      </c>
      <c r="O15834" t="s">
        <v>43</v>
      </c>
      <c r="P15834">
        <v>97504</v>
      </c>
      <c r="Q15834">
        <v>9622</v>
      </c>
      <c r="R15834" t="s">
        <v>23</v>
      </c>
      <c r="S15834" s="1" t="s">
        <v>34218</v>
      </c>
    </row>
    <row r="15835" spans="1:19" x14ac:dyDescent="0.25">
      <c r="A15835">
        <v>100862252</v>
      </c>
      <c r="B15835" t="s">
        <v>812</v>
      </c>
      <c r="C15835" t="s">
        <v>18976</v>
      </c>
      <c r="G15835" t="s">
        <v>33973</v>
      </c>
      <c r="H15835" t="s">
        <v>4326</v>
      </c>
      <c r="I15835" t="s">
        <v>71</v>
      </c>
      <c r="J15835">
        <v>80228</v>
      </c>
      <c r="K15835">
        <v>6436</v>
      </c>
      <c r="L15835" t="s">
        <v>23</v>
      </c>
      <c r="M15835" t="s">
        <v>33973</v>
      </c>
      <c r="N15835" t="s">
        <v>4326</v>
      </c>
      <c r="O15835" t="s">
        <v>71</v>
      </c>
      <c r="P15835">
        <v>80228</v>
      </c>
      <c r="Q15835">
        <v>6436</v>
      </c>
      <c r="R15835" t="s">
        <v>23</v>
      </c>
      <c r="S15835" s="1" t="s">
        <v>34218</v>
      </c>
    </row>
    <row r="15836" spans="1:19" x14ac:dyDescent="0.25">
      <c r="A15836">
        <v>101222750</v>
      </c>
      <c r="B15836" t="s">
        <v>33974</v>
      </c>
      <c r="C15836" t="s">
        <v>4502</v>
      </c>
      <c r="G15836" t="s">
        <v>33975</v>
      </c>
      <c r="H15836" t="s">
        <v>567</v>
      </c>
      <c r="I15836" t="s">
        <v>446</v>
      </c>
      <c r="J15836">
        <v>27607</v>
      </c>
      <c r="K15836">
        <v>4129</v>
      </c>
      <c r="L15836" t="s">
        <v>23</v>
      </c>
      <c r="M15836" t="s">
        <v>33975</v>
      </c>
      <c r="N15836" t="s">
        <v>567</v>
      </c>
      <c r="O15836" t="s">
        <v>446</v>
      </c>
      <c r="P15836">
        <v>27607</v>
      </c>
      <c r="Q15836">
        <v>4129</v>
      </c>
      <c r="R15836" t="s">
        <v>23</v>
      </c>
      <c r="S15836" s="1" t="s">
        <v>34218</v>
      </c>
    </row>
    <row r="15837" spans="1:19" x14ac:dyDescent="0.25">
      <c r="A15837">
        <v>101238934</v>
      </c>
      <c r="B15837" t="s">
        <v>796</v>
      </c>
      <c r="C15837" t="s">
        <v>33976</v>
      </c>
      <c r="G15837" t="s">
        <v>33977</v>
      </c>
      <c r="H15837" t="s">
        <v>1318</v>
      </c>
      <c r="I15837" t="s">
        <v>22</v>
      </c>
      <c r="J15837">
        <v>94597</v>
      </c>
      <c r="L15837" t="s">
        <v>23</v>
      </c>
      <c r="M15837" t="s">
        <v>33977</v>
      </c>
      <c r="N15837" t="s">
        <v>1318</v>
      </c>
      <c r="O15837" t="s">
        <v>22</v>
      </c>
      <c r="P15837">
        <v>94597</v>
      </c>
      <c r="R15837" t="s">
        <v>23</v>
      </c>
      <c r="S15837" s="1" t="s">
        <v>34218</v>
      </c>
    </row>
    <row r="15838" spans="1:19" x14ac:dyDescent="0.25">
      <c r="A15838">
        <v>100522605</v>
      </c>
      <c r="B15838" t="s">
        <v>33978</v>
      </c>
      <c r="C15838" t="s">
        <v>1327</v>
      </c>
      <c r="G15838" t="s">
        <v>33979</v>
      </c>
      <c r="H15838" t="s">
        <v>5446</v>
      </c>
      <c r="I15838" t="s">
        <v>255</v>
      </c>
      <c r="J15838">
        <v>22192</v>
      </c>
      <c r="K15838">
        <v>1036</v>
      </c>
      <c r="L15838" t="s">
        <v>23</v>
      </c>
      <c r="M15838" t="s">
        <v>33979</v>
      </c>
      <c r="N15838" t="s">
        <v>5446</v>
      </c>
      <c r="O15838" t="s">
        <v>255</v>
      </c>
      <c r="P15838">
        <v>22192</v>
      </c>
      <c r="Q15838">
        <v>1036</v>
      </c>
      <c r="R15838" t="s">
        <v>23</v>
      </c>
      <c r="S15838" s="1" t="s">
        <v>34218</v>
      </c>
    </row>
    <row r="15839" spans="1:19" x14ac:dyDescent="0.25">
      <c r="A15839">
        <v>101480919</v>
      </c>
      <c r="B15839" t="s">
        <v>561</v>
      </c>
      <c r="C15839" t="s">
        <v>522</v>
      </c>
      <c r="G15839" t="s">
        <v>33980</v>
      </c>
      <c r="H15839" t="s">
        <v>5908</v>
      </c>
      <c r="I15839" t="s">
        <v>52</v>
      </c>
      <c r="J15839">
        <v>32962</v>
      </c>
      <c r="K15839">
        <v>2766</v>
      </c>
      <c r="L15839" t="s">
        <v>23</v>
      </c>
      <c r="M15839" t="s">
        <v>33980</v>
      </c>
      <c r="N15839" t="s">
        <v>5908</v>
      </c>
      <c r="O15839" t="s">
        <v>52</v>
      </c>
      <c r="P15839">
        <v>32962</v>
      </c>
      <c r="Q15839">
        <v>2766</v>
      </c>
      <c r="R15839" t="s">
        <v>23</v>
      </c>
      <c r="S15839" s="1" t="s">
        <v>34218</v>
      </c>
    </row>
    <row r="15840" spans="1:19" x14ac:dyDescent="0.25">
      <c r="A15840">
        <v>101480920</v>
      </c>
      <c r="B15840" t="s">
        <v>4018</v>
      </c>
      <c r="C15840" t="s">
        <v>1906</v>
      </c>
      <c r="G15840" t="s">
        <v>33981</v>
      </c>
      <c r="H15840" t="s">
        <v>16474</v>
      </c>
      <c r="I15840" t="s">
        <v>191</v>
      </c>
      <c r="J15840">
        <v>4079</v>
      </c>
      <c r="K15840">
        <v>3865</v>
      </c>
      <c r="L15840" t="s">
        <v>23</v>
      </c>
      <c r="M15840" t="s">
        <v>33981</v>
      </c>
      <c r="N15840" t="s">
        <v>16474</v>
      </c>
      <c r="O15840" t="s">
        <v>191</v>
      </c>
      <c r="P15840">
        <v>4079</v>
      </c>
      <c r="Q15840">
        <v>3865</v>
      </c>
      <c r="R15840" t="s">
        <v>23</v>
      </c>
      <c r="S15840" s="1" t="s">
        <v>34218</v>
      </c>
    </row>
    <row r="15841" spans="1:19" x14ac:dyDescent="0.25">
      <c r="A15841">
        <v>101480927</v>
      </c>
      <c r="B15841" t="s">
        <v>1631</v>
      </c>
      <c r="C15841" t="s">
        <v>155</v>
      </c>
      <c r="G15841" t="s">
        <v>33982</v>
      </c>
      <c r="H15841" t="s">
        <v>2749</v>
      </c>
      <c r="I15841" t="s">
        <v>191</v>
      </c>
      <c r="J15841">
        <v>4011</v>
      </c>
      <c r="K15841">
        <v>1909</v>
      </c>
      <c r="L15841" t="s">
        <v>23</v>
      </c>
      <c r="M15841" t="s">
        <v>33982</v>
      </c>
      <c r="N15841" t="s">
        <v>2749</v>
      </c>
      <c r="O15841" t="s">
        <v>191</v>
      </c>
      <c r="P15841">
        <v>4011</v>
      </c>
      <c r="Q15841">
        <v>1909</v>
      </c>
      <c r="R15841" t="s">
        <v>23</v>
      </c>
      <c r="S15841" s="1" t="s">
        <v>34218</v>
      </c>
    </row>
    <row r="15842" spans="1:19" x14ac:dyDescent="0.25">
      <c r="A15842">
        <v>101160513</v>
      </c>
      <c r="B15842" t="s">
        <v>1698</v>
      </c>
      <c r="C15842" t="s">
        <v>3058</v>
      </c>
      <c r="G15842" t="s">
        <v>33983</v>
      </c>
      <c r="H15842" t="s">
        <v>29961</v>
      </c>
      <c r="I15842" t="s">
        <v>307</v>
      </c>
      <c r="J15842">
        <v>5045</v>
      </c>
      <c r="K15842">
        <v>9633</v>
      </c>
      <c r="L15842" t="s">
        <v>23</v>
      </c>
      <c r="M15842" t="s">
        <v>33983</v>
      </c>
      <c r="N15842" t="s">
        <v>29961</v>
      </c>
      <c r="O15842" t="s">
        <v>307</v>
      </c>
      <c r="P15842">
        <v>5045</v>
      </c>
      <c r="Q15842">
        <v>9633</v>
      </c>
      <c r="R15842" t="s">
        <v>23</v>
      </c>
      <c r="S15842" s="1" t="s">
        <v>34218</v>
      </c>
    </row>
    <row r="15843" spans="1:19" x14ac:dyDescent="0.25">
      <c r="A15843">
        <v>101466044</v>
      </c>
      <c r="B15843" t="s">
        <v>465</v>
      </c>
      <c r="C15843" t="s">
        <v>274</v>
      </c>
      <c r="G15843" t="s">
        <v>33984</v>
      </c>
      <c r="H15843" t="s">
        <v>5838</v>
      </c>
      <c r="I15843" t="s">
        <v>914</v>
      </c>
      <c r="J15843">
        <v>37421</v>
      </c>
      <c r="K15843">
        <v>4049</v>
      </c>
      <c r="L15843" t="s">
        <v>23</v>
      </c>
      <c r="M15843" t="s">
        <v>33984</v>
      </c>
      <c r="N15843" t="s">
        <v>5838</v>
      </c>
      <c r="O15843" t="s">
        <v>914</v>
      </c>
      <c r="P15843">
        <v>37421</v>
      </c>
      <c r="Q15843">
        <v>4049</v>
      </c>
      <c r="R15843" t="s">
        <v>23</v>
      </c>
      <c r="S15843" s="1" t="s">
        <v>34218</v>
      </c>
    </row>
    <row r="15844" spans="1:19" x14ac:dyDescent="0.25">
      <c r="A15844">
        <v>101236787</v>
      </c>
      <c r="B15844" t="s">
        <v>14576</v>
      </c>
      <c r="C15844" t="s">
        <v>803</v>
      </c>
      <c r="G15844" t="s">
        <v>33985</v>
      </c>
      <c r="H15844" t="s">
        <v>468</v>
      </c>
      <c r="I15844" t="s">
        <v>22</v>
      </c>
      <c r="J15844">
        <v>91335</v>
      </c>
      <c r="K15844">
        <v>6222</v>
      </c>
      <c r="L15844" t="s">
        <v>23</v>
      </c>
      <c r="M15844" t="s">
        <v>33985</v>
      </c>
      <c r="N15844" t="s">
        <v>468</v>
      </c>
      <c r="O15844" t="s">
        <v>22</v>
      </c>
      <c r="P15844">
        <v>91335</v>
      </c>
      <c r="Q15844">
        <v>6222</v>
      </c>
      <c r="R15844" t="s">
        <v>23</v>
      </c>
      <c r="S15844" s="1" t="s">
        <v>34218</v>
      </c>
    </row>
    <row r="15845" spans="1:19" x14ac:dyDescent="0.25">
      <c r="A15845">
        <v>101179950</v>
      </c>
      <c r="B15845" t="s">
        <v>93</v>
      </c>
      <c r="C15845" t="s">
        <v>410</v>
      </c>
      <c r="G15845" t="s">
        <v>33986</v>
      </c>
      <c r="H15845" t="s">
        <v>23447</v>
      </c>
      <c r="I15845" t="s">
        <v>236</v>
      </c>
      <c r="J15845">
        <v>2332</v>
      </c>
      <c r="K15845">
        <v>5301</v>
      </c>
      <c r="L15845" t="s">
        <v>23</v>
      </c>
      <c r="M15845" t="s">
        <v>33986</v>
      </c>
      <c r="N15845" t="s">
        <v>23447</v>
      </c>
      <c r="O15845" t="s">
        <v>236</v>
      </c>
      <c r="P15845">
        <v>2332</v>
      </c>
      <c r="Q15845">
        <v>5301</v>
      </c>
      <c r="R15845" t="s">
        <v>23</v>
      </c>
      <c r="S15845" s="1" t="s">
        <v>34218</v>
      </c>
    </row>
    <row r="15846" spans="1:19" x14ac:dyDescent="0.25">
      <c r="A15846">
        <v>101451541</v>
      </c>
      <c r="B15846" t="s">
        <v>33987</v>
      </c>
      <c r="C15846" t="s">
        <v>209</v>
      </c>
      <c r="G15846" t="s">
        <v>33988</v>
      </c>
      <c r="H15846" t="s">
        <v>17106</v>
      </c>
      <c r="I15846" t="s">
        <v>140</v>
      </c>
      <c r="J15846">
        <v>48118</v>
      </c>
      <c r="K15846">
        <v>9617</v>
      </c>
      <c r="L15846" t="s">
        <v>23</v>
      </c>
      <c r="M15846" t="s">
        <v>33988</v>
      </c>
      <c r="N15846" t="s">
        <v>17106</v>
      </c>
      <c r="O15846" t="s">
        <v>140</v>
      </c>
      <c r="P15846">
        <v>48118</v>
      </c>
      <c r="Q15846">
        <v>9617</v>
      </c>
      <c r="R15846" t="s">
        <v>23</v>
      </c>
      <c r="S15846" s="1" t="s">
        <v>34218</v>
      </c>
    </row>
    <row r="15847" spans="1:19" x14ac:dyDescent="0.25">
      <c r="A15847">
        <v>101398665</v>
      </c>
      <c r="B15847" t="s">
        <v>3228</v>
      </c>
      <c r="C15847" t="s">
        <v>846</v>
      </c>
      <c r="G15847" t="s">
        <v>33989</v>
      </c>
      <c r="H15847" t="s">
        <v>15539</v>
      </c>
      <c r="I15847" t="s">
        <v>22</v>
      </c>
      <c r="J15847">
        <v>91709</v>
      </c>
      <c r="K15847">
        <v>6211</v>
      </c>
      <c r="L15847" t="s">
        <v>23</v>
      </c>
      <c r="M15847" t="s">
        <v>33989</v>
      </c>
      <c r="N15847" t="s">
        <v>15539</v>
      </c>
      <c r="O15847" t="s">
        <v>22</v>
      </c>
      <c r="P15847">
        <v>91709</v>
      </c>
      <c r="Q15847">
        <v>6211</v>
      </c>
      <c r="R15847" t="s">
        <v>23</v>
      </c>
      <c r="S15847" s="1" t="s">
        <v>34218</v>
      </c>
    </row>
    <row r="15848" spans="1:19" x14ac:dyDescent="0.25">
      <c r="A15848">
        <v>101033885</v>
      </c>
      <c r="B15848" t="s">
        <v>744</v>
      </c>
      <c r="C15848" t="s">
        <v>5347</v>
      </c>
      <c r="G15848" t="s">
        <v>33990</v>
      </c>
      <c r="H15848" t="s">
        <v>12744</v>
      </c>
      <c r="I15848" t="s">
        <v>365</v>
      </c>
      <c r="J15848">
        <v>85351</v>
      </c>
      <c r="K15848">
        <v>2203</v>
      </c>
      <c r="L15848" t="s">
        <v>23</v>
      </c>
      <c r="M15848" t="s">
        <v>33990</v>
      </c>
      <c r="N15848" t="s">
        <v>12744</v>
      </c>
      <c r="O15848" t="s">
        <v>365</v>
      </c>
      <c r="P15848">
        <v>85351</v>
      </c>
      <c r="Q15848">
        <v>2203</v>
      </c>
      <c r="R15848" t="s">
        <v>23</v>
      </c>
      <c r="S15848" s="1" t="s">
        <v>34218</v>
      </c>
    </row>
    <row r="15849" spans="1:19" x14ac:dyDescent="0.25">
      <c r="A15849">
        <v>101247132</v>
      </c>
      <c r="B15849" t="s">
        <v>33991</v>
      </c>
      <c r="C15849" t="s">
        <v>5893</v>
      </c>
      <c r="G15849" t="s">
        <v>33992</v>
      </c>
      <c r="H15849" t="s">
        <v>2375</v>
      </c>
      <c r="I15849" t="s">
        <v>100</v>
      </c>
      <c r="J15849">
        <v>53704</v>
      </c>
      <c r="K15849">
        <v>3543</v>
      </c>
      <c r="L15849" t="s">
        <v>23</v>
      </c>
      <c r="M15849" t="s">
        <v>33992</v>
      </c>
      <c r="N15849" t="s">
        <v>2375</v>
      </c>
      <c r="O15849" t="s">
        <v>100</v>
      </c>
      <c r="P15849">
        <v>53704</v>
      </c>
      <c r="Q15849">
        <v>3543</v>
      </c>
      <c r="R15849" t="s">
        <v>23</v>
      </c>
      <c r="S15849" s="1" t="s">
        <v>34218</v>
      </c>
    </row>
    <row r="15850" spans="1:19" x14ac:dyDescent="0.25">
      <c r="A15850">
        <v>101480950</v>
      </c>
      <c r="B15850" t="s">
        <v>21471</v>
      </c>
      <c r="C15850" t="s">
        <v>40</v>
      </c>
      <c r="G15850" t="s">
        <v>33993</v>
      </c>
      <c r="H15850" t="s">
        <v>9016</v>
      </c>
      <c r="I15850" t="s">
        <v>84</v>
      </c>
      <c r="J15850">
        <v>98027</v>
      </c>
      <c r="K15850">
        <v>3615</v>
      </c>
      <c r="L15850" t="s">
        <v>23</v>
      </c>
      <c r="M15850" t="s">
        <v>33993</v>
      </c>
      <c r="N15850" t="s">
        <v>9016</v>
      </c>
      <c r="O15850" t="s">
        <v>84</v>
      </c>
      <c r="P15850">
        <v>98027</v>
      </c>
      <c r="Q15850">
        <v>3615</v>
      </c>
      <c r="R15850" t="s">
        <v>23</v>
      </c>
      <c r="S15850" s="1" t="s">
        <v>34218</v>
      </c>
    </row>
    <row r="15851" spans="1:19" x14ac:dyDescent="0.25">
      <c r="A15851">
        <v>101473465</v>
      </c>
      <c r="B15851" t="s">
        <v>25392</v>
      </c>
      <c r="C15851" t="s">
        <v>1616</v>
      </c>
      <c r="G15851" t="s">
        <v>33994</v>
      </c>
      <c r="H15851" t="s">
        <v>653</v>
      </c>
      <c r="I15851" t="s">
        <v>117</v>
      </c>
      <c r="J15851">
        <v>10009</v>
      </c>
      <c r="K15851">
        <v>8218</v>
      </c>
      <c r="L15851" t="s">
        <v>23</v>
      </c>
      <c r="M15851" t="s">
        <v>33994</v>
      </c>
      <c r="N15851" t="s">
        <v>653</v>
      </c>
      <c r="O15851" t="s">
        <v>117</v>
      </c>
      <c r="P15851">
        <v>10009</v>
      </c>
      <c r="Q15851">
        <v>8218</v>
      </c>
      <c r="R15851" t="s">
        <v>23</v>
      </c>
      <c r="S15851" s="1" t="s">
        <v>34218</v>
      </c>
    </row>
    <row r="15852" spans="1:19" x14ac:dyDescent="0.25">
      <c r="A15852">
        <v>100515574</v>
      </c>
      <c r="B15852" t="s">
        <v>4475</v>
      </c>
      <c r="C15852" t="s">
        <v>172</v>
      </c>
      <c r="G15852" t="s">
        <v>33995</v>
      </c>
      <c r="H15852" t="s">
        <v>12270</v>
      </c>
      <c r="I15852" t="s">
        <v>100</v>
      </c>
      <c r="J15852">
        <v>53211</v>
      </c>
      <c r="K15852">
        <v>2524</v>
      </c>
      <c r="L15852" t="s">
        <v>23</v>
      </c>
      <c r="M15852" t="s">
        <v>33995</v>
      </c>
      <c r="N15852" t="s">
        <v>12270</v>
      </c>
      <c r="O15852" t="s">
        <v>100</v>
      </c>
      <c r="P15852">
        <v>53211</v>
      </c>
      <c r="Q15852">
        <v>2524</v>
      </c>
      <c r="R15852" t="s">
        <v>23</v>
      </c>
      <c r="S15852" s="1" t="s">
        <v>34218</v>
      </c>
    </row>
    <row r="15853" spans="1:19" x14ac:dyDescent="0.25">
      <c r="A15853">
        <v>101123959</v>
      </c>
      <c r="B15853" t="s">
        <v>289</v>
      </c>
      <c r="C15853" t="s">
        <v>1239</v>
      </c>
      <c r="G15853" t="s">
        <v>33996</v>
      </c>
      <c r="H15853" t="s">
        <v>2963</v>
      </c>
      <c r="I15853" t="s">
        <v>52</v>
      </c>
      <c r="J15853">
        <v>33983</v>
      </c>
      <c r="K15853">
        <v>5406</v>
      </c>
      <c r="L15853" t="s">
        <v>23</v>
      </c>
      <c r="M15853" t="s">
        <v>33996</v>
      </c>
      <c r="N15853" t="s">
        <v>2963</v>
      </c>
      <c r="O15853" t="s">
        <v>52</v>
      </c>
      <c r="P15853">
        <v>33983</v>
      </c>
      <c r="Q15853">
        <v>5406</v>
      </c>
      <c r="R15853" t="s">
        <v>23</v>
      </c>
      <c r="S15853" s="1" t="s">
        <v>34218</v>
      </c>
    </row>
    <row r="15854" spans="1:19" x14ac:dyDescent="0.25">
      <c r="A15854">
        <v>101323439</v>
      </c>
      <c r="B15854" t="s">
        <v>369</v>
      </c>
      <c r="C15854" t="s">
        <v>40</v>
      </c>
      <c r="G15854" t="s">
        <v>6700</v>
      </c>
      <c r="H15854" t="s">
        <v>3776</v>
      </c>
      <c r="I15854" t="s">
        <v>117</v>
      </c>
      <c r="J15854">
        <v>12529</v>
      </c>
      <c r="L15854" t="s">
        <v>23</v>
      </c>
      <c r="M15854" t="s">
        <v>6700</v>
      </c>
      <c r="N15854" t="s">
        <v>3776</v>
      </c>
      <c r="O15854" t="s">
        <v>117</v>
      </c>
      <c r="P15854">
        <v>12529</v>
      </c>
      <c r="R15854" t="s">
        <v>23</v>
      </c>
      <c r="S15854" s="1" t="s">
        <v>34218</v>
      </c>
    </row>
    <row r="15855" spans="1:19" x14ac:dyDescent="0.25">
      <c r="A15855">
        <v>100800064</v>
      </c>
      <c r="B15855" t="s">
        <v>3708</v>
      </c>
      <c r="C15855" t="s">
        <v>803</v>
      </c>
      <c r="G15855" t="s">
        <v>33997</v>
      </c>
      <c r="H15855" t="s">
        <v>4326</v>
      </c>
      <c r="I15855" t="s">
        <v>71</v>
      </c>
      <c r="J15855">
        <v>80215</v>
      </c>
      <c r="K15855">
        <v>2840</v>
      </c>
      <c r="L15855" t="s">
        <v>23</v>
      </c>
      <c r="M15855" t="s">
        <v>33997</v>
      </c>
      <c r="N15855" t="s">
        <v>4326</v>
      </c>
      <c r="O15855" t="s">
        <v>71</v>
      </c>
      <c r="P15855">
        <v>80215</v>
      </c>
      <c r="Q15855">
        <v>2840</v>
      </c>
      <c r="R15855" t="s">
        <v>23</v>
      </c>
      <c r="S15855" s="1" t="s">
        <v>34218</v>
      </c>
    </row>
    <row r="15856" spans="1:19" x14ac:dyDescent="0.25">
      <c r="A15856">
        <v>100907455</v>
      </c>
      <c r="B15856" t="s">
        <v>8436</v>
      </c>
      <c r="C15856" t="s">
        <v>1542</v>
      </c>
      <c r="G15856" t="s">
        <v>33998</v>
      </c>
      <c r="H15856" t="s">
        <v>1664</v>
      </c>
      <c r="I15856" t="s">
        <v>57</v>
      </c>
      <c r="J15856">
        <v>47567</v>
      </c>
      <c r="K15856">
        <v>1825</v>
      </c>
      <c r="L15856" t="s">
        <v>23</v>
      </c>
      <c r="M15856" t="s">
        <v>33998</v>
      </c>
      <c r="N15856" t="s">
        <v>1664</v>
      </c>
      <c r="O15856" t="s">
        <v>57</v>
      </c>
      <c r="P15856">
        <v>47567</v>
      </c>
      <c r="Q15856">
        <v>1825</v>
      </c>
      <c r="R15856" t="s">
        <v>23</v>
      </c>
      <c r="S15856" s="1" t="s">
        <v>34218</v>
      </c>
    </row>
    <row r="15857" spans="1:19" x14ac:dyDescent="0.25">
      <c r="A15857">
        <v>101296761</v>
      </c>
      <c r="B15857" t="s">
        <v>10816</v>
      </c>
      <c r="C15857" t="s">
        <v>2463</v>
      </c>
      <c r="G15857" t="s">
        <v>33999</v>
      </c>
      <c r="H15857" t="s">
        <v>198</v>
      </c>
      <c r="I15857" t="s">
        <v>22</v>
      </c>
      <c r="J15857">
        <v>92111</v>
      </c>
      <c r="K15857">
        <v>2809</v>
      </c>
      <c r="L15857" t="s">
        <v>23</v>
      </c>
      <c r="M15857" t="s">
        <v>33999</v>
      </c>
      <c r="N15857" t="s">
        <v>198</v>
      </c>
      <c r="O15857" t="s">
        <v>22</v>
      </c>
      <c r="P15857">
        <v>92111</v>
      </c>
      <c r="Q15857">
        <v>2809</v>
      </c>
      <c r="R15857" t="s">
        <v>23</v>
      </c>
      <c r="S15857" s="1" t="s">
        <v>34218</v>
      </c>
    </row>
    <row r="15858" spans="1:19" x14ac:dyDescent="0.25">
      <c r="A15858">
        <v>101355322</v>
      </c>
      <c r="B15858" t="s">
        <v>34000</v>
      </c>
      <c r="C15858" t="s">
        <v>123</v>
      </c>
      <c r="G15858" t="s">
        <v>34001</v>
      </c>
      <c r="H15858" t="s">
        <v>14187</v>
      </c>
      <c r="I15858" t="s">
        <v>117</v>
      </c>
      <c r="J15858">
        <v>14221</v>
      </c>
      <c r="K15858">
        <v>7335</v>
      </c>
      <c r="L15858" t="s">
        <v>23</v>
      </c>
      <c r="M15858" t="s">
        <v>34001</v>
      </c>
      <c r="N15858" t="s">
        <v>14187</v>
      </c>
      <c r="O15858" t="s">
        <v>117</v>
      </c>
      <c r="P15858">
        <v>14221</v>
      </c>
      <c r="Q15858">
        <v>7335</v>
      </c>
      <c r="R15858" t="s">
        <v>23</v>
      </c>
      <c r="S15858" s="1" t="s">
        <v>34218</v>
      </c>
    </row>
    <row r="15859" spans="1:19" x14ac:dyDescent="0.25">
      <c r="A15859">
        <v>101480970</v>
      </c>
      <c r="B15859" t="s">
        <v>34002</v>
      </c>
      <c r="C15859" t="s">
        <v>7058</v>
      </c>
      <c r="G15859" t="s">
        <v>34003</v>
      </c>
      <c r="H15859" t="s">
        <v>3169</v>
      </c>
      <c r="I15859" t="s">
        <v>84</v>
      </c>
      <c r="J15859">
        <v>98409</v>
      </c>
      <c r="K15859">
        <v>7406</v>
      </c>
      <c r="L15859" t="s">
        <v>23</v>
      </c>
      <c r="M15859" t="s">
        <v>34003</v>
      </c>
      <c r="N15859" t="s">
        <v>3169</v>
      </c>
      <c r="O15859" t="s">
        <v>84</v>
      </c>
      <c r="P15859">
        <v>98409</v>
      </c>
      <c r="Q15859">
        <v>7406</v>
      </c>
      <c r="R15859" t="s">
        <v>23</v>
      </c>
      <c r="S15859" s="1" t="s">
        <v>34218</v>
      </c>
    </row>
    <row r="15860" spans="1:19" x14ac:dyDescent="0.25">
      <c r="A15860">
        <v>101480975</v>
      </c>
      <c r="B15860" t="s">
        <v>30331</v>
      </c>
      <c r="C15860" t="s">
        <v>34004</v>
      </c>
      <c r="G15860" t="s">
        <v>34005</v>
      </c>
      <c r="H15860" t="s">
        <v>15236</v>
      </c>
      <c r="I15860" t="s">
        <v>117</v>
      </c>
      <c r="J15860">
        <v>11365</v>
      </c>
      <c r="L15860" t="s">
        <v>23</v>
      </c>
      <c r="M15860" t="s">
        <v>34005</v>
      </c>
      <c r="N15860" t="s">
        <v>15236</v>
      </c>
      <c r="O15860" t="s">
        <v>117</v>
      </c>
      <c r="P15860">
        <v>11365</v>
      </c>
      <c r="R15860" t="s">
        <v>23</v>
      </c>
      <c r="S15860" s="1" t="s">
        <v>34218</v>
      </c>
    </row>
    <row r="15861" spans="1:19" x14ac:dyDescent="0.25">
      <c r="A15861">
        <v>101480342</v>
      </c>
      <c r="B15861" t="s">
        <v>34006</v>
      </c>
      <c r="C15861" t="s">
        <v>34007</v>
      </c>
      <c r="G15861" t="s">
        <v>34008</v>
      </c>
      <c r="H15861" t="s">
        <v>2215</v>
      </c>
      <c r="I15861" t="s">
        <v>84</v>
      </c>
      <c r="J15861">
        <v>98363</v>
      </c>
      <c r="K15861">
        <v>9610</v>
      </c>
      <c r="L15861" t="s">
        <v>23</v>
      </c>
      <c r="M15861" t="s">
        <v>34008</v>
      </c>
      <c r="N15861" t="s">
        <v>2215</v>
      </c>
      <c r="O15861" t="s">
        <v>84</v>
      </c>
      <c r="P15861">
        <v>98363</v>
      </c>
      <c r="Q15861">
        <v>9610</v>
      </c>
      <c r="R15861" t="s">
        <v>23</v>
      </c>
      <c r="S15861" s="1" t="s">
        <v>34218</v>
      </c>
    </row>
    <row r="15862" spans="1:19" x14ac:dyDescent="0.25">
      <c r="A15862">
        <v>101304798</v>
      </c>
      <c r="B15862" t="s">
        <v>24995</v>
      </c>
      <c r="C15862" t="s">
        <v>1036</v>
      </c>
      <c r="G15862" t="s">
        <v>34009</v>
      </c>
      <c r="H15862" t="s">
        <v>12240</v>
      </c>
      <c r="I15862" t="s">
        <v>353</v>
      </c>
      <c r="J15862">
        <v>3246</v>
      </c>
      <c r="K15862">
        <v>3764</v>
      </c>
      <c r="L15862" t="s">
        <v>23</v>
      </c>
      <c r="M15862" t="s">
        <v>34009</v>
      </c>
      <c r="N15862" t="s">
        <v>12240</v>
      </c>
      <c r="O15862" t="s">
        <v>353</v>
      </c>
      <c r="P15862">
        <v>3246</v>
      </c>
      <c r="Q15862">
        <v>3764</v>
      </c>
      <c r="R15862" t="s">
        <v>23</v>
      </c>
      <c r="S15862" s="1" t="s">
        <v>34218</v>
      </c>
    </row>
    <row r="15863" spans="1:19" x14ac:dyDescent="0.25">
      <c r="A15863">
        <v>101480994</v>
      </c>
      <c r="B15863" t="s">
        <v>1800</v>
      </c>
      <c r="C15863" t="s">
        <v>233</v>
      </c>
      <c r="G15863" t="s">
        <v>34010</v>
      </c>
      <c r="H15863" t="s">
        <v>2640</v>
      </c>
      <c r="I15863" t="s">
        <v>52</v>
      </c>
      <c r="J15863">
        <v>33433</v>
      </c>
      <c r="K15863">
        <v>6267</v>
      </c>
      <c r="L15863" t="s">
        <v>23</v>
      </c>
      <c r="M15863" t="s">
        <v>34010</v>
      </c>
      <c r="N15863" t="s">
        <v>2640</v>
      </c>
      <c r="O15863" t="s">
        <v>52</v>
      </c>
      <c r="P15863">
        <v>33433</v>
      </c>
      <c r="Q15863">
        <v>6267</v>
      </c>
      <c r="R15863" t="s">
        <v>23</v>
      </c>
      <c r="S15863" s="1" t="s">
        <v>34218</v>
      </c>
    </row>
    <row r="15864" spans="1:19" x14ac:dyDescent="0.25">
      <c r="A15864">
        <v>101480995</v>
      </c>
      <c r="B15864" t="s">
        <v>247</v>
      </c>
      <c r="C15864" t="s">
        <v>33042</v>
      </c>
      <c r="G15864" t="s">
        <v>34011</v>
      </c>
      <c r="H15864" t="s">
        <v>423</v>
      </c>
      <c r="I15864" t="s">
        <v>71</v>
      </c>
      <c r="J15864">
        <v>80303</v>
      </c>
      <c r="K15864">
        <v>2934</v>
      </c>
      <c r="L15864" t="s">
        <v>23</v>
      </c>
      <c r="M15864" t="s">
        <v>34011</v>
      </c>
      <c r="N15864" t="s">
        <v>423</v>
      </c>
      <c r="O15864" t="s">
        <v>71</v>
      </c>
      <c r="P15864">
        <v>80303</v>
      </c>
      <c r="Q15864">
        <v>2934</v>
      </c>
      <c r="R15864" t="s">
        <v>23</v>
      </c>
      <c r="S15864" s="1" t="s">
        <v>34218</v>
      </c>
    </row>
    <row r="15865" spans="1:19" x14ac:dyDescent="0.25">
      <c r="A15865">
        <v>101236821</v>
      </c>
      <c r="B15865" t="s">
        <v>25374</v>
      </c>
      <c r="C15865" t="s">
        <v>158</v>
      </c>
      <c r="G15865" t="s">
        <v>34012</v>
      </c>
      <c r="H15865" t="s">
        <v>3024</v>
      </c>
      <c r="I15865" t="s">
        <v>255</v>
      </c>
      <c r="J15865">
        <v>20190</v>
      </c>
      <c r="K15865">
        <v>6000</v>
      </c>
      <c r="L15865" t="s">
        <v>23</v>
      </c>
      <c r="M15865" t="s">
        <v>34012</v>
      </c>
      <c r="N15865" t="s">
        <v>3024</v>
      </c>
      <c r="O15865" t="s">
        <v>255</v>
      </c>
      <c r="P15865">
        <v>20190</v>
      </c>
      <c r="Q15865">
        <v>6000</v>
      </c>
      <c r="R15865" t="s">
        <v>23</v>
      </c>
      <c r="S15865" s="1" t="s">
        <v>34218</v>
      </c>
    </row>
    <row r="15866" spans="1:19" x14ac:dyDescent="0.25">
      <c r="A15866">
        <v>100818616</v>
      </c>
      <c r="B15866" t="s">
        <v>34013</v>
      </c>
      <c r="C15866" t="s">
        <v>1043</v>
      </c>
      <c r="G15866" t="s">
        <v>34014</v>
      </c>
      <c r="H15866" t="s">
        <v>130</v>
      </c>
      <c r="I15866" t="s">
        <v>22</v>
      </c>
      <c r="J15866">
        <v>94121</v>
      </c>
      <c r="K15866">
        <v>1412</v>
      </c>
      <c r="L15866" t="s">
        <v>23</v>
      </c>
      <c r="M15866" t="s">
        <v>34014</v>
      </c>
      <c r="N15866" t="s">
        <v>130</v>
      </c>
      <c r="O15866" t="s">
        <v>22</v>
      </c>
      <c r="P15866">
        <v>94121</v>
      </c>
      <c r="Q15866">
        <v>1412</v>
      </c>
      <c r="R15866" t="s">
        <v>23</v>
      </c>
      <c r="S15866" s="1" t="s">
        <v>34218</v>
      </c>
    </row>
    <row r="15867" spans="1:19" x14ac:dyDescent="0.25">
      <c r="A15867">
        <v>101471666</v>
      </c>
      <c r="B15867" t="s">
        <v>5783</v>
      </c>
      <c r="C15867" t="s">
        <v>34015</v>
      </c>
      <c r="G15867">
        <v>82455</v>
      </c>
      <c r="H15867" t="s">
        <v>22796</v>
      </c>
      <c r="I15867" t="s">
        <v>27974</v>
      </c>
      <c r="J15867">
        <v>82455</v>
      </c>
      <c r="L15867" t="s">
        <v>23</v>
      </c>
      <c r="M15867">
        <v>82455</v>
      </c>
      <c r="N15867" t="s">
        <v>22796</v>
      </c>
      <c r="O15867" t="s">
        <v>27974</v>
      </c>
      <c r="P15867">
        <v>82455</v>
      </c>
      <c r="R15867" t="s">
        <v>23</v>
      </c>
      <c r="S15867" s="1" t="s">
        <v>34218</v>
      </c>
    </row>
    <row r="15868" spans="1:19" x14ac:dyDescent="0.25">
      <c r="A15868">
        <v>101351001</v>
      </c>
      <c r="B15868" t="s">
        <v>34016</v>
      </c>
      <c r="C15868" t="s">
        <v>1906</v>
      </c>
      <c r="G15868" t="s">
        <v>34017</v>
      </c>
      <c r="H15868" t="s">
        <v>6515</v>
      </c>
      <c r="I15868" t="s">
        <v>22</v>
      </c>
      <c r="J15868">
        <v>90266</v>
      </c>
      <c r="K15868">
        <v>5443</v>
      </c>
      <c r="L15868" t="s">
        <v>23</v>
      </c>
      <c r="M15868" t="s">
        <v>34017</v>
      </c>
      <c r="N15868" t="s">
        <v>6515</v>
      </c>
      <c r="O15868" t="s">
        <v>22</v>
      </c>
      <c r="P15868">
        <v>90266</v>
      </c>
      <c r="Q15868">
        <v>5443</v>
      </c>
      <c r="R15868" t="s">
        <v>23</v>
      </c>
      <c r="S15868" s="1" t="s">
        <v>34218</v>
      </c>
    </row>
    <row r="15869" spans="1:19" x14ac:dyDescent="0.25">
      <c r="A15869">
        <v>101421707</v>
      </c>
      <c r="B15869" t="s">
        <v>3705</v>
      </c>
      <c r="C15869" t="s">
        <v>217</v>
      </c>
      <c r="G15869" t="s">
        <v>34018</v>
      </c>
      <c r="H15869" t="s">
        <v>393</v>
      </c>
      <c r="I15869" t="s">
        <v>71</v>
      </c>
      <c r="J15869">
        <v>80123</v>
      </c>
      <c r="L15869" t="s">
        <v>23</v>
      </c>
      <c r="M15869" t="s">
        <v>34018</v>
      </c>
      <c r="N15869" t="s">
        <v>393</v>
      </c>
      <c r="O15869" t="s">
        <v>71</v>
      </c>
      <c r="P15869">
        <v>80123</v>
      </c>
      <c r="R15869" t="s">
        <v>23</v>
      </c>
      <c r="S15869" s="1" t="s">
        <v>34218</v>
      </c>
    </row>
    <row r="15870" spans="1:19" x14ac:dyDescent="0.25">
      <c r="A15870">
        <v>101480130</v>
      </c>
      <c r="B15870" t="s">
        <v>34019</v>
      </c>
      <c r="C15870" t="s">
        <v>25</v>
      </c>
      <c r="G15870" t="s">
        <v>34020</v>
      </c>
      <c r="H15870" t="s">
        <v>11379</v>
      </c>
      <c r="I15870" t="s">
        <v>2566</v>
      </c>
      <c r="J15870">
        <v>99504</v>
      </c>
      <c r="K15870">
        <v>4413</v>
      </c>
      <c r="L15870" t="s">
        <v>23</v>
      </c>
      <c r="M15870" t="s">
        <v>34020</v>
      </c>
      <c r="N15870" t="s">
        <v>11379</v>
      </c>
      <c r="O15870" t="s">
        <v>2566</v>
      </c>
      <c r="P15870">
        <v>99504</v>
      </c>
      <c r="Q15870">
        <v>4413</v>
      </c>
      <c r="R15870" t="s">
        <v>23</v>
      </c>
      <c r="S15870" s="1" t="s">
        <v>34218</v>
      </c>
    </row>
    <row r="15871" spans="1:19" x14ac:dyDescent="0.25">
      <c r="A15871">
        <v>101336079</v>
      </c>
      <c r="B15871" t="s">
        <v>30039</v>
      </c>
      <c r="C15871" t="s">
        <v>252</v>
      </c>
      <c r="G15871" t="s">
        <v>34021</v>
      </c>
      <c r="H15871" t="s">
        <v>299</v>
      </c>
      <c r="I15871" t="s">
        <v>22</v>
      </c>
      <c r="J15871">
        <v>90025</v>
      </c>
      <c r="K15871">
        <v>8209</v>
      </c>
      <c r="L15871" t="s">
        <v>23</v>
      </c>
      <c r="M15871" t="s">
        <v>34021</v>
      </c>
      <c r="N15871" t="s">
        <v>299</v>
      </c>
      <c r="O15871" t="s">
        <v>22</v>
      </c>
      <c r="P15871">
        <v>90025</v>
      </c>
      <c r="Q15871">
        <v>8209</v>
      </c>
      <c r="R15871" t="s">
        <v>23</v>
      </c>
      <c r="S15871" s="1" t="s">
        <v>34218</v>
      </c>
    </row>
    <row r="15872" spans="1:19" x14ac:dyDescent="0.25">
      <c r="A15872">
        <v>101481015</v>
      </c>
      <c r="B15872" t="s">
        <v>34022</v>
      </c>
      <c r="C15872" t="s">
        <v>34023</v>
      </c>
      <c r="G15872" t="s">
        <v>34024</v>
      </c>
      <c r="H15872" t="s">
        <v>34025</v>
      </c>
      <c r="I15872" t="s">
        <v>43</v>
      </c>
      <c r="J15872">
        <v>61352</v>
      </c>
      <c r="L15872" t="s">
        <v>23</v>
      </c>
      <c r="M15872" t="s">
        <v>34024</v>
      </c>
      <c r="N15872" t="s">
        <v>34025</v>
      </c>
      <c r="O15872" t="s">
        <v>43</v>
      </c>
      <c r="P15872">
        <v>61352</v>
      </c>
      <c r="R15872" t="s">
        <v>23</v>
      </c>
      <c r="S15872" s="1" t="s">
        <v>34218</v>
      </c>
    </row>
    <row r="15873" spans="1:19" x14ac:dyDescent="0.25">
      <c r="A15873">
        <v>101452833</v>
      </c>
      <c r="B15873" t="s">
        <v>34026</v>
      </c>
      <c r="C15873" t="s">
        <v>34027</v>
      </c>
      <c r="G15873" t="s">
        <v>34028</v>
      </c>
      <c r="H15873" t="s">
        <v>1535</v>
      </c>
      <c r="I15873" t="s">
        <v>22</v>
      </c>
      <c r="J15873">
        <v>94941</v>
      </c>
      <c r="K15873">
        <v>3907</v>
      </c>
      <c r="L15873" t="s">
        <v>23</v>
      </c>
      <c r="M15873" t="s">
        <v>34028</v>
      </c>
      <c r="N15873" t="s">
        <v>1535</v>
      </c>
      <c r="O15873" t="s">
        <v>22</v>
      </c>
      <c r="P15873">
        <v>94941</v>
      </c>
      <c r="Q15873">
        <v>3907</v>
      </c>
      <c r="R15873" t="s">
        <v>23</v>
      </c>
      <c r="S15873" s="1" t="s">
        <v>34218</v>
      </c>
    </row>
    <row r="15874" spans="1:19" x14ac:dyDescent="0.25">
      <c r="A15874">
        <v>101376459</v>
      </c>
      <c r="B15874" t="s">
        <v>34029</v>
      </c>
      <c r="C15874" t="s">
        <v>90</v>
      </c>
      <c r="G15874" t="s">
        <v>34030</v>
      </c>
      <c r="H15874" t="s">
        <v>2769</v>
      </c>
      <c r="I15874" t="s">
        <v>52</v>
      </c>
      <c r="J15874">
        <v>34120</v>
      </c>
      <c r="K15874">
        <v>4584</v>
      </c>
      <c r="L15874" t="s">
        <v>23</v>
      </c>
      <c r="M15874" t="s">
        <v>34030</v>
      </c>
      <c r="N15874" t="s">
        <v>2769</v>
      </c>
      <c r="O15874" t="s">
        <v>52</v>
      </c>
      <c r="P15874">
        <v>34120</v>
      </c>
      <c r="Q15874">
        <v>4584</v>
      </c>
      <c r="R15874" t="s">
        <v>23</v>
      </c>
      <c r="S15874" s="1" t="s">
        <v>34218</v>
      </c>
    </row>
    <row r="15875" spans="1:19" x14ac:dyDescent="0.25">
      <c r="A15875">
        <v>101481025</v>
      </c>
      <c r="B15875" t="s">
        <v>14363</v>
      </c>
      <c r="C15875" t="s">
        <v>1363</v>
      </c>
      <c r="G15875" t="s">
        <v>34031</v>
      </c>
      <c r="H15875" t="s">
        <v>471</v>
      </c>
      <c r="I15875" t="s">
        <v>365</v>
      </c>
      <c r="J15875">
        <v>85258</v>
      </c>
      <c r="K15875">
        <v>1932</v>
      </c>
      <c r="L15875" t="s">
        <v>23</v>
      </c>
      <c r="M15875" t="s">
        <v>34031</v>
      </c>
      <c r="N15875" t="s">
        <v>471</v>
      </c>
      <c r="O15875" t="s">
        <v>365</v>
      </c>
      <c r="P15875">
        <v>85258</v>
      </c>
      <c r="Q15875">
        <v>1932</v>
      </c>
      <c r="R15875" t="s">
        <v>23</v>
      </c>
      <c r="S15875" s="1" t="s">
        <v>34218</v>
      </c>
    </row>
    <row r="15876" spans="1:19" x14ac:dyDescent="0.25">
      <c r="A15876">
        <v>101450680</v>
      </c>
      <c r="B15876" t="s">
        <v>34032</v>
      </c>
      <c r="C15876" t="s">
        <v>403</v>
      </c>
      <c r="G15876" t="s">
        <v>34033</v>
      </c>
      <c r="H15876" t="s">
        <v>29923</v>
      </c>
      <c r="I15876" t="s">
        <v>153</v>
      </c>
      <c r="J15876">
        <v>70056</v>
      </c>
      <c r="K15876">
        <v>2810</v>
      </c>
      <c r="L15876" t="s">
        <v>23</v>
      </c>
      <c r="M15876" t="s">
        <v>34033</v>
      </c>
      <c r="N15876" t="s">
        <v>29923</v>
      </c>
      <c r="O15876" t="s">
        <v>153</v>
      </c>
      <c r="P15876">
        <v>70056</v>
      </c>
      <c r="Q15876">
        <v>2810</v>
      </c>
      <c r="R15876" t="s">
        <v>23</v>
      </c>
      <c r="S15876" s="1" t="s">
        <v>34218</v>
      </c>
    </row>
    <row r="15877" spans="1:19" x14ac:dyDescent="0.25">
      <c r="A15877">
        <v>101428143</v>
      </c>
      <c r="B15877" t="s">
        <v>34034</v>
      </c>
      <c r="C15877" t="s">
        <v>31028</v>
      </c>
      <c r="G15877" t="s">
        <v>34035</v>
      </c>
      <c r="H15877" t="s">
        <v>299</v>
      </c>
      <c r="I15877" t="s">
        <v>22</v>
      </c>
      <c r="J15877">
        <v>90046</v>
      </c>
      <c r="K15877">
        <v>7147</v>
      </c>
      <c r="L15877" t="s">
        <v>23</v>
      </c>
      <c r="M15877" t="s">
        <v>34035</v>
      </c>
      <c r="N15877" t="s">
        <v>299</v>
      </c>
      <c r="O15877" t="s">
        <v>22</v>
      </c>
      <c r="P15877">
        <v>90046</v>
      </c>
      <c r="Q15877">
        <v>7147</v>
      </c>
      <c r="R15877" t="s">
        <v>23</v>
      </c>
      <c r="S15877" s="1" t="s">
        <v>34218</v>
      </c>
    </row>
    <row r="15878" spans="1:19" x14ac:dyDescent="0.25">
      <c r="A15878">
        <v>101307840</v>
      </c>
      <c r="B15878" t="s">
        <v>34036</v>
      </c>
      <c r="C15878" t="s">
        <v>34037</v>
      </c>
      <c r="G15878" t="s">
        <v>34038</v>
      </c>
      <c r="H15878" t="s">
        <v>2582</v>
      </c>
      <c r="I15878" t="s">
        <v>84</v>
      </c>
      <c r="J15878">
        <v>98332</v>
      </c>
      <c r="K15878">
        <v>8136</v>
      </c>
      <c r="L15878" t="s">
        <v>23</v>
      </c>
      <c r="M15878" t="s">
        <v>34038</v>
      </c>
      <c r="N15878" t="s">
        <v>2582</v>
      </c>
      <c r="O15878" t="s">
        <v>84</v>
      </c>
      <c r="P15878">
        <v>98332</v>
      </c>
      <c r="Q15878">
        <v>8136</v>
      </c>
      <c r="R15878" t="s">
        <v>23</v>
      </c>
      <c r="S15878" s="1" t="s">
        <v>34218</v>
      </c>
    </row>
    <row r="15879" spans="1:19" x14ac:dyDescent="0.25">
      <c r="A15879">
        <v>101097180</v>
      </c>
      <c r="B15879" t="s">
        <v>2446</v>
      </c>
      <c r="C15879" t="s">
        <v>3460</v>
      </c>
      <c r="G15879" t="s">
        <v>34039</v>
      </c>
      <c r="H15879" t="s">
        <v>34040</v>
      </c>
      <c r="I15879" t="s">
        <v>22</v>
      </c>
      <c r="J15879">
        <v>90710</v>
      </c>
      <c r="K15879">
        <v>3726</v>
      </c>
      <c r="L15879" t="s">
        <v>23</v>
      </c>
      <c r="M15879" t="s">
        <v>34039</v>
      </c>
      <c r="N15879" t="s">
        <v>34040</v>
      </c>
      <c r="O15879" t="s">
        <v>22</v>
      </c>
      <c r="P15879">
        <v>90710</v>
      </c>
      <c r="Q15879">
        <v>3726</v>
      </c>
      <c r="R15879" t="s">
        <v>23</v>
      </c>
      <c r="S15879" s="1" t="s">
        <v>34218</v>
      </c>
    </row>
    <row r="15880" spans="1:19" x14ac:dyDescent="0.25">
      <c r="A15880">
        <v>101205057</v>
      </c>
      <c r="B15880" t="s">
        <v>34041</v>
      </c>
      <c r="C15880" t="s">
        <v>4133</v>
      </c>
      <c r="G15880" t="s">
        <v>34042</v>
      </c>
      <c r="H15880" t="s">
        <v>34043</v>
      </c>
      <c r="I15880" t="s">
        <v>2537</v>
      </c>
      <c r="J15880">
        <v>72513</v>
      </c>
      <c r="K15880">
        <v>9022</v>
      </c>
      <c r="L15880" t="s">
        <v>23</v>
      </c>
      <c r="M15880" t="s">
        <v>34042</v>
      </c>
      <c r="N15880" t="s">
        <v>34043</v>
      </c>
      <c r="O15880" t="s">
        <v>2537</v>
      </c>
      <c r="P15880">
        <v>72513</v>
      </c>
      <c r="Q15880">
        <v>9022</v>
      </c>
      <c r="R15880" t="s">
        <v>23</v>
      </c>
      <c r="S15880" s="1" t="s">
        <v>34218</v>
      </c>
    </row>
    <row r="15881" spans="1:19" x14ac:dyDescent="0.25">
      <c r="A15881">
        <v>101021396</v>
      </c>
      <c r="B15881" t="s">
        <v>6147</v>
      </c>
      <c r="C15881" t="s">
        <v>5613</v>
      </c>
      <c r="G15881" t="s">
        <v>34044</v>
      </c>
      <c r="H15881" t="s">
        <v>134</v>
      </c>
      <c r="I15881" t="s">
        <v>135</v>
      </c>
      <c r="J15881">
        <v>60613</v>
      </c>
      <c r="K15881">
        <v>5625</v>
      </c>
      <c r="L15881" t="s">
        <v>23</v>
      </c>
      <c r="M15881" t="s">
        <v>34044</v>
      </c>
      <c r="N15881" t="s">
        <v>134</v>
      </c>
      <c r="O15881" t="s">
        <v>135</v>
      </c>
      <c r="P15881">
        <v>60613</v>
      </c>
      <c r="Q15881">
        <v>5625</v>
      </c>
      <c r="R15881" t="s">
        <v>23</v>
      </c>
      <c r="S15881" s="1" t="s">
        <v>34218</v>
      </c>
    </row>
    <row r="15882" spans="1:19" x14ac:dyDescent="0.25">
      <c r="A15882">
        <v>101440584</v>
      </c>
      <c r="B15882" t="s">
        <v>34045</v>
      </c>
      <c r="C15882" t="s">
        <v>19619</v>
      </c>
      <c r="G15882" t="s">
        <v>34046</v>
      </c>
      <c r="H15882" t="s">
        <v>705</v>
      </c>
      <c r="I15882" t="s">
        <v>22</v>
      </c>
      <c r="J15882">
        <v>94501</v>
      </c>
      <c r="K15882">
        <v>3412</v>
      </c>
      <c r="L15882" t="s">
        <v>23</v>
      </c>
      <c r="M15882" t="s">
        <v>34046</v>
      </c>
      <c r="N15882" t="s">
        <v>705</v>
      </c>
      <c r="O15882" t="s">
        <v>22</v>
      </c>
      <c r="P15882">
        <v>94501</v>
      </c>
      <c r="Q15882">
        <v>3412</v>
      </c>
      <c r="R15882" t="s">
        <v>23</v>
      </c>
      <c r="S15882" s="1" t="s">
        <v>34218</v>
      </c>
    </row>
    <row r="15883" spans="1:19" x14ac:dyDescent="0.25">
      <c r="A15883">
        <v>100851789</v>
      </c>
      <c r="B15883" t="s">
        <v>34047</v>
      </c>
      <c r="C15883" t="s">
        <v>1327</v>
      </c>
      <c r="G15883" t="s">
        <v>34048</v>
      </c>
      <c r="H15883" t="s">
        <v>2399</v>
      </c>
      <c r="I15883" t="s">
        <v>71</v>
      </c>
      <c r="J15883">
        <v>80524</v>
      </c>
      <c r="K15883">
        <v>1226</v>
      </c>
      <c r="L15883" t="s">
        <v>23</v>
      </c>
      <c r="M15883" t="s">
        <v>34048</v>
      </c>
      <c r="N15883" t="s">
        <v>2399</v>
      </c>
      <c r="O15883" t="s">
        <v>71</v>
      </c>
      <c r="P15883">
        <v>80524</v>
      </c>
      <c r="Q15883">
        <v>1226</v>
      </c>
      <c r="R15883" t="s">
        <v>23</v>
      </c>
      <c r="S15883" s="1" t="s">
        <v>34218</v>
      </c>
    </row>
    <row r="15884" spans="1:19" x14ac:dyDescent="0.25">
      <c r="A15884">
        <v>101095911</v>
      </c>
      <c r="B15884" t="s">
        <v>34049</v>
      </c>
      <c r="C15884" t="s">
        <v>34050</v>
      </c>
      <c r="G15884" t="s">
        <v>34051</v>
      </c>
      <c r="H15884" t="s">
        <v>147</v>
      </c>
      <c r="I15884" t="s">
        <v>22</v>
      </c>
      <c r="J15884">
        <v>91101</v>
      </c>
      <c r="L15884" t="s">
        <v>23</v>
      </c>
      <c r="M15884" t="s">
        <v>34051</v>
      </c>
      <c r="N15884" t="s">
        <v>147</v>
      </c>
      <c r="O15884" t="s">
        <v>22</v>
      </c>
      <c r="P15884">
        <v>91101</v>
      </c>
      <c r="R15884" t="s">
        <v>23</v>
      </c>
      <c r="S15884" s="1" t="s">
        <v>34218</v>
      </c>
    </row>
    <row r="15885" spans="1:19" x14ac:dyDescent="0.25">
      <c r="A15885">
        <v>101481048</v>
      </c>
      <c r="B15885" t="s">
        <v>154</v>
      </c>
      <c r="C15885" t="s">
        <v>34052</v>
      </c>
      <c r="G15885" t="s">
        <v>34053</v>
      </c>
      <c r="H15885" t="s">
        <v>638</v>
      </c>
      <c r="I15885" t="s">
        <v>639</v>
      </c>
      <c r="J15885">
        <v>87123</v>
      </c>
      <c r="K15885">
        <v>3089</v>
      </c>
      <c r="L15885" t="s">
        <v>23</v>
      </c>
      <c r="M15885" t="s">
        <v>34053</v>
      </c>
      <c r="N15885" t="s">
        <v>638</v>
      </c>
      <c r="O15885" t="s">
        <v>639</v>
      </c>
      <c r="P15885">
        <v>87123</v>
      </c>
      <c r="Q15885">
        <v>3089</v>
      </c>
      <c r="R15885" t="s">
        <v>23</v>
      </c>
      <c r="S15885" s="1" t="s">
        <v>34218</v>
      </c>
    </row>
    <row r="15886" spans="1:19" x14ac:dyDescent="0.25">
      <c r="A15886">
        <v>101430242</v>
      </c>
      <c r="B15886" t="s">
        <v>16522</v>
      </c>
      <c r="C15886" t="s">
        <v>4719</v>
      </c>
      <c r="G15886" t="s">
        <v>34054</v>
      </c>
      <c r="H15886" t="s">
        <v>12580</v>
      </c>
      <c r="I15886" t="s">
        <v>135</v>
      </c>
      <c r="J15886">
        <v>62025</v>
      </c>
      <c r="K15886">
        <v>2647</v>
      </c>
      <c r="L15886" t="s">
        <v>23</v>
      </c>
      <c r="M15886" t="s">
        <v>34054</v>
      </c>
      <c r="N15886" t="s">
        <v>12580</v>
      </c>
      <c r="O15886" t="s">
        <v>135</v>
      </c>
      <c r="P15886">
        <v>62025</v>
      </c>
      <c r="Q15886">
        <v>2647</v>
      </c>
      <c r="R15886" t="s">
        <v>23</v>
      </c>
      <c r="S15886" s="1" t="s">
        <v>34218</v>
      </c>
    </row>
    <row r="15887" spans="1:19" x14ac:dyDescent="0.25">
      <c r="A15887">
        <v>101008850</v>
      </c>
      <c r="B15887" t="s">
        <v>6555</v>
      </c>
      <c r="C15887" t="s">
        <v>270</v>
      </c>
      <c r="G15887" t="s">
        <v>34055</v>
      </c>
      <c r="H15887" t="s">
        <v>15701</v>
      </c>
      <c r="I15887" t="s">
        <v>71</v>
      </c>
      <c r="J15887">
        <v>81621</v>
      </c>
      <c r="K15887">
        <v>9788</v>
      </c>
      <c r="L15887" t="s">
        <v>23</v>
      </c>
      <c r="M15887" t="s">
        <v>34055</v>
      </c>
      <c r="N15887" t="s">
        <v>15701</v>
      </c>
      <c r="O15887" t="s">
        <v>71</v>
      </c>
      <c r="P15887">
        <v>81621</v>
      </c>
      <c r="Q15887">
        <v>9788</v>
      </c>
      <c r="R15887" t="s">
        <v>23</v>
      </c>
      <c r="S15887" s="1" t="s">
        <v>34218</v>
      </c>
    </row>
    <row r="15888" spans="1:19" x14ac:dyDescent="0.25">
      <c r="A15888">
        <v>101179311</v>
      </c>
      <c r="B15888" t="s">
        <v>34056</v>
      </c>
      <c r="C15888" t="s">
        <v>4719</v>
      </c>
      <c r="F15888" t="str">
        <f>"7739153712"</f>
        <v>7739153712</v>
      </c>
      <c r="G15888" t="s">
        <v>34057</v>
      </c>
      <c r="H15888" t="s">
        <v>2841</v>
      </c>
      <c r="I15888" t="s">
        <v>71</v>
      </c>
      <c r="J15888">
        <v>80401</v>
      </c>
      <c r="K15888">
        <v>2516</v>
      </c>
      <c r="L15888" t="s">
        <v>23</v>
      </c>
      <c r="M15888" t="s">
        <v>34057</v>
      </c>
      <c r="N15888" t="s">
        <v>2841</v>
      </c>
      <c r="O15888" t="s">
        <v>71</v>
      </c>
      <c r="P15888">
        <v>80401</v>
      </c>
      <c r="Q15888">
        <v>2516</v>
      </c>
      <c r="R15888" t="s">
        <v>23</v>
      </c>
      <c r="S15888" s="1" t="s">
        <v>34218</v>
      </c>
    </row>
    <row r="15889" spans="1:19" x14ac:dyDescent="0.25">
      <c r="A15889">
        <v>101470802</v>
      </c>
      <c r="B15889" t="s">
        <v>34058</v>
      </c>
      <c r="C15889" t="s">
        <v>180</v>
      </c>
      <c r="G15889" t="s">
        <v>34059</v>
      </c>
      <c r="H15889" t="s">
        <v>1553</v>
      </c>
      <c r="I15889" t="s">
        <v>236</v>
      </c>
      <c r="J15889">
        <v>1002</v>
      </c>
      <c r="K15889">
        <v>3011</v>
      </c>
      <c r="L15889" t="s">
        <v>23</v>
      </c>
      <c r="M15889" t="s">
        <v>34059</v>
      </c>
      <c r="N15889" t="s">
        <v>1553</v>
      </c>
      <c r="O15889" t="s">
        <v>236</v>
      </c>
      <c r="P15889">
        <v>1002</v>
      </c>
      <c r="Q15889">
        <v>3011</v>
      </c>
      <c r="R15889" t="s">
        <v>23</v>
      </c>
      <c r="S15889" s="1" t="s">
        <v>34218</v>
      </c>
    </row>
    <row r="15890" spans="1:19" x14ac:dyDescent="0.25">
      <c r="A15890">
        <v>101453297</v>
      </c>
      <c r="B15890" t="s">
        <v>13125</v>
      </c>
      <c r="C15890" t="s">
        <v>217</v>
      </c>
      <c r="G15890" t="s">
        <v>34060</v>
      </c>
      <c r="H15890" t="s">
        <v>3270</v>
      </c>
      <c r="I15890" t="s">
        <v>348</v>
      </c>
      <c r="J15890">
        <v>83703</v>
      </c>
      <c r="K15890">
        <v>5433</v>
      </c>
      <c r="L15890" t="s">
        <v>23</v>
      </c>
      <c r="M15890" t="s">
        <v>34060</v>
      </c>
      <c r="N15890" t="s">
        <v>3270</v>
      </c>
      <c r="O15890" t="s">
        <v>348</v>
      </c>
      <c r="P15890">
        <v>83703</v>
      </c>
      <c r="Q15890">
        <v>5433</v>
      </c>
      <c r="R15890" t="s">
        <v>23</v>
      </c>
      <c r="S15890" s="1" t="s">
        <v>34218</v>
      </c>
    </row>
    <row r="15891" spans="1:19" x14ac:dyDescent="0.25">
      <c r="A15891">
        <v>101284238</v>
      </c>
      <c r="B15891" t="s">
        <v>34061</v>
      </c>
      <c r="C15891" t="s">
        <v>1487</v>
      </c>
      <c r="G15891" t="s">
        <v>34062</v>
      </c>
      <c r="H15891" t="s">
        <v>2974</v>
      </c>
      <c r="I15891" t="s">
        <v>135</v>
      </c>
      <c r="J15891">
        <v>60189</v>
      </c>
      <c r="K15891">
        <v>2946</v>
      </c>
      <c r="L15891" t="s">
        <v>23</v>
      </c>
      <c r="M15891" t="s">
        <v>34062</v>
      </c>
      <c r="N15891" t="s">
        <v>2974</v>
      </c>
      <c r="O15891" t="s">
        <v>135</v>
      </c>
      <c r="P15891">
        <v>60189</v>
      </c>
      <c r="Q15891">
        <v>2946</v>
      </c>
      <c r="R15891" t="s">
        <v>23</v>
      </c>
      <c r="S15891" s="1" t="s">
        <v>34218</v>
      </c>
    </row>
    <row r="15892" spans="1:19" x14ac:dyDescent="0.25">
      <c r="A15892">
        <v>101467723</v>
      </c>
      <c r="B15892" t="s">
        <v>15674</v>
      </c>
      <c r="C15892" t="s">
        <v>3113</v>
      </c>
      <c r="G15892" t="s">
        <v>34063</v>
      </c>
      <c r="H15892" t="s">
        <v>1452</v>
      </c>
      <c r="I15892" t="s">
        <v>43</v>
      </c>
      <c r="J15892">
        <v>97404</v>
      </c>
      <c r="K15892">
        <v>8101</v>
      </c>
      <c r="L15892" t="s">
        <v>23</v>
      </c>
      <c r="M15892" t="s">
        <v>34063</v>
      </c>
      <c r="N15892" t="s">
        <v>1452</v>
      </c>
      <c r="O15892" t="s">
        <v>43</v>
      </c>
      <c r="P15892">
        <v>97404</v>
      </c>
      <c r="Q15892">
        <v>8101</v>
      </c>
      <c r="R15892" t="s">
        <v>23</v>
      </c>
      <c r="S15892" s="1" t="s">
        <v>34218</v>
      </c>
    </row>
    <row r="15893" spans="1:19" x14ac:dyDescent="0.25">
      <c r="A15893">
        <v>101298767</v>
      </c>
      <c r="B15893" t="s">
        <v>34064</v>
      </c>
      <c r="C15893" t="s">
        <v>90</v>
      </c>
      <c r="G15893" t="s">
        <v>34065</v>
      </c>
      <c r="H15893" t="s">
        <v>638</v>
      </c>
      <c r="I15893" t="s">
        <v>639</v>
      </c>
      <c r="J15893">
        <v>87105</v>
      </c>
      <c r="L15893" t="s">
        <v>23</v>
      </c>
      <c r="M15893" t="s">
        <v>34065</v>
      </c>
      <c r="N15893" t="s">
        <v>638</v>
      </c>
      <c r="O15893" t="s">
        <v>639</v>
      </c>
      <c r="P15893">
        <v>87105</v>
      </c>
      <c r="R15893" t="s">
        <v>23</v>
      </c>
      <c r="S15893" s="1" t="s">
        <v>34218</v>
      </c>
    </row>
    <row r="15894" spans="1:19" x14ac:dyDescent="0.25">
      <c r="A15894">
        <v>101481056</v>
      </c>
      <c r="B15894" t="s">
        <v>34066</v>
      </c>
      <c r="C15894" t="s">
        <v>16384</v>
      </c>
      <c r="G15894" t="s">
        <v>34067</v>
      </c>
      <c r="H15894" t="s">
        <v>1604</v>
      </c>
      <c r="I15894" t="s">
        <v>148</v>
      </c>
      <c r="J15894">
        <v>21045</v>
      </c>
      <c r="K15894">
        <v>5044</v>
      </c>
      <c r="L15894" t="s">
        <v>23</v>
      </c>
      <c r="M15894" t="s">
        <v>34067</v>
      </c>
      <c r="N15894" t="s">
        <v>1604</v>
      </c>
      <c r="O15894" t="s">
        <v>148</v>
      </c>
      <c r="P15894">
        <v>21045</v>
      </c>
      <c r="Q15894">
        <v>5044</v>
      </c>
      <c r="R15894" t="s">
        <v>23</v>
      </c>
      <c r="S15894" s="1" t="s">
        <v>34218</v>
      </c>
    </row>
    <row r="15895" spans="1:19" x14ac:dyDescent="0.25">
      <c r="A15895">
        <v>100639235</v>
      </c>
      <c r="B15895" t="s">
        <v>2784</v>
      </c>
      <c r="C15895" t="s">
        <v>34068</v>
      </c>
      <c r="G15895" t="s">
        <v>34069</v>
      </c>
      <c r="H15895" t="s">
        <v>6881</v>
      </c>
      <c r="I15895" t="s">
        <v>52</v>
      </c>
      <c r="J15895">
        <v>33062</v>
      </c>
      <c r="K15895">
        <v>6560</v>
      </c>
      <c r="L15895" t="s">
        <v>23</v>
      </c>
      <c r="M15895" t="s">
        <v>34069</v>
      </c>
      <c r="N15895" t="s">
        <v>6881</v>
      </c>
      <c r="O15895" t="s">
        <v>52</v>
      </c>
      <c r="P15895">
        <v>33062</v>
      </c>
      <c r="Q15895">
        <v>6560</v>
      </c>
      <c r="R15895" t="s">
        <v>23</v>
      </c>
      <c r="S15895" s="1" t="s">
        <v>34218</v>
      </c>
    </row>
    <row r="15896" spans="1:19" x14ac:dyDescent="0.25">
      <c r="A15896">
        <v>101335066</v>
      </c>
      <c r="B15896" t="s">
        <v>34070</v>
      </c>
      <c r="C15896" t="s">
        <v>2599</v>
      </c>
      <c r="G15896" t="s">
        <v>34071</v>
      </c>
      <c r="H15896" t="s">
        <v>4235</v>
      </c>
      <c r="I15896" t="s">
        <v>984</v>
      </c>
      <c r="J15896">
        <v>96817</v>
      </c>
      <c r="K15896">
        <v>2011</v>
      </c>
      <c r="L15896" t="s">
        <v>23</v>
      </c>
      <c r="M15896" t="s">
        <v>34071</v>
      </c>
      <c r="N15896" t="s">
        <v>4235</v>
      </c>
      <c r="O15896" t="s">
        <v>984</v>
      </c>
      <c r="P15896">
        <v>96817</v>
      </c>
      <c r="Q15896">
        <v>2011</v>
      </c>
      <c r="R15896" t="s">
        <v>23</v>
      </c>
      <c r="S15896" s="1" t="s">
        <v>34218</v>
      </c>
    </row>
    <row r="15897" spans="1:19" x14ac:dyDescent="0.25">
      <c r="A15897">
        <v>101427054</v>
      </c>
      <c r="B15897" t="s">
        <v>3828</v>
      </c>
      <c r="C15897" t="s">
        <v>2420</v>
      </c>
      <c r="G15897" t="s">
        <v>34072</v>
      </c>
      <c r="H15897" t="s">
        <v>34073</v>
      </c>
      <c r="I15897" t="s">
        <v>100</v>
      </c>
      <c r="J15897">
        <v>53035</v>
      </c>
      <c r="K15897">
        <v>9651</v>
      </c>
      <c r="L15897" t="s">
        <v>23</v>
      </c>
      <c r="M15897" t="s">
        <v>34072</v>
      </c>
      <c r="N15897" t="s">
        <v>34073</v>
      </c>
      <c r="O15897" t="s">
        <v>100</v>
      </c>
      <c r="P15897">
        <v>53035</v>
      </c>
      <c r="Q15897">
        <v>9651</v>
      </c>
      <c r="R15897" t="s">
        <v>23</v>
      </c>
      <c r="S15897" s="1" t="s">
        <v>34218</v>
      </c>
    </row>
    <row r="15898" spans="1:19" x14ac:dyDescent="0.25">
      <c r="A15898">
        <v>101466543</v>
      </c>
      <c r="B15898" t="s">
        <v>34074</v>
      </c>
      <c r="C15898" t="s">
        <v>8920</v>
      </c>
      <c r="G15898" t="s">
        <v>34075</v>
      </c>
      <c r="H15898" t="s">
        <v>5278</v>
      </c>
      <c r="I15898" t="s">
        <v>22</v>
      </c>
      <c r="J15898">
        <v>94401</v>
      </c>
      <c r="K15898">
        <v>3532</v>
      </c>
      <c r="L15898" t="s">
        <v>23</v>
      </c>
      <c r="M15898" t="s">
        <v>34075</v>
      </c>
      <c r="N15898" t="s">
        <v>5278</v>
      </c>
      <c r="O15898" t="s">
        <v>22</v>
      </c>
      <c r="P15898">
        <v>94401</v>
      </c>
      <c r="Q15898">
        <v>3532</v>
      </c>
      <c r="R15898" t="s">
        <v>23</v>
      </c>
      <c r="S15898" s="1" t="s">
        <v>34218</v>
      </c>
    </row>
    <row r="15899" spans="1:19" x14ac:dyDescent="0.25">
      <c r="A15899">
        <v>101481066</v>
      </c>
      <c r="B15899" t="s">
        <v>34076</v>
      </c>
      <c r="C15899" t="s">
        <v>2159</v>
      </c>
      <c r="G15899" t="s">
        <v>34077</v>
      </c>
      <c r="H15899" t="s">
        <v>2100</v>
      </c>
      <c r="I15899" t="s">
        <v>52</v>
      </c>
      <c r="J15899">
        <v>33301</v>
      </c>
      <c r="K15899">
        <v>2210</v>
      </c>
      <c r="L15899" t="s">
        <v>23</v>
      </c>
      <c r="M15899" t="s">
        <v>34077</v>
      </c>
      <c r="N15899" t="s">
        <v>2100</v>
      </c>
      <c r="O15899" t="s">
        <v>52</v>
      </c>
      <c r="P15899">
        <v>33301</v>
      </c>
      <c r="Q15899">
        <v>2210</v>
      </c>
      <c r="R15899" t="s">
        <v>23</v>
      </c>
      <c r="S15899" s="1" t="s">
        <v>34218</v>
      </c>
    </row>
    <row r="15900" spans="1:19" x14ac:dyDescent="0.25">
      <c r="A15900">
        <v>101280978</v>
      </c>
      <c r="B15900" t="s">
        <v>13036</v>
      </c>
      <c r="C15900" t="s">
        <v>34078</v>
      </c>
      <c r="G15900" t="s">
        <v>34079</v>
      </c>
      <c r="H15900" t="s">
        <v>34080</v>
      </c>
      <c r="I15900" t="s">
        <v>71</v>
      </c>
      <c r="J15900">
        <v>81129</v>
      </c>
      <c r="K15900">
        <v>84</v>
      </c>
      <c r="L15900" t="s">
        <v>23</v>
      </c>
      <c r="M15900" t="s">
        <v>34079</v>
      </c>
      <c r="N15900" t="s">
        <v>34080</v>
      </c>
      <c r="O15900" t="s">
        <v>71</v>
      </c>
      <c r="P15900">
        <v>81129</v>
      </c>
      <c r="Q15900">
        <v>84</v>
      </c>
      <c r="R15900" t="s">
        <v>23</v>
      </c>
      <c r="S15900" s="1" t="s">
        <v>34218</v>
      </c>
    </row>
    <row r="15901" spans="1:19" x14ac:dyDescent="0.25">
      <c r="A15901">
        <v>101245851</v>
      </c>
      <c r="B15901" t="s">
        <v>20715</v>
      </c>
      <c r="C15901" t="s">
        <v>1065</v>
      </c>
      <c r="G15901" t="s">
        <v>34081</v>
      </c>
      <c r="H15901" t="s">
        <v>4320</v>
      </c>
      <c r="I15901" t="s">
        <v>250</v>
      </c>
      <c r="J15901">
        <v>8251</v>
      </c>
      <c r="K15901">
        <v>1826</v>
      </c>
      <c r="L15901" t="s">
        <v>23</v>
      </c>
      <c r="M15901" t="s">
        <v>34081</v>
      </c>
      <c r="N15901" t="s">
        <v>4320</v>
      </c>
      <c r="O15901" t="s">
        <v>250</v>
      </c>
      <c r="P15901">
        <v>8251</v>
      </c>
      <c r="Q15901">
        <v>1826</v>
      </c>
      <c r="R15901" t="s">
        <v>23</v>
      </c>
      <c r="S15901" s="1" t="s">
        <v>34218</v>
      </c>
    </row>
    <row r="15902" spans="1:19" x14ac:dyDescent="0.25">
      <c r="A15902">
        <v>101481082</v>
      </c>
      <c r="B15902" t="s">
        <v>34082</v>
      </c>
      <c r="C15902" t="s">
        <v>294</v>
      </c>
      <c r="G15902" t="s">
        <v>25953</v>
      </c>
      <c r="H15902" t="s">
        <v>1052</v>
      </c>
      <c r="I15902" t="s">
        <v>43</v>
      </c>
      <c r="J15902">
        <v>97321</v>
      </c>
      <c r="L15902" t="s">
        <v>23</v>
      </c>
      <c r="M15902" t="s">
        <v>25953</v>
      </c>
      <c r="N15902" t="s">
        <v>1052</v>
      </c>
      <c r="O15902" t="s">
        <v>43</v>
      </c>
      <c r="P15902">
        <v>97321</v>
      </c>
      <c r="R15902" t="s">
        <v>23</v>
      </c>
      <c r="S15902" s="1" t="s">
        <v>34218</v>
      </c>
    </row>
    <row r="15903" spans="1:19" x14ac:dyDescent="0.25">
      <c r="A15903">
        <v>101387524</v>
      </c>
      <c r="B15903" t="s">
        <v>8109</v>
      </c>
      <c r="C15903" t="s">
        <v>155</v>
      </c>
      <c r="G15903" t="s">
        <v>34083</v>
      </c>
      <c r="H15903" t="s">
        <v>2775</v>
      </c>
      <c r="I15903" t="s">
        <v>1000</v>
      </c>
      <c r="J15903">
        <v>59327</v>
      </c>
      <c r="K15903">
        <v>9040</v>
      </c>
      <c r="L15903" t="s">
        <v>23</v>
      </c>
      <c r="M15903" t="s">
        <v>34083</v>
      </c>
      <c r="N15903" t="s">
        <v>2775</v>
      </c>
      <c r="O15903" t="s">
        <v>1000</v>
      </c>
      <c r="P15903">
        <v>59327</v>
      </c>
      <c r="Q15903">
        <v>9040</v>
      </c>
      <c r="R15903" t="s">
        <v>23</v>
      </c>
      <c r="S15903" s="1" t="s">
        <v>34218</v>
      </c>
    </row>
    <row r="15904" spans="1:19" x14ac:dyDescent="0.25">
      <c r="A15904">
        <v>101481087</v>
      </c>
      <c r="B15904" t="s">
        <v>93</v>
      </c>
      <c r="C15904" t="s">
        <v>1208</v>
      </c>
      <c r="G15904" t="s">
        <v>34084</v>
      </c>
      <c r="H15904" t="s">
        <v>23447</v>
      </c>
      <c r="I15904" t="s">
        <v>236</v>
      </c>
      <c r="J15904">
        <v>2332</v>
      </c>
      <c r="K15904">
        <v>5326</v>
      </c>
      <c r="L15904" t="s">
        <v>23</v>
      </c>
      <c r="M15904" t="s">
        <v>34084</v>
      </c>
      <c r="N15904" t="s">
        <v>23447</v>
      </c>
      <c r="O15904" t="s">
        <v>236</v>
      </c>
      <c r="P15904">
        <v>2332</v>
      </c>
      <c r="Q15904">
        <v>5326</v>
      </c>
      <c r="R15904" t="s">
        <v>23</v>
      </c>
      <c r="S15904" s="1" t="s">
        <v>34218</v>
      </c>
    </row>
    <row r="15905" spans="1:19" x14ac:dyDescent="0.25">
      <c r="A15905">
        <v>101443739</v>
      </c>
      <c r="B15905" t="s">
        <v>10805</v>
      </c>
      <c r="C15905" t="s">
        <v>5868</v>
      </c>
      <c r="G15905" t="s">
        <v>34085</v>
      </c>
      <c r="H15905" t="s">
        <v>134</v>
      </c>
      <c r="I15905" t="s">
        <v>135</v>
      </c>
      <c r="J15905">
        <v>60645</v>
      </c>
      <c r="K15905">
        <v>3312</v>
      </c>
      <c r="L15905" t="s">
        <v>23</v>
      </c>
      <c r="M15905" t="s">
        <v>34085</v>
      </c>
      <c r="N15905" t="s">
        <v>134</v>
      </c>
      <c r="O15905" t="s">
        <v>135</v>
      </c>
      <c r="P15905">
        <v>60645</v>
      </c>
      <c r="Q15905">
        <v>3312</v>
      </c>
      <c r="R15905" t="s">
        <v>23</v>
      </c>
      <c r="S15905" s="1" t="s">
        <v>34218</v>
      </c>
    </row>
    <row r="15906" spans="1:19" x14ac:dyDescent="0.25">
      <c r="A15906">
        <v>101473650</v>
      </c>
      <c r="B15906" t="s">
        <v>12321</v>
      </c>
      <c r="C15906" t="s">
        <v>14734</v>
      </c>
      <c r="G15906" t="s">
        <v>34086</v>
      </c>
      <c r="H15906" t="s">
        <v>10784</v>
      </c>
      <c r="I15906" t="s">
        <v>22</v>
      </c>
      <c r="J15906">
        <v>91311</v>
      </c>
      <c r="K15906">
        <v>7021</v>
      </c>
      <c r="L15906" t="s">
        <v>23</v>
      </c>
      <c r="M15906" t="s">
        <v>34086</v>
      </c>
      <c r="N15906" t="s">
        <v>10784</v>
      </c>
      <c r="O15906" t="s">
        <v>22</v>
      </c>
      <c r="P15906">
        <v>91311</v>
      </c>
      <c r="Q15906">
        <v>7021</v>
      </c>
      <c r="R15906" t="s">
        <v>23</v>
      </c>
      <c r="S15906" s="1" t="s">
        <v>34218</v>
      </c>
    </row>
    <row r="15907" spans="1:19" x14ac:dyDescent="0.25">
      <c r="A15907">
        <v>101481090</v>
      </c>
      <c r="B15907" t="s">
        <v>6587</v>
      </c>
      <c r="C15907" t="s">
        <v>34087</v>
      </c>
      <c r="G15907" t="s">
        <v>34088</v>
      </c>
      <c r="H15907" t="s">
        <v>6151</v>
      </c>
      <c r="I15907" t="s">
        <v>22</v>
      </c>
      <c r="J15907">
        <v>93536</v>
      </c>
      <c r="K15907">
        <v>8321</v>
      </c>
      <c r="L15907" t="s">
        <v>23</v>
      </c>
      <c r="M15907" t="s">
        <v>34088</v>
      </c>
      <c r="N15907" t="s">
        <v>6151</v>
      </c>
      <c r="O15907" t="s">
        <v>22</v>
      </c>
      <c r="P15907">
        <v>93536</v>
      </c>
      <c r="Q15907">
        <v>8321</v>
      </c>
      <c r="R15907" t="s">
        <v>23</v>
      </c>
      <c r="S15907" s="1" t="s">
        <v>34218</v>
      </c>
    </row>
    <row r="15908" spans="1:19" x14ac:dyDescent="0.25">
      <c r="A15908">
        <v>101351018</v>
      </c>
      <c r="B15908" t="s">
        <v>34089</v>
      </c>
      <c r="C15908" t="s">
        <v>1306</v>
      </c>
      <c r="G15908" t="s">
        <v>34090</v>
      </c>
      <c r="H15908" t="s">
        <v>9013</v>
      </c>
      <c r="I15908" t="s">
        <v>1226</v>
      </c>
      <c r="J15908">
        <v>38703</v>
      </c>
      <c r="K15908">
        <v>7207</v>
      </c>
      <c r="L15908" t="s">
        <v>23</v>
      </c>
      <c r="M15908" t="s">
        <v>34090</v>
      </c>
      <c r="N15908" t="s">
        <v>9013</v>
      </c>
      <c r="O15908" t="s">
        <v>1226</v>
      </c>
      <c r="P15908">
        <v>38703</v>
      </c>
      <c r="Q15908">
        <v>7207</v>
      </c>
      <c r="R15908" t="s">
        <v>23</v>
      </c>
      <c r="S15908" s="1" t="s">
        <v>34218</v>
      </c>
    </row>
    <row r="15909" spans="1:19" x14ac:dyDescent="0.25">
      <c r="A15909">
        <v>101481095</v>
      </c>
      <c r="B15909" t="s">
        <v>34091</v>
      </c>
      <c r="C15909" t="s">
        <v>1955</v>
      </c>
      <c r="G15909" t="s">
        <v>34092</v>
      </c>
      <c r="H15909" t="s">
        <v>3613</v>
      </c>
      <c r="I15909" t="s">
        <v>236</v>
      </c>
      <c r="J15909">
        <v>2446</v>
      </c>
      <c r="K15909">
        <v>2805</v>
      </c>
      <c r="L15909" t="s">
        <v>23</v>
      </c>
      <c r="M15909" t="s">
        <v>34092</v>
      </c>
      <c r="N15909" t="s">
        <v>3613</v>
      </c>
      <c r="O15909" t="s">
        <v>236</v>
      </c>
      <c r="P15909">
        <v>2446</v>
      </c>
      <c r="Q15909">
        <v>2805</v>
      </c>
      <c r="R15909" t="s">
        <v>23</v>
      </c>
      <c r="S15909" s="1" t="s">
        <v>34218</v>
      </c>
    </row>
    <row r="15910" spans="1:19" x14ac:dyDescent="0.25">
      <c r="A15910">
        <v>101481105</v>
      </c>
      <c r="B15910" t="s">
        <v>34093</v>
      </c>
      <c r="C15910" t="s">
        <v>33123</v>
      </c>
      <c r="G15910" t="s">
        <v>34094</v>
      </c>
      <c r="H15910" t="s">
        <v>17304</v>
      </c>
      <c r="I15910" t="s">
        <v>33</v>
      </c>
      <c r="J15910">
        <v>18848</v>
      </c>
      <c r="L15910" t="s">
        <v>23</v>
      </c>
      <c r="M15910" t="s">
        <v>34094</v>
      </c>
      <c r="N15910" t="s">
        <v>17304</v>
      </c>
      <c r="O15910" t="s">
        <v>33</v>
      </c>
      <c r="P15910">
        <v>18848</v>
      </c>
      <c r="R15910" t="s">
        <v>23</v>
      </c>
      <c r="S15910" s="1" t="s">
        <v>34218</v>
      </c>
    </row>
    <row r="15911" spans="1:19" x14ac:dyDescent="0.25">
      <c r="A15911">
        <v>101282762</v>
      </c>
      <c r="B15911" t="s">
        <v>34095</v>
      </c>
      <c r="C15911" t="s">
        <v>123</v>
      </c>
      <c r="G15911" t="s">
        <v>34096</v>
      </c>
      <c r="H15911" t="s">
        <v>21036</v>
      </c>
      <c r="I15911" t="s">
        <v>1482</v>
      </c>
      <c r="J15911">
        <v>29455</v>
      </c>
      <c r="K15911">
        <v>7827</v>
      </c>
      <c r="L15911" t="s">
        <v>23</v>
      </c>
      <c r="M15911" t="s">
        <v>34096</v>
      </c>
      <c r="N15911" t="s">
        <v>21036</v>
      </c>
      <c r="O15911" t="s">
        <v>1482</v>
      </c>
      <c r="P15911">
        <v>29455</v>
      </c>
      <c r="Q15911">
        <v>7827</v>
      </c>
      <c r="R15911" t="s">
        <v>23</v>
      </c>
      <c r="S15911" s="1" t="s">
        <v>34218</v>
      </c>
    </row>
    <row r="15912" spans="1:19" x14ac:dyDescent="0.25">
      <c r="A15912">
        <v>101431321</v>
      </c>
      <c r="B15912" t="s">
        <v>6473</v>
      </c>
      <c r="C15912" t="s">
        <v>1306</v>
      </c>
      <c r="G15912" t="s">
        <v>34097</v>
      </c>
      <c r="H15912" t="s">
        <v>7649</v>
      </c>
      <c r="I15912" t="s">
        <v>57</v>
      </c>
      <c r="J15912">
        <v>46203</v>
      </c>
      <c r="K15912">
        <v>5728</v>
      </c>
      <c r="L15912" t="s">
        <v>23</v>
      </c>
      <c r="M15912" t="s">
        <v>34097</v>
      </c>
      <c r="N15912" t="s">
        <v>7649</v>
      </c>
      <c r="O15912" t="s">
        <v>57</v>
      </c>
      <c r="P15912">
        <v>46203</v>
      </c>
      <c r="Q15912">
        <v>5728</v>
      </c>
      <c r="R15912" t="s">
        <v>23</v>
      </c>
      <c r="S15912" s="1" t="s">
        <v>34218</v>
      </c>
    </row>
    <row r="15913" spans="1:19" x14ac:dyDescent="0.25">
      <c r="A15913">
        <v>101432333</v>
      </c>
      <c r="B15913" t="s">
        <v>11522</v>
      </c>
      <c r="C15913" t="s">
        <v>102</v>
      </c>
      <c r="G15913">
        <v>98230</v>
      </c>
      <c r="H15913" t="s">
        <v>11333</v>
      </c>
      <c r="I15913" t="s">
        <v>84</v>
      </c>
      <c r="J15913">
        <v>98230</v>
      </c>
      <c r="L15913" t="s">
        <v>23</v>
      </c>
      <c r="M15913">
        <v>98230</v>
      </c>
      <c r="N15913" t="s">
        <v>11333</v>
      </c>
      <c r="O15913" t="s">
        <v>84</v>
      </c>
      <c r="P15913">
        <v>98230</v>
      </c>
      <c r="R15913" t="s">
        <v>23</v>
      </c>
      <c r="S15913" s="1" t="s">
        <v>34218</v>
      </c>
    </row>
    <row r="15914" spans="1:19" x14ac:dyDescent="0.25">
      <c r="A15914">
        <v>101481122</v>
      </c>
      <c r="B15914" t="s">
        <v>12544</v>
      </c>
      <c r="C15914" t="s">
        <v>158</v>
      </c>
      <c r="G15914" t="s">
        <v>34098</v>
      </c>
      <c r="H15914" t="s">
        <v>11402</v>
      </c>
      <c r="I15914" t="s">
        <v>178</v>
      </c>
      <c r="J15914">
        <v>44023</v>
      </c>
      <c r="K15914">
        <v>1834</v>
      </c>
      <c r="L15914" t="s">
        <v>23</v>
      </c>
      <c r="M15914" t="s">
        <v>34098</v>
      </c>
      <c r="N15914" t="s">
        <v>11402</v>
      </c>
      <c r="O15914" t="s">
        <v>178</v>
      </c>
      <c r="P15914">
        <v>44023</v>
      </c>
      <c r="Q15914">
        <v>1834</v>
      </c>
      <c r="R15914" t="s">
        <v>23</v>
      </c>
      <c r="S15914" s="1" t="s">
        <v>34218</v>
      </c>
    </row>
    <row r="15915" spans="1:19" x14ac:dyDescent="0.25">
      <c r="A15915">
        <v>101481133</v>
      </c>
      <c r="B15915" t="s">
        <v>2294</v>
      </c>
      <c r="C15915" t="s">
        <v>2010</v>
      </c>
      <c r="G15915" t="s">
        <v>34099</v>
      </c>
      <c r="H15915" t="s">
        <v>21247</v>
      </c>
      <c r="I15915" t="s">
        <v>52</v>
      </c>
      <c r="J15915">
        <v>34602</v>
      </c>
      <c r="K15915">
        <v>7120</v>
      </c>
      <c r="L15915" t="s">
        <v>23</v>
      </c>
      <c r="M15915" t="s">
        <v>34099</v>
      </c>
      <c r="N15915" t="s">
        <v>21247</v>
      </c>
      <c r="O15915" t="s">
        <v>52</v>
      </c>
      <c r="P15915">
        <v>34602</v>
      </c>
      <c r="Q15915">
        <v>7120</v>
      </c>
      <c r="R15915" t="s">
        <v>23</v>
      </c>
      <c r="S15915" s="1" t="s">
        <v>34218</v>
      </c>
    </row>
    <row r="15916" spans="1:19" x14ac:dyDescent="0.25">
      <c r="A15916">
        <v>101430796</v>
      </c>
      <c r="B15916" t="s">
        <v>5308</v>
      </c>
      <c r="C15916" t="s">
        <v>644</v>
      </c>
      <c r="G15916" t="s">
        <v>34100</v>
      </c>
      <c r="H15916" t="s">
        <v>10931</v>
      </c>
      <c r="I15916" t="s">
        <v>28</v>
      </c>
      <c r="J15916">
        <v>31410</v>
      </c>
      <c r="K15916">
        <v>2124</v>
      </c>
      <c r="L15916" t="s">
        <v>23</v>
      </c>
      <c r="M15916" t="s">
        <v>34100</v>
      </c>
      <c r="N15916" t="s">
        <v>10931</v>
      </c>
      <c r="O15916" t="s">
        <v>28</v>
      </c>
      <c r="P15916">
        <v>31410</v>
      </c>
      <c r="Q15916">
        <v>2124</v>
      </c>
      <c r="R15916" t="s">
        <v>23</v>
      </c>
      <c r="S15916" s="1" t="s">
        <v>34218</v>
      </c>
    </row>
    <row r="15917" spans="1:19" x14ac:dyDescent="0.25">
      <c r="A15917">
        <v>101471985</v>
      </c>
      <c r="B15917" t="s">
        <v>34101</v>
      </c>
      <c r="C15917" t="s">
        <v>8782</v>
      </c>
      <c r="G15917" t="s">
        <v>34102</v>
      </c>
      <c r="H15917" t="s">
        <v>2046</v>
      </c>
      <c r="I15917" t="s">
        <v>446</v>
      </c>
      <c r="J15917">
        <v>27705</v>
      </c>
      <c r="L15917" t="s">
        <v>23</v>
      </c>
      <c r="M15917" t="s">
        <v>34102</v>
      </c>
      <c r="N15917" t="s">
        <v>2046</v>
      </c>
      <c r="O15917" t="s">
        <v>446</v>
      </c>
      <c r="P15917">
        <v>27705</v>
      </c>
      <c r="R15917" t="s">
        <v>23</v>
      </c>
      <c r="S15917" s="1" t="s">
        <v>34218</v>
      </c>
    </row>
    <row r="15918" spans="1:19" x14ac:dyDescent="0.25">
      <c r="A15918">
        <v>101481141</v>
      </c>
      <c r="B15918" t="s">
        <v>33088</v>
      </c>
      <c r="C15918" t="s">
        <v>8789</v>
      </c>
      <c r="G15918" t="s">
        <v>34103</v>
      </c>
      <c r="H15918" t="s">
        <v>22100</v>
      </c>
      <c r="I15918" t="s">
        <v>22</v>
      </c>
      <c r="J15918">
        <v>95623</v>
      </c>
      <c r="K15918">
        <v>4563</v>
      </c>
      <c r="L15918" t="s">
        <v>23</v>
      </c>
      <c r="M15918" t="s">
        <v>34103</v>
      </c>
      <c r="N15918" t="s">
        <v>22100</v>
      </c>
      <c r="O15918" t="s">
        <v>22</v>
      </c>
      <c r="P15918">
        <v>95623</v>
      </c>
      <c r="Q15918">
        <v>4563</v>
      </c>
      <c r="R15918" t="s">
        <v>23</v>
      </c>
      <c r="S15918" s="1" t="s">
        <v>34218</v>
      </c>
    </row>
    <row r="15919" spans="1:19" x14ac:dyDescent="0.25">
      <c r="A15919">
        <v>101323809</v>
      </c>
      <c r="B15919" t="s">
        <v>3838</v>
      </c>
      <c r="C15919" t="s">
        <v>403</v>
      </c>
      <c r="G15919" t="s">
        <v>23761</v>
      </c>
      <c r="H15919" t="s">
        <v>7340</v>
      </c>
      <c r="I15919" t="s">
        <v>22</v>
      </c>
      <c r="J15919">
        <v>95682</v>
      </c>
      <c r="K15919">
        <v>4066</v>
      </c>
      <c r="L15919" t="s">
        <v>23</v>
      </c>
      <c r="M15919" t="s">
        <v>23761</v>
      </c>
      <c r="N15919" t="s">
        <v>7340</v>
      </c>
      <c r="O15919" t="s">
        <v>22</v>
      </c>
      <c r="P15919">
        <v>95682</v>
      </c>
      <c r="Q15919">
        <v>4066</v>
      </c>
      <c r="R15919" t="s">
        <v>23</v>
      </c>
      <c r="S15919" s="1" t="s">
        <v>34218</v>
      </c>
    </row>
    <row r="15920" spans="1:19" x14ac:dyDescent="0.25">
      <c r="A15920">
        <v>100551459</v>
      </c>
      <c r="B15920" t="s">
        <v>11184</v>
      </c>
      <c r="C15920" t="s">
        <v>19313</v>
      </c>
      <c r="G15920" t="s">
        <v>19314</v>
      </c>
      <c r="H15920" t="s">
        <v>4066</v>
      </c>
      <c r="I15920" t="s">
        <v>984</v>
      </c>
      <c r="J15920">
        <v>96722</v>
      </c>
      <c r="K15920">
        <v>5328</v>
      </c>
      <c r="L15920" t="s">
        <v>23</v>
      </c>
      <c r="M15920" t="s">
        <v>19314</v>
      </c>
      <c r="N15920" t="s">
        <v>4066</v>
      </c>
      <c r="O15920" t="s">
        <v>984</v>
      </c>
      <c r="P15920">
        <v>96722</v>
      </c>
      <c r="Q15920">
        <v>5328</v>
      </c>
      <c r="R15920" t="s">
        <v>23</v>
      </c>
      <c r="S15920" s="1" t="s">
        <v>34218</v>
      </c>
    </row>
    <row r="15921" spans="1:19" x14ac:dyDescent="0.25">
      <c r="A15921">
        <v>101102946</v>
      </c>
      <c r="B15921" t="s">
        <v>34104</v>
      </c>
      <c r="C15921" t="s">
        <v>123</v>
      </c>
      <c r="G15921" t="s">
        <v>34105</v>
      </c>
      <c r="H15921" t="s">
        <v>34106</v>
      </c>
      <c r="I15921" t="s">
        <v>250</v>
      </c>
      <c r="J15921">
        <v>8536</v>
      </c>
      <c r="K15921">
        <v>2785</v>
      </c>
      <c r="L15921" t="s">
        <v>23</v>
      </c>
      <c r="M15921" t="s">
        <v>34105</v>
      </c>
      <c r="N15921" t="s">
        <v>34106</v>
      </c>
      <c r="O15921" t="s">
        <v>250</v>
      </c>
      <c r="P15921">
        <v>8536</v>
      </c>
      <c r="Q15921">
        <v>2785</v>
      </c>
      <c r="R15921" t="s">
        <v>23</v>
      </c>
      <c r="S15921" s="1" t="s">
        <v>34218</v>
      </c>
    </row>
    <row r="15922" spans="1:19" x14ac:dyDescent="0.25">
      <c r="A15922">
        <v>101422072</v>
      </c>
      <c r="B15922" t="s">
        <v>23573</v>
      </c>
      <c r="C15922" t="s">
        <v>30</v>
      </c>
      <c r="G15922" t="s">
        <v>30189</v>
      </c>
      <c r="H15922" t="s">
        <v>3056</v>
      </c>
      <c r="I15922" t="s">
        <v>662</v>
      </c>
      <c r="J15922" t="s">
        <v>30190</v>
      </c>
      <c r="K15922">
        <v>2064</v>
      </c>
      <c r="L15922" t="s">
        <v>23</v>
      </c>
      <c r="M15922" t="s">
        <v>30189</v>
      </c>
      <c r="N15922" t="s">
        <v>3056</v>
      </c>
      <c r="O15922" t="s">
        <v>662</v>
      </c>
      <c r="P15922" t="s">
        <v>30190</v>
      </c>
      <c r="Q15922">
        <v>2064</v>
      </c>
      <c r="R15922" t="s">
        <v>23</v>
      </c>
      <c r="S15922" s="1" t="s">
        <v>34218</v>
      </c>
    </row>
    <row r="15923" spans="1:19" x14ac:dyDescent="0.25">
      <c r="A15923">
        <v>100645953</v>
      </c>
      <c r="B15923" t="s">
        <v>34107</v>
      </c>
      <c r="C15923" t="s">
        <v>4140</v>
      </c>
      <c r="G15923" t="s">
        <v>34108</v>
      </c>
      <c r="H15923" t="s">
        <v>34109</v>
      </c>
      <c r="I15923" t="s">
        <v>22</v>
      </c>
      <c r="J15923">
        <v>91746</v>
      </c>
      <c r="L15923" t="s">
        <v>23</v>
      </c>
      <c r="M15923" t="s">
        <v>34108</v>
      </c>
      <c r="N15923" t="s">
        <v>34109</v>
      </c>
      <c r="O15923" t="s">
        <v>22</v>
      </c>
      <c r="P15923">
        <v>91746</v>
      </c>
      <c r="R15923" t="s">
        <v>23</v>
      </c>
      <c r="S15923" s="1" t="s">
        <v>34218</v>
      </c>
    </row>
    <row r="15924" spans="1:19" x14ac:dyDescent="0.25">
      <c r="A15924">
        <v>100978990</v>
      </c>
      <c r="B15924" t="s">
        <v>34110</v>
      </c>
      <c r="C15924" t="s">
        <v>483</v>
      </c>
      <c r="G15924" t="s">
        <v>34111</v>
      </c>
      <c r="H15924" t="s">
        <v>12474</v>
      </c>
      <c r="I15924" t="s">
        <v>135</v>
      </c>
      <c r="J15924" t="s">
        <v>34112</v>
      </c>
      <c r="K15924">
        <v>1916</v>
      </c>
      <c r="L15924" t="s">
        <v>23</v>
      </c>
      <c r="M15924" t="s">
        <v>34111</v>
      </c>
      <c r="N15924" t="s">
        <v>12474</v>
      </c>
      <c r="O15924" t="s">
        <v>135</v>
      </c>
      <c r="P15924" t="s">
        <v>34112</v>
      </c>
      <c r="Q15924">
        <v>1916</v>
      </c>
      <c r="R15924" t="s">
        <v>23</v>
      </c>
      <c r="S15924" s="1" t="s">
        <v>34218</v>
      </c>
    </row>
    <row r="15925" spans="1:19" x14ac:dyDescent="0.25">
      <c r="A15925">
        <v>101322530</v>
      </c>
      <c r="B15925" t="s">
        <v>2010</v>
      </c>
      <c r="C15925" t="s">
        <v>2033</v>
      </c>
      <c r="G15925" t="s">
        <v>34113</v>
      </c>
      <c r="H15925" t="s">
        <v>3449</v>
      </c>
      <c r="I15925" t="s">
        <v>117</v>
      </c>
      <c r="J15925" t="s">
        <v>34114</v>
      </c>
      <c r="K15925">
        <v>5414</v>
      </c>
      <c r="L15925" t="s">
        <v>23</v>
      </c>
      <c r="M15925" t="s">
        <v>34113</v>
      </c>
      <c r="N15925" t="s">
        <v>3449</v>
      </c>
      <c r="O15925" t="s">
        <v>117</v>
      </c>
      <c r="P15925" t="s">
        <v>34114</v>
      </c>
      <c r="Q15925">
        <v>5414</v>
      </c>
      <c r="R15925" t="s">
        <v>23</v>
      </c>
      <c r="S15925" s="1" t="s">
        <v>34218</v>
      </c>
    </row>
    <row r="15926" spans="1:19" x14ac:dyDescent="0.25">
      <c r="A15926">
        <v>101243330</v>
      </c>
      <c r="B15926" t="s">
        <v>1429</v>
      </c>
      <c r="C15926" t="s">
        <v>498</v>
      </c>
      <c r="G15926" t="s">
        <v>34115</v>
      </c>
      <c r="H15926" t="s">
        <v>560</v>
      </c>
      <c r="I15926" t="s">
        <v>148</v>
      </c>
      <c r="J15926" t="s">
        <v>34116</v>
      </c>
      <c r="K15926">
        <v>1160</v>
      </c>
      <c r="L15926" t="s">
        <v>23</v>
      </c>
      <c r="M15926" t="s">
        <v>34115</v>
      </c>
      <c r="N15926" t="s">
        <v>560</v>
      </c>
      <c r="O15926" t="s">
        <v>148</v>
      </c>
      <c r="P15926" t="s">
        <v>34116</v>
      </c>
      <c r="Q15926">
        <v>1160</v>
      </c>
      <c r="R15926" t="s">
        <v>23</v>
      </c>
      <c r="S15926" s="1" t="s">
        <v>34218</v>
      </c>
    </row>
    <row r="15927" spans="1:19" x14ac:dyDescent="0.25">
      <c r="A15927">
        <v>101431771</v>
      </c>
      <c r="B15927" t="s">
        <v>34117</v>
      </c>
      <c r="C15927" t="s">
        <v>34118</v>
      </c>
      <c r="G15927" t="s">
        <v>34119</v>
      </c>
      <c r="H15927" t="s">
        <v>2231</v>
      </c>
      <c r="I15927" t="s">
        <v>22</v>
      </c>
      <c r="J15927" t="s">
        <v>34120</v>
      </c>
      <c r="K15927">
        <v>1719</v>
      </c>
      <c r="L15927" t="s">
        <v>23</v>
      </c>
      <c r="M15927" t="s">
        <v>34119</v>
      </c>
      <c r="N15927" t="s">
        <v>2231</v>
      </c>
      <c r="O15927" t="s">
        <v>22</v>
      </c>
      <c r="P15927" t="s">
        <v>34120</v>
      </c>
      <c r="Q15927">
        <v>1719</v>
      </c>
      <c r="R15927" t="s">
        <v>23</v>
      </c>
      <c r="S15927" s="1" t="s">
        <v>34218</v>
      </c>
    </row>
    <row r="15928" spans="1:19" x14ac:dyDescent="0.25">
      <c r="A15928">
        <v>101422578</v>
      </c>
      <c r="B15928" t="s">
        <v>34121</v>
      </c>
      <c r="C15928" t="s">
        <v>7022</v>
      </c>
      <c r="G15928" t="s">
        <v>34122</v>
      </c>
      <c r="H15928" t="s">
        <v>2601</v>
      </c>
      <c r="I15928" t="s">
        <v>22</v>
      </c>
      <c r="J15928" t="s">
        <v>34123</v>
      </c>
      <c r="K15928">
        <v>6741</v>
      </c>
      <c r="L15928" t="s">
        <v>23</v>
      </c>
      <c r="M15928" t="s">
        <v>34122</v>
      </c>
      <c r="N15928" t="s">
        <v>2601</v>
      </c>
      <c r="O15928" t="s">
        <v>22</v>
      </c>
      <c r="P15928" t="s">
        <v>34123</v>
      </c>
      <c r="Q15928">
        <v>6741</v>
      </c>
      <c r="R15928" t="s">
        <v>23</v>
      </c>
      <c r="S15928" s="1" t="s">
        <v>34218</v>
      </c>
    </row>
    <row r="15929" spans="1:19" x14ac:dyDescent="0.25">
      <c r="A15929">
        <v>101327118</v>
      </c>
      <c r="B15929" t="s">
        <v>34124</v>
      </c>
      <c r="C15929" t="s">
        <v>1374</v>
      </c>
      <c r="G15929" t="s">
        <v>34125</v>
      </c>
      <c r="H15929" t="s">
        <v>141</v>
      </c>
      <c r="I15929" t="s">
        <v>135</v>
      </c>
      <c r="J15929" t="s">
        <v>34126</v>
      </c>
      <c r="K15929">
        <v>6201</v>
      </c>
      <c r="L15929" t="s">
        <v>23</v>
      </c>
      <c r="M15929" t="s">
        <v>34125</v>
      </c>
      <c r="N15929" t="s">
        <v>141</v>
      </c>
      <c r="O15929" t="s">
        <v>135</v>
      </c>
      <c r="P15929" t="s">
        <v>34126</v>
      </c>
      <c r="Q15929">
        <v>6201</v>
      </c>
      <c r="R15929" t="s">
        <v>23</v>
      </c>
      <c r="S15929" s="1" t="s">
        <v>34218</v>
      </c>
    </row>
    <row r="15930" spans="1:19" x14ac:dyDescent="0.25">
      <c r="A15930">
        <v>101335407</v>
      </c>
      <c r="B15930" t="s">
        <v>34127</v>
      </c>
      <c r="C15930" t="s">
        <v>4427</v>
      </c>
      <c r="G15930" t="s">
        <v>34128</v>
      </c>
      <c r="H15930" t="s">
        <v>5795</v>
      </c>
      <c r="I15930" t="s">
        <v>255</v>
      </c>
      <c r="J15930" t="s">
        <v>34129</v>
      </c>
      <c r="K15930">
        <v>3234</v>
      </c>
      <c r="L15930" t="s">
        <v>23</v>
      </c>
      <c r="M15930" t="s">
        <v>34128</v>
      </c>
      <c r="N15930" t="s">
        <v>5795</v>
      </c>
      <c r="O15930" t="s">
        <v>255</v>
      </c>
      <c r="P15930" t="s">
        <v>34129</v>
      </c>
      <c r="Q15930">
        <v>3234</v>
      </c>
      <c r="R15930" t="s">
        <v>23</v>
      </c>
      <c r="S15930" s="1" t="s">
        <v>34218</v>
      </c>
    </row>
    <row r="15931" spans="1:19" x14ac:dyDescent="0.25">
      <c r="A15931">
        <v>101346881</v>
      </c>
      <c r="B15931" t="s">
        <v>14977</v>
      </c>
      <c r="C15931" t="s">
        <v>1616</v>
      </c>
      <c r="G15931" t="s">
        <v>34130</v>
      </c>
      <c r="H15931" t="s">
        <v>844</v>
      </c>
      <c r="I15931" t="s">
        <v>178</v>
      </c>
      <c r="J15931" t="s">
        <v>34131</v>
      </c>
      <c r="K15931">
        <v>9286</v>
      </c>
      <c r="L15931" t="s">
        <v>23</v>
      </c>
      <c r="M15931" t="s">
        <v>34130</v>
      </c>
      <c r="N15931" t="s">
        <v>844</v>
      </c>
      <c r="O15931" t="s">
        <v>178</v>
      </c>
      <c r="P15931" t="s">
        <v>34131</v>
      </c>
      <c r="Q15931">
        <v>9286</v>
      </c>
      <c r="R15931" t="s">
        <v>23</v>
      </c>
      <c r="S15931" s="1" t="s">
        <v>34218</v>
      </c>
    </row>
    <row r="15932" spans="1:19" x14ac:dyDescent="0.25">
      <c r="A15932">
        <v>101445568</v>
      </c>
      <c r="B15932" t="s">
        <v>34132</v>
      </c>
      <c r="C15932" t="s">
        <v>1506</v>
      </c>
      <c r="G15932" t="s">
        <v>34133</v>
      </c>
      <c r="H15932" t="s">
        <v>121</v>
      </c>
      <c r="I15932" t="s">
        <v>22</v>
      </c>
      <c r="J15932">
        <v>95926</v>
      </c>
      <c r="L15932" t="s">
        <v>23</v>
      </c>
      <c r="M15932" t="s">
        <v>34133</v>
      </c>
      <c r="N15932" t="s">
        <v>121</v>
      </c>
      <c r="O15932" t="s">
        <v>22</v>
      </c>
      <c r="P15932">
        <v>95926</v>
      </c>
      <c r="R15932" t="s">
        <v>23</v>
      </c>
      <c r="S15932" s="1" t="s">
        <v>34218</v>
      </c>
    </row>
    <row r="15933" spans="1:19" x14ac:dyDescent="0.25">
      <c r="A15933">
        <v>101322661</v>
      </c>
      <c r="B15933" t="s">
        <v>34134</v>
      </c>
      <c r="C15933" t="s">
        <v>286</v>
      </c>
      <c r="G15933" t="s">
        <v>34135</v>
      </c>
      <c r="H15933" t="s">
        <v>21112</v>
      </c>
      <c r="I15933" t="s">
        <v>2537</v>
      </c>
      <c r="J15933" t="s">
        <v>34136</v>
      </c>
      <c r="K15933">
        <v>2848</v>
      </c>
      <c r="L15933" t="s">
        <v>23</v>
      </c>
      <c r="M15933" t="s">
        <v>34135</v>
      </c>
      <c r="N15933" t="s">
        <v>21112</v>
      </c>
      <c r="O15933" t="s">
        <v>2537</v>
      </c>
      <c r="P15933" t="s">
        <v>34136</v>
      </c>
      <c r="Q15933">
        <v>2848</v>
      </c>
      <c r="R15933" t="s">
        <v>23</v>
      </c>
      <c r="S15933" s="1" t="s">
        <v>34218</v>
      </c>
    </row>
    <row r="15934" spans="1:19" x14ac:dyDescent="0.25">
      <c r="A15934">
        <v>101280748</v>
      </c>
      <c r="B15934" t="b">
        <v>1</v>
      </c>
      <c r="C15934" t="s">
        <v>2497</v>
      </c>
      <c r="G15934" t="s">
        <v>34137</v>
      </c>
      <c r="H15934" t="s">
        <v>13437</v>
      </c>
      <c r="I15934" t="s">
        <v>639</v>
      </c>
      <c r="J15934" t="s">
        <v>34138</v>
      </c>
      <c r="K15934">
        <v>8001</v>
      </c>
      <c r="L15934" t="s">
        <v>23</v>
      </c>
      <c r="M15934" t="s">
        <v>34137</v>
      </c>
      <c r="N15934" t="s">
        <v>13437</v>
      </c>
      <c r="O15934" t="s">
        <v>639</v>
      </c>
      <c r="P15934" t="s">
        <v>34138</v>
      </c>
      <c r="Q15934">
        <v>8001</v>
      </c>
      <c r="R15934" t="s">
        <v>23</v>
      </c>
      <c r="S15934" s="1" t="s">
        <v>34218</v>
      </c>
    </row>
    <row r="15935" spans="1:19" x14ac:dyDescent="0.25">
      <c r="A15935">
        <v>101299001</v>
      </c>
      <c r="B15935" t="s">
        <v>1164</v>
      </c>
      <c r="C15935" t="s">
        <v>9687</v>
      </c>
      <c r="G15935" t="s">
        <v>34139</v>
      </c>
      <c r="H15935" t="s">
        <v>13036</v>
      </c>
      <c r="I15935" t="s">
        <v>2566</v>
      </c>
      <c r="J15935" t="s">
        <v>34140</v>
      </c>
      <c r="K15935">
        <v>2168</v>
      </c>
      <c r="L15935" t="s">
        <v>23</v>
      </c>
      <c r="M15935" t="s">
        <v>34139</v>
      </c>
      <c r="N15935" t="s">
        <v>13036</v>
      </c>
      <c r="O15935" t="s">
        <v>2566</v>
      </c>
      <c r="P15935" t="s">
        <v>34140</v>
      </c>
      <c r="Q15935">
        <v>2168</v>
      </c>
      <c r="R15935" t="s">
        <v>23</v>
      </c>
      <c r="S15935" s="1" t="s">
        <v>34218</v>
      </c>
    </row>
    <row r="15936" spans="1:19" x14ac:dyDescent="0.25">
      <c r="A15936">
        <v>100848407</v>
      </c>
      <c r="B15936" t="s">
        <v>34141</v>
      </c>
      <c r="C15936" t="s">
        <v>1043</v>
      </c>
      <c r="G15936" t="s">
        <v>34142</v>
      </c>
      <c r="H15936" t="s">
        <v>34143</v>
      </c>
      <c r="I15936" t="s">
        <v>250</v>
      </c>
      <c r="J15936" t="s">
        <v>34144</v>
      </c>
      <c r="K15936">
        <v>1168</v>
      </c>
      <c r="L15936" t="s">
        <v>23</v>
      </c>
      <c r="M15936" t="s">
        <v>34142</v>
      </c>
      <c r="N15936" t="s">
        <v>34143</v>
      </c>
      <c r="O15936" t="s">
        <v>250</v>
      </c>
      <c r="P15936" t="s">
        <v>34144</v>
      </c>
      <c r="Q15936">
        <v>1168</v>
      </c>
      <c r="R15936" t="s">
        <v>23</v>
      </c>
      <c r="S15936" s="1" t="s">
        <v>34218</v>
      </c>
    </row>
    <row r="15937" spans="1:19" x14ac:dyDescent="0.25">
      <c r="A15937">
        <v>101285654</v>
      </c>
      <c r="B15937" t="s">
        <v>208</v>
      </c>
      <c r="C15937" t="s">
        <v>9268</v>
      </c>
      <c r="G15937" t="s">
        <v>34145</v>
      </c>
      <c r="H15937" t="s">
        <v>15158</v>
      </c>
      <c r="I15937" t="s">
        <v>28</v>
      </c>
      <c r="J15937" t="s">
        <v>34146</v>
      </c>
      <c r="K15937">
        <v>1559</v>
      </c>
      <c r="L15937" t="s">
        <v>23</v>
      </c>
      <c r="M15937" t="s">
        <v>34145</v>
      </c>
      <c r="N15937" t="s">
        <v>15158</v>
      </c>
      <c r="O15937" t="s">
        <v>28</v>
      </c>
      <c r="P15937" t="s">
        <v>34146</v>
      </c>
      <c r="Q15937">
        <v>1559</v>
      </c>
      <c r="R15937" t="s">
        <v>23</v>
      </c>
      <c r="S15937" s="1" t="s">
        <v>34218</v>
      </c>
    </row>
    <row r="15938" spans="1:19" x14ac:dyDescent="0.25">
      <c r="A15938">
        <v>101121910</v>
      </c>
      <c r="B15938" t="s">
        <v>34147</v>
      </c>
      <c r="C15938" t="s">
        <v>34148</v>
      </c>
      <c r="G15938" t="s">
        <v>34149</v>
      </c>
      <c r="H15938" t="s">
        <v>1439</v>
      </c>
      <c r="I15938" t="s">
        <v>365</v>
      </c>
      <c r="J15938" t="s">
        <v>34150</v>
      </c>
      <c r="K15938">
        <v>6828</v>
      </c>
      <c r="L15938" t="s">
        <v>23</v>
      </c>
      <c r="M15938" t="s">
        <v>34149</v>
      </c>
      <c r="N15938" t="s">
        <v>1439</v>
      </c>
      <c r="O15938" t="s">
        <v>365</v>
      </c>
      <c r="P15938" t="s">
        <v>34150</v>
      </c>
      <c r="Q15938">
        <v>6828</v>
      </c>
      <c r="R15938" t="s">
        <v>23</v>
      </c>
      <c r="S15938" s="1" t="s">
        <v>34218</v>
      </c>
    </row>
    <row r="15939" spans="1:19" x14ac:dyDescent="0.25">
      <c r="A15939">
        <v>101446076</v>
      </c>
      <c r="B15939" t="s">
        <v>20350</v>
      </c>
      <c r="C15939" t="s">
        <v>90</v>
      </c>
      <c r="G15939" t="s">
        <v>34151</v>
      </c>
      <c r="H15939" t="s">
        <v>4021</v>
      </c>
      <c r="I15939" t="s">
        <v>22</v>
      </c>
      <c r="J15939" t="s">
        <v>34152</v>
      </c>
      <c r="K15939">
        <v>2609</v>
      </c>
      <c r="L15939" t="s">
        <v>23</v>
      </c>
      <c r="M15939" t="s">
        <v>34151</v>
      </c>
      <c r="N15939" t="s">
        <v>4021</v>
      </c>
      <c r="O15939" t="s">
        <v>22</v>
      </c>
      <c r="P15939" t="s">
        <v>34152</v>
      </c>
      <c r="Q15939">
        <v>2609</v>
      </c>
      <c r="R15939" t="s">
        <v>23</v>
      </c>
      <c r="S15939" s="1" t="s">
        <v>34218</v>
      </c>
    </row>
    <row r="15940" spans="1:19" x14ac:dyDescent="0.25">
      <c r="A15940">
        <v>101309932</v>
      </c>
      <c r="B15940" t="s">
        <v>24006</v>
      </c>
      <c r="C15940" t="s">
        <v>403</v>
      </c>
      <c r="G15940">
        <v>19063</v>
      </c>
      <c r="H15940" t="s">
        <v>27702</v>
      </c>
      <c r="I15940" t="s">
        <v>33</v>
      </c>
      <c r="J15940">
        <v>19063</v>
      </c>
      <c r="L15940" t="s">
        <v>23</v>
      </c>
      <c r="M15940">
        <v>19063</v>
      </c>
      <c r="N15940" t="s">
        <v>27702</v>
      </c>
      <c r="O15940" t="s">
        <v>33</v>
      </c>
      <c r="P15940">
        <v>19063</v>
      </c>
      <c r="R15940" t="s">
        <v>23</v>
      </c>
      <c r="S15940" s="1" t="s">
        <v>34218</v>
      </c>
    </row>
    <row r="15941" spans="1:19" x14ac:dyDescent="0.25">
      <c r="A15941">
        <v>101417250</v>
      </c>
      <c r="B15941" t="s">
        <v>32651</v>
      </c>
      <c r="C15941" t="s">
        <v>35</v>
      </c>
      <c r="G15941" t="s">
        <v>34153</v>
      </c>
      <c r="H15941" t="s">
        <v>357</v>
      </c>
      <c r="I15941" t="s">
        <v>255</v>
      </c>
      <c r="J15941">
        <v>22301</v>
      </c>
      <c r="K15941">
        <v>2445</v>
      </c>
      <c r="L15941" t="s">
        <v>23</v>
      </c>
      <c r="M15941" t="s">
        <v>34153</v>
      </c>
      <c r="N15941" t="s">
        <v>357</v>
      </c>
      <c r="O15941" t="s">
        <v>255</v>
      </c>
      <c r="P15941">
        <v>22301</v>
      </c>
      <c r="Q15941">
        <v>2445</v>
      </c>
      <c r="R15941" t="s">
        <v>23</v>
      </c>
      <c r="S15941" s="1" t="s">
        <v>34218</v>
      </c>
    </row>
    <row r="15942" spans="1:19" x14ac:dyDescent="0.25">
      <c r="A15942">
        <v>100515442</v>
      </c>
      <c r="B15942" t="s">
        <v>34154</v>
      </c>
      <c r="C15942" t="s">
        <v>874</v>
      </c>
      <c r="G15942" t="s">
        <v>34155</v>
      </c>
      <c r="H15942" t="s">
        <v>6383</v>
      </c>
      <c r="I15942" t="s">
        <v>135</v>
      </c>
      <c r="J15942">
        <v>60195</v>
      </c>
      <c r="L15942" t="s">
        <v>23</v>
      </c>
      <c r="M15942" t="s">
        <v>34155</v>
      </c>
      <c r="N15942" t="s">
        <v>6383</v>
      </c>
      <c r="O15942" t="s">
        <v>135</v>
      </c>
      <c r="P15942">
        <v>60195</v>
      </c>
      <c r="R15942" t="s">
        <v>23</v>
      </c>
      <c r="S15942" s="1" t="s">
        <v>34218</v>
      </c>
    </row>
    <row r="15943" spans="1:19" x14ac:dyDescent="0.25">
      <c r="A15943">
        <v>101445609</v>
      </c>
      <c r="B15943" t="s">
        <v>6376</v>
      </c>
      <c r="C15943" t="s">
        <v>8154</v>
      </c>
      <c r="G15943" t="s">
        <v>31321</v>
      </c>
      <c r="H15943" t="s">
        <v>27</v>
      </c>
      <c r="I15943" t="s">
        <v>28</v>
      </c>
      <c r="J15943">
        <v>30338</v>
      </c>
      <c r="L15943" t="s">
        <v>23</v>
      </c>
      <c r="M15943" t="s">
        <v>31321</v>
      </c>
      <c r="N15943" t="s">
        <v>27</v>
      </c>
      <c r="O15943" t="s">
        <v>28</v>
      </c>
      <c r="P15943">
        <v>30338</v>
      </c>
      <c r="R15943" t="s">
        <v>23</v>
      </c>
      <c r="S15943" s="1" t="s">
        <v>34218</v>
      </c>
    </row>
    <row r="15944" spans="1:19" x14ac:dyDescent="0.25">
      <c r="A15944">
        <v>101446191</v>
      </c>
      <c r="B15944" t="s">
        <v>3956</v>
      </c>
      <c r="C15944" t="s">
        <v>3110</v>
      </c>
      <c r="G15944" t="s">
        <v>34156</v>
      </c>
      <c r="H15944" t="s">
        <v>14404</v>
      </c>
      <c r="I15944" t="s">
        <v>52</v>
      </c>
      <c r="J15944" t="s">
        <v>34157</v>
      </c>
      <c r="K15944">
        <v>4466</v>
      </c>
      <c r="L15944" t="s">
        <v>23</v>
      </c>
      <c r="M15944" t="s">
        <v>34156</v>
      </c>
      <c r="N15944" t="s">
        <v>14404</v>
      </c>
      <c r="O15944" t="s">
        <v>52</v>
      </c>
      <c r="P15944" t="s">
        <v>34157</v>
      </c>
      <c r="Q15944">
        <v>4466</v>
      </c>
      <c r="R15944" t="s">
        <v>23</v>
      </c>
      <c r="S15944" s="1" t="s">
        <v>34218</v>
      </c>
    </row>
    <row r="15945" spans="1:19" x14ac:dyDescent="0.25">
      <c r="A15945">
        <v>101454022</v>
      </c>
      <c r="B15945" t="s">
        <v>34158</v>
      </c>
      <c r="C15945" t="s">
        <v>2642</v>
      </c>
      <c r="G15945" t="s">
        <v>34159</v>
      </c>
      <c r="H15945" t="s">
        <v>16912</v>
      </c>
      <c r="I15945" t="s">
        <v>43</v>
      </c>
      <c r="J15945">
        <v>97068</v>
      </c>
      <c r="K15945">
        <v>8409</v>
      </c>
      <c r="L15945" t="s">
        <v>23</v>
      </c>
      <c r="M15945" t="s">
        <v>34159</v>
      </c>
      <c r="N15945" t="s">
        <v>16912</v>
      </c>
      <c r="O15945" t="s">
        <v>43</v>
      </c>
      <c r="P15945">
        <v>97068</v>
      </c>
      <c r="Q15945">
        <v>8409</v>
      </c>
      <c r="R15945" t="s">
        <v>23</v>
      </c>
      <c r="S15945" s="1" t="s">
        <v>34218</v>
      </c>
    </row>
    <row r="15946" spans="1:19" x14ac:dyDescent="0.25">
      <c r="A15946">
        <v>100515877</v>
      </c>
      <c r="B15946" t="s">
        <v>34160</v>
      </c>
      <c r="C15946" t="s">
        <v>119</v>
      </c>
      <c r="G15946" t="s">
        <v>34161</v>
      </c>
      <c r="H15946" t="s">
        <v>1405</v>
      </c>
      <c r="I15946" t="s">
        <v>255</v>
      </c>
      <c r="J15946" t="s">
        <v>34162</v>
      </c>
      <c r="K15946">
        <v>2634</v>
      </c>
      <c r="L15946" t="s">
        <v>23</v>
      </c>
      <c r="M15946" t="s">
        <v>34161</v>
      </c>
      <c r="N15946" t="s">
        <v>1405</v>
      </c>
      <c r="O15946" t="s">
        <v>255</v>
      </c>
      <c r="P15946" t="s">
        <v>34162</v>
      </c>
      <c r="Q15946">
        <v>2634</v>
      </c>
      <c r="R15946" t="s">
        <v>23</v>
      </c>
      <c r="S15946" s="1" t="s">
        <v>34218</v>
      </c>
    </row>
    <row r="15947" spans="1:19" x14ac:dyDescent="0.25">
      <c r="A15947">
        <v>101030282</v>
      </c>
      <c r="B15947" t="s">
        <v>34163</v>
      </c>
      <c r="C15947" t="s">
        <v>34164</v>
      </c>
      <c r="G15947" t="s">
        <v>34165</v>
      </c>
      <c r="H15947" t="s">
        <v>34166</v>
      </c>
      <c r="I15947" t="s">
        <v>191</v>
      </c>
      <c r="J15947">
        <v>4230</v>
      </c>
      <c r="L15947" t="s">
        <v>23</v>
      </c>
      <c r="M15947" t="s">
        <v>34165</v>
      </c>
      <c r="N15947" t="s">
        <v>34166</v>
      </c>
      <c r="O15947" t="s">
        <v>191</v>
      </c>
      <c r="P15947">
        <v>4230</v>
      </c>
      <c r="R15947" t="s">
        <v>23</v>
      </c>
      <c r="S15947" s="1" t="s">
        <v>34218</v>
      </c>
    </row>
    <row r="15948" spans="1:19" x14ac:dyDescent="0.25">
      <c r="A15948">
        <v>101470870</v>
      </c>
      <c r="B15948" t="s">
        <v>34167</v>
      </c>
      <c r="C15948" t="s">
        <v>2108</v>
      </c>
      <c r="G15948" t="s">
        <v>34168</v>
      </c>
      <c r="H15948" t="s">
        <v>227</v>
      </c>
      <c r="I15948" t="s">
        <v>43</v>
      </c>
      <c r="J15948">
        <v>97214</v>
      </c>
      <c r="K15948">
        <v>4336</v>
      </c>
      <c r="L15948" t="s">
        <v>23</v>
      </c>
      <c r="M15948" t="s">
        <v>34168</v>
      </c>
      <c r="N15948" t="s">
        <v>227</v>
      </c>
      <c r="O15948" t="s">
        <v>43</v>
      </c>
      <c r="P15948">
        <v>97214</v>
      </c>
      <c r="Q15948">
        <v>4336</v>
      </c>
      <c r="R15948" t="s">
        <v>23</v>
      </c>
      <c r="S15948" s="1" t="s">
        <v>34218</v>
      </c>
    </row>
    <row r="15949" spans="1:19" x14ac:dyDescent="0.25">
      <c r="A15949">
        <v>101455719</v>
      </c>
      <c r="B15949" t="s">
        <v>34169</v>
      </c>
      <c r="C15949" t="s">
        <v>54</v>
      </c>
      <c r="G15949" t="s">
        <v>34170</v>
      </c>
      <c r="H15949" t="s">
        <v>13111</v>
      </c>
      <c r="I15949" t="s">
        <v>22</v>
      </c>
      <c r="J15949">
        <v>91604</v>
      </c>
      <c r="K15949">
        <v>1803</v>
      </c>
      <c r="L15949" t="s">
        <v>23</v>
      </c>
      <c r="M15949" t="s">
        <v>34170</v>
      </c>
      <c r="N15949" t="s">
        <v>13111</v>
      </c>
      <c r="O15949" t="s">
        <v>22</v>
      </c>
      <c r="P15949">
        <v>91604</v>
      </c>
      <c r="Q15949">
        <v>1803</v>
      </c>
      <c r="R15949" t="s">
        <v>23</v>
      </c>
      <c r="S15949" s="1" t="s">
        <v>34218</v>
      </c>
    </row>
    <row r="15950" spans="1:19" x14ac:dyDescent="0.25">
      <c r="A15950">
        <v>101448811</v>
      </c>
      <c r="B15950" t="s">
        <v>34171</v>
      </c>
      <c r="C15950" t="s">
        <v>68</v>
      </c>
      <c r="G15950" t="s">
        <v>34172</v>
      </c>
      <c r="H15950" t="s">
        <v>650</v>
      </c>
      <c r="I15950" t="s">
        <v>22</v>
      </c>
      <c r="J15950">
        <v>95816</v>
      </c>
      <c r="K15950">
        <v>5250</v>
      </c>
      <c r="L15950" t="s">
        <v>23</v>
      </c>
      <c r="M15950" t="s">
        <v>34172</v>
      </c>
      <c r="N15950" t="s">
        <v>650</v>
      </c>
      <c r="O15950" t="s">
        <v>22</v>
      </c>
      <c r="P15950">
        <v>95816</v>
      </c>
      <c r="Q15950">
        <v>5250</v>
      </c>
      <c r="R15950" t="s">
        <v>23</v>
      </c>
      <c r="S15950" s="1" t="s">
        <v>34218</v>
      </c>
    </row>
    <row r="15951" spans="1:19" x14ac:dyDescent="0.25">
      <c r="A15951">
        <v>101467383</v>
      </c>
      <c r="B15951" t="s">
        <v>14390</v>
      </c>
      <c r="C15951" t="s">
        <v>1179</v>
      </c>
      <c r="G15951" t="s">
        <v>34173</v>
      </c>
      <c r="H15951" t="s">
        <v>15427</v>
      </c>
      <c r="I15951" t="s">
        <v>22</v>
      </c>
      <c r="J15951">
        <v>95422</v>
      </c>
      <c r="K15951">
        <v>726</v>
      </c>
      <c r="L15951" t="s">
        <v>23</v>
      </c>
      <c r="M15951" t="s">
        <v>34173</v>
      </c>
      <c r="N15951" t="s">
        <v>15427</v>
      </c>
      <c r="O15951" t="s">
        <v>22</v>
      </c>
      <c r="P15951">
        <v>95422</v>
      </c>
      <c r="Q15951">
        <v>726</v>
      </c>
      <c r="R15951" t="s">
        <v>23</v>
      </c>
      <c r="S15951" s="1" t="s">
        <v>34218</v>
      </c>
    </row>
    <row r="15952" spans="1:19" x14ac:dyDescent="0.25">
      <c r="A15952">
        <v>101418820</v>
      </c>
      <c r="B15952" t="s">
        <v>34174</v>
      </c>
      <c r="C15952" t="s">
        <v>1176</v>
      </c>
      <c r="G15952" t="s">
        <v>34175</v>
      </c>
      <c r="H15952" t="s">
        <v>13494</v>
      </c>
      <c r="I15952" t="s">
        <v>22</v>
      </c>
      <c r="J15952">
        <v>93455</v>
      </c>
      <c r="L15952" t="s">
        <v>23</v>
      </c>
      <c r="M15952" t="s">
        <v>34175</v>
      </c>
      <c r="N15952" t="s">
        <v>13494</v>
      </c>
      <c r="O15952" t="s">
        <v>22</v>
      </c>
      <c r="P15952">
        <v>93455</v>
      </c>
      <c r="R15952" t="s">
        <v>23</v>
      </c>
      <c r="S15952" s="1" t="s">
        <v>34218</v>
      </c>
    </row>
    <row r="15953" spans="1:19" x14ac:dyDescent="0.25">
      <c r="A15953">
        <v>101470900</v>
      </c>
      <c r="B15953" t="s">
        <v>3109</v>
      </c>
      <c r="C15953" t="s">
        <v>4966</v>
      </c>
      <c r="G15953" t="s">
        <v>8370</v>
      </c>
      <c r="H15953" t="s">
        <v>198</v>
      </c>
      <c r="I15953" t="s">
        <v>22</v>
      </c>
      <c r="J15953">
        <v>92103</v>
      </c>
      <c r="K15953">
        <v>3710</v>
      </c>
      <c r="L15953" t="s">
        <v>23</v>
      </c>
      <c r="M15953" t="s">
        <v>8370</v>
      </c>
      <c r="N15953" t="s">
        <v>198</v>
      </c>
      <c r="O15953" t="s">
        <v>22</v>
      </c>
      <c r="P15953">
        <v>92103</v>
      </c>
      <c r="Q15953">
        <v>3710</v>
      </c>
      <c r="R15953" t="s">
        <v>23</v>
      </c>
      <c r="S15953" s="1" t="s">
        <v>34218</v>
      </c>
    </row>
    <row r="15954" spans="1:19" x14ac:dyDescent="0.25">
      <c r="A15954">
        <v>100892916</v>
      </c>
      <c r="B15954" t="s">
        <v>34176</v>
      </c>
      <c r="C15954" t="s">
        <v>2427</v>
      </c>
      <c r="F15954" t="str">
        <f>"5098762298"</f>
        <v>5098762298</v>
      </c>
      <c r="G15954" t="s">
        <v>34177</v>
      </c>
      <c r="H15954" t="s">
        <v>3845</v>
      </c>
      <c r="I15954" t="s">
        <v>84</v>
      </c>
      <c r="J15954">
        <v>99324</v>
      </c>
      <c r="L15954" t="s">
        <v>23</v>
      </c>
      <c r="M15954" t="s">
        <v>34177</v>
      </c>
      <c r="N15954" t="s">
        <v>3845</v>
      </c>
      <c r="O15954" t="s">
        <v>84</v>
      </c>
      <c r="P15954">
        <v>99324</v>
      </c>
      <c r="R15954" t="s">
        <v>23</v>
      </c>
      <c r="S15954" s="1" t="s">
        <v>34218</v>
      </c>
    </row>
    <row r="15955" spans="1:19" x14ac:dyDescent="0.25">
      <c r="A15955">
        <v>101470911</v>
      </c>
      <c r="B15955" t="s">
        <v>34178</v>
      </c>
      <c r="C15955" t="s">
        <v>5678</v>
      </c>
      <c r="G15955" t="s">
        <v>34179</v>
      </c>
      <c r="H15955" t="s">
        <v>22078</v>
      </c>
      <c r="I15955" t="s">
        <v>126</v>
      </c>
      <c r="J15955">
        <v>65690</v>
      </c>
      <c r="K15955">
        <v>8699</v>
      </c>
      <c r="L15955" t="s">
        <v>23</v>
      </c>
      <c r="M15955" t="s">
        <v>34179</v>
      </c>
      <c r="N15955" t="s">
        <v>22078</v>
      </c>
      <c r="O15955" t="s">
        <v>126</v>
      </c>
      <c r="P15955">
        <v>65690</v>
      </c>
      <c r="Q15955">
        <v>8699</v>
      </c>
      <c r="R15955" t="s">
        <v>23</v>
      </c>
      <c r="S15955" s="1" t="s">
        <v>34218</v>
      </c>
    </row>
    <row r="15956" spans="1:19" x14ac:dyDescent="0.25">
      <c r="A15956">
        <v>101452139</v>
      </c>
      <c r="B15956" t="s">
        <v>28860</v>
      </c>
      <c r="C15956" t="s">
        <v>699</v>
      </c>
      <c r="G15956" t="s">
        <v>34180</v>
      </c>
      <c r="H15956" t="s">
        <v>34181</v>
      </c>
      <c r="I15956" t="s">
        <v>140</v>
      </c>
      <c r="J15956">
        <v>49637</v>
      </c>
      <c r="K15956">
        <v>9721</v>
      </c>
      <c r="L15956" t="s">
        <v>23</v>
      </c>
      <c r="M15956" t="s">
        <v>34180</v>
      </c>
      <c r="N15956" t="s">
        <v>34181</v>
      </c>
      <c r="O15956" t="s">
        <v>140</v>
      </c>
      <c r="P15956">
        <v>49637</v>
      </c>
      <c r="Q15956">
        <v>9721</v>
      </c>
      <c r="R15956" t="s">
        <v>23</v>
      </c>
      <c r="S15956" s="1" t="s">
        <v>34218</v>
      </c>
    </row>
    <row r="15957" spans="1:19" x14ac:dyDescent="0.25">
      <c r="A15957">
        <v>101420297</v>
      </c>
      <c r="B15957" t="s">
        <v>744</v>
      </c>
      <c r="C15957" t="s">
        <v>403</v>
      </c>
      <c r="G15957" t="s">
        <v>34182</v>
      </c>
      <c r="H15957" t="s">
        <v>9066</v>
      </c>
      <c r="I15957" t="s">
        <v>187</v>
      </c>
      <c r="J15957">
        <v>56345</v>
      </c>
      <c r="K15957">
        <v>4151</v>
      </c>
      <c r="L15957" t="s">
        <v>23</v>
      </c>
      <c r="M15957" t="s">
        <v>34182</v>
      </c>
      <c r="N15957" t="s">
        <v>9066</v>
      </c>
      <c r="O15957" t="s">
        <v>187</v>
      </c>
      <c r="P15957">
        <v>56345</v>
      </c>
      <c r="Q15957">
        <v>4151</v>
      </c>
      <c r="R15957" t="s">
        <v>23</v>
      </c>
      <c r="S15957" s="1" t="s">
        <v>34218</v>
      </c>
    </row>
    <row r="15958" spans="1:19" x14ac:dyDescent="0.25">
      <c r="A15958">
        <v>100520645</v>
      </c>
      <c r="B15958" t="s">
        <v>34183</v>
      </c>
      <c r="C15958" t="s">
        <v>2134</v>
      </c>
      <c r="G15958" t="s">
        <v>34184</v>
      </c>
      <c r="H15958" t="s">
        <v>2399</v>
      </c>
      <c r="I15958" t="s">
        <v>71</v>
      </c>
      <c r="J15958">
        <v>80522</v>
      </c>
      <c r="K15958">
        <v>236</v>
      </c>
      <c r="L15958" t="s">
        <v>23</v>
      </c>
      <c r="M15958" t="s">
        <v>34184</v>
      </c>
      <c r="N15958" t="s">
        <v>2399</v>
      </c>
      <c r="O15958" t="s">
        <v>71</v>
      </c>
      <c r="P15958">
        <v>80522</v>
      </c>
      <c r="Q15958">
        <v>236</v>
      </c>
      <c r="R15958" t="s">
        <v>23</v>
      </c>
      <c r="S15958" s="1" t="s">
        <v>34218</v>
      </c>
    </row>
    <row r="15959" spans="1:19" x14ac:dyDescent="0.25">
      <c r="A15959">
        <v>101466909</v>
      </c>
      <c r="B15959" t="s">
        <v>34185</v>
      </c>
      <c r="C15959" t="s">
        <v>34186</v>
      </c>
      <c r="G15959" t="s">
        <v>34187</v>
      </c>
      <c r="H15959" t="s">
        <v>1315</v>
      </c>
      <c r="I15959" t="s">
        <v>33</v>
      </c>
      <c r="J15959">
        <v>18020</v>
      </c>
      <c r="K15959">
        <v>8950</v>
      </c>
      <c r="L15959" t="s">
        <v>23</v>
      </c>
      <c r="M15959" t="s">
        <v>34187</v>
      </c>
      <c r="N15959" t="s">
        <v>1315</v>
      </c>
      <c r="O15959" t="s">
        <v>33</v>
      </c>
      <c r="P15959">
        <v>18020</v>
      </c>
      <c r="Q15959">
        <v>8950</v>
      </c>
      <c r="R15959" t="s">
        <v>23</v>
      </c>
      <c r="S15959" s="1" t="s">
        <v>34218</v>
      </c>
    </row>
    <row r="15960" spans="1:19" x14ac:dyDescent="0.25">
      <c r="A15960">
        <v>101454932</v>
      </c>
      <c r="B15960" t="s">
        <v>34188</v>
      </c>
      <c r="C15960" t="s">
        <v>9106</v>
      </c>
      <c r="G15960" t="s">
        <v>34189</v>
      </c>
      <c r="H15960" t="s">
        <v>34190</v>
      </c>
      <c r="I15960" t="s">
        <v>250</v>
      </c>
      <c r="J15960">
        <v>7922</v>
      </c>
      <c r="K15960">
        <v>2404</v>
      </c>
      <c r="L15960" t="s">
        <v>23</v>
      </c>
      <c r="M15960" t="s">
        <v>34189</v>
      </c>
      <c r="N15960" t="s">
        <v>34190</v>
      </c>
      <c r="O15960" t="s">
        <v>250</v>
      </c>
      <c r="P15960">
        <v>7922</v>
      </c>
      <c r="Q15960">
        <v>2404</v>
      </c>
      <c r="R15960" t="s">
        <v>23</v>
      </c>
      <c r="S15960" s="1" t="s">
        <v>34218</v>
      </c>
    </row>
    <row r="15961" spans="1:19" x14ac:dyDescent="0.25">
      <c r="A15961">
        <v>101454255</v>
      </c>
      <c r="B15961" t="s">
        <v>34191</v>
      </c>
      <c r="C15961" t="s">
        <v>362</v>
      </c>
      <c r="G15961" t="s">
        <v>34192</v>
      </c>
      <c r="H15961" t="s">
        <v>6383</v>
      </c>
      <c r="I15961" t="s">
        <v>135</v>
      </c>
      <c r="J15961">
        <v>60193</v>
      </c>
      <c r="K15961">
        <v>3310</v>
      </c>
      <c r="L15961" t="s">
        <v>23</v>
      </c>
      <c r="M15961" t="s">
        <v>34192</v>
      </c>
      <c r="N15961" t="s">
        <v>6383</v>
      </c>
      <c r="O15961" t="s">
        <v>135</v>
      </c>
      <c r="P15961">
        <v>60193</v>
      </c>
      <c r="Q15961">
        <v>3310</v>
      </c>
      <c r="R15961" t="s">
        <v>23</v>
      </c>
      <c r="S15961" s="1" t="s">
        <v>34218</v>
      </c>
    </row>
    <row r="15962" spans="1:19" x14ac:dyDescent="0.25">
      <c r="A15962">
        <v>101427076</v>
      </c>
      <c r="B15962" t="s">
        <v>23713</v>
      </c>
      <c r="C15962" t="s">
        <v>1161</v>
      </c>
      <c r="G15962" t="s">
        <v>34193</v>
      </c>
      <c r="H15962" t="s">
        <v>11379</v>
      </c>
      <c r="I15962" t="s">
        <v>2566</v>
      </c>
      <c r="J15962">
        <v>99516</v>
      </c>
      <c r="K15962">
        <v>5541</v>
      </c>
      <c r="L15962" t="s">
        <v>23</v>
      </c>
      <c r="M15962" t="s">
        <v>34193</v>
      </c>
      <c r="N15962" t="s">
        <v>11379</v>
      </c>
      <c r="O15962" t="s">
        <v>2566</v>
      </c>
      <c r="P15962">
        <v>99516</v>
      </c>
      <c r="Q15962">
        <v>5541</v>
      </c>
      <c r="R15962" t="s">
        <v>23</v>
      </c>
      <c r="S15962" s="1" t="s">
        <v>34218</v>
      </c>
    </row>
    <row r="15963" spans="1:19" x14ac:dyDescent="0.25">
      <c r="A15963">
        <v>100576770</v>
      </c>
      <c r="B15963" t="s">
        <v>4170</v>
      </c>
      <c r="C15963" t="s">
        <v>1298</v>
      </c>
      <c r="F15963" t="str">
        <f>"2157662129"</f>
        <v>2157662129</v>
      </c>
      <c r="G15963" t="s">
        <v>34194</v>
      </c>
      <c r="H15963" t="s">
        <v>10481</v>
      </c>
      <c r="I15963" t="s">
        <v>33</v>
      </c>
      <c r="J15963">
        <v>18947</v>
      </c>
      <c r="K15963">
        <v>1122</v>
      </c>
      <c r="L15963" t="s">
        <v>23</v>
      </c>
      <c r="M15963" t="s">
        <v>34194</v>
      </c>
      <c r="N15963" t="s">
        <v>10481</v>
      </c>
      <c r="O15963" t="s">
        <v>33</v>
      </c>
      <c r="P15963">
        <v>18947</v>
      </c>
      <c r="Q15963">
        <v>1122</v>
      </c>
      <c r="R15963" t="s">
        <v>23</v>
      </c>
      <c r="S15963" s="1" t="s">
        <v>34218</v>
      </c>
    </row>
    <row r="15964" spans="1:19" x14ac:dyDescent="0.25">
      <c r="A15964">
        <v>101420568</v>
      </c>
      <c r="B15964" t="s">
        <v>34195</v>
      </c>
      <c r="C15964" t="s">
        <v>25</v>
      </c>
      <c r="G15964" t="s">
        <v>34196</v>
      </c>
      <c r="H15964" t="s">
        <v>34197</v>
      </c>
      <c r="I15964" t="s">
        <v>33</v>
      </c>
      <c r="J15964">
        <v>18960</v>
      </c>
      <c r="L15964" t="s">
        <v>23</v>
      </c>
      <c r="M15964" t="s">
        <v>34196</v>
      </c>
      <c r="N15964" t="s">
        <v>34197</v>
      </c>
      <c r="O15964" t="s">
        <v>33</v>
      </c>
      <c r="P15964">
        <v>18960</v>
      </c>
      <c r="R15964" t="s">
        <v>23</v>
      </c>
      <c r="S15964" s="1" t="s">
        <v>34218</v>
      </c>
    </row>
    <row r="15965" spans="1:19" x14ac:dyDescent="0.25">
      <c r="A15965">
        <v>100962806</v>
      </c>
      <c r="B15965" t="s">
        <v>34198</v>
      </c>
      <c r="C15965" t="s">
        <v>1086</v>
      </c>
      <c r="G15965" t="s">
        <v>15486</v>
      </c>
      <c r="H15965" t="s">
        <v>4128</v>
      </c>
      <c r="I15965" t="s">
        <v>353</v>
      </c>
      <c r="J15965">
        <v>3036</v>
      </c>
      <c r="K15965">
        <v>97</v>
      </c>
      <c r="L15965" t="s">
        <v>23</v>
      </c>
      <c r="M15965" t="s">
        <v>15486</v>
      </c>
      <c r="N15965" t="s">
        <v>4128</v>
      </c>
      <c r="O15965" t="s">
        <v>353</v>
      </c>
      <c r="P15965">
        <v>3036</v>
      </c>
      <c r="Q15965">
        <v>97</v>
      </c>
      <c r="R15965" t="s">
        <v>23</v>
      </c>
      <c r="S15965" s="1" t="s">
        <v>34218</v>
      </c>
    </row>
    <row r="15966" spans="1:19" x14ac:dyDescent="0.25">
      <c r="A15966">
        <v>101454898</v>
      </c>
      <c r="B15966" t="s">
        <v>2331</v>
      </c>
      <c r="C15966" t="s">
        <v>34199</v>
      </c>
      <c r="G15966" t="s">
        <v>34200</v>
      </c>
      <c r="H15966" t="s">
        <v>34201</v>
      </c>
      <c r="I15966" t="s">
        <v>117</v>
      </c>
      <c r="J15966">
        <v>12801</v>
      </c>
      <c r="K15966">
        <v>3076</v>
      </c>
      <c r="L15966" t="s">
        <v>23</v>
      </c>
      <c r="M15966" t="s">
        <v>34200</v>
      </c>
      <c r="N15966" t="s">
        <v>34201</v>
      </c>
      <c r="O15966" t="s">
        <v>117</v>
      </c>
      <c r="P15966">
        <v>12801</v>
      </c>
      <c r="Q15966">
        <v>3076</v>
      </c>
      <c r="R15966" t="s">
        <v>23</v>
      </c>
      <c r="S15966" s="1" t="s">
        <v>34218</v>
      </c>
    </row>
    <row r="15967" spans="1:19" x14ac:dyDescent="0.25">
      <c r="A15967">
        <v>101167337</v>
      </c>
      <c r="B15967" t="s">
        <v>13567</v>
      </c>
      <c r="C15967" t="s">
        <v>155</v>
      </c>
      <c r="G15967" t="s">
        <v>34202</v>
      </c>
      <c r="H15967" t="s">
        <v>16077</v>
      </c>
      <c r="I15967" t="s">
        <v>178</v>
      </c>
      <c r="J15967">
        <v>45429</v>
      </c>
      <c r="K15967">
        <v>4657</v>
      </c>
      <c r="L15967" t="s">
        <v>23</v>
      </c>
      <c r="M15967" t="s">
        <v>34202</v>
      </c>
      <c r="N15967" t="s">
        <v>16077</v>
      </c>
      <c r="O15967" t="s">
        <v>178</v>
      </c>
      <c r="P15967">
        <v>45429</v>
      </c>
      <c r="Q15967">
        <v>4657</v>
      </c>
      <c r="R15967" t="s">
        <v>23</v>
      </c>
      <c r="S15967" s="1" t="s">
        <v>34218</v>
      </c>
    </row>
    <row r="15968" spans="1:19" x14ac:dyDescent="0.25">
      <c r="A15968">
        <v>101042675</v>
      </c>
      <c r="B15968" t="s">
        <v>34203</v>
      </c>
      <c r="C15968" t="s">
        <v>34204</v>
      </c>
      <c r="G15968" t="s">
        <v>34205</v>
      </c>
      <c r="H15968" t="s">
        <v>3346</v>
      </c>
      <c r="I15968" t="s">
        <v>250</v>
      </c>
      <c r="J15968">
        <v>7462</v>
      </c>
      <c r="K15968">
        <v>3406</v>
      </c>
      <c r="L15968" t="s">
        <v>23</v>
      </c>
      <c r="M15968" t="s">
        <v>34205</v>
      </c>
      <c r="N15968" t="s">
        <v>3346</v>
      </c>
      <c r="O15968" t="s">
        <v>250</v>
      </c>
      <c r="P15968">
        <v>7462</v>
      </c>
      <c r="Q15968">
        <v>3406</v>
      </c>
      <c r="R15968" t="s">
        <v>23</v>
      </c>
      <c r="S15968" s="1" t="s">
        <v>34218</v>
      </c>
    </row>
    <row r="15969" spans="1:19" x14ac:dyDescent="0.25">
      <c r="A15969">
        <v>101482249</v>
      </c>
      <c r="B15969" t="s">
        <v>34206</v>
      </c>
      <c r="C15969" t="s">
        <v>699</v>
      </c>
      <c r="G15969" t="s">
        <v>34207</v>
      </c>
      <c r="H15969" t="s">
        <v>7018</v>
      </c>
      <c r="I15969" t="s">
        <v>241</v>
      </c>
      <c r="J15969">
        <v>66061</v>
      </c>
      <c r="K15969">
        <v>9358</v>
      </c>
      <c r="L15969" t="s">
        <v>23</v>
      </c>
      <c r="M15969" t="s">
        <v>34207</v>
      </c>
      <c r="N15969" t="s">
        <v>7018</v>
      </c>
      <c r="O15969" t="s">
        <v>241</v>
      </c>
      <c r="P15969">
        <v>66061</v>
      </c>
      <c r="Q15969">
        <v>9358</v>
      </c>
      <c r="R15969" t="s">
        <v>23</v>
      </c>
      <c r="S15969" s="1" t="s">
        <v>34218</v>
      </c>
    </row>
    <row r="15970" spans="1:19" x14ac:dyDescent="0.25">
      <c r="A15970">
        <v>101482279</v>
      </c>
      <c r="B15970" t="s">
        <v>34208</v>
      </c>
      <c r="C15970" t="s">
        <v>846</v>
      </c>
      <c r="G15970" t="s">
        <v>34209</v>
      </c>
      <c r="H15970" t="s">
        <v>34210</v>
      </c>
      <c r="I15970" t="s">
        <v>117</v>
      </c>
      <c r="J15970">
        <v>11738</v>
      </c>
      <c r="K15970">
        <v>1628</v>
      </c>
      <c r="L15970" t="s">
        <v>23</v>
      </c>
      <c r="M15970" t="s">
        <v>34209</v>
      </c>
      <c r="N15970" t="s">
        <v>34210</v>
      </c>
      <c r="O15970" t="s">
        <v>117</v>
      </c>
      <c r="P15970">
        <v>11738</v>
      </c>
      <c r="Q15970">
        <v>1628</v>
      </c>
      <c r="R15970" t="s">
        <v>23</v>
      </c>
      <c r="S15970" s="1" t="s">
        <v>34218</v>
      </c>
    </row>
    <row r="15971" spans="1:19" x14ac:dyDescent="0.25">
      <c r="A15971">
        <v>101482281</v>
      </c>
      <c r="B15971" t="s">
        <v>12777</v>
      </c>
      <c r="C15971" t="s">
        <v>34211</v>
      </c>
      <c r="G15971" t="s">
        <v>34212</v>
      </c>
      <c r="H15971" t="s">
        <v>19196</v>
      </c>
      <c r="I15971" t="s">
        <v>71</v>
      </c>
      <c r="J15971">
        <v>80816</v>
      </c>
      <c r="K15971">
        <v>9216</v>
      </c>
      <c r="L15971" t="s">
        <v>23</v>
      </c>
      <c r="M15971" t="s">
        <v>34212</v>
      </c>
      <c r="N15971" t="s">
        <v>19196</v>
      </c>
      <c r="O15971" t="s">
        <v>71</v>
      </c>
      <c r="P15971">
        <v>80816</v>
      </c>
      <c r="Q15971">
        <v>9216</v>
      </c>
      <c r="R15971" t="s">
        <v>23</v>
      </c>
      <c r="S15971" s="1" t="s">
        <v>34218</v>
      </c>
    </row>
    <row r="15972" spans="1:19" x14ac:dyDescent="0.25">
      <c r="A15972">
        <v>101416667</v>
      </c>
      <c r="B15972" t="s">
        <v>34213</v>
      </c>
      <c r="C15972" t="s">
        <v>5719</v>
      </c>
      <c r="G15972" t="s">
        <v>34214</v>
      </c>
      <c r="H15972" t="s">
        <v>705</v>
      </c>
      <c r="I15972" t="s">
        <v>22</v>
      </c>
      <c r="J15972">
        <v>94501</v>
      </c>
      <c r="K15972">
        <v>1509</v>
      </c>
      <c r="L15972" t="s">
        <v>23</v>
      </c>
      <c r="M15972" t="s">
        <v>34214</v>
      </c>
      <c r="N15972" t="s">
        <v>705</v>
      </c>
      <c r="O15972" t="s">
        <v>22</v>
      </c>
      <c r="P15972">
        <v>94501</v>
      </c>
      <c r="Q15972">
        <v>1509</v>
      </c>
      <c r="R15972" t="s">
        <v>23</v>
      </c>
      <c r="S15972" s="1" t="s">
        <v>34218</v>
      </c>
    </row>
    <row r="15973" spans="1:19" x14ac:dyDescent="0.25">
      <c r="A15973">
        <v>101345142</v>
      </c>
      <c r="B15973" t="s">
        <v>34215</v>
      </c>
      <c r="C15973" t="s">
        <v>938</v>
      </c>
      <c r="G15973" t="s">
        <v>34216</v>
      </c>
      <c r="H15973" t="s">
        <v>1693</v>
      </c>
      <c r="I15973" t="s">
        <v>38</v>
      </c>
      <c r="J15973">
        <v>78413</v>
      </c>
      <c r="K15973">
        <v>3117</v>
      </c>
      <c r="L15973" t="s">
        <v>23</v>
      </c>
      <c r="M15973" t="s">
        <v>34216</v>
      </c>
      <c r="N15973" t="s">
        <v>1693</v>
      </c>
      <c r="O15973" t="s">
        <v>38</v>
      </c>
      <c r="P15973">
        <v>78413</v>
      </c>
      <c r="Q15973">
        <v>3117</v>
      </c>
      <c r="R15973" t="s">
        <v>23</v>
      </c>
      <c r="S15973" s="1" t="s">
        <v>34218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SubmittingComments20190903-1814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Joey Lee</dc:creator>
  <cp:lastModifiedBy>Joey Lee</cp:lastModifiedBy>
  <dcterms:created xsi:type="dcterms:W3CDTF">2019-09-03T21:41:57Z</dcterms:created>
  <dcterms:modified xsi:type="dcterms:W3CDTF">2019-09-03T21:47:48Z</dcterms:modified>
</cp:coreProperties>
</file>